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ingDataAnalysis\Transfer Entropy\EyeHeadDirc\"/>
    </mc:Choice>
  </mc:AlternateContent>
  <xr:revisionPtr revIDLastSave="0" documentId="8_{B4941519-90C5-4232-A042-2F394FD3AF6A}" xr6:coauthVersionLast="45" xr6:coauthVersionMax="45" xr10:uidLastSave="{00000000-0000-0000-0000-000000000000}"/>
  <bookViews>
    <workbookView xWindow="1305" yWindow="1305" windowWidth="17280" windowHeight="8970"/>
  </bookViews>
  <sheets>
    <sheet name="TxtToExcel_Tem_Tx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A3103" i="1"/>
  <c r="B3103" i="1"/>
  <c r="A3104" i="1"/>
  <c r="B3104" i="1"/>
  <c r="A3105" i="1"/>
  <c r="B3105" i="1"/>
  <c r="A3106" i="1"/>
  <c r="B3106" i="1"/>
  <c r="A3107" i="1"/>
  <c r="B3107" i="1"/>
  <c r="A3108" i="1"/>
  <c r="B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B3128" i="1"/>
  <c r="A3129" i="1"/>
  <c r="B3129" i="1"/>
  <c r="A3130" i="1"/>
  <c r="B3130" i="1"/>
  <c r="A3131" i="1"/>
  <c r="B3131" i="1"/>
  <c r="A3132" i="1"/>
  <c r="B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A3151" i="1"/>
  <c r="B3151" i="1"/>
  <c r="A3152" i="1"/>
  <c r="B3152" i="1"/>
  <c r="A3153" i="1"/>
  <c r="B3153" i="1"/>
  <c r="A3154" i="1"/>
  <c r="B3154" i="1"/>
  <c r="A3155" i="1"/>
  <c r="B3155" i="1"/>
  <c r="A3156" i="1"/>
  <c r="B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B3175" i="1"/>
  <c r="A3176" i="1"/>
  <c r="B3176" i="1"/>
  <c r="A3177" i="1"/>
  <c r="B3177" i="1"/>
  <c r="A3178" i="1"/>
  <c r="B3178" i="1"/>
  <c r="A3179" i="1"/>
  <c r="B3179" i="1"/>
  <c r="A3180" i="1"/>
  <c r="B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197" i="1"/>
  <c r="B3197" i="1"/>
  <c r="A3198" i="1"/>
  <c r="B3198" i="1"/>
  <c r="A3199" i="1"/>
  <c r="B3199" i="1"/>
  <c r="A3200" i="1"/>
  <c r="B3200" i="1"/>
  <c r="A3201" i="1"/>
  <c r="B3201" i="1"/>
  <c r="A3202" i="1"/>
  <c r="B3202" i="1"/>
  <c r="A3203" i="1"/>
  <c r="B3203" i="1"/>
  <c r="A3204" i="1"/>
  <c r="B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A3222" i="1"/>
  <c r="B3222" i="1"/>
  <c r="A3223" i="1"/>
  <c r="B3223" i="1"/>
  <c r="A3224" i="1"/>
  <c r="B3224" i="1"/>
  <c r="A3225" i="1"/>
  <c r="B3225" i="1"/>
  <c r="A3226" i="1"/>
  <c r="B3226" i="1"/>
  <c r="A3227" i="1"/>
  <c r="B3227" i="1"/>
  <c r="A3228" i="1"/>
  <c r="B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B3248" i="1"/>
  <c r="A3249" i="1"/>
  <c r="B3249" i="1"/>
  <c r="A3250" i="1"/>
  <c r="B3250" i="1"/>
  <c r="A3251" i="1"/>
  <c r="B3251" i="1"/>
  <c r="A3252" i="1"/>
  <c r="B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B3265" i="1"/>
  <c r="A3266" i="1"/>
  <c r="B3266" i="1"/>
  <c r="A3267" i="1"/>
  <c r="B3267" i="1"/>
  <c r="A3268" i="1"/>
  <c r="B3268" i="1"/>
  <c r="A3269" i="1"/>
  <c r="B3269" i="1"/>
  <c r="A3270" i="1"/>
  <c r="B3270" i="1"/>
  <c r="A3271" i="1"/>
  <c r="B3271" i="1"/>
  <c r="A3272" i="1"/>
  <c r="B3272" i="1"/>
  <c r="A3273" i="1"/>
  <c r="B3273" i="1"/>
  <c r="A3274" i="1"/>
  <c r="B3274" i="1"/>
  <c r="A3275" i="1"/>
  <c r="B3275" i="1"/>
  <c r="A3276" i="1"/>
  <c r="B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A3294" i="1"/>
  <c r="B3294" i="1"/>
  <c r="A3295" i="1"/>
  <c r="B3295" i="1"/>
  <c r="A3296" i="1"/>
  <c r="B3296" i="1"/>
  <c r="A3297" i="1"/>
  <c r="B3297" i="1"/>
  <c r="A3298" i="1"/>
  <c r="B3298" i="1"/>
  <c r="A3299" i="1"/>
  <c r="B3299" i="1"/>
  <c r="A3300" i="1"/>
  <c r="B3300" i="1"/>
  <c r="A3301" i="1"/>
  <c r="B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B3313" i="1"/>
  <c r="A3314" i="1"/>
  <c r="B3314" i="1"/>
  <c r="A3315" i="1"/>
  <c r="B3315" i="1"/>
  <c r="A3316" i="1"/>
  <c r="B3316" i="1"/>
  <c r="A3317" i="1"/>
  <c r="B3317" i="1"/>
  <c r="A3318" i="1"/>
  <c r="B3318" i="1"/>
  <c r="A3319" i="1"/>
  <c r="B3319" i="1"/>
  <c r="A3320" i="1"/>
  <c r="B3320" i="1"/>
  <c r="A3321" i="1"/>
  <c r="B3321" i="1"/>
  <c r="A3322" i="1"/>
  <c r="B3322" i="1"/>
  <c r="A3323" i="1"/>
  <c r="B3323" i="1"/>
  <c r="A3324" i="1"/>
  <c r="B3324" i="1"/>
  <c r="A3325" i="1"/>
  <c r="B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A3337" i="1"/>
  <c r="B3337" i="1"/>
  <c r="A3338" i="1"/>
  <c r="B3338" i="1"/>
  <c r="A3339" i="1"/>
  <c r="B3339" i="1"/>
  <c r="A3340" i="1"/>
  <c r="B3340" i="1"/>
  <c r="A3341" i="1"/>
  <c r="B3341" i="1"/>
  <c r="A3342" i="1"/>
  <c r="B3342" i="1"/>
  <c r="A3343" i="1"/>
  <c r="B3343" i="1"/>
  <c r="A3344" i="1"/>
  <c r="B3344" i="1"/>
  <c r="A3345" i="1"/>
  <c r="B3345" i="1"/>
  <c r="A3346" i="1"/>
  <c r="B3346" i="1"/>
  <c r="A3347" i="1"/>
  <c r="B3347" i="1"/>
  <c r="A3348" i="1"/>
  <c r="B3348" i="1"/>
  <c r="A3349" i="1"/>
  <c r="B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  <c r="A3357" i="1"/>
  <c r="B3357" i="1"/>
  <c r="A3358" i="1"/>
  <c r="B3358" i="1"/>
  <c r="A3359" i="1"/>
  <c r="B3359" i="1"/>
  <c r="A3360" i="1"/>
  <c r="B3360" i="1"/>
  <c r="A3361" i="1"/>
  <c r="B3361" i="1"/>
  <c r="A3362" i="1"/>
  <c r="B3362" i="1"/>
  <c r="A3363" i="1"/>
  <c r="B3363" i="1"/>
  <c r="A3364" i="1"/>
  <c r="B3364" i="1"/>
  <c r="A3365" i="1"/>
  <c r="B3365" i="1"/>
  <c r="A3366" i="1"/>
  <c r="B3366" i="1"/>
  <c r="A3367" i="1"/>
  <c r="B3367" i="1"/>
  <c r="A3368" i="1"/>
  <c r="B3368" i="1"/>
  <c r="A3369" i="1"/>
  <c r="B3369" i="1"/>
  <c r="A3370" i="1"/>
  <c r="B3370" i="1"/>
  <c r="A3371" i="1"/>
  <c r="B3371" i="1"/>
  <c r="A3372" i="1"/>
  <c r="B3372" i="1"/>
  <c r="A3373" i="1"/>
  <c r="B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A3383" i="1"/>
  <c r="B3383" i="1"/>
  <c r="A3384" i="1"/>
  <c r="B3384" i="1"/>
  <c r="A3385" i="1"/>
  <c r="B3385" i="1"/>
  <c r="A3386" i="1"/>
  <c r="B3386" i="1"/>
  <c r="A3387" i="1"/>
  <c r="B3387" i="1"/>
  <c r="A3388" i="1"/>
  <c r="B3388" i="1"/>
  <c r="A3389" i="1"/>
  <c r="B3389" i="1"/>
  <c r="A3390" i="1"/>
  <c r="B3390" i="1"/>
  <c r="A3391" i="1"/>
  <c r="B3391" i="1"/>
  <c r="A3392" i="1"/>
  <c r="B3392" i="1"/>
  <c r="A3393" i="1"/>
  <c r="B3393" i="1"/>
  <c r="A3394" i="1"/>
  <c r="B3394" i="1"/>
  <c r="A3395" i="1"/>
  <c r="B3395" i="1"/>
  <c r="A3396" i="1"/>
  <c r="B3396" i="1"/>
  <c r="A3397" i="1"/>
  <c r="B3397" i="1"/>
  <c r="A3398" i="1"/>
  <c r="B3398" i="1"/>
  <c r="A3399" i="1"/>
  <c r="B3399" i="1"/>
  <c r="A3400" i="1"/>
  <c r="B3400" i="1"/>
  <c r="A3401" i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B3407" i="1"/>
  <c r="A3408" i="1"/>
  <c r="B3408" i="1"/>
  <c r="A3409" i="1"/>
  <c r="B3409" i="1"/>
  <c r="A3410" i="1"/>
  <c r="B3410" i="1"/>
  <c r="A3411" i="1"/>
  <c r="B3411" i="1"/>
  <c r="A3412" i="1"/>
  <c r="B3412" i="1"/>
  <c r="A3413" i="1"/>
  <c r="B3413" i="1"/>
  <c r="A3414" i="1"/>
  <c r="B3414" i="1"/>
  <c r="A3415" i="1"/>
  <c r="B3415" i="1"/>
  <c r="A3416" i="1"/>
  <c r="B3416" i="1"/>
  <c r="A3417" i="1"/>
  <c r="B3417" i="1"/>
  <c r="A3418" i="1"/>
  <c r="B3418" i="1"/>
  <c r="A3419" i="1"/>
  <c r="B3419" i="1"/>
  <c r="A3420" i="1"/>
  <c r="B3420" i="1"/>
  <c r="A3421" i="1"/>
  <c r="B3421" i="1"/>
  <c r="A3422" i="1"/>
  <c r="B3422" i="1"/>
  <c r="A3423" i="1"/>
  <c r="B3423" i="1"/>
  <c r="A3424" i="1"/>
  <c r="B3424" i="1"/>
  <c r="A3425" i="1"/>
  <c r="B3425" i="1"/>
  <c r="A3426" i="1"/>
  <c r="B3426" i="1"/>
  <c r="A3427" i="1"/>
  <c r="B3427" i="1"/>
  <c r="A3428" i="1"/>
  <c r="B3428" i="1"/>
  <c r="A3429" i="1"/>
  <c r="B3429" i="1"/>
  <c r="A3430" i="1"/>
  <c r="B3430" i="1"/>
  <c r="A3431" i="1"/>
  <c r="B3431" i="1"/>
  <c r="A3432" i="1"/>
  <c r="B3432" i="1"/>
  <c r="A3433" i="1"/>
  <c r="B3433" i="1"/>
  <c r="A3434" i="1"/>
  <c r="B3434" i="1"/>
  <c r="A3435" i="1"/>
  <c r="B3435" i="1"/>
  <c r="A3436" i="1"/>
  <c r="B3436" i="1"/>
  <c r="A3437" i="1"/>
  <c r="B3437" i="1"/>
  <c r="A3438" i="1"/>
  <c r="B3438" i="1"/>
  <c r="A3439" i="1"/>
  <c r="B3439" i="1"/>
  <c r="A3440" i="1"/>
  <c r="B3440" i="1"/>
  <c r="A3441" i="1"/>
  <c r="B3441" i="1"/>
  <c r="A3442" i="1"/>
  <c r="B3442" i="1"/>
  <c r="A3443" i="1"/>
  <c r="B3443" i="1"/>
  <c r="A3444" i="1"/>
  <c r="B3444" i="1"/>
  <c r="A3445" i="1"/>
  <c r="B3445" i="1"/>
  <c r="A3446" i="1"/>
  <c r="B3446" i="1"/>
  <c r="A3447" i="1"/>
  <c r="B3447" i="1"/>
  <c r="A3448" i="1"/>
  <c r="B3448" i="1"/>
  <c r="A3449" i="1"/>
  <c r="B3449" i="1"/>
  <c r="A3450" i="1"/>
  <c r="B3450" i="1"/>
  <c r="A3451" i="1"/>
  <c r="B3451" i="1"/>
  <c r="A3452" i="1"/>
  <c r="B3452" i="1"/>
  <c r="A3453" i="1"/>
  <c r="B3453" i="1"/>
  <c r="A3454" i="1"/>
  <c r="B3454" i="1"/>
  <c r="A3455" i="1"/>
  <c r="B3455" i="1"/>
  <c r="A3456" i="1"/>
  <c r="B3456" i="1"/>
  <c r="A3457" i="1"/>
  <c r="B3457" i="1"/>
  <c r="A3458" i="1"/>
  <c r="B3458" i="1"/>
  <c r="A3459" i="1"/>
  <c r="B3459" i="1"/>
  <c r="A3460" i="1"/>
  <c r="B3460" i="1"/>
  <c r="A3461" i="1"/>
  <c r="B3461" i="1"/>
  <c r="A3462" i="1"/>
  <c r="B3462" i="1"/>
  <c r="A3463" i="1"/>
  <c r="B3463" i="1"/>
  <c r="A3464" i="1"/>
  <c r="B3464" i="1"/>
  <c r="A3465" i="1"/>
  <c r="B3465" i="1"/>
  <c r="A3466" i="1"/>
  <c r="B3466" i="1"/>
  <c r="A3467" i="1"/>
  <c r="B3467" i="1"/>
  <c r="A3468" i="1"/>
  <c r="B3468" i="1"/>
  <c r="A3469" i="1"/>
  <c r="B3469" i="1"/>
  <c r="A3470" i="1"/>
  <c r="B3470" i="1"/>
  <c r="A3471" i="1"/>
  <c r="B3471" i="1"/>
  <c r="A3472" i="1"/>
  <c r="B3472" i="1"/>
  <c r="A3473" i="1"/>
  <c r="B3473" i="1"/>
  <c r="A3474" i="1"/>
  <c r="B3474" i="1"/>
  <c r="A3475" i="1"/>
  <c r="B3475" i="1"/>
  <c r="A3476" i="1"/>
  <c r="B3476" i="1"/>
  <c r="A3477" i="1"/>
  <c r="B3477" i="1"/>
  <c r="A3478" i="1"/>
  <c r="B3478" i="1"/>
  <c r="A3479" i="1"/>
  <c r="B3479" i="1"/>
  <c r="A3480" i="1"/>
  <c r="B3480" i="1"/>
  <c r="A3481" i="1"/>
  <c r="B3481" i="1"/>
  <c r="A3482" i="1"/>
  <c r="B3482" i="1"/>
  <c r="A3483" i="1"/>
  <c r="B3483" i="1"/>
  <c r="A3484" i="1"/>
  <c r="B3484" i="1"/>
  <c r="A3485" i="1"/>
  <c r="B3485" i="1"/>
  <c r="A3486" i="1"/>
  <c r="B3486" i="1"/>
  <c r="A3487" i="1"/>
  <c r="B3487" i="1"/>
  <c r="A3488" i="1"/>
  <c r="B3488" i="1"/>
  <c r="A3489" i="1"/>
  <c r="B3489" i="1"/>
  <c r="A3490" i="1"/>
  <c r="B3490" i="1"/>
  <c r="A3491" i="1"/>
  <c r="B3491" i="1"/>
  <c r="A3492" i="1"/>
  <c r="B3492" i="1"/>
  <c r="A3493" i="1"/>
  <c r="B3493" i="1"/>
  <c r="A3494" i="1"/>
  <c r="B3494" i="1"/>
  <c r="A3495" i="1"/>
  <c r="B3495" i="1"/>
  <c r="A3496" i="1"/>
  <c r="B3496" i="1"/>
  <c r="A3497" i="1"/>
  <c r="B3497" i="1"/>
  <c r="A3498" i="1"/>
  <c r="B3498" i="1"/>
  <c r="A3499" i="1"/>
  <c r="B3499" i="1"/>
  <c r="A3500" i="1"/>
  <c r="B3500" i="1"/>
  <c r="A3501" i="1"/>
  <c r="B3501" i="1"/>
  <c r="A3502" i="1"/>
  <c r="B3502" i="1"/>
  <c r="A3503" i="1"/>
  <c r="B3503" i="1"/>
  <c r="A3504" i="1"/>
  <c r="B3504" i="1"/>
  <c r="A3505" i="1"/>
  <c r="B3505" i="1"/>
  <c r="A3506" i="1"/>
  <c r="B3506" i="1"/>
  <c r="A3507" i="1"/>
  <c r="B3507" i="1"/>
  <c r="A3508" i="1"/>
  <c r="B3508" i="1"/>
  <c r="A3509" i="1"/>
  <c r="B3509" i="1"/>
  <c r="A3510" i="1"/>
  <c r="B3510" i="1"/>
  <c r="A3511" i="1"/>
  <c r="B3511" i="1"/>
  <c r="A3512" i="1"/>
  <c r="B3512" i="1"/>
  <c r="A3513" i="1"/>
  <c r="B3513" i="1"/>
  <c r="A3514" i="1"/>
  <c r="B3514" i="1"/>
  <c r="A3515" i="1"/>
  <c r="B3515" i="1"/>
  <c r="A3516" i="1"/>
  <c r="B3516" i="1"/>
  <c r="A3517" i="1"/>
  <c r="B3517" i="1"/>
  <c r="A3518" i="1"/>
  <c r="B3518" i="1"/>
  <c r="A3519" i="1"/>
  <c r="B3519" i="1"/>
  <c r="A3520" i="1"/>
  <c r="B3520" i="1"/>
  <c r="A3521" i="1"/>
  <c r="B3521" i="1"/>
  <c r="A3522" i="1"/>
  <c r="B3522" i="1"/>
  <c r="A3523" i="1"/>
  <c r="B3523" i="1"/>
  <c r="A3524" i="1"/>
  <c r="B3524" i="1"/>
  <c r="A3525" i="1"/>
  <c r="B3525" i="1"/>
  <c r="A3526" i="1"/>
  <c r="B3526" i="1"/>
  <c r="A3527" i="1"/>
  <c r="B3527" i="1"/>
  <c r="A3528" i="1"/>
  <c r="B3528" i="1"/>
  <c r="A3529" i="1"/>
  <c r="B3529" i="1"/>
  <c r="A3530" i="1"/>
  <c r="B3530" i="1"/>
  <c r="A3531" i="1"/>
  <c r="B3531" i="1"/>
  <c r="A3532" i="1"/>
  <c r="B3532" i="1"/>
  <c r="A3533" i="1"/>
  <c r="B3533" i="1"/>
  <c r="A3534" i="1"/>
  <c r="B3534" i="1"/>
  <c r="A3535" i="1"/>
  <c r="B3535" i="1"/>
  <c r="A3536" i="1"/>
  <c r="B3536" i="1"/>
  <c r="A3537" i="1"/>
  <c r="B3537" i="1"/>
  <c r="A3538" i="1"/>
  <c r="B3538" i="1"/>
  <c r="A3539" i="1"/>
  <c r="B3539" i="1"/>
  <c r="A3540" i="1"/>
  <c r="B3540" i="1"/>
  <c r="A3541" i="1"/>
  <c r="B3541" i="1"/>
  <c r="A3542" i="1"/>
  <c r="B3542" i="1"/>
  <c r="A3543" i="1"/>
  <c r="B3543" i="1"/>
  <c r="A3544" i="1"/>
  <c r="B3544" i="1"/>
  <c r="A3545" i="1"/>
  <c r="B3545" i="1"/>
  <c r="A3546" i="1"/>
  <c r="B3546" i="1"/>
  <c r="A3547" i="1"/>
  <c r="B3547" i="1"/>
  <c r="A3548" i="1"/>
  <c r="B3548" i="1"/>
  <c r="A3549" i="1"/>
  <c r="B3549" i="1"/>
  <c r="A3550" i="1"/>
  <c r="B3550" i="1"/>
  <c r="A3551" i="1"/>
  <c r="B3551" i="1"/>
  <c r="A3552" i="1"/>
  <c r="B3552" i="1"/>
  <c r="A3553" i="1"/>
  <c r="B3553" i="1"/>
  <c r="A3554" i="1"/>
  <c r="B3554" i="1"/>
  <c r="A3555" i="1"/>
  <c r="B3555" i="1"/>
  <c r="A3556" i="1"/>
  <c r="B3556" i="1"/>
  <c r="A3557" i="1"/>
  <c r="B3557" i="1"/>
  <c r="A3558" i="1"/>
  <c r="B3558" i="1"/>
  <c r="A3559" i="1"/>
  <c r="B3559" i="1"/>
  <c r="A3560" i="1"/>
  <c r="B3560" i="1"/>
  <c r="A3561" i="1"/>
  <c r="B3561" i="1"/>
  <c r="A3562" i="1"/>
  <c r="B3562" i="1"/>
  <c r="A3563" i="1"/>
  <c r="B3563" i="1"/>
  <c r="A3564" i="1"/>
  <c r="B3564" i="1"/>
  <c r="A3565" i="1"/>
  <c r="B3565" i="1"/>
  <c r="A3566" i="1"/>
  <c r="B3566" i="1"/>
  <c r="A3567" i="1"/>
  <c r="B3567" i="1"/>
  <c r="A3568" i="1"/>
  <c r="B3568" i="1"/>
  <c r="A3569" i="1"/>
  <c r="B3569" i="1"/>
  <c r="A3570" i="1"/>
  <c r="B3570" i="1"/>
  <c r="A3571" i="1"/>
  <c r="B3571" i="1"/>
  <c r="A3572" i="1"/>
  <c r="B3572" i="1"/>
  <c r="A3573" i="1"/>
  <c r="B3573" i="1"/>
  <c r="A3574" i="1"/>
  <c r="B3574" i="1"/>
  <c r="A3575" i="1"/>
  <c r="B3575" i="1"/>
  <c r="A3576" i="1"/>
  <c r="B3576" i="1"/>
  <c r="A3577" i="1"/>
  <c r="B3577" i="1"/>
  <c r="A3578" i="1"/>
  <c r="B3578" i="1"/>
  <c r="A3579" i="1"/>
  <c r="B3579" i="1"/>
  <c r="A3580" i="1"/>
  <c r="B3580" i="1"/>
  <c r="A3581" i="1"/>
  <c r="B3581" i="1"/>
  <c r="A3582" i="1"/>
  <c r="B3582" i="1"/>
  <c r="A3583" i="1"/>
  <c r="B3583" i="1"/>
  <c r="A3584" i="1"/>
  <c r="B3584" i="1"/>
  <c r="A3585" i="1"/>
  <c r="B3585" i="1"/>
  <c r="A3586" i="1"/>
  <c r="B3586" i="1"/>
  <c r="A3587" i="1"/>
  <c r="B3587" i="1"/>
  <c r="A3588" i="1"/>
  <c r="B3588" i="1"/>
  <c r="A3589" i="1"/>
  <c r="B3589" i="1"/>
  <c r="A3590" i="1"/>
  <c r="B3590" i="1"/>
  <c r="A3591" i="1"/>
  <c r="B3591" i="1"/>
  <c r="A3592" i="1"/>
  <c r="B3592" i="1"/>
  <c r="A3593" i="1"/>
  <c r="B3593" i="1"/>
  <c r="A3594" i="1"/>
  <c r="B3594" i="1"/>
  <c r="A3595" i="1"/>
  <c r="B3595" i="1"/>
  <c r="A3596" i="1"/>
  <c r="B3596" i="1"/>
  <c r="A3597" i="1"/>
  <c r="B3597" i="1"/>
  <c r="A3598" i="1"/>
  <c r="B3598" i="1"/>
  <c r="A3599" i="1"/>
  <c r="B3599" i="1"/>
  <c r="A3600" i="1"/>
  <c r="B3600" i="1"/>
  <c r="A3601" i="1"/>
  <c r="B3601" i="1"/>
  <c r="A3602" i="1"/>
  <c r="B3602" i="1"/>
  <c r="A3603" i="1"/>
  <c r="B3603" i="1"/>
  <c r="A3604" i="1"/>
  <c r="B3604" i="1"/>
  <c r="A3605" i="1"/>
  <c r="B3605" i="1"/>
  <c r="A3606" i="1"/>
  <c r="B3606" i="1"/>
  <c r="A3607" i="1"/>
  <c r="B3607" i="1"/>
  <c r="A3608" i="1"/>
  <c r="B3608" i="1"/>
  <c r="A3609" i="1"/>
  <c r="B3609" i="1"/>
  <c r="A3610" i="1"/>
  <c r="B3610" i="1"/>
  <c r="A3611" i="1"/>
  <c r="B3611" i="1"/>
  <c r="A3612" i="1"/>
  <c r="B3612" i="1"/>
  <c r="A3613" i="1"/>
  <c r="B3613" i="1"/>
  <c r="A3614" i="1"/>
  <c r="B3614" i="1"/>
  <c r="A3615" i="1"/>
  <c r="B3615" i="1"/>
  <c r="A3616" i="1"/>
  <c r="B3616" i="1"/>
  <c r="A3617" i="1"/>
  <c r="B3617" i="1"/>
  <c r="A3618" i="1"/>
  <c r="B3618" i="1"/>
  <c r="A3619" i="1"/>
  <c r="B3619" i="1"/>
  <c r="A3620" i="1"/>
  <c r="B3620" i="1"/>
  <c r="A3621" i="1"/>
  <c r="B3621" i="1"/>
  <c r="A3622" i="1"/>
  <c r="B3622" i="1"/>
  <c r="A3623" i="1"/>
  <c r="B3623" i="1"/>
  <c r="A3624" i="1"/>
  <c r="B3624" i="1"/>
  <c r="A3625" i="1"/>
  <c r="B3625" i="1"/>
  <c r="A3626" i="1"/>
  <c r="B3626" i="1"/>
  <c r="A3627" i="1"/>
  <c r="B3627" i="1"/>
  <c r="A3628" i="1"/>
  <c r="B3628" i="1"/>
  <c r="A3629" i="1"/>
  <c r="B3629" i="1"/>
  <c r="A3630" i="1"/>
  <c r="B3630" i="1"/>
  <c r="A3631" i="1"/>
  <c r="B3631" i="1"/>
  <c r="A3632" i="1"/>
  <c r="B3632" i="1"/>
  <c r="A3633" i="1"/>
  <c r="B3633" i="1"/>
  <c r="A3634" i="1"/>
  <c r="B3634" i="1"/>
  <c r="A3635" i="1"/>
  <c r="B3635" i="1"/>
  <c r="A3636" i="1"/>
  <c r="B3636" i="1"/>
  <c r="A3637" i="1"/>
  <c r="B3637" i="1"/>
  <c r="A3638" i="1"/>
  <c r="B3638" i="1"/>
  <c r="A3639" i="1"/>
  <c r="B3639" i="1"/>
  <c r="A3640" i="1"/>
  <c r="B3640" i="1"/>
  <c r="A3641" i="1"/>
  <c r="B3641" i="1"/>
  <c r="A3642" i="1"/>
  <c r="B3642" i="1"/>
  <c r="A3643" i="1"/>
  <c r="B3643" i="1"/>
  <c r="A3644" i="1"/>
  <c r="B3644" i="1"/>
  <c r="A3645" i="1"/>
  <c r="B3645" i="1"/>
  <c r="A3646" i="1"/>
  <c r="B3646" i="1"/>
  <c r="A3647" i="1"/>
  <c r="B3647" i="1"/>
  <c r="A3648" i="1"/>
  <c r="B3648" i="1"/>
  <c r="A3649" i="1"/>
  <c r="B3649" i="1"/>
  <c r="A3650" i="1"/>
  <c r="B3650" i="1"/>
  <c r="A3651" i="1"/>
  <c r="B3651" i="1"/>
  <c r="A3652" i="1"/>
  <c r="B3652" i="1"/>
  <c r="A3653" i="1"/>
  <c r="B3653" i="1"/>
  <c r="A3654" i="1"/>
  <c r="B3654" i="1"/>
  <c r="A3655" i="1"/>
  <c r="B3655" i="1"/>
  <c r="A3656" i="1"/>
  <c r="B3656" i="1"/>
  <c r="A3657" i="1"/>
  <c r="B3657" i="1"/>
  <c r="A3658" i="1"/>
  <c r="B3658" i="1"/>
  <c r="A3659" i="1"/>
  <c r="B3659" i="1"/>
  <c r="A3660" i="1"/>
  <c r="B3660" i="1"/>
  <c r="A3661" i="1"/>
  <c r="B3661" i="1"/>
  <c r="A3662" i="1"/>
  <c r="B3662" i="1"/>
  <c r="A3663" i="1"/>
  <c r="B3663" i="1"/>
  <c r="A3664" i="1"/>
  <c r="B3664" i="1"/>
  <c r="A3665" i="1"/>
  <c r="B3665" i="1"/>
  <c r="A3666" i="1"/>
  <c r="B3666" i="1"/>
  <c r="A3667" i="1"/>
  <c r="B3667" i="1"/>
  <c r="A3668" i="1"/>
  <c r="B3668" i="1"/>
  <c r="A3669" i="1"/>
  <c r="B3669" i="1"/>
  <c r="A3670" i="1"/>
  <c r="B3670" i="1"/>
  <c r="A3671" i="1"/>
  <c r="B3671" i="1"/>
  <c r="A3672" i="1"/>
  <c r="B3672" i="1"/>
  <c r="A3673" i="1"/>
  <c r="B3673" i="1"/>
  <c r="A3674" i="1"/>
  <c r="B3674" i="1"/>
  <c r="A3675" i="1"/>
  <c r="B3675" i="1"/>
  <c r="A3676" i="1"/>
  <c r="B3676" i="1"/>
  <c r="A3677" i="1"/>
  <c r="B3677" i="1"/>
  <c r="A3678" i="1"/>
  <c r="B3678" i="1"/>
  <c r="A3679" i="1"/>
  <c r="B3679" i="1"/>
  <c r="A3680" i="1"/>
  <c r="B3680" i="1"/>
  <c r="A3681" i="1"/>
  <c r="B3681" i="1"/>
  <c r="A3682" i="1"/>
  <c r="B3682" i="1"/>
  <c r="A3683" i="1"/>
  <c r="B3683" i="1"/>
  <c r="A3684" i="1"/>
  <c r="B3684" i="1"/>
  <c r="A3685" i="1"/>
  <c r="B3685" i="1"/>
  <c r="A3686" i="1"/>
  <c r="B3686" i="1"/>
  <c r="A3687" i="1"/>
  <c r="B3687" i="1"/>
  <c r="A3688" i="1"/>
  <c r="B3688" i="1"/>
  <c r="A3689" i="1"/>
  <c r="B3689" i="1"/>
  <c r="A3690" i="1"/>
  <c r="B3690" i="1"/>
  <c r="A3691" i="1"/>
  <c r="B3691" i="1"/>
  <c r="A3692" i="1"/>
  <c r="B3692" i="1"/>
  <c r="A3693" i="1"/>
  <c r="B3693" i="1"/>
  <c r="A3694" i="1"/>
  <c r="B3694" i="1"/>
  <c r="A3695" i="1"/>
  <c r="B3695" i="1"/>
  <c r="A3696" i="1"/>
  <c r="B3696" i="1"/>
  <c r="A3697" i="1"/>
  <c r="B3697" i="1"/>
  <c r="A3698" i="1"/>
  <c r="B3698" i="1"/>
  <c r="A3699" i="1"/>
  <c r="B3699" i="1"/>
  <c r="A3700" i="1"/>
  <c r="B3700" i="1"/>
  <c r="A3701" i="1"/>
  <c r="B3701" i="1"/>
  <c r="A3702" i="1"/>
  <c r="B3702" i="1"/>
  <c r="A3703" i="1"/>
  <c r="B3703" i="1"/>
  <c r="A3704" i="1"/>
  <c r="B3704" i="1"/>
  <c r="A3705" i="1"/>
  <c r="B3705" i="1"/>
  <c r="A3706" i="1"/>
  <c r="B3706" i="1"/>
  <c r="A3707" i="1"/>
  <c r="B3707" i="1"/>
  <c r="A3708" i="1"/>
  <c r="B3708" i="1"/>
  <c r="A3709" i="1"/>
  <c r="B3709" i="1"/>
  <c r="A3710" i="1"/>
  <c r="B3710" i="1"/>
  <c r="A3711" i="1"/>
  <c r="B3711" i="1"/>
  <c r="A3712" i="1"/>
  <c r="B3712" i="1"/>
  <c r="A3713" i="1"/>
  <c r="B3713" i="1"/>
  <c r="A3714" i="1"/>
  <c r="B3714" i="1"/>
  <c r="A3715" i="1"/>
  <c r="B3715" i="1"/>
  <c r="A3716" i="1"/>
  <c r="B3716" i="1"/>
  <c r="A3717" i="1"/>
  <c r="B3717" i="1"/>
  <c r="A3718" i="1"/>
  <c r="B3718" i="1"/>
  <c r="A3719" i="1"/>
  <c r="B3719" i="1"/>
  <c r="A3720" i="1"/>
  <c r="B3720" i="1"/>
  <c r="A3721" i="1"/>
  <c r="B3721" i="1"/>
  <c r="A3722" i="1"/>
  <c r="B3722" i="1"/>
  <c r="A3723" i="1"/>
  <c r="B3723" i="1"/>
  <c r="A3724" i="1"/>
  <c r="B3724" i="1"/>
  <c r="A3725" i="1"/>
  <c r="B3725" i="1"/>
  <c r="A3726" i="1"/>
  <c r="B3726" i="1"/>
  <c r="A3727" i="1"/>
  <c r="B3727" i="1"/>
  <c r="A3728" i="1"/>
  <c r="B3728" i="1"/>
  <c r="A3729" i="1"/>
  <c r="B3729" i="1"/>
  <c r="A3730" i="1"/>
  <c r="B3730" i="1"/>
  <c r="A3731" i="1"/>
  <c r="B3731" i="1"/>
  <c r="A3732" i="1"/>
  <c r="B3732" i="1"/>
  <c r="A3733" i="1"/>
  <c r="B3733" i="1"/>
  <c r="A3734" i="1"/>
  <c r="B3734" i="1"/>
  <c r="A3735" i="1"/>
  <c r="B3735" i="1"/>
  <c r="A3736" i="1"/>
  <c r="B3736" i="1"/>
  <c r="A3737" i="1"/>
  <c r="B3737" i="1"/>
  <c r="A3738" i="1"/>
  <c r="B3738" i="1"/>
  <c r="A3739" i="1"/>
  <c r="B3739" i="1"/>
  <c r="A3740" i="1"/>
  <c r="B3740" i="1"/>
  <c r="A3741" i="1"/>
  <c r="B3741" i="1"/>
  <c r="A3742" i="1"/>
  <c r="B3742" i="1"/>
  <c r="A3743" i="1"/>
  <c r="B3743" i="1"/>
  <c r="A3744" i="1"/>
  <c r="B3744" i="1"/>
  <c r="A3745" i="1"/>
  <c r="B3745" i="1"/>
  <c r="A3746" i="1"/>
  <c r="B3746" i="1"/>
  <c r="A3747" i="1"/>
  <c r="B3747" i="1"/>
  <c r="A3748" i="1"/>
  <c r="B3748" i="1"/>
  <c r="A3749" i="1"/>
  <c r="B3749" i="1"/>
  <c r="A3750" i="1"/>
  <c r="B3750" i="1"/>
  <c r="A3751" i="1"/>
  <c r="B3751" i="1"/>
  <c r="A3752" i="1"/>
  <c r="B3752" i="1"/>
  <c r="A3753" i="1"/>
  <c r="B3753" i="1"/>
  <c r="A3754" i="1"/>
  <c r="B3754" i="1"/>
  <c r="A3755" i="1"/>
  <c r="B3755" i="1"/>
  <c r="A3756" i="1"/>
  <c r="B3756" i="1"/>
  <c r="A3757" i="1"/>
  <c r="B3757" i="1"/>
  <c r="A3758" i="1"/>
  <c r="B3758" i="1"/>
  <c r="A3759" i="1"/>
  <c r="B3759" i="1"/>
  <c r="A3760" i="1"/>
  <c r="B3760" i="1"/>
  <c r="A3761" i="1"/>
  <c r="B3761" i="1"/>
  <c r="A3762" i="1"/>
  <c r="B3762" i="1"/>
  <c r="A3763" i="1"/>
  <c r="B3763" i="1"/>
  <c r="A3764" i="1"/>
  <c r="B3764" i="1"/>
  <c r="A3765" i="1"/>
  <c r="B3765" i="1"/>
  <c r="A3766" i="1"/>
  <c r="B3766" i="1"/>
  <c r="A3767" i="1"/>
  <c r="B3767" i="1"/>
  <c r="A3768" i="1"/>
  <c r="B3768" i="1"/>
  <c r="A3769" i="1"/>
  <c r="B3769" i="1"/>
  <c r="A3770" i="1"/>
  <c r="B3770" i="1"/>
  <c r="A3771" i="1"/>
  <c r="B3771" i="1"/>
  <c r="A3772" i="1"/>
  <c r="B3772" i="1"/>
  <c r="A3773" i="1"/>
  <c r="B3773" i="1"/>
  <c r="A3774" i="1"/>
  <c r="B3774" i="1"/>
  <c r="A3775" i="1"/>
  <c r="B3775" i="1"/>
  <c r="A3776" i="1"/>
  <c r="B3776" i="1"/>
  <c r="A3777" i="1"/>
  <c r="B3777" i="1"/>
  <c r="A3778" i="1"/>
  <c r="B3778" i="1"/>
  <c r="A3779" i="1"/>
  <c r="B3779" i="1"/>
  <c r="A3780" i="1"/>
  <c r="B3780" i="1"/>
  <c r="A3781" i="1"/>
  <c r="B3781" i="1"/>
  <c r="A3782" i="1"/>
  <c r="B3782" i="1"/>
  <c r="A3783" i="1"/>
  <c r="B3783" i="1"/>
  <c r="A3784" i="1"/>
  <c r="B3784" i="1"/>
  <c r="A3785" i="1"/>
  <c r="B3785" i="1"/>
  <c r="A3786" i="1"/>
  <c r="B3786" i="1"/>
  <c r="A3787" i="1"/>
  <c r="B3787" i="1"/>
  <c r="A3788" i="1"/>
  <c r="B3788" i="1"/>
  <c r="A3789" i="1"/>
  <c r="B3789" i="1"/>
  <c r="A3790" i="1"/>
  <c r="B3790" i="1"/>
  <c r="A3791" i="1"/>
  <c r="B3791" i="1"/>
  <c r="A3792" i="1"/>
  <c r="B3792" i="1"/>
  <c r="A3793" i="1"/>
  <c r="B3793" i="1"/>
  <c r="A3794" i="1"/>
  <c r="B3794" i="1"/>
  <c r="A3795" i="1"/>
  <c r="B3795" i="1"/>
  <c r="A3796" i="1"/>
  <c r="B3796" i="1"/>
  <c r="A3797" i="1"/>
  <c r="B3797" i="1"/>
  <c r="A3798" i="1"/>
  <c r="B3798" i="1"/>
  <c r="A3799" i="1"/>
  <c r="B3799" i="1"/>
  <c r="A3800" i="1"/>
  <c r="B3800" i="1"/>
  <c r="A3801" i="1"/>
  <c r="B3801" i="1"/>
  <c r="A3802" i="1"/>
  <c r="B3802" i="1"/>
  <c r="A3803" i="1"/>
  <c r="B3803" i="1"/>
  <c r="A3804" i="1"/>
  <c r="B3804" i="1"/>
  <c r="A3805" i="1"/>
  <c r="B3805" i="1"/>
  <c r="A3806" i="1"/>
  <c r="B3806" i="1"/>
  <c r="A3807" i="1"/>
  <c r="B3807" i="1"/>
  <c r="A3808" i="1"/>
  <c r="B3808" i="1"/>
  <c r="A3809" i="1"/>
  <c r="B3809" i="1"/>
  <c r="A3810" i="1"/>
  <c r="B3810" i="1"/>
  <c r="A3811" i="1"/>
  <c r="B3811" i="1"/>
  <c r="A3812" i="1"/>
  <c r="B3812" i="1"/>
  <c r="A3813" i="1"/>
  <c r="B3813" i="1"/>
  <c r="A3814" i="1"/>
  <c r="B3814" i="1"/>
  <c r="A3815" i="1"/>
  <c r="B3815" i="1"/>
  <c r="A3816" i="1"/>
  <c r="B3816" i="1"/>
  <c r="A3817" i="1"/>
  <c r="B3817" i="1"/>
  <c r="A3818" i="1"/>
  <c r="B3818" i="1"/>
  <c r="A3819" i="1"/>
  <c r="B3819" i="1"/>
  <c r="A3820" i="1"/>
  <c r="B3820" i="1"/>
  <c r="A3821" i="1"/>
  <c r="B3821" i="1"/>
  <c r="A3822" i="1"/>
  <c r="B3822" i="1"/>
  <c r="A3823" i="1"/>
  <c r="B3823" i="1"/>
  <c r="A3824" i="1"/>
  <c r="B3824" i="1"/>
  <c r="A3825" i="1"/>
  <c r="B3825" i="1"/>
  <c r="A3826" i="1"/>
  <c r="B3826" i="1"/>
  <c r="A3827" i="1"/>
  <c r="B3827" i="1"/>
  <c r="A3828" i="1"/>
  <c r="B3828" i="1"/>
  <c r="A3829" i="1"/>
  <c r="B3829" i="1"/>
  <c r="A3830" i="1"/>
  <c r="B3830" i="1"/>
  <c r="A3831" i="1"/>
  <c r="B3831" i="1"/>
  <c r="A3832" i="1"/>
  <c r="B3832" i="1"/>
  <c r="A3833" i="1"/>
  <c r="B3833" i="1"/>
  <c r="A3834" i="1"/>
  <c r="B3834" i="1"/>
  <c r="A3835" i="1"/>
  <c r="B3835" i="1"/>
  <c r="A3836" i="1"/>
  <c r="B3836" i="1"/>
  <c r="A3837" i="1"/>
  <c r="B3837" i="1"/>
  <c r="A3838" i="1"/>
  <c r="B3838" i="1"/>
  <c r="A3839" i="1"/>
  <c r="B3839" i="1"/>
  <c r="A3840" i="1"/>
  <c r="B3840" i="1"/>
  <c r="A3841" i="1"/>
  <c r="B3841" i="1"/>
  <c r="A3842" i="1"/>
  <c r="B3842" i="1"/>
  <c r="A3843" i="1"/>
  <c r="B3843" i="1"/>
  <c r="A3844" i="1"/>
  <c r="B3844" i="1"/>
  <c r="A3845" i="1"/>
  <c r="B3845" i="1"/>
  <c r="A3846" i="1"/>
  <c r="B3846" i="1"/>
  <c r="A3847" i="1"/>
  <c r="B3847" i="1"/>
  <c r="A3848" i="1"/>
  <c r="B3848" i="1"/>
  <c r="A3849" i="1"/>
  <c r="B3849" i="1"/>
  <c r="A3850" i="1"/>
  <c r="B3850" i="1"/>
  <c r="A3851" i="1"/>
  <c r="B3851" i="1"/>
  <c r="A3852" i="1"/>
  <c r="B3852" i="1"/>
  <c r="A3853" i="1"/>
  <c r="B3853" i="1"/>
  <c r="A3854" i="1"/>
  <c r="B3854" i="1"/>
  <c r="A3855" i="1"/>
  <c r="B3855" i="1"/>
  <c r="A3856" i="1"/>
  <c r="B3856" i="1"/>
  <c r="A3857" i="1"/>
  <c r="B3857" i="1"/>
  <c r="A3858" i="1"/>
  <c r="B3858" i="1"/>
  <c r="A3859" i="1"/>
  <c r="B3859" i="1"/>
  <c r="A3860" i="1"/>
  <c r="B3860" i="1"/>
  <c r="A3861" i="1"/>
  <c r="B3861" i="1"/>
  <c r="A3862" i="1"/>
  <c r="B3862" i="1"/>
  <c r="A3863" i="1"/>
  <c r="B3863" i="1"/>
  <c r="A3864" i="1"/>
  <c r="B3864" i="1"/>
  <c r="A3865" i="1"/>
  <c r="B3865" i="1"/>
  <c r="A3866" i="1"/>
  <c r="B3866" i="1"/>
  <c r="A3867" i="1"/>
  <c r="B3867" i="1"/>
  <c r="A3868" i="1"/>
  <c r="B3868" i="1"/>
  <c r="A3869" i="1"/>
  <c r="B3869" i="1"/>
  <c r="A3870" i="1"/>
  <c r="B3870" i="1"/>
  <c r="A3871" i="1"/>
  <c r="B3871" i="1"/>
  <c r="A3872" i="1"/>
  <c r="B3872" i="1"/>
  <c r="A3873" i="1"/>
  <c r="B3873" i="1"/>
  <c r="A3874" i="1"/>
  <c r="B3874" i="1"/>
  <c r="A3875" i="1"/>
  <c r="B3875" i="1"/>
  <c r="A3876" i="1"/>
  <c r="B3876" i="1"/>
  <c r="A3877" i="1"/>
  <c r="B3877" i="1"/>
  <c r="A3878" i="1"/>
  <c r="B3878" i="1"/>
  <c r="A3879" i="1"/>
  <c r="B3879" i="1"/>
  <c r="A3880" i="1"/>
  <c r="B3880" i="1"/>
  <c r="A3881" i="1"/>
  <c r="B3881" i="1"/>
  <c r="A3882" i="1"/>
  <c r="B3882" i="1"/>
  <c r="A3883" i="1"/>
  <c r="B3883" i="1"/>
  <c r="A3884" i="1"/>
  <c r="B3884" i="1"/>
  <c r="A3885" i="1"/>
  <c r="B3885" i="1"/>
  <c r="A3886" i="1"/>
  <c r="B3886" i="1"/>
  <c r="A3887" i="1"/>
  <c r="B3887" i="1"/>
  <c r="A3888" i="1"/>
  <c r="B3888" i="1"/>
  <c r="A3889" i="1"/>
  <c r="B3889" i="1"/>
  <c r="A3890" i="1"/>
  <c r="B3890" i="1"/>
  <c r="A3891" i="1"/>
  <c r="B3891" i="1"/>
  <c r="A3892" i="1"/>
  <c r="B3892" i="1"/>
  <c r="A3893" i="1"/>
  <c r="B3893" i="1"/>
  <c r="A3894" i="1"/>
  <c r="B3894" i="1"/>
  <c r="A3895" i="1"/>
  <c r="B3895" i="1"/>
  <c r="A3896" i="1"/>
  <c r="B3896" i="1"/>
  <c r="A3897" i="1"/>
  <c r="B3897" i="1"/>
  <c r="A3898" i="1"/>
  <c r="B3898" i="1"/>
  <c r="A3899" i="1"/>
  <c r="B3899" i="1"/>
  <c r="A3900" i="1"/>
  <c r="B3900" i="1"/>
  <c r="A3901" i="1"/>
  <c r="B3901" i="1"/>
  <c r="A3902" i="1"/>
  <c r="B3902" i="1"/>
  <c r="A3903" i="1"/>
  <c r="B3903" i="1"/>
  <c r="A3904" i="1"/>
  <c r="B3904" i="1"/>
  <c r="A3905" i="1"/>
  <c r="B3905" i="1"/>
  <c r="A3906" i="1"/>
  <c r="B3906" i="1"/>
  <c r="A3907" i="1"/>
  <c r="B3907" i="1"/>
  <c r="A3908" i="1"/>
  <c r="B3908" i="1"/>
  <c r="A3909" i="1"/>
  <c r="B3909" i="1"/>
  <c r="A3910" i="1"/>
  <c r="B3910" i="1"/>
  <c r="A3911" i="1"/>
  <c r="B3911" i="1"/>
  <c r="A3912" i="1"/>
  <c r="B3912" i="1"/>
  <c r="A3913" i="1"/>
  <c r="B3913" i="1"/>
  <c r="A3914" i="1"/>
  <c r="B3914" i="1"/>
  <c r="A3915" i="1"/>
  <c r="B3915" i="1"/>
  <c r="A3916" i="1"/>
  <c r="B3916" i="1"/>
  <c r="A3917" i="1"/>
  <c r="B3917" i="1"/>
  <c r="A3918" i="1"/>
  <c r="B3918" i="1"/>
  <c r="A3919" i="1"/>
  <c r="B3919" i="1"/>
  <c r="A3920" i="1"/>
  <c r="B3920" i="1"/>
  <c r="A3921" i="1"/>
  <c r="B3921" i="1"/>
  <c r="A3922" i="1"/>
  <c r="B3922" i="1"/>
  <c r="A3923" i="1"/>
  <c r="B3923" i="1"/>
  <c r="A3924" i="1"/>
  <c r="B3924" i="1"/>
  <c r="A3925" i="1"/>
  <c r="B3925" i="1"/>
  <c r="A3926" i="1"/>
  <c r="B3926" i="1"/>
  <c r="A3927" i="1"/>
  <c r="B3927" i="1"/>
  <c r="A3928" i="1"/>
  <c r="B3928" i="1"/>
  <c r="A3929" i="1"/>
  <c r="B3929" i="1"/>
  <c r="A3930" i="1"/>
  <c r="B3930" i="1"/>
  <c r="A3931" i="1"/>
  <c r="B3931" i="1"/>
  <c r="A3932" i="1"/>
  <c r="B3932" i="1"/>
  <c r="A3933" i="1"/>
  <c r="B3933" i="1"/>
  <c r="A3934" i="1"/>
  <c r="B3934" i="1"/>
  <c r="A3935" i="1"/>
  <c r="B3935" i="1"/>
  <c r="A3936" i="1"/>
  <c r="B3936" i="1"/>
  <c r="A3937" i="1"/>
  <c r="B3937" i="1"/>
  <c r="A3938" i="1"/>
  <c r="B3938" i="1"/>
  <c r="A3939" i="1"/>
  <c r="B3939" i="1"/>
  <c r="A3940" i="1"/>
  <c r="B3940" i="1"/>
  <c r="A3941" i="1"/>
  <c r="B3941" i="1"/>
  <c r="A3942" i="1"/>
  <c r="B3942" i="1"/>
  <c r="A3943" i="1"/>
  <c r="B3943" i="1"/>
  <c r="A3944" i="1"/>
  <c r="B3944" i="1"/>
  <c r="A3945" i="1"/>
  <c r="B3945" i="1"/>
  <c r="A3946" i="1"/>
  <c r="B3946" i="1"/>
  <c r="A3947" i="1"/>
  <c r="B3947" i="1"/>
  <c r="A3948" i="1"/>
  <c r="B3948" i="1"/>
  <c r="A3949" i="1"/>
  <c r="B3949" i="1"/>
  <c r="A3950" i="1"/>
  <c r="B3950" i="1"/>
  <c r="A3951" i="1"/>
  <c r="B3951" i="1"/>
  <c r="A3952" i="1"/>
  <c r="B3952" i="1"/>
  <c r="A3953" i="1"/>
  <c r="B3953" i="1"/>
  <c r="A3954" i="1"/>
  <c r="B3954" i="1"/>
  <c r="A3955" i="1"/>
  <c r="B3955" i="1"/>
  <c r="A3956" i="1"/>
  <c r="B3956" i="1"/>
  <c r="A3957" i="1"/>
  <c r="B3957" i="1"/>
  <c r="A3958" i="1"/>
  <c r="B3958" i="1"/>
  <c r="A3959" i="1"/>
  <c r="B3959" i="1"/>
  <c r="A3960" i="1"/>
  <c r="B3960" i="1"/>
  <c r="A3961" i="1"/>
  <c r="B3961" i="1"/>
  <c r="A3962" i="1"/>
  <c r="B3962" i="1"/>
  <c r="A3963" i="1"/>
  <c r="B3963" i="1"/>
  <c r="A3964" i="1"/>
  <c r="B3964" i="1"/>
  <c r="A3965" i="1"/>
  <c r="B3965" i="1"/>
  <c r="A3966" i="1"/>
  <c r="B3966" i="1"/>
  <c r="A3967" i="1"/>
  <c r="B3967" i="1"/>
  <c r="A3968" i="1"/>
  <c r="B3968" i="1"/>
  <c r="A3969" i="1"/>
  <c r="B3969" i="1"/>
  <c r="A3970" i="1"/>
  <c r="B3970" i="1"/>
  <c r="A3971" i="1"/>
  <c r="B3971" i="1"/>
  <c r="A3972" i="1"/>
  <c r="B3972" i="1"/>
  <c r="A3973" i="1"/>
  <c r="B3973" i="1"/>
  <c r="A3974" i="1"/>
  <c r="B3974" i="1"/>
  <c r="A3975" i="1"/>
  <c r="B3975" i="1"/>
  <c r="A3976" i="1"/>
  <c r="B3976" i="1"/>
  <c r="A3977" i="1"/>
  <c r="B3977" i="1"/>
  <c r="A3978" i="1"/>
  <c r="B3978" i="1"/>
  <c r="A3979" i="1"/>
  <c r="B3979" i="1"/>
  <c r="A3980" i="1"/>
  <c r="B3980" i="1"/>
  <c r="A3981" i="1"/>
  <c r="B3981" i="1"/>
  <c r="A3982" i="1"/>
  <c r="B3982" i="1"/>
  <c r="A3983" i="1"/>
  <c r="B3983" i="1"/>
  <c r="A3984" i="1"/>
  <c r="B3984" i="1"/>
  <c r="A3985" i="1"/>
  <c r="B3985" i="1"/>
  <c r="A3986" i="1"/>
  <c r="B3986" i="1"/>
  <c r="A3987" i="1"/>
  <c r="B3987" i="1"/>
  <c r="A3988" i="1"/>
  <c r="B3988" i="1"/>
  <c r="A3989" i="1"/>
  <c r="B3989" i="1"/>
  <c r="A3990" i="1"/>
  <c r="B3990" i="1"/>
  <c r="A3991" i="1"/>
  <c r="B3991" i="1"/>
  <c r="A3992" i="1"/>
  <c r="B3992" i="1"/>
  <c r="A3993" i="1"/>
  <c r="B3993" i="1"/>
  <c r="A3994" i="1"/>
  <c r="B3994" i="1"/>
  <c r="A3995" i="1"/>
  <c r="B3995" i="1"/>
  <c r="A3996" i="1"/>
  <c r="B3996" i="1"/>
  <c r="A3997" i="1"/>
  <c r="B3997" i="1"/>
  <c r="A3998" i="1"/>
  <c r="B3998" i="1"/>
  <c r="A3999" i="1"/>
  <c r="B3999" i="1"/>
  <c r="A4000" i="1"/>
  <c r="B4000" i="1"/>
  <c r="A4001" i="1"/>
  <c r="B4001" i="1"/>
  <c r="A4002" i="1"/>
  <c r="B4002" i="1"/>
  <c r="A4003" i="1"/>
  <c r="B4003" i="1"/>
  <c r="A4004" i="1"/>
  <c r="B4004" i="1"/>
  <c r="A4005" i="1"/>
  <c r="B4005" i="1"/>
  <c r="A4006" i="1"/>
  <c r="B4006" i="1"/>
  <c r="A4007" i="1"/>
  <c r="B4007" i="1"/>
  <c r="A4008" i="1"/>
  <c r="B4008" i="1"/>
  <c r="A4009" i="1"/>
  <c r="B4009" i="1"/>
  <c r="A4010" i="1"/>
  <c r="B4010" i="1"/>
  <c r="A4011" i="1"/>
  <c r="B4011" i="1"/>
  <c r="A4012" i="1"/>
  <c r="B4012" i="1"/>
  <c r="A4013" i="1"/>
  <c r="B4013" i="1"/>
  <c r="A4014" i="1"/>
  <c r="B4014" i="1"/>
  <c r="A4015" i="1"/>
  <c r="B4015" i="1"/>
  <c r="A4016" i="1"/>
  <c r="B4016" i="1"/>
  <c r="A4017" i="1"/>
  <c r="B4017" i="1"/>
  <c r="A4018" i="1"/>
  <c r="B4018" i="1"/>
  <c r="A4019" i="1"/>
  <c r="B4019" i="1"/>
  <c r="A4020" i="1"/>
  <c r="B4020" i="1"/>
  <c r="A4021" i="1"/>
  <c r="B4021" i="1"/>
  <c r="A4022" i="1"/>
  <c r="B4022" i="1"/>
  <c r="A4023" i="1"/>
  <c r="B4023" i="1"/>
  <c r="A4024" i="1"/>
  <c r="B4024" i="1"/>
  <c r="A4025" i="1"/>
  <c r="B4025" i="1"/>
  <c r="A4026" i="1"/>
  <c r="B4026" i="1"/>
  <c r="A4027" i="1"/>
  <c r="B4027" i="1"/>
  <c r="A4028" i="1"/>
  <c r="B4028" i="1"/>
  <c r="A4029" i="1"/>
  <c r="B4029" i="1"/>
  <c r="A4030" i="1"/>
  <c r="B4030" i="1"/>
  <c r="A4031" i="1"/>
  <c r="B4031" i="1"/>
  <c r="A4032" i="1"/>
  <c r="B4032" i="1"/>
  <c r="A4033" i="1"/>
  <c r="B4033" i="1"/>
  <c r="A4034" i="1"/>
  <c r="B4034" i="1"/>
  <c r="A4035" i="1"/>
  <c r="B4035" i="1"/>
  <c r="A4036" i="1"/>
  <c r="B4036" i="1"/>
  <c r="A4037" i="1"/>
  <c r="B4037" i="1"/>
  <c r="A4038" i="1"/>
  <c r="B4038" i="1"/>
  <c r="A4039" i="1"/>
  <c r="B4039" i="1"/>
  <c r="A4040" i="1"/>
  <c r="B4040" i="1"/>
  <c r="A4041" i="1"/>
  <c r="B4041" i="1"/>
  <c r="A4042" i="1"/>
  <c r="B4042" i="1"/>
  <c r="A4043" i="1"/>
  <c r="B4043" i="1"/>
  <c r="A4044" i="1"/>
  <c r="B4044" i="1"/>
  <c r="A4045" i="1"/>
  <c r="B4045" i="1"/>
  <c r="A4046" i="1"/>
  <c r="B4046" i="1"/>
  <c r="A4047" i="1"/>
  <c r="B4047" i="1"/>
  <c r="A4048" i="1"/>
  <c r="B4048" i="1"/>
  <c r="A4049" i="1"/>
  <c r="B4049" i="1"/>
  <c r="A4050" i="1"/>
  <c r="B4050" i="1"/>
  <c r="A4051" i="1"/>
  <c r="B4051" i="1"/>
  <c r="A4052" i="1"/>
  <c r="B4052" i="1"/>
  <c r="A4053" i="1"/>
  <c r="B4053" i="1"/>
  <c r="A4054" i="1"/>
  <c r="B4054" i="1"/>
  <c r="A4055" i="1"/>
  <c r="B4055" i="1"/>
  <c r="A4056" i="1"/>
  <c r="B4056" i="1"/>
  <c r="A4057" i="1"/>
  <c r="B4057" i="1"/>
  <c r="A4058" i="1"/>
  <c r="B4058" i="1"/>
  <c r="A4059" i="1"/>
  <c r="B4059" i="1"/>
  <c r="A4060" i="1"/>
  <c r="B4060" i="1"/>
  <c r="A4061" i="1"/>
  <c r="B4061" i="1"/>
  <c r="A4062" i="1"/>
  <c r="B4062" i="1"/>
  <c r="A4063" i="1"/>
  <c r="B4063" i="1"/>
  <c r="A4064" i="1"/>
  <c r="B4064" i="1"/>
  <c r="A4065" i="1"/>
  <c r="B4065" i="1"/>
  <c r="A4066" i="1"/>
  <c r="B4066" i="1"/>
  <c r="A4067" i="1"/>
  <c r="B4067" i="1"/>
  <c r="A4068" i="1"/>
  <c r="B4068" i="1"/>
  <c r="A4069" i="1"/>
  <c r="B4069" i="1"/>
  <c r="A4070" i="1"/>
  <c r="B4070" i="1"/>
  <c r="A4071" i="1"/>
  <c r="B4071" i="1"/>
  <c r="A4072" i="1"/>
  <c r="B4072" i="1"/>
  <c r="A4073" i="1"/>
  <c r="B4073" i="1"/>
  <c r="A4074" i="1"/>
  <c r="B4074" i="1"/>
  <c r="A4075" i="1"/>
  <c r="B4075" i="1"/>
  <c r="A4076" i="1"/>
  <c r="B4076" i="1"/>
  <c r="A4077" i="1"/>
  <c r="B4077" i="1"/>
  <c r="A4078" i="1"/>
  <c r="B4078" i="1"/>
  <c r="A4079" i="1"/>
  <c r="B4079" i="1"/>
  <c r="A4080" i="1"/>
  <c r="B4080" i="1"/>
  <c r="A4081" i="1"/>
  <c r="B4081" i="1"/>
  <c r="A4082" i="1"/>
  <c r="B4082" i="1"/>
  <c r="A4083" i="1"/>
  <c r="B4083" i="1"/>
  <c r="A4084" i="1"/>
  <c r="B4084" i="1"/>
  <c r="A4085" i="1"/>
  <c r="B4085" i="1"/>
  <c r="A4086" i="1"/>
  <c r="B4086" i="1"/>
  <c r="A4087" i="1"/>
  <c r="B4087" i="1"/>
  <c r="A4088" i="1"/>
  <c r="B4088" i="1"/>
  <c r="A4089" i="1"/>
  <c r="B4089" i="1"/>
  <c r="A4090" i="1"/>
  <c r="B4090" i="1"/>
  <c r="A4091" i="1"/>
  <c r="B4091" i="1"/>
  <c r="A4092" i="1"/>
  <c r="B4092" i="1"/>
  <c r="A4093" i="1"/>
  <c r="B4093" i="1"/>
  <c r="A4094" i="1"/>
  <c r="B4094" i="1"/>
  <c r="A4095" i="1"/>
  <c r="B4095" i="1"/>
  <c r="A4096" i="1"/>
  <c r="B4096" i="1"/>
  <c r="A4097" i="1"/>
  <c r="B4097" i="1"/>
  <c r="A4098" i="1"/>
  <c r="B4098" i="1"/>
  <c r="A4099" i="1"/>
  <c r="B4099" i="1"/>
  <c r="A4100" i="1"/>
  <c r="B4100" i="1"/>
  <c r="A4101" i="1"/>
  <c r="B4101" i="1"/>
  <c r="A4102" i="1"/>
  <c r="B4102" i="1"/>
  <c r="A4103" i="1"/>
  <c r="B4103" i="1"/>
  <c r="A4104" i="1"/>
  <c r="B4104" i="1"/>
  <c r="A4105" i="1"/>
  <c r="B4105" i="1"/>
  <c r="A4106" i="1"/>
  <c r="B4106" i="1"/>
  <c r="A4107" i="1"/>
  <c r="B4107" i="1"/>
  <c r="A4108" i="1"/>
  <c r="B4108" i="1"/>
  <c r="A4109" i="1"/>
  <c r="B4109" i="1"/>
  <c r="A4110" i="1"/>
  <c r="B4110" i="1"/>
  <c r="A4111" i="1"/>
  <c r="B4111" i="1"/>
  <c r="A4112" i="1"/>
  <c r="B4112" i="1"/>
  <c r="A4113" i="1"/>
  <c r="B4113" i="1"/>
  <c r="A4114" i="1"/>
  <c r="B4114" i="1"/>
  <c r="A4115" i="1"/>
  <c r="B4115" i="1"/>
  <c r="A4116" i="1"/>
  <c r="B4116" i="1"/>
  <c r="A4117" i="1"/>
  <c r="B4117" i="1"/>
  <c r="A4118" i="1"/>
  <c r="B4118" i="1"/>
  <c r="A4119" i="1"/>
  <c r="B4119" i="1"/>
  <c r="A4120" i="1"/>
  <c r="B4120" i="1"/>
  <c r="A4121" i="1"/>
  <c r="B4121" i="1"/>
  <c r="A4122" i="1"/>
  <c r="B4122" i="1"/>
  <c r="A4123" i="1"/>
  <c r="B4123" i="1"/>
  <c r="A4124" i="1"/>
  <c r="B4124" i="1"/>
  <c r="A4125" i="1"/>
  <c r="B4125" i="1"/>
  <c r="A4126" i="1"/>
  <c r="B4126" i="1"/>
  <c r="A4127" i="1"/>
  <c r="B4127" i="1"/>
  <c r="A4128" i="1"/>
  <c r="B4128" i="1"/>
  <c r="A4129" i="1"/>
  <c r="B4129" i="1"/>
  <c r="A4130" i="1"/>
  <c r="B4130" i="1"/>
  <c r="A4131" i="1"/>
  <c r="B4131" i="1"/>
  <c r="A4132" i="1"/>
  <c r="B4132" i="1"/>
  <c r="A4133" i="1"/>
  <c r="B4133" i="1"/>
  <c r="A4134" i="1"/>
  <c r="B4134" i="1"/>
  <c r="A4135" i="1"/>
  <c r="B4135" i="1"/>
  <c r="A4136" i="1"/>
  <c r="B4136" i="1"/>
  <c r="A4137" i="1"/>
  <c r="B4137" i="1"/>
  <c r="A4138" i="1"/>
  <c r="B4138" i="1"/>
  <c r="A4139" i="1"/>
  <c r="B4139" i="1"/>
  <c r="A4140" i="1"/>
  <c r="B4140" i="1"/>
  <c r="A4141" i="1"/>
  <c r="B4141" i="1"/>
  <c r="A4142" i="1"/>
  <c r="B4142" i="1"/>
  <c r="A4143" i="1"/>
  <c r="B4143" i="1"/>
  <c r="A4144" i="1"/>
  <c r="B4144" i="1"/>
  <c r="A4145" i="1"/>
  <c r="B4145" i="1"/>
  <c r="A4146" i="1"/>
  <c r="B4146" i="1"/>
  <c r="A4147" i="1"/>
  <c r="B4147" i="1"/>
  <c r="A4148" i="1"/>
  <c r="B4148" i="1"/>
  <c r="A4149" i="1"/>
  <c r="B4149" i="1"/>
  <c r="A4150" i="1"/>
  <c r="B4150" i="1"/>
  <c r="A4151" i="1"/>
  <c r="B4151" i="1"/>
  <c r="A4152" i="1"/>
  <c r="B4152" i="1"/>
  <c r="A4153" i="1"/>
  <c r="B4153" i="1"/>
  <c r="A4154" i="1"/>
  <c r="B4154" i="1"/>
  <c r="A4155" i="1"/>
  <c r="B4155" i="1"/>
  <c r="A4156" i="1"/>
  <c r="B4156" i="1"/>
  <c r="A4157" i="1"/>
  <c r="B4157" i="1"/>
  <c r="A4158" i="1"/>
  <c r="B4158" i="1"/>
  <c r="A4159" i="1"/>
  <c r="B4159" i="1"/>
  <c r="A4160" i="1"/>
  <c r="B4160" i="1"/>
  <c r="A4161" i="1"/>
  <c r="B4161" i="1"/>
  <c r="A4162" i="1"/>
  <c r="B4162" i="1"/>
  <c r="A4163" i="1"/>
  <c r="B4163" i="1"/>
  <c r="A4164" i="1"/>
  <c r="B4164" i="1"/>
  <c r="A4165" i="1"/>
  <c r="B4165" i="1"/>
  <c r="A4166" i="1"/>
  <c r="B4166" i="1"/>
  <c r="A4167" i="1"/>
  <c r="B4167" i="1"/>
  <c r="A4168" i="1"/>
  <c r="B4168" i="1"/>
  <c r="A4169" i="1"/>
  <c r="B4169" i="1"/>
  <c r="A4170" i="1"/>
  <c r="B4170" i="1"/>
  <c r="A4171" i="1"/>
  <c r="B4171" i="1"/>
  <c r="A4172" i="1"/>
  <c r="B4172" i="1"/>
  <c r="A4173" i="1"/>
  <c r="B4173" i="1"/>
  <c r="A4174" i="1"/>
  <c r="B4174" i="1"/>
  <c r="A4175" i="1"/>
  <c r="B4175" i="1"/>
  <c r="A4176" i="1"/>
  <c r="B4176" i="1"/>
  <c r="A4177" i="1"/>
  <c r="B4177" i="1"/>
  <c r="A4178" i="1"/>
  <c r="B4178" i="1"/>
  <c r="A4179" i="1"/>
  <c r="B4179" i="1"/>
  <c r="A4180" i="1"/>
  <c r="B4180" i="1"/>
  <c r="A4181" i="1"/>
  <c r="B4181" i="1"/>
  <c r="A4182" i="1"/>
  <c r="B4182" i="1"/>
  <c r="A4183" i="1"/>
  <c r="B4183" i="1"/>
  <c r="A4184" i="1"/>
  <c r="B4184" i="1"/>
  <c r="A4185" i="1"/>
  <c r="B4185" i="1"/>
  <c r="A4186" i="1"/>
  <c r="B4186" i="1"/>
  <c r="A4187" i="1"/>
  <c r="B4187" i="1"/>
  <c r="A4188" i="1"/>
  <c r="B4188" i="1"/>
  <c r="A4189" i="1"/>
  <c r="B4189" i="1"/>
  <c r="A4190" i="1"/>
  <c r="B4190" i="1"/>
  <c r="A4191" i="1"/>
  <c r="B4191" i="1"/>
  <c r="A4192" i="1"/>
  <c r="B4192" i="1"/>
  <c r="A4193" i="1"/>
  <c r="B4193" i="1"/>
  <c r="A4194" i="1"/>
  <c r="B4194" i="1"/>
  <c r="A4195" i="1"/>
  <c r="B4195" i="1"/>
  <c r="A4196" i="1"/>
  <c r="B4196" i="1"/>
  <c r="A4197" i="1"/>
  <c r="B4197" i="1"/>
  <c r="A4198" i="1"/>
  <c r="B4198" i="1"/>
  <c r="A4199" i="1"/>
  <c r="B4199" i="1"/>
  <c r="A4200" i="1"/>
  <c r="B4200" i="1"/>
  <c r="A4201" i="1"/>
  <c r="B4201" i="1"/>
  <c r="A4202" i="1"/>
  <c r="B4202" i="1"/>
  <c r="A4203" i="1"/>
  <c r="B4203" i="1"/>
  <c r="A4204" i="1"/>
  <c r="B4204" i="1"/>
  <c r="A4205" i="1"/>
  <c r="B4205" i="1"/>
  <c r="A4206" i="1"/>
  <c r="B4206" i="1"/>
  <c r="A4207" i="1"/>
  <c r="B4207" i="1"/>
  <c r="A4208" i="1"/>
  <c r="B4208" i="1"/>
  <c r="A4209" i="1"/>
  <c r="B4209" i="1"/>
  <c r="A4210" i="1"/>
  <c r="B4210" i="1"/>
  <c r="A4211" i="1"/>
  <c r="B4211" i="1"/>
  <c r="A4212" i="1"/>
  <c r="B4212" i="1"/>
  <c r="A4213" i="1"/>
  <c r="B4213" i="1"/>
  <c r="A4214" i="1"/>
  <c r="B4214" i="1"/>
  <c r="A4215" i="1"/>
  <c r="B4215" i="1"/>
  <c r="A4216" i="1"/>
  <c r="B4216" i="1"/>
  <c r="A4217" i="1"/>
  <c r="B4217" i="1"/>
  <c r="A4218" i="1"/>
  <c r="B4218" i="1"/>
  <c r="A4219" i="1"/>
  <c r="B4219" i="1"/>
  <c r="A4220" i="1"/>
  <c r="B4220" i="1"/>
  <c r="A4221" i="1"/>
  <c r="B4221" i="1"/>
  <c r="A4222" i="1"/>
  <c r="B4222" i="1"/>
  <c r="A4223" i="1"/>
  <c r="B4223" i="1"/>
  <c r="A4224" i="1"/>
  <c r="B4224" i="1"/>
  <c r="A4225" i="1"/>
  <c r="B4225" i="1"/>
  <c r="A4226" i="1"/>
  <c r="B4226" i="1"/>
  <c r="A4227" i="1"/>
  <c r="B4227" i="1"/>
  <c r="A4228" i="1"/>
  <c r="B4228" i="1"/>
  <c r="A4229" i="1"/>
  <c r="B4229" i="1"/>
  <c r="A4230" i="1"/>
  <c r="B4230" i="1"/>
  <c r="A4231" i="1"/>
  <c r="B4231" i="1"/>
  <c r="A4232" i="1"/>
  <c r="B4232" i="1"/>
  <c r="A4233" i="1"/>
  <c r="B4233" i="1"/>
  <c r="A4234" i="1"/>
  <c r="B4234" i="1"/>
  <c r="A4235" i="1"/>
  <c r="B4235" i="1"/>
  <c r="A4236" i="1"/>
  <c r="B4236" i="1"/>
  <c r="A4237" i="1"/>
  <c r="B4237" i="1"/>
  <c r="A4238" i="1"/>
  <c r="B4238" i="1"/>
  <c r="A4239" i="1"/>
  <c r="B4239" i="1"/>
  <c r="A4240" i="1"/>
  <c r="B4240" i="1"/>
  <c r="A4241" i="1"/>
  <c r="B4241" i="1"/>
  <c r="A4242" i="1"/>
  <c r="B4242" i="1"/>
  <c r="A4243" i="1"/>
  <c r="B4243" i="1"/>
  <c r="A4244" i="1"/>
  <c r="B4244" i="1"/>
  <c r="A4245" i="1"/>
  <c r="B4245" i="1"/>
  <c r="A4246" i="1"/>
  <c r="B4246" i="1"/>
  <c r="A4247" i="1"/>
  <c r="B4247" i="1"/>
  <c r="A4248" i="1"/>
  <c r="B4248" i="1"/>
  <c r="A4249" i="1"/>
  <c r="B4249" i="1"/>
  <c r="A4250" i="1"/>
  <c r="B4250" i="1"/>
  <c r="A4251" i="1"/>
  <c r="B4251" i="1"/>
  <c r="A4252" i="1"/>
  <c r="B4252" i="1"/>
  <c r="A4253" i="1"/>
  <c r="B4253" i="1"/>
  <c r="A4254" i="1"/>
  <c r="B4254" i="1"/>
  <c r="A4255" i="1"/>
  <c r="B4255" i="1"/>
  <c r="A4256" i="1"/>
  <c r="B4256" i="1"/>
  <c r="A4257" i="1"/>
  <c r="B4257" i="1"/>
  <c r="A4258" i="1"/>
  <c r="B4258" i="1"/>
  <c r="A4259" i="1"/>
  <c r="B4259" i="1"/>
  <c r="A4260" i="1"/>
  <c r="B4260" i="1"/>
  <c r="A4261" i="1"/>
  <c r="B4261" i="1"/>
  <c r="A4262" i="1"/>
  <c r="B4262" i="1"/>
  <c r="A4263" i="1"/>
  <c r="B4263" i="1"/>
  <c r="A4264" i="1"/>
  <c r="B4264" i="1"/>
  <c r="A4265" i="1"/>
  <c r="B4265" i="1"/>
  <c r="A4266" i="1"/>
  <c r="B4266" i="1"/>
  <c r="A4267" i="1"/>
  <c r="B4267" i="1"/>
  <c r="A4268" i="1"/>
  <c r="B4268" i="1"/>
  <c r="A4269" i="1"/>
  <c r="B4269" i="1"/>
  <c r="A4270" i="1"/>
  <c r="B4270" i="1"/>
  <c r="A4271" i="1"/>
  <c r="B4271" i="1"/>
  <c r="A4272" i="1"/>
  <c r="B4272" i="1"/>
  <c r="A4273" i="1"/>
  <c r="B4273" i="1"/>
  <c r="A4274" i="1"/>
  <c r="B4274" i="1"/>
  <c r="A4275" i="1"/>
  <c r="B4275" i="1"/>
  <c r="A4276" i="1"/>
  <c r="B4276" i="1"/>
  <c r="A4277" i="1"/>
  <c r="B4277" i="1"/>
  <c r="A4278" i="1"/>
  <c r="B4278" i="1"/>
  <c r="A4279" i="1"/>
  <c r="B4279" i="1"/>
  <c r="A4280" i="1"/>
  <c r="B4280" i="1"/>
  <c r="A4281" i="1"/>
  <c r="B4281" i="1"/>
  <c r="A4282" i="1"/>
  <c r="B4282" i="1"/>
  <c r="A4283" i="1"/>
  <c r="B4283" i="1"/>
  <c r="A4284" i="1"/>
  <c r="B4284" i="1"/>
  <c r="A4285" i="1"/>
  <c r="B4285" i="1"/>
  <c r="A4286" i="1"/>
  <c r="B4286" i="1"/>
  <c r="A4287" i="1"/>
  <c r="B4287" i="1"/>
  <c r="A4288" i="1"/>
  <c r="B4288" i="1"/>
  <c r="A4289" i="1"/>
  <c r="B4289" i="1"/>
  <c r="A4290" i="1"/>
  <c r="B4290" i="1"/>
  <c r="A4291" i="1"/>
  <c r="B4291" i="1"/>
  <c r="A4292" i="1"/>
  <c r="B4292" i="1"/>
  <c r="A4293" i="1"/>
  <c r="B4293" i="1"/>
  <c r="A4294" i="1"/>
  <c r="B4294" i="1"/>
  <c r="A4295" i="1"/>
  <c r="B4295" i="1"/>
  <c r="A4296" i="1"/>
  <c r="B4296" i="1"/>
  <c r="A4297" i="1"/>
  <c r="B4297" i="1"/>
  <c r="A4298" i="1"/>
  <c r="B4298" i="1"/>
  <c r="A4299" i="1"/>
  <c r="B4299" i="1"/>
  <c r="A4300" i="1"/>
  <c r="B4300" i="1"/>
  <c r="A4301" i="1"/>
  <c r="B4301" i="1"/>
  <c r="A4302" i="1"/>
  <c r="B4302" i="1"/>
  <c r="A4303" i="1"/>
  <c r="B4303" i="1"/>
  <c r="A4304" i="1"/>
  <c r="B4304" i="1"/>
  <c r="A4305" i="1"/>
  <c r="B4305" i="1"/>
  <c r="A4306" i="1"/>
  <c r="B4306" i="1"/>
  <c r="A4307" i="1"/>
  <c r="B4307" i="1"/>
  <c r="A4308" i="1"/>
  <c r="B4308" i="1"/>
  <c r="A4309" i="1"/>
  <c r="B4309" i="1"/>
  <c r="A4310" i="1"/>
  <c r="B4310" i="1"/>
  <c r="A4311" i="1"/>
  <c r="B4311" i="1"/>
  <c r="A4312" i="1"/>
  <c r="B4312" i="1"/>
  <c r="A4313" i="1"/>
  <c r="B4313" i="1"/>
  <c r="A4314" i="1"/>
  <c r="B4314" i="1"/>
  <c r="A4315" i="1"/>
  <c r="B4315" i="1"/>
  <c r="A4316" i="1"/>
  <c r="B4316" i="1"/>
  <c r="A4317" i="1"/>
  <c r="B4317" i="1"/>
  <c r="A4318" i="1"/>
  <c r="B4318" i="1"/>
  <c r="A4319" i="1"/>
  <c r="B4319" i="1"/>
  <c r="A4320" i="1"/>
  <c r="B4320" i="1"/>
  <c r="A4321" i="1"/>
  <c r="B4321" i="1"/>
  <c r="A4322" i="1"/>
  <c r="B4322" i="1"/>
  <c r="A4323" i="1"/>
  <c r="B4323" i="1"/>
  <c r="A4324" i="1"/>
  <c r="B4324" i="1"/>
  <c r="A4325" i="1"/>
  <c r="B4325" i="1"/>
  <c r="A4326" i="1"/>
  <c r="B4326" i="1"/>
  <c r="A4327" i="1"/>
  <c r="B4327" i="1"/>
  <c r="A4328" i="1"/>
  <c r="B4328" i="1"/>
  <c r="A4329" i="1"/>
  <c r="B4329" i="1"/>
  <c r="A4330" i="1"/>
  <c r="B4330" i="1"/>
  <c r="A4331" i="1"/>
  <c r="B4331" i="1"/>
  <c r="A4332" i="1"/>
  <c r="B4332" i="1"/>
  <c r="A4333" i="1"/>
  <c r="B4333" i="1"/>
  <c r="A4334" i="1"/>
  <c r="B4334" i="1"/>
  <c r="A4335" i="1"/>
  <c r="B4335" i="1"/>
  <c r="A4336" i="1"/>
  <c r="B4336" i="1"/>
  <c r="A4337" i="1"/>
  <c r="B4337" i="1"/>
  <c r="A4338" i="1"/>
  <c r="B4338" i="1"/>
  <c r="A4339" i="1"/>
  <c r="B4339" i="1"/>
  <c r="A4340" i="1"/>
  <c r="B4340" i="1"/>
  <c r="A4341" i="1"/>
  <c r="B4341" i="1"/>
  <c r="A4342" i="1"/>
  <c r="B4342" i="1"/>
  <c r="A4343" i="1"/>
  <c r="B4343" i="1"/>
  <c r="A4344" i="1"/>
  <c r="B4344" i="1"/>
  <c r="A4345" i="1"/>
  <c r="B4345" i="1"/>
  <c r="A4346" i="1"/>
  <c r="B4346" i="1"/>
  <c r="A4347" i="1"/>
  <c r="B4347" i="1"/>
  <c r="A4348" i="1"/>
  <c r="B4348" i="1"/>
  <c r="A4349" i="1"/>
  <c r="B4349" i="1"/>
  <c r="A4350" i="1"/>
  <c r="B4350" i="1"/>
  <c r="A4351" i="1"/>
  <c r="B4351" i="1"/>
  <c r="A4352" i="1"/>
  <c r="B4352" i="1"/>
  <c r="A4353" i="1"/>
  <c r="B4353" i="1"/>
  <c r="A4354" i="1"/>
  <c r="B4354" i="1"/>
  <c r="A4355" i="1"/>
  <c r="B4355" i="1"/>
  <c r="A4356" i="1"/>
  <c r="B4356" i="1"/>
  <c r="A4357" i="1"/>
  <c r="B4357" i="1"/>
  <c r="A4358" i="1"/>
  <c r="B4358" i="1"/>
  <c r="A4359" i="1"/>
  <c r="B4359" i="1"/>
  <c r="A4360" i="1"/>
  <c r="B4360" i="1"/>
  <c r="A4361" i="1"/>
  <c r="B4361" i="1"/>
  <c r="A4362" i="1"/>
  <c r="B4362" i="1"/>
  <c r="A4363" i="1"/>
  <c r="B4363" i="1"/>
  <c r="A4364" i="1"/>
  <c r="B4364" i="1"/>
  <c r="A4365" i="1"/>
  <c r="B4365" i="1"/>
  <c r="A4366" i="1"/>
  <c r="B4366" i="1"/>
  <c r="A4367" i="1"/>
  <c r="B4367" i="1"/>
  <c r="A4368" i="1"/>
  <c r="B4368" i="1"/>
  <c r="A4369" i="1"/>
  <c r="B4369" i="1"/>
  <c r="A4370" i="1"/>
  <c r="B4370" i="1"/>
  <c r="A4371" i="1"/>
  <c r="B4371" i="1"/>
  <c r="A4372" i="1"/>
  <c r="B4372" i="1"/>
  <c r="A4373" i="1"/>
  <c r="B4373" i="1"/>
  <c r="A4374" i="1"/>
  <c r="B4374" i="1"/>
  <c r="A4375" i="1"/>
  <c r="B4375" i="1"/>
  <c r="A4376" i="1"/>
  <c r="B4376" i="1"/>
  <c r="A4377" i="1"/>
  <c r="B4377" i="1"/>
  <c r="A4378" i="1"/>
  <c r="B4378" i="1"/>
  <c r="A4379" i="1"/>
  <c r="B4379" i="1"/>
  <c r="A4380" i="1"/>
  <c r="B4380" i="1"/>
  <c r="A4381" i="1"/>
  <c r="B4381" i="1"/>
  <c r="A4382" i="1"/>
  <c r="B4382" i="1"/>
  <c r="A4383" i="1"/>
  <c r="B4383" i="1"/>
  <c r="A4384" i="1"/>
  <c r="B4384" i="1"/>
  <c r="A4385" i="1"/>
  <c r="B4385" i="1"/>
  <c r="A4386" i="1"/>
  <c r="B4386" i="1"/>
  <c r="A4387" i="1"/>
  <c r="B4387" i="1"/>
  <c r="A4388" i="1"/>
  <c r="B4388" i="1"/>
  <c r="A4389" i="1"/>
  <c r="B4389" i="1"/>
  <c r="A4390" i="1"/>
  <c r="B4390" i="1"/>
  <c r="A4391" i="1"/>
  <c r="B4391" i="1"/>
  <c r="A4392" i="1"/>
  <c r="B4392" i="1"/>
  <c r="A4393" i="1"/>
  <c r="B4393" i="1"/>
  <c r="A4394" i="1"/>
  <c r="B4394" i="1"/>
  <c r="A4395" i="1"/>
  <c r="B4395" i="1"/>
  <c r="A4396" i="1"/>
  <c r="B4396" i="1"/>
  <c r="A4397" i="1"/>
  <c r="B4397" i="1"/>
  <c r="A4398" i="1"/>
  <c r="B4398" i="1"/>
  <c r="A4399" i="1"/>
  <c r="B4399" i="1"/>
  <c r="A4400" i="1"/>
  <c r="B4400" i="1"/>
  <c r="A4401" i="1"/>
  <c r="B4401" i="1"/>
  <c r="A4402" i="1"/>
  <c r="B4402" i="1"/>
  <c r="A4403" i="1"/>
  <c r="B4403" i="1"/>
  <c r="A4404" i="1"/>
  <c r="B4404" i="1"/>
  <c r="A4405" i="1"/>
  <c r="B4405" i="1"/>
  <c r="A4406" i="1"/>
  <c r="B4406" i="1"/>
  <c r="A4407" i="1"/>
  <c r="B4407" i="1"/>
  <c r="A4408" i="1"/>
  <c r="B4408" i="1"/>
  <c r="A4409" i="1"/>
  <c r="B4409" i="1"/>
  <c r="A4410" i="1"/>
  <c r="B4410" i="1"/>
  <c r="A4411" i="1"/>
  <c r="B4411" i="1"/>
  <c r="A4412" i="1"/>
  <c r="B4412" i="1"/>
  <c r="A4413" i="1"/>
  <c r="B4413" i="1"/>
  <c r="A4414" i="1"/>
  <c r="B4414" i="1"/>
  <c r="A4415" i="1"/>
  <c r="B4415" i="1"/>
  <c r="A4416" i="1"/>
  <c r="B4416" i="1"/>
  <c r="A4417" i="1"/>
  <c r="B4417" i="1"/>
  <c r="A4418" i="1"/>
  <c r="B4418" i="1"/>
  <c r="A4419" i="1"/>
  <c r="B4419" i="1"/>
  <c r="A4420" i="1"/>
  <c r="B4420" i="1"/>
  <c r="A4421" i="1"/>
  <c r="B4421" i="1"/>
  <c r="A4422" i="1"/>
  <c r="B4422" i="1"/>
  <c r="A4423" i="1"/>
  <c r="B4423" i="1"/>
  <c r="A4424" i="1"/>
  <c r="B4424" i="1"/>
  <c r="A4425" i="1"/>
  <c r="B4425" i="1"/>
  <c r="A4426" i="1"/>
  <c r="B4426" i="1"/>
  <c r="A4427" i="1"/>
  <c r="B4427" i="1"/>
  <c r="A4428" i="1"/>
  <c r="B4428" i="1"/>
  <c r="A4429" i="1"/>
  <c r="B4429" i="1"/>
  <c r="A4430" i="1"/>
  <c r="B4430" i="1"/>
  <c r="A4431" i="1"/>
  <c r="B4431" i="1"/>
  <c r="A4432" i="1"/>
  <c r="B4432" i="1"/>
  <c r="A4433" i="1"/>
  <c r="B4433" i="1"/>
  <c r="A4434" i="1"/>
  <c r="B4434" i="1"/>
  <c r="A4435" i="1"/>
  <c r="B4435" i="1"/>
  <c r="A4436" i="1"/>
  <c r="B4436" i="1"/>
  <c r="A4437" i="1"/>
  <c r="B4437" i="1"/>
  <c r="A4438" i="1"/>
  <c r="B4438" i="1"/>
  <c r="A4439" i="1"/>
  <c r="B4439" i="1"/>
  <c r="A4440" i="1"/>
  <c r="B4440" i="1"/>
  <c r="A4441" i="1"/>
  <c r="B4441" i="1"/>
  <c r="A4442" i="1"/>
  <c r="B4442" i="1"/>
  <c r="A4443" i="1"/>
  <c r="B4443" i="1"/>
  <c r="A4444" i="1"/>
  <c r="B4444" i="1"/>
  <c r="A4445" i="1"/>
  <c r="B4445" i="1"/>
  <c r="A4446" i="1"/>
  <c r="B4446" i="1"/>
  <c r="A4447" i="1"/>
  <c r="B4447" i="1"/>
  <c r="A4448" i="1"/>
  <c r="B4448" i="1"/>
  <c r="A4449" i="1"/>
  <c r="B4449" i="1"/>
  <c r="A4450" i="1"/>
  <c r="B4450" i="1"/>
  <c r="A4451" i="1"/>
  <c r="B4451" i="1"/>
  <c r="A4452" i="1"/>
  <c r="B4452" i="1"/>
  <c r="A4453" i="1"/>
  <c r="B4453" i="1"/>
  <c r="A4454" i="1"/>
  <c r="B4454" i="1"/>
  <c r="A4455" i="1"/>
  <c r="B4455" i="1"/>
  <c r="A4456" i="1"/>
  <c r="B4456" i="1"/>
  <c r="A4457" i="1"/>
  <c r="B4457" i="1"/>
  <c r="A4458" i="1"/>
  <c r="B4458" i="1"/>
  <c r="A4459" i="1"/>
  <c r="B4459" i="1"/>
  <c r="A4460" i="1"/>
  <c r="B4460" i="1"/>
  <c r="A4461" i="1"/>
  <c r="B4461" i="1"/>
  <c r="A4462" i="1"/>
  <c r="B4462" i="1"/>
  <c r="A4463" i="1"/>
  <c r="B4463" i="1"/>
  <c r="A4464" i="1"/>
  <c r="B4464" i="1"/>
  <c r="A4465" i="1"/>
  <c r="B4465" i="1"/>
  <c r="A4466" i="1"/>
  <c r="B4466" i="1"/>
  <c r="A4467" i="1"/>
  <c r="B4467" i="1"/>
  <c r="A4468" i="1"/>
  <c r="B4468" i="1"/>
  <c r="A4469" i="1"/>
  <c r="B4469" i="1"/>
  <c r="A4470" i="1"/>
  <c r="B4470" i="1"/>
  <c r="A4471" i="1"/>
  <c r="B4471" i="1"/>
  <c r="A4472" i="1"/>
  <c r="B4472" i="1"/>
  <c r="A4473" i="1"/>
  <c r="B4473" i="1"/>
  <c r="A4474" i="1"/>
  <c r="B4474" i="1"/>
  <c r="A4475" i="1"/>
  <c r="B4475" i="1"/>
  <c r="A4476" i="1"/>
  <c r="B4476" i="1"/>
  <c r="A4477" i="1"/>
  <c r="B4477" i="1"/>
  <c r="A4478" i="1"/>
  <c r="B4478" i="1"/>
  <c r="A4479" i="1"/>
  <c r="B4479" i="1"/>
  <c r="A4480" i="1"/>
  <c r="B4480" i="1"/>
  <c r="A4481" i="1"/>
  <c r="B4481" i="1"/>
  <c r="A4482" i="1"/>
  <c r="B4482" i="1"/>
  <c r="A4483" i="1"/>
  <c r="B4483" i="1"/>
  <c r="A4484" i="1"/>
  <c r="B4484" i="1"/>
  <c r="A4485" i="1"/>
  <c r="B4485" i="1"/>
  <c r="A4486" i="1"/>
  <c r="B4486" i="1"/>
  <c r="A4487" i="1"/>
  <c r="B4487" i="1"/>
  <c r="A4488" i="1"/>
  <c r="B4488" i="1"/>
  <c r="A4489" i="1"/>
  <c r="B4489" i="1"/>
  <c r="A4490" i="1"/>
  <c r="B4490" i="1"/>
  <c r="A4491" i="1"/>
  <c r="B4491" i="1"/>
  <c r="A4492" i="1"/>
  <c r="B4492" i="1"/>
  <c r="A4493" i="1"/>
  <c r="B4493" i="1"/>
  <c r="A4494" i="1"/>
  <c r="B4494" i="1"/>
  <c r="A4495" i="1"/>
  <c r="B4495" i="1"/>
  <c r="A4496" i="1"/>
  <c r="B4496" i="1"/>
  <c r="A4497" i="1"/>
  <c r="B4497" i="1"/>
  <c r="A4498" i="1"/>
  <c r="B4498" i="1"/>
  <c r="A4499" i="1"/>
  <c r="B4499" i="1"/>
  <c r="A4500" i="1"/>
  <c r="B4500" i="1"/>
  <c r="A4501" i="1"/>
  <c r="B4501" i="1"/>
  <c r="A4502" i="1"/>
  <c r="B4502" i="1"/>
  <c r="A4503" i="1"/>
  <c r="B4503" i="1"/>
  <c r="A4504" i="1"/>
  <c r="B4504" i="1"/>
  <c r="A4505" i="1"/>
  <c r="B4505" i="1"/>
  <c r="A4506" i="1"/>
  <c r="B4506" i="1"/>
  <c r="A4507" i="1"/>
  <c r="B4507" i="1"/>
  <c r="A4508" i="1"/>
  <c r="B4508" i="1"/>
  <c r="A4509" i="1"/>
  <c r="B4509" i="1"/>
  <c r="A4510" i="1"/>
  <c r="B4510" i="1"/>
  <c r="A4511" i="1"/>
  <c r="B4511" i="1"/>
  <c r="A4512" i="1"/>
  <c r="B4512" i="1"/>
  <c r="A4513" i="1"/>
  <c r="B4513" i="1"/>
  <c r="A4514" i="1"/>
  <c r="B4514" i="1"/>
  <c r="A4515" i="1"/>
  <c r="B4515" i="1"/>
  <c r="A4516" i="1"/>
  <c r="B4516" i="1"/>
  <c r="A4517" i="1"/>
  <c r="B4517" i="1"/>
  <c r="A4518" i="1"/>
  <c r="B4518" i="1"/>
  <c r="A4519" i="1"/>
  <c r="B4519" i="1"/>
  <c r="A4520" i="1"/>
  <c r="B4520" i="1"/>
  <c r="A4521" i="1"/>
  <c r="B4521" i="1"/>
  <c r="A4522" i="1"/>
  <c r="B4522" i="1"/>
  <c r="A4523" i="1"/>
  <c r="B4523" i="1"/>
  <c r="A4524" i="1"/>
  <c r="B4524" i="1"/>
  <c r="A4525" i="1"/>
  <c r="B4525" i="1"/>
  <c r="A4526" i="1"/>
  <c r="B4526" i="1"/>
  <c r="A4527" i="1"/>
  <c r="B4527" i="1"/>
  <c r="A4528" i="1"/>
  <c r="B4528" i="1"/>
  <c r="A4529" i="1"/>
  <c r="B4529" i="1"/>
  <c r="A4530" i="1"/>
  <c r="B4530" i="1"/>
  <c r="A4531" i="1"/>
  <c r="B4531" i="1"/>
  <c r="A4532" i="1"/>
  <c r="B4532" i="1"/>
  <c r="A4533" i="1"/>
  <c r="B4533" i="1"/>
  <c r="A4534" i="1"/>
  <c r="B4534" i="1"/>
  <c r="A4535" i="1"/>
  <c r="B4535" i="1"/>
  <c r="A4536" i="1"/>
  <c r="B4536" i="1"/>
  <c r="A4537" i="1"/>
  <c r="B4537" i="1"/>
  <c r="A4538" i="1"/>
  <c r="B4538" i="1"/>
  <c r="A4539" i="1"/>
  <c r="B4539" i="1"/>
  <c r="A4540" i="1"/>
  <c r="B4540" i="1"/>
  <c r="A4541" i="1"/>
  <c r="B4541" i="1"/>
  <c r="A4542" i="1"/>
  <c r="B4542" i="1"/>
  <c r="A4543" i="1"/>
  <c r="B4543" i="1"/>
  <c r="A4544" i="1"/>
  <c r="B4544" i="1"/>
  <c r="A4545" i="1"/>
  <c r="B4545" i="1"/>
  <c r="A4546" i="1"/>
  <c r="B4546" i="1"/>
  <c r="A4547" i="1"/>
  <c r="B4547" i="1"/>
  <c r="A4548" i="1"/>
  <c r="B4548" i="1"/>
  <c r="A4549" i="1"/>
  <c r="B4549" i="1"/>
  <c r="A4550" i="1"/>
  <c r="B4550" i="1"/>
  <c r="A4551" i="1"/>
  <c r="B4551" i="1"/>
  <c r="A4552" i="1"/>
  <c r="B4552" i="1"/>
  <c r="A4553" i="1"/>
  <c r="B4553" i="1"/>
  <c r="A4554" i="1"/>
  <c r="B4554" i="1"/>
  <c r="A4555" i="1"/>
  <c r="B4555" i="1"/>
  <c r="A4556" i="1"/>
  <c r="B4556" i="1"/>
  <c r="A4557" i="1"/>
  <c r="B4557" i="1"/>
  <c r="A4558" i="1"/>
  <c r="B4558" i="1"/>
  <c r="A4559" i="1"/>
  <c r="B4559" i="1"/>
  <c r="A4560" i="1"/>
  <c r="B4560" i="1"/>
  <c r="A4561" i="1"/>
  <c r="B4561" i="1"/>
  <c r="A4562" i="1"/>
  <c r="B4562" i="1"/>
  <c r="A4563" i="1"/>
  <c r="B4563" i="1"/>
  <c r="A4564" i="1"/>
  <c r="B4564" i="1"/>
  <c r="A4565" i="1"/>
  <c r="B4565" i="1"/>
  <c r="A4566" i="1"/>
  <c r="B4566" i="1"/>
  <c r="A4567" i="1"/>
  <c r="B4567" i="1"/>
  <c r="A4568" i="1"/>
  <c r="B4568" i="1"/>
  <c r="A4569" i="1"/>
  <c r="B4569" i="1"/>
  <c r="A4570" i="1"/>
  <c r="B4570" i="1"/>
  <c r="A4571" i="1"/>
  <c r="B4571" i="1"/>
  <c r="A4572" i="1"/>
  <c r="B4572" i="1"/>
  <c r="A4573" i="1"/>
  <c r="B4573" i="1"/>
  <c r="A4574" i="1"/>
  <c r="B4574" i="1"/>
  <c r="A4575" i="1"/>
  <c r="B4575" i="1"/>
  <c r="A4576" i="1"/>
  <c r="B4576" i="1"/>
  <c r="A4577" i="1"/>
  <c r="B4577" i="1"/>
  <c r="A4578" i="1"/>
  <c r="B4578" i="1"/>
  <c r="A4579" i="1"/>
  <c r="B4579" i="1"/>
  <c r="A4580" i="1"/>
  <c r="B4580" i="1"/>
  <c r="A4581" i="1"/>
  <c r="B4581" i="1"/>
  <c r="A4582" i="1"/>
  <c r="B4582" i="1"/>
  <c r="A4583" i="1"/>
  <c r="B4583" i="1"/>
  <c r="A4584" i="1"/>
  <c r="B4584" i="1"/>
  <c r="A4585" i="1"/>
  <c r="B4585" i="1"/>
  <c r="A4586" i="1"/>
  <c r="B4586" i="1"/>
  <c r="A4587" i="1"/>
  <c r="B4587" i="1"/>
  <c r="A4588" i="1"/>
  <c r="B4588" i="1"/>
  <c r="A4589" i="1"/>
  <c r="B4589" i="1"/>
  <c r="A4590" i="1"/>
  <c r="B4590" i="1"/>
  <c r="A4591" i="1"/>
  <c r="B4591" i="1"/>
  <c r="A4592" i="1"/>
  <c r="B4592" i="1"/>
  <c r="A4593" i="1"/>
  <c r="B4593" i="1"/>
  <c r="A4594" i="1"/>
  <c r="B4594" i="1"/>
  <c r="A4595" i="1"/>
  <c r="B4595" i="1"/>
  <c r="A4596" i="1"/>
  <c r="B4596" i="1"/>
  <c r="A4597" i="1"/>
  <c r="B4597" i="1"/>
  <c r="A4598" i="1"/>
  <c r="B4598" i="1"/>
  <c r="A4599" i="1"/>
  <c r="B4599" i="1"/>
  <c r="A4600" i="1"/>
  <c r="B4600" i="1"/>
  <c r="A4601" i="1"/>
  <c r="B4601" i="1"/>
  <c r="A4602" i="1"/>
  <c r="B4602" i="1"/>
  <c r="A4603" i="1"/>
  <c r="B4603" i="1"/>
  <c r="A4604" i="1"/>
  <c r="B4604" i="1"/>
  <c r="A4605" i="1"/>
  <c r="B4605" i="1"/>
  <c r="A4606" i="1"/>
  <c r="B4606" i="1"/>
  <c r="A4607" i="1"/>
  <c r="B4607" i="1"/>
  <c r="A4608" i="1"/>
  <c r="B4608" i="1"/>
  <c r="A4609" i="1"/>
  <c r="B4609" i="1"/>
  <c r="A4610" i="1"/>
  <c r="B4610" i="1"/>
  <c r="A4611" i="1"/>
  <c r="B4611" i="1"/>
  <c r="A4612" i="1"/>
  <c r="B4612" i="1"/>
  <c r="A4613" i="1"/>
  <c r="B4613" i="1"/>
  <c r="A4614" i="1"/>
  <c r="B4614" i="1"/>
  <c r="A4615" i="1"/>
  <c r="B4615" i="1"/>
  <c r="A4616" i="1"/>
  <c r="B4616" i="1"/>
  <c r="A4617" i="1"/>
  <c r="B4617" i="1"/>
  <c r="A4618" i="1"/>
  <c r="B4618" i="1"/>
  <c r="A4619" i="1"/>
  <c r="B4619" i="1"/>
  <c r="A4620" i="1"/>
  <c r="B4620" i="1"/>
  <c r="A4621" i="1"/>
  <c r="B4621" i="1"/>
  <c r="A4622" i="1"/>
  <c r="B4622" i="1"/>
  <c r="A4623" i="1"/>
  <c r="B4623" i="1"/>
  <c r="A4624" i="1"/>
  <c r="B4624" i="1"/>
  <c r="A4625" i="1"/>
  <c r="B4625" i="1"/>
  <c r="A4626" i="1"/>
  <c r="B4626" i="1"/>
  <c r="A4627" i="1"/>
  <c r="B4627" i="1"/>
  <c r="A4628" i="1"/>
  <c r="B4628" i="1"/>
  <c r="A4629" i="1"/>
  <c r="B4629" i="1"/>
  <c r="A4630" i="1"/>
  <c r="B4630" i="1"/>
  <c r="A4631" i="1"/>
  <c r="B4631" i="1"/>
  <c r="A4632" i="1"/>
  <c r="B4632" i="1"/>
  <c r="A4633" i="1"/>
  <c r="B4633" i="1"/>
  <c r="A4634" i="1"/>
  <c r="B4634" i="1"/>
  <c r="A4635" i="1"/>
  <c r="B4635" i="1"/>
  <c r="A4636" i="1"/>
  <c r="B4636" i="1"/>
  <c r="A4637" i="1"/>
  <c r="B4637" i="1"/>
  <c r="A4638" i="1"/>
  <c r="B4638" i="1"/>
  <c r="A4639" i="1"/>
  <c r="B4639" i="1"/>
  <c r="A4640" i="1"/>
  <c r="B4640" i="1"/>
  <c r="A4641" i="1"/>
  <c r="B4641" i="1"/>
  <c r="A4642" i="1"/>
  <c r="B4642" i="1"/>
  <c r="A4643" i="1"/>
  <c r="B4643" i="1"/>
  <c r="A4644" i="1"/>
  <c r="B4644" i="1"/>
  <c r="A4645" i="1"/>
  <c r="B4645" i="1"/>
  <c r="A4646" i="1"/>
  <c r="B4646" i="1"/>
  <c r="A4647" i="1"/>
  <c r="B4647" i="1"/>
  <c r="A4648" i="1"/>
  <c r="B4648" i="1"/>
  <c r="A4649" i="1"/>
  <c r="B4649" i="1"/>
  <c r="A4650" i="1"/>
  <c r="B4650" i="1"/>
  <c r="A4651" i="1"/>
  <c r="B4651" i="1"/>
  <c r="A4652" i="1"/>
  <c r="B4652" i="1"/>
  <c r="A4653" i="1"/>
  <c r="B4653" i="1"/>
  <c r="A4654" i="1"/>
  <c r="B4654" i="1"/>
  <c r="A4655" i="1"/>
  <c r="B4655" i="1"/>
  <c r="A4656" i="1"/>
  <c r="B4656" i="1"/>
  <c r="A4657" i="1"/>
  <c r="B4657" i="1"/>
  <c r="A4658" i="1"/>
  <c r="B4658" i="1"/>
  <c r="A4659" i="1"/>
  <c r="B4659" i="1"/>
  <c r="A4660" i="1"/>
  <c r="B4660" i="1"/>
  <c r="A4661" i="1"/>
  <c r="B4661" i="1"/>
  <c r="A4662" i="1"/>
  <c r="B4662" i="1"/>
  <c r="A4663" i="1"/>
  <c r="B4663" i="1"/>
  <c r="A4664" i="1"/>
  <c r="B4664" i="1"/>
  <c r="A4665" i="1"/>
  <c r="B4665" i="1"/>
  <c r="A4666" i="1"/>
  <c r="B4666" i="1"/>
  <c r="A4667" i="1"/>
  <c r="B4667" i="1"/>
  <c r="A4668" i="1"/>
  <c r="B4668" i="1"/>
  <c r="A4669" i="1"/>
  <c r="B4669" i="1"/>
  <c r="A4670" i="1"/>
  <c r="B4670" i="1"/>
  <c r="A4671" i="1"/>
  <c r="B4671" i="1"/>
  <c r="A4672" i="1"/>
  <c r="B4672" i="1"/>
  <c r="A4673" i="1"/>
  <c r="B4673" i="1"/>
  <c r="A4674" i="1"/>
  <c r="B4674" i="1"/>
  <c r="A4675" i="1"/>
  <c r="B4675" i="1"/>
  <c r="A4676" i="1"/>
  <c r="B4676" i="1"/>
  <c r="A4677" i="1"/>
  <c r="B4677" i="1"/>
  <c r="A4678" i="1"/>
  <c r="B4678" i="1"/>
  <c r="A4679" i="1"/>
  <c r="B4679" i="1"/>
  <c r="A4680" i="1"/>
  <c r="B4680" i="1"/>
  <c r="A4681" i="1"/>
  <c r="B4681" i="1"/>
  <c r="A4682" i="1"/>
  <c r="B4682" i="1"/>
  <c r="A4683" i="1"/>
  <c r="B4683" i="1"/>
  <c r="A4684" i="1"/>
  <c r="B4684" i="1"/>
  <c r="A4685" i="1"/>
  <c r="B4685" i="1"/>
  <c r="A4686" i="1"/>
  <c r="B4686" i="1"/>
  <c r="A4687" i="1"/>
  <c r="B4687" i="1"/>
  <c r="A4688" i="1"/>
  <c r="B4688" i="1"/>
  <c r="A4689" i="1"/>
  <c r="B4689" i="1"/>
  <c r="A4690" i="1"/>
  <c r="B4690" i="1"/>
  <c r="A4691" i="1"/>
  <c r="B4691" i="1"/>
  <c r="A4692" i="1"/>
  <c r="B4692" i="1"/>
  <c r="A4693" i="1"/>
  <c r="B4693" i="1"/>
  <c r="A4694" i="1"/>
  <c r="B4694" i="1"/>
  <c r="A4695" i="1"/>
  <c r="B4695" i="1"/>
  <c r="A4696" i="1"/>
  <c r="B4696" i="1"/>
  <c r="A4697" i="1"/>
  <c r="B4697" i="1"/>
  <c r="A4698" i="1"/>
  <c r="B4698" i="1"/>
  <c r="A4699" i="1"/>
  <c r="B4699" i="1"/>
  <c r="A4700" i="1"/>
  <c r="B4700" i="1"/>
  <c r="A4701" i="1"/>
  <c r="B4701" i="1"/>
  <c r="A4702" i="1"/>
  <c r="B4702" i="1"/>
  <c r="A4703" i="1"/>
  <c r="B4703" i="1"/>
  <c r="A4704" i="1"/>
  <c r="B4704" i="1"/>
  <c r="A4705" i="1"/>
  <c r="B4705" i="1"/>
  <c r="A4706" i="1"/>
  <c r="B4706" i="1"/>
  <c r="A4707" i="1"/>
  <c r="B4707" i="1"/>
  <c r="A4708" i="1"/>
  <c r="B4708" i="1"/>
  <c r="A4709" i="1"/>
  <c r="B4709" i="1"/>
  <c r="A4710" i="1"/>
  <c r="B4710" i="1"/>
  <c r="A4711" i="1"/>
  <c r="B4711" i="1"/>
  <c r="A4712" i="1"/>
  <c r="B4712" i="1"/>
  <c r="A4713" i="1"/>
  <c r="B4713" i="1"/>
  <c r="A4714" i="1"/>
  <c r="B4714" i="1"/>
  <c r="A4715" i="1"/>
  <c r="B4715" i="1"/>
  <c r="A4716" i="1"/>
  <c r="B4716" i="1"/>
  <c r="A4717" i="1"/>
  <c r="B4717" i="1"/>
  <c r="A4718" i="1"/>
  <c r="B4718" i="1"/>
  <c r="A4719" i="1"/>
  <c r="B4719" i="1"/>
  <c r="A4720" i="1"/>
  <c r="B4720" i="1"/>
  <c r="A4721" i="1"/>
  <c r="B4721" i="1"/>
  <c r="A4722" i="1"/>
  <c r="B4722" i="1"/>
  <c r="A4723" i="1"/>
  <c r="B4723" i="1"/>
  <c r="A4724" i="1"/>
  <c r="B4724" i="1"/>
  <c r="A4725" i="1"/>
  <c r="B4725" i="1"/>
  <c r="A4726" i="1"/>
  <c r="B4726" i="1"/>
  <c r="A4727" i="1"/>
  <c r="B4727" i="1"/>
  <c r="A4728" i="1"/>
  <c r="B4728" i="1"/>
  <c r="A4729" i="1"/>
  <c r="B4729" i="1"/>
  <c r="A4730" i="1"/>
  <c r="B4730" i="1"/>
  <c r="A4731" i="1"/>
  <c r="B4731" i="1"/>
  <c r="A4732" i="1"/>
  <c r="B4732" i="1"/>
  <c r="A4733" i="1"/>
  <c r="B4733" i="1"/>
  <c r="A4734" i="1"/>
  <c r="B4734" i="1"/>
  <c r="A4735" i="1"/>
  <c r="B4735" i="1"/>
  <c r="A4736" i="1"/>
  <c r="B4736" i="1"/>
  <c r="A4737" i="1"/>
  <c r="B4737" i="1"/>
  <c r="A4738" i="1"/>
  <c r="B4738" i="1"/>
  <c r="A4739" i="1"/>
  <c r="B4739" i="1"/>
  <c r="A4740" i="1"/>
  <c r="B4740" i="1"/>
  <c r="A4741" i="1"/>
  <c r="B4741" i="1"/>
  <c r="A4742" i="1"/>
  <c r="B4742" i="1"/>
  <c r="A4743" i="1"/>
  <c r="B4743" i="1"/>
  <c r="A4744" i="1"/>
  <c r="B4744" i="1"/>
  <c r="A4745" i="1"/>
  <c r="B4745" i="1"/>
  <c r="A4746" i="1"/>
  <c r="B4746" i="1"/>
  <c r="A4747" i="1"/>
  <c r="B4747" i="1"/>
  <c r="A4748" i="1"/>
  <c r="B4748" i="1"/>
  <c r="A4749" i="1"/>
  <c r="B4749" i="1"/>
  <c r="A4750" i="1"/>
  <c r="B4750" i="1"/>
  <c r="A4751" i="1"/>
  <c r="B4751" i="1"/>
  <c r="A4752" i="1"/>
  <c r="B4752" i="1"/>
  <c r="A4753" i="1"/>
  <c r="B4753" i="1"/>
  <c r="A4754" i="1"/>
  <c r="B4754" i="1"/>
  <c r="A4755" i="1"/>
  <c r="B4755" i="1"/>
  <c r="A4756" i="1"/>
  <c r="B4756" i="1"/>
  <c r="A4757" i="1"/>
  <c r="B4757" i="1"/>
  <c r="A4758" i="1"/>
  <c r="B4758" i="1"/>
  <c r="A4759" i="1"/>
  <c r="B4759" i="1"/>
  <c r="A4760" i="1"/>
  <c r="B4760" i="1"/>
  <c r="A4761" i="1"/>
  <c r="B4761" i="1"/>
  <c r="A4762" i="1"/>
  <c r="B4762" i="1"/>
  <c r="A4763" i="1"/>
  <c r="B4763" i="1"/>
  <c r="A4764" i="1"/>
  <c r="B4764" i="1"/>
  <c r="A4765" i="1"/>
  <c r="B4765" i="1"/>
  <c r="A4766" i="1"/>
  <c r="B4766" i="1"/>
  <c r="A4767" i="1"/>
  <c r="B4767" i="1"/>
  <c r="A4768" i="1"/>
  <c r="B4768" i="1"/>
  <c r="A4769" i="1"/>
  <c r="B4769" i="1"/>
  <c r="A4770" i="1"/>
  <c r="B4770" i="1"/>
  <c r="A4771" i="1"/>
  <c r="B4771" i="1"/>
  <c r="A4772" i="1"/>
  <c r="B4772" i="1"/>
  <c r="A4773" i="1"/>
  <c r="B4773" i="1"/>
  <c r="A4774" i="1"/>
  <c r="B4774" i="1"/>
  <c r="A4775" i="1"/>
  <c r="B4775" i="1"/>
  <c r="A4776" i="1"/>
  <c r="B4776" i="1"/>
  <c r="A4777" i="1"/>
  <c r="B4777" i="1"/>
  <c r="A4778" i="1"/>
  <c r="B4778" i="1"/>
  <c r="A4779" i="1"/>
  <c r="B4779" i="1"/>
  <c r="A4780" i="1"/>
  <c r="B4780" i="1"/>
  <c r="A4781" i="1"/>
  <c r="B4781" i="1"/>
  <c r="A4782" i="1"/>
  <c r="B4782" i="1"/>
  <c r="A4783" i="1"/>
  <c r="B4783" i="1"/>
  <c r="A4784" i="1"/>
  <c r="B4784" i="1"/>
  <c r="A4785" i="1"/>
  <c r="B4785" i="1"/>
  <c r="A4786" i="1"/>
  <c r="B4786" i="1"/>
  <c r="A4787" i="1"/>
  <c r="B4787" i="1"/>
  <c r="A4788" i="1"/>
  <c r="B4788" i="1"/>
  <c r="A4789" i="1"/>
  <c r="B4789" i="1"/>
  <c r="A4790" i="1"/>
  <c r="B4790" i="1"/>
  <c r="A4791" i="1"/>
  <c r="B4791" i="1"/>
  <c r="A4792" i="1"/>
  <c r="B4792" i="1"/>
  <c r="A4793" i="1"/>
  <c r="B4793" i="1"/>
  <c r="A4794" i="1"/>
  <c r="B4794" i="1"/>
  <c r="A4795" i="1"/>
  <c r="B4795" i="1"/>
  <c r="A4796" i="1"/>
  <c r="B4796" i="1"/>
  <c r="A4797" i="1"/>
  <c r="B4797" i="1"/>
  <c r="A4798" i="1"/>
  <c r="B4798" i="1"/>
  <c r="A4799" i="1"/>
  <c r="B4799" i="1"/>
  <c r="A4800" i="1"/>
  <c r="B4800" i="1"/>
  <c r="A4801" i="1"/>
  <c r="B4801" i="1"/>
  <c r="A4802" i="1"/>
  <c r="B4802" i="1"/>
  <c r="A4803" i="1"/>
  <c r="B4803" i="1"/>
  <c r="A4804" i="1"/>
  <c r="B4804" i="1"/>
  <c r="A4805" i="1"/>
  <c r="B4805" i="1"/>
  <c r="A4806" i="1"/>
  <c r="B4806" i="1"/>
  <c r="A4807" i="1"/>
  <c r="B4807" i="1"/>
  <c r="A4808" i="1"/>
  <c r="B4808" i="1"/>
  <c r="A4809" i="1"/>
  <c r="B4809" i="1"/>
  <c r="A4810" i="1"/>
  <c r="B4810" i="1"/>
  <c r="A4811" i="1"/>
  <c r="B4811" i="1"/>
  <c r="A4812" i="1"/>
  <c r="B4812" i="1"/>
  <c r="A4813" i="1"/>
  <c r="B4813" i="1"/>
  <c r="A4814" i="1"/>
  <c r="B4814" i="1"/>
  <c r="A4815" i="1"/>
  <c r="B4815" i="1"/>
  <c r="A4816" i="1"/>
  <c r="B4816" i="1"/>
  <c r="A4817" i="1"/>
  <c r="B4817" i="1"/>
  <c r="A4818" i="1"/>
  <c r="B4818" i="1"/>
  <c r="A4819" i="1"/>
  <c r="B4819" i="1"/>
  <c r="A4820" i="1"/>
  <c r="B4820" i="1"/>
  <c r="A4821" i="1"/>
  <c r="B4821" i="1"/>
  <c r="A4822" i="1"/>
  <c r="B4822" i="1"/>
  <c r="A4823" i="1"/>
  <c r="B4823" i="1"/>
  <c r="A4824" i="1"/>
  <c r="B4824" i="1"/>
  <c r="A4825" i="1"/>
  <c r="B4825" i="1"/>
  <c r="A4826" i="1"/>
  <c r="B4826" i="1"/>
  <c r="A4827" i="1"/>
  <c r="B4827" i="1"/>
  <c r="A4828" i="1"/>
  <c r="B4828" i="1"/>
  <c r="A4829" i="1"/>
  <c r="B4829" i="1"/>
  <c r="A4830" i="1"/>
  <c r="B4830" i="1"/>
  <c r="A4831" i="1"/>
  <c r="B4831" i="1"/>
  <c r="A4832" i="1"/>
  <c r="B4832" i="1"/>
  <c r="A4833" i="1"/>
  <c r="B4833" i="1"/>
  <c r="A4834" i="1"/>
  <c r="B4834" i="1"/>
  <c r="A4835" i="1"/>
  <c r="B4835" i="1"/>
  <c r="A4836" i="1"/>
  <c r="B4836" i="1"/>
  <c r="A4837" i="1"/>
  <c r="B4837" i="1"/>
  <c r="A4838" i="1"/>
  <c r="B4838" i="1"/>
  <c r="A4839" i="1"/>
  <c r="B4839" i="1"/>
  <c r="A4840" i="1"/>
  <c r="B4840" i="1"/>
  <c r="A4841" i="1"/>
  <c r="B4841" i="1"/>
  <c r="A4842" i="1"/>
  <c r="B4842" i="1"/>
  <c r="A4843" i="1"/>
  <c r="B4843" i="1"/>
  <c r="A4844" i="1"/>
  <c r="B4844" i="1"/>
  <c r="A4845" i="1"/>
  <c r="B4845" i="1"/>
  <c r="A4846" i="1"/>
  <c r="B4846" i="1"/>
  <c r="A4847" i="1"/>
  <c r="B4847" i="1"/>
  <c r="A4848" i="1"/>
  <c r="B4848" i="1"/>
  <c r="A4849" i="1"/>
  <c r="B4849" i="1"/>
  <c r="A4850" i="1"/>
  <c r="B4850" i="1"/>
  <c r="A4851" i="1"/>
  <c r="B4851" i="1"/>
  <c r="A4852" i="1"/>
  <c r="B4852" i="1"/>
  <c r="A4853" i="1"/>
  <c r="B4853" i="1"/>
  <c r="A4854" i="1"/>
  <c r="B4854" i="1"/>
  <c r="A4855" i="1"/>
  <c r="B4855" i="1"/>
  <c r="A4856" i="1"/>
  <c r="B4856" i="1"/>
  <c r="A4857" i="1"/>
  <c r="B4857" i="1"/>
  <c r="A4858" i="1"/>
  <c r="B4858" i="1"/>
  <c r="A4859" i="1"/>
  <c r="B4859" i="1"/>
  <c r="A4860" i="1"/>
  <c r="B4860" i="1"/>
  <c r="A4861" i="1"/>
  <c r="B4861" i="1"/>
  <c r="A4862" i="1"/>
  <c r="B4862" i="1"/>
  <c r="A4863" i="1"/>
  <c r="B4863" i="1"/>
  <c r="A4864" i="1"/>
  <c r="B4864" i="1"/>
  <c r="A4865" i="1"/>
  <c r="B4865" i="1"/>
  <c r="A4866" i="1"/>
  <c r="B4866" i="1"/>
  <c r="A4867" i="1"/>
  <c r="B4867" i="1"/>
  <c r="A4868" i="1"/>
  <c r="B4868" i="1"/>
  <c r="A4869" i="1"/>
  <c r="B4869" i="1"/>
  <c r="A4870" i="1"/>
  <c r="B4870" i="1"/>
  <c r="A4871" i="1"/>
  <c r="B4871" i="1"/>
  <c r="A4872" i="1"/>
  <c r="B4872" i="1"/>
  <c r="A4873" i="1"/>
  <c r="B4873" i="1"/>
  <c r="A4874" i="1"/>
  <c r="B4874" i="1"/>
  <c r="A4875" i="1"/>
  <c r="B4875" i="1"/>
  <c r="A4876" i="1"/>
  <c r="B4876" i="1"/>
  <c r="A4877" i="1"/>
  <c r="B4877" i="1"/>
  <c r="A4878" i="1"/>
  <c r="B4878" i="1"/>
  <c r="A4879" i="1"/>
  <c r="B4879" i="1"/>
  <c r="A4880" i="1"/>
  <c r="B4880" i="1"/>
  <c r="A4881" i="1"/>
  <c r="B4881" i="1"/>
  <c r="A4882" i="1"/>
  <c r="B4882" i="1"/>
  <c r="A4883" i="1"/>
  <c r="B4883" i="1"/>
  <c r="A4884" i="1"/>
  <c r="B4884" i="1"/>
  <c r="A4885" i="1"/>
  <c r="B4885" i="1"/>
  <c r="A4886" i="1"/>
  <c r="B4886" i="1"/>
  <c r="A4887" i="1"/>
  <c r="B4887" i="1"/>
  <c r="A4888" i="1"/>
  <c r="B4888" i="1"/>
  <c r="A4889" i="1"/>
  <c r="B4889" i="1"/>
  <c r="A4890" i="1"/>
  <c r="B4890" i="1"/>
  <c r="A4891" i="1"/>
  <c r="B4891" i="1"/>
  <c r="A4892" i="1"/>
  <c r="B4892" i="1"/>
  <c r="A4893" i="1"/>
  <c r="B4893" i="1"/>
  <c r="A4894" i="1"/>
  <c r="B4894" i="1"/>
  <c r="A4895" i="1"/>
  <c r="B4895" i="1"/>
  <c r="A4896" i="1"/>
  <c r="B4896" i="1"/>
  <c r="A4897" i="1"/>
  <c r="B4897" i="1"/>
  <c r="A4898" i="1"/>
  <c r="B4898" i="1"/>
  <c r="A4899" i="1"/>
  <c r="B4899" i="1"/>
  <c r="A4900" i="1"/>
  <c r="B4900" i="1"/>
  <c r="A4901" i="1"/>
  <c r="B4901" i="1"/>
  <c r="A4902" i="1"/>
  <c r="B4902" i="1"/>
  <c r="A4903" i="1"/>
  <c r="B4903" i="1"/>
  <c r="A4904" i="1"/>
  <c r="B4904" i="1"/>
  <c r="A4905" i="1"/>
  <c r="B4905" i="1"/>
  <c r="A4906" i="1"/>
  <c r="B4906" i="1"/>
  <c r="A4907" i="1"/>
  <c r="B4907" i="1"/>
  <c r="A4908" i="1"/>
  <c r="B4908" i="1"/>
  <c r="A4909" i="1"/>
  <c r="B4909" i="1"/>
  <c r="A4910" i="1"/>
  <c r="B4910" i="1"/>
  <c r="A4911" i="1"/>
  <c r="B4911" i="1"/>
  <c r="A4912" i="1"/>
  <c r="B4912" i="1"/>
  <c r="A4913" i="1"/>
  <c r="B4913" i="1"/>
  <c r="A4914" i="1"/>
  <c r="B4914" i="1"/>
  <c r="A4915" i="1"/>
  <c r="B4915" i="1"/>
  <c r="A4916" i="1"/>
  <c r="B4916" i="1"/>
  <c r="A4917" i="1"/>
  <c r="B4917" i="1"/>
  <c r="A4918" i="1"/>
  <c r="B4918" i="1"/>
  <c r="A4919" i="1"/>
  <c r="B4919" i="1"/>
  <c r="A4920" i="1"/>
  <c r="B4920" i="1"/>
  <c r="A4921" i="1"/>
  <c r="B4921" i="1"/>
  <c r="A4922" i="1"/>
  <c r="B4922" i="1"/>
  <c r="A4923" i="1"/>
  <c r="B4923" i="1"/>
  <c r="A4924" i="1"/>
  <c r="B4924" i="1"/>
  <c r="A4925" i="1"/>
  <c r="B4925" i="1"/>
  <c r="A4926" i="1"/>
  <c r="B4926" i="1"/>
  <c r="A4927" i="1"/>
  <c r="B4927" i="1"/>
  <c r="A4928" i="1"/>
  <c r="B4928" i="1"/>
  <c r="A4929" i="1"/>
  <c r="B4929" i="1"/>
  <c r="A4930" i="1"/>
  <c r="B4930" i="1"/>
  <c r="A4931" i="1"/>
  <c r="B4931" i="1"/>
  <c r="A4932" i="1"/>
  <c r="B4932" i="1"/>
  <c r="A4933" i="1"/>
  <c r="B4933" i="1"/>
  <c r="A4934" i="1"/>
  <c r="B4934" i="1"/>
  <c r="A4935" i="1"/>
  <c r="B4935" i="1"/>
  <c r="A4936" i="1"/>
  <c r="B4936" i="1"/>
  <c r="A4937" i="1"/>
  <c r="B4937" i="1"/>
  <c r="A4938" i="1"/>
  <c r="B4938" i="1"/>
  <c r="A4939" i="1"/>
  <c r="B4939" i="1"/>
  <c r="A4940" i="1"/>
  <c r="B4940" i="1"/>
  <c r="A4941" i="1"/>
  <c r="B4941" i="1"/>
  <c r="A4942" i="1"/>
  <c r="B4942" i="1"/>
  <c r="A4943" i="1"/>
  <c r="B4943" i="1"/>
  <c r="A4944" i="1"/>
  <c r="B4944" i="1"/>
  <c r="A4945" i="1"/>
  <c r="B4945" i="1"/>
  <c r="A4946" i="1"/>
  <c r="B4946" i="1"/>
  <c r="A4947" i="1"/>
  <c r="B4947" i="1"/>
  <c r="A4948" i="1"/>
  <c r="B4948" i="1"/>
  <c r="A4949" i="1"/>
  <c r="B4949" i="1"/>
  <c r="A4950" i="1"/>
  <c r="B4950" i="1"/>
  <c r="A4951" i="1"/>
  <c r="B4951" i="1"/>
  <c r="A4952" i="1"/>
  <c r="B4952" i="1"/>
  <c r="A4953" i="1"/>
  <c r="B4953" i="1"/>
  <c r="A4954" i="1"/>
  <c r="B4954" i="1"/>
  <c r="A4955" i="1"/>
  <c r="B4955" i="1"/>
  <c r="A4956" i="1"/>
  <c r="B4956" i="1"/>
  <c r="A4957" i="1"/>
  <c r="B4957" i="1"/>
  <c r="A4958" i="1"/>
  <c r="B4958" i="1"/>
  <c r="A4959" i="1"/>
  <c r="B4959" i="1"/>
  <c r="A4960" i="1"/>
  <c r="B4960" i="1"/>
  <c r="A4961" i="1"/>
  <c r="B4961" i="1"/>
  <c r="A4962" i="1"/>
  <c r="B4962" i="1"/>
  <c r="A4963" i="1"/>
  <c r="B4963" i="1"/>
  <c r="A4964" i="1"/>
  <c r="B4964" i="1"/>
  <c r="A4965" i="1"/>
  <c r="B4965" i="1"/>
  <c r="A4966" i="1"/>
  <c r="B4966" i="1"/>
  <c r="A4967" i="1"/>
  <c r="B4967" i="1"/>
  <c r="A4968" i="1"/>
  <c r="B4968" i="1"/>
  <c r="A4969" i="1"/>
  <c r="B4969" i="1"/>
  <c r="A4970" i="1"/>
  <c r="B4970" i="1"/>
  <c r="A4971" i="1"/>
  <c r="B4971" i="1"/>
  <c r="A4972" i="1"/>
  <c r="B4972" i="1"/>
  <c r="A4973" i="1"/>
  <c r="B4973" i="1"/>
  <c r="A4974" i="1"/>
  <c r="B4974" i="1"/>
  <c r="A4975" i="1"/>
  <c r="B4975" i="1"/>
  <c r="A4976" i="1"/>
  <c r="B4976" i="1"/>
  <c r="A4977" i="1"/>
  <c r="B4977" i="1"/>
  <c r="A4978" i="1"/>
  <c r="B4978" i="1"/>
  <c r="A4979" i="1"/>
  <c r="B4979" i="1"/>
  <c r="A4980" i="1"/>
  <c r="B4980" i="1"/>
  <c r="A4981" i="1"/>
  <c r="B4981" i="1"/>
  <c r="A4982" i="1"/>
  <c r="B4982" i="1"/>
  <c r="A4983" i="1"/>
  <c r="B4983" i="1"/>
  <c r="A4984" i="1"/>
  <c r="B4984" i="1"/>
  <c r="A4985" i="1"/>
  <c r="B4985" i="1"/>
  <c r="A4986" i="1"/>
  <c r="B4986" i="1"/>
  <c r="A4987" i="1"/>
  <c r="B4987" i="1"/>
  <c r="A4988" i="1"/>
  <c r="B4988" i="1"/>
  <c r="A4989" i="1"/>
  <c r="B4989" i="1"/>
  <c r="A4990" i="1"/>
  <c r="B4990" i="1"/>
  <c r="A4991" i="1"/>
  <c r="B4991" i="1"/>
  <c r="A4992" i="1"/>
  <c r="B4992" i="1"/>
  <c r="A4993" i="1"/>
  <c r="B4993" i="1"/>
  <c r="A4994" i="1"/>
  <c r="B4994" i="1"/>
  <c r="A4995" i="1"/>
  <c r="B4995" i="1"/>
  <c r="A4996" i="1"/>
  <c r="B4996" i="1"/>
  <c r="A4997" i="1"/>
  <c r="B4997" i="1"/>
  <c r="A4998" i="1"/>
  <c r="B4998" i="1"/>
  <c r="A4999" i="1"/>
  <c r="B4999" i="1"/>
  <c r="A5000" i="1"/>
  <c r="B5000" i="1"/>
  <c r="A5001" i="1"/>
  <c r="B5001" i="1"/>
  <c r="A5002" i="1"/>
  <c r="B5002" i="1"/>
  <c r="A5003" i="1"/>
  <c r="B5003" i="1"/>
  <c r="A5004" i="1"/>
  <c r="B5004" i="1"/>
  <c r="A5005" i="1"/>
  <c r="B5005" i="1"/>
  <c r="A5006" i="1"/>
  <c r="B5006" i="1"/>
  <c r="A5007" i="1"/>
  <c r="B5007" i="1"/>
  <c r="A5008" i="1"/>
  <c r="B5008" i="1"/>
  <c r="A5009" i="1"/>
  <c r="B5009" i="1"/>
  <c r="A5010" i="1"/>
  <c r="B5010" i="1"/>
  <c r="A5011" i="1"/>
  <c r="B5011" i="1"/>
  <c r="A5012" i="1"/>
  <c r="B5012" i="1"/>
  <c r="A5013" i="1"/>
  <c r="B5013" i="1"/>
  <c r="A5014" i="1"/>
  <c r="B5014" i="1"/>
  <c r="A5015" i="1"/>
  <c r="B5015" i="1"/>
  <c r="A5016" i="1"/>
  <c r="B5016" i="1"/>
  <c r="A5017" i="1"/>
  <c r="B5017" i="1"/>
  <c r="A5018" i="1"/>
  <c r="B5018" i="1"/>
  <c r="A5019" i="1"/>
  <c r="B5019" i="1"/>
  <c r="A5020" i="1"/>
  <c r="B5020" i="1"/>
  <c r="A5021" i="1"/>
  <c r="B5021" i="1"/>
  <c r="A5022" i="1"/>
  <c r="B5022" i="1"/>
  <c r="A5023" i="1"/>
  <c r="B5023" i="1"/>
  <c r="A5024" i="1"/>
  <c r="B5024" i="1"/>
  <c r="A5025" i="1"/>
  <c r="B5025" i="1"/>
  <c r="A5026" i="1"/>
  <c r="B5026" i="1"/>
  <c r="A5027" i="1"/>
  <c r="B5027" i="1"/>
  <c r="A5028" i="1"/>
  <c r="B5028" i="1"/>
  <c r="A5029" i="1"/>
  <c r="B5029" i="1"/>
  <c r="A5030" i="1"/>
  <c r="B5030" i="1"/>
  <c r="A5031" i="1"/>
  <c r="B5031" i="1"/>
  <c r="A5032" i="1"/>
  <c r="B5032" i="1"/>
  <c r="A5033" i="1"/>
  <c r="B5033" i="1"/>
  <c r="A5034" i="1"/>
  <c r="B5034" i="1"/>
  <c r="A5035" i="1"/>
  <c r="B5035" i="1"/>
  <c r="A5036" i="1"/>
  <c r="B5036" i="1"/>
  <c r="A5037" i="1"/>
  <c r="B5037" i="1"/>
  <c r="A5038" i="1"/>
  <c r="B5038" i="1"/>
  <c r="A5039" i="1"/>
  <c r="B5039" i="1"/>
  <c r="A5040" i="1"/>
  <c r="B5040" i="1"/>
  <c r="A5041" i="1"/>
  <c r="B5041" i="1"/>
  <c r="A5042" i="1"/>
  <c r="B5042" i="1"/>
  <c r="A5043" i="1"/>
  <c r="B5043" i="1"/>
  <c r="A5044" i="1"/>
  <c r="B5044" i="1"/>
  <c r="A5045" i="1"/>
  <c r="B5045" i="1"/>
  <c r="A5046" i="1"/>
  <c r="B5046" i="1"/>
  <c r="A5047" i="1"/>
  <c r="B5047" i="1"/>
  <c r="A5048" i="1"/>
  <c r="B5048" i="1"/>
  <c r="A5049" i="1"/>
  <c r="B5049" i="1"/>
  <c r="A5050" i="1"/>
  <c r="B5050" i="1"/>
  <c r="A5051" i="1"/>
  <c r="B5051" i="1"/>
  <c r="A5052" i="1"/>
  <c r="B5052" i="1"/>
  <c r="A5053" i="1"/>
  <c r="B5053" i="1"/>
  <c r="A5054" i="1"/>
  <c r="B5054" i="1"/>
  <c r="A5055" i="1"/>
  <c r="B5055" i="1"/>
  <c r="A5056" i="1"/>
  <c r="B5056" i="1"/>
  <c r="A5057" i="1"/>
  <c r="B5057" i="1"/>
  <c r="A5058" i="1"/>
  <c r="B5058" i="1"/>
  <c r="A5059" i="1"/>
  <c r="B5059" i="1"/>
  <c r="A5060" i="1"/>
  <c r="B5060" i="1"/>
  <c r="A5061" i="1"/>
  <c r="B5061" i="1"/>
  <c r="A5062" i="1"/>
  <c r="B5062" i="1"/>
  <c r="A5063" i="1"/>
  <c r="B5063" i="1"/>
  <c r="A5064" i="1"/>
  <c r="B5064" i="1"/>
  <c r="A5065" i="1"/>
  <c r="B5065" i="1"/>
  <c r="A5066" i="1"/>
  <c r="B5066" i="1"/>
  <c r="A5067" i="1"/>
  <c r="B5067" i="1"/>
  <c r="A5068" i="1"/>
  <c r="B5068" i="1"/>
  <c r="A5069" i="1"/>
  <c r="B5069" i="1"/>
  <c r="A5070" i="1"/>
  <c r="B5070" i="1"/>
  <c r="A5071" i="1"/>
  <c r="B5071" i="1"/>
  <c r="A5072" i="1"/>
  <c r="B5072" i="1"/>
  <c r="A5073" i="1"/>
  <c r="B5073" i="1"/>
  <c r="A5074" i="1"/>
  <c r="B5074" i="1"/>
  <c r="A5075" i="1"/>
  <c r="B5075" i="1"/>
  <c r="A5076" i="1"/>
  <c r="B5076" i="1"/>
  <c r="A5077" i="1"/>
  <c r="B5077" i="1"/>
  <c r="A5078" i="1"/>
  <c r="B5078" i="1"/>
  <c r="A5079" i="1"/>
  <c r="B5079" i="1"/>
  <c r="A5080" i="1"/>
  <c r="B5080" i="1"/>
  <c r="A5081" i="1"/>
  <c r="B5081" i="1"/>
  <c r="A5082" i="1"/>
  <c r="B5082" i="1"/>
  <c r="A5083" i="1"/>
  <c r="B5083" i="1"/>
  <c r="A5084" i="1"/>
  <c r="B5084" i="1"/>
  <c r="A5085" i="1"/>
  <c r="B5085" i="1"/>
  <c r="A5086" i="1"/>
  <c r="B5086" i="1"/>
  <c r="A5087" i="1"/>
  <c r="B5087" i="1"/>
  <c r="A5088" i="1"/>
  <c r="B5088" i="1"/>
  <c r="A5089" i="1"/>
  <c r="B5089" i="1"/>
  <c r="A5090" i="1"/>
  <c r="B5090" i="1"/>
  <c r="A5091" i="1"/>
  <c r="B5091" i="1"/>
  <c r="A5092" i="1"/>
  <c r="B5092" i="1"/>
  <c r="A5093" i="1"/>
  <c r="B5093" i="1"/>
  <c r="A5094" i="1"/>
  <c r="B5094" i="1"/>
  <c r="A5095" i="1"/>
  <c r="B5095" i="1"/>
  <c r="A5096" i="1"/>
  <c r="B5096" i="1"/>
  <c r="A5097" i="1"/>
  <c r="B5097" i="1"/>
  <c r="A5098" i="1"/>
  <c r="B5098" i="1"/>
  <c r="A5099" i="1"/>
  <c r="B5099" i="1"/>
  <c r="A5100" i="1"/>
  <c r="B5100" i="1"/>
  <c r="A5101" i="1"/>
  <c r="B5101" i="1"/>
  <c r="A5102" i="1"/>
  <c r="B5102" i="1"/>
  <c r="A5103" i="1"/>
  <c r="B5103" i="1"/>
  <c r="A5104" i="1"/>
  <c r="B5104" i="1"/>
  <c r="A5105" i="1"/>
  <c r="B5105" i="1"/>
  <c r="A5106" i="1"/>
  <c r="B5106" i="1"/>
  <c r="A5107" i="1"/>
  <c r="B5107" i="1"/>
  <c r="A5108" i="1"/>
  <c r="B5108" i="1"/>
  <c r="A5109" i="1"/>
  <c r="B5109" i="1"/>
  <c r="A5110" i="1"/>
  <c r="B5110" i="1"/>
  <c r="A5111" i="1"/>
  <c r="B5111" i="1"/>
  <c r="A5112" i="1"/>
  <c r="B5112" i="1"/>
  <c r="A5113" i="1"/>
  <c r="B5113" i="1"/>
  <c r="A5114" i="1"/>
  <c r="B5114" i="1"/>
  <c r="A5115" i="1"/>
  <c r="B5115" i="1"/>
  <c r="A5116" i="1"/>
  <c r="B5116" i="1"/>
  <c r="A5117" i="1"/>
  <c r="B5117" i="1"/>
  <c r="A5118" i="1"/>
  <c r="B5118" i="1"/>
  <c r="A5119" i="1"/>
  <c r="B5119" i="1"/>
  <c r="A5120" i="1"/>
  <c r="B5120" i="1"/>
  <c r="A5121" i="1"/>
  <c r="B5121" i="1"/>
  <c r="A5122" i="1"/>
  <c r="B5122" i="1"/>
  <c r="A5123" i="1"/>
  <c r="B5123" i="1"/>
  <c r="A5124" i="1"/>
  <c r="B5124" i="1"/>
  <c r="A5125" i="1"/>
  <c r="B5125" i="1"/>
  <c r="A5126" i="1"/>
  <c r="B5126" i="1"/>
  <c r="A5127" i="1"/>
  <c r="B5127" i="1"/>
  <c r="A5128" i="1"/>
  <c r="B5128" i="1"/>
  <c r="A5129" i="1"/>
  <c r="B5129" i="1"/>
  <c r="A5130" i="1"/>
  <c r="B5130" i="1"/>
  <c r="A5131" i="1"/>
  <c r="B5131" i="1"/>
  <c r="A5132" i="1"/>
  <c r="B5132" i="1"/>
  <c r="A5133" i="1"/>
  <c r="B5133" i="1"/>
  <c r="A5134" i="1"/>
  <c r="B5134" i="1"/>
  <c r="A5135" i="1"/>
  <c r="B5135" i="1"/>
  <c r="A5136" i="1"/>
  <c r="B5136" i="1"/>
  <c r="A5137" i="1"/>
  <c r="B5137" i="1"/>
  <c r="A5138" i="1"/>
  <c r="B5138" i="1"/>
  <c r="A5139" i="1"/>
  <c r="B5139" i="1"/>
  <c r="A5140" i="1"/>
  <c r="B5140" i="1"/>
  <c r="A5141" i="1"/>
  <c r="B5141" i="1"/>
  <c r="A5142" i="1"/>
  <c r="B5142" i="1"/>
  <c r="A5143" i="1"/>
  <c r="B5143" i="1"/>
  <c r="A5144" i="1"/>
  <c r="B5144" i="1"/>
  <c r="A5145" i="1"/>
  <c r="B5145" i="1"/>
  <c r="A5146" i="1"/>
  <c r="B5146" i="1"/>
  <c r="A5147" i="1"/>
  <c r="B5147" i="1"/>
  <c r="A5148" i="1"/>
  <c r="B5148" i="1"/>
  <c r="A5149" i="1"/>
  <c r="B5149" i="1"/>
  <c r="A5150" i="1"/>
  <c r="B5150" i="1"/>
  <c r="A5151" i="1"/>
  <c r="B5151" i="1"/>
  <c r="A5152" i="1"/>
  <c r="B5152" i="1"/>
  <c r="A5153" i="1"/>
  <c r="B5153" i="1"/>
  <c r="A5154" i="1"/>
  <c r="B5154" i="1"/>
  <c r="A5155" i="1"/>
  <c r="B5155" i="1"/>
  <c r="A5156" i="1"/>
  <c r="B5156" i="1"/>
  <c r="A5157" i="1"/>
  <c r="B5157" i="1"/>
  <c r="A5158" i="1"/>
  <c r="B5158" i="1"/>
  <c r="A5159" i="1"/>
  <c r="B5159" i="1"/>
  <c r="A5160" i="1"/>
  <c r="B5160" i="1"/>
  <c r="A5161" i="1"/>
  <c r="B5161" i="1"/>
  <c r="A5162" i="1"/>
  <c r="B5162" i="1"/>
  <c r="A5163" i="1"/>
  <c r="B5163" i="1"/>
  <c r="A5164" i="1"/>
  <c r="B5164" i="1"/>
  <c r="A5165" i="1"/>
  <c r="B5165" i="1"/>
  <c r="A5166" i="1"/>
  <c r="B5166" i="1"/>
  <c r="A5167" i="1"/>
  <c r="B5167" i="1"/>
  <c r="A5168" i="1"/>
  <c r="B5168" i="1"/>
  <c r="A5169" i="1"/>
  <c r="B5169" i="1"/>
  <c r="A5170" i="1"/>
  <c r="B5170" i="1"/>
  <c r="A5171" i="1"/>
  <c r="B5171" i="1"/>
  <c r="A5172" i="1"/>
  <c r="B5172" i="1"/>
  <c r="A5173" i="1"/>
  <c r="B5173" i="1"/>
  <c r="A5174" i="1"/>
  <c r="B5174" i="1"/>
  <c r="A5175" i="1"/>
  <c r="B5175" i="1"/>
  <c r="A5176" i="1"/>
  <c r="B5176" i="1"/>
  <c r="A5177" i="1"/>
  <c r="B5177" i="1"/>
  <c r="A5178" i="1"/>
  <c r="B5178" i="1"/>
  <c r="A5179" i="1"/>
  <c r="B5179" i="1"/>
  <c r="A5180" i="1"/>
  <c r="B5180" i="1"/>
  <c r="A5181" i="1"/>
  <c r="B5181" i="1"/>
  <c r="A5182" i="1"/>
  <c r="B5182" i="1"/>
  <c r="A5183" i="1"/>
  <c r="B5183" i="1"/>
  <c r="A5184" i="1"/>
  <c r="B5184" i="1"/>
  <c r="A5185" i="1"/>
  <c r="B5185" i="1"/>
  <c r="A5186" i="1"/>
  <c r="B5186" i="1"/>
  <c r="A5187" i="1"/>
  <c r="B5187" i="1"/>
  <c r="A5188" i="1"/>
  <c r="B5188" i="1"/>
  <c r="A5189" i="1"/>
  <c r="B5189" i="1"/>
  <c r="A5190" i="1"/>
  <c r="B5190" i="1"/>
  <c r="A5191" i="1"/>
  <c r="B5191" i="1"/>
  <c r="A5192" i="1"/>
  <c r="B5192" i="1"/>
  <c r="A5193" i="1"/>
  <c r="B5193" i="1"/>
  <c r="A5194" i="1"/>
  <c r="B5194" i="1"/>
  <c r="A5195" i="1"/>
  <c r="B5195" i="1"/>
  <c r="A5196" i="1"/>
  <c r="B5196" i="1"/>
  <c r="A5197" i="1"/>
  <c r="B5197" i="1"/>
  <c r="A5198" i="1"/>
  <c r="B5198" i="1"/>
  <c r="A5199" i="1"/>
  <c r="B5199" i="1"/>
  <c r="A5200" i="1"/>
  <c r="B5200" i="1"/>
  <c r="A5201" i="1"/>
  <c r="B5201" i="1"/>
  <c r="A5202" i="1"/>
  <c r="B5202" i="1"/>
  <c r="A5203" i="1"/>
  <c r="B5203" i="1"/>
  <c r="A5204" i="1"/>
  <c r="B5204" i="1"/>
  <c r="A5205" i="1"/>
  <c r="B5205" i="1"/>
  <c r="A5206" i="1"/>
  <c r="B5206" i="1"/>
  <c r="A5207" i="1"/>
  <c r="B5207" i="1"/>
  <c r="A5208" i="1"/>
  <c r="B5208" i="1"/>
  <c r="A5209" i="1"/>
  <c r="B5209" i="1"/>
  <c r="A5210" i="1"/>
  <c r="B5210" i="1"/>
  <c r="A5211" i="1"/>
  <c r="B5211" i="1"/>
  <c r="A5212" i="1"/>
  <c r="B5212" i="1"/>
  <c r="A5213" i="1"/>
  <c r="B5213" i="1"/>
  <c r="A5214" i="1"/>
  <c r="B5214" i="1"/>
  <c r="A5215" i="1"/>
  <c r="B5215" i="1"/>
  <c r="A5216" i="1"/>
  <c r="B5216" i="1"/>
  <c r="A5217" i="1"/>
  <c r="B5217" i="1"/>
  <c r="A5218" i="1"/>
  <c r="B5218" i="1"/>
  <c r="A5219" i="1"/>
  <c r="B5219" i="1"/>
  <c r="A5220" i="1"/>
  <c r="B5220" i="1"/>
  <c r="A5221" i="1"/>
  <c r="B5221" i="1"/>
  <c r="A5222" i="1"/>
  <c r="B5222" i="1"/>
  <c r="A5223" i="1"/>
  <c r="B5223" i="1"/>
  <c r="A5224" i="1"/>
  <c r="B5224" i="1"/>
  <c r="A5225" i="1"/>
  <c r="B5225" i="1"/>
  <c r="A5226" i="1"/>
  <c r="B5226" i="1"/>
  <c r="A5227" i="1"/>
  <c r="B5227" i="1"/>
  <c r="A5228" i="1"/>
  <c r="B5228" i="1"/>
  <c r="A5229" i="1"/>
  <c r="B5229" i="1"/>
  <c r="A5230" i="1"/>
  <c r="B5230" i="1"/>
  <c r="A5231" i="1"/>
  <c r="B5231" i="1"/>
  <c r="A5232" i="1"/>
  <c r="B5232" i="1"/>
  <c r="A5233" i="1"/>
  <c r="B5233" i="1"/>
  <c r="A5234" i="1"/>
  <c r="B5234" i="1"/>
  <c r="A5235" i="1"/>
  <c r="B5235" i="1"/>
  <c r="A5236" i="1"/>
  <c r="B5236" i="1"/>
  <c r="A5237" i="1"/>
  <c r="B5237" i="1"/>
  <c r="A5238" i="1"/>
  <c r="B5238" i="1"/>
  <c r="A5239" i="1"/>
  <c r="B5239" i="1"/>
  <c r="A5240" i="1"/>
  <c r="B5240" i="1"/>
  <c r="A5241" i="1"/>
  <c r="B5241" i="1"/>
  <c r="A5242" i="1"/>
  <c r="B5242" i="1"/>
  <c r="A5243" i="1"/>
  <c r="B5243" i="1"/>
  <c r="A5244" i="1"/>
  <c r="B5244" i="1"/>
  <c r="A5245" i="1"/>
  <c r="B5245" i="1"/>
  <c r="A5246" i="1"/>
  <c r="B5246" i="1"/>
  <c r="A5247" i="1"/>
  <c r="B5247" i="1"/>
  <c r="A5248" i="1"/>
  <c r="B5248" i="1"/>
  <c r="A5249" i="1"/>
  <c r="B5249" i="1"/>
  <c r="A5250" i="1"/>
  <c r="B5250" i="1"/>
  <c r="A5251" i="1"/>
  <c r="B5251" i="1"/>
  <c r="A5252" i="1"/>
  <c r="B5252" i="1"/>
  <c r="A5253" i="1"/>
  <c r="B5253" i="1"/>
  <c r="A5254" i="1"/>
  <c r="B5254" i="1"/>
  <c r="A5255" i="1"/>
  <c r="B5255" i="1"/>
  <c r="A5256" i="1"/>
  <c r="B5256" i="1"/>
  <c r="A5257" i="1"/>
  <c r="B5257" i="1"/>
  <c r="A5258" i="1"/>
  <c r="B5258" i="1"/>
  <c r="A5259" i="1"/>
  <c r="B5259" i="1"/>
  <c r="A5260" i="1"/>
  <c r="B5260" i="1"/>
  <c r="A5261" i="1"/>
  <c r="B5261" i="1"/>
  <c r="A5262" i="1"/>
  <c r="B5262" i="1"/>
  <c r="A5263" i="1"/>
  <c r="B5263" i="1"/>
  <c r="A5264" i="1"/>
  <c r="B5264" i="1"/>
  <c r="A5265" i="1"/>
  <c r="B5265" i="1"/>
  <c r="A5266" i="1"/>
  <c r="B5266" i="1"/>
  <c r="A5267" i="1"/>
  <c r="B5267" i="1"/>
  <c r="A5268" i="1"/>
  <c r="B5268" i="1"/>
  <c r="A5269" i="1"/>
  <c r="B5269" i="1"/>
  <c r="A5270" i="1"/>
  <c r="B5270" i="1"/>
  <c r="A5271" i="1"/>
  <c r="B5271" i="1"/>
  <c r="A5272" i="1"/>
  <c r="B5272" i="1"/>
  <c r="A5273" i="1"/>
  <c r="B5273" i="1"/>
  <c r="A5274" i="1"/>
  <c r="B5274" i="1"/>
  <c r="A5275" i="1"/>
  <c r="B5275" i="1"/>
  <c r="A5276" i="1"/>
  <c r="B5276" i="1"/>
  <c r="A5277" i="1"/>
  <c r="B5277" i="1"/>
  <c r="A5278" i="1"/>
  <c r="B5278" i="1"/>
  <c r="A5279" i="1"/>
  <c r="B5279" i="1"/>
  <c r="A5280" i="1"/>
  <c r="B5280" i="1"/>
  <c r="A5281" i="1"/>
  <c r="B5281" i="1"/>
  <c r="A5282" i="1"/>
  <c r="B5282" i="1"/>
  <c r="A5283" i="1"/>
  <c r="B5283" i="1"/>
  <c r="A5284" i="1"/>
  <c r="B5284" i="1"/>
  <c r="A5285" i="1"/>
  <c r="B5285" i="1"/>
  <c r="A5286" i="1"/>
  <c r="B5286" i="1"/>
  <c r="A5287" i="1"/>
  <c r="B5287" i="1"/>
  <c r="A5288" i="1"/>
  <c r="B5288" i="1"/>
  <c r="A5289" i="1"/>
  <c r="B5289" i="1"/>
  <c r="A5290" i="1"/>
  <c r="B5290" i="1"/>
  <c r="A5291" i="1"/>
  <c r="B5291" i="1"/>
  <c r="A5292" i="1"/>
  <c r="B5292" i="1"/>
  <c r="A5293" i="1"/>
  <c r="B5293" i="1"/>
  <c r="A5294" i="1"/>
  <c r="B5294" i="1"/>
  <c r="A5295" i="1"/>
  <c r="B5295" i="1"/>
  <c r="A5296" i="1"/>
  <c r="B5296" i="1"/>
  <c r="A5297" i="1"/>
  <c r="B5297" i="1"/>
  <c r="A5298" i="1"/>
  <c r="B5298" i="1"/>
  <c r="A5299" i="1"/>
  <c r="B5299" i="1"/>
  <c r="A5300" i="1"/>
  <c r="B5300" i="1"/>
  <c r="A5301" i="1"/>
  <c r="B5301" i="1"/>
  <c r="A5302" i="1"/>
  <c r="B5302" i="1"/>
  <c r="A5303" i="1"/>
  <c r="B5303" i="1"/>
  <c r="A5304" i="1"/>
  <c r="B5304" i="1"/>
  <c r="A5305" i="1"/>
  <c r="B5305" i="1"/>
  <c r="A5306" i="1"/>
  <c r="B5306" i="1"/>
  <c r="A5307" i="1"/>
  <c r="B5307" i="1"/>
  <c r="A5308" i="1"/>
  <c r="B5308" i="1"/>
  <c r="A5309" i="1"/>
  <c r="B5309" i="1"/>
  <c r="A5310" i="1"/>
  <c r="B5310" i="1"/>
  <c r="A5311" i="1"/>
  <c r="B5311" i="1"/>
  <c r="A5312" i="1"/>
  <c r="B5312" i="1"/>
  <c r="A5313" i="1"/>
  <c r="B5313" i="1"/>
  <c r="A5314" i="1"/>
  <c r="B5314" i="1"/>
  <c r="A5315" i="1"/>
  <c r="B5315" i="1"/>
  <c r="A5316" i="1"/>
  <c r="B5316" i="1"/>
  <c r="A5317" i="1"/>
  <c r="B5317" i="1"/>
  <c r="A5318" i="1"/>
  <c r="B5318" i="1"/>
  <c r="A5319" i="1"/>
  <c r="B5319" i="1"/>
  <c r="A5320" i="1"/>
  <c r="B5320" i="1"/>
  <c r="A5321" i="1"/>
  <c r="B5321" i="1"/>
  <c r="A5322" i="1"/>
  <c r="B5322" i="1"/>
  <c r="A5323" i="1"/>
  <c r="B5323" i="1"/>
  <c r="A5324" i="1"/>
  <c r="B5324" i="1"/>
  <c r="A5325" i="1"/>
  <c r="B5325" i="1"/>
  <c r="A5326" i="1"/>
  <c r="B5326" i="1"/>
  <c r="A5327" i="1"/>
  <c r="B5327" i="1"/>
  <c r="A5328" i="1"/>
  <c r="B5328" i="1"/>
  <c r="A5329" i="1"/>
  <c r="B5329" i="1"/>
  <c r="A5330" i="1"/>
  <c r="B5330" i="1"/>
  <c r="A5331" i="1"/>
  <c r="B5331" i="1"/>
  <c r="A5332" i="1"/>
  <c r="B5332" i="1"/>
  <c r="A5333" i="1"/>
  <c r="B5333" i="1"/>
  <c r="A5334" i="1"/>
  <c r="B5334" i="1"/>
  <c r="A5335" i="1"/>
  <c r="B5335" i="1"/>
  <c r="A5336" i="1"/>
  <c r="B5336" i="1"/>
  <c r="A5337" i="1"/>
  <c r="B5337" i="1"/>
  <c r="A5338" i="1"/>
  <c r="B5338" i="1"/>
  <c r="A5339" i="1"/>
  <c r="B5339" i="1"/>
  <c r="A5340" i="1"/>
  <c r="B5340" i="1"/>
  <c r="A5341" i="1"/>
  <c r="B5341" i="1"/>
  <c r="A5342" i="1"/>
  <c r="B5342" i="1"/>
  <c r="A5343" i="1"/>
  <c r="B5343" i="1"/>
  <c r="A5344" i="1"/>
  <c r="B5344" i="1"/>
  <c r="A5345" i="1"/>
  <c r="B5345" i="1"/>
  <c r="A5346" i="1"/>
  <c r="B5346" i="1"/>
  <c r="A5347" i="1"/>
  <c r="B5347" i="1"/>
  <c r="A5348" i="1"/>
  <c r="B5348" i="1"/>
  <c r="A5349" i="1"/>
  <c r="B5349" i="1"/>
  <c r="A5350" i="1"/>
  <c r="B5350" i="1"/>
  <c r="A5351" i="1"/>
  <c r="B5351" i="1"/>
  <c r="A5352" i="1"/>
  <c r="B5352" i="1"/>
  <c r="A5353" i="1"/>
  <c r="B5353" i="1"/>
  <c r="A5354" i="1"/>
  <c r="B5354" i="1"/>
  <c r="A5355" i="1"/>
  <c r="B5355" i="1"/>
  <c r="A5356" i="1"/>
  <c r="B5356" i="1"/>
  <c r="A5357" i="1"/>
  <c r="B5357" i="1"/>
  <c r="A5358" i="1"/>
  <c r="B5358" i="1"/>
  <c r="A5359" i="1"/>
  <c r="B5359" i="1"/>
  <c r="A5360" i="1"/>
  <c r="B5360" i="1"/>
  <c r="A5361" i="1"/>
  <c r="B5361" i="1"/>
  <c r="A5362" i="1"/>
  <c r="B5362" i="1"/>
  <c r="A5363" i="1"/>
  <c r="B5363" i="1"/>
  <c r="A5364" i="1"/>
  <c r="B5364" i="1"/>
  <c r="A5365" i="1"/>
  <c r="B5365" i="1"/>
  <c r="A5366" i="1"/>
  <c r="B5366" i="1"/>
  <c r="A5367" i="1"/>
  <c r="B5367" i="1"/>
  <c r="A5368" i="1"/>
  <c r="B5368" i="1"/>
  <c r="A5369" i="1"/>
  <c r="B5369" i="1"/>
  <c r="A5370" i="1"/>
  <c r="B5370" i="1"/>
  <c r="A5371" i="1"/>
  <c r="B5371" i="1"/>
  <c r="A5372" i="1"/>
  <c r="B5372" i="1"/>
  <c r="A5373" i="1"/>
  <c r="B5373" i="1"/>
  <c r="A5374" i="1"/>
  <c r="B5374" i="1"/>
  <c r="A5375" i="1"/>
  <c r="B5375" i="1"/>
  <c r="A5376" i="1"/>
  <c r="B5376" i="1"/>
  <c r="A5377" i="1"/>
  <c r="B5377" i="1"/>
  <c r="A5378" i="1"/>
  <c r="B5378" i="1"/>
  <c r="A5379" i="1"/>
  <c r="B5379" i="1"/>
  <c r="A5380" i="1"/>
  <c r="B5380" i="1"/>
  <c r="A5381" i="1"/>
  <c r="B5381" i="1"/>
  <c r="A5382" i="1"/>
  <c r="B5382" i="1"/>
  <c r="A5383" i="1"/>
  <c r="B5383" i="1"/>
  <c r="A5384" i="1"/>
  <c r="B5384" i="1"/>
  <c r="A5385" i="1"/>
  <c r="B5385" i="1"/>
  <c r="A5386" i="1"/>
  <c r="B5386" i="1"/>
  <c r="A5387" i="1"/>
  <c r="B5387" i="1"/>
  <c r="A5388" i="1"/>
  <c r="B5388" i="1"/>
  <c r="A5389" i="1"/>
  <c r="B5389" i="1"/>
  <c r="A5390" i="1"/>
  <c r="B5390" i="1"/>
  <c r="A5391" i="1"/>
  <c r="B5391" i="1"/>
  <c r="A5392" i="1"/>
  <c r="B5392" i="1"/>
  <c r="A5393" i="1"/>
  <c r="B5393" i="1"/>
  <c r="A5394" i="1"/>
  <c r="B5394" i="1"/>
  <c r="A5395" i="1"/>
  <c r="B5395" i="1"/>
  <c r="A5396" i="1"/>
  <c r="B5396" i="1"/>
  <c r="A5397" i="1"/>
  <c r="B5397" i="1"/>
  <c r="A5398" i="1"/>
  <c r="B5398" i="1"/>
  <c r="A5399" i="1"/>
  <c r="B5399" i="1"/>
  <c r="A5400" i="1"/>
  <c r="B5400" i="1"/>
  <c r="A5401" i="1"/>
  <c r="B5401" i="1"/>
  <c r="A5402" i="1"/>
  <c r="B5402" i="1"/>
  <c r="A5403" i="1"/>
  <c r="B5403" i="1"/>
  <c r="A5404" i="1"/>
  <c r="B5404" i="1"/>
  <c r="A5405" i="1"/>
  <c r="B5405" i="1"/>
  <c r="A5406" i="1"/>
  <c r="B5406" i="1"/>
  <c r="A5407" i="1"/>
  <c r="B5407" i="1"/>
  <c r="A5408" i="1"/>
  <c r="B5408" i="1"/>
  <c r="A5409" i="1"/>
  <c r="B5409" i="1"/>
  <c r="A5410" i="1"/>
  <c r="B5410" i="1"/>
  <c r="A5411" i="1"/>
  <c r="B5411" i="1"/>
  <c r="A5412" i="1"/>
  <c r="B5412" i="1"/>
  <c r="A5413" i="1"/>
  <c r="B5413" i="1"/>
  <c r="A5414" i="1"/>
  <c r="B5414" i="1"/>
  <c r="A5415" i="1"/>
  <c r="B5415" i="1"/>
  <c r="A5416" i="1"/>
  <c r="B5416" i="1"/>
  <c r="A5417" i="1"/>
  <c r="B5417" i="1"/>
  <c r="A5418" i="1"/>
  <c r="B5418" i="1"/>
  <c r="A5419" i="1"/>
  <c r="B5419" i="1"/>
  <c r="A5420" i="1"/>
  <c r="B5420" i="1"/>
  <c r="A5421" i="1"/>
  <c r="B5421" i="1"/>
  <c r="A5422" i="1"/>
  <c r="B5422" i="1"/>
  <c r="A5423" i="1"/>
  <c r="B5423" i="1"/>
  <c r="A5424" i="1"/>
  <c r="B5424" i="1"/>
  <c r="A5425" i="1"/>
  <c r="B5425" i="1"/>
  <c r="A5426" i="1"/>
  <c r="B5426" i="1"/>
  <c r="A5427" i="1"/>
  <c r="B5427" i="1"/>
  <c r="A5428" i="1"/>
  <c r="B5428" i="1"/>
  <c r="A5429" i="1"/>
  <c r="B5429" i="1"/>
  <c r="A5430" i="1"/>
  <c r="B5430" i="1"/>
  <c r="A5431" i="1"/>
  <c r="B5431" i="1"/>
  <c r="A5432" i="1"/>
  <c r="B5432" i="1"/>
  <c r="A5433" i="1"/>
  <c r="B5433" i="1"/>
  <c r="A5434" i="1"/>
  <c r="B5434" i="1"/>
  <c r="A5435" i="1"/>
  <c r="B5435" i="1"/>
  <c r="A5436" i="1"/>
  <c r="B5436" i="1"/>
  <c r="A5437" i="1"/>
  <c r="B5437" i="1"/>
  <c r="A5438" i="1"/>
  <c r="B5438" i="1"/>
  <c r="A5439" i="1"/>
  <c r="B5439" i="1"/>
  <c r="A5440" i="1"/>
  <c r="B5440" i="1"/>
  <c r="A5441" i="1"/>
  <c r="B5441" i="1"/>
  <c r="A5442" i="1"/>
  <c r="B5442" i="1"/>
  <c r="A5443" i="1"/>
  <c r="B5443" i="1"/>
  <c r="A5444" i="1"/>
  <c r="B5444" i="1"/>
  <c r="A5445" i="1"/>
  <c r="B5445" i="1"/>
  <c r="A5446" i="1"/>
  <c r="B5446" i="1"/>
  <c r="A5447" i="1"/>
  <c r="B5447" i="1"/>
  <c r="A5448" i="1"/>
  <c r="B5448" i="1"/>
  <c r="A5449" i="1"/>
  <c r="B5449" i="1"/>
  <c r="A5450" i="1"/>
  <c r="B5450" i="1"/>
  <c r="A5451" i="1"/>
  <c r="B5451" i="1"/>
  <c r="A5452" i="1"/>
  <c r="B5452" i="1"/>
  <c r="A5453" i="1"/>
  <c r="B5453" i="1"/>
  <c r="A5454" i="1"/>
  <c r="B5454" i="1"/>
  <c r="A5455" i="1"/>
  <c r="B5455" i="1"/>
  <c r="A5456" i="1"/>
  <c r="B5456" i="1"/>
  <c r="A5457" i="1"/>
  <c r="B5457" i="1"/>
  <c r="A5458" i="1"/>
  <c r="B5458" i="1"/>
  <c r="A5459" i="1"/>
  <c r="B5459" i="1"/>
  <c r="A5460" i="1"/>
  <c r="B5460" i="1"/>
  <c r="A5461" i="1"/>
  <c r="B5461" i="1"/>
  <c r="A5462" i="1"/>
  <c r="B5462" i="1"/>
  <c r="A5463" i="1"/>
  <c r="B5463" i="1"/>
  <c r="A5464" i="1"/>
  <c r="B5464" i="1"/>
  <c r="A5465" i="1"/>
  <c r="B5465" i="1"/>
  <c r="A5466" i="1"/>
  <c r="B5466" i="1"/>
  <c r="A5467" i="1"/>
  <c r="B5467" i="1"/>
  <c r="A5468" i="1"/>
  <c r="B5468" i="1"/>
  <c r="A5469" i="1"/>
  <c r="B5469" i="1"/>
  <c r="A5470" i="1"/>
  <c r="B5470" i="1"/>
  <c r="A5471" i="1"/>
  <c r="B5471" i="1"/>
  <c r="A5472" i="1"/>
  <c r="B5472" i="1"/>
  <c r="A5473" i="1"/>
  <c r="B5473" i="1"/>
  <c r="A5474" i="1"/>
  <c r="B5474" i="1"/>
  <c r="A5475" i="1"/>
  <c r="B5475" i="1"/>
  <c r="A5476" i="1"/>
  <c r="B5476" i="1"/>
  <c r="A5477" i="1"/>
  <c r="B5477" i="1"/>
  <c r="A5478" i="1"/>
  <c r="B5478" i="1"/>
  <c r="A5479" i="1"/>
  <c r="B5479" i="1"/>
  <c r="A5480" i="1"/>
  <c r="B5480" i="1"/>
  <c r="A5481" i="1"/>
  <c r="B5481" i="1"/>
  <c r="A5482" i="1"/>
  <c r="B5482" i="1"/>
  <c r="A5483" i="1"/>
  <c r="B5483" i="1"/>
  <c r="A5484" i="1"/>
  <c r="B5484" i="1"/>
  <c r="A5485" i="1"/>
  <c r="B5485" i="1"/>
  <c r="A5486" i="1"/>
  <c r="B5486" i="1"/>
  <c r="A5487" i="1"/>
  <c r="B5487" i="1"/>
  <c r="A5488" i="1"/>
  <c r="B5488" i="1"/>
  <c r="A5489" i="1"/>
  <c r="B5489" i="1"/>
  <c r="A5490" i="1"/>
  <c r="B5490" i="1"/>
  <c r="A5491" i="1"/>
  <c r="B5491" i="1"/>
  <c r="A5492" i="1"/>
  <c r="B5492" i="1"/>
  <c r="A5493" i="1"/>
  <c r="B5493" i="1"/>
  <c r="A5494" i="1"/>
  <c r="B5494" i="1"/>
  <c r="A5495" i="1"/>
  <c r="B5495" i="1"/>
  <c r="A5496" i="1"/>
  <c r="B5496" i="1"/>
  <c r="A5497" i="1"/>
  <c r="B5497" i="1"/>
  <c r="A5498" i="1"/>
  <c r="B5498" i="1"/>
  <c r="A5499" i="1"/>
  <c r="B5499" i="1"/>
  <c r="A5500" i="1"/>
  <c r="B5500" i="1"/>
  <c r="A5501" i="1"/>
  <c r="B5501" i="1"/>
  <c r="A5502" i="1"/>
  <c r="B5502" i="1"/>
  <c r="A5503" i="1"/>
  <c r="B5503" i="1"/>
  <c r="A5504" i="1"/>
  <c r="B5504" i="1"/>
  <c r="A5505" i="1"/>
  <c r="B5505" i="1"/>
  <c r="A5506" i="1"/>
  <c r="B5506" i="1"/>
  <c r="A5507" i="1"/>
  <c r="B5507" i="1"/>
  <c r="A5508" i="1"/>
  <c r="B5508" i="1"/>
  <c r="A5509" i="1"/>
  <c r="B5509" i="1"/>
  <c r="A5510" i="1"/>
  <c r="B5510" i="1"/>
  <c r="A5511" i="1"/>
  <c r="B5511" i="1"/>
  <c r="A5512" i="1"/>
  <c r="B5512" i="1"/>
  <c r="A5513" i="1"/>
  <c r="B5513" i="1"/>
  <c r="A5514" i="1"/>
  <c r="B5514" i="1"/>
  <c r="A5515" i="1"/>
  <c r="B5515" i="1"/>
  <c r="A5516" i="1"/>
  <c r="B5516" i="1"/>
  <c r="A5517" i="1"/>
  <c r="B5517" i="1"/>
  <c r="A5518" i="1"/>
  <c r="B5518" i="1"/>
  <c r="A5519" i="1"/>
  <c r="B5519" i="1"/>
  <c r="A5520" i="1"/>
  <c r="B5520" i="1"/>
  <c r="A5521" i="1"/>
  <c r="B5521" i="1"/>
  <c r="A5522" i="1"/>
  <c r="B5522" i="1"/>
  <c r="A5523" i="1"/>
  <c r="B5523" i="1"/>
  <c r="A5524" i="1"/>
  <c r="B5524" i="1"/>
  <c r="A5525" i="1"/>
  <c r="B5525" i="1"/>
  <c r="A5526" i="1"/>
  <c r="B5526" i="1"/>
  <c r="A5527" i="1"/>
  <c r="B5527" i="1"/>
  <c r="A5528" i="1"/>
  <c r="B5528" i="1"/>
  <c r="A5529" i="1"/>
  <c r="B5529" i="1"/>
  <c r="A5530" i="1"/>
  <c r="B5530" i="1"/>
  <c r="A5531" i="1"/>
  <c r="B5531" i="1"/>
  <c r="A5532" i="1"/>
  <c r="B5532" i="1"/>
  <c r="A5533" i="1"/>
  <c r="B5533" i="1"/>
  <c r="A5534" i="1"/>
  <c r="B5534" i="1"/>
  <c r="A5535" i="1"/>
  <c r="B5535" i="1"/>
  <c r="A5536" i="1"/>
  <c r="B5536" i="1"/>
  <c r="A5537" i="1"/>
  <c r="B5537" i="1"/>
  <c r="A5538" i="1"/>
  <c r="B5538" i="1"/>
  <c r="A5539" i="1"/>
  <c r="B5539" i="1"/>
  <c r="A5540" i="1"/>
  <c r="B5540" i="1"/>
  <c r="A5541" i="1"/>
  <c r="B5541" i="1"/>
  <c r="A5542" i="1"/>
  <c r="B5542" i="1"/>
  <c r="A5543" i="1"/>
  <c r="B5543" i="1"/>
  <c r="A5544" i="1"/>
  <c r="B5544" i="1"/>
  <c r="A5545" i="1"/>
  <c r="B5545" i="1"/>
  <c r="A5546" i="1"/>
  <c r="B5546" i="1"/>
  <c r="A5547" i="1"/>
  <c r="B5547" i="1"/>
  <c r="A5548" i="1"/>
  <c r="B5548" i="1"/>
  <c r="A5549" i="1"/>
  <c r="B5549" i="1"/>
  <c r="A5550" i="1"/>
  <c r="B5550" i="1"/>
  <c r="A5551" i="1"/>
  <c r="B5551" i="1"/>
  <c r="A5552" i="1"/>
  <c r="B5552" i="1"/>
  <c r="A5553" i="1"/>
  <c r="B5553" i="1"/>
  <c r="A5554" i="1"/>
  <c r="B5554" i="1"/>
  <c r="A5555" i="1"/>
  <c r="B5555" i="1"/>
  <c r="A5556" i="1"/>
  <c r="B5556" i="1"/>
  <c r="A5557" i="1"/>
  <c r="B5557" i="1"/>
  <c r="A5558" i="1"/>
  <c r="B5558" i="1"/>
  <c r="A5559" i="1"/>
  <c r="B5559" i="1"/>
  <c r="A5560" i="1"/>
  <c r="B5560" i="1"/>
  <c r="A5561" i="1"/>
  <c r="B5561" i="1"/>
  <c r="A5562" i="1"/>
  <c r="B5562" i="1"/>
  <c r="A5563" i="1"/>
  <c r="B5563" i="1"/>
  <c r="A5564" i="1"/>
  <c r="B5564" i="1"/>
  <c r="A5565" i="1"/>
  <c r="B5565" i="1"/>
  <c r="A5566" i="1"/>
  <c r="B5566" i="1"/>
  <c r="A5567" i="1"/>
  <c r="B5567" i="1"/>
  <c r="A5568" i="1"/>
  <c r="B5568" i="1"/>
  <c r="A5569" i="1"/>
  <c r="B5569" i="1"/>
  <c r="A5570" i="1"/>
  <c r="B5570" i="1"/>
  <c r="A5571" i="1"/>
  <c r="B5571" i="1"/>
  <c r="A5572" i="1"/>
  <c r="B5572" i="1"/>
  <c r="A5573" i="1"/>
  <c r="B5573" i="1"/>
  <c r="A5574" i="1"/>
  <c r="B5574" i="1"/>
  <c r="A5575" i="1"/>
  <c r="B5575" i="1"/>
  <c r="A5576" i="1"/>
  <c r="B5576" i="1"/>
  <c r="A5577" i="1"/>
  <c r="B5577" i="1"/>
  <c r="A5578" i="1"/>
  <c r="B5578" i="1"/>
  <c r="A5579" i="1"/>
  <c r="B5579" i="1"/>
  <c r="A5580" i="1"/>
  <c r="B5580" i="1"/>
  <c r="A5581" i="1"/>
  <c r="B5581" i="1"/>
  <c r="A5582" i="1"/>
  <c r="B5582" i="1"/>
  <c r="A5583" i="1"/>
  <c r="B5583" i="1"/>
  <c r="A5584" i="1"/>
  <c r="B5584" i="1"/>
  <c r="A5585" i="1"/>
  <c r="B5585" i="1"/>
  <c r="A5586" i="1"/>
  <c r="B5586" i="1"/>
  <c r="A5587" i="1"/>
  <c r="B5587" i="1"/>
  <c r="A5588" i="1"/>
  <c r="B5588" i="1"/>
  <c r="A5589" i="1"/>
  <c r="B5589" i="1"/>
  <c r="A5590" i="1"/>
  <c r="B5590" i="1"/>
  <c r="A5591" i="1"/>
  <c r="B5591" i="1"/>
  <c r="A5592" i="1"/>
  <c r="B5592" i="1"/>
  <c r="A5593" i="1"/>
  <c r="B5593" i="1"/>
  <c r="A5594" i="1"/>
  <c r="B5594" i="1"/>
  <c r="A5595" i="1"/>
  <c r="B5595" i="1"/>
  <c r="A5596" i="1"/>
  <c r="B5596" i="1"/>
  <c r="A5597" i="1"/>
  <c r="B5597" i="1"/>
  <c r="A5598" i="1"/>
  <c r="B5598" i="1"/>
  <c r="A5599" i="1"/>
  <c r="B5599" i="1"/>
  <c r="A5600" i="1"/>
  <c r="B5600" i="1"/>
  <c r="A5601" i="1"/>
  <c r="B5601" i="1"/>
  <c r="A5602" i="1"/>
  <c r="B5602" i="1"/>
  <c r="A5603" i="1"/>
  <c r="B5603" i="1"/>
  <c r="A5604" i="1"/>
  <c r="B5604" i="1"/>
  <c r="A5605" i="1"/>
  <c r="B5605" i="1"/>
  <c r="A5606" i="1"/>
  <c r="B5606" i="1"/>
  <c r="A5607" i="1"/>
  <c r="B5607" i="1"/>
  <c r="A5608" i="1"/>
  <c r="B5608" i="1"/>
  <c r="A5609" i="1"/>
  <c r="B5609" i="1"/>
  <c r="A5610" i="1"/>
  <c r="B5610" i="1"/>
  <c r="A5611" i="1"/>
  <c r="B5611" i="1"/>
  <c r="A5612" i="1"/>
  <c r="B5612" i="1"/>
  <c r="A5613" i="1"/>
  <c r="B5613" i="1"/>
  <c r="A5614" i="1"/>
  <c r="B5614" i="1"/>
  <c r="A5615" i="1"/>
  <c r="B5615" i="1"/>
  <c r="A5616" i="1"/>
  <c r="B5616" i="1"/>
  <c r="A5617" i="1"/>
  <c r="B5617" i="1"/>
  <c r="A5618" i="1"/>
  <c r="B5618" i="1"/>
  <c r="A5619" i="1"/>
  <c r="B5619" i="1"/>
  <c r="A5620" i="1"/>
  <c r="B5620" i="1"/>
  <c r="A5621" i="1"/>
  <c r="B5621" i="1"/>
  <c r="A5622" i="1"/>
  <c r="B5622" i="1"/>
  <c r="A5623" i="1"/>
  <c r="B5623" i="1"/>
  <c r="A5624" i="1"/>
  <c r="B5624" i="1"/>
  <c r="A5625" i="1"/>
  <c r="B5625" i="1"/>
  <c r="A5626" i="1"/>
  <c r="B5626" i="1"/>
  <c r="A5627" i="1"/>
  <c r="B5627" i="1"/>
  <c r="A5628" i="1"/>
  <c r="B5628" i="1"/>
  <c r="A5629" i="1"/>
  <c r="B5629" i="1"/>
  <c r="A5630" i="1"/>
  <c r="B5630" i="1"/>
  <c r="A5631" i="1"/>
  <c r="B5631" i="1"/>
  <c r="A5632" i="1"/>
  <c r="B5632" i="1"/>
  <c r="A5633" i="1"/>
  <c r="B5633" i="1"/>
  <c r="A5634" i="1"/>
  <c r="B5634" i="1"/>
  <c r="A5635" i="1"/>
  <c r="B5635" i="1"/>
  <c r="A5636" i="1"/>
  <c r="B5636" i="1"/>
  <c r="A5637" i="1"/>
  <c r="B5637" i="1"/>
  <c r="A5638" i="1"/>
  <c r="B5638" i="1"/>
  <c r="A5639" i="1"/>
  <c r="B5639" i="1"/>
  <c r="A5640" i="1"/>
  <c r="B5640" i="1"/>
  <c r="A5641" i="1"/>
  <c r="B5641" i="1"/>
  <c r="A5642" i="1"/>
  <c r="B5642" i="1"/>
  <c r="A5643" i="1"/>
  <c r="B5643" i="1"/>
  <c r="A5644" i="1"/>
  <c r="B5644" i="1"/>
  <c r="A5645" i="1"/>
  <c r="B5645" i="1"/>
  <c r="A5646" i="1"/>
  <c r="B5646" i="1"/>
  <c r="A5647" i="1"/>
  <c r="B5647" i="1"/>
  <c r="A5648" i="1"/>
  <c r="B5648" i="1"/>
  <c r="A5649" i="1"/>
  <c r="B5649" i="1"/>
  <c r="A5650" i="1"/>
  <c r="B5650" i="1"/>
  <c r="A5651" i="1"/>
  <c r="B5651" i="1"/>
  <c r="A5652" i="1"/>
  <c r="B5652" i="1"/>
  <c r="A5653" i="1"/>
  <c r="B5653" i="1"/>
  <c r="A5654" i="1"/>
  <c r="B5654" i="1"/>
  <c r="A5655" i="1"/>
  <c r="B5655" i="1"/>
  <c r="A5656" i="1"/>
  <c r="B5656" i="1"/>
  <c r="A5657" i="1"/>
  <c r="B5657" i="1"/>
  <c r="A5658" i="1"/>
  <c r="B5658" i="1"/>
  <c r="A5659" i="1"/>
  <c r="B5659" i="1"/>
  <c r="A5660" i="1"/>
  <c r="B5660" i="1"/>
  <c r="A5661" i="1"/>
  <c r="B5661" i="1"/>
  <c r="A5662" i="1"/>
  <c r="B5662" i="1"/>
  <c r="A5663" i="1"/>
  <c r="B5663" i="1"/>
  <c r="A5664" i="1"/>
  <c r="B5664" i="1"/>
  <c r="A5665" i="1"/>
  <c r="B5665" i="1"/>
  <c r="A5666" i="1"/>
  <c r="B5666" i="1"/>
  <c r="A5667" i="1"/>
  <c r="B5667" i="1"/>
  <c r="A5668" i="1"/>
  <c r="B5668" i="1"/>
  <c r="A5669" i="1"/>
  <c r="B5669" i="1"/>
  <c r="A5670" i="1"/>
  <c r="B5670" i="1"/>
  <c r="A5671" i="1"/>
  <c r="B5671" i="1"/>
  <c r="A5672" i="1"/>
  <c r="B5672" i="1"/>
  <c r="A5673" i="1"/>
  <c r="B5673" i="1"/>
  <c r="A5674" i="1"/>
  <c r="B5674" i="1"/>
  <c r="A5675" i="1"/>
  <c r="B5675" i="1"/>
  <c r="A5676" i="1"/>
  <c r="B5676" i="1"/>
  <c r="A5677" i="1"/>
  <c r="B5677" i="1"/>
  <c r="A5678" i="1"/>
  <c r="B5678" i="1"/>
  <c r="A5679" i="1"/>
  <c r="B5679" i="1"/>
  <c r="A5680" i="1"/>
  <c r="B5680" i="1"/>
  <c r="A5681" i="1"/>
  <c r="B5681" i="1"/>
  <c r="A5682" i="1"/>
  <c r="B5682" i="1"/>
  <c r="A5683" i="1"/>
  <c r="B5683" i="1"/>
  <c r="A5684" i="1"/>
  <c r="B5684" i="1"/>
  <c r="A5685" i="1"/>
  <c r="B5685" i="1"/>
  <c r="A5686" i="1"/>
  <c r="B5686" i="1"/>
  <c r="A5687" i="1"/>
  <c r="B5687" i="1"/>
  <c r="A5688" i="1"/>
  <c r="B5688" i="1"/>
  <c r="A5689" i="1"/>
  <c r="B5689" i="1"/>
  <c r="A5690" i="1"/>
  <c r="B5690" i="1"/>
  <c r="A5691" i="1"/>
  <c r="B5691" i="1"/>
  <c r="A5692" i="1"/>
  <c r="B5692" i="1"/>
  <c r="A5693" i="1"/>
  <c r="B5693" i="1"/>
  <c r="A5694" i="1"/>
  <c r="B5694" i="1"/>
  <c r="A5695" i="1"/>
  <c r="B5695" i="1"/>
  <c r="A5696" i="1"/>
  <c r="B5696" i="1"/>
  <c r="A5697" i="1"/>
  <c r="B5697" i="1"/>
  <c r="A5698" i="1"/>
  <c r="B5698" i="1"/>
  <c r="A5699" i="1"/>
  <c r="B5699" i="1"/>
  <c r="A5700" i="1"/>
  <c r="B5700" i="1"/>
  <c r="A5701" i="1"/>
  <c r="B5701" i="1"/>
  <c r="A5702" i="1"/>
  <c r="B5702" i="1"/>
  <c r="A5703" i="1"/>
  <c r="B5703" i="1"/>
  <c r="A5704" i="1"/>
  <c r="B5704" i="1"/>
  <c r="A5705" i="1"/>
  <c r="B5705" i="1"/>
  <c r="A5706" i="1"/>
  <c r="B5706" i="1"/>
  <c r="A5707" i="1"/>
  <c r="B5707" i="1"/>
  <c r="A5708" i="1"/>
  <c r="B5708" i="1"/>
  <c r="A5709" i="1"/>
  <c r="B5709" i="1"/>
  <c r="A5710" i="1"/>
  <c r="B5710" i="1"/>
  <c r="A5711" i="1"/>
  <c r="B5711" i="1"/>
  <c r="A5712" i="1"/>
  <c r="B5712" i="1"/>
  <c r="A5713" i="1"/>
  <c r="B5713" i="1"/>
  <c r="A5714" i="1"/>
  <c r="B5714" i="1"/>
  <c r="A5715" i="1"/>
  <c r="B5715" i="1"/>
  <c r="A5716" i="1"/>
  <c r="B5716" i="1"/>
  <c r="A5717" i="1"/>
  <c r="B5717" i="1"/>
  <c r="A5718" i="1"/>
  <c r="B5718" i="1"/>
  <c r="A5719" i="1"/>
  <c r="B5719" i="1"/>
  <c r="A5720" i="1"/>
  <c r="B5720" i="1"/>
  <c r="A5721" i="1"/>
  <c r="B5721" i="1"/>
  <c r="A5722" i="1"/>
  <c r="B5722" i="1"/>
  <c r="A5723" i="1"/>
  <c r="B5723" i="1"/>
  <c r="A5724" i="1"/>
  <c r="B5724" i="1"/>
  <c r="A5725" i="1"/>
  <c r="B5725" i="1"/>
  <c r="A5726" i="1"/>
  <c r="B5726" i="1"/>
  <c r="A5727" i="1"/>
  <c r="B5727" i="1"/>
  <c r="A5728" i="1"/>
  <c r="B5728" i="1"/>
  <c r="A5729" i="1"/>
  <c r="B5729" i="1"/>
  <c r="A5730" i="1"/>
  <c r="B5730" i="1"/>
  <c r="A5731" i="1"/>
  <c r="B5731" i="1"/>
  <c r="A5732" i="1"/>
  <c r="B5732" i="1"/>
  <c r="A5733" i="1"/>
  <c r="B5733" i="1"/>
  <c r="A5734" i="1"/>
  <c r="B5734" i="1"/>
  <c r="A5735" i="1"/>
  <c r="B5735" i="1"/>
  <c r="A5736" i="1"/>
  <c r="B5736" i="1"/>
  <c r="A5737" i="1"/>
  <c r="B5737" i="1"/>
  <c r="A5738" i="1"/>
  <c r="B5738" i="1"/>
  <c r="A5739" i="1"/>
  <c r="B5739" i="1"/>
  <c r="A5740" i="1"/>
  <c r="B5740" i="1"/>
  <c r="A5741" i="1"/>
  <c r="B5741" i="1"/>
  <c r="A5742" i="1"/>
  <c r="B5742" i="1"/>
  <c r="A5743" i="1"/>
  <c r="B5743" i="1"/>
  <c r="A5744" i="1"/>
  <c r="B5744" i="1"/>
  <c r="A5745" i="1"/>
  <c r="B5745" i="1"/>
  <c r="A5746" i="1"/>
  <c r="B5746" i="1"/>
  <c r="A5747" i="1"/>
  <c r="B5747" i="1"/>
  <c r="A5748" i="1"/>
  <c r="B5748" i="1"/>
  <c r="A5749" i="1"/>
  <c r="B5749" i="1"/>
  <c r="A5750" i="1"/>
  <c r="B5750" i="1"/>
  <c r="A5751" i="1"/>
  <c r="B5751" i="1"/>
  <c r="A5752" i="1"/>
  <c r="B5752" i="1"/>
  <c r="A5753" i="1"/>
  <c r="B5753" i="1"/>
  <c r="A5754" i="1"/>
  <c r="B5754" i="1"/>
  <c r="A5755" i="1"/>
  <c r="B5755" i="1"/>
  <c r="A5756" i="1"/>
  <c r="B5756" i="1"/>
  <c r="A5757" i="1"/>
  <c r="B5757" i="1"/>
  <c r="A5758" i="1"/>
  <c r="B5758" i="1"/>
  <c r="A5759" i="1"/>
  <c r="B5759" i="1"/>
  <c r="A5760" i="1"/>
  <c r="B5760" i="1"/>
  <c r="A5761" i="1"/>
  <c r="B5761" i="1"/>
  <c r="A5762" i="1"/>
  <c r="B5762" i="1"/>
  <c r="A5763" i="1"/>
  <c r="B5763" i="1"/>
  <c r="A5764" i="1"/>
  <c r="B5764" i="1"/>
  <c r="A5765" i="1"/>
  <c r="B5765" i="1"/>
  <c r="A5766" i="1"/>
  <c r="B5766" i="1"/>
  <c r="A5767" i="1"/>
  <c r="B5767" i="1"/>
  <c r="A5768" i="1"/>
  <c r="B5768" i="1"/>
  <c r="A5769" i="1"/>
  <c r="B5769" i="1"/>
  <c r="A5770" i="1"/>
  <c r="B5770" i="1"/>
  <c r="A5771" i="1"/>
  <c r="B5771" i="1"/>
  <c r="A5772" i="1"/>
  <c r="B5772" i="1"/>
  <c r="A5773" i="1"/>
  <c r="B5773" i="1"/>
  <c r="A5774" i="1"/>
  <c r="B5774" i="1"/>
  <c r="A5775" i="1"/>
  <c r="B5775" i="1"/>
  <c r="A5776" i="1"/>
  <c r="B5776" i="1"/>
  <c r="A5777" i="1"/>
  <c r="B5777" i="1"/>
  <c r="A5778" i="1"/>
  <c r="B5778" i="1"/>
  <c r="A5779" i="1"/>
  <c r="B5779" i="1"/>
  <c r="A5780" i="1"/>
  <c r="B5780" i="1"/>
  <c r="A5781" i="1"/>
  <c r="B5781" i="1"/>
  <c r="A5782" i="1"/>
  <c r="B5782" i="1"/>
  <c r="A5783" i="1"/>
  <c r="B5783" i="1"/>
  <c r="A5784" i="1"/>
  <c r="B5784" i="1"/>
  <c r="A5785" i="1"/>
  <c r="B5785" i="1"/>
  <c r="A5786" i="1"/>
  <c r="B5786" i="1"/>
  <c r="A5787" i="1"/>
  <c r="B5787" i="1"/>
  <c r="A5788" i="1"/>
  <c r="B5788" i="1"/>
  <c r="A5789" i="1"/>
  <c r="B5789" i="1"/>
  <c r="A5790" i="1"/>
  <c r="B5790" i="1"/>
  <c r="A5791" i="1"/>
  <c r="B5791" i="1"/>
  <c r="A5792" i="1"/>
  <c r="B5792" i="1"/>
  <c r="A5793" i="1"/>
  <c r="B5793" i="1"/>
  <c r="A5794" i="1"/>
  <c r="B5794" i="1"/>
  <c r="A5795" i="1"/>
  <c r="B5795" i="1"/>
  <c r="A5796" i="1"/>
  <c r="B5796" i="1"/>
  <c r="A5797" i="1"/>
  <c r="B5797" i="1"/>
  <c r="A5798" i="1"/>
  <c r="B5798" i="1"/>
  <c r="A5799" i="1"/>
  <c r="B5799" i="1"/>
  <c r="A5800" i="1"/>
  <c r="B5800" i="1"/>
  <c r="A5801" i="1"/>
  <c r="B5801" i="1"/>
  <c r="A5802" i="1"/>
  <c r="B5802" i="1"/>
  <c r="A5803" i="1"/>
  <c r="B5803" i="1"/>
  <c r="A5804" i="1"/>
  <c r="B5804" i="1"/>
  <c r="A5805" i="1"/>
  <c r="B5805" i="1"/>
  <c r="A5806" i="1"/>
  <c r="B5806" i="1"/>
  <c r="A5807" i="1"/>
  <c r="B5807" i="1"/>
  <c r="A5808" i="1"/>
  <c r="B5808" i="1"/>
  <c r="A5809" i="1"/>
  <c r="B5809" i="1"/>
  <c r="A5810" i="1"/>
  <c r="B5810" i="1"/>
  <c r="A5811" i="1"/>
  <c r="B5811" i="1"/>
  <c r="A5812" i="1"/>
  <c r="B5812" i="1"/>
  <c r="A5813" i="1"/>
  <c r="B5813" i="1"/>
  <c r="A5814" i="1"/>
  <c r="B5814" i="1"/>
  <c r="A5815" i="1"/>
  <c r="B5815" i="1"/>
  <c r="A5816" i="1"/>
  <c r="B5816" i="1"/>
  <c r="A5817" i="1"/>
  <c r="B5817" i="1"/>
  <c r="A5818" i="1"/>
  <c r="B5818" i="1"/>
  <c r="A5819" i="1"/>
  <c r="B5819" i="1"/>
  <c r="A5820" i="1"/>
  <c r="B5820" i="1"/>
  <c r="A5821" i="1"/>
  <c r="B5821" i="1"/>
  <c r="A5822" i="1"/>
  <c r="B5822" i="1"/>
  <c r="A5823" i="1"/>
  <c r="B5823" i="1"/>
  <c r="A5824" i="1"/>
  <c r="B5824" i="1"/>
  <c r="A5825" i="1"/>
  <c r="B5825" i="1"/>
  <c r="A5826" i="1"/>
  <c r="B5826" i="1"/>
  <c r="A5827" i="1"/>
  <c r="B5827" i="1"/>
  <c r="A5828" i="1"/>
  <c r="B5828" i="1"/>
  <c r="A5829" i="1"/>
  <c r="B5829" i="1"/>
  <c r="A5830" i="1"/>
  <c r="B5830" i="1"/>
  <c r="A5831" i="1"/>
  <c r="B5831" i="1"/>
  <c r="A5832" i="1"/>
  <c r="B5832" i="1"/>
  <c r="A5833" i="1"/>
  <c r="B5833" i="1"/>
  <c r="A5834" i="1"/>
  <c r="B5834" i="1"/>
  <c r="A5835" i="1"/>
  <c r="B5835" i="1"/>
  <c r="A5836" i="1"/>
  <c r="B5836" i="1"/>
  <c r="A5837" i="1"/>
  <c r="B5837" i="1"/>
  <c r="A5838" i="1"/>
  <c r="B5838" i="1"/>
  <c r="A5839" i="1"/>
  <c r="B5839" i="1"/>
  <c r="A5840" i="1"/>
  <c r="B5840" i="1"/>
  <c r="A5841" i="1"/>
  <c r="B5841" i="1"/>
  <c r="A5842" i="1"/>
  <c r="B5842" i="1"/>
  <c r="A5843" i="1"/>
  <c r="B5843" i="1"/>
  <c r="A5844" i="1"/>
  <c r="B5844" i="1"/>
  <c r="A5845" i="1"/>
  <c r="B5845" i="1"/>
  <c r="A5846" i="1"/>
  <c r="B5846" i="1"/>
  <c r="A5847" i="1"/>
  <c r="B5847" i="1"/>
  <c r="A5848" i="1"/>
  <c r="B5848" i="1"/>
  <c r="A5849" i="1"/>
  <c r="B5849" i="1"/>
  <c r="A5850" i="1"/>
  <c r="B5850" i="1"/>
  <c r="A5851" i="1"/>
  <c r="B5851" i="1"/>
  <c r="A5852" i="1"/>
  <c r="B5852" i="1"/>
  <c r="A5853" i="1"/>
  <c r="B5853" i="1"/>
  <c r="A5854" i="1"/>
  <c r="B5854" i="1"/>
  <c r="A5855" i="1"/>
  <c r="B5855" i="1"/>
  <c r="A5856" i="1"/>
  <c r="B5856" i="1"/>
  <c r="A5857" i="1"/>
  <c r="B5857" i="1"/>
  <c r="A5858" i="1"/>
  <c r="B5858" i="1"/>
  <c r="A5859" i="1"/>
  <c r="B5859" i="1"/>
  <c r="A5860" i="1"/>
  <c r="B5860" i="1"/>
  <c r="A5861" i="1"/>
  <c r="B5861" i="1"/>
  <c r="A5862" i="1"/>
  <c r="B5862" i="1"/>
  <c r="A5863" i="1"/>
  <c r="B5863" i="1"/>
  <c r="A5864" i="1"/>
  <c r="B5864" i="1"/>
  <c r="A5865" i="1"/>
  <c r="B5865" i="1"/>
  <c r="A5866" i="1"/>
  <c r="B5866" i="1"/>
  <c r="A5867" i="1"/>
  <c r="B5867" i="1"/>
  <c r="A5868" i="1"/>
  <c r="B5868" i="1"/>
  <c r="A5869" i="1"/>
  <c r="B5869" i="1"/>
  <c r="A5870" i="1"/>
  <c r="B5870" i="1"/>
  <c r="A5871" i="1"/>
  <c r="B5871" i="1"/>
  <c r="A5872" i="1"/>
  <c r="B5872" i="1"/>
  <c r="A5873" i="1"/>
  <c r="B5873" i="1"/>
  <c r="A5874" i="1"/>
  <c r="B5874" i="1"/>
  <c r="A5875" i="1"/>
  <c r="B5875" i="1"/>
  <c r="A5876" i="1"/>
  <c r="B5876" i="1"/>
  <c r="A5877" i="1"/>
  <c r="B5877" i="1"/>
  <c r="A5878" i="1"/>
  <c r="B5878" i="1"/>
  <c r="A5879" i="1"/>
  <c r="B5879" i="1"/>
  <c r="A5880" i="1"/>
  <c r="B5880" i="1"/>
  <c r="A5881" i="1"/>
  <c r="B5881" i="1"/>
  <c r="A5882" i="1"/>
  <c r="B5882" i="1"/>
  <c r="A5883" i="1"/>
  <c r="B5883" i="1"/>
  <c r="A5884" i="1"/>
  <c r="B5884" i="1"/>
  <c r="A5885" i="1"/>
  <c r="B5885" i="1"/>
  <c r="A5886" i="1"/>
  <c r="B5886" i="1"/>
  <c r="A5887" i="1"/>
  <c r="B5887" i="1"/>
  <c r="A5888" i="1"/>
  <c r="B5888" i="1"/>
  <c r="A5889" i="1"/>
  <c r="B5889" i="1"/>
  <c r="A5890" i="1"/>
  <c r="B5890" i="1"/>
  <c r="A5891" i="1"/>
  <c r="B5891" i="1"/>
  <c r="A5892" i="1"/>
  <c r="B5892" i="1"/>
  <c r="A5893" i="1"/>
  <c r="B5893" i="1"/>
  <c r="A5894" i="1"/>
  <c r="B5894" i="1"/>
  <c r="A5895" i="1"/>
  <c r="B5895" i="1"/>
  <c r="A5896" i="1"/>
  <c r="B5896" i="1"/>
  <c r="A5897" i="1"/>
  <c r="B5897" i="1"/>
  <c r="A5898" i="1"/>
  <c r="B5898" i="1"/>
  <c r="A5899" i="1"/>
  <c r="B5899" i="1"/>
  <c r="A5900" i="1"/>
  <c r="B5900" i="1"/>
  <c r="A5901" i="1"/>
  <c r="B5901" i="1"/>
  <c r="A5902" i="1"/>
  <c r="B5902" i="1"/>
  <c r="A5903" i="1"/>
  <c r="B5903" i="1"/>
  <c r="A5904" i="1"/>
  <c r="B5904" i="1"/>
  <c r="A5905" i="1"/>
  <c r="B5905" i="1"/>
  <c r="A5906" i="1"/>
  <c r="B5906" i="1"/>
  <c r="A5907" i="1"/>
  <c r="B5907" i="1"/>
  <c r="A5908" i="1"/>
  <c r="B5908" i="1"/>
  <c r="A5909" i="1"/>
  <c r="B5909" i="1"/>
  <c r="A5910" i="1"/>
  <c r="B5910" i="1"/>
  <c r="A5911" i="1"/>
  <c r="B5911" i="1"/>
  <c r="A5912" i="1"/>
  <c r="B5912" i="1"/>
  <c r="A5913" i="1"/>
  <c r="B5913" i="1"/>
  <c r="A5914" i="1"/>
  <c r="B5914" i="1"/>
  <c r="A5915" i="1"/>
  <c r="B5915" i="1"/>
  <c r="A5916" i="1"/>
  <c r="B5916" i="1"/>
  <c r="A5917" i="1"/>
  <c r="B5917" i="1"/>
  <c r="A5918" i="1"/>
  <c r="B5918" i="1"/>
  <c r="A5919" i="1"/>
  <c r="B5919" i="1"/>
  <c r="A5920" i="1"/>
  <c r="B5920" i="1"/>
  <c r="A5921" i="1"/>
  <c r="B5921" i="1"/>
  <c r="A5922" i="1"/>
  <c r="B5922" i="1"/>
  <c r="A5923" i="1"/>
  <c r="B5923" i="1"/>
  <c r="A5924" i="1"/>
  <c r="B5924" i="1"/>
  <c r="A5925" i="1"/>
  <c r="B5925" i="1"/>
  <c r="A5926" i="1"/>
  <c r="B5926" i="1"/>
  <c r="A5927" i="1"/>
  <c r="B5927" i="1"/>
  <c r="A5928" i="1"/>
  <c r="B5928" i="1"/>
  <c r="A5929" i="1"/>
  <c r="B5929" i="1"/>
  <c r="A5930" i="1"/>
  <c r="B5930" i="1"/>
  <c r="A5931" i="1"/>
  <c r="B5931" i="1"/>
  <c r="A5932" i="1"/>
  <c r="B5932" i="1"/>
  <c r="A5933" i="1"/>
  <c r="B5933" i="1"/>
  <c r="A5934" i="1"/>
  <c r="B5934" i="1"/>
  <c r="A5935" i="1"/>
  <c r="B5935" i="1"/>
  <c r="A5936" i="1"/>
  <c r="B5936" i="1"/>
  <c r="A5937" i="1"/>
  <c r="B5937" i="1"/>
  <c r="A5938" i="1"/>
  <c r="B5938" i="1"/>
  <c r="A5939" i="1"/>
  <c r="B5939" i="1"/>
  <c r="A5940" i="1"/>
  <c r="B5940" i="1"/>
  <c r="A5941" i="1"/>
  <c r="B5941" i="1"/>
  <c r="A5942" i="1"/>
  <c r="B5942" i="1"/>
  <c r="A5943" i="1"/>
  <c r="B5943" i="1"/>
  <c r="A5944" i="1"/>
  <c r="B5944" i="1"/>
  <c r="A5945" i="1"/>
  <c r="B5945" i="1"/>
  <c r="A5946" i="1"/>
  <c r="B5946" i="1"/>
  <c r="A5947" i="1"/>
  <c r="B5947" i="1"/>
  <c r="A5948" i="1"/>
  <c r="B5948" i="1"/>
  <c r="A5949" i="1"/>
  <c r="B5949" i="1"/>
  <c r="A5950" i="1"/>
  <c r="B5950" i="1"/>
  <c r="A5951" i="1"/>
  <c r="B5951" i="1"/>
  <c r="A5952" i="1"/>
  <c r="B5952" i="1"/>
  <c r="A5953" i="1"/>
  <c r="B5953" i="1"/>
  <c r="A5954" i="1"/>
  <c r="B5954" i="1"/>
  <c r="A5955" i="1"/>
  <c r="B5955" i="1"/>
  <c r="A5956" i="1"/>
  <c r="B5956" i="1"/>
  <c r="A5957" i="1"/>
  <c r="B5957" i="1"/>
  <c r="A5958" i="1"/>
  <c r="B5958" i="1"/>
  <c r="A5959" i="1"/>
  <c r="B5959" i="1"/>
  <c r="A5960" i="1"/>
  <c r="B5960" i="1"/>
  <c r="A5961" i="1"/>
  <c r="B5961" i="1"/>
  <c r="A5962" i="1"/>
  <c r="B5962" i="1"/>
  <c r="A5963" i="1"/>
  <c r="B5963" i="1"/>
  <c r="A5964" i="1"/>
  <c r="B5964" i="1"/>
  <c r="A5965" i="1"/>
  <c r="B5965" i="1"/>
  <c r="A5966" i="1"/>
  <c r="B5966" i="1"/>
  <c r="A5967" i="1"/>
  <c r="B5967" i="1"/>
  <c r="A5968" i="1"/>
  <c r="B5968" i="1"/>
  <c r="A5969" i="1"/>
  <c r="B5969" i="1"/>
  <c r="A5970" i="1"/>
  <c r="B5970" i="1"/>
  <c r="A5971" i="1"/>
  <c r="B5971" i="1"/>
  <c r="A5972" i="1"/>
  <c r="B5972" i="1"/>
  <c r="A5973" i="1"/>
  <c r="B5973" i="1"/>
  <c r="A5974" i="1"/>
  <c r="B5974" i="1"/>
  <c r="A5975" i="1"/>
  <c r="B5975" i="1"/>
  <c r="A5976" i="1"/>
  <c r="B5976" i="1"/>
  <c r="A5977" i="1"/>
  <c r="B5977" i="1"/>
  <c r="A5978" i="1"/>
  <c r="B5978" i="1"/>
  <c r="A5979" i="1"/>
  <c r="B5979" i="1"/>
  <c r="A5980" i="1"/>
  <c r="B5980" i="1"/>
  <c r="A5981" i="1"/>
  <c r="B5981" i="1"/>
  <c r="A5982" i="1"/>
  <c r="B5982" i="1"/>
  <c r="A5983" i="1"/>
  <c r="B5983" i="1"/>
  <c r="A5984" i="1"/>
  <c r="B5984" i="1"/>
  <c r="A5985" i="1"/>
  <c r="B5985" i="1"/>
  <c r="A5986" i="1"/>
  <c r="B5986" i="1"/>
  <c r="A5987" i="1"/>
  <c r="B5987" i="1"/>
  <c r="A5988" i="1"/>
  <c r="B5988" i="1"/>
  <c r="A5989" i="1"/>
  <c r="B5989" i="1"/>
  <c r="A5990" i="1"/>
  <c r="B5990" i="1"/>
  <c r="A5991" i="1"/>
  <c r="B5991" i="1"/>
  <c r="A5992" i="1"/>
  <c r="B5992" i="1"/>
  <c r="A5993" i="1"/>
  <c r="B5993" i="1"/>
  <c r="A5994" i="1"/>
  <c r="B5994" i="1"/>
  <c r="A5995" i="1"/>
  <c r="B5995" i="1"/>
  <c r="A5996" i="1"/>
  <c r="B5996" i="1"/>
  <c r="A5997" i="1"/>
  <c r="B5997" i="1"/>
  <c r="A5998" i="1"/>
  <c r="B5998" i="1"/>
  <c r="A5999" i="1"/>
  <c r="B5999" i="1"/>
  <c r="A6000" i="1"/>
  <c r="B6000" i="1"/>
  <c r="A6001" i="1"/>
  <c r="B6001" i="1"/>
  <c r="A6002" i="1"/>
  <c r="B6002" i="1"/>
  <c r="A6003" i="1"/>
  <c r="B6003" i="1"/>
  <c r="A6004" i="1"/>
  <c r="B6004" i="1"/>
  <c r="A6005" i="1"/>
  <c r="B6005" i="1"/>
  <c r="A6006" i="1"/>
  <c r="B6006" i="1"/>
  <c r="A6007" i="1"/>
  <c r="B6007" i="1"/>
  <c r="A6008" i="1"/>
  <c r="B6008" i="1"/>
  <c r="A6009" i="1"/>
  <c r="B6009" i="1"/>
  <c r="A6010" i="1"/>
  <c r="B6010" i="1"/>
  <c r="A6011" i="1"/>
  <c r="B6011" i="1"/>
  <c r="A6012" i="1"/>
  <c r="B6012" i="1"/>
  <c r="A6013" i="1"/>
  <c r="B6013" i="1"/>
  <c r="A6014" i="1"/>
  <c r="B6014" i="1"/>
  <c r="A6015" i="1"/>
  <c r="B6015" i="1"/>
  <c r="A6016" i="1"/>
  <c r="B6016" i="1"/>
  <c r="A6017" i="1"/>
  <c r="B6017" i="1"/>
  <c r="A6018" i="1"/>
  <c r="B6018" i="1"/>
  <c r="A6019" i="1"/>
  <c r="B6019" i="1"/>
  <c r="A6020" i="1"/>
  <c r="B6020" i="1"/>
  <c r="A6021" i="1"/>
  <c r="B6021" i="1"/>
  <c r="A6022" i="1"/>
  <c r="B6022" i="1"/>
  <c r="A6023" i="1"/>
  <c r="B6023" i="1"/>
  <c r="A6024" i="1"/>
  <c r="B6024" i="1"/>
  <c r="A6025" i="1"/>
  <c r="B6025" i="1"/>
  <c r="A6026" i="1"/>
  <c r="B6026" i="1"/>
  <c r="A6027" i="1"/>
  <c r="B6027" i="1"/>
  <c r="A6028" i="1"/>
  <c r="B6028" i="1"/>
  <c r="A6029" i="1"/>
  <c r="B6029" i="1"/>
  <c r="A6030" i="1"/>
  <c r="B6030" i="1"/>
  <c r="A6031" i="1"/>
  <c r="B6031" i="1"/>
  <c r="A6032" i="1"/>
  <c r="B6032" i="1"/>
  <c r="A6033" i="1"/>
  <c r="B6033" i="1"/>
  <c r="A6034" i="1"/>
  <c r="B6034" i="1"/>
  <c r="A6035" i="1"/>
  <c r="B6035" i="1"/>
  <c r="A6036" i="1"/>
  <c r="B6036" i="1"/>
  <c r="A6037" i="1"/>
  <c r="B6037" i="1"/>
  <c r="A6038" i="1"/>
  <c r="B6038" i="1"/>
  <c r="A6039" i="1"/>
  <c r="B6039" i="1"/>
  <c r="A6040" i="1"/>
  <c r="B6040" i="1"/>
  <c r="A6041" i="1"/>
  <c r="B6041" i="1"/>
  <c r="A6042" i="1"/>
  <c r="B6042" i="1"/>
  <c r="A6043" i="1"/>
  <c r="B6043" i="1"/>
  <c r="A6044" i="1"/>
  <c r="B6044" i="1"/>
  <c r="A6045" i="1"/>
  <c r="B6045" i="1"/>
  <c r="A6046" i="1"/>
  <c r="B6046" i="1"/>
  <c r="A6047" i="1"/>
  <c r="B6047" i="1"/>
  <c r="A6048" i="1"/>
  <c r="B6048" i="1"/>
  <c r="A6049" i="1"/>
  <c r="B6049" i="1"/>
  <c r="A6050" i="1"/>
  <c r="B6050" i="1"/>
  <c r="A6051" i="1"/>
  <c r="B6051" i="1"/>
  <c r="A6052" i="1"/>
  <c r="B6052" i="1"/>
  <c r="A6053" i="1"/>
  <c r="B6053" i="1"/>
  <c r="A6054" i="1"/>
  <c r="B6054" i="1"/>
  <c r="A6055" i="1"/>
  <c r="B6055" i="1"/>
  <c r="A6056" i="1"/>
  <c r="B6056" i="1"/>
  <c r="A6057" i="1"/>
  <c r="B6057" i="1"/>
  <c r="A6058" i="1"/>
  <c r="B6058" i="1"/>
  <c r="A6059" i="1"/>
  <c r="B6059" i="1"/>
  <c r="A6060" i="1"/>
  <c r="B6060" i="1"/>
  <c r="A6061" i="1"/>
  <c r="B6061" i="1"/>
  <c r="A6062" i="1"/>
  <c r="B6062" i="1"/>
  <c r="A6063" i="1"/>
  <c r="B6063" i="1"/>
  <c r="A6064" i="1"/>
  <c r="B6064" i="1"/>
  <c r="A6065" i="1"/>
  <c r="B6065" i="1"/>
  <c r="A6066" i="1"/>
  <c r="B6066" i="1"/>
  <c r="A6067" i="1"/>
  <c r="B6067" i="1"/>
  <c r="A6068" i="1"/>
  <c r="B6068" i="1"/>
  <c r="A6069" i="1"/>
  <c r="B6069" i="1"/>
  <c r="A6070" i="1"/>
  <c r="B6070" i="1"/>
  <c r="A6071" i="1"/>
  <c r="B6071" i="1"/>
  <c r="A6072" i="1"/>
  <c r="B6072" i="1"/>
  <c r="A6073" i="1"/>
  <c r="B6073" i="1"/>
  <c r="A6074" i="1"/>
  <c r="B6074" i="1"/>
  <c r="A6075" i="1"/>
  <c r="B6075" i="1"/>
  <c r="A6076" i="1"/>
  <c r="B6076" i="1"/>
  <c r="A6077" i="1"/>
  <c r="B6077" i="1"/>
  <c r="A6078" i="1"/>
  <c r="B6078" i="1"/>
  <c r="A6079" i="1"/>
  <c r="B6079" i="1"/>
  <c r="A6080" i="1"/>
  <c r="B6080" i="1"/>
  <c r="A6081" i="1"/>
  <c r="B6081" i="1"/>
  <c r="A6082" i="1"/>
  <c r="B6082" i="1"/>
  <c r="A6083" i="1"/>
  <c r="B6083" i="1"/>
  <c r="A6084" i="1"/>
  <c r="B6084" i="1"/>
  <c r="A6085" i="1"/>
  <c r="B6085" i="1"/>
  <c r="A6086" i="1"/>
  <c r="B6086" i="1"/>
  <c r="A6087" i="1"/>
  <c r="B6087" i="1"/>
  <c r="A6088" i="1"/>
  <c r="B6088" i="1"/>
  <c r="A6089" i="1"/>
  <c r="B6089" i="1"/>
  <c r="A6090" i="1"/>
  <c r="B6090" i="1"/>
  <c r="A6091" i="1"/>
  <c r="B6091" i="1"/>
  <c r="A6092" i="1"/>
  <c r="B6092" i="1"/>
  <c r="A6093" i="1"/>
  <c r="B6093" i="1"/>
  <c r="A6094" i="1"/>
  <c r="B6094" i="1"/>
  <c r="A6095" i="1"/>
  <c r="B6095" i="1"/>
  <c r="A6096" i="1"/>
  <c r="B6096" i="1"/>
  <c r="A6097" i="1"/>
  <c r="B6097" i="1"/>
  <c r="A6098" i="1"/>
  <c r="B6098" i="1"/>
  <c r="A6099" i="1"/>
  <c r="B6099" i="1"/>
  <c r="A6100" i="1"/>
  <c r="B6100" i="1"/>
  <c r="A6101" i="1"/>
  <c r="B6101" i="1"/>
  <c r="A6102" i="1"/>
  <c r="B6102" i="1"/>
  <c r="A6103" i="1"/>
  <c r="B6103" i="1"/>
  <c r="A6104" i="1"/>
  <c r="B6104" i="1"/>
  <c r="A6105" i="1"/>
  <c r="B6105" i="1"/>
  <c r="A6106" i="1"/>
  <c r="B6106" i="1"/>
  <c r="A6107" i="1"/>
  <c r="B6107" i="1"/>
  <c r="A6108" i="1"/>
  <c r="B6108" i="1"/>
  <c r="A6109" i="1"/>
  <c r="B6109" i="1"/>
  <c r="A6110" i="1"/>
  <c r="B6110" i="1"/>
  <c r="A6111" i="1"/>
  <c r="B6111" i="1"/>
  <c r="A6112" i="1"/>
  <c r="B6112" i="1"/>
  <c r="A6113" i="1"/>
  <c r="B6113" i="1"/>
  <c r="A6114" i="1"/>
  <c r="B6114" i="1"/>
  <c r="A6115" i="1"/>
  <c r="B6115" i="1"/>
  <c r="A6116" i="1"/>
  <c r="B6116" i="1"/>
  <c r="A6117" i="1"/>
  <c r="B6117" i="1"/>
  <c r="A6118" i="1"/>
  <c r="B6118" i="1"/>
  <c r="A6119" i="1"/>
  <c r="B6119" i="1"/>
  <c r="A6120" i="1"/>
  <c r="B6120" i="1"/>
  <c r="A6121" i="1"/>
  <c r="B6121" i="1"/>
  <c r="A6122" i="1"/>
  <c r="B6122" i="1"/>
  <c r="A6123" i="1"/>
  <c r="B6123" i="1"/>
  <c r="A6124" i="1"/>
  <c r="B6124" i="1"/>
  <c r="A6125" i="1"/>
  <c r="B6125" i="1"/>
  <c r="A6126" i="1"/>
  <c r="B6126" i="1"/>
  <c r="A6127" i="1"/>
  <c r="B6127" i="1"/>
  <c r="A6128" i="1"/>
  <c r="B6128" i="1"/>
  <c r="A6129" i="1"/>
  <c r="B6129" i="1"/>
  <c r="A6130" i="1"/>
  <c r="B6130" i="1"/>
  <c r="A6131" i="1"/>
  <c r="B6131" i="1"/>
  <c r="A6132" i="1"/>
  <c r="B6132" i="1"/>
  <c r="A6133" i="1"/>
  <c r="B6133" i="1"/>
  <c r="A6134" i="1"/>
  <c r="B6134" i="1"/>
  <c r="A6135" i="1"/>
  <c r="B6135" i="1"/>
  <c r="A6136" i="1"/>
  <c r="B6136" i="1"/>
  <c r="A6137" i="1"/>
  <c r="B6137" i="1"/>
  <c r="A6138" i="1"/>
  <c r="B6138" i="1"/>
  <c r="A6139" i="1"/>
  <c r="B6139" i="1"/>
  <c r="A6140" i="1"/>
  <c r="B6140" i="1"/>
  <c r="A6141" i="1"/>
  <c r="B6141" i="1"/>
  <c r="A6142" i="1"/>
  <c r="B6142" i="1"/>
  <c r="A6143" i="1"/>
  <c r="B6143" i="1"/>
  <c r="A6144" i="1"/>
  <c r="B6144" i="1"/>
  <c r="A6145" i="1"/>
  <c r="B6145" i="1"/>
  <c r="A6146" i="1"/>
  <c r="B6146" i="1"/>
  <c r="A6147" i="1"/>
  <c r="B6147" i="1"/>
  <c r="A6148" i="1"/>
  <c r="B6148" i="1"/>
  <c r="A6149" i="1"/>
  <c r="B6149" i="1"/>
  <c r="A6150" i="1"/>
  <c r="B6150" i="1"/>
  <c r="A6151" i="1"/>
  <c r="B6151" i="1"/>
  <c r="A6152" i="1"/>
  <c r="B6152" i="1"/>
  <c r="A6153" i="1"/>
  <c r="B6153" i="1"/>
  <c r="A6154" i="1"/>
  <c r="B6154" i="1"/>
  <c r="A6155" i="1"/>
  <c r="B6155" i="1"/>
  <c r="A6156" i="1"/>
  <c r="B6156" i="1"/>
  <c r="A6157" i="1"/>
  <c r="B6157" i="1"/>
  <c r="A6158" i="1"/>
  <c r="B6158" i="1"/>
  <c r="A6159" i="1"/>
  <c r="B6159" i="1"/>
  <c r="A6160" i="1"/>
  <c r="B6160" i="1"/>
  <c r="A6161" i="1"/>
  <c r="B6161" i="1"/>
  <c r="A6162" i="1"/>
  <c r="B6162" i="1"/>
  <c r="A6163" i="1"/>
  <c r="B6163" i="1"/>
  <c r="A6164" i="1"/>
  <c r="B6164" i="1"/>
  <c r="A6165" i="1"/>
  <c r="B6165" i="1"/>
  <c r="A6166" i="1"/>
  <c r="B6166" i="1"/>
  <c r="A6167" i="1"/>
  <c r="B6167" i="1"/>
  <c r="A6168" i="1"/>
  <c r="B6168" i="1"/>
  <c r="A6169" i="1"/>
  <c r="B6169" i="1"/>
  <c r="A6170" i="1"/>
  <c r="B6170" i="1"/>
  <c r="A6171" i="1"/>
  <c r="B6171" i="1"/>
  <c r="A6172" i="1"/>
  <c r="B6172" i="1"/>
  <c r="A6173" i="1"/>
  <c r="B6173" i="1"/>
  <c r="A6174" i="1"/>
  <c r="B6174" i="1"/>
  <c r="A6175" i="1"/>
  <c r="B6175" i="1"/>
  <c r="A6176" i="1"/>
  <c r="B6176" i="1"/>
  <c r="A6177" i="1"/>
  <c r="B6177" i="1"/>
  <c r="A6178" i="1"/>
  <c r="B6178" i="1"/>
  <c r="A6179" i="1"/>
  <c r="B6179" i="1"/>
  <c r="A6180" i="1"/>
  <c r="B6180" i="1"/>
  <c r="A6181" i="1"/>
  <c r="B6181" i="1"/>
  <c r="A6182" i="1"/>
  <c r="B6182" i="1"/>
  <c r="A6183" i="1"/>
  <c r="B6183" i="1"/>
  <c r="A6184" i="1"/>
  <c r="B6184" i="1"/>
  <c r="A6185" i="1"/>
  <c r="B6185" i="1"/>
  <c r="A6186" i="1"/>
  <c r="B6186" i="1"/>
  <c r="A6187" i="1"/>
  <c r="B6187" i="1"/>
  <c r="A6188" i="1"/>
  <c r="B6188" i="1"/>
  <c r="A6189" i="1"/>
  <c r="B6189" i="1"/>
  <c r="A6190" i="1"/>
  <c r="B6190" i="1"/>
  <c r="A6191" i="1"/>
  <c r="B6191" i="1"/>
  <c r="A6192" i="1"/>
  <c r="B6192" i="1"/>
  <c r="A6193" i="1"/>
  <c r="B6193" i="1"/>
  <c r="A6194" i="1"/>
  <c r="B6194" i="1"/>
  <c r="A6195" i="1"/>
  <c r="B6195" i="1"/>
  <c r="A6196" i="1"/>
  <c r="B6196" i="1"/>
  <c r="A6197" i="1"/>
  <c r="B6197" i="1"/>
  <c r="A6198" i="1"/>
  <c r="B6198" i="1"/>
  <c r="A6199" i="1"/>
  <c r="B6199" i="1"/>
  <c r="A6200" i="1"/>
  <c r="B6200" i="1"/>
  <c r="A6201" i="1"/>
  <c r="B6201" i="1"/>
  <c r="A6202" i="1"/>
  <c r="B6202" i="1"/>
  <c r="A6203" i="1"/>
  <c r="B6203" i="1"/>
  <c r="A6204" i="1"/>
  <c r="B6204" i="1"/>
  <c r="A6205" i="1"/>
  <c r="B6205" i="1"/>
  <c r="A6206" i="1"/>
  <c r="B6206" i="1"/>
  <c r="A6207" i="1"/>
  <c r="B6207" i="1"/>
  <c r="A6208" i="1"/>
  <c r="B6208" i="1"/>
  <c r="A6209" i="1"/>
  <c r="B6209" i="1"/>
  <c r="A6210" i="1"/>
  <c r="B6210" i="1"/>
  <c r="A6211" i="1"/>
  <c r="B6211" i="1"/>
  <c r="A6212" i="1"/>
  <c r="B6212" i="1"/>
  <c r="A6213" i="1"/>
  <c r="B6213" i="1"/>
  <c r="A6214" i="1"/>
  <c r="B6214" i="1"/>
  <c r="A6215" i="1"/>
  <c r="B6215" i="1"/>
  <c r="A6216" i="1"/>
  <c r="B6216" i="1"/>
  <c r="A6217" i="1"/>
  <c r="B6217" i="1"/>
  <c r="A6218" i="1"/>
  <c r="B6218" i="1"/>
  <c r="A6219" i="1"/>
  <c r="B6219" i="1"/>
  <c r="A6220" i="1"/>
  <c r="B6220" i="1"/>
  <c r="A6221" i="1"/>
  <c r="B6221" i="1"/>
  <c r="A6222" i="1"/>
  <c r="B6222" i="1"/>
  <c r="A6223" i="1"/>
  <c r="B6223" i="1"/>
  <c r="A6224" i="1"/>
  <c r="B6224" i="1"/>
  <c r="A6225" i="1"/>
  <c r="B6225" i="1"/>
  <c r="A6226" i="1"/>
  <c r="B6226" i="1"/>
  <c r="A6227" i="1"/>
  <c r="B6227" i="1"/>
  <c r="A6228" i="1"/>
  <c r="B6228" i="1"/>
  <c r="A6229" i="1"/>
  <c r="B6229" i="1"/>
  <c r="A6230" i="1"/>
  <c r="B6230" i="1"/>
  <c r="A6231" i="1"/>
  <c r="B6231" i="1"/>
  <c r="A6232" i="1"/>
  <c r="B6232" i="1"/>
  <c r="A6233" i="1"/>
  <c r="B6233" i="1"/>
  <c r="A6234" i="1"/>
  <c r="B6234" i="1"/>
  <c r="A6235" i="1"/>
  <c r="B6235" i="1"/>
  <c r="A6236" i="1"/>
  <c r="B6236" i="1"/>
  <c r="A6237" i="1"/>
  <c r="B6237" i="1"/>
  <c r="A6238" i="1"/>
  <c r="B6238" i="1"/>
  <c r="A6239" i="1"/>
  <c r="B6239" i="1"/>
  <c r="A6240" i="1"/>
  <c r="B6240" i="1"/>
  <c r="A6241" i="1"/>
  <c r="B6241" i="1"/>
  <c r="A6242" i="1"/>
  <c r="B6242" i="1"/>
  <c r="A6243" i="1"/>
  <c r="B6243" i="1"/>
  <c r="A6244" i="1"/>
  <c r="B6244" i="1"/>
  <c r="A6245" i="1"/>
  <c r="B6245" i="1"/>
  <c r="A6246" i="1"/>
  <c r="B6246" i="1"/>
  <c r="A6247" i="1"/>
  <c r="B6247" i="1"/>
  <c r="A6248" i="1"/>
  <c r="B6248" i="1"/>
  <c r="A6249" i="1"/>
  <c r="B6249" i="1"/>
  <c r="A6250" i="1"/>
  <c r="B6250" i="1"/>
  <c r="A6251" i="1"/>
  <c r="B6251" i="1"/>
  <c r="A6252" i="1"/>
  <c r="B6252" i="1"/>
  <c r="A6253" i="1"/>
  <c r="B6253" i="1"/>
  <c r="A6254" i="1"/>
  <c r="B6254" i="1"/>
  <c r="A6255" i="1"/>
  <c r="B6255" i="1"/>
  <c r="A6256" i="1"/>
  <c r="B6256" i="1"/>
  <c r="A6257" i="1"/>
  <c r="B6257" i="1"/>
  <c r="A6258" i="1"/>
  <c r="B6258" i="1"/>
  <c r="A6259" i="1"/>
  <c r="B6259" i="1"/>
  <c r="A6260" i="1"/>
  <c r="B6260" i="1"/>
  <c r="A6261" i="1"/>
  <c r="B6261" i="1"/>
  <c r="A6262" i="1"/>
  <c r="B6262" i="1"/>
  <c r="A6263" i="1"/>
  <c r="B6263" i="1"/>
  <c r="A6264" i="1"/>
  <c r="B6264" i="1"/>
  <c r="A6265" i="1"/>
  <c r="B6265" i="1"/>
  <c r="A6266" i="1"/>
  <c r="B6266" i="1"/>
  <c r="A6267" i="1"/>
  <c r="B6267" i="1"/>
  <c r="A6268" i="1"/>
  <c r="B6268" i="1"/>
  <c r="A6269" i="1"/>
  <c r="B6269" i="1"/>
  <c r="A6270" i="1"/>
  <c r="B6270" i="1"/>
  <c r="A6271" i="1"/>
  <c r="B6271" i="1"/>
  <c r="A6272" i="1"/>
  <c r="B6272" i="1"/>
  <c r="A6273" i="1"/>
  <c r="B6273" i="1"/>
  <c r="A6274" i="1"/>
  <c r="B6274" i="1"/>
  <c r="A6275" i="1"/>
  <c r="B6275" i="1"/>
  <c r="A6276" i="1"/>
  <c r="B6276" i="1"/>
  <c r="A6277" i="1"/>
  <c r="B6277" i="1"/>
  <c r="A6278" i="1"/>
  <c r="B6278" i="1"/>
  <c r="A6279" i="1"/>
  <c r="B6279" i="1"/>
  <c r="A6280" i="1"/>
  <c r="B6280" i="1"/>
  <c r="A6281" i="1"/>
  <c r="B6281" i="1"/>
  <c r="A6282" i="1"/>
  <c r="B6282" i="1"/>
  <c r="A6283" i="1"/>
  <c r="B6283" i="1"/>
  <c r="A6284" i="1"/>
  <c r="B6284" i="1"/>
  <c r="A6285" i="1"/>
  <c r="B6285" i="1"/>
  <c r="A6286" i="1"/>
  <c r="B6286" i="1"/>
  <c r="A6287" i="1"/>
  <c r="B6287" i="1"/>
  <c r="A6288" i="1"/>
  <c r="B6288" i="1"/>
  <c r="A6289" i="1"/>
  <c r="B6289" i="1"/>
  <c r="A6290" i="1"/>
  <c r="B6290" i="1"/>
  <c r="A6291" i="1"/>
  <c r="B6291" i="1"/>
  <c r="A6292" i="1"/>
  <c r="B6292" i="1"/>
  <c r="A6293" i="1"/>
  <c r="B6293" i="1"/>
  <c r="A6294" i="1"/>
  <c r="B6294" i="1"/>
  <c r="A6295" i="1"/>
  <c r="B6295" i="1"/>
  <c r="A6296" i="1"/>
  <c r="B6296" i="1"/>
  <c r="A6297" i="1"/>
  <c r="B6297" i="1"/>
  <c r="A6298" i="1"/>
  <c r="B6298" i="1"/>
  <c r="A6299" i="1"/>
  <c r="B6299" i="1"/>
  <c r="A6300" i="1"/>
  <c r="B6300" i="1"/>
  <c r="A6301" i="1"/>
  <c r="B6301" i="1"/>
  <c r="A6302" i="1"/>
  <c r="B6302" i="1"/>
  <c r="A6303" i="1"/>
  <c r="B6303" i="1"/>
  <c r="A6304" i="1"/>
  <c r="B6304" i="1"/>
  <c r="A6305" i="1"/>
  <c r="B6305" i="1"/>
  <c r="A6306" i="1"/>
  <c r="B6306" i="1"/>
  <c r="A6307" i="1"/>
  <c r="B6307" i="1"/>
  <c r="A6308" i="1"/>
  <c r="B6308" i="1"/>
  <c r="A6309" i="1"/>
  <c r="B6309" i="1"/>
  <c r="A6310" i="1"/>
  <c r="B6310" i="1"/>
  <c r="A6311" i="1"/>
  <c r="B6311" i="1"/>
  <c r="A6312" i="1"/>
  <c r="B6312" i="1"/>
  <c r="A6313" i="1"/>
  <c r="B6313" i="1"/>
  <c r="A6314" i="1"/>
  <c r="B6314" i="1"/>
  <c r="A6315" i="1"/>
  <c r="B6315" i="1"/>
  <c r="A6316" i="1"/>
  <c r="B6316" i="1"/>
  <c r="A6317" i="1"/>
  <c r="B6317" i="1"/>
  <c r="A6318" i="1"/>
  <c r="B6318" i="1"/>
  <c r="A6319" i="1"/>
  <c r="B6319" i="1"/>
  <c r="A6320" i="1"/>
  <c r="B6320" i="1"/>
  <c r="A6321" i="1"/>
  <c r="B6321" i="1"/>
  <c r="A6322" i="1"/>
  <c r="B6322" i="1"/>
  <c r="A6323" i="1"/>
  <c r="B6323" i="1"/>
  <c r="A6324" i="1"/>
  <c r="B6324" i="1"/>
  <c r="A6325" i="1"/>
  <c r="B6325" i="1"/>
  <c r="A6326" i="1"/>
  <c r="B6326" i="1"/>
  <c r="A6327" i="1"/>
  <c r="B6327" i="1"/>
  <c r="A6328" i="1"/>
  <c r="B6328" i="1"/>
  <c r="A6329" i="1"/>
  <c r="B6329" i="1"/>
  <c r="A6330" i="1"/>
  <c r="B6330" i="1"/>
  <c r="A6331" i="1"/>
  <c r="B6331" i="1"/>
  <c r="A6332" i="1"/>
  <c r="B6332" i="1"/>
  <c r="A6333" i="1"/>
  <c r="B6333" i="1"/>
  <c r="A6334" i="1"/>
  <c r="B6334" i="1"/>
  <c r="A6335" i="1"/>
  <c r="B6335" i="1"/>
  <c r="A6336" i="1"/>
  <c r="B6336" i="1"/>
  <c r="A6337" i="1"/>
  <c r="B6337" i="1"/>
  <c r="A6338" i="1"/>
  <c r="B6338" i="1"/>
  <c r="A6339" i="1"/>
  <c r="B6339" i="1"/>
  <c r="A6340" i="1"/>
  <c r="B6340" i="1"/>
  <c r="A6341" i="1"/>
  <c r="B6341" i="1"/>
  <c r="A6342" i="1"/>
  <c r="B6342" i="1"/>
  <c r="A6343" i="1"/>
  <c r="B6343" i="1"/>
  <c r="A6344" i="1"/>
  <c r="B6344" i="1"/>
  <c r="A6345" i="1"/>
  <c r="B6345" i="1"/>
  <c r="A6346" i="1"/>
  <c r="B6346" i="1"/>
  <c r="A6347" i="1"/>
  <c r="B6347" i="1"/>
  <c r="A6348" i="1"/>
  <c r="B6348" i="1"/>
  <c r="A6349" i="1"/>
  <c r="B6349" i="1"/>
  <c r="A6350" i="1"/>
  <c r="B6350" i="1"/>
  <c r="A6351" i="1"/>
  <c r="B6351" i="1"/>
  <c r="A6352" i="1"/>
  <c r="B6352" i="1"/>
  <c r="A6353" i="1"/>
  <c r="B6353" i="1"/>
  <c r="A6354" i="1"/>
  <c r="B6354" i="1"/>
  <c r="A6355" i="1"/>
  <c r="B6355" i="1"/>
  <c r="A6356" i="1"/>
  <c r="B6356" i="1"/>
  <c r="A6357" i="1"/>
  <c r="B6357" i="1"/>
  <c r="A6358" i="1"/>
  <c r="B6358" i="1"/>
  <c r="A6359" i="1"/>
  <c r="B6359" i="1"/>
  <c r="A6360" i="1"/>
  <c r="B6360" i="1"/>
  <c r="A6361" i="1"/>
  <c r="B6361" i="1"/>
  <c r="A6362" i="1"/>
  <c r="B6362" i="1"/>
  <c r="A6363" i="1"/>
  <c r="B6363" i="1"/>
  <c r="A6364" i="1"/>
  <c r="B6364" i="1"/>
  <c r="A6365" i="1"/>
  <c r="B6365" i="1"/>
  <c r="A6366" i="1"/>
  <c r="B6366" i="1"/>
  <c r="A6367" i="1"/>
  <c r="B6367" i="1"/>
  <c r="A6368" i="1"/>
  <c r="B6368" i="1"/>
  <c r="A6369" i="1"/>
  <c r="B6369" i="1"/>
  <c r="A6370" i="1"/>
  <c r="B6370" i="1"/>
  <c r="A6371" i="1"/>
  <c r="B6371" i="1"/>
  <c r="A6372" i="1"/>
  <c r="B6372" i="1"/>
  <c r="A6373" i="1"/>
  <c r="B6373" i="1"/>
  <c r="A6374" i="1"/>
  <c r="B6374" i="1"/>
  <c r="A6375" i="1"/>
  <c r="B6375" i="1"/>
  <c r="A6376" i="1"/>
  <c r="B6376" i="1"/>
  <c r="A6377" i="1"/>
  <c r="B6377" i="1"/>
  <c r="A6378" i="1"/>
  <c r="B6378" i="1"/>
  <c r="A6379" i="1"/>
  <c r="B6379" i="1"/>
  <c r="A6380" i="1"/>
  <c r="B6380" i="1"/>
  <c r="A6381" i="1"/>
  <c r="B6381" i="1"/>
  <c r="A6382" i="1"/>
  <c r="B6382" i="1"/>
  <c r="A6383" i="1"/>
  <c r="B6383" i="1"/>
  <c r="A6384" i="1"/>
  <c r="B6384" i="1"/>
  <c r="A6385" i="1"/>
  <c r="B6385" i="1"/>
  <c r="A6386" i="1"/>
  <c r="B6386" i="1"/>
  <c r="A6387" i="1"/>
  <c r="B6387" i="1"/>
  <c r="A6388" i="1"/>
  <c r="B6388" i="1"/>
  <c r="A6389" i="1"/>
  <c r="B6389" i="1"/>
  <c r="A6390" i="1"/>
  <c r="B6390" i="1"/>
  <c r="A6391" i="1"/>
  <c r="B6391" i="1"/>
  <c r="A6392" i="1"/>
  <c r="B6392" i="1"/>
  <c r="A6393" i="1"/>
  <c r="B6393" i="1"/>
  <c r="A6394" i="1"/>
  <c r="B6394" i="1"/>
  <c r="A6395" i="1"/>
  <c r="B6395" i="1"/>
  <c r="A6396" i="1"/>
  <c r="B6396" i="1"/>
  <c r="A6397" i="1"/>
  <c r="B6397" i="1"/>
  <c r="A6398" i="1"/>
  <c r="B6398" i="1"/>
  <c r="A6399" i="1"/>
  <c r="B6399" i="1"/>
  <c r="A6400" i="1"/>
  <c r="B6400" i="1"/>
  <c r="A6401" i="1"/>
  <c r="B6401" i="1"/>
  <c r="A6402" i="1"/>
  <c r="B6402" i="1"/>
  <c r="A6403" i="1"/>
  <c r="B6403" i="1"/>
  <c r="A6404" i="1"/>
  <c r="B6404" i="1"/>
  <c r="A6405" i="1"/>
  <c r="B6405" i="1"/>
  <c r="A6406" i="1"/>
  <c r="B6406" i="1"/>
  <c r="A6407" i="1"/>
  <c r="B6407" i="1"/>
  <c r="A6408" i="1"/>
  <c r="B6408" i="1"/>
  <c r="A6409" i="1"/>
  <c r="B6409" i="1"/>
  <c r="A6410" i="1"/>
  <c r="B6410" i="1"/>
  <c r="A6411" i="1"/>
  <c r="B6411" i="1"/>
  <c r="A6412" i="1"/>
  <c r="B6412" i="1"/>
  <c r="A6413" i="1"/>
  <c r="B6413" i="1"/>
  <c r="A6414" i="1"/>
  <c r="B6414" i="1"/>
  <c r="A6415" i="1"/>
  <c r="B6415" i="1"/>
  <c r="A6416" i="1"/>
  <c r="B6416" i="1"/>
  <c r="A6417" i="1"/>
  <c r="B6417" i="1"/>
  <c r="A6418" i="1"/>
  <c r="B6418" i="1"/>
  <c r="A6419" i="1"/>
  <c r="B6419" i="1"/>
  <c r="A6420" i="1"/>
  <c r="B6420" i="1"/>
  <c r="A6421" i="1"/>
  <c r="B6421" i="1"/>
  <c r="A6422" i="1"/>
  <c r="B6422" i="1"/>
  <c r="A6423" i="1"/>
  <c r="B6423" i="1"/>
  <c r="A6424" i="1"/>
  <c r="B6424" i="1"/>
  <c r="A6425" i="1"/>
  <c r="B6425" i="1"/>
  <c r="A6426" i="1"/>
  <c r="B6426" i="1"/>
  <c r="A6427" i="1"/>
  <c r="B6427" i="1"/>
  <c r="A6428" i="1"/>
  <c r="B6428" i="1"/>
  <c r="A6429" i="1"/>
  <c r="B6429" i="1"/>
  <c r="A6430" i="1"/>
  <c r="B6430" i="1"/>
  <c r="A6431" i="1"/>
  <c r="B6431" i="1"/>
  <c r="A6432" i="1"/>
  <c r="B6432" i="1"/>
  <c r="A6433" i="1"/>
  <c r="B6433" i="1"/>
  <c r="A6434" i="1"/>
  <c r="B6434" i="1"/>
  <c r="A6435" i="1"/>
  <c r="B6435" i="1"/>
  <c r="A6436" i="1"/>
  <c r="B6436" i="1"/>
  <c r="A6437" i="1"/>
  <c r="B6437" i="1"/>
  <c r="A6438" i="1"/>
  <c r="B6438" i="1"/>
  <c r="A6439" i="1"/>
  <c r="B6439" i="1"/>
  <c r="A6440" i="1"/>
  <c r="B6440" i="1"/>
  <c r="A6441" i="1"/>
  <c r="B6441" i="1"/>
  <c r="A6442" i="1"/>
  <c r="B6442" i="1"/>
  <c r="A6443" i="1"/>
  <c r="B6443" i="1"/>
  <c r="A6444" i="1"/>
  <c r="B6444" i="1"/>
  <c r="A6445" i="1"/>
  <c r="B6445" i="1"/>
  <c r="A6446" i="1"/>
  <c r="B6446" i="1"/>
  <c r="A6447" i="1"/>
  <c r="B6447" i="1"/>
  <c r="A6448" i="1"/>
  <c r="B6448" i="1"/>
  <c r="A6449" i="1"/>
  <c r="B6449" i="1"/>
  <c r="A6450" i="1"/>
  <c r="B6450" i="1"/>
  <c r="A6451" i="1"/>
  <c r="B6451" i="1"/>
  <c r="A6452" i="1"/>
  <c r="B6452" i="1"/>
  <c r="A6453" i="1"/>
  <c r="B6453" i="1"/>
  <c r="A6454" i="1"/>
  <c r="B6454" i="1"/>
  <c r="A6455" i="1"/>
  <c r="B6455" i="1"/>
  <c r="A6456" i="1"/>
  <c r="B6456" i="1"/>
  <c r="A6457" i="1"/>
  <c r="B6457" i="1"/>
  <c r="A6458" i="1"/>
  <c r="B6458" i="1"/>
  <c r="A6459" i="1"/>
  <c r="B6459" i="1"/>
  <c r="A6460" i="1"/>
  <c r="B6460" i="1"/>
  <c r="A6461" i="1"/>
  <c r="B6461" i="1"/>
  <c r="A6462" i="1"/>
  <c r="B6462" i="1"/>
  <c r="A6463" i="1"/>
  <c r="B6463" i="1"/>
  <c r="A6464" i="1"/>
  <c r="B6464" i="1"/>
  <c r="A6465" i="1"/>
  <c r="B6465" i="1"/>
  <c r="A6466" i="1"/>
  <c r="B6466" i="1"/>
  <c r="A6467" i="1"/>
  <c r="B6467" i="1"/>
  <c r="A6468" i="1"/>
  <c r="B6468" i="1"/>
  <c r="A6469" i="1"/>
  <c r="B6469" i="1"/>
  <c r="A6470" i="1"/>
  <c r="B6470" i="1"/>
  <c r="A6471" i="1"/>
  <c r="B6471" i="1"/>
  <c r="A6472" i="1"/>
  <c r="B6472" i="1"/>
  <c r="A6473" i="1"/>
  <c r="B6473" i="1"/>
  <c r="A6474" i="1"/>
  <c r="B6474" i="1"/>
  <c r="A6475" i="1"/>
  <c r="B6475" i="1"/>
  <c r="A6476" i="1"/>
  <c r="B6476" i="1"/>
  <c r="A6477" i="1"/>
  <c r="B6477" i="1"/>
  <c r="A6478" i="1"/>
  <c r="B6478" i="1"/>
  <c r="A6479" i="1"/>
  <c r="B6479" i="1"/>
  <c r="A6480" i="1"/>
  <c r="B6480" i="1"/>
  <c r="A6481" i="1"/>
  <c r="B6481" i="1"/>
  <c r="A6482" i="1"/>
  <c r="B6482" i="1"/>
  <c r="A6483" i="1"/>
  <c r="B6483" i="1"/>
  <c r="A6484" i="1"/>
  <c r="B6484" i="1"/>
  <c r="A6485" i="1"/>
  <c r="B6485" i="1"/>
  <c r="A6486" i="1"/>
  <c r="B6486" i="1"/>
  <c r="A6487" i="1"/>
  <c r="B6487" i="1"/>
  <c r="A6488" i="1"/>
  <c r="B6488" i="1"/>
  <c r="A6489" i="1"/>
  <c r="B6489" i="1"/>
  <c r="A6490" i="1"/>
  <c r="B6490" i="1"/>
  <c r="A6491" i="1"/>
  <c r="B6491" i="1"/>
  <c r="A6492" i="1"/>
  <c r="B6492" i="1"/>
  <c r="A6493" i="1"/>
  <c r="B6493" i="1"/>
  <c r="A6494" i="1"/>
  <c r="B6494" i="1"/>
  <c r="A6495" i="1"/>
  <c r="B6495" i="1"/>
  <c r="A6496" i="1"/>
  <c r="B6496" i="1"/>
  <c r="A6497" i="1"/>
  <c r="B6497" i="1"/>
  <c r="A6498" i="1"/>
  <c r="B6498" i="1"/>
  <c r="A6499" i="1"/>
  <c r="B6499" i="1"/>
  <c r="A6500" i="1"/>
  <c r="B6500" i="1"/>
  <c r="A6501" i="1"/>
  <c r="B6501" i="1"/>
  <c r="A6502" i="1"/>
  <c r="B6502" i="1"/>
  <c r="A6503" i="1"/>
  <c r="B6503" i="1"/>
  <c r="A6504" i="1"/>
  <c r="B6504" i="1"/>
  <c r="A6505" i="1"/>
  <c r="B6505" i="1"/>
  <c r="A6506" i="1"/>
  <c r="B6506" i="1"/>
  <c r="A6507" i="1"/>
  <c r="B6507" i="1"/>
  <c r="A6508" i="1"/>
  <c r="B6508" i="1"/>
  <c r="A6509" i="1"/>
  <c r="B6509" i="1"/>
  <c r="A6510" i="1"/>
  <c r="B6510" i="1"/>
  <c r="A6511" i="1"/>
  <c r="B6511" i="1"/>
  <c r="A6512" i="1"/>
  <c r="B6512" i="1"/>
  <c r="A6513" i="1"/>
  <c r="B6513" i="1"/>
  <c r="A6514" i="1"/>
  <c r="B6514" i="1"/>
  <c r="A6515" i="1"/>
  <c r="B6515" i="1"/>
  <c r="A6516" i="1"/>
  <c r="B6516" i="1"/>
  <c r="A6517" i="1"/>
  <c r="B6517" i="1"/>
  <c r="A6518" i="1"/>
  <c r="B6518" i="1"/>
  <c r="A6519" i="1"/>
  <c r="B6519" i="1"/>
  <c r="A6520" i="1"/>
  <c r="B6520" i="1"/>
  <c r="A6521" i="1"/>
  <c r="B6521" i="1"/>
  <c r="A6522" i="1"/>
  <c r="B6522" i="1"/>
  <c r="A6523" i="1"/>
  <c r="B6523" i="1"/>
  <c r="A6524" i="1"/>
  <c r="B6524" i="1"/>
  <c r="A6525" i="1"/>
  <c r="B6525" i="1"/>
  <c r="A6526" i="1"/>
  <c r="B6526" i="1"/>
  <c r="A6527" i="1"/>
  <c r="B6527" i="1"/>
  <c r="A6528" i="1"/>
  <c r="B6528" i="1"/>
  <c r="A6529" i="1"/>
  <c r="B6529" i="1"/>
  <c r="A6530" i="1"/>
  <c r="B6530" i="1"/>
  <c r="A6531" i="1"/>
  <c r="B6531" i="1"/>
  <c r="A6532" i="1"/>
  <c r="B6532" i="1"/>
  <c r="A6533" i="1"/>
  <c r="B6533" i="1"/>
  <c r="A6534" i="1"/>
  <c r="B6534" i="1"/>
  <c r="A6535" i="1"/>
  <c r="B6535" i="1"/>
  <c r="A6536" i="1"/>
  <c r="B6536" i="1"/>
  <c r="A6537" i="1"/>
  <c r="B6537" i="1"/>
  <c r="A6538" i="1"/>
  <c r="B6538" i="1"/>
  <c r="A6539" i="1"/>
  <c r="B6539" i="1"/>
</calcChain>
</file>

<file path=xl/sharedStrings.xml><?xml version="1.0" encoding="utf-8"?>
<sst xmlns="http://schemas.openxmlformats.org/spreadsheetml/2006/main" count="13113" uniqueCount="65">
  <si>
    <t>SystemTime</t>
  </si>
  <si>
    <t>Timestamp</t>
  </si>
  <si>
    <t>NowSsceneName</t>
  </si>
  <si>
    <t>PupilRadiusH</t>
  </si>
  <si>
    <t>GazePointX</t>
  </si>
  <si>
    <t>Hitname</t>
  </si>
  <si>
    <t>HitPointX</t>
  </si>
  <si>
    <t>HitPointY</t>
  </si>
  <si>
    <t>HitPointZ</t>
  </si>
  <si>
    <t>CameraPosX</t>
  </si>
  <si>
    <t>CameraPosY</t>
  </si>
  <si>
    <t>CameraPosZ</t>
  </si>
  <si>
    <t>CarDirX</t>
  </si>
  <si>
    <t>CarDirY</t>
  </si>
  <si>
    <t>CarDirZ</t>
  </si>
  <si>
    <t>CameraDirX</t>
  </si>
  <si>
    <t>CameraDirY</t>
  </si>
  <si>
    <t>CameraDirZ</t>
  </si>
  <si>
    <t>EyeDirX</t>
  </si>
  <si>
    <t>EyeDirY</t>
  </si>
  <si>
    <t>EyeDirZ</t>
  </si>
  <si>
    <t>HeadLocalDirX</t>
  </si>
  <si>
    <t>HeadLocalDirY</t>
  </si>
  <si>
    <t>HeadLocalDirZ</t>
  </si>
  <si>
    <t>EyeLocalDirX</t>
  </si>
  <si>
    <t>EyeLocalDirY</t>
  </si>
  <si>
    <t>EyeLocalDirZ</t>
  </si>
  <si>
    <t>speed</t>
  </si>
  <si>
    <t>VecX</t>
  </si>
  <si>
    <t>VecY</t>
  </si>
  <si>
    <t>VecZ</t>
  </si>
  <si>
    <t>LocalVecX</t>
  </si>
  <si>
    <t>LocalVecY</t>
  </si>
  <si>
    <t>LocalVecZ</t>
  </si>
  <si>
    <t>Theta</t>
  </si>
  <si>
    <t>Phi</t>
  </si>
  <si>
    <t>r</t>
  </si>
  <si>
    <t>Testhuanghun_off</t>
  </si>
  <si>
    <t>Kooper</t>
  </si>
  <si>
    <t>mcp_road_part_02</t>
  </si>
  <si>
    <t>Plane_01</t>
  </si>
  <si>
    <t>mcp_roads_turn_01 (1)</t>
  </si>
  <si>
    <t>Building 07 (17)</t>
  </si>
  <si>
    <t>Building 24</t>
  </si>
  <si>
    <t>mcp_roads_T_cross_01</t>
  </si>
  <si>
    <t>mcp_road_part_01</t>
  </si>
  <si>
    <t>Box001</t>
  </si>
  <si>
    <t>Floor 01</t>
  </si>
  <si>
    <t>mcp_roads_cross_01</t>
  </si>
  <si>
    <t>Building 15 (33)</t>
  </si>
  <si>
    <t>Building 24 (1)</t>
  </si>
  <si>
    <t>mcp_roads_cross_02</t>
  </si>
  <si>
    <t>Building 01 (1)</t>
  </si>
  <si>
    <t>mcp_roads_turn_01</t>
  </si>
  <si>
    <t>mcp_road_part_02 (1)</t>
  </si>
  <si>
    <t>mcp_road_part_02 (2)</t>
  </si>
  <si>
    <t>mcp_road_part_02 (3)</t>
  </si>
  <si>
    <t>Building 07 (15)</t>
  </si>
  <si>
    <t>mcp_road_part_02 (6)</t>
  </si>
  <si>
    <t>mcp_road_part_02 (9)</t>
  </si>
  <si>
    <t>mcp_road_part_02 (8)</t>
  </si>
  <si>
    <t>mcp_road_part_02 (10)</t>
  </si>
  <si>
    <t>mcp_road_part_02 (12)</t>
  </si>
  <si>
    <t>mcp_road_part_02 (11)</t>
  </si>
  <si>
    <t>Plane_01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</si>
</sst>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39"/>
  <sheetViews>
    <sheetView tabSelected="1" workbookViewId="0"/>
  </sheetViews>
  <sheetFormatPr defaultRowHeight="14.25" x14ac:dyDescent="0.2"/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tr">
        <f>"20200111153610534"</f>
        <v>20200111153610534</v>
      </c>
      <c r="B2" t="str">
        <f>"1578728170522623"</f>
        <v>1578728170522623</v>
      </c>
      <c r="C2" t="s">
        <v>37</v>
      </c>
      <c r="D2">
        <v>4.8356250000000003</v>
      </c>
      <c r="E2">
        <v>0.52172429999999903</v>
      </c>
      <c r="F2" t="s">
        <v>38</v>
      </c>
      <c r="G2">
        <v>-476.38499999999999</v>
      </c>
      <c r="H2">
        <v>1.026983</v>
      </c>
      <c r="I2">
        <v>367.51949999999999</v>
      </c>
      <c r="J2">
        <v>-477.09390000000002</v>
      </c>
      <c r="K2">
        <v>1.1039209999999999</v>
      </c>
      <c r="L2">
        <v>367.52010000000001</v>
      </c>
      <c r="M2">
        <v>0.99996669999999999</v>
      </c>
      <c r="N2">
        <v>0</v>
      </c>
      <c r="O2">
        <v>1.154167E-4</v>
      </c>
      <c r="P2">
        <v>0.99784209999999995</v>
      </c>
      <c r="Q2">
        <v>2.71519E-2</v>
      </c>
      <c r="R2">
        <v>5.978485E-2</v>
      </c>
      <c r="S2">
        <v>3.0147710000000001</v>
      </c>
      <c r="T2">
        <v>-0.32367439999999997</v>
      </c>
      <c r="U2">
        <v>-2.380371E-3</v>
      </c>
      <c r="V2">
        <v>-5.9670470000000003E-2</v>
      </c>
      <c r="W2">
        <v>3.5308480000000003E-2</v>
      </c>
      <c r="X2">
        <v>0.99759349999999902</v>
      </c>
      <c r="Y2">
        <v>8.9915920000000003E-4</v>
      </c>
      <c r="Z2" s="1">
        <v>-6.0486229999999999E-5</v>
      </c>
      <c r="AA2">
        <v>0.99999959999999899</v>
      </c>
      <c r="AB2">
        <v>1</v>
      </c>
      <c r="AC2">
        <v>0.70890000000002795</v>
      </c>
      <c r="AD2">
        <v>-7.6937999999999895E-2</v>
      </c>
      <c r="AE2">
        <v>-6.0000000001991696E-4</v>
      </c>
      <c r="AF2">
        <v>6.7388388384652202E-4</v>
      </c>
      <c r="AG2">
        <v>-7.6937999999999895E-2</v>
      </c>
      <c r="AH2">
        <v>0.70064694673610795</v>
      </c>
      <c r="AI2">
        <v>96.2665360115748</v>
      </c>
      <c r="AJ2">
        <v>89.944892801288304</v>
      </c>
      <c r="AK2">
        <v>0.70485888937724295</v>
      </c>
    </row>
    <row r="3" spans="1:37" x14ac:dyDescent="0.2">
      <c r="A3" t="str">
        <f>"20200111153610557"</f>
        <v>20200111153610557</v>
      </c>
      <c r="B3" t="str">
        <f>"1578728170552880"</f>
        <v>1578728170552880</v>
      </c>
      <c r="C3" t="s">
        <v>37</v>
      </c>
      <c r="D3">
        <v>5.7055199999999999</v>
      </c>
      <c r="E3">
        <v>0.52166129999999999</v>
      </c>
      <c r="F3" t="s">
        <v>38</v>
      </c>
      <c r="G3">
        <v>-476.375</v>
      </c>
      <c r="H3">
        <v>1.027949</v>
      </c>
      <c r="I3">
        <v>367.51990000000001</v>
      </c>
      <c r="J3">
        <v>-477.08099999999899</v>
      </c>
      <c r="K3">
        <v>1.1037619999999999</v>
      </c>
      <c r="L3">
        <v>367.52030000000002</v>
      </c>
      <c r="M3">
        <v>0.99997530000000001</v>
      </c>
      <c r="N3">
        <v>0</v>
      </c>
      <c r="O3">
        <v>1.835474E-4</v>
      </c>
      <c r="P3">
        <v>0.99780149999999901</v>
      </c>
      <c r="Q3">
        <v>2.7946240000000001E-2</v>
      </c>
      <c r="R3">
        <v>6.0094710000000003E-2</v>
      </c>
      <c r="S3">
        <v>3.0152589999999999</v>
      </c>
      <c r="T3">
        <v>-0.31861899999999999</v>
      </c>
      <c r="U3">
        <v>-9.4604490000000003E-4</v>
      </c>
      <c r="V3">
        <v>-5.9912880000000002E-2</v>
      </c>
      <c r="W3">
        <v>3.4949170000000002E-2</v>
      </c>
      <c r="X3">
        <v>0.99759159999999902</v>
      </c>
      <c r="Y3">
        <v>4.9353479999999996E-4</v>
      </c>
      <c r="Z3" s="1">
        <v>-4.5345139999999997E-5</v>
      </c>
      <c r="AA3">
        <v>0.99999989999999905</v>
      </c>
      <c r="AB3">
        <v>1</v>
      </c>
      <c r="AC3">
        <v>0.70599999999995999</v>
      </c>
      <c r="AD3">
        <v>-7.5813000000000103E-2</v>
      </c>
      <c r="AE3">
        <v>-4.0000000001327803E-4</v>
      </c>
      <c r="AF3">
        <v>5.2355044527894004E-4</v>
      </c>
      <c r="AG3">
        <v>-7.5813000000000103E-2</v>
      </c>
      <c r="AH3">
        <v>0.69795163331056698</v>
      </c>
      <c r="AI3">
        <v>96.199283380698702</v>
      </c>
      <c r="AJ3">
        <v>89.957021054441697</v>
      </c>
      <c r="AK3">
        <v>0.70205723948618104</v>
      </c>
    </row>
    <row r="4" spans="1:37" x14ac:dyDescent="0.2">
      <c r="A4" t="str">
        <f>"20200111153610578"</f>
        <v>20200111153610578</v>
      </c>
      <c r="B4" t="str">
        <f>"1578728170572400"</f>
        <v>1578728170572400</v>
      </c>
      <c r="C4" t="s">
        <v>37</v>
      </c>
      <c r="D4">
        <v>5.6674360000000004</v>
      </c>
      <c r="E4">
        <v>0.52164540000000004</v>
      </c>
      <c r="F4" t="s">
        <v>38</v>
      </c>
      <c r="G4">
        <v>-476.363</v>
      </c>
      <c r="H4">
        <v>1.0287959999999901</v>
      </c>
      <c r="I4">
        <v>367.52</v>
      </c>
      <c r="J4">
        <v>-477.0668</v>
      </c>
      <c r="K4">
        <v>1.1036360000000001</v>
      </c>
      <c r="L4">
        <v>367.52030000000002</v>
      </c>
      <c r="M4">
        <v>0.99998199999999904</v>
      </c>
      <c r="N4">
        <v>0</v>
      </c>
      <c r="O4">
        <v>2.5734990000000001E-4</v>
      </c>
      <c r="P4">
        <v>0.99777950000000004</v>
      </c>
      <c r="Q4">
        <v>2.8488599999999899E-2</v>
      </c>
      <c r="R4">
        <v>6.0205219999999997E-2</v>
      </c>
      <c r="S4">
        <v>3.0154109999999998</v>
      </c>
      <c r="T4">
        <v>-0.31498939999999997</v>
      </c>
      <c r="U4">
        <v>1.220703E-4</v>
      </c>
      <c r="V4">
        <v>-5.9950040000000003E-2</v>
      </c>
      <c r="W4">
        <v>3.4464040000000001E-2</v>
      </c>
      <c r="X4">
        <v>0.9976062</v>
      </c>
      <c r="Y4">
        <v>2.1430599999999999E-4</v>
      </c>
      <c r="Z4" s="1">
        <v>-3.7973089999999997E-5</v>
      </c>
      <c r="AA4">
        <v>1</v>
      </c>
      <c r="AB4">
        <v>1</v>
      </c>
      <c r="AC4">
        <v>0.70379999999994403</v>
      </c>
      <c r="AD4">
        <v>-7.4840000000000198E-2</v>
      </c>
      <c r="AE4">
        <v>-3.0000000003838003E-4</v>
      </c>
      <c r="AF4">
        <v>4.75746570450557E-4</v>
      </c>
      <c r="AG4">
        <v>-7.4840000000000198E-2</v>
      </c>
      <c r="AH4">
        <v>0.69593062127276895</v>
      </c>
      <c r="AI4">
        <v>96.137966708878395</v>
      </c>
      <c r="AJ4">
        <v>89.960831919841894</v>
      </c>
      <c r="AK4">
        <v>0.69994334167838301</v>
      </c>
    </row>
    <row r="5" spans="1:37" x14ac:dyDescent="0.2">
      <c r="A5" t="str">
        <f>"20200111153610599"</f>
        <v>20200111153610599</v>
      </c>
      <c r="B5" t="str">
        <f>"1578728170592896"</f>
        <v>1578728170592896</v>
      </c>
      <c r="C5" t="s">
        <v>37</v>
      </c>
      <c r="D5">
        <v>5.9853779999999999</v>
      </c>
      <c r="E5">
        <v>0.52162089999999905</v>
      </c>
      <c r="F5" t="s">
        <v>38</v>
      </c>
      <c r="G5">
        <v>-476.34890000000001</v>
      </c>
      <c r="H5">
        <v>1.029215</v>
      </c>
      <c r="I5">
        <v>367.5204</v>
      </c>
      <c r="J5">
        <v>-477.04860000000002</v>
      </c>
      <c r="K5">
        <v>1.103513</v>
      </c>
      <c r="L5">
        <v>367.5204</v>
      </c>
      <c r="M5">
        <v>0.99998799999999899</v>
      </c>
      <c r="N5">
        <v>0</v>
      </c>
      <c r="O5">
        <v>3.489958E-4</v>
      </c>
      <c r="P5">
        <v>0.99774549999999995</v>
      </c>
      <c r="Q5">
        <v>2.9299140000000001E-2</v>
      </c>
      <c r="R5">
        <v>6.0377880000000002E-2</v>
      </c>
      <c r="S5">
        <v>3.0155939999999899</v>
      </c>
      <c r="T5">
        <v>-0.31263659999999999</v>
      </c>
      <c r="U5">
        <v>2.7465820000000001E-4</v>
      </c>
      <c r="V5">
        <v>-6.0031470000000003E-2</v>
      </c>
      <c r="W5">
        <v>3.4189539999999997E-2</v>
      </c>
      <c r="X5">
        <v>0.99761080000000002</v>
      </c>
      <c r="Y5">
        <v>2.54685099999999E-4</v>
      </c>
      <c r="Z5" s="1">
        <v>-4.92519999999999E-5</v>
      </c>
      <c r="AA5">
        <v>0.99999989999999905</v>
      </c>
      <c r="AB5">
        <v>1</v>
      </c>
      <c r="AC5">
        <v>0.69970000000000698</v>
      </c>
      <c r="AD5">
        <v>-7.4297999999999906E-2</v>
      </c>
      <c r="AE5">
        <v>0</v>
      </c>
      <c r="AF5">
        <v>2.4147258588276999E-4</v>
      </c>
      <c r="AG5">
        <v>-7.4297999999999906E-2</v>
      </c>
      <c r="AH5">
        <v>0.69189855067522299</v>
      </c>
      <c r="AI5">
        <v>96.129094234319595</v>
      </c>
      <c r="AJ5">
        <v>89.980003774449301</v>
      </c>
      <c r="AK5">
        <v>0.69587632201382199</v>
      </c>
    </row>
    <row r="6" spans="1:37" x14ac:dyDescent="0.2">
      <c r="A6" t="str">
        <f>"20200111153610632"</f>
        <v>20200111153610632</v>
      </c>
      <c r="B6" t="str">
        <f>"1578728170623155"</f>
        <v>1578728170623155</v>
      </c>
      <c r="C6" t="s">
        <v>37</v>
      </c>
      <c r="D6">
        <v>5.7035780000000003</v>
      </c>
      <c r="E6">
        <v>0.52161279999999999</v>
      </c>
      <c r="F6" t="s">
        <v>38</v>
      </c>
      <c r="G6">
        <v>-476.31450000000001</v>
      </c>
      <c r="H6">
        <v>1.0281499999999999</v>
      </c>
      <c r="I6">
        <v>367.52069999999998</v>
      </c>
      <c r="J6">
        <v>-477.01609999999999</v>
      </c>
      <c r="K6">
        <v>1.1033930000000001</v>
      </c>
      <c r="L6">
        <v>367.5206</v>
      </c>
      <c r="M6">
        <v>0.99999400000000005</v>
      </c>
      <c r="N6">
        <v>0</v>
      </c>
      <c r="O6">
        <v>5.0719339999999999E-4</v>
      </c>
      <c r="P6">
        <v>0.99769649999999999</v>
      </c>
      <c r="Q6">
        <v>3.042359E-2</v>
      </c>
      <c r="R6">
        <v>6.0633859999999998E-2</v>
      </c>
      <c r="S6">
        <v>3.0158689999999999</v>
      </c>
      <c r="T6">
        <v>-0.30963609999999903</v>
      </c>
      <c r="U6">
        <v>6.408691E-4</v>
      </c>
      <c r="V6">
        <v>-6.0130110000000001E-2</v>
      </c>
      <c r="W6">
        <v>3.3877879999999999E-2</v>
      </c>
      <c r="X6">
        <v>0.99761549999999999</v>
      </c>
      <c r="Y6">
        <v>2.9050419999999998E-4</v>
      </c>
      <c r="Z6" s="1">
        <v>-6.6810599999999994E-5</v>
      </c>
      <c r="AA6">
        <v>0.99999989999999905</v>
      </c>
      <c r="AB6">
        <v>2</v>
      </c>
      <c r="AC6">
        <v>0.70159999999998401</v>
      </c>
      <c r="AD6">
        <v>-7.5243000000000101E-2</v>
      </c>
      <c r="AE6" s="1">
        <v>9.9999999974897906E-5</v>
      </c>
      <c r="AF6">
        <v>2.5293981407561398E-4</v>
      </c>
      <c r="AG6">
        <v>-7.5243000000000101E-2</v>
      </c>
      <c r="AH6">
        <v>0.69362229029477296</v>
      </c>
      <c r="AI6">
        <v>96.191141961987995</v>
      </c>
      <c r="AJ6">
        <v>89.979106232054903</v>
      </c>
      <c r="AK6">
        <v>0.69769151823804998</v>
      </c>
    </row>
    <row r="7" spans="1:37" x14ac:dyDescent="0.2">
      <c r="A7" t="str">
        <f>"20200111153610654"</f>
        <v>20200111153610654</v>
      </c>
      <c r="B7" t="str">
        <f>"1578728170642671"</f>
        <v>1578728170642671</v>
      </c>
      <c r="C7" t="s">
        <v>37</v>
      </c>
      <c r="D7">
        <v>5.9294289999999998</v>
      </c>
      <c r="E7">
        <v>0.5215902</v>
      </c>
      <c r="F7" t="s">
        <v>38</v>
      </c>
      <c r="G7">
        <v>-476.29270000000002</v>
      </c>
      <c r="H7">
        <v>1.030157</v>
      </c>
      <c r="I7">
        <v>367.52080000000001</v>
      </c>
      <c r="J7">
        <v>-476.99160000000001</v>
      </c>
      <c r="K7">
        <v>1.103343</v>
      </c>
      <c r="L7">
        <v>367.52080000000001</v>
      </c>
      <c r="M7">
        <v>0.99999640000000001</v>
      </c>
      <c r="N7">
        <v>0</v>
      </c>
      <c r="O7">
        <v>6.2202089999999904E-4</v>
      </c>
      <c r="P7">
        <v>0.99765569999999903</v>
      </c>
      <c r="Q7">
        <v>3.1333769999999997E-2</v>
      </c>
      <c r="R7">
        <v>6.084229E-2</v>
      </c>
      <c r="S7">
        <v>3.0161739999999999</v>
      </c>
      <c r="T7">
        <v>-0.30551519999999999</v>
      </c>
      <c r="U7">
        <v>1.34277299999999E-3</v>
      </c>
      <c r="V7">
        <v>-6.0223609999999997E-2</v>
      </c>
      <c r="W7">
        <v>3.3980330000000003E-2</v>
      </c>
      <c r="X7">
        <v>0.99760629999999995</v>
      </c>
      <c r="Y7">
        <v>1.7276529999999901E-4</v>
      </c>
      <c r="Z7" s="1">
        <v>-7.1572899999999994E-5</v>
      </c>
      <c r="AA7">
        <v>1</v>
      </c>
      <c r="AB7">
        <v>2</v>
      </c>
      <c r="AC7">
        <v>0.69889999999997998</v>
      </c>
      <c r="AD7">
        <v>-7.3185999999999904E-2</v>
      </c>
      <c r="AE7">
        <v>0</v>
      </c>
      <c r="AF7">
        <v>4.3001656837961402E-4</v>
      </c>
      <c r="AG7">
        <v>-7.3185999999999904E-2</v>
      </c>
      <c r="AH7">
        <v>0.69131924718280002</v>
      </c>
      <c r="AI7">
        <v>96.043065800637194</v>
      </c>
      <c r="AJ7">
        <v>89.964360703956004</v>
      </c>
      <c r="AK7">
        <v>0.69518247750906603</v>
      </c>
    </row>
    <row r="8" spans="1:37" x14ac:dyDescent="0.2">
      <c r="A8" t="str">
        <f>"20200111153610677"</f>
        <v>20200111153610677</v>
      </c>
      <c r="B8" t="str">
        <f>"1578728170672928"</f>
        <v>1578728170672928</v>
      </c>
      <c r="C8" t="s">
        <v>37</v>
      </c>
      <c r="D8">
        <v>7.0131329999999998</v>
      </c>
      <c r="E8">
        <v>0.52161179999999996</v>
      </c>
      <c r="F8" t="s">
        <v>38</v>
      </c>
      <c r="G8">
        <v>-476.26920000000001</v>
      </c>
      <c r="H8">
        <v>1.030978</v>
      </c>
      <c r="I8">
        <v>367.52120000000002</v>
      </c>
      <c r="J8">
        <v>-476.96289999999999</v>
      </c>
      <c r="K8">
        <v>1.1033029999999999</v>
      </c>
      <c r="L8">
        <v>367.52089999999998</v>
      </c>
      <c r="M8">
        <v>0.99999799999999905</v>
      </c>
      <c r="N8">
        <v>0</v>
      </c>
      <c r="O8">
        <v>7.5297359999999998E-4</v>
      </c>
      <c r="P8">
        <v>0.99764869999999894</v>
      </c>
      <c r="Q8">
        <v>3.1879209999999998E-2</v>
      </c>
      <c r="R8">
        <v>6.0671839999999998E-2</v>
      </c>
      <c r="S8">
        <v>3.0164179999999998</v>
      </c>
      <c r="T8">
        <v>-0.30226219999999998</v>
      </c>
      <c r="U8">
        <v>2.1972659999999998E-3</v>
      </c>
      <c r="V8">
        <v>-5.9922900000000001E-2</v>
      </c>
      <c r="W8">
        <v>3.3776840000000002E-2</v>
      </c>
      <c r="X8">
        <v>0.99763139999999995</v>
      </c>
      <c r="Y8" s="1">
        <v>2.0665389999999901E-5</v>
      </c>
      <c r="Z8" s="1">
        <v>-7.6296679999999996E-5</v>
      </c>
      <c r="AA8">
        <v>1</v>
      </c>
      <c r="AB8">
        <v>2</v>
      </c>
      <c r="AC8">
        <v>0.693699999999978</v>
      </c>
      <c r="AD8">
        <v>-7.2324999999999903E-2</v>
      </c>
      <c r="AE8">
        <v>3.0000000003838003E-4</v>
      </c>
      <c r="AF8">
        <v>2.1994791281050301E-4</v>
      </c>
      <c r="AG8">
        <v>-7.2324999999999903E-2</v>
      </c>
      <c r="AH8">
        <v>0.68624052821967996</v>
      </c>
      <c r="AI8">
        <v>96.016367722823006</v>
      </c>
      <c r="AJ8">
        <v>89.981636050091694</v>
      </c>
      <c r="AK8">
        <v>0.690041315120559</v>
      </c>
    </row>
    <row r="9" spans="1:37" x14ac:dyDescent="0.2">
      <c r="A9" t="str">
        <f>"20200111153610700"</f>
        <v>20200111153610700</v>
      </c>
      <c r="B9" t="str">
        <f>"1578728170692448"</f>
        <v>1578728170692448</v>
      </c>
      <c r="C9" t="s">
        <v>37</v>
      </c>
      <c r="D9">
        <v>5.7216990000000001</v>
      </c>
      <c r="E9">
        <v>0.52157039999999999</v>
      </c>
      <c r="F9" t="s">
        <v>38</v>
      </c>
      <c r="G9">
        <v>-476.24349999999998</v>
      </c>
      <c r="H9">
        <v>1.031833</v>
      </c>
      <c r="I9">
        <v>367.52099999999899</v>
      </c>
      <c r="J9">
        <v>-476.93150000000003</v>
      </c>
      <c r="K9">
        <v>1.1032740000000001</v>
      </c>
      <c r="L9">
        <v>367.52109999999999</v>
      </c>
      <c r="M9">
        <v>0.99999889999999902</v>
      </c>
      <c r="N9">
        <v>0</v>
      </c>
      <c r="O9">
        <v>8.9217339999999895E-4</v>
      </c>
      <c r="P9">
        <v>0.99764059999999899</v>
      </c>
      <c r="Q9">
        <v>3.2771410000000001E-2</v>
      </c>
      <c r="R9">
        <v>6.0326890000000001E-2</v>
      </c>
      <c r="S9">
        <v>3.0165709999999999</v>
      </c>
      <c r="T9">
        <v>-0.29997869999999999</v>
      </c>
      <c r="U9">
        <v>1.586914E-3</v>
      </c>
      <c r="V9">
        <v>-5.9439579999999999E-2</v>
      </c>
      <c r="W9">
        <v>3.4010360000000003E-2</v>
      </c>
      <c r="X9">
        <v>0.99765239999999999</v>
      </c>
      <c r="Y9">
        <v>3.5993279999999998E-4</v>
      </c>
      <c r="Z9">
        <v>-1.0635519999999999E-4</v>
      </c>
      <c r="AA9">
        <v>0.99999989999999905</v>
      </c>
      <c r="AB9">
        <v>3</v>
      </c>
      <c r="AC9">
        <v>0.68800000000004502</v>
      </c>
      <c r="AD9">
        <v>-7.1441000000000004E-2</v>
      </c>
      <c r="AE9">
        <v>-1.00000000031741E-4</v>
      </c>
      <c r="AF9">
        <v>7.0620109981772998E-4</v>
      </c>
      <c r="AG9">
        <v>-7.1441000000000004E-2</v>
      </c>
      <c r="AH9">
        <v>0.68066043780764895</v>
      </c>
      <c r="AI9">
        <v>95.991729685575606</v>
      </c>
      <c r="AJ9">
        <v>89.940554312046103</v>
      </c>
      <c r="AK9">
        <v>0.68439969812785195</v>
      </c>
    </row>
    <row r="10" spans="1:37" x14ac:dyDescent="0.2">
      <c r="A10" t="str">
        <f>"20200111153610722"</f>
        <v>20200111153610722</v>
      </c>
      <c r="B10" t="str">
        <f>"1578728170712947"</f>
        <v>1578728170712947</v>
      </c>
      <c r="C10" t="s">
        <v>37</v>
      </c>
      <c r="D10">
        <v>5.6907269999999999</v>
      </c>
      <c r="E10">
        <v>0.52154460000000002</v>
      </c>
      <c r="F10" t="s">
        <v>38</v>
      </c>
      <c r="G10">
        <v>-476.18680000000001</v>
      </c>
      <c r="H10">
        <v>1.03006</v>
      </c>
      <c r="I10">
        <v>367.52099999999899</v>
      </c>
      <c r="J10">
        <v>-476.89710000000002</v>
      </c>
      <c r="K10">
        <v>1.103243</v>
      </c>
      <c r="L10">
        <v>367.52120000000002</v>
      </c>
      <c r="M10">
        <v>0.99999919999999998</v>
      </c>
      <c r="N10">
        <v>0</v>
      </c>
      <c r="O10">
        <v>1.0408489999999999E-3</v>
      </c>
      <c r="P10">
        <v>0.99764560000000002</v>
      </c>
      <c r="Q10">
        <v>3.3063780000000001E-2</v>
      </c>
      <c r="R10">
        <v>6.0082129999999997E-2</v>
      </c>
      <c r="S10">
        <v>3.016785</v>
      </c>
      <c r="T10">
        <v>-0.29685600000000001</v>
      </c>
      <c r="U10">
        <v>8.2397459999999998E-4</v>
      </c>
      <c r="V10">
        <v>-5.9045790000000001E-2</v>
      </c>
      <c r="W10">
        <v>3.3716790000000003E-2</v>
      </c>
      <c r="X10">
        <v>0.99768570000000001</v>
      </c>
      <c r="Y10">
        <v>7.5902610000000003E-4</v>
      </c>
      <c r="Z10">
        <v>-1.39429E-4</v>
      </c>
      <c r="AA10">
        <v>0.99999969999999905</v>
      </c>
      <c r="AB10">
        <v>3</v>
      </c>
      <c r="AC10">
        <v>0.71030000000001703</v>
      </c>
      <c r="AD10">
        <v>-7.3182999999999998E-2</v>
      </c>
      <c r="AE10">
        <v>-2.00000000063482E-4</v>
      </c>
      <c r="AF10">
        <v>9.2944864935315299E-4</v>
      </c>
      <c r="AG10">
        <v>-7.3182999999999998E-2</v>
      </c>
      <c r="AH10">
        <v>0.70283848868075904</v>
      </c>
      <c r="AI10">
        <v>95.944491537163898</v>
      </c>
      <c r="AJ10">
        <v>89.924230879929596</v>
      </c>
      <c r="AK10">
        <v>0.70663891524232203</v>
      </c>
    </row>
    <row r="11" spans="1:37" x14ac:dyDescent="0.2">
      <c r="A11" t="str">
        <f>"20200111153610745"</f>
        <v>20200111153610745</v>
      </c>
      <c r="B11" t="str">
        <f>"1578728170732463"</f>
        <v>1578728170732463</v>
      </c>
      <c r="C11" t="s">
        <v>37</v>
      </c>
      <c r="D11">
        <v>5.9943339999999896</v>
      </c>
      <c r="E11">
        <v>0.52152730000000003</v>
      </c>
      <c r="F11" t="s">
        <v>38</v>
      </c>
      <c r="G11">
        <v>-476.15429999999998</v>
      </c>
      <c r="H11">
        <v>1.0305200000000001</v>
      </c>
      <c r="I11">
        <v>367.52140000000003</v>
      </c>
      <c r="J11">
        <v>-476.86079999999998</v>
      </c>
      <c r="K11">
        <v>1.103218</v>
      </c>
      <c r="L11">
        <v>367.5215</v>
      </c>
      <c r="M11">
        <v>0.99999930000000004</v>
      </c>
      <c r="N11">
        <v>0</v>
      </c>
      <c r="O11">
        <v>1.1920909999999999E-3</v>
      </c>
      <c r="P11">
        <v>0.99766580000000005</v>
      </c>
      <c r="Q11">
        <v>3.3291189999999998E-2</v>
      </c>
      <c r="R11">
        <v>5.9622729999999999E-2</v>
      </c>
      <c r="S11">
        <v>3.0168459999999899</v>
      </c>
      <c r="T11">
        <v>-0.2953962</v>
      </c>
      <c r="U11">
        <v>2.4414059999999999E-4</v>
      </c>
      <c r="V11">
        <v>-5.8435500000000001E-2</v>
      </c>
      <c r="W11">
        <v>3.3431799999999998E-2</v>
      </c>
      <c r="X11">
        <v>0.99773120000000004</v>
      </c>
      <c r="Y11">
        <v>1.1002029999999999E-3</v>
      </c>
      <c r="Z11">
        <v>-1.7018090000000001E-4</v>
      </c>
      <c r="AA11">
        <v>0.99999939999999998</v>
      </c>
      <c r="AB11">
        <v>3</v>
      </c>
      <c r="AC11">
        <v>0.70650000000000501</v>
      </c>
      <c r="AD11">
        <v>-7.2697999999999902E-2</v>
      </c>
      <c r="AE11" s="1">
        <v>-9.9999999974897906E-5</v>
      </c>
      <c r="AF11">
        <v>9.3234043975234005E-4</v>
      </c>
      <c r="AG11">
        <v>-7.2697999999999902E-2</v>
      </c>
      <c r="AH11">
        <v>0.69909722400066299</v>
      </c>
      <c r="AI11">
        <v>95.936753194220103</v>
      </c>
      <c r="AJ11">
        <v>89.923588395486107</v>
      </c>
      <c r="AK11">
        <v>0.70286755300563497</v>
      </c>
    </row>
    <row r="12" spans="1:37" x14ac:dyDescent="0.2">
      <c r="A12" t="str">
        <f>"20200111153610766"</f>
        <v>20200111153610766</v>
      </c>
      <c r="B12" t="str">
        <f>"1578728170762720"</f>
        <v>1578728170762720</v>
      </c>
      <c r="C12" t="s">
        <v>37</v>
      </c>
      <c r="D12">
        <v>5.6135609999999998</v>
      </c>
      <c r="E12">
        <v>0.52149609999999902</v>
      </c>
      <c r="F12" t="s">
        <v>38</v>
      </c>
      <c r="G12">
        <v>-476.11950000000002</v>
      </c>
      <c r="H12">
        <v>1.0310139999999901</v>
      </c>
      <c r="I12">
        <v>367.52089999999998</v>
      </c>
      <c r="J12">
        <v>-476.82319999999999</v>
      </c>
      <c r="K12">
        <v>1.1031899999999999</v>
      </c>
      <c r="L12">
        <v>367.52159999999998</v>
      </c>
      <c r="M12">
        <v>0.99999910000000003</v>
      </c>
      <c r="N12">
        <v>0</v>
      </c>
      <c r="O12">
        <v>1.34518299999999E-3</v>
      </c>
      <c r="P12">
        <v>0.99763809999999997</v>
      </c>
      <c r="Q12">
        <v>3.3912350000000001E-2</v>
      </c>
      <c r="R12">
        <v>5.9734059999999999E-2</v>
      </c>
      <c r="S12">
        <v>3.0168759999999999</v>
      </c>
      <c r="T12">
        <v>-0.2941375</v>
      </c>
      <c r="U12">
        <v>-8.5449219999999995E-4</v>
      </c>
      <c r="V12">
        <v>-5.8394229999999998E-2</v>
      </c>
      <c r="W12">
        <v>3.3608600000000002E-2</v>
      </c>
      <c r="X12">
        <v>0.9977277</v>
      </c>
      <c r="Y12">
        <v>1.6143869999999999E-3</v>
      </c>
      <c r="Z12">
        <v>-2.0935459999999999E-4</v>
      </c>
      <c r="AA12">
        <v>0.99999869999999902</v>
      </c>
      <c r="AB12">
        <v>4</v>
      </c>
      <c r="AC12">
        <v>0.70369999999996902</v>
      </c>
      <c r="AD12">
        <v>-7.2176000000000004E-2</v>
      </c>
      <c r="AE12">
        <v>-6.9999999999481501E-4</v>
      </c>
      <c r="AF12">
        <v>1.6294629125105E-3</v>
      </c>
      <c r="AG12">
        <v>-7.2176000000000004E-2</v>
      </c>
      <c r="AH12">
        <v>0.69637267647756096</v>
      </c>
      <c r="AI12">
        <v>95.9173138751446</v>
      </c>
      <c r="AJ12">
        <v>89.865932164599101</v>
      </c>
      <c r="AK12">
        <v>0.70010494546882396</v>
      </c>
    </row>
    <row r="13" spans="1:37" x14ac:dyDescent="0.2">
      <c r="A13" t="str">
        <f>"20200111153610790"</f>
        <v>20200111153610790</v>
      </c>
      <c r="B13" t="str">
        <f>"1578728170783216"</f>
        <v>1578728170783216</v>
      </c>
      <c r="C13" t="s">
        <v>37</v>
      </c>
      <c r="D13">
        <v>5.7433360000000002</v>
      </c>
      <c r="E13">
        <v>0.52147429999999995</v>
      </c>
      <c r="F13" t="s">
        <v>38</v>
      </c>
      <c r="G13">
        <v>-476.08240000000001</v>
      </c>
      <c r="H13">
        <v>1.0316080000000001</v>
      </c>
      <c r="I13">
        <v>367.52140000000003</v>
      </c>
      <c r="J13">
        <v>-476.7799</v>
      </c>
      <c r="K13">
        <v>1.103167</v>
      </c>
      <c r="L13">
        <v>367.52190000000002</v>
      </c>
      <c r="M13">
        <v>0.99999869999999902</v>
      </c>
      <c r="N13">
        <v>0</v>
      </c>
      <c r="O13">
        <v>1.517256E-3</v>
      </c>
      <c r="P13">
        <v>0.99759699999999996</v>
      </c>
      <c r="Q13">
        <v>3.4591669999999998E-2</v>
      </c>
      <c r="R13">
        <v>6.0031910000000001E-2</v>
      </c>
      <c r="S13">
        <v>3.017029</v>
      </c>
      <c r="T13">
        <v>-0.29155490000000001</v>
      </c>
      <c r="U13">
        <v>-4.2724609999999998E-4</v>
      </c>
      <c r="V13">
        <v>-5.8520280000000001E-2</v>
      </c>
      <c r="W13">
        <v>3.3862139999999999E-2</v>
      </c>
      <c r="X13">
        <v>0.99771169999999998</v>
      </c>
      <c r="Y13">
        <v>1.644141E-3</v>
      </c>
      <c r="Z13">
        <v>-2.2553889999999999E-4</v>
      </c>
      <c r="AA13">
        <v>0.99999859999999896</v>
      </c>
      <c r="AB13">
        <v>4</v>
      </c>
      <c r="AC13">
        <v>0.69749999999999002</v>
      </c>
      <c r="AD13">
        <v>-7.15589999999999E-2</v>
      </c>
      <c r="AE13">
        <v>-4.9999999998817603E-4</v>
      </c>
      <c r="AF13">
        <v>1.5420548505594501E-3</v>
      </c>
      <c r="AG13">
        <v>-7.15589999999999E-2</v>
      </c>
      <c r="AH13">
        <v>0.69023343430337902</v>
      </c>
      <c r="AI13">
        <v>95.918900813262496</v>
      </c>
      <c r="AJ13">
        <v>89.871995352112705</v>
      </c>
      <c r="AK13">
        <v>0.69393462389795801</v>
      </c>
    </row>
    <row r="14" spans="1:37" x14ac:dyDescent="0.2">
      <c r="A14" t="str">
        <f>"20200111153610811"</f>
        <v>20200111153610811</v>
      </c>
      <c r="B14" t="str">
        <f>"1578728170802736"</f>
        <v>1578728170802736</v>
      </c>
      <c r="C14" t="s">
        <v>37</v>
      </c>
      <c r="D14">
        <v>5.6991589999999999</v>
      </c>
      <c r="E14">
        <v>0.5214666</v>
      </c>
      <c r="F14" t="s">
        <v>38</v>
      </c>
      <c r="G14">
        <v>-476.04270000000002</v>
      </c>
      <c r="H14">
        <v>1.0325679999999999</v>
      </c>
      <c r="I14">
        <v>367.52190000000002</v>
      </c>
      <c r="J14">
        <v>-476.7337</v>
      </c>
      <c r="K14">
        <v>1.103148</v>
      </c>
      <c r="L14">
        <v>367.5222</v>
      </c>
      <c r="M14">
        <v>0.999997899999999</v>
      </c>
      <c r="N14">
        <v>0</v>
      </c>
      <c r="O14">
        <v>1.6952879999999899E-3</v>
      </c>
      <c r="P14">
        <v>0.99754569999999998</v>
      </c>
      <c r="Q14">
        <v>3.5569030000000001E-2</v>
      </c>
      <c r="R14">
        <v>6.0309920000000003E-2</v>
      </c>
      <c r="S14">
        <v>3.0171509999999899</v>
      </c>
      <c r="T14">
        <v>-0.28917120000000002</v>
      </c>
      <c r="U14">
        <v>9.765625E-4</v>
      </c>
      <c r="V14">
        <v>-5.8621380000000001E-2</v>
      </c>
      <c r="W14">
        <v>3.4460699999999997E-2</v>
      </c>
      <c r="X14">
        <v>0.9976853</v>
      </c>
      <c r="Y14">
        <v>1.357629E-3</v>
      </c>
      <c r="Z14">
        <v>-2.2701970000000001E-4</v>
      </c>
      <c r="AA14">
        <v>0.99999899999999997</v>
      </c>
      <c r="AB14">
        <v>4</v>
      </c>
      <c r="AC14">
        <v>0.69099999999997397</v>
      </c>
      <c r="AD14">
        <v>-7.0580000000000004E-2</v>
      </c>
      <c r="AE14">
        <v>-2.9999999998153699E-4</v>
      </c>
      <c r="AF14">
        <v>1.4562513557735701E-3</v>
      </c>
      <c r="AG14">
        <v>-7.0580000000000004E-2</v>
      </c>
      <c r="AH14">
        <v>0.68386378171337503</v>
      </c>
      <c r="AI14">
        <v>95.892488813660904</v>
      </c>
      <c r="AJ14">
        <v>89.877991885648498</v>
      </c>
      <c r="AK14">
        <v>0.68749787563841203</v>
      </c>
    </row>
    <row r="15" spans="1:37" x14ac:dyDescent="0.2">
      <c r="A15" t="str">
        <f>"20200111153610834"</f>
        <v>20200111153610834</v>
      </c>
      <c r="B15" t="str">
        <f>"1578728170823234"</f>
        <v>1578728170823234</v>
      </c>
      <c r="C15" t="s">
        <v>37</v>
      </c>
      <c r="D15">
        <v>5.7487690000000002</v>
      </c>
      <c r="E15">
        <v>0.52146210000000004</v>
      </c>
      <c r="F15" t="s">
        <v>38</v>
      </c>
      <c r="G15">
        <v>-476.00069999999999</v>
      </c>
      <c r="H15">
        <v>1.0337559999999999</v>
      </c>
      <c r="I15">
        <v>367.52249999999998</v>
      </c>
      <c r="J15">
        <v>-476.685</v>
      </c>
      <c r="K15">
        <v>1.1031219999999999</v>
      </c>
      <c r="L15">
        <v>367.52249999999998</v>
      </c>
      <c r="M15">
        <v>0.99999729999999998</v>
      </c>
      <c r="N15">
        <v>0</v>
      </c>
      <c r="O15">
        <v>1.8776299999999999E-3</v>
      </c>
      <c r="P15">
        <v>0.99746919999999994</v>
      </c>
      <c r="Q15">
        <v>3.6372399999999999E-2</v>
      </c>
      <c r="R15">
        <v>6.1093910000000001E-2</v>
      </c>
      <c r="S15">
        <v>3.0174259999999999</v>
      </c>
      <c r="T15">
        <v>-0.28564489999999998</v>
      </c>
      <c r="U15">
        <v>1.6479489999999999E-3</v>
      </c>
      <c r="V15">
        <v>-5.9223159999999997E-2</v>
      </c>
      <c r="W15">
        <v>3.4927239999999998E-2</v>
      </c>
      <c r="X15">
        <v>0.99763359999999901</v>
      </c>
      <c r="Y15">
        <v>1.3172049999999999E-3</v>
      </c>
      <c r="Z15">
        <v>-2.3955720000000001E-4</v>
      </c>
      <c r="AA15">
        <v>0.99999910000000003</v>
      </c>
      <c r="AB15">
        <v>4</v>
      </c>
      <c r="AC15">
        <v>0.68430000000000701</v>
      </c>
      <c r="AD15">
        <v>-6.9365999999999997E-2</v>
      </c>
      <c r="AE15">
        <v>0</v>
      </c>
      <c r="AF15">
        <v>1.2717951644871199E-3</v>
      </c>
      <c r="AG15">
        <v>-6.9365999999999997E-2</v>
      </c>
      <c r="AH15">
        <v>0.67733884239183695</v>
      </c>
      <c r="AI15">
        <v>95.847243026580898</v>
      </c>
      <c r="AJ15">
        <v>89.892419561470604</v>
      </c>
      <c r="AK15">
        <v>0.68088263807476701</v>
      </c>
    </row>
    <row r="16" spans="1:37" x14ac:dyDescent="0.2">
      <c r="A16" t="str">
        <f>"20200111153610855"</f>
        <v>20200111153610855</v>
      </c>
      <c r="B16" t="str">
        <f>"1578728170842752"</f>
        <v>1578728170842752</v>
      </c>
      <c r="C16" t="s">
        <v>37</v>
      </c>
      <c r="D16">
        <v>5.7272299999999996</v>
      </c>
      <c r="E16">
        <v>0.52146680000000001</v>
      </c>
      <c r="F16" t="s">
        <v>38</v>
      </c>
      <c r="G16">
        <v>-475.9563</v>
      </c>
      <c r="H16">
        <v>1.034869</v>
      </c>
      <c r="I16">
        <v>367.52330000000001</v>
      </c>
      <c r="J16">
        <v>-476.63709999999998</v>
      </c>
      <c r="K16">
        <v>1.103094</v>
      </c>
      <c r="L16">
        <v>367.52280000000002</v>
      </c>
      <c r="M16">
        <v>0.99999649999999995</v>
      </c>
      <c r="N16">
        <v>0</v>
      </c>
      <c r="O16">
        <v>2.0519179999999998E-3</v>
      </c>
      <c r="P16">
        <v>0.99741880000000005</v>
      </c>
      <c r="Q16">
        <v>3.713027E-2</v>
      </c>
      <c r="R16">
        <v>6.1459130000000001E-2</v>
      </c>
      <c r="S16">
        <v>3.0176699999999999</v>
      </c>
      <c r="T16">
        <v>-0.28292479999999998</v>
      </c>
      <c r="U16">
        <v>4.4250490000000003E-3</v>
      </c>
      <c r="V16">
        <v>-5.9414830000000002E-2</v>
      </c>
      <c r="W16">
        <v>3.540331E-2</v>
      </c>
      <c r="X16">
        <v>0.99760539999999998</v>
      </c>
      <c r="Y16">
        <v>5.740284E-4</v>
      </c>
      <c r="Z16">
        <v>-2.1880930000000001E-4</v>
      </c>
      <c r="AA16">
        <v>0.99999979999999999</v>
      </c>
      <c r="AB16">
        <v>5</v>
      </c>
      <c r="AC16">
        <v>0.68079999999997598</v>
      </c>
      <c r="AD16">
        <v>-6.8224999999999897E-2</v>
      </c>
      <c r="AE16">
        <v>4.9999999998817603E-4</v>
      </c>
      <c r="AF16">
        <v>8.8803060655668795E-4</v>
      </c>
      <c r="AG16">
        <v>-6.8224999999999897E-2</v>
      </c>
      <c r="AH16">
        <v>0.67403054869226298</v>
      </c>
      <c r="AI16">
        <v>95.779757213380506</v>
      </c>
      <c r="AJ16">
        <v>89.924513248704102</v>
      </c>
      <c r="AK16">
        <v>0.677475180204966</v>
      </c>
    </row>
    <row r="17" spans="1:37" x14ac:dyDescent="0.2">
      <c r="A17" t="str">
        <f>"20200111153610878"</f>
        <v>20200111153610878</v>
      </c>
      <c r="B17" t="str">
        <f>"1578728170873008"</f>
        <v>1578728170873008</v>
      </c>
      <c r="C17" t="s">
        <v>37</v>
      </c>
      <c r="D17">
        <v>5.7430209999999997</v>
      </c>
      <c r="E17">
        <v>0.52140520000000001</v>
      </c>
      <c r="F17" t="s">
        <v>38</v>
      </c>
      <c r="G17">
        <v>-475.90980000000002</v>
      </c>
      <c r="H17">
        <v>1.035539</v>
      </c>
      <c r="I17">
        <v>367.52390000000003</v>
      </c>
      <c r="J17">
        <v>-476.58150000000001</v>
      </c>
      <c r="K17">
        <v>1.1030610000000001</v>
      </c>
      <c r="L17">
        <v>367.5231</v>
      </c>
      <c r="M17">
        <v>0.99999550000000004</v>
      </c>
      <c r="N17">
        <v>0</v>
      </c>
      <c r="O17">
        <v>2.2485179999999902E-3</v>
      </c>
      <c r="P17">
        <v>0.99737439999999999</v>
      </c>
      <c r="Q17">
        <v>3.7149519999999998E-2</v>
      </c>
      <c r="R17">
        <v>6.2166890000000002E-2</v>
      </c>
      <c r="S17">
        <v>3.01791399999999</v>
      </c>
      <c r="T17">
        <v>-0.28031269999999903</v>
      </c>
      <c r="U17">
        <v>5.1269530000000001E-3</v>
      </c>
      <c r="V17">
        <v>-5.9926269999999997E-2</v>
      </c>
      <c r="W17">
        <v>3.514026E-2</v>
      </c>
      <c r="X17">
        <v>0.99758409999999997</v>
      </c>
      <c r="Y17">
        <v>5.3769339999999895E-4</v>
      </c>
      <c r="Z17">
        <v>-2.333181E-4</v>
      </c>
      <c r="AA17">
        <v>0.99999979999999999</v>
      </c>
      <c r="AB17">
        <v>5</v>
      </c>
      <c r="AC17">
        <v>0.67169999999998697</v>
      </c>
      <c r="AD17">
        <v>-6.7521999999999999E-2</v>
      </c>
      <c r="AE17">
        <v>8.0000000002655703E-4</v>
      </c>
      <c r="AF17">
        <v>7.0322837021551804E-4</v>
      </c>
      <c r="AG17">
        <v>-6.7521999999999999E-2</v>
      </c>
      <c r="AH17">
        <v>0.66498042771386301</v>
      </c>
      <c r="AI17">
        <v>95.797928807667901</v>
      </c>
      <c r="AJ17">
        <v>89.939408739042605</v>
      </c>
      <c r="AK17">
        <v>0.66840009295081104</v>
      </c>
    </row>
    <row r="18" spans="1:37" x14ac:dyDescent="0.2">
      <c r="A18" t="str">
        <f>"20200111153610901"</f>
        <v>20200111153610901</v>
      </c>
      <c r="B18" t="str">
        <f>"1578728170892529"</f>
        <v>1578728170892529</v>
      </c>
      <c r="C18" t="s">
        <v>37</v>
      </c>
      <c r="D18">
        <v>5.7029290000000001</v>
      </c>
      <c r="E18">
        <v>0.52136470000000001</v>
      </c>
      <c r="F18" t="s">
        <v>38</v>
      </c>
      <c r="G18">
        <v>-475.86090000000002</v>
      </c>
      <c r="H18">
        <v>1.036294</v>
      </c>
      <c r="I18">
        <v>367.52440000000001</v>
      </c>
      <c r="J18">
        <v>-476.52379999999999</v>
      </c>
      <c r="K18">
        <v>1.1030309999999901</v>
      </c>
      <c r="L18">
        <v>367.52339999999998</v>
      </c>
      <c r="M18">
        <v>0.99999450000000001</v>
      </c>
      <c r="N18">
        <v>0</v>
      </c>
      <c r="O18">
        <v>2.4455950000000001E-3</v>
      </c>
      <c r="P18">
        <v>0.99738839999999995</v>
      </c>
      <c r="Q18">
        <v>3.664046E-2</v>
      </c>
      <c r="R18">
        <v>6.2243359999999998E-2</v>
      </c>
      <c r="S18">
        <v>3.0178829999999999</v>
      </c>
      <c r="T18">
        <v>-0.2800744</v>
      </c>
      <c r="U18">
        <v>7.8125E-3</v>
      </c>
      <c r="V18">
        <v>-5.9806539999999998E-2</v>
      </c>
      <c r="W18">
        <v>3.4383499999999997E-2</v>
      </c>
      <c r="X18">
        <v>0.99761769999999905</v>
      </c>
      <c r="Y18">
        <v>-1.5297760000000001E-4</v>
      </c>
      <c r="Z18">
        <v>-2.1939320000000001E-4</v>
      </c>
      <c r="AA18">
        <v>0.99999989999999905</v>
      </c>
      <c r="AB18">
        <v>5</v>
      </c>
      <c r="AC18">
        <v>0.66289999999997895</v>
      </c>
      <c r="AD18">
        <v>-6.6736999999999796E-2</v>
      </c>
      <c r="AE18">
        <v>1.0000000000331901E-3</v>
      </c>
      <c r="AF18">
        <v>6.1495919239412504E-4</v>
      </c>
      <c r="AG18">
        <v>-6.6736999999999796E-2</v>
      </c>
      <c r="AH18">
        <v>0.65624918504242102</v>
      </c>
      <c r="AI18">
        <v>95.806706636183804</v>
      </c>
      <c r="AJ18">
        <v>89.946309181349605</v>
      </c>
      <c r="AK18">
        <v>0.65963413966580797</v>
      </c>
    </row>
    <row r="19" spans="1:37" x14ac:dyDescent="0.2">
      <c r="A19" t="str">
        <f>"20200111153610922"</f>
        <v>20200111153610922</v>
      </c>
      <c r="B19" t="str">
        <f>"1578728170913023"</f>
        <v>1578728170913023</v>
      </c>
      <c r="C19" t="s">
        <v>37</v>
      </c>
      <c r="D19">
        <v>5.7137719999999996</v>
      </c>
      <c r="E19">
        <v>0.52134789999999998</v>
      </c>
      <c r="F19" t="s">
        <v>38</v>
      </c>
      <c r="G19">
        <v>-475.75889999999998</v>
      </c>
      <c r="H19">
        <v>1.0316809999999901</v>
      </c>
      <c r="I19">
        <v>367.52550000000002</v>
      </c>
      <c r="J19">
        <v>-476.46480000000003</v>
      </c>
      <c r="K19">
        <v>1.1029990000000001</v>
      </c>
      <c r="L19">
        <v>367.52379999999999</v>
      </c>
      <c r="M19">
        <v>0.99999359999999904</v>
      </c>
      <c r="N19">
        <v>0</v>
      </c>
      <c r="O19">
        <v>2.641488E-3</v>
      </c>
      <c r="P19">
        <v>0.99739409999999895</v>
      </c>
      <c r="Q19">
        <v>3.6304629999999997E-2</v>
      </c>
      <c r="R19">
        <v>6.2347729999999997E-2</v>
      </c>
      <c r="S19">
        <v>3.0177</v>
      </c>
      <c r="T19">
        <v>-0.28157779999999999</v>
      </c>
      <c r="U19">
        <v>8.4838869999999903E-3</v>
      </c>
      <c r="V19">
        <v>-5.971539E-2</v>
      </c>
      <c r="W19">
        <v>3.3830689999999997E-2</v>
      </c>
      <c r="X19">
        <v>0.99764200000000003</v>
      </c>
      <c r="Y19">
        <v>-1.805585E-4</v>
      </c>
      <c r="Z19">
        <v>-2.3753399999999999E-4</v>
      </c>
      <c r="AA19">
        <v>0.99999989999999905</v>
      </c>
      <c r="AB19">
        <v>6</v>
      </c>
      <c r="AC19">
        <v>0.70590000000004205</v>
      </c>
      <c r="AD19">
        <v>-7.1318000000000201E-2</v>
      </c>
      <c r="AE19">
        <v>1.7000000000280101E-3</v>
      </c>
      <c r="AF19">
        <v>1.62974217302679E-4</v>
      </c>
      <c r="AG19">
        <v>-7.1318000000000201E-2</v>
      </c>
      <c r="AH19">
        <v>0.69876950171927499</v>
      </c>
      <c r="AI19">
        <v>95.827558281500103</v>
      </c>
      <c r="AJ19">
        <v>89.986636888661195</v>
      </c>
      <c r="AK19">
        <v>0.702399530336972</v>
      </c>
    </row>
    <row r="20" spans="1:37" x14ac:dyDescent="0.2">
      <c r="A20" t="str">
        <f>"20200111153610945"</f>
        <v>20200111153610945</v>
      </c>
      <c r="B20" t="str">
        <f>"1578728170932543"</f>
        <v>1578728170932543</v>
      </c>
      <c r="C20" t="s">
        <v>37</v>
      </c>
      <c r="D20">
        <v>5.7361969999999998</v>
      </c>
      <c r="E20">
        <v>0.52132650000000003</v>
      </c>
      <c r="F20" t="s">
        <v>38</v>
      </c>
      <c r="G20">
        <v>-475.70330000000001</v>
      </c>
      <c r="H20">
        <v>1.031798</v>
      </c>
      <c r="I20">
        <v>367.5258</v>
      </c>
      <c r="J20">
        <v>-476.40280000000001</v>
      </c>
      <c r="K20">
        <v>1.1029709999999999</v>
      </c>
      <c r="L20">
        <v>367.52420000000001</v>
      </c>
      <c r="M20">
        <v>0.9999924</v>
      </c>
      <c r="N20">
        <v>0</v>
      </c>
      <c r="O20">
        <v>2.8413729999999999E-3</v>
      </c>
      <c r="P20">
        <v>0.99736279999999999</v>
      </c>
      <c r="Q20">
        <v>3.6723520000000003E-2</v>
      </c>
      <c r="R20">
        <v>6.2602309999999994E-2</v>
      </c>
      <c r="S20">
        <v>3.0175480000000001</v>
      </c>
      <c r="T20">
        <v>-0.28229899999999902</v>
      </c>
      <c r="U20">
        <v>8.8500980000000007E-3</v>
      </c>
      <c r="V20">
        <v>-5.97706E-2</v>
      </c>
      <c r="W20">
        <v>3.4050379999999998E-2</v>
      </c>
      <c r="X20">
        <v>0.99763119999999905</v>
      </c>
      <c r="Y20">
        <v>-1.03437099999999E-4</v>
      </c>
      <c r="Z20">
        <v>-2.6041049999999999E-4</v>
      </c>
      <c r="AA20">
        <v>0.99999989999999905</v>
      </c>
      <c r="AB20">
        <v>6</v>
      </c>
      <c r="AC20">
        <v>0.69950000000000001</v>
      </c>
      <c r="AD20">
        <v>-7.1172999999999903E-2</v>
      </c>
      <c r="AE20">
        <v>1.59999999999627E-3</v>
      </c>
      <c r="AF20">
        <v>3.8358284362939701E-4</v>
      </c>
      <c r="AG20">
        <v>-7.1172999999999903E-2</v>
      </c>
      <c r="AH20">
        <v>0.69233420728701101</v>
      </c>
      <c r="AI20">
        <v>95.869473052073005</v>
      </c>
      <c r="AJ20">
        <v>89.968255684099503</v>
      </c>
      <c r="AK20">
        <v>0.69598304407832601</v>
      </c>
    </row>
    <row r="21" spans="1:37" x14ac:dyDescent="0.2">
      <c r="A21" t="str">
        <f>"20200111153610967"</f>
        <v>20200111153610967</v>
      </c>
      <c r="B21" t="str">
        <f>"1578728170962801"</f>
        <v>1578728170962801</v>
      </c>
      <c r="C21" t="s">
        <v>37</v>
      </c>
      <c r="D21">
        <v>5.7347799999999998</v>
      </c>
      <c r="E21">
        <v>0.52129250000000005</v>
      </c>
      <c r="F21" t="s">
        <v>38</v>
      </c>
      <c r="G21">
        <v>-475.64490000000001</v>
      </c>
      <c r="H21">
        <v>1.0324990000000001</v>
      </c>
      <c r="I21">
        <v>367.52620000000002</v>
      </c>
      <c r="J21">
        <v>-476.33780000000002</v>
      </c>
      <c r="K21">
        <v>1.1029420000000001</v>
      </c>
      <c r="L21">
        <v>367.52460000000002</v>
      </c>
      <c r="M21">
        <v>0.99999150000000003</v>
      </c>
      <c r="N21">
        <v>0</v>
      </c>
      <c r="O21">
        <v>3.0443029999999999E-3</v>
      </c>
      <c r="P21">
        <v>0.99738839999999995</v>
      </c>
      <c r="Q21">
        <v>3.6910659999999998E-2</v>
      </c>
      <c r="R21">
        <v>6.208379E-2</v>
      </c>
      <c r="S21">
        <v>3.0176699999999999</v>
      </c>
      <c r="T21">
        <v>-0.28090549999999997</v>
      </c>
      <c r="U21">
        <v>9.6130369999999996E-3</v>
      </c>
      <c r="V21">
        <v>-5.9049869999999997E-2</v>
      </c>
      <c r="W21">
        <v>3.4055149999999999E-2</v>
      </c>
      <c r="X21">
        <v>0.99767399999999995</v>
      </c>
      <c r="Y21">
        <v>-1.537493E-4</v>
      </c>
      <c r="Z21">
        <v>-2.7563259999999998E-4</v>
      </c>
      <c r="AA21">
        <v>0.99999989999999905</v>
      </c>
      <c r="AB21">
        <v>6</v>
      </c>
      <c r="AC21">
        <v>0.69290000000000795</v>
      </c>
      <c r="AD21">
        <v>-7.0443000000000006E-2</v>
      </c>
      <c r="AE21">
        <v>1.59999999999627E-3</v>
      </c>
      <c r="AF21">
        <v>5.0420193000708503E-4</v>
      </c>
      <c r="AG21">
        <v>-7.0443000000000006E-2</v>
      </c>
      <c r="AH21">
        <v>0.685813423062129</v>
      </c>
      <c r="AI21">
        <v>95.864540734612504</v>
      </c>
      <c r="AJ21">
        <v>89.957876827085101</v>
      </c>
      <c r="AK21">
        <v>0.68942187499439</v>
      </c>
    </row>
    <row r="22" spans="1:37" x14ac:dyDescent="0.2">
      <c r="A22" t="str">
        <f>"20200111153610991"</f>
        <v>20200111153610991</v>
      </c>
      <c r="B22" t="str">
        <f>"1578728170983296"</f>
        <v>1578728170983296</v>
      </c>
      <c r="C22" t="s">
        <v>37</v>
      </c>
      <c r="D22">
        <v>5.7812260000000002</v>
      </c>
      <c r="E22">
        <v>0.52129579999999998</v>
      </c>
      <c r="F22" t="s">
        <v>38</v>
      </c>
      <c r="G22">
        <v>-475.58429999999998</v>
      </c>
      <c r="H22">
        <v>1.0329950000000001</v>
      </c>
      <c r="I22">
        <v>367.52679999999998</v>
      </c>
      <c r="J22">
        <v>-476.26350000000002</v>
      </c>
      <c r="K22">
        <v>1.1029119999999999</v>
      </c>
      <c r="L22">
        <v>367.52499999999998</v>
      </c>
      <c r="M22">
        <v>0.99999009999999999</v>
      </c>
      <c r="N22">
        <v>0</v>
      </c>
      <c r="O22">
        <v>3.2697440000000002E-3</v>
      </c>
      <c r="P22">
        <v>0.99738539999999998</v>
      </c>
      <c r="Q22">
        <v>3.6858160000000001E-2</v>
      </c>
      <c r="R22">
        <v>6.2162199999999897E-2</v>
      </c>
      <c r="S22">
        <v>3.0176699999999999</v>
      </c>
      <c r="T22">
        <v>-0.28021390000000002</v>
      </c>
      <c r="U22">
        <v>8.7280269999999993E-3</v>
      </c>
      <c r="V22">
        <v>-5.8902860000000001E-2</v>
      </c>
      <c r="W22">
        <v>3.3820200000000002E-2</v>
      </c>
      <c r="X22">
        <v>0.99769069999999904</v>
      </c>
      <c r="Y22">
        <v>3.6184279999999899E-4</v>
      </c>
      <c r="Z22">
        <v>-3.1973309999999998E-4</v>
      </c>
      <c r="AA22">
        <v>0.99999989999999905</v>
      </c>
      <c r="AB22">
        <v>7</v>
      </c>
      <c r="AC22">
        <v>0.679200000000037</v>
      </c>
      <c r="AD22">
        <v>-6.9916999999999896E-2</v>
      </c>
      <c r="AE22">
        <v>1.8000000000029099E-3</v>
      </c>
      <c r="AF22">
        <v>4.1641724804214101E-4</v>
      </c>
      <c r="AG22">
        <v>-6.9916999999999896E-2</v>
      </c>
      <c r="AH22">
        <v>0.67208047655598502</v>
      </c>
      <c r="AI22">
        <v>95.939154915844</v>
      </c>
      <c r="AJ22">
        <v>89.964499864810193</v>
      </c>
      <c r="AK22">
        <v>0.675707575257259</v>
      </c>
    </row>
    <row r="23" spans="1:37" x14ac:dyDescent="0.2">
      <c r="A23" t="str">
        <f>"20200111153611013"</f>
        <v>20200111153611013</v>
      </c>
      <c r="B23" t="str">
        <f>"1578728171002833"</f>
        <v>1578728171002833</v>
      </c>
      <c r="C23" t="s">
        <v>37</v>
      </c>
      <c r="D23">
        <v>5.7092470000000004</v>
      </c>
      <c r="E23">
        <v>0.52129179999999997</v>
      </c>
      <c r="F23" t="s">
        <v>38</v>
      </c>
      <c r="G23">
        <v>-475.52099999999899</v>
      </c>
      <c r="H23">
        <v>1.0340320000000001</v>
      </c>
      <c r="I23">
        <v>367.52679999999998</v>
      </c>
      <c r="J23">
        <v>-476.19290000000001</v>
      </c>
      <c r="K23">
        <v>1.1028830000000001</v>
      </c>
      <c r="L23">
        <v>367.52550000000002</v>
      </c>
      <c r="M23">
        <v>0.99998880000000001</v>
      </c>
      <c r="N23">
        <v>0</v>
      </c>
      <c r="O23">
        <v>3.4781690000000001E-3</v>
      </c>
      <c r="P23">
        <v>0.99736819999999904</v>
      </c>
      <c r="Q23">
        <v>3.6747120000000001E-2</v>
      </c>
      <c r="R23">
        <v>6.250037E-2</v>
      </c>
      <c r="S23">
        <v>3.0177</v>
      </c>
      <c r="T23">
        <v>-0.28021929999999901</v>
      </c>
      <c r="U23">
        <v>8.6364749999999994E-3</v>
      </c>
      <c r="V23">
        <v>-5.9033740000000001E-2</v>
      </c>
      <c r="W23">
        <v>3.355524E-2</v>
      </c>
      <c r="X23">
        <v>0.99769189999999996</v>
      </c>
      <c r="Y23">
        <v>5.9872389999999999E-4</v>
      </c>
      <c r="Z23">
        <v>-3.5002339999999898E-4</v>
      </c>
      <c r="AA23">
        <v>0.99999979999999999</v>
      </c>
      <c r="AB23">
        <v>7</v>
      </c>
      <c r="AC23">
        <v>0.67190000000005001</v>
      </c>
      <c r="AD23">
        <v>-6.8850999999999996E-2</v>
      </c>
      <c r="AE23">
        <v>1.29999999995789E-3</v>
      </c>
      <c r="AF23">
        <v>1.02622577856489E-3</v>
      </c>
      <c r="AG23">
        <v>-6.8850999999999996E-2</v>
      </c>
      <c r="AH23">
        <v>0.66491848695647204</v>
      </c>
      <c r="AI23">
        <v>95.911789087131297</v>
      </c>
      <c r="AJ23">
        <v>89.911570575331993</v>
      </c>
      <c r="AK23">
        <v>0.66847446296536395</v>
      </c>
    </row>
    <row r="24" spans="1:37" x14ac:dyDescent="0.2">
      <c r="A24" t="str">
        <f>"20200111153611036"</f>
        <v>20200111153611036</v>
      </c>
      <c r="B24" t="str">
        <f>"1578728171022336"</f>
        <v>1578728171022336</v>
      </c>
      <c r="C24" t="s">
        <v>37</v>
      </c>
      <c r="D24">
        <v>5.7790809999999997</v>
      </c>
      <c r="E24">
        <v>0.52130829999999995</v>
      </c>
      <c r="F24" t="s">
        <v>38</v>
      </c>
      <c r="G24">
        <v>-475.45569999999998</v>
      </c>
      <c r="H24">
        <v>1.034343</v>
      </c>
      <c r="I24">
        <v>367.52780000000001</v>
      </c>
      <c r="J24">
        <v>-476.11880000000002</v>
      </c>
      <c r="K24">
        <v>1.1028579999999999</v>
      </c>
      <c r="L24">
        <v>367.52600000000001</v>
      </c>
      <c r="M24">
        <v>0.99998770000000003</v>
      </c>
      <c r="N24">
        <v>0</v>
      </c>
      <c r="O24">
        <v>3.6901159999999998E-3</v>
      </c>
      <c r="P24">
        <v>0.99738379999999904</v>
      </c>
      <c r="Q24">
        <v>3.668975E-2</v>
      </c>
      <c r="R24">
        <v>6.228682E-2</v>
      </c>
      <c r="S24">
        <v>3.0175779999999999</v>
      </c>
      <c r="T24">
        <v>-0.28065440000000003</v>
      </c>
      <c r="U24">
        <v>1.019287E-2</v>
      </c>
      <c r="V24">
        <v>-5.8608349999999997E-2</v>
      </c>
      <c r="W24">
        <v>3.3355080000000002E-2</v>
      </c>
      <c r="X24">
        <v>0.99772359999999904</v>
      </c>
      <c r="Y24">
        <v>2.9512640000000002E-4</v>
      </c>
      <c r="Z24">
        <v>-3.5616039999999998E-4</v>
      </c>
      <c r="AA24">
        <v>0.99999989999999905</v>
      </c>
      <c r="AB24">
        <v>7</v>
      </c>
      <c r="AC24">
        <v>0.66310000000004199</v>
      </c>
      <c r="AD24">
        <v>-6.8514999999999798E-2</v>
      </c>
      <c r="AE24">
        <v>1.8000000000029099E-3</v>
      </c>
      <c r="AF24">
        <v>6.4010779775235398E-4</v>
      </c>
      <c r="AG24">
        <v>-6.8514999999999798E-2</v>
      </c>
      <c r="AH24">
        <v>0.65609760520364602</v>
      </c>
      <c r="AI24">
        <v>95.961675801814806</v>
      </c>
      <c r="AJ24">
        <v>89.944100598268903</v>
      </c>
      <c r="AK24">
        <v>0.65966565964657597</v>
      </c>
    </row>
    <row r="25" spans="1:37" x14ac:dyDescent="0.2">
      <c r="A25" t="str">
        <f>"20200111153611057"</f>
        <v>20200111153611057</v>
      </c>
      <c r="B25" t="str">
        <f>"1578728171052599"</f>
        <v>1578728171052599</v>
      </c>
      <c r="C25" t="s">
        <v>37</v>
      </c>
      <c r="D25">
        <v>5.7615169999999898</v>
      </c>
      <c r="E25">
        <v>0.52129829999999999</v>
      </c>
      <c r="F25" t="s">
        <v>38</v>
      </c>
      <c r="G25">
        <v>-475.38780000000003</v>
      </c>
      <c r="H25">
        <v>1.0349159999999999</v>
      </c>
      <c r="I25">
        <v>367.52789999999999</v>
      </c>
      <c r="J25">
        <v>-476.04289999999997</v>
      </c>
      <c r="K25">
        <v>1.1028290000000001</v>
      </c>
      <c r="L25">
        <v>367.5265</v>
      </c>
      <c r="M25">
        <v>0.99998639999999905</v>
      </c>
      <c r="N25">
        <v>0</v>
      </c>
      <c r="O25">
        <v>3.902609E-3</v>
      </c>
      <c r="P25">
        <v>0.9974075</v>
      </c>
      <c r="Q25">
        <v>3.6620649999999998E-2</v>
      </c>
      <c r="R25">
        <v>6.1948059999999999E-2</v>
      </c>
      <c r="S25">
        <v>3.0175779999999999</v>
      </c>
      <c r="T25">
        <v>-0.28080070000000001</v>
      </c>
      <c r="U25">
        <v>9.6435549999999998E-3</v>
      </c>
      <c r="V25">
        <v>-5.8057810000000001E-2</v>
      </c>
      <c r="W25">
        <v>3.3154910000000003E-2</v>
      </c>
      <c r="X25">
        <v>0.9977625</v>
      </c>
      <c r="Y25">
        <v>6.870321E-4</v>
      </c>
      <c r="Z25">
        <v>-3.9427129999999898E-4</v>
      </c>
      <c r="AA25">
        <v>0.99999969999999905</v>
      </c>
      <c r="AB25">
        <v>7</v>
      </c>
      <c r="AC25">
        <v>0.65509999999994695</v>
      </c>
      <c r="AD25">
        <v>-6.7913000000000098E-2</v>
      </c>
      <c r="AE25">
        <v>1.39999999998963E-3</v>
      </c>
      <c r="AF25">
        <v>1.14432699615329E-3</v>
      </c>
      <c r="AG25">
        <v>-6.7913000000000098E-2</v>
      </c>
      <c r="AH25">
        <v>0.648134946185983</v>
      </c>
      <c r="AI25">
        <v>95.981739988580301</v>
      </c>
      <c r="AJ25">
        <v>89.898840450555596</v>
      </c>
      <c r="AK25">
        <v>0.65168427441574905</v>
      </c>
    </row>
    <row r="26" spans="1:37" x14ac:dyDescent="0.2">
      <c r="A26" t="str">
        <f>"20200111153611079"</f>
        <v>20200111153611079</v>
      </c>
      <c r="B26" t="str">
        <f>"1578728171073089"</f>
        <v>1578728171073089</v>
      </c>
      <c r="C26" t="s">
        <v>37</v>
      </c>
      <c r="D26">
        <v>5.741079</v>
      </c>
      <c r="E26">
        <v>0.52128940000000001</v>
      </c>
      <c r="F26" t="s">
        <v>38</v>
      </c>
      <c r="G26">
        <v>-475.3177</v>
      </c>
      <c r="H26">
        <v>1.0352569999999901</v>
      </c>
      <c r="I26">
        <v>367.52870000000001</v>
      </c>
      <c r="J26">
        <v>-475.9622</v>
      </c>
      <c r="K26">
        <v>1.1028039999999999</v>
      </c>
      <c r="L26">
        <v>367.52699999999999</v>
      </c>
      <c r="M26">
        <v>0.99998509999999996</v>
      </c>
      <c r="N26">
        <v>0</v>
      </c>
      <c r="O26">
        <v>4.122733E-3</v>
      </c>
      <c r="P26">
        <v>0.99741630000000003</v>
      </c>
      <c r="Q26">
        <v>3.6431480000000002E-2</v>
      </c>
      <c r="R26">
        <v>6.1916829999999999E-2</v>
      </c>
      <c r="S26">
        <v>3.0176090000000002</v>
      </c>
      <c r="T26">
        <v>-0.28096640000000001</v>
      </c>
      <c r="U26">
        <v>8.6364749999999994E-3</v>
      </c>
      <c r="V26">
        <v>-5.7807200000000003E-2</v>
      </c>
      <c r="W26">
        <v>3.2840859999999999E-2</v>
      </c>
      <c r="X26">
        <v>0.99778750000000005</v>
      </c>
      <c r="Y26">
        <v>1.2375680000000001E-3</v>
      </c>
      <c r="Z26">
        <v>-4.4052519999999903E-4</v>
      </c>
      <c r="AA26">
        <v>0.99999919999999998</v>
      </c>
      <c r="AB26">
        <v>8</v>
      </c>
      <c r="AC26">
        <v>0.64449999999999297</v>
      </c>
      <c r="AD26">
        <v>-6.7547000000000204E-2</v>
      </c>
      <c r="AE26">
        <v>1.7000000000280101E-3</v>
      </c>
      <c r="AF26">
        <v>9.4673388487598298E-4</v>
      </c>
      <c r="AG26">
        <v>-6.7547000000000204E-2</v>
      </c>
      <c r="AH26">
        <v>0.63749919597023597</v>
      </c>
      <c r="AI26">
        <v>96.048270408655199</v>
      </c>
      <c r="AJ26">
        <v>89.914911553785402</v>
      </c>
      <c r="AK26">
        <v>0.64106841941928905</v>
      </c>
    </row>
    <row r="27" spans="1:37" x14ac:dyDescent="0.2">
      <c r="A27" t="str">
        <f>"20200111153611102"</f>
        <v>20200111153611102</v>
      </c>
      <c r="B27" t="str">
        <f>"1578728171092607"</f>
        <v>1578728171092607</v>
      </c>
      <c r="C27" t="s">
        <v>37</v>
      </c>
      <c r="D27">
        <v>5.7304069999999996</v>
      </c>
      <c r="E27">
        <v>0.52128140000000001</v>
      </c>
      <c r="F27" t="s">
        <v>38</v>
      </c>
      <c r="G27">
        <v>-475.17320000000001</v>
      </c>
      <c r="H27">
        <v>1.0292239999999999</v>
      </c>
      <c r="I27">
        <v>367.5292</v>
      </c>
      <c r="J27">
        <v>-475.8766</v>
      </c>
      <c r="K27">
        <v>1.1027739999999999</v>
      </c>
      <c r="L27">
        <v>367.52760000000001</v>
      </c>
      <c r="M27">
        <v>0.99998369999999903</v>
      </c>
      <c r="N27">
        <v>0</v>
      </c>
      <c r="O27">
        <v>4.3499559999999899E-3</v>
      </c>
      <c r="P27">
        <v>0.99742730000000002</v>
      </c>
      <c r="Q27">
        <v>3.6710979999999997E-2</v>
      </c>
      <c r="R27">
        <v>6.157174E-2</v>
      </c>
      <c r="S27">
        <v>3.0175169999999998</v>
      </c>
      <c r="T27">
        <v>-0.28146900000000002</v>
      </c>
      <c r="U27">
        <v>8.4533690000000005E-3</v>
      </c>
      <c r="V27">
        <v>-5.7235460000000002E-2</v>
      </c>
      <c r="W27">
        <v>3.3003360000000002E-2</v>
      </c>
      <c r="X27">
        <v>0.99781509999999995</v>
      </c>
      <c r="Y27">
        <v>1.52308E-3</v>
      </c>
      <c r="Z27">
        <v>-4.7575960000000001E-4</v>
      </c>
      <c r="AA27">
        <v>0.99999869999999902</v>
      </c>
      <c r="AB27">
        <v>8</v>
      </c>
      <c r="AC27">
        <v>0.70339999999998704</v>
      </c>
      <c r="AD27">
        <v>-7.3550000000000004E-2</v>
      </c>
      <c r="AE27">
        <v>1.59999999999627E-3</v>
      </c>
      <c r="AF27">
        <v>1.4440070923335401E-3</v>
      </c>
      <c r="AG27">
        <v>-7.3550000000000004E-2</v>
      </c>
      <c r="AH27">
        <v>0.69579286816439301</v>
      </c>
      <c r="AI27">
        <v>96.034129095426593</v>
      </c>
      <c r="AJ27">
        <v>89.881091921199797</v>
      </c>
      <c r="AK27">
        <v>0.69967092482460302</v>
      </c>
    </row>
    <row r="28" spans="1:37" x14ac:dyDescent="0.2">
      <c r="A28" t="str">
        <f>"20200111153611125"</f>
        <v>20200111153611125</v>
      </c>
      <c r="B28" t="str">
        <f>"1578728171122864"</f>
        <v>1578728171122864</v>
      </c>
      <c r="C28" t="s">
        <v>37</v>
      </c>
      <c r="D28">
        <v>5.9864540000000002</v>
      </c>
      <c r="E28">
        <v>0.52125840000000001</v>
      </c>
      <c r="F28" t="s">
        <v>38</v>
      </c>
      <c r="G28">
        <v>-475.09539999999998</v>
      </c>
      <c r="H28">
        <v>1.0301579999999999</v>
      </c>
      <c r="I28">
        <v>367.52910000000003</v>
      </c>
      <c r="J28">
        <v>-475.78660000000002</v>
      </c>
      <c r="K28">
        <v>1.1027480000000001</v>
      </c>
      <c r="L28">
        <v>367.5283</v>
      </c>
      <c r="M28">
        <v>0.99998220000000004</v>
      </c>
      <c r="N28">
        <v>0</v>
      </c>
      <c r="O28">
        <v>4.5830810000000001E-3</v>
      </c>
      <c r="P28">
        <v>0.99740490000000004</v>
      </c>
      <c r="Q28">
        <v>3.7006089999999998E-2</v>
      </c>
      <c r="R28">
        <v>6.1757140000000002E-2</v>
      </c>
      <c r="S28">
        <v>3.017639</v>
      </c>
      <c r="T28">
        <v>-0.280804</v>
      </c>
      <c r="U28">
        <v>7.7209469999999997E-3</v>
      </c>
      <c r="V28">
        <v>-5.7188490000000002E-2</v>
      </c>
      <c r="W28">
        <v>3.3186849999999997E-2</v>
      </c>
      <c r="X28">
        <v>0.99781169999999997</v>
      </c>
      <c r="Y28">
        <v>1.996107E-3</v>
      </c>
      <c r="Z28">
        <v>-5.182292E-4</v>
      </c>
      <c r="AA28">
        <v>0.999997899999999</v>
      </c>
      <c r="AB28">
        <v>8</v>
      </c>
      <c r="AC28">
        <v>0.69120000000003701</v>
      </c>
      <c r="AD28">
        <v>-7.2590000000000099E-2</v>
      </c>
      <c r="AE28">
        <v>8.0000000002655703E-4</v>
      </c>
      <c r="AF28">
        <v>2.3420263382537701E-3</v>
      </c>
      <c r="AG28">
        <v>-7.2590000000000099E-2</v>
      </c>
      <c r="AH28">
        <v>0.68365619945557299</v>
      </c>
      <c r="AI28">
        <v>96.060870195368693</v>
      </c>
      <c r="AJ28">
        <v>89.803720495958004</v>
      </c>
      <c r="AK28">
        <v>0.68750315798649797</v>
      </c>
    </row>
    <row r="29" spans="1:37" x14ac:dyDescent="0.2">
      <c r="A29" t="str">
        <f>"20200111153611146"</f>
        <v>20200111153611146</v>
      </c>
      <c r="B29" t="str">
        <f>"1578728171142384"</f>
        <v>1578728171142384</v>
      </c>
      <c r="C29" t="s">
        <v>37</v>
      </c>
      <c r="D29">
        <v>5.6446839999999998</v>
      </c>
      <c r="E29">
        <v>0.52124239999999999</v>
      </c>
      <c r="F29" t="s">
        <v>38</v>
      </c>
      <c r="G29">
        <v>-475.01519999999999</v>
      </c>
      <c r="H29">
        <v>1.0312170000000001</v>
      </c>
      <c r="I29">
        <v>367.53039999999999</v>
      </c>
      <c r="J29">
        <v>-475.7013</v>
      </c>
      <c r="K29">
        <v>1.102727</v>
      </c>
      <c r="L29">
        <v>367.52890000000002</v>
      </c>
      <c r="M29">
        <v>0.9999808</v>
      </c>
      <c r="N29">
        <v>0</v>
      </c>
      <c r="O29">
        <v>4.7990050000000003E-3</v>
      </c>
      <c r="P29">
        <v>0.99740219999999902</v>
      </c>
      <c r="Q29">
        <v>3.700929E-2</v>
      </c>
      <c r="R29">
        <v>6.1797999999999999E-2</v>
      </c>
      <c r="S29">
        <v>3.0176699999999999</v>
      </c>
      <c r="T29">
        <v>-0.27991579999999999</v>
      </c>
      <c r="U29">
        <v>8.5449219999999999E-3</v>
      </c>
      <c r="V29">
        <v>-5.7014040000000002E-2</v>
      </c>
      <c r="W29">
        <v>3.3093909999999997E-2</v>
      </c>
      <c r="X29">
        <v>0.99782469999999901</v>
      </c>
      <c r="Y29">
        <v>1.9385139999999999E-3</v>
      </c>
      <c r="Z29">
        <v>-5.3391210000000003E-4</v>
      </c>
      <c r="AA29">
        <v>0.99999799999999905</v>
      </c>
      <c r="AB29">
        <v>9</v>
      </c>
      <c r="AC29">
        <v>0.68610000000001004</v>
      </c>
      <c r="AD29">
        <v>-7.1509999999999893E-2</v>
      </c>
      <c r="AE29">
        <v>1.4999999999645199E-3</v>
      </c>
      <c r="AF29">
        <v>1.7733754246692199E-3</v>
      </c>
      <c r="AG29">
        <v>-7.1509999999999893E-2</v>
      </c>
      <c r="AH29">
        <v>0.67872617882186004</v>
      </c>
      <c r="AI29">
        <v>96.014424084355596</v>
      </c>
      <c r="AJ29">
        <v>89.850297956255304</v>
      </c>
      <c r="AK29">
        <v>0.68248520187511796</v>
      </c>
    </row>
    <row r="30" spans="1:37" x14ac:dyDescent="0.2">
      <c r="A30" t="str">
        <f>"20200111153611160"</f>
        <v>20200111153611160</v>
      </c>
      <c r="B30" t="str">
        <f>"1578728171153121"</f>
        <v>1578728171153121</v>
      </c>
      <c r="C30" t="s">
        <v>37</v>
      </c>
      <c r="D30">
        <v>5.73</v>
      </c>
      <c r="E30">
        <v>0.52124059999999905</v>
      </c>
      <c r="F30" t="s">
        <v>38</v>
      </c>
      <c r="G30">
        <v>-474.93290000000002</v>
      </c>
      <c r="H30">
        <v>1.0314809999999901</v>
      </c>
      <c r="I30">
        <v>367.5308</v>
      </c>
      <c r="J30">
        <v>-475.64280000000002</v>
      </c>
      <c r="K30">
        <v>1.1027119999999999</v>
      </c>
      <c r="L30">
        <v>367.52929999999998</v>
      </c>
      <c r="M30">
        <v>0.99997999999999998</v>
      </c>
      <c r="N30">
        <v>0</v>
      </c>
      <c r="O30">
        <v>4.944843E-3</v>
      </c>
      <c r="P30">
        <v>0.99738179999999999</v>
      </c>
      <c r="Q30">
        <v>3.7193219999999999E-2</v>
      </c>
      <c r="R30">
        <v>6.2019730000000002E-2</v>
      </c>
      <c r="S30">
        <v>3.017639</v>
      </c>
      <c r="T30">
        <v>-0.2800031</v>
      </c>
      <c r="U30">
        <v>8.7280269999999993E-3</v>
      </c>
      <c r="V30">
        <v>-5.7090420000000003E-2</v>
      </c>
      <c r="W30">
        <v>3.3216389999999998E-2</v>
      </c>
      <c r="X30">
        <v>0.99781629999999999</v>
      </c>
      <c r="Y30">
        <v>2.0226429999999902E-3</v>
      </c>
      <c r="Z30">
        <v>-5.5148099999999896E-4</v>
      </c>
      <c r="AA30">
        <v>0.99999780000000005</v>
      </c>
      <c r="AB30">
        <v>9</v>
      </c>
      <c r="AC30">
        <v>0.70990000000000397</v>
      </c>
      <c r="AD30">
        <v>-7.1231000000000197E-2</v>
      </c>
      <c r="AE30">
        <v>1.5000000000213701E-3</v>
      </c>
      <c r="AF30">
        <v>1.9903508872149201E-3</v>
      </c>
      <c r="AG30">
        <v>-7.1231000000000197E-2</v>
      </c>
      <c r="AH30">
        <v>0.70282274178186099</v>
      </c>
      <c r="AI30">
        <v>95.787136426804906</v>
      </c>
      <c r="AJ30">
        <v>89.837742301222207</v>
      </c>
      <c r="AK30">
        <v>0.70642595027605504</v>
      </c>
    </row>
    <row r="31" spans="1:37" x14ac:dyDescent="0.2">
      <c r="A31" t="str">
        <f>"20200111153611181"</f>
        <v>20200111153611181</v>
      </c>
      <c r="B31" t="str">
        <f>"1578728171172640"</f>
        <v>1578728171172640</v>
      </c>
      <c r="C31" t="s">
        <v>37</v>
      </c>
      <c r="D31">
        <v>5.9827769999999996</v>
      </c>
      <c r="E31">
        <v>0.52122780000000002</v>
      </c>
      <c r="F31" t="s">
        <v>38</v>
      </c>
      <c r="G31">
        <v>-474.8492</v>
      </c>
      <c r="H31">
        <v>1.0292870000000001</v>
      </c>
      <c r="I31">
        <v>367.53140000000002</v>
      </c>
      <c r="J31">
        <v>-475.55619999999999</v>
      </c>
      <c r="K31">
        <v>1.102689</v>
      </c>
      <c r="L31">
        <v>367.53</v>
      </c>
      <c r="M31">
        <v>0.99997860000000005</v>
      </c>
      <c r="N31">
        <v>0</v>
      </c>
      <c r="O31">
        <v>5.1568500000000001E-3</v>
      </c>
      <c r="P31">
        <v>0.99737940000000003</v>
      </c>
      <c r="Q31">
        <v>3.6844729999999999E-2</v>
      </c>
      <c r="R31">
        <v>6.2267389999999999E-2</v>
      </c>
      <c r="S31">
        <v>3.0177309999999999</v>
      </c>
      <c r="T31">
        <v>-0.2795048</v>
      </c>
      <c r="U31">
        <v>9.3688959999999998E-3</v>
      </c>
      <c r="V31">
        <v>-5.7126919999999998E-2</v>
      </c>
      <c r="W31">
        <v>3.2783659999999999E-2</v>
      </c>
      <c r="X31">
        <v>0.99782850000000001</v>
      </c>
      <c r="Y31">
        <v>2.021583E-3</v>
      </c>
      <c r="Z31">
        <v>-5.7003230000000004E-4</v>
      </c>
      <c r="AA31">
        <v>0.99999780000000005</v>
      </c>
      <c r="AB31">
        <v>9</v>
      </c>
      <c r="AC31">
        <v>0.70699999999999297</v>
      </c>
      <c r="AD31">
        <v>-7.3401999999999898E-2</v>
      </c>
      <c r="AE31">
        <v>1.40000000004647E-3</v>
      </c>
      <c r="AF31">
        <v>2.2219904516443201E-3</v>
      </c>
      <c r="AG31">
        <v>-7.3401999999999898E-2</v>
      </c>
      <c r="AH31">
        <v>0.69945841236997996</v>
      </c>
      <c r="AI31">
        <v>95.990730250071095</v>
      </c>
      <c r="AJ31">
        <v>89.8179873964027</v>
      </c>
      <c r="AK31">
        <v>0.70330282345565798</v>
      </c>
    </row>
    <row r="32" spans="1:37" x14ac:dyDescent="0.2">
      <c r="A32" t="str">
        <f>"20200111153611204"</f>
        <v>20200111153611204</v>
      </c>
      <c r="B32" t="str">
        <f>"1578728171193136"</f>
        <v>1578728171193136</v>
      </c>
      <c r="C32" t="s">
        <v>37</v>
      </c>
      <c r="D32">
        <v>5.7243729999999999</v>
      </c>
      <c r="E32">
        <v>0.52121779999999995</v>
      </c>
      <c r="F32" t="s">
        <v>38</v>
      </c>
      <c r="G32">
        <v>-474.76229999999998</v>
      </c>
      <c r="H32">
        <v>1.028888</v>
      </c>
      <c r="I32">
        <v>367.5326</v>
      </c>
      <c r="J32">
        <v>-475.45760000000001</v>
      </c>
      <c r="K32">
        <v>1.102673</v>
      </c>
      <c r="L32">
        <v>367.53070000000002</v>
      </c>
      <c r="M32">
        <v>0.99997689999999995</v>
      </c>
      <c r="N32">
        <v>0</v>
      </c>
      <c r="O32">
        <v>5.3935779999999996E-3</v>
      </c>
      <c r="P32">
        <v>0.99735319999999905</v>
      </c>
      <c r="Q32">
        <v>3.6924079999999998E-2</v>
      </c>
      <c r="R32">
        <v>6.2635079999999996E-2</v>
      </c>
      <c r="S32">
        <v>3.0176090000000002</v>
      </c>
      <c r="T32">
        <v>-0.28059609999999902</v>
      </c>
      <c r="U32">
        <v>1.013184E-2</v>
      </c>
      <c r="V32">
        <v>-5.7258740000000002E-2</v>
      </c>
      <c r="W32">
        <v>3.2775550000000001E-2</v>
      </c>
      <c r="X32">
        <v>0.99782119999999996</v>
      </c>
      <c r="Y32">
        <v>2.0041779999999901E-3</v>
      </c>
      <c r="Z32">
        <v>-5.9342870000000003E-4</v>
      </c>
      <c r="AA32">
        <v>0.99999780000000005</v>
      </c>
      <c r="AB32">
        <v>9</v>
      </c>
      <c r="AC32">
        <v>0.695300000000031</v>
      </c>
      <c r="AD32">
        <v>-7.3784999999999906E-2</v>
      </c>
      <c r="AE32">
        <v>1.8999999999778001E-3</v>
      </c>
      <c r="AF32">
        <v>1.82961070903676E-3</v>
      </c>
      <c r="AG32">
        <v>-7.3784999999999906E-2</v>
      </c>
      <c r="AH32">
        <v>0.68755734591315498</v>
      </c>
      <c r="AI32">
        <v>96.125215144652699</v>
      </c>
      <c r="AJ32">
        <v>89.847534572978105</v>
      </c>
      <c r="AK32">
        <v>0.691507539813912</v>
      </c>
    </row>
    <row r="33" spans="1:37" x14ac:dyDescent="0.2">
      <c r="A33" t="str">
        <f>"20200111153611225"</f>
        <v>20200111153611225</v>
      </c>
      <c r="B33" t="str">
        <f>"1578728171222416"</f>
        <v>1578728171222416</v>
      </c>
      <c r="C33" t="s">
        <v>37</v>
      </c>
      <c r="D33">
        <v>5.7665730000000002</v>
      </c>
      <c r="E33">
        <v>0.52120080000000002</v>
      </c>
      <c r="F33" t="s">
        <v>38</v>
      </c>
      <c r="G33">
        <v>-474.67230000000001</v>
      </c>
      <c r="H33">
        <v>1.0296780000000001</v>
      </c>
      <c r="I33">
        <v>367.53370000000001</v>
      </c>
      <c r="J33">
        <v>-475.35919999999999</v>
      </c>
      <c r="K33">
        <v>1.1026590000000001</v>
      </c>
      <c r="L33">
        <v>367.53149999999999</v>
      </c>
      <c r="M33">
        <v>0.99997530000000001</v>
      </c>
      <c r="N33">
        <v>0</v>
      </c>
      <c r="O33">
        <v>5.6257299999999998E-3</v>
      </c>
      <c r="P33">
        <v>0.99731340000000002</v>
      </c>
      <c r="Q33">
        <v>3.7126920000000001E-2</v>
      </c>
      <c r="R33">
        <v>6.3150090000000006E-2</v>
      </c>
      <c r="S33">
        <v>3.0176699999999999</v>
      </c>
      <c r="T33">
        <v>-0.28052929999999998</v>
      </c>
      <c r="U33">
        <v>1.141357E-2</v>
      </c>
      <c r="V33">
        <v>-5.754302E-2</v>
      </c>
      <c r="W33">
        <v>3.2898520000000001E-2</v>
      </c>
      <c r="X33">
        <v>0.99780079999999904</v>
      </c>
      <c r="Y33">
        <v>1.8115129999999901E-3</v>
      </c>
      <c r="Z33">
        <v>-6.0587469999999997E-4</v>
      </c>
      <c r="AA33">
        <v>0.99999819999999995</v>
      </c>
      <c r="AB33">
        <v>10</v>
      </c>
      <c r="AC33">
        <v>0.68689999999997997</v>
      </c>
      <c r="AD33">
        <v>-7.2980999999999893E-2</v>
      </c>
      <c r="AE33">
        <v>2.2000000000161799E-3</v>
      </c>
      <c r="AF33">
        <v>1.6458047289575201E-3</v>
      </c>
      <c r="AG33">
        <v>-7.2980999999999893E-2</v>
      </c>
      <c r="AH33">
        <v>0.67923411543004297</v>
      </c>
      <c r="AI33">
        <v>96.132657768122499</v>
      </c>
      <c r="AJ33">
        <v>89.861170871445395</v>
      </c>
      <c r="AK33">
        <v>0.68314560570806504</v>
      </c>
    </row>
    <row r="34" spans="1:37" x14ac:dyDescent="0.2">
      <c r="A34" t="str">
        <f>"20200111153611240"</f>
        <v>20200111153611240</v>
      </c>
      <c r="B34" t="str">
        <f>"1578728171233152"</f>
        <v>1578728171233152</v>
      </c>
      <c r="C34" t="s">
        <v>37</v>
      </c>
      <c r="D34">
        <v>5.6961979999999999</v>
      </c>
      <c r="E34">
        <v>0.52119550000000003</v>
      </c>
      <c r="F34" t="s">
        <v>38</v>
      </c>
      <c r="G34">
        <v>-474.57990000000001</v>
      </c>
      <c r="H34">
        <v>1.030332</v>
      </c>
      <c r="I34">
        <v>367.53480000000002</v>
      </c>
      <c r="J34">
        <v>-475.2894</v>
      </c>
      <c r="K34">
        <v>1.102651</v>
      </c>
      <c r="L34">
        <v>367.53199999999998</v>
      </c>
      <c r="M34">
        <v>0.99997409999999998</v>
      </c>
      <c r="N34">
        <v>0</v>
      </c>
      <c r="O34">
        <v>5.7881449999999997E-3</v>
      </c>
      <c r="P34">
        <v>0.99729760000000001</v>
      </c>
      <c r="Q34">
        <v>3.7351799999999998E-2</v>
      </c>
      <c r="R34">
        <v>6.3264199999999896E-2</v>
      </c>
      <c r="S34">
        <v>3.0176699999999999</v>
      </c>
      <c r="T34">
        <v>-0.28011329999999901</v>
      </c>
      <c r="U34">
        <v>1.287842E-2</v>
      </c>
      <c r="V34">
        <v>-5.749464E-2</v>
      </c>
      <c r="W34">
        <v>3.3071030000000001E-2</v>
      </c>
      <c r="X34">
        <v>0.99779789999999902</v>
      </c>
      <c r="Y34">
        <v>1.4893009999999999E-3</v>
      </c>
      <c r="Z34">
        <v>-6.0510030000000001E-4</v>
      </c>
      <c r="AA34">
        <v>0.99999869999999902</v>
      </c>
      <c r="AB34">
        <v>10</v>
      </c>
      <c r="AC34">
        <v>0.70949999999999103</v>
      </c>
      <c r="AD34">
        <v>-7.2318999999999994E-2</v>
      </c>
      <c r="AE34">
        <v>2.8000000000361E-3</v>
      </c>
      <c r="AF34">
        <v>1.2933362779759599E-3</v>
      </c>
      <c r="AG34">
        <v>-7.2318999999999994E-2</v>
      </c>
      <c r="AH34">
        <v>0.702208747092537</v>
      </c>
      <c r="AI34">
        <v>95.880031339498302</v>
      </c>
      <c r="AJ34">
        <v>89.894472082932495</v>
      </c>
      <c r="AK34">
        <v>0.70592410000863304</v>
      </c>
    </row>
    <row r="35" spans="1:37" x14ac:dyDescent="0.2">
      <c r="A35" t="str">
        <f>"20200111153611258"</f>
        <v>20200111153611258</v>
      </c>
      <c r="B35" t="str">
        <f>"1578728171252671"</f>
        <v>1578728171252671</v>
      </c>
      <c r="C35" t="s">
        <v>37</v>
      </c>
      <c r="D35">
        <v>5.9801219999999997</v>
      </c>
      <c r="E35">
        <v>0.52116099999999999</v>
      </c>
      <c r="F35" t="s">
        <v>38</v>
      </c>
      <c r="G35">
        <v>-474.4862</v>
      </c>
      <c r="H35">
        <v>1.028311</v>
      </c>
      <c r="I35">
        <v>367.53530000000001</v>
      </c>
      <c r="J35">
        <v>-475.20310000000001</v>
      </c>
      <c r="K35">
        <v>1.1026400000000001</v>
      </c>
      <c r="L35">
        <v>367.53269999999998</v>
      </c>
      <c r="M35">
        <v>0.99997259999999999</v>
      </c>
      <c r="N35">
        <v>0</v>
      </c>
      <c r="O35">
        <v>5.9865389999999999E-3</v>
      </c>
      <c r="P35">
        <v>0.99727949999999999</v>
      </c>
      <c r="Q35">
        <v>3.7777140000000001E-2</v>
      </c>
      <c r="R35">
        <v>6.3296909999999998E-2</v>
      </c>
      <c r="S35">
        <v>3.017792</v>
      </c>
      <c r="T35">
        <v>-0.27942529999999999</v>
      </c>
      <c r="U35">
        <v>1.3092039999999999E-2</v>
      </c>
      <c r="V35">
        <v>-5.7330279999999997E-2</v>
      </c>
      <c r="W35">
        <v>3.3435140000000002E-2</v>
      </c>
      <c r="X35">
        <v>0.99779519999999899</v>
      </c>
      <c r="Y35">
        <v>1.615855E-3</v>
      </c>
      <c r="Z35">
        <v>-6.2777310000000002E-4</v>
      </c>
      <c r="AA35">
        <v>0.99999850000000001</v>
      </c>
      <c r="AB35">
        <v>10</v>
      </c>
      <c r="AC35">
        <v>0.71690000000000897</v>
      </c>
      <c r="AD35">
        <v>-7.4329000000000006E-2</v>
      </c>
      <c r="AE35">
        <v>2.6000000000294598E-3</v>
      </c>
      <c r="AF35">
        <v>1.67384387800289E-3</v>
      </c>
      <c r="AG35">
        <v>-7.4329000000000006E-2</v>
      </c>
      <c r="AH35">
        <v>0.70927823646955901</v>
      </c>
      <c r="AI35">
        <v>95.9824735710787</v>
      </c>
      <c r="AJ35">
        <v>89.864786473340502</v>
      </c>
      <c r="AK35">
        <v>0.71316422984029104</v>
      </c>
    </row>
    <row r="36" spans="1:37" x14ac:dyDescent="0.2">
      <c r="A36" t="str">
        <f>"20200111153611280"</f>
        <v>20200111153611280</v>
      </c>
      <c r="B36" t="str">
        <f>"1578728171273169"</f>
        <v>1578728171273169</v>
      </c>
      <c r="C36" t="s">
        <v>37</v>
      </c>
      <c r="D36">
        <v>6.0369429999999999</v>
      </c>
      <c r="E36">
        <v>0.52117219999999997</v>
      </c>
      <c r="F36" t="s">
        <v>38</v>
      </c>
      <c r="G36">
        <v>-474.48250000000002</v>
      </c>
      <c r="H36">
        <v>1.036197</v>
      </c>
      <c r="I36">
        <v>367.53590000000003</v>
      </c>
      <c r="J36">
        <v>-475.09789999999998</v>
      </c>
      <c r="K36">
        <v>1.1026309999999999</v>
      </c>
      <c r="L36">
        <v>367.53359999999998</v>
      </c>
      <c r="M36">
        <v>0.99997099999999906</v>
      </c>
      <c r="N36">
        <v>0</v>
      </c>
      <c r="O36">
        <v>6.2250279999999996E-3</v>
      </c>
      <c r="P36">
        <v>0.99724559999999995</v>
      </c>
      <c r="Q36">
        <v>3.8368230000000003E-2</v>
      </c>
      <c r="R36">
        <v>6.3479129999999995E-2</v>
      </c>
      <c r="S36">
        <v>3.0178529999999899</v>
      </c>
      <c r="T36">
        <v>-0.27839930000000002</v>
      </c>
      <c r="U36">
        <v>1.382446E-2</v>
      </c>
      <c r="V36">
        <v>-5.7275029999999998E-2</v>
      </c>
      <c r="W36">
        <v>3.3958410000000001E-2</v>
      </c>
      <c r="X36">
        <v>0.99778069999999897</v>
      </c>
      <c r="Y36">
        <v>1.6109939999999999E-3</v>
      </c>
      <c r="Z36">
        <v>-6.4719470000000005E-4</v>
      </c>
      <c r="AA36">
        <v>0.99999850000000001</v>
      </c>
      <c r="AB36">
        <v>10</v>
      </c>
      <c r="AC36">
        <v>0.61539999999996498</v>
      </c>
      <c r="AD36">
        <v>-6.6433999999999799E-2</v>
      </c>
      <c r="AE36">
        <v>2.3000000000479299E-3</v>
      </c>
      <c r="AF36">
        <v>1.51332796096754E-3</v>
      </c>
      <c r="AG36">
        <v>-6.6433999999999799E-2</v>
      </c>
      <c r="AH36">
        <v>0.60831335888548399</v>
      </c>
      <c r="AI36">
        <v>96.232562129405906</v>
      </c>
      <c r="AJ36">
        <v>89.857463057413895</v>
      </c>
      <c r="AK36">
        <v>0.61193211152549998</v>
      </c>
    </row>
    <row r="37" spans="1:37" x14ac:dyDescent="0.2">
      <c r="A37" t="str">
        <f>"20200111153611304"</f>
        <v>20200111153611304</v>
      </c>
      <c r="B37" t="str">
        <f>"1578728171292687"</f>
        <v>1578728171292687</v>
      </c>
      <c r="C37" t="s">
        <v>37</v>
      </c>
      <c r="D37">
        <v>5.6851649999999996</v>
      </c>
      <c r="E37">
        <v>0.52117729999999995</v>
      </c>
      <c r="F37" t="s">
        <v>38</v>
      </c>
      <c r="G37">
        <v>-474.28960000000001</v>
      </c>
      <c r="H37">
        <v>1.0285070000000001</v>
      </c>
      <c r="I37">
        <v>367.53730000000002</v>
      </c>
      <c r="J37">
        <v>-474.98070000000001</v>
      </c>
      <c r="K37">
        <v>1.1026209999999901</v>
      </c>
      <c r="L37">
        <v>367.53469999999999</v>
      </c>
      <c r="M37">
        <v>0.99996890000000005</v>
      </c>
      <c r="N37">
        <v>0</v>
      </c>
      <c r="O37">
        <v>6.4863380000000003E-3</v>
      </c>
      <c r="P37">
        <v>0.99722149999999998</v>
      </c>
      <c r="Q37">
        <v>3.8847680000000002E-2</v>
      </c>
      <c r="R37">
        <v>6.3561060000000003E-2</v>
      </c>
      <c r="S37">
        <v>3.0180359999999999</v>
      </c>
      <c r="T37">
        <v>-0.27676869999999998</v>
      </c>
      <c r="U37">
        <v>1.394653E-2</v>
      </c>
      <c r="V37">
        <v>-5.7096279999999999E-2</v>
      </c>
      <c r="W37">
        <v>3.436968E-2</v>
      </c>
      <c r="X37">
        <v>0.99777689999999997</v>
      </c>
      <c r="Y37">
        <v>1.83052E-3</v>
      </c>
      <c r="Z37">
        <v>-6.7733889999999997E-4</v>
      </c>
      <c r="AA37">
        <v>0.9999981</v>
      </c>
      <c r="AB37">
        <v>11</v>
      </c>
      <c r="AC37">
        <v>0.69110000000000504</v>
      </c>
      <c r="AD37">
        <v>-7.4113999999999694E-2</v>
      </c>
      <c r="AE37">
        <v>2.6000000000294598E-3</v>
      </c>
      <c r="AF37">
        <v>1.8614011594477299E-3</v>
      </c>
      <c r="AG37">
        <v>-7.4113999999999694E-2</v>
      </c>
      <c r="AH37">
        <v>0.68324474489533704</v>
      </c>
      <c r="AI37">
        <v>96.190849290839495</v>
      </c>
      <c r="AJ37">
        <v>89.843906349286897</v>
      </c>
      <c r="AK37">
        <v>0.68725521550394197</v>
      </c>
    </row>
    <row r="38" spans="1:37" x14ac:dyDescent="0.2">
      <c r="A38" t="str">
        <f>"20200111153611325"</f>
        <v>20200111153611325</v>
      </c>
      <c r="B38" t="str">
        <f>"1578728171313199"</f>
        <v>1578728171313199</v>
      </c>
      <c r="C38" t="s">
        <v>37</v>
      </c>
      <c r="D38">
        <v>5.6865649999999999</v>
      </c>
      <c r="E38">
        <v>0.52115909999999999</v>
      </c>
      <c r="F38" t="s">
        <v>38</v>
      </c>
      <c r="G38">
        <v>-474.18669999999997</v>
      </c>
      <c r="H38">
        <v>1.030224</v>
      </c>
      <c r="I38">
        <v>367.53809999999999</v>
      </c>
      <c r="J38">
        <v>-474.8716</v>
      </c>
      <c r="K38">
        <v>1.1026100000000001</v>
      </c>
      <c r="L38">
        <v>367.53559999999999</v>
      </c>
      <c r="M38">
        <v>0.99996719999999895</v>
      </c>
      <c r="N38">
        <v>0</v>
      </c>
      <c r="O38">
        <v>6.7254380000000002E-3</v>
      </c>
      <c r="P38">
        <v>0.99720229999999999</v>
      </c>
      <c r="Q38">
        <v>3.9314670000000003E-2</v>
      </c>
      <c r="R38">
        <v>6.3578319999999994E-2</v>
      </c>
      <c r="S38">
        <v>3.01821899999999</v>
      </c>
      <c r="T38">
        <v>-0.27537659999999903</v>
      </c>
      <c r="U38">
        <v>1.4251710000000001E-2</v>
      </c>
      <c r="V38">
        <v>-5.6875660000000001E-2</v>
      </c>
      <c r="W38">
        <v>3.4779030000000002E-2</v>
      </c>
      <c r="X38">
        <v>0.99777530000000003</v>
      </c>
      <c r="Y38">
        <v>1.9675909999999999E-3</v>
      </c>
      <c r="Z38">
        <v>-7.0191459999999998E-4</v>
      </c>
      <c r="AA38">
        <v>0.99999780000000005</v>
      </c>
      <c r="AB38">
        <v>11</v>
      </c>
      <c r="AC38">
        <v>0.68490000000002704</v>
      </c>
      <c r="AD38">
        <v>-7.2386000000000006E-2</v>
      </c>
      <c r="AE38">
        <v>2.4999999999977202E-3</v>
      </c>
      <c r="AF38">
        <v>2.08308806467107E-3</v>
      </c>
      <c r="AG38">
        <v>-7.2386000000000006E-2</v>
      </c>
      <c r="AH38">
        <v>0.67733555759913799</v>
      </c>
      <c r="AI38">
        <v>96.099947181110593</v>
      </c>
      <c r="AJ38">
        <v>89.823792244718007</v>
      </c>
      <c r="AK38">
        <v>0.68119566193570302</v>
      </c>
    </row>
    <row r="39" spans="1:37" x14ac:dyDescent="0.2">
      <c r="A39" t="str">
        <f>"20200111153611347"</f>
        <v>20200111153611347</v>
      </c>
      <c r="B39" t="str">
        <f>"1578728171342464"</f>
        <v>1578728171342464</v>
      </c>
      <c r="C39" t="s">
        <v>37</v>
      </c>
      <c r="D39">
        <v>5.7237029999999898</v>
      </c>
      <c r="E39">
        <v>0.52113580000000004</v>
      </c>
      <c r="F39" t="s">
        <v>38</v>
      </c>
      <c r="G39">
        <v>-474.08190000000002</v>
      </c>
      <c r="H39">
        <v>1.0308820000000001</v>
      </c>
      <c r="I39">
        <v>367.53919999999999</v>
      </c>
      <c r="J39">
        <v>-474.75299999999999</v>
      </c>
      <c r="K39">
        <v>1.1025989999999899</v>
      </c>
      <c r="L39">
        <v>367.5367</v>
      </c>
      <c r="M39">
        <v>0.9999652</v>
      </c>
      <c r="N39">
        <v>0</v>
      </c>
      <c r="O39">
        <v>6.9823609999999899E-3</v>
      </c>
      <c r="P39">
        <v>0.99720679999999995</v>
      </c>
      <c r="Q39">
        <v>3.9580329999999997E-2</v>
      </c>
      <c r="R39">
        <v>6.3344429999999993E-2</v>
      </c>
      <c r="S39">
        <v>3.0182799999999999</v>
      </c>
      <c r="T39">
        <v>-0.27436569999999999</v>
      </c>
      <c r="U39">
        <v>1.4709470000000001E-2</v>
      </c>
      <c r="V39">
        <v>-5.6386150000000003E-2</v>
      </c>
      <c r="W39">
        <v>3.498776E-2</v>
      </c>
      <c r="X39">
        <v>0.99779580000000001</v>
      </c>
      <c r="Y39">
        <v>2.0717359999999998E-3</v>
      </c>
      <c r="Z39">
        <v>-7.2736399999999998E-4</v>
      </c>
      <c r="AA39">
        <v>0.99999760000000004</v>
      </c>
      <c r="AB39">
        <v>11</v>
      </c>
      <c r="AC39">
        <v>0.67110000000002401</v>
      </c>
      <c r="AD39">
        <v>-7.1716999999999795E-2</v>
      </c>
      <c r="AE39">
        <v>2.4999999999977202E-3</v>
      </c>
      <c r="AF39">
        <v>2.16129044929953E-3</v>
      </c>
      <c r="AG39">
        <v>-7.1716999999999795E-2</v>
      </c>
      <c r="AH39">
        <v>0.66352369725207305</v>
      </c>
      <c r="AI39">
        <v>96.168837431955396</v>
      </c>
      <c r="AJ39">
        <v>89.813371574204396</v>
      </c>
      <c r="AK39">
        <v>0.66739171112658202</v>
      </c>
    </row>
    <row r="40" spans="1:37" x14ac:dyDescent="0.2">
      <c r="A40" t="str">
        <f>"20200111153611370"</f>
        <v>20200111153611370</v>
      </c>
      <c r="B40" t="str">
        <f>"1578728171362964"</f>
        <v>1578728171362964</v>
      </c>
      <c r="C40" t="s">
        <v>37</v>
      </c>
      <c r="D40">
        <v>5.6891360000000004</v>
      </c>
      <c r="E40">
        <v>0.52015290000000003</v>
      </c>
      <c r="F40" t="s">
        <v>38</v>
      </c>
      <c r="G40">
        <v>-473.97430000000003</v>
      </c>
      <c r="H40">
        <v>1.032065</v>
      </c>
      <c r="I40">
        <v>367.53989999999999</v>
      </c>
      <c r="J40">
        <v>-474.62979999999999</v>
      </c>
      <c r="K40">
        <v>1.102579</v>
      </c>
      <c r="L40">
        <v>367.53789999999998</v>
      </c>
      <c r="M40">
        <v>0.99996309999999999</v>
      </c>
      <c r="N40">
        <v>0</v>
      </c>
      <c r="O40">
        <v>7.2447730000000004E-3</v>
      </c>
      <c r="P40">
        <v>0.99722579999999905</v>
      </c>
      <c r="Q40">
        <v>3.928719E-2</v>
      </c>
      <c r="R40">
        <v>6.3227329999999998E-2</v>
      </c>
      <c r="S40">
        <v>3.0183409999999999</v>
      </c>
      <c r="T40">
        <v>-0.27374959999999998</v>
      </c>
      <c r="U40">
        <v>1.4129640000000001E-2</v>
      </c>
      <c r="V40">
        <v>-5.6006670000000001E-2</v>
      </c>
      <c r="W40">
        <v>3.4642260000000001E-2</v>
      </c>
      <c r="X40">
        <v>0.99782919999999997</v>
      </c>
      <c r="Y40">
        <v>2.5235940000000001E-3</v>
      </c>
      <c r="Z40">
        <v>-7.6992229999999905E-4</v>
      </c>
      <c r="AA40">
        <v>0.99999649999999995</v>
      </c>
      <c r="AB40">
        <v>12</v>
      </c>
      <c r="AC40">
        <v>0.65549999999996</v>
      </c>
      <c r="AD40">
        <v>-7.0514000000000104E-2</v>
      </c>
      <c r="AE40">
        <v>2.0000000000095402E-3</v>
      </c>
      <c r="AF40">
        <v>2.7176041979038701E-3</v>
      </c>
      <c r="AG40">
        <v>-7.0514000000000104E-2</v>
      </c>
      <c r="AH40">
        <v>0.64799876841198401</v>
      </c>
      <c r="AI40">
        <v>96.210327901244895</v>
      </c>
      <c r="AJ40">
        <v>89.759711984572903</v>
      </c>
      <c r="AK40">
        <v>0.651829742672137</v>
      </c>
    </row>
    <row r="41" spans="1:37" x14ac:dyDescent="0.2">
      <c r="A41" t="str">
        <f>"20200111153611393"</f>
        <v>20200111153611393</v>
      </c>
      <c r="B41" t="str">
        <f>"1578728171382483"</f>
        <v>1578728171382483</v>
      </c>
      <c r="C41" t="s">
        <v>37</v>
      </c>
      <c r="D41">
        <v>5.7563500000000003</v>
      </c>
      <c r="E41">
        <v>0.51926289999999997</v>
      </c>
      <c r="F41" t="s">
        <v>38</v>
      </c>
      <c r="G41">
        <v>-473.8734</v>
      </c>
      <c r="H41">
        <v>1.0131920000000001</v>
      </c>
      <c r="I41">
        <v>367.54270000000002</v>
      </c>
      <c r="J41">
        <v>-474.50540000000001</v>
      </c>
      <c r="K41">
        <v>1.1025659999999999</v>
      </c>
      <c r="L41">
        <v>367.53910000000002</v>
      </c>
      <c r="M41">
        <v>0.99996079999999998</v>
      </c>
      <c r="N41">
        <v>0</v>
      </c>
      <c r="O41">
        <v>7.5054730000000004E-3</v>
      </c>
      <c r="P41">
        <v>0.997196999999999</v>
      </c>
      <c r="Q41">
        <v>3.9014890000000003E-2</v>
      </c>
      <c r="R41">
        <v>6.3842540000000003E-2</v>
      </c>
      <c r="S41">
        <v>3.02121</v>
      </c>
      <c r="T41">
        <v>-0.35712080000000002</v>
      </c>
      <c r="U41">
        <v>1.9805909999999999E-2</v>
      </c>
      <c r="V41">
        <v>-5.6362229999999999E-2</v>
      </c>
      <c r="W41">
        <v>3.4322980000000003E-2</v>
      </c>
      <c r="X41">
        <v>0.99782029999999999</v>
      </c>
      <c r="Y41">
        <v>8.916417E-4</v>
      </c>
      <c r="Z41">
        <v>-9.36607E-4</v>
      </c>
      <c r="AA41">
        <v>0.99999919999999998</v>
      </c>
      <c r="AB41">
        <v>12</v>
      </c>
      <c r="AC41">
        <v>0.632000000000005</v>
      </c>
      <c r="AD41">
        <v>-8.9373999999999801E-2</v>
      </c>
      <c r="AE41">
        <v>3.6000000000058199E-3</v>
      </c>
      <c r="AF41">
        <v>1.12119172290476E-3</v>
      </c>
      <c r="AG41">
        <v>-8.9373999999999801E-2</v>
      </c>
      <c r="AH41">
        <v>0.61961844315817105</v>
      </c>
      <c r="AI41">
        <v>98.207742619632796</v>
      </c>
      <c r="AJ41">
        <v>89.896324126008594</v>
      </c>
      <c r="AK41">
        <v>0.62603193532649304</v>
      </c>
    </row>
    <row r="42" spans="1:37" x14ac:dyDescent="0.2">
      <c r="A42" t="str">
        <f>"20200111153611414"</f>
        <v>20200111153611414</v>
      </c>
      <c r="B42" t="str">
        <f>"1578728171402982"</f>
        <v>1578728171402982</v>
      </c>
      <c r="C42" t="s">
        <v>37</v>
      </c>
      <c r="D42">
        <v>5.6785629999999996</v>
      </c>
      <c r="E42">
        <v>0.51056029999999997</v>
      </c>
      <c r="F42" t="s">
        <v>38</v>
      </c>
      <c r="G42">
        <v>-473.7604</v>
      </c>
      <c r="H42">
        <v>1.015166</v>
      </c>
      <c r="I42">
        <v>367.54559999999998</v>
      </c>
      <c r="J42">
        <v>-474.38099999999997</v>
      </c>
      <c r="K42">
        <v>1.1025590000000001</v>
      </c>
      <c r="L42">
        <v>367.5403</v>
      </c>
      <c r="M42">
        <v>0.99995879999999904</v>
      </c>
      <c r="N42">
        <v>0</v>
      </c>
      <c r="O42">
        <v>7.7602890000000001E-3</v>
      </c>
      <c r="P42">
        <v>0.99715499999999901</v>
      </c>
      <c r="Q42">
        <v>3.8691660000000003E-2</v>
      </c>
      <c r="R42">
        <v>6.4693180000000003E-2</v>
      </c>
      <c r="S42">
        <v>3.0204469999999999</v>
      </c>
      <c r="T42">
        <v>-0.35473640000000001</v>
      </c>
      <c r="U42">
        <v>2.8533940000000001E-2</v>
      </c>
      <c r="V42">
        <v>-5.6959580000000003E-2</v>
      </c>
      <c r="W42">
        <v>3.3958879999999997E-2</v>
      </c>
      <c r="X42">
        <v>0.99779879999999999</v>
      </c>
      <c r="Y42">
        <v>-1.7276489999999999E-3</v>
      </c>
      <c r="Z42">
        <v>-8.0715859999999997E-4</v>
      </c>
      <c r="AA42">
        <v>0.99999819999999995</v>
      </c>
      <c r="AB42">
        <v>12</v>
      </c>
      <c r="AC42">
        <v>0.62059999999996696</v>
      </c>
      <c r="AD42">
        <v>-8.7392999999999998E-2</v>
      </c>
      <c r="AE42">
        <v>5.2999999999769898E-3</v>
      </c>
      <c r="AF42">
        <v>-4.7434590474185499E-4</v>
      </c>
      <c r="AG42">
        <v>-8.7392999999999998E-2</v>
      </c>
      <c r="AH42">
        <v>0.60855547186320003</v>
      </c>
      <c r="AI42">
        <v>98.172215938073904</v>
      </c>
      <c r="AJ42">
        <v>90.044659877568293</v>
      </c>
      <c r="AK42">
        <v>0.61479876690481305</v>
      </c>
    </row>
    <row r="43" spans="1:37" x14ac:dyDescent="0.2">
      <c r="A43" t="str">
        <f>"20200111153611429"</f>
        <v>20200111153611429</v>
      </c>
      <c r="B43" t="str">
        <f>"1578728171422500"</f>
        <v>1578728171422500</v>
      </c>
      <c r="C43" t="s">
        <v>37</v>
      </c>
      <c r="D43">
        <v>5.6884420000000002</v>
      </c>
      <c r="E43">
        <v>0.50863170000000002</v>
      </c>
      <c r="F43" t="s">
        <v>38</v>
      </c>
      <c r="G43">
        <v>-473.63920000000002</v>
      </c>
      <c r="H43">
        <v>1.029012</v>
      </c>
      <c r="I43">
        <v>367.565</v>
      </c>
      <c r="J43">
        <v>-474.29820000000001</v>
      </c>
      <c r="K43">
        <v>1.1025510000000001</v>
      </c>
      <c r="L43">
        <v>367.54109999999997</v>
      </c>
      <c r="M43">
        <v>0.9999574</v>
      </c>
      <c r="N43">
        <v>0</v>
      </c>
      <c r="O43">
        <v>7.9256269999999993E-3</v>
      </c>
      <c r="P43">
        <v>0.99712179999999995</v>
      </c>
      <c r="Q43">
        <v>3.8652980000000003E-2</v>
      </c>
      <c r="R43">
        <v>6.5226880000000001E-2</v>
      </c>
      <c r="S43">
        <v>3.01355</v>
      </c>
      <c r="T43">
        <v>-0.29888930000000002</v>
      </c>
      <c r="U43">
        <v>0.10122680000000001</v>
      </c>
      <c r="V43">
        <v>-5.7328440000000001E-2</v>
      </c>
      <c r="W43">
        <v>3.3896460000000003E-2</v>
      </c>
      <c r="X43">
        <v>0.99777979999999999</v>
      </c>
      <c r="Y43">
        <v>-2.5562890000000001E-2</v>
      </c>
      <c r="Z43">
        <v>4.8031920000000001E-4</v>
      </c>
      <c r="AA43">
        <v>0.99967309999999998</v>
      </c>
      <c r="AB43">
        <v>13</v>
      </c>
      <c r="AC43">
        <v>0.65899999999999104</v>
      </c>
      <c r="AD43">
        <v>-7.3538999999999993E-2</v>
      </c>
      <c r="AE43">
        <v>2.3900000000026001E-2</v>
      </c>
      <c r="AF43">
        <v>-1.84467914896904E-2</v>
      </c>
      <c r="AG43">
        <v>-7.3538999999999993E-2</v>
      </c>
      <c r="AH43">
        <v>0.65107175454379196</v>
      </c>
      <c r="AI43">
        <v>96.441721706151398</v>
      </c>
      <c r="AJ43">
        <v>91.622924983684797</v>
      </c>
      <c r="AK43">
        <v>0.65547135574485305</v>
      </c>
    </row>
    <row r="44" spans="1:37" x14ac:dyDescent="0.2">
      <c r="A44" t="str">
        <f>"20200111153611449"</f>
        <v>20200111153611449</v>
      </c>
      <c r="B44" t="str">
        <f>"1578728171442997"</f>
        <v>1578728171442997</v>
      </c>
      <c r="C44" t="s">
        <v>37</v>
      </c>
      <c r="D44">
        <v>5.7267570000000001</v>
      </c>
      <c r="E44">
        <v>0.50831159999999997</v>
      </c>
      <c r="F44" t="s">
        <v>39</v>
      </c>
      <c r="G44">
        <v>-446.88889999999998</v>
      </c>
      <c r="H44" s="1">
        <v>-1.622288E-6</v>
      </c>
      <c r="I44">
        <v>368.65129999999999</v>
      </c>
      <c r="J44">
        <v>-474.17739999999998</v>
      </c>
      <c r="K44">
        <v>1.1025430000000001</v>
      </c>
      <c r="L44">
        <v>367.54239999999999</v>
      </c>
      <c r="M44">
        <v>0.99995519999999904</v>
      </c>
      <c r="N44">
        <v>0</v>
      </c>
      <c r="O44">
        <v>8.1597969999999999E-3</v>
      </c>
      <c r="P44">
        <v>0.99704999999999999</v>
      </c>
      <c r="Q44">
        <v>3.8148929999999998E-2</v>
      </c>
      <c r="R44">
        <v>6.6601859999999999E-2</v>
      </c>
      <c r="S44">
        <v>3.005341</v>
      </c>
      <c r="T44">
        <v>-0.1208914</v>
      </c>
      <c r="U44">
        <v>0.1217346</v>
      </c>
      <c r="V44">
        <v>-5.8469889999999997E-2</v>
      </c>
      <c r="W44">
        <v>3.336223E-2</v>
      </c>
      <c r="X44">
        <v>0.99773159999999905</v>
      </c>
      <c r="Y44">
        <v>-3.229887E-2</v>
      </c>
      <c r="Z44">
        <v>3.2113839999999997E-4</v>
      </c>
      <c r="AA44">
        <v>0.99947819999999898</v>
      </c>
      <c r="AB44">
        <v>13</v>
      </c>
      <c r="AC44">
        <v>27.288499999999999</v>
      </c>
      <c r="AD44">
        <v>-1.102544622288</v>
      </c>
      <c r="AE44">
        <v>1.1089</v>
      </c>
      <c r="AF44">
        <v>-0.88474999279339706</v>
      </c>
      <c r="AG44">
        <v>-1.102544622288</v>
      </c>
      <c r="AH44">
        <v>27.252226148822899</v>
      </c>
      <c r="AI44">
        <v>92.3155360272698</v>
      </c>
      <c r="AJ44">
        <v>91.859467982029898</v>
      </c>
      <c r="AK44">
        <v>27.2888661776277</v>
      </c>
    </row>
    <row r="45" spans="1:37" x14ac:dyDescent="0.2">
      <c r="A45" t="str">
        <f>"20200111153611471"</f>
        <v>20200111153611471</v>
      </c>
      <c r="B45" t="str">
        <f>"1578728171463323"</f>
        <v>1578728171463323</v>
      </c>
      <c r="C45" t="s">
        <v>37</v>
      </c>
      <c r="D45">
        <v>6.0211290000000002</v>
      </c>
      <c r="E45">
        <v>0.50809510000000002</v>
      </c>
      <c r="F45" t="s">
        <v>39</v>
      </c>
      <c r="G45">
        <v>-445.88819999999998</v>
      </c>
      <c r="H45" s="1">
        <v>-2.0773480000000001E-6</v>
      </c>
      <c r="I45">
        <v>368.7525</v>
      </c>
      <c r="J45">
        <v>-474.04930000000002</v>
      </c>
      <c r="K45">
        <v>1.102535</v>
      </c>
      <c r="L45">
        <v>367.5437</v>
      </c>
      <c r="M45">
        <v>0.99995319999999899</v>
      </c>
      <c r="N45">
        <v>0</v>
      </c>
      <c r="O45">
        <v>8.3967880000000005E-3</v>
      </c>
      <c r="P45">
        <v>0.99695630000000002</v>
      </c>
      <c r="Q45">
        <v>3.793506E-2</v>
      </c>
      <c r="R45">
        <v>6.8111459999999999E-2</v>
      </c>
      <c r="S45">
        <v>3.0047609999999998</v>
      </c>
      <c r="T45">
        <v>-0.11710810000000001</v>
      </c>
      <c r="U45">
        <v>0.12853999999999999</v>
      </c>
      <c r="V45">
        <v>-5.9743440000000002E-2</v>
      </c>
      <c r="W45">
        <v>3.3122510000000001E-2</v>
      </c>
      <c r="X45">
        <v>0.99766409999999905</v>
      </c>
      <c r="Y45">
        <v>-3.432934E-2</v>
      </c>
      <c r="Z45">
        <v>3.4144919999999998E-4</v>
      </c>
      <c r="AA45">
        <v>0.99941049999999998</v>
      </c>
      <c r="AB45">
        <v>13</v>
      </c>
      <c r="AC45">
        <v>28.161100000000001</v>
      </c>
      <c r="AD45">
        <v>-1.1025370773480001</v>
      </c>
      <c r="AE45">
        <v>1.2087999999999901</v>
      </c>
      <c r="AF45">
        <v>-0.97080654631306895</v>
      </c>
      <c r="AG45">
        <v>-1.1025370773480001</v>
      </c>
      <c r="AH45">
        <v>28.127223066394698</v>
      </c>
      <c r="AI45">
        <v>92.243408863737002</v>
      </c>
      <c r="AJ45">
        <v>91.976769836514706</v>
      </c>
      <c r="AK45">
        <v>28.165559301814302</v>
      </c>
    </row>
    <row r="46" spans="1:37" x14ac:dyDescent="0.2">
      <c r="A46" t="str">
        <f>"20200111153611495"</f>
        <v>20200111153611495</v>
      </c>
      <c r="B46" t="str">
        <f>"1578728171482845"</f>
        <v>1578728171482845</v>
      </c>
      <c r="C46" t="s">
        <v>37</v>
      </c>
      <c r="D46">
        <v>5.7124879999999996</v>
      </c>
      <c r="E46">
        <v>0.50830730000000002</v>
      </c>
      <c r="F46" t="s">
        <v>39</v>
      </c>
      <c r="G46">
        <v>-444.1001</v>
      </c>
      <c r="H46" s="1">
        <v>-2.8986710000000001E-6</v>
      </c>
      <c r="I46">
        <v>368.88749999999999</v>
      </c>
      <c r="J46">
        <v>-473.89920000000001</v>
      </c>
      <c r="K46">
        <v>1.102525</v>
      </c>
      <c r="L46">
        <v>367.54520000000002</v>
      </c>
      <c r="M46">
        <v>0.99995089999999998</v>
      </c>
      <c r="N46">
        <v>0</v>
      </c>
      <c r="O46">
        <v>8.6566270000000001E-3</v>
      </c>
      <c r="P46">
        <v>0.99683349999999904</v>
      </c>
      <c r="Q46">
        <v>3.8170620000000002E-2</v>
      </c>
      <c r="R46">
        <v>6.975626E-2</v>
      </c>
      <c r="S46">
        <v>3.0041500000000001</v>
      </c>
      <c r="T46">
        <v>-0.11059380000000001</v>
      </c>
      <c r="U46">
        <v>0.1347961</v>
      </c>
      <c r="V46">
        <v>-6.1130160000000003E-2</v>
      </c>
      <c r="W46">
        <v>3.3336009999999999E-2</v>
      </c>
      <c r="X46">
        <v>0.99757299999999904</v>
      </c>
      <c r="Y46">
        <v>-3.6156580000000001E-2</v>
      </c>
      <c r="Z46">
        <v>3.465691E-4</v>
      </c>
      <c r="AA46">
        <v>0.99934609999999902</v>
      </c>
      <c r="AB46">
        <v>13</v>
      </c>
      <c r="AC46">
        <v>29.799099999999999</v>
      </c>
      <c r="AD46">
        <v>-1.1025278986710001</v>
      </c>
      <c r="AE46">
        <v>1.3422999999999601</v>
      </c>
      <c r="AF46">
        <v>-1.0828077519906001</v>
      </c>
      <c r="AG46">
        <v>-1.1025278986710001</v>
      </c>
      <c r="AH46">
        <v>29.768935062501601</v>
      </c>
      <c r="AI46">
        <v>92.119647405602507</v>
      </c>
      <c r="AJ46">
        <v>92.083143887364301</v>
      </c>
      <c r="AK46">
        <v>29.8090176817445</v>
      </c>
    </row>
    <row r="47" spans="1:37" x14ac:dyDescent="0.2">
      <c r="A47" t="str">
        <f>"20200111153611516"</f>
        <v>20200111153611516</v>
      </c>
      <c r="B47" t="str">
        <f>"1578728171513098"</f>
        <v>1578728171513098</v>
      </c>
      <c r="C47" t="s">
        <v>37</v>
      </c>
      <c r="D47">
        <v>5.7358989999999999</v>
      </c>
      <c r="E47">
        <v>0.50885950000000002</v>
      </c>
      <c r="F47" t="s">
        <v>39</v>
      </c>
      <c r="G47">
        <v>-443.76150000000001</v>
      </c>
      <c r="H47" s="1">
        <v>-3.0514740000000001E-6</v>
      </c>
      <c r="I47">
        <v>368.92849999999999</v>
      </c>
      <c r="J47">
        <v>-473.76440000000002</v>
      </c>
      <c r="K47">
        <v>1.102519</v>
      </c>
      <c r="L47">
        <v>367.54669999999999</v>
      </c>
      <c r="M47">
        <v>0.99994889999999903</v>
      </c>
      <c r="N47">
        <v>0</v>
      </c>
      <c r="O47">
        <v>8.8706050000000002E-3</v>
      </c>
      <c r="P47">
        <v>0.99675369999999996</v>
      </c>
      <c r="Q47">
        <v>3.821041E-2</v>
      </c>
      <c r="R47">
        <v>7.0867219999999995E-2</v>
      </c>
      <c r="S47">
        <v>3.004089</v>
      </c>
      <c r="T47">
        <v>-0.1098986</v>
      </c>
      <c r="U47">
        <v>0.13787839999999901</v>
      </c>
      <c r="V47">
        <v>-6.2027690000000003E-2</v>
      </c>
      <c r="W47">
        <v>3.3362699999999898E-2</v>
      </c>
      <c r="X47">
        <v>0.99751669999999903</v>
      </c>
      <c r="Y47">
        <v>-3.696671E-2</v>
      </c>
      <c r="Z47">
        <v>3.5137679999999998E-4</v>
      </c>
      <c r="AA47">
        <v>0.99931650000000005</v>
      </c>
      <c r="AB47">
        <v>14</v>
      </c>
      <c r="AC47">
        <v>30.0029</v>
      </c>
      <c r="AD47">
        <v>-1.102522051474</v>
      </c>
      <c r="AE47">
        <v>1.3817999999999899</v>
      </c>
      <c r="AF47">
        <v>-1.11409738590367</v>
      </c>
      <c r="AG47">
        <v>-1.102522051474</v>
      </c>
      <c r="AH47">
        <v>29.9735877394345</v>
      </c>
      <c r="AI47">
        <v>92.105115413510504</v>
      </c>
      <c r="AJ47">
        <v>92.128664300344894</v>
      </c>
      <c r="AK47">
        <v>30.014541972731202</v>
      </c>
    </row>
    <row r="48" spans="1:37" x14ac:dyDescent="0.2">
      <c r="A48" t="str">
        <f>"20200111153611538"</f>
        <v>20200111153611538</v>
      </c>
      <c r="B48" t="str">
        <f>"1578728171532618"</f>
        <v>1578728171532618</v>
      </c>
      <c r="C48" t="s">
        <v>37</v>
      </c>
      <c r="D48">
        <v>5.9045379999999996</v>
      </c>
      <c r="E48">
        <v>0.5094457</v>
      </c>
      <c r="F48" t="s">
        <v>39</v>
      </c>
      <c r="G48">
        <v>-443.17509999999999</v>
      </c>
      <c r="H48" s="1">
        <v>-3.3264110000000001E-6</v>
      </c>
      <c r="I48">
        <v>368.94130000000001</v>
      </c>
      <c r="J48">
        <v>-473.62349999999998</v>
      </c>
      <c r="K48">
        <v>1.1024989999999999</v>
      </c>
      <c r="L48">
        <v>367.54820000000001</v>
      </c>
      <c r="M48">
        <v>0.99994709999999998</v>
      </c>
      <c r="N48">
        <v>0</v>
      </c>
      <c r="O48">
        <v>9.0732290000000004E-3</v>
      </c>
      <c r="P48">
        <v>0.99674419999999897</v>
      </c>
      <c r="Q48">
        <v>3.8157820000000002E-2</v>
      </c>
      <c r="R48">
        <v>7.1030979999999994E-2</v>
      </c>
      <c r="S48">
        <v>3.004181</v>
      </c>
      <c r="T48">
        <v>-0.1082789</v>
      </c>
      <c r="U48">
        <v>0.1369629</v>
      </c>
      <c r="V48">
        <v>-6.1988799999999997E-2</v>
      </c>
      <c r="W48">
        <v>3.330313E-2</v>
      </c>
      <c r="X48">
        <v>0.99752099999999899</v>
      </c>
      <c r="Y48">
        <v>-3.645992E-2</v>
      </c>
      <c r="Z48">
        <v>3.2977180000000003E-4</v>
      </c>
      <c r="AA48">
        <v>0.99933510000000003</v>
      </c>
      <c r="AB48">
        <v>14</v>
      </c>
      <c r="AC48">
        <v>30.4483999999999</v>
      </c>
      <c r="AD48">
        <v>-1.1025023264110001</v>
      </c>
      <c r="AE48">
        <v>1.3931</v>
      </c>
      <c r="AF48">
        <v>-1.1153148912037401</v>
      </c>
      <c r="AG48">
        <v>-1.1025023264110001</v>
      </c>
      <c r="AH48">
        <v>30.4199868953873</v>
      </c>
      <c r="AI48">
        <v>92.074252546804999</v>
      </c>
      <c r="AJ48">
        <v>92.099745334989294</v>
      </c>
      <c r="AK48">
        <v>30.460384787487801</v>
      </c>
    </row>
    <row r="49" spans="1:37" x14ac:dyDescent="0.2">
      <c r="A49" t="str">
        <f>"20200111153611560"</f>
        <v>20200111153611560</v>
      </c>
      <c r="B49" t="str">
        <f>"1578728171553115"</f>
        <v>1578728171553115</v>
      </c>
      <c r="C49" t="s">
        <v>37</v>
      </c>
      <c r="D49">
        <v>5.7808099999999998</v>
      </c>
      <c r="E49">
        <v>0.50958709999999996</v>
      </c>
      <c r="F49" t="s">
        <v>39</v>
      </c>
      <c r="G49">
        <v>-444.44290000000001</v>
      </c>
      <c r="H49" s="1">
        <v>-2.745209E-6</v>
      </c>
      <c r="I49">
        <v>368.83920000000001</v>
      </c>
      <c r="J49">
        <v>-473.4726</v>
      </c>
      <c r="K49">
        <v>1.102484</v>
      </c>
      <c r="L49">
        <v>367.5498</v>
      </c>
      <c r="M49">
        <v>0.99994539999999998</v>
      </c>
      <c r="N49">
        <v>0</v>
      </c>
      <c r="O49">
        <v>9.2625929999999995E-3</v>
      </c>
      <c r="P49">
        <v>0.99679079999999998</v>
      </c>
      <c r="Q49">
        <v>3.7660890000000002E-2</v>
      </c>
      <c r="R49">
        <v>7.0640880000000003E-2</v>
      </c>
      <c r="S49">
        <v>3.0046689999999998</v>
      </c>
      <c r="T49">
        <v>-0.1135224</v>
      </c>
      <c r="U49">
        <v>0.13293460000000001</v>
      </c>
      <c r="V49">
        <v>-6.1408549999999999E-2</v>
      </c>
      <c r="W49">
        <v>3.280653E-2</v>
      </c>
      <c r="X49">
        <v>0.99757340000000005</v>
      </c>
      <c r="Y49">
        <v>-3.4925610000000003E-2</v>
      </c>
      <c r="Z49">
        <v>3.0957610000000003E-4</v>
      </c>
      <c r="AA49">
        <v>0.99938989999999905</v>
      </c>
      <c r="AB49">
        <v>14</v>
      </c>
      <c r="AC49">
        <v>29.029699999999899</v>
      </c>
      <c r="AD49">
        <v>-1.1024867452089999</v>
      </c>
      <c r="AE49">
        <v>1.2894000000000001</v>
      </c>
      <c r="AF49">
        <v>-1.0189844348332799</v>
      </c>
      <c r="AG49">
        <v>-1.1024867452089999</v>
      </c>
      <c r="AH49">
        <v>28.9986549693961</v>
      </c>
      <c r="AI49">
        <v>92.175912070121797</v>
      </c>
      <c r="AJ49">
        <v>92.012489739798596</v>
      </c>
      <c r="AK49">
        <v>29.037489497817798</v>
      </c>
    </row>
    <row r="50" spans="1:37" x14ac:dyDescent="0.2">
      <c r="A50" t="str">
        <f>"20200111153611584"</f>
        <v>20200111153611584</v>
      </c>
      <c r="B50" t="str">
        <f>"1578728171572634"</f>
        <v>1578728171572634</v>
      </c>
      <c r="C50" t="s">
        <v>37</v>
      </c>
      <c r="D50">
        <v>5.8936669999999998</v>
      </c>
      <c r="E50">
        <v>0.50986390000000004</v>
      </c>
      <c r="F50" t="s">
        <v>39</v>
      </c>
      <c r="G50">
        <v>-445.00220000000002</v>
      </c>
      <c r="H50" s="1">
        <v>-2.4901009999999999E-6</v>
      </c>
      <c r="I50">
        <v>368.78680000000003</v>
      </c>
      <c r="J50">
        <v>-473.31849999999997</v>
      </c>
      <c r="K50">
        <v>1.102473</v>
      </c>
      <c r="L50">
        <v>367.55149999999998</v>
      </c>
      <c r="M50">
        <v>0.99994380000000005</v>
      </c>
      <c r="N50">
        <v>0</v>
      </c>
      <c r="O50">
        <v>9.4272460000000002E-3</v>
      </c>
      <c r="P50">
        <v>0.99683429999999995</v>
      </c>
      <c r="Q50">
        <v>3.7581539999999997E-2</v>
      </c>
      <c r="R50">
        <v>7.0065660000000002E-2</v>
      </c>
      <c r="S50">
        <v>3.0047609999999998</v>
      </c>
      <c r="T50">
        <v>-0.1163563</v>
      </c>
      <c r="U50">
        <v>0.13055419999999901</v>
      </c>
      <c r="V50">
        <v>-6.0668050000000001E-2</v>
      </c>
      <c r="W50">
        <v>3.2735529999999999E-2</v>
      </c>
      <c r="X50">
        <v>0.99762109999999904</v>
      </c>
      <c r="Y50">
        <v>-3.3969409999999998E-2</v>
      </c>
      <c r="Z50">
        <v>2.924259E-4</v>
      </c>
      <c r="AA50">
        <v>0.99942279999999994</v>
      </c>
      <c r="AB50">
        <v>15</v>
      </c>
      <c r="AC50">
        <v>28.316299999999899</v>
      </c>
      <c r="AD50">
        <v>-1.1024754901010001</v>
      </c>
      <c r="AE50">
        <v>1.23530000000005</v>
      </c>
      <c r="AF50">
        <v>-0.96683441817094995</v>
      </c>
      <c r="AG50">
        <v>-1.1024754901010001</v>
      </c>
      <c r="AH50">
        <v>28.283893727826801</v>
      </c>
      <c r="AI50">
        <v>92.230895583986594</v>
      </c>
      <c r="AJ50">
        <v>91.957791628031202</v>
      </c>
      <c r="AK50">
        <v>28.321879623454301</v>
      </c>
    </row>
    <row r="51" spans="1:37" x14ac:dyDescent="0.2">
      <c r="A51" t="str">
        <f>"20200111153611605"</f>
        <v>20200111153611605</v>
      </c>
      <c r="B51" t="str">
        <f>"1578728171593133"</f>
        <v>1578728171593133</v>
      </c>
      <c r="C51" t="s">
        <v>37</v>
      </c>
      <c r="D51">
        <v>5.6653549999999999</v>
      </c>
      <c r="E51">
        <v>0.51006949999999995</v>
      </c>
      <c r="F51" t="s">
        <v>39</v>
      </c>
      <c r="G51">
        <v>-445.60079999999999</v>
      </c>
      <c r="H51" s="1">
        <v>-2.2196669999999998E-6</v>
      </c>
      <c r="I51">
        <v>368.71620000000001</v>
      </c>
      <c r="J51">
        <v>-473.17169999999999</v>
      </c>
      <c r="K51">
        <v>1.1024670000000001</v>
      </c>
      <c r="L51">
        <v>367.553</v>
      </c>
      <c r="M51">
        <v>0.99994269999999996</v>
      </c>
      <c r="N51">
        <v>0</v>
      </c>
      <c r="O51">
        <v>9.5619260000000001E-3</v>
      </c>
      <c r="P51">
        <v>0.99691969999999996</v>
      </c>
      <c r="Q51">
        <v>3.7826609999999997E-2</v>
      </c>
      <c r="R51">
        <v>6.8706749999999997E-2</v>
      </c>
      <c r="S51">
        <v>3.0051269999999999</v>
      </c>
      <c r="T51">
        <v>-0.11952939999999899</v>
      </c>
      <c r="U51">
        <v>0.1262817</v>
      </c>
      <c r="V51">
        <v>-5.9173280000000002E-2</v>
      </c>
      <c r="W51">
        <v>3.2995730000000001E-2</v>
      </c>
      <c r="X51">
        <v>0.99770219999999898</v>
      </c>
      <c r="Y51">
        <v>-3.2411490000000001E-2</v>
      </c>
      <c r="Z51">
        <v>2.6405720000000001E-4</v>
      </c>
      <c r="AA51">
        <v>0.99947459999999899</v>
      </c>
      <c r="AB51">
        <v>15</v>
      </c>
      <c r="AC51">
        <v>27.570899999999899</v>
      </c>
      <c r="AD51">
        <v>-1.1024692196670001</v>
      </c>
      <c r="AE51">
        <v>1.16319999999996</v>
      </c>
      <c r="AF51">
        <v>-0.89807944226225001</v>
      </c>
      <c r="AG51">
        <v>-1.1024692196670001</v>
      </c>
      <c r="AH51">
        <v>27.5368107287178</v>
      </c>
      <c r="AI51">
        <v>92.291463702470097</v>
      </c>
      <c r="AJ51">
        <v>91.867969748623807</v>
      </c>
      <c r="AK51">
        <v>27.573500506358599</v>
      </c>
    </row>
    <row r="52" spans="1:37" x14ac:dyDescent="0.2">
      <c r="A52" t="str">
        <f>"20200111153611638"</f>
        <v>20200111153611638</v>
      </c>
      <c r="B52" t="str">
        <f>"1578728171633147"</f>
        <v>1578728171633147</v>
      </c>
      <c r="C52" t="s">
        <v>37</v>
      </c>
      <c r="D52">
        <v>5.6625379999999996</v>
      </c>
      <c r="E52">
        <v>0.51042710000000002</v>
      </c>
      <c r="F52" t="s">
        <v>39</v>
      </c>
      <c r="G52">
        <v>-445.86579999999998</v>
      </c>
      <c r="H52" s="1">
        <v>-2.105937E-6</v>
      </c>
      <c r="I52">
        <v>368.65120000000002</v>
      </c>
      <c r="J52">
        <v>-472.94139999999999</v>
      </c>
      <c r="K52">
        <v>1.1024529999999999</v>
      </c>
      <c r="L52">
        <v>367.55549999999999</v>
      </c>
      <c r="M52">
        <v>0.99994110000000003</v>
      </c>
      <c r="N52">
        <v>0</v>
      </c>
      <c r="O52">
        <v>9.7375640000000006E-3</v>
      </c>
      <c r="P52">
        <v>0.99708169999999996</v>
      </c>
      <c r="Q52">
        <v>3.7320300000000001E-2</v>
      </c>
      <c r="R52">
        <v>6.6598619999999997E-2</v>
      </c>
      <c r="S52">
        <v>3.005585</v>
      </c>
      <c r="T52">
        <v>-0.1213496</v>
      </c>
      <c r="U52">
        <v>0.1208801</v>
      </c>
      <c r="V52">
        <v>-5.6887119999999999E-2</v>
      </c>
      <c r="W52">
        <v>3.2525350000000001E-2</v>
      </c>
      <c r="X52">
        <v>0.99785069999999998</v>
      </c>
      <c r="Y52">
        <v>-3.0437470000000001E-2</v>
      </c>
      <c r="Z52">
        <v>2.2114049999999999E-4</v>
      </c>
      <c r="AA52">
        <v>0.9995366</v>
      </c>
      <c r="AB52">
        <v>15</v>
      </c>
      <c r="AC52">
        <v>27.075600000000001</v>
      </c>
      <c r="AD52">
        <v>-1.102455105937</v>
      </c>
      <c r="AE52">
        <v>1.0957000000000201</v>
      </c>
      <c r="AF52">
        <v>-0.83061977743567605</v>
      </c>
      <c r="AG52">
        <v>-1.102455105937</v>
      </c>
      <c r="AH52">
        <v>27.040228403456599</v>
      </c>
      <c r="AI52">
        <v>92.333609316968705</v>
      </c>
      <c r="AJ52">
        <v>91.759454342233695</v>
      </c>
      <c r="AK52">
        <v>27.075436997145101</v>
      </c>
    </row>
    <row r="53" spans="1:37" x14ac:dyDescent="0.2">
      <c r="A53" t="str">
        <f>"20200111153611661"</f>
        <v>20200111153611661</v>
      </c>
      <c r="B53" t="str">
        <f>"1578728171652666"</f>
        <v>1578728171652666</v>
      </c>
      <c r="C53" t="s">
        <v>37</v>
      </c>
      <c r="D53">
        <v>5.6411540000000002</v>
      </c>
      <c r="E53">
        <v>0.51053740000000003</v>
      </c>
      <c r="F53" t="s">
        <v>39</v>
      </c>
      <c r="G53">
        <v>-446.51530000000002</v>
      </c>
      <c r="H53" s="1">
        <v>-1.818497E-6</v>
      </c>
      <c r="I53">
        <v>368.54090000000002</v>
      </c>
      <c r="J53">
        <v>-472.77359999999999</v>
      </c>
      <c r="K53">
        <v>1.102447</v>
      </c>
      <c r="L53">
        <v>367.55720000000002</v>
      </c>
      <c r="M53">
        <v>0.9999403</v>
      </c>
      <c r="N53">
        <v>0</v>
      </c>
      <c r="O53">
        <v>9.8447389999999999E-3</v>
      </c>
      <c r="P53">
        <v>0.99715129999999996</v>
      </c>
      <c r="Q53">
        <v>3.746708E-2</v>
      </c>
      <c r="R53">
        <v>6.5465609999999994E-2</v>
      </c>
      <c r="S53">
        <v>3.0059809999999998</v>
      </c>
      <c r="T53">
        <v>-0.12540470000000001</v>
      </c>
      <c r="U53">
        <v>0.1120911</v>
      </c>
      <c r="V53">
        <v>-5.5646309999999997E-2</v>
      </c>
      <c r="W53">
        <v>3.2707880000000002E-2</v>
      </c>
      <c r="X53">
        <v>0.99791469999999904</v>
      </c>
      <c r="Y53">
        <v>-2.7408370000000001E-2</v>
      </c>
      <c r="Z53">
        <v>1.6090329999999999E-4</v>
      </c>
      <c r="AA53">
        <v>0.99962430000000002</v>
      </c>
      <c r="AB53">
        <v>16</v>
      </c>
      <c r="AC53">
        <v>26.258299999999899</v>
      </c>
      <c r="AD53">
        <v>-1.102448818497</v>
      </c>
      <c r="AE53">
        <v>0.98369999999999802</v>
      </c>
      <c r="AF53">
        <v>-0.72386912149409699</v>
      </c>
      <c r="AG53">
        <v>-1.102448818497</v>
      </c>
      <c r="AH53">
        <v>26.2205570963282</v>
      </c>
      <c r="AI53">
        <v>92.406679147862405</v>
      </c>
      <c r="AJ53">
        <v>91.581358996776501</v>
      </c>
      <c r="AK53">
        <v>26.253704392795001</v>
      </c>
    </row>
    <row r="54" spans="1:37" x14ac:dyDescent="0.2">
      <c r="A54" t="str">
        <f>"20200111153611683"</f>
        <v>20200111153611683</v>
      </c>
      <c r="B54" t="str">
        <f>"1578728171673165"</f>
        <v>1578728171673165</v>
      </c>
      <c r="C54" t="s">
        <v>37</v>
      </c>
      <c r="D54">
        <v>5.892353</v>
      </c>
      <c r="E54">
        <v>0.51060660000000002</v>
      </c>
      <c r="F54" t="s">
        <v>39</v>
      </c>
      <c r="G54">
        <v>-446.54309999999998</v>
      </c>
      <c r="H54" s="1">
        <v>-1.813629E-6</v>
      </c>
      <c r="I54">
        <v>368.49430000000001</v>
      </c>
      <c r="J54">
        <v>-472.6096</v>
      </c>
      <c r="K54">
        <v>1.102444</v>
      </c>
      <c r="L54">
        <v>367.55900000000003</v>
      </c>
      <c r="M54">
        <v>0.99993949999999998</v>
      </c>
      <c r="N54">
        <v>0</v>
      </c>
      <c r="O54">
        <v>9.9396299999999996E-3</v>
      </c>
      <c r="P54">
        <v>0.99715390000000004</v>
      </c>
      <c r="Q54">
        <v>3.7402999999999999E-2</v>
      </c>
      <c r="R54">
        <v>6.5464620000000001E-2</v>
      </c>
      <c r="S54">
        <v>3.0062259999999998</v>
      </c>
      <c r="T54">
        <v>-0.1263494</v>
      </c>
      <c r="U54">
        <v>0.1073914</v>
      </c>
      <c r="V54">
        <v>-5.5550229999999999E-2</v>
      </c>
      <c r="W54">
        <v>3.268596E-2</v>
      </c>
      <c r="X54">
        <v>0.99792080000000005</v>
      </c>
      <c r="Y54">
        <v>-2.5751110000000001E-2</v>
      </c>
      <c r="Z54">
        <v>1.2332000000000001E-4</v>
      </c>
      <c r="AA54">
        <v>0.99966840000000001</v>
      </c>
      <c r="AB54">
        <v>16</v>
      </c>
      <c r="AC54">
        <v>26.066500000000001</v>
      </c>
      <c r="AD54">
        <v>-1.1024458136290001</v>
      </c>
      <c r="AE54">
        <v>0.93529999999998303</v>
      </c>
      <c r="AF54">
        <v>-0.67495378483189195</v>
      </c>
      <c r="AG54">
        <v>-1.1024458136290001</v>
      </c>
      <c r="AH54">
        <v>26.028011264369798</v>
      </c>
      <c r="AI54">
        <v>92.424563635663205</v>
      </c>
      <c r="AJ54">
        <v>91.485451112227096</v>
      </c>
      <c r="AK54">
        <v>26.060090555518101</v>
      </c>
    </row>
    <row r="55" spans="1:37" x14ac:dyDescent="0.2">
      <c r="A55" t="str">
        <f>"20200111153611704"</f>
        <v>20200111153611704</v>
      </c>
      <c r="B55" t="str">
        <f>"1578728171692682"</f>
        <v>1578728171692682</v>
      </c>
      <c r="C55" t="s">
        <v>37</v>
      </c>
      <c r="D55">
        <v>5.6506350000000003</v>
      </c>
      <c r="E55">
        <v>0.51061400000000001</v>
      </c>
      <c r="F55" t="s">
        <v>39</v>
      </c>
      <c r="G55">
        <v>-446.48750000000001</v>
      </c>
      <c r="H55" s="1">
        <v>-1.840345E-6</v>
      </c>
      <c r="I55">
        <v>368.49160000000001</v>
      </c>
      <c r="J55">
        <v>-472.45460000000003</v>
      </c>
      <c r="K55">
        <v>1.102455</v>
      </c>
      <c r="L55">
        <v>367.56060000000002</v>
      </c>
      <c r="M55">
        <v>0.99993880000000002</v>
      </c>
      <c r="N55">
        <v>0</v>
      </c>
      <c r="O55">
        <v>1.002581E-2</v>
      </c>
      <c r="P55">
        <v>0.99714360000000002</v>
      </c>
      <c r="Q55">
        <v>3.7369550000000001E-2</v>
      </c>
      <c r="R55">
        <v>6.5637879999999996E-2</v>
      </c>
      <c r="S55">
        <v>3.0062869999999999</v>
      </c>
      <c r="T55">
        <v>-0.12687619999999999</v>
      </c>
      <c r="U55">
        <v>0.1073303</v>
      </c>
      <c r="V55">
        <v>-5.5637279999999997E-2</v>
      </c>
      <c r="W55">
        <v>3.2698829999999998E-2</v>
      </c>
      <c r="X55">
        <v>0.99791540000000001</v>
      </c>
      <c r="Y55">
        <v>-2.5644009999999998E-2</v>
      </c>
      <c r="Z55">
        <v>1.179392E-4</v>
      </c>
      <c r="AA55">
        <v>0.99967109999999904</v>
      </c>
      <c r="AB55">
        <v>16</v>
      </c>
      <c r="AC55">
        <v>25.967099999999999</v>
      </c>
      <c r="AD55">
        <v>-1.1024568403449999</v>
      </c>
      <c r="AE55">
        <v>0.93099999999998295</v>
      </c>
      <c r="AF55">
        <v>-0.66940409356715702</v>
      </c>
      <c r="AG55">
        <v>-1.1024568403449999</v>
      </c>
      <c r="AH55">
        <v>25.928452857691202</v>
      </c>
      <c r="AI55">
        <v>92.433893654920595</v>
      </c>
      <c r="AJ55">
        <v>91.478897006373103</v>
      </c>
      <c r="AK55">
        <v>25.960511946393201</v>
      </c>
    </row>
    <row r="56" spans="1:37" x14ac:dyDescent="0.2">
      <c r="A56" t="str">
        <f>"20200111153611725"</f>
        <v>20200111153611725</v>
      </c>
      <c r="B56" t="str">
        <f>"1578728171722938"</f>
        <v>1578728171722938</v>
      </c>
      <c r="C56" t="s">
        <v>37</v>
      </c>
      <c r="D56">
        <v>5.6201749999999997</v>
      </c>
      <c r="E56">
        <v>0.51056309999999905</v>
      </c>
      <c r="F56" t="s">
        <v>39</v>
      </c>
      <c r="G56">
        <v>-446.63900000000001</v>
      </c>
      <c r="H56" s="1">
        <v>-1.769832E-6</v>
      </c>
      <c r="I56">
        <v>368.48540000000003</v>
      </c>
      <c r="J56">
        <v>-472.28750000000002</v>
      </c>
      <c r="K56">
        <v>1.10246</v>
      </c>
      <c r="L56">
        <v>367.56240000000003</v>
      </c>
      <c r="M56">
        <v>0.99993809999999905</v>
      </c>
      <c r="N56">
        <v>0</v>
      </c>
      <c r="O56">
        <v>1.0118500000000001E-2</v>
      </c>
      <c r="P56">
        <v>0.99707880000000004</v>
      </c>
      <c r="Q56">
        <v>3.8240290000000003E-2</v>
      </c>
      <c r="R56">
        <v>6.6120709999999999E-2</v>
      </c>
      <c r="S56">
        <v>3.006348</v>
      </c>
      <c r="T56">
        <v>-0.12838640000000001</v>
      </c>
      <c r="U56">
        <v>0.107696499999999</v>
      </c>
      <c r="V56">
        <v>-5.6028130000000002E-2</v>
      </c>
      <c r="W56">
        <v>3.3624809999999998E-2</v>
      </c>
      <c r="X56">
        <v>0.99786280000000005</v>
      </c>
      <c r="Y56">
        <v>-2.5671969999999999E-2</v>
      </c>
      <c r="Z56">
        <v>1.15981E-4</v>
      </c>
      <c r="AA56">
        <v>0.99967039999999996</v>
      </c>
      <c r="AB56">
        <v>17</v>
      </c>
      <c r="AC56">
        <v>25.648499999999999</v>
      </c>
      <c r="AD56">
        <v>-1.1024617698320001</v>
      </c>
      <c r="AE56">
        <v>0.92300000000000104</v>
      </c>
      <c r="AF56">
        <v>-0.66220373011556</v>
      </c>
      <c r="AG56">
        <v>-1.1024617698320001</v>
      </c>
      <c r="AH56">
        <v>25.6092724437915</v>
      </c>
      <c r="AI56">
        <v>92.464199677372804</v>
      </c>
      <c r="AJ56">
        <v>91.481222321354807</v>
      </c>
      <c r="AK56">
        <v>25.641543846548299</v>
      </c>
    </row>
    <row r="57" spans="1:37" x14ac:dyDescent="0.2">
      <c r="A57" t="str">
        <f>"20200111153611749"</f>
        <v>20200111153611749</v>
      </c>
      <c r="B57" t="str">
        <f>"1578728171742459"</f>
        <v>1578728171742459</v>
      </c>
      <c r="C57" t="s">
        <v>37</v>
      </c>
      <c r="D57">
        <v>5.600123</v>
      </c>
      <c r="E57">
        <v>0.5107199</v>
      </c>
      <c r="F57" t="s">
        <v>39</v>
      </c>
      <c r="G57">
        <v>-446.45890000000003</v>
      </c>
      <c r="H57" s="1">
        <v>-1.8522109999999999E-6</v>
      </c>
      <c r="I57">
        <v>368.50099999999998</v>
      </c>
      <c r="J57">
        <v>-472.11130000000003</v>
      </c>
      <c r="K57">
        <v>1.102473</v>
      </c>
      <c r="L57">
        <v>367.5643</v>
      </c>
      <c r="M57">
        <v>0.99993750000000003</v>
      </c>
      <c r="N57">
        <v>0</v>
      </c>
      <c r="O57">
        <v>1.021876E-2</v>
      </c>
      <c r="P57">
        <v>0.99701169999999995</v>
      </c>
      <c r="Q57">
        <v>3.8581280000000003E-2</v>
      </c>
      <c r="R57">
        <v>6.6929820000000001E-2</v>
      </c>
      <c r="S57">
        <v>3.0064700000000002</v>
      </c>
      <c r="T57">
        <v>-0.12832730000000001</v>
      </c>
      <c r="U57">
        <v>0.1092529</v>
      </c>
      <c r="V57">
        <v>-5.673868E-2</v>
      </c>
      <c r="W57">
        <v>3.4029419999999998E-2</v>
      </c>
      <c r="X57">
        <v>0.9978089</v>
      </c>
      <c r="Y57">
        <v>-2.6086850000000002E-2</v>
      </c>
      <c r="Z57">
        <v>1.204941E-4</v>
      </c>
      <c r="AA57">
        <v>0.99965969999999904</v>
      </c>
      <c r="AB57">
        <v>17</v>
      </c>
      <c r="AC57">
        <v>25.6524</v>
      </c>
      <c r="AD57">
        <v>-1.1024748522109999</v>
      </c>
      <c r="AE57">
        <v>0.936699999999973</v>
      </c>
      <c r="AF57">
        <v>-0.67327075900334898</v>
      </c>
      <c r="AG57">
        <v>-1.1024748522109999</v>
      </c>
      <c r="AH57">
        <v>25.613386092047399</v>
      </c>
      <c r="AI57">
        <v>92.463806166042502</v>
      </c>
      <c r="AJ57">
        <v>91.5057240744582</v>
      </c>
      <c r="AK57">
        <v>25.645941031964</v>
      </c>
    </row>
    <row r="58" spans="1:37" x14ac:dyDescent="0.2">
      <c r="A58" t="str">
        <f>"20200111153611772"</f>
        <v>20200111153611772</v>
      </c>
      <c r="B58" t="str">
        <f>"1578728171762994"</f>
        <v>1578728171762994</v>
      </c>
      <c r="C58" t="s">
        <v>37</v>
      </c>
      <c r="D58">
        <v>5.6600529999999996</v>
      </c>
      <c r="E58">
        <v>0.51072229999999996</v>
      </c>
      <c r="F58" t="s">
        <v>39</v>
      </c>
      <c r="G58">
        <v>-446.25099999999998</v>
      </c>
      <c r="H58" s="1">
        <v>-1.9480330000000001E-6</v>
      </c>
      <c r="I58">
        <v>368.51479999999998</v>
      </c>
      <c r="J58">
        <v>-471.92419999999998</v>
      </c>
      <c r="K58">
        <v>1.102487</v>
      </c>
      <c r="L58">
        <v>367.56630000000001</v>
      </c>
      <c r="M58">
        <v>0.99993670000000001</v>
      </c>
      <c r="N58">
        <v>0</v>
      </c>
      <c r="O58">
        <v>1.032928E-2</v>
      </c>
      <c r="P58">
        <v>0.99697099999999905</v>
      </c>
      <c r="Q58">
        <v>3.8493010000000001E-2</v>
      </c>
      <c r="R58">
        <v>6.7583399999999905E-2</v>
      </c>
      <c r="S58">
        <v>3.0065309999999998</v>
      </c>
      <c r="T58">
        <v>-0.1281745</v>
      </c>
      <c r="U58">
        <v>0.1105042</v>
      </c>
      <c r="V58">
        <v>-5.7283010000000002E-2</v>
      </c>
      <c r="W58">
        <v>3.4013210000000002E-2</v>
      </c>
      <c r="X58">
        <v>0.99777839999999995</v>
      </c>
      <c r="Y58">
        <v>-2.639097E-2</v>
      </c>
      <c r="Z58">
        <v>1.22118E-4</v>
      </c>
      <c r="AA58">
        <v>0.99965170000000003</v>
      </c>
      <c r="AB58">
        <v>17</v>
      </c>
      <c r="AC58">
        <v>25.673200000000001</v>
      </c>
      <c r="AD58">
        <v>-1.102488948033</v>
      </c>
      <c r="AE58">
        <v>0.94849999999996704</v>
      </c>
      <c r="AF58">
        <v>-0.68200510491777999</v>
      </c>
      <c r="AG58">
        <v>-1.102488948033</v>
      </c>
      <c r="AH58">
        <v>25.634419334577501</v>
      </c>
      <c r="AI58">
        <v>92.461797780193095</v>
      </c>
      <c r="AJ58">
        <v>91.523997786388605</v>
      </c>
      <c r="AK58">
        <v>25.6671787983142</v>
      </c>
    </row>
    <row r="59" spans="1:37" x14ac:dyDescent="0.2">
      <c r="A59" t="str">
        <f>"20200111153611794"</f>
        <v>20200111153611794</v>
      </c>
      <c r="B59" t="str">
        <f>"1578728171782510"</f>
        <v>1578728171782510</v>
      </c>
      <c r="C59" t="s">
        <v>37</v>
      </c>
      <c r="D59">
        <v>5.6131699999999896</v>
      </c>
      <c r="E59">
        <v>0.51071279999999997</v>
      </c>
      <c r="F59" t="s">
        <v>39</v>
      </c>
      <c r="G59">
        <v>-446.2747</v>
      </c>
      <c r="H59" s="1">
        <v>-1.9343639999999999E-6</v>
      </c>
      <c r="I59">
        <v>368.52859999999998</v>
      </c>
      <c r="J59">
        <v>-471.74900000000002</v>
      </c>
      <c r="K59">
        <v>1.102503</v>
      </c>
      <c r="L59">
        <v>367.56819999999999</v>
      </c>
      <c r="M59">
        <v>0.99993580000000004</v>
      </c>
      <c r="N59">
        <v>0</v>
      </c>
      <c r="O59">
        <v>1.0437699999999999E-2</v>
      </c>
      <c r="P59">
        <v>0.9969365</v>
      </c>
      <c r="Q59">
        <v>3.8555760000000001E-2</v>
      </c>
      <c r="R59">
        <v>6.8052210000000002E-2</v>
      </c>
      <c r="S59">
        <v>3.0064389999999999</v>
      </c>
      <c r="T59">
        <v>-0.1292258</v>
      </c>
      <c r="U59">
        <v>0.112793</v>
      </c>
      <c r="V59">
        <v>-5.7644330000000001E-2</v>
      </c>
      <c r="W59">
        <v>3.4146650000000001E-2</v>
      </c>
      <c r="X59">
        <v>0.997753</v>
      </c>
      <c r="Y59">
        <v>-2.704293E-2</v>
      </c>
      <c r="Z59">
        <v>1.3246530000000001E-4</v>
      </c>
      <c r="AA59">
        <v>0.99963429999999998</v>
      </c>
      <c r="AB59">
        <v>17</v>
      </c>
      <c r="AC59">
        <v>25.474299999999999</v>
      </c>
      <c r="AD59">
        <v>-1.1025049343640001</v>
      </c>
      <c r="AE59">
        <v>0.96039999999999204</v>
      </c>
      <c r="AF59">
        <v>-0.69315550123664105</v>
      </c>
      <c r="AG59">
        <v>-1.1025049343640001</v>
      </c>
      <c r="AH59">
        <v>25.435361870084702</v>
      </c>
      <c r="AI59">
        <v>92.481032675990306</v>
      </c>
      <c r="AJ59">
        <v>91.561017999223793</v>
      </c>
      <c r="AK59">
        <v>25.4686791008358</v>
      </c>
    </row>
    <row r="60" spans="1:37" x14ac:dyDescent="0.2">
      <c r="A60" t="str">
        <f>"20200111153611815"</f>
        <v>20200111153611815</v>
      </c>
      <c r="B60" t="str">
        <f>"1578728171812767"</f>
        <v>1578728171812767</v>
      </c>
      <c r="C60" t="s">
        <v>37</v>
      </c>
      <c r="D60">
        <v>5.5819839999999896</v>
      </c>
      <c r="E60">
        <v>0.51073259999999998</v>
      </c>
      <c r="F60" t="s">
        <v>39</v>
      </c>
      <c r="G60">
        <v>-446.07549999999998</v>
      </c>
      <c r="H60" s="1">
        <v>-2.0255579999999998E-6</v>
      </c>
      <c r="I60">
        <v>368.5455</v>
      </c>
      <c r="J60">
        <v>-471.57900000000001</v>
      </c>
      <c r="K60">
        <v>1.1025119999999999</v>
      </c>
      <c r="L60">
        <v>367.5702</v>
      </c>
      <c r="M60">
        <v>0.99993500000000002</v>
      </c>
      <c r="N60">
        <v>0</v>
      </c>
      <c r="O60">
        <v>1.054684E-2</v>
      </c>
      <c r="P60">
        <v>0.9968998</v>
      </c>
      <c r="Q60">
        <v>3.8593950000000002E-2</v>
      </c>
      <c r="R60">
        <v>6.8568160000000003E-2</v>
      </c>
      <c r="S60">
        <v>3.0064090000000001</v>
      </c>
      <c r="T60">
        <v>-0.129105</v>
      </c>
      <c r="U60">
        <v>0.114440899999999</v>
      </c>
      <c r="V60">
        <v>-5.8052319999999998E-2</v>
      </c>
      <c r="W60">
        <v>3.4256729999999999E-2</v>
      </c>
      <c r="X60">
        <v>0.99772559999999999</v>
      </c>
      <c r="Y60">
        <v>-2.7481099999999901E-2</v>
      </c>
      <c r="Z60">
        <v>1.370601E-4</v>
      </c>
      <c r="AA60">
        <v>0.99962229999999996</v>
      </c>
      <c r="AB60">
        <v>18</v>
      </c>
      <c r="AC60">
        <v>25.503499999999999</v>
      </c>
      <c r="AD60">
        <v>-1.1025140255579999</v>
      </c>
      <c r="AE60">
        <v>0.97530000000000405</v>
      </c>
      <c r="AF60">
        <v>-0.704946398563285</v>
      </c>
      <c r="AG60">
        <v>-1.1025140255579999</v>
      </c>
      <c r="AH60">
        <v>25.464848057617999</v>
      </c>
      <c r="AI60">
        <v>92.478154527320697</v>
      </c>
      <c r="AJ60">
        <v>91.585720843958597</v>
      </c>
      <c r="AK60">
        <v>25.4984504077987</v>
      </c>
    </row>
    <row r="61" spans="1:37" x14ac:dyDescent="0.2">
      <c r="A61" t="str">
        <f>"20200111153611839"</f>
        <v>20200111153611839</v>
      </c>
      <c r="B61" t="str">
        <f>"1578728171833263"</f>
        <v>1578728171833263</v>
      </c>
      <c r="C61" t="s">
        <v>37</v>
      </c>
      <c r="D61">
        <v>5.6036130000000002</v>
      </c>
      <c r="E61">
        <v>0.51072099999999998</v>
      </c>
      <c r="F61" t="s">
        <v>39</v>
      </c>
      <c r="G61">
        <v>-446.20460000000003</v>
      </c>
      <c r="H61" s="1">
        <v>-1.9640810000000001E-6</v>
      </c>
      <c r="I61">
        <v>368.54820000000001</v>
      </c>
      <c r="J61">
        <v>-471.38959999999997</v>
      </c>
      <c r="K61">
        <v>1.1025259999999999</v>
      </c>
      <c r="L61">
        <v>367.57229999999998</v>
      </c>
      <c r="M61">
        <v>0.99993399999999999</v>
      </c>
      <c r="N61">
        <v>0</v>
      </c>
      <c r="O61">
        <v>1.067209E-2</v>
      </c>
      <c r="P61">
        <v>0.99690080000000003</v>
      </c>
      <c r="Q61">
        <v>3.8402699999999998E-2</v>
      </c>
      <c r="R61">
        <v>6.8660349999999995E-2</v>
      </c>
      <c r="S61">
        <v>3.0064389999999999</v>
      </c>
      <c r="T61">
        <v>-0.13062889999999999</v>
      </c>
      <c r="U61">
        <v>0.1158752</v>
      </c>
      <c r="V61">
        <v>-5.8020189999999999E-2</v>
      </c>
      <c r="W61">
        <v>3.4146639999999999E-2</v>
      </c>
      <c r="X61">
        <v>0.99773129999999999</v>
      </c>
      <c r="Y61">
        <v>-2.7831129999999999E-2</v>
      </c>
      <c r="Z61">
        <v>1.408355E-4</v>
      </c>
      <c r="AA61">
        <v>0.99961259999999996</v>
      </c>
      <c r="AB61">
        <v>18</v>
      </c>
      <c r="AC61">
        <v>25.184999999999899</v>
      </c>
      <c r="AD61">
        <v>-1.102527964081</v>
      </c>
      <c r="AE61">
        <v>0.97590000000002397</v>
      </c>
      <c r="AF61">
        <v>-0.70571497068058997</v>
      </c>
      <c r="AG61">
        <v>-1.102527964081</v>
      </c>
      <c r="AH61">
        <v>25.1458624194447</v>
      </c>
      <c r="AI61">
        <v>92.5095560388161</v>
      </c>
      <c r="AJ61">
        <v>91.607575743940302</v>
      </c>
      <c r="AK61">
        <v>25.179912596136301</v>
      </c>
    </row>
    <row r="62" spans="1:37" x14ac:dyDescent="0.2">
      <c r="A62" t="str">
        <f>"20200111153611861"</f>
        <v>20200111153611861</v>
      </c>
      <c r="B62" t="str">
        <f>"1578728171852783"</f>
        <v>1578728171852783</v>
      </c>
      <c r="C62" t="s">
        <v>37</v>
      </c>
      <c r="D62">
        <v>5.6120229999999998</v>
      </c>
      <c r="E62">
        <v>0.51072649999999997</v>
      </c>
      <c r="F62" t="s">
        <v>39</v>
      </c>
      <c r="G62">
        <v>-446.25060000000002</v>
      </c>
      <c r="H62" s="1">
        <v>-1.94332699999999E-6</v>
      </c>
      <c r="I62">
        <v>368.54239999999999</v>
      </c>
      <c r="J62">
        <v>-471.19740000000002</v>
      </c>
      <c r="K62">
        <v>1.1025240000000001</v>
      </c>
      <c r="L62">
        <v>367.5745</v>
      </c>
      <c r="M62">
        <v>0.99993369999999904</v>
      </c>
      <c r="N62">
        <v>0</v>
      </c>
      <c r="O62">
        <v>1.072095E-2</v>
      </c>
      <c r="P62">
        <v>0.99686900000000001</v>
      </c>
      <c r="Q62">
        <v>3.8663240000000001E-2</v>
      </c>
      <c r="R62">
        <v>6.8972329999999998E-2</v>
      </c>
      <c r="S62">
        <v>3.0064389999999999</v>
      </c>
      <c r="T62">
        <v>-0.13185429999999901</v>
      </c>
      <c r="U62">
        <v>0.1160278</v>
      </c>
      <c r="V62">
        <v>-5.828407E-2</v>
      </c>
      <c r="W62">
        <v>3.4466419999999998E-2</v>
      </c>
      <c r="X62">
        <v>0.99770490000000001</v>
      </c>
      <c r="Y62">
        <v>-2.783269E-2</v>
      </c>
      <c r="Z62">
        <v>1.4004870000000001E-4</v>
      </c>
      <c r="AA62">
        <v>0.99961259999999996</v>
      </c>
      <c r="AB62">
        <v>18</v>
      </c>
      <c r="AC62">
        <v>24.9468</v>
      </c>
      <c r="AD62">
        <v>-1.102525943327</v>
      </c>
      <c r="AE62">
        <v>0.96789999999998599</v>
      </c>
      <c r="AF62">
        <v>-0.69902532818223595</v>
      </c>
      <c r="AG62">
        <v>-1.102525943327</v>
      </c>
      <c r="AH62">
        <v>24.907167460595002</v>
      </c>
      <c r="AI62">
        <v>92.533570224843999</v>
      </c>
      <c r="AJ62">
        <v>91.607597113211995</v>
      </c>
      <c r="AK62">
        <v>24.941355030857299</v>
      </c>
    </row>
    <row r="63" spans="1:37" x14ac:dyDescent="0.2">
      <c r="A63" t="str">
        <f>"20200111153611884"</f>
        <v>20200111153611884</v>
      </c>
      <c r="B63" t="str">
        <f>"1578728171873279"</f>
        <v>1578728171873279</v>
      </c>
      <c r="C63" t="s">
        <v>37</v>
      </c>
      <c r="D63">
        <v>5.5991429999999998</v>
      </c>
      <c r="E63">
        <v>0.51076809999999995</v>
      </c>
      <c r="F63" t="s">
        <v>39</v>
      </c>
      <c r="G63">
        <v>-446.00450000000001</v>
      </c>
      <c r="H63" s="1">
        <v>-2.0574899999999999E-6</v>
      </c>
      <c r="I63">
        <v>368.55470000000003</v>
      </c>
      <c r="J63">
        <v>-471.00490000000002</v>
      </c>
      <c r="K63">
        <v>1.102409</v>
      </c>
      <c r="L63">
        <v>367.57679999999999</v>
      </c>
      <c r="M63">
        <v>0.99993290000000001</v>
      </c>
      <c r="N63">
        <v>0</v>
      </c>
      <c r="O63">
        <v>1.0865359999999999E-2</v>
      </c>
      <c r="P63">
        <v>0.99684899999999999</v>
      </c>
      <c r="Q63">
        <v>3.8717300000000003E-2</v>
      </c>
      <c r="R63">
        <v>6.9232680000000005E-2</v>
      </c>
      <c r="S63">
        <v>3.0064700000000002</v>
      </c>
      <c r="T63">
        <v>-0.1315733</v>
      </c>
      <c r="U63">
        <v>0.11697390000000001</v>
      </c>
      <c r="V63">
        <v>-5.8394450000000001E-2</v>
      </c>
      <c r="W63">
        <v>3.468897E-2</v>
      </c>
      <c r="X63">
        <v>0.99769069999999904</v>
      </c>
      <c r="Y63">
        <v>-2.8002059999999999E-2</v>
      </c>
      <c r="Z63">
        <v>1.3713819999999999E-4</v>
      </c>
      <c r="AA63">
        <v>0.99960789999999999</v>
      </c>
      <c r="AB63">
        <v>19</v>
      </c>
      <c r="AC63">
        <v>25.000399999999999</v>
      </c>
      <c r="AD63">
        <v>-1.1024110574899999</v>
      </c>
      <c r="AE63">
        <v>0.97790000000003297</v>
      </c>
      <c r="AF63">
        <v>-0.70483332743738603</v>
      </c>
      <c r="AG63">
        <v>-1.1024110574899999</v>
      </c>
      <c r="AH63">
        <v>24.961088486545101</v>
      </c>
      <c r="AI63">
        <v>92.527828995628596</v>
      </c>
      <c r="AJ63">
        <v>91.617447362805194</v>
      </c>
      <c r="AK63">
        <v>24.9953603413169</v>
      </c>
    </row>
    <row r="64" spans="1:37" x14ac:dyDescent="0.2">
      <c r="A64" t="str">
        <f>"20200111153611905"</f>
        <v>20200111153611905</v>
      </c>
      <c r="B64" t="str">
        <f>"1578728171902559"</f>
        <v>1578728171902559</v>
      </c>
      <c r="C64" t="s">
        <v>37</v>
      </c>
      <c r="D64">
        <v>5.5647289999999998</v>
      </c>
      <c r="E64">
        <v>0.51076719999999998</v>
      </c>
      <c r="F64" t="s">
        <v>39</v>
      </c>
      <c r="G64">
        <v>-445.91399999999999</v>
      </c>
      <c r="H64" s="1">
        <v>-2.1004950000000001E-6</v>
      </c>
      <c r="I64">
        <v>368.55349999999999</v>
      </c>
      <c r="J64">
        <v>-470.82319999999999</v>
      </c>
      <c r="K64">
        <v>1.102266</v>
      </c>
      <c r="L64">
        <v>367.57900000000001</v>
      </c>
      <c r="M64">
        <v>0.99993069999999895</v>
      </c>
      <c r="N64">
        <v>0</v>
      </c>
      <c r="O64">
        <v>1.1110750000000001E-2</v>
      </c>
      <c r="P64">
        <v>0.99686909999999895</v>
      </c>
      <c r="Q64">
        <v>3.8222399999999997E-2</v>
      </c>
      <c r="R64">
        <v>6.9218260000000004E-2</v>
      </c>
      <c r="S64">
        <v>3.0064700000000002</v>
      </c>
      <c r="T64">
        <v>-0.1320944</v>
      </c>
      <c r="U64">
        <v>0.1170349</v>
      </c>
      <c r="V64">
        <v>-5.8126780000000003E-2</v>
      </c>
      <c r="W64">
        <v>3.4370629999999999E-2</v>
      </c>
      <c r="X64">
        <v>0.99771739999999998</v>
      </c>
      <c r="Y64">
        <v>-2.7777340000000001E-2</v>
      </c>
      <c r="Z64">
        <v>1.219779E-4</v>
      </c>
      <c r="AA64">
        <v>0.99961409999999995</v>
      </c>
      <c r="AB64">
        <v>19</v>
      </c>
      <c r="AC64">
        <v>24.909199999999998</v>
      </c>
      <c r="AD64">
        <v>-1.1022681004949999</v>
      </c>
      <c r="AE64">
        <v>0.97449999999997705</v>
      </c>
      <c r="AF64">
        <v>-0.69631642052939102</v>
      </c>
      <c r="AG64">
        <v>-1.1022681004949999</v>
      </c>
      <c r="AH64">
        <v>24.869864425347501</v>
      </c>
      <c r="AI64">
        <v>92.536777552926793</v>
      </c>
      <c r="AJ64">
        <v>91.6037711890624</v>
      </c>
      <c r="AK64">
        <v>24.904015902220099</v>
      </c>
    </row>
    <row r="65" spans="1:37" x14ac:dyDescent="0.2">
      <c r="A65" t="str">
        <f>"20200111153611927"</f>
        <v>20200111153611927</v>
      </c>
      <c r="B65" t="str">
        <f>"1578728171923055"</f>
        <v>1578728171923055</v>
      </c>
      <c r="C65" t="s">
        <v>37</v>
      </c>
      <c r="D65">
        <v>5.6376569999999999</v>
      </c>
      <c r="E65">
        <v>0.51070919999999997</v>
      </c>
      <c r="F65" t="s">
        <v>39</v>
      </c>
      <c r="G65">
        <v>-446.15620000000001</v>
      </c>
      <c r="H65" s="1">
        <v>-1.98814799999999E-6</v>
      </c>
      <c r="I65">
        <v>368.54149999999998</v>
      </c>
      <c r="J65">
        <v>-470.62279999999998</v>
      </c>
      <c r="K65">
        <v>1.1021749999999999</v>
      </c>
      <c r="L65">
        <v>367.58139999999997</v>
      </c>
      <c r="M65">
        <v>0.99992839999999905</v>
      </c>
      <c r="N65">
        <v>0</v>
      </c>
      <c r="O65">
        <v>1.1384989999999999E-2</v>
      </c>
      <c r="P65">
        <v>0.99686960000000002</v>
      </c>
      <c r="Q65">
        <v>3.7815679999999997E-2</v>
      </c>
      <c r="R65">
        <v>6.9432300000000002E-2</v>
      </c>
      <c r="S65">
        <v>3.0064700000000002</v>
      </c>
      <c r="T65">
        <v>-0.13434679999999999</v>
      </c>
      <c r="U65">
        <v>0.1173096</v>
      </c>
      <c r="V65">
        <v>-5.8063049999999998E-2</v>
      </c>
      <c r="W65">
        <v>3.4127589999999999E-2</v>
      </c>
      <c r="X65">
        <v>0.99772939999999999</v>
      </c>
      <c r="Y65">
        <v>-2.759429E-2</v>
      </c>
      <c r="Z65">
        <v>1.077277E-4</v>
      </c>
      <c r="AA65">
        <v>0.99961919999999904</v>
      </c>
      <c r="AB65">
        <v>19</v>
      </c>
      <c r="AC65">
        <v>24.4665999999999</v>
      </c>
      <c r="AD65">
        <v>-1.1021769881479999</v>
      </c>
      <c r="AE65">
        <v>0.96010000000001094</v>
      </c>
      <c r="AF65">
        <v>-0.68010584079750103</v>
      </c>
      <c r="AG65">
        <v>-1.1021769881479999</v>
      </c>
      <c r="AH65">
        <v>24.426451642021799</v>
      </c>
      <c r="AI65">
        <v>92.582563793038204</v>
      </c>
      <c r="AJ65">
        <v>91.594874687511606</v>
      </c>
      <c r="AK65">
        <v>24.460762005463302</v>
      </c>
    </row>
    <row r="66" spans="1:37" x14ac:dyDescent="0.2">
      <c r="A66" t="str">
        <f>"20200111153611951"</f>
        <v>20200111153611951</v>
      </c>
      <c r="B66" t="str">
        <f>"1578728171942575"</f>
        <v>1578728171942575</v>
      </c>
      <c r="C66" t="s">
        <v>37</v>
      </c>
      <c r="D66">
        <v>5.5994380000000001</v>
      </c>
      <c r="E66">
        <v>0.51064049999999905</v>
      </c>
      <c r="F66" t="s">
        <v>39</v>
      </c>
      <c r="G66">
        <v>-446.27569999999997</v>
      </c>
      <c r="H66" s="1">
        <v>-1.931696E-6</v>
      </c>
      <c r="I66">
        <v>368.54109999999997</v>
      </c>
      <c r="J66">
        <v>-470.4187</v>
      </c>
      <c r="K66">
        <v>1.1021669999999999</v>
      </c>
      <c r="L66">
        <v>367.5838</v>
      </c>
      <c r="M66">
        <v>0.99992639999999999</v>
      </c>
      <c r="N66">
        <v>0</v>
      </c>
      <c r="O66">
        <v>1.1593340000000001E-2</v>
      </c>
      <c r="P66">
        <v>0.99685109999999999</v>
      </c>
      <c r="Q66">
        <v>3.7688970000000002E-2</v>
      </c>
      <c r="R66">
        <v>6.9768940000000002E-2</v>
      </c>
      <c r="S66">
        <v>3.0063169999999899</v>
      </c>
      <c r="T66">
        <v>-0.1360941</v>
      </c>
      <c r="U66">
        <v>0.1184998</v>
      </c>
      <c r="V66">
        <v>-5.8193389999999998E-2</v>
      </c>
      <c r="W66">
        <v>3.4129970000000003E-2</v>
      </c>
      <c r="X66">
        <v>0.99772169999999905</v>
      </c>
      <c r="Y66">
        <v>-2.7782729999999999E-2</v>
      </c>
      <c r="Z66">
        <v>1.0397190000000001E-4</v>
      </c>
      <c r="AA66">
        <v>0.999613999999999</v>
      </c>
      <c r="AB66">
        <v>19</v>
      </c>
      <c r="AC66">
        <v>24.143000000000001</v>
      </c>
      <c r="AD66">
        <v>-1.1021689316959999</v>
      </c>
      <c r="AE66">
        <v>0.95729999999997495</v>
      </c>
      <c r="AF66">
        <v>-0.67592938843263894</v>
      </c>
      <c r="AG66">
        <v>-1.1021689316959999</v>
      </c>
      <c r="AH66">
        <v>24.102323564367602</v>
      </c>
      <c r="AI66">
        <v>92.617212357678795</v>
      </c>
      <c r="AJ66">
        <v>91.606390896336507</v>
      </c>
      <c r="AK66">
        <v>24.136976987469101</v>
      </c>
    </row>
    <row r="67" spans="1:37" x14ac:dyDescent="0.2">
      <c r="A67" t="str">
        <f>"20200111153611974"</f>
        <v>20200111153611974</v>
      </c>
      <c r="B67" t="str">
        <f>"1578728171962470"</f>
        <v>1578728171962470</v>
      </c>
      <c r="C67" t="s">
        <v>37</v>
      </c>
      <c r="D67">
        <v>5.8964220000000003</v>
      </c>
      <c r="E67">
        <v>0.51063570000000003</v>
      </c>
      <c r="F67" t="s">
        <v>39</v>
      </c>
      <c r="G67">
        <v>-446.29500000000002</v>
      </c>
      <c r="H67" s="1">
        <v>-1.921694E-6</v>
      </c>
      <c r="I67">
        <v>368.5462</v>
      </c>
      <c r="J67">
        <v>-470.2149</v>
      </c>
      <c r="K67">
        <v>1.1021989999999999</v>
      </c>
      <c r="L67">
        <v>367.58640000000003</v>
      </c>
      <c r="M67">
        <v>0.99992530000000002</v>
      </c>
      <c r="N67">
        <v>0</v>
      </c>
      <c r="O67">
        <v>1.1724399999999999E-2</v>
      </c>
      <c r="P67">
        <v>0.99680709999999995</v>
      </c>
      <c r="Q67">
        <v>3.7932010000000002E-2</v>
      </c>
      <c r="R67">
        <v>7.0263000000000006E-2</v>
      </c>
      <c r="S67">
        <v>3.0062869999999999</v>
      </c>
      <c r="T67">
        <v>-0.13735149999999999</v>
      </c>
      <c r="U67">
        <v>0.1199341</v>
      </c>
      <c r="V67">
        <v>-5.8560920000000002E-2</v>
      </c>
      <c r="W67">
        <v>3.4477380000000002E-2</v>
      </c>
      <c r="X67">
        <v>0.99768829999999997</v>
      </c>
      <c r="Y67">
        <v>-2.8127739999999998E-2</v>
      </c>
      <c r="Z67">
        <v>1.068251E-4</v>
      </c>
      <c r="AA67">
        <v>0.9996043</v>
      </c>
      <c r="AB67">
        <v>20</v>
      </c>
      <c r="AC67">
        <v>23.919899999999899</v>
      </c>
      <c r="AD67">
        <v>-1.1022009216940001</v>
      </c>
      <c r="AE67">
        <v>0.95979999999997201</v>
      </c>
      <c r="AF67">
        <v>-0.67784894549423602</v>
      </c>
      <c r="AG67">
        <v>-1.1022009216940001</v>
      </c>
      <c r="AH67">
        <v>23.878889488336899</v>
      </c>
      <c r="AI67">
        <v>92.641718077710195</v>
      </c>
      <c r="AJ67">
        <v>91.6260160121886</v>
      </c>
      <c r="AK67">
        <v>23.913922498429599</v>
      </c>
    </row>
    <row r="68" spans="1:37" x14ac:dyDescent="0.2">
      <c r="A68" t="str">
        <f>"20200111153611994"</f>
        <v>20200111153611994</v>
      </c>
      <c r="B68" t="str">
        <f>"1578728171982969"</f>
        <v>1578728171982969</v>
      </c>
      <c r="C68" t="s">
        <v>37</v>
      </c>
      <c r="D68">
        <v>5.6338509999999999</v>
      </c>
      <c r="E68">
        <v>0.51067790000000002</v>
      </c>
      <c r="F68" t="s">
        <v>39</v>
      </c>
      <c r="G68">
        <v>-446.06569999999999</v>
      </c>
      <c r="H68" s="1">
        <v>-2.0272880000000001E-6</v>
      </c>
      <c r="I68">
        <v>368.56180000000001</v>
      </c>
      <c r="J68">
        <v>-470.0222</v>
      </c>
      <c r="K68">
        <v>1.1022430000000001</v>
      </c>
      <c r="L68">
        <v>367.58879999999999</v>
      </c>
      <c r="M68">
        <v>0.999924699999999</v>
      </c>
      <c r="N68">
        <v>0</v>
      </c>
      <c r="O68">
        <v>1.180967E-2</v>
      </c>
      <c r="P68">
        <v>0.99678829999999996</v>
      </c>
      <c r="Q68">
        <v>3.846604E-2</v>
      </c>
      <c r="R68">
        <v>7.0239490000000002E-2</v>
      </c>
      <c r="S68">
        <v>3.0062259999999998</v>
      </c>
      <c r="T68">
        <v>-0.1372082</v>
      </c>
      <c r="U68">
        <v>0.12142939999999899</v>
      </c>
      <c r="V68">
        <v>-5.8456429999999997E-2</v>
      </c>
      <c r="W68">
        <v>3.5097370000000003E-2</v>
      </c>
      <c r="X68">
        <v>0.99767280000000003</v>
      </c>
      <c r="Y68">
        <v>-2.8539439999999999E-2</v>
      </c>
      <c r="Z68">
        <v>1.1221439999999999E-4</v>
      </c>
      <c r="AA68">
        <v>0.9995927</v>
      </c>
      <c r="AB68">
        <v>20</v>
      </c>
      <c r="AC68">
        <v>23.956499999999998</v>
      </c>
      <c r="AD68">
        <v>-1.102245027288</v>
      </c>
      <c r="AE68">
        <v>0.97300000000001297</v>
      </c>
      <c r="AF68">
        <v>-0.68855697566849805</v>
      </c>
      <c r="AG68">
        <v>-1.102245027288</v>
      </c>
      <c r="AH68">
        <v>23.915775209951299</v>
      </c>
      <c r="AI68">
        <v>92.637724472136995</v>
      </c>
      <c r="AJ68">
        <v>91.649142170367099</v>
      </c>
      <c r="AK68">
        <v>23.951061744771199</v>
      </c>
    </row>
    <row r="69" spans="1:37" x14ac:dyDescent="0.2">
      <c r="A69" t="str">
        <f>"20200111153612017"</f>
        <v>20200111153612017</v>
      </c>
      <c r="B69" t="str">
        <f>"1578728172013222"</f>
        <v>1578728172013222</v>
      </c>
      <c r="C69" t="s">
        <v>37</v>
      </c>
      <c r="D69">
        <v>5.6525480000000003</v>
      </c>
      <c r="E69">
        <v>0.51087130000000003</v>
      </c>
      <c r="F69" t="s">
        <v>39</v>
      </c>
      <c r="G69">
        <v>-445.6662</v>
      </c>
      <c r="H69" s="1">
        <v>-2.2151249999999998E-6</v>
      </c>
      <c r="I69">
        <v>368.56760000000003</v>
      </c>
      <c r="J69">
        <v>-469.82069999999999</v>
      </c>
      <c r="K69">
        <v>1.1022860000000001</v>
      </c>
      <c r="L69">
        <v>367.59129999999999</v>
      </c>
      <c r="M69">
        <v>0.99992380000000003</v>
      </c>
      <c r="N69">
        <v>0</v>
      </c>
      <c r="O69">
        <v>1.189699E-2</v>
      </c>
      <c r="P69">
        <v>0.99676139999999902</v>
      </c>
      <c r="Q69">
        <v>3.9053610000000002E-2</v>
      </c>
      <c r="R69">
        <v>7.0294700000000002E-2</v>
      </c>
      <c r="S69">
        <v>3.00637799999999</v>
      </c>
      <c r="T69">
        <v>-0.13605519999999999</v>
      </c>
      <c r="U69">
        <v>0.1208191</v>
      </c>
      <c r="V69">
        <v>-5.842791E-2</v>
      </c>
      <c r="W69">
        <v>3.5766430000000002E-2</v>
      </c>
      <c r="X69">
        <v>0.9976507</v>
      </c>
      <c r="Y69">
        <v>-2.824817E-2</v>
      </c>
      <c r="Z69">
        <v>1.00734599999999E-4</v>
      </c>
      <c r="AA69">
        <v>0.99960090000000001</v>
      </c>
      <c r="AB69">
        <v>20</v>
      </c>
      <c r="AC69">
        <v>24.154499999999899</v>
      </c>
      <c r="AD69">
        <v>-1.102288215125</v>
      </c>
      <c r="AE69">
        <v>0.97630000000003703</v>
      </c>
      <c r="AF69">
        <v>-0.68743422294163803</v>
      </c>
      <c r="AG69">
        <v>-1.102288215125</v>
      </c>
      <c r="AH69">
        <v>24.1142685000654</v>
      </c>
      <c r="AI69">
        <v>92.616166256894104</v>
      </c>
      <c r="AJ69">
        <v>91.632909383238399</v>
      </c>
      <c r="AK69">
        <v>24.149234986088501</v>
      </c>
    </row>
    <row r="70" spans="1:37" x14ac:dyDescent="0.2">
      <c r="A70" t="str">
        <f>"20200111153612040"</f>
        <v>20200111153612040</v>
      </c>
      <c r="B70" t="str">
        <f>"1578728172032743"</f>
        <v>1578728172032743</v>
      </c>
      <c r="C70" t="s">
        <v>37</v>
      </c>
      <c r="D70">
        <v>5.7520280000000001</v>
      </c>
      <c r="E70">
        <v>0.51110480000000003</v>
      </c>
      <c r="F70" t="s">
        <v>39</v>
      </c>
      <c r="G70">
        <v>-445.59019999999998</v>
      </c>
      <c r="H70" s="1">
        <v>-2.2534369999999999E-6</v>
      </c>
      <c r="I70">
        <v>368.55419999999998</v>
      </c>
      <c r="J70">
        <v>-469.60109999999997</v>
      </c>
      <c r="K70">
        <v>1.102319</v>
      </c>
      <c r="L70">
        <v>367.59410000000003</v>
      </c>
      <c r="M70">
        <v>0.9999228</v>
      </c>
      <c r="N70">
        <v>0</v>
      </c>
      <c r="O70">
        <v>1.201031E-2</v>
      </c>
      <c r="P70">
        <v>0.99674949999999995</v>
      </c>
      <c r="Q70">
        <v>3.9318680000000002E-2</v>
      </c>
      <c r="R70">
        <v>7.0316320000000002E-2</v>
      </c>
      <c r="S70">
        <v>3.006653</v>
      </c>
      <c r="T70">
        <v>-0.13677779999999901</v>
      </c>
      <c r="U70">
        <v>0.11947629999999999</v>
      </c>
      <c r="V70">
        <v>-5.833824E-2</v>
      </c>
      <c r="W70">
        <v>3.6112869999999998E-2</v>
      </c>
      <c r="X70">
        <v>0.99764349999999902</v>
      </c>
      <c r="Y70">
        <v>-2.7686039999999999E-2</v>
      </c>
      <c r="Z70" s="1">
        <v>8.3336960000000002E-5</v>
      </c>
      <c r="AA70">
        <v>0.99961669999999903</v>
      </c>
      <c r="AB70">
        <v>20</v>
      </c>
      <c r="AC70">
        <v>24.0108999999999</v>
      </c>
      <c r="AD70">
        <v>-1.1023212534369999</v>
      </c>
      <c r="AE70">
        <v>0.96009999999995399</v>
      </c>
      <c r="AF70">
        <v>-0.67024055466245602</v>
      </c>
      <c r="AG70">
        <v>-1.1023212534369999</v>
      </c>
      <c r="AH70">
        <v>23.970258937017199</v>
      </c>
      <c r="AI70">
        <v>92.631980999276706</v>
      </c>
      <c r="AJ70">
        <v>91.601649436358201</v>
      </c>
      <c r="AK70">
        <v>24.004950490566401</v>
      </c>
    </row>
    <row r="71" spans="1:37" x14ac:dyDescent="0.2">
      <c r="A71" t="str">
        <f>"20200111153612062"</f>
        <v>20200111153612062</v>
      </c>
      <c r="B71" t="str">
        <f>"1578728172053238"</f>
        <v>1578728172053238</v>
      </c>
      <c r="C71" t="s">
        <v>37</v>
      </c>
      <c r="D71">
        <v>3.8874620000000002</v>
      </c>
      <c r="E71">
        <v>0.52939720000000001</v>
      </c>
      <c r="F71" t="s">
        <v>39</v>
      </c>
      <c r="G71">
        <v>-445.33260000000001</v>
      </c>
      <c r="H71" s="1">
        <v>-2.3772869999999999E-6</v>
      </c>
      <c r="I71">
        <v>368.54239999999999</v>
      </c>
      <c r="J71">
        <v>-469.38799999999998</v>
      </c>
      <c r="K71">
        <v>1.1023459999999901</v>
      </c>
      <c r="L71">
        <v>367.59690000000001</v>
      </c>
      <c r="M71">
        <v>0.99992150000000002</v>
      </c>
      <c r="N71">
        <v>0</v>
      </c>
      <c r="O71">
        <v>1.213974E-2</v>
      </c>
      <c r="P71">
        <v>0.99670829999999999</v>
      </c>
      <c r="Q71">
        <v>3.9600740000000002E-2</v>
      </c>
      <c r="R71">
        <v>7.0743539999999994E-2</v>
      </c>
      <c r="S71">
        <v>3.006866</v>
      </c>
      <c r="T71">
        <v>-0.13657720000000001</v>
      </c>
      <c r="U71">
        <v>0.11749269999999901</v>
      </c>
      <c r="V71">
        <v>-5.8637179999999997E-2</v>
      </c>
      <c r="W71">
        <v>3.6466449999999997E-2</v>
      </c>
      <c r="X71">
        <v>0.99761309999999903</v>
      </c>
      <c r="Y71">
        <v>-2.6896389999999999E-2</v>
      </c>
      <c r="Z71" s="1">
        <v>5.9419200000000002E-5</v>
      </c>
      <c r="AA71">
        <v>0.99963819999999903</v>
      </c>
      <c r="AB71">
        <v>21</v>
      </c>
      <c r="AC71">
        <v>24.055399999999999</v>
      </c>
      <c r="AD71">
        <v>-1.10234837728699</v>
      </c>
      <c r="AE71">
        <v>0.94549999999998102</v>
      </c>
      <c r="AF71">
        <v>-0.652035478494291</v>
      </c>
      <c r="AG71">
        <v>-1.10234837728699</v>
      </c>
      <c r="AH71">
        <v>24.014753123819801</v>
      </c>
      <c r="AI71">
        <v>92.627234399854402</v>
      </c>
      <c r="AJ71">
        <v>91.555281644395905</v>
      </c>
      <c r="AK71">
        <v>24.048881258971999</v>
      </c>
    </row>
    <row r="72" spans="1:37" x14ac:dyDescent="0.2">
      <c r="A72" t="str">
        <f>"20200111153612084"</f>
        <v>20200111153612084</v>
      </c>
      <c r="B72" t="str">
        <f>"1578728172072761"</f>
        <v>1578728172072761</v>
      </c>
      <c r="C72" t="s">
        <v>37</v>
      </c>
      <c r="D72">
        <v>3.4494790000000002</v>
      </c>
      <c r="E72">
        <v>0.57904489999999997</v>
      </c>
      <c r="F72" t="s">
        <v>38</v>
      </c>
      <c r="G72">
        <v>-468.56349999999998</v>
      </c>
      <c r="H72">
        <v>0.91433580000000003</v>
      </c>
      <c r="I72">
        <v>367.58620000000002</v>
      </c>
      <c r="J72">
        <v>-469.18369999999999</v>
      </c>
      <c r="K72">
        <v>1.102368</v>
      </c>
      <c r="L72">
        <v>367.59949999999998</v>
      </c>
      <c r="M72">
        <v>0.99992000000000003</v>
      </c>
      <c r="N72">
        <v>0</v>
      </c>
      <c r="O72">
        <v>1.227108E-2</v>
      </c>
      <c r="P72">
        <v>0.99666909999999898</v>
      </c>
      <c r="Q72">
        <v>3.989533E-2</v>
      </c>
      <c r="R72">
        <v>7.112694E-2</v>
      </c>
      <c r="S72">
        <v>3.0401609999999999</v>
      </c>
      <c r="T72">
        <v>-0.69344340000000004</v>
      </c>
      <c r="U72">
        <v>-3.7567139999999999E-2</v>
      </c>
      <c r="V72">
        <v>-5.8890419999999999E-2</v>
      </c>
      <c r="W72">
        <v>3.6827650000000003E-2</v>
      </c>
      <c r="X72">
        <v>0.9975849</v>
      </c>
      <c r="Y72">
        <v>2.3701489999999999E-2</v>
      </c>
      <c r="Z72">
        <v>-5.4321019999999899E-3</v>
      </c>
      <c r="AA72">
        <v>0.99970429999999999</v>
      </c>
      <c r="AB72">
        <v>21</v>
      </c>
      <c r="AC72">
        <v>0.62020000000001096</v>
      </c>
      <c r="AD72">
        <v>-0.18803220000000001</v>
      </c>
      <c r="AE72">
        <v>-1.32999999999583E-2</v>
      </c>
      <c r="AF72">
        <v>1.9150124716768E-2</v>
      </c>
      <c r="AG72">
        <v>-0.18803220000000001</v>
      </c>
      <c r="AH72">
        <v>0.56782106750625805</v>
      </c>
      <c r="AI72">
        <v>108.312413910293</v>
      </c>
      <c r="AJ72">
        <v>88.0683957148036</v>
      </c>
      <c r="AK72">
        <v>0.59845100068213997</v>
      </c>
    </row>
    <row r="73" spans="1:37" x14ac:dyDescent="0.2">
      <c r="A73" t="str">
        <f>"20200111153612105"</f>
        <v>20200111153612105</v>
      </c>
      <c r="B73" t="str">
        <f>"1578728172103015"</f>
        <v>1578728172103015</v>
      </c>
      <c r="C73" t="s">
        <v>37</v>
      </c>
      <c r="D73">
        <v>5.924804</v>
      </c>
      <c r="E73">
        <v>0.57558369999999903</v>
      </c>
      <c r="F73" t="s">
        <v>38</v>
      </c>
      <c r="G73">
        <v>-468.43119999999999</v>
      </c>
      <c r="H73">
        <v>0.75102380000000002</v>
      </c>
      <c r="I73">
        <v>367.49169999999998</v>
      </c>
      <c r="J73">
        <v>-468.96839999999997</v>
      </c>
      <c r="K73">
        <v>1.102398</v>
      </c>
      <c r="L73">
        <v>367.60230000000001</v>
      </c>
      <c r="M73">
        <v>0.99991859999999999</v>
      </c>
      <c r="N73">
        <v>0</v>
      </c>
      <c r="O73">
        <v>1.2408840000000001E-2</v>
      </c>
      <c r="P73">
        <v>0.99667680000000003</v>
      </c>
      <c r="Q73">
        <v>3.9685039999999998E-2</v>
      </c>
      <c r="R73">
        <v>7.1139919999999995E-2</v>
      </c>
      <c r="S73">
        <v>3.0997619999999899</v>
      </c>
      <c r="T73">
        <v>-1.4475659999999999</v>
      </c>
      <c r="U73">
        <v>-0.44519039999999999</v>
      </c>
      <c r="V73">
        <v>-5.8766579999999999E-2</v>
      </c>
      <c r="W73">
        <v>3.6683739999999999E-2</v>
      </c>
      <c r="X73">
        <v>0.99759750000000003</v>
      </c>
      <c r="Y73">
        <v>0.1390303</v>
      </c>
      <c r="Z73">
        <v>-3.6213460000000003E-2</v>
      </c>
      <c r="AA73">
        <v>0.9896258</v>
      </c>
      <c r="AB73">
        <v>21</v>
      </c>
      <c r="AC73">
        <v>0.53719999999998402</v>
      </c>
      <c r="AD73">
        <v>-0.35137420000000003</v>
      </c>
      <c r="AE73">
        <v>-0.11060000000003301</v>
      </c>
      <c r="AF73">
        <v>8.3136056550587201E-2</v>
      </c>
      <c r="AG73">
        <v>-0.35137420000000003</v>
      </c>
      <c r="AH73">
        <v>0.37987452282765499</v>
      </c>
      <c r="AI73">
        <v>132.10060003500399</v>
      </c>
      <c r="AJ73">
        <v>77.655370459705296</v>
      </c>
      <c r="AK73">
        <v>0.52409930873638899</v>
      </c>
    </row>
    <row r="74" spans="1:37" x14ac:dyDescent="0.2">
      <c r="A74" t="str">
        <f>"20200111153612130"</f>
        <v>20200111153612130</v>
      </c>
      <c r="B74" t="str">
        <f>"1578728172122535"</f>
        <v>1578728172122535</v>
      </c>
      <c r="C74" t="s">
        <v>37</v>
      </c>
      <c r="D74">
        <v>5.800529</v>
      </c>
      <c r="E74">
        <v>0.53855259999999905</v>
      </c>
      <c r="F74" t="s">
        <v>38</v>
      </c>
      <c r="G74">
        <v>-468.22320000000002</v>
      </c>
      <c r="H74">
        <v>0.78814519999999899</v>
      </c>
      <c r="I74">
        <v>367.50199999999899</v>
      </c>
      <c r="J74">
        <v>-468.73599999999999</v>
      </c>
      <c r="K74">
        <v>1.1023609999999999</v>
      </c>
      <c r="L74">
        <v>367.6053</v>
      </c>
      <c r="M74">
        <v>0.99991609999999997</v>
      </c>
      <c r="N74">
        <v>0</v>
      </c>
      <c r="O74">
        <v>1.255613E-2</v>
      </c>
      <c r="P74">
        <v>0.99670049999999899</v>
      </c>
      <c r="Q74">
        <v>3.9525440000000002E-2</v>
      </c>
      <c r="R74">
        <v>7.0894990000000005E-2</v>
      </c>
      <c r="S74">
        <v>3.091431</v>
      </c>
      <c r="T74">
        <v>-1.303439</v>
      </c>
      <c r="U74">
        <v>-0.4140625</v>
      </c>
      <c r="V74">
        <v>-5.8375290000000003E-2</v>
      </c>
      <c r="W74">
        <v>3.6360660000000003E-2</v>
      </c>
      <c r="X74">
        <v>0.99763230000000003</v>
      </c>
      <c r="Y74">
        <v>0.1329852</v>
      </c>
      <c r="Z74">
        <v>-3.1841889999999998E-2</v>
      </c>
      <c r="AA74">
        <v>0.9906064</v>
      </c>
      <c r="AB74">
        <v>22</v>
      </c>
      <c r="AC74">
        <v>0.51279999999996995</v>
      </c>
      <c r="AD74">
        <v>-0.31421579999999999</v>
      </c>
      <c r="AE74">
        <v>-0.10330000000004699</v>
      </c>
      <c r="AF74">
        <v>8.0635984221320497E-2</v>
      </c>
      <c r="AG74">
        <v>-0.31421579999999999</v>
      </c>
      <c r="AH74">
        <v>0.37585009432374999</v>
      </c>
      <c r="AI74">
        <v>129.263011846599</v>
      </c>
      <c r="AJ74">
        <v>77.891152751932594</v>
      </c>
      <c r="AK74">
        <v>0.49648466675633901</v>
      </c>
    </row>
    <row r="75" spans="1:37" x14ac:dyDescent="0.2">
      <c r="A75" t="str">
        <f>"20200111153612151"</f>
        <v>20200111153612151</v>
      </c>
      <c r="B75" t="str">
        <f>"1578728172143048"</f>
        <v>1578728172143048</v>
      </c>
      <c r="C75" t="s">
        <v>37</v>
      </c>
      <c r="D75">
        <v>5.6793279999999999</v>
      </c>
      <c r="E75">
        <v>0.53078760000000003</v>
      </c>
      <c r="F75" t="s">
        <v>38</v>
      </c>
      <c r="G75">
        <v>-467.95749999999998</v>
      </c>
      <c r="H75">
        <v>0.95421859999999903</v>
      </c>
      <c r="I75">
        <v>367.5779</v>
      </c>
      <c r="J75">
        <v>-468.51409999999998</v>
      </c>
      <c r="K75">
        <v>1.1022639999999999</v>
      </c>
      <c r="L75">
        <v>367.60820000000001</v>
      </c>
      <c r="M75">
        <v>0.99991379999999996</v>
      </c>
      <c r="N75">
        <v>0</v>
      </c>
      <c r="O75">
        <v>1.2695980000000001E-2</v>
      </c>
      <c r="P75">
        <v>0.99673029999999996</v>
      </c>
      <c r="Q75">
        <v>3.9295410000000003E-2</v>
      </c>
      <c r="R75">
        <v>7.0604349999999996E-2</v>
      </c>
      <c r="S75">
        <v>3.0404360000000001</v>
      </c>
      <c r="T75">
        <v>-0.57858940000000003</v>
      </c>
      <c r="U75">
        <v>-0.1069031</v>
      </c>
      <c r="V75">
        <v>-5.7946159999999997E-2</v>
      </c>
      <c r="W75">
        <v>3.5924159999999997E-2</v>
      </c>
      <c r="X75">
        <v>0.99767320000000004</v>
      </c>
      <c r="Y75">
        <v>4.6758359999999999E-2</v>
      </c>
      <c r="Z75">
        <v>-6.8020379999999998E-3</v>
      </c>
      <c r="AA75">
        <v>0.99888310000000002</v>
      </c>
      <c r="AB75">
        <v>22</v>
      </c>
      <c r="AC75">
        <v>0.55660000000000298</v>
      </c>
      <c r="AD75">
        <v>-0.14804539999999999</v>
      </c>
      <c r="AE75">
        <v>-3.0300000000010999E-2</v>
      </c>
      <c r="AF75">
        <v>3.4902270879325903E-2</v>
      </c>
      <c r="AG75">
        <v>-0.14804539999999999</v>
      </c>
      <c r="AH75">
        <v>0.51952462735471505</v>
      </c>
      <c r="AI75">
        <v>105.87163339111299</v>
      </c>
      <c r="AJ75">
        <v>86.156577895394406</v>
      </c>
      <c r="AK75">
        <v>0.54133302818297502</v>
      </c>
    </row>
    <row r="76" spans="1:37" x14ac:dyDescent="0.2">
      <c r="A76" t="str">
        <f>"20200111153612164"</f>
        <v>20200111153612164</v>
      </c>
      <c r="B76" t="str">
        <f>"1578728172152790"</f>
        <v>1578728172152790</v>
      </c>
      <c r="C76" t="s">
        <v>37</v>
      </c>
      <c r="D76">
        <v>6.1752779999999996</v>
      </c>
      <c r="E76">
        <v>0.52951280000000001</v>
      </c>
      <c r="F76" t="s">
        <v>38</v>
      </c>
      <c r="G76">
        <v>-467.73770000000002</v>
      </c>
      <c r="H76">
        <v>0.99511859999999996</v>
      </c>
      <c r="I76">
        <v>367.5967</v>
      </c>
      <c r="J76">
        <v>-468.3843</v>
      </c>
      <c r="K76">
        <v>1.102233</v>
      </c>
      <c r="L76">
        <v>367.60989999999998</v>
      </c>
      <c r="M76">
        <v>0.99991289999999999</v>
      </c>
      <c r="N76">
        <v>0</v>
      </c>
      <c r="O76">
        <v>1.277798E-2</v>
      </c>
      <c r="P76">
        <v>0.99676319999999996</v>
      </c>
      <c r="Q76">
        <v>3.8661059999999997E-2</v>
      </c>
      <c r="R76">
        <v>7.0488759999999998E-2</v>
      </c>
      <c r="S76">
        <v>3.0294189999999999</v>
      </c>
      <c r="T76">
        <v>-0.41829529999999898</v>
      </c>
      <c r="U76">
        <v>-4.2816159999999999E-2</v>
      </c>
      <c r="V76">
        <v>-5.7748920000000002E-2</v>
      </c>
      <c r="W76">
        <v>3.5368040000000003E-2</v>
      </c>
      <c r="X76">
        <v>0.99770439999999905</v>
      </c>
      <c r="Y76">
        <v>2.6534740000000001E-2</v>
      </c>
      <c r="Z76">
        <v>-3.5791409999999901E-3</v>
      </c>
      <c r="AA76">
        <v>0.99964149999999996</v>
      </c>
      <c r="AB76">
        <v>22</v>
      </c>
      <c r="AC76">
        <v>0.64659999999997797</v>
      </c>
      <c r="AD76">
        <v>-0.1071144</v>
      </c>
      <c r="AE76">
        <v>-1.31999999999834E-2</v>
      </c>
      <c r="AF76">
        <v>2.0888222183366199E-2</v>
      </c>
      <c r="AG76">
        <v>-0.1071144</v>
      </c>
      <c r="AH76">
        <v>0.62912105158666498</v>
      </c>
      <c r="AI76">
        <v>99.657323980625407</v>
      </c>
      <c r="AJ76">
        <v>88.098350900272294</v>
      </c>
      <c r="AK76">
        <v>0.63851633500079996</v>
      </c>
    </row>
    <row r="77" spans="1:37" x14ac:dyDescent="0.2">
      <c r="A77" t="str">
        <f>"20200111153612185"</f>
        <v>20200111153612185</v>
      </c>
      <c r="B77" t="str">
        <f>"1578728172172635"</f>
        <v>1578728172172635</v>
      </c>
      <c r="C77" t="s">
        <v>37</v>
      </c>
      <c r="D77">
        <v>5.5837979999999998</v>
      </c>
      <c r="E77">
        <v>0.52720540000000005</v>
      </c>
      <c r="F77" t="s">
        <v>38</v>
      </c>
      <c r="G77">
        <v>-467.53219999999999</v>
      </c>
      <c r="H77">
        <v>1.0036320000000001</v>
      </c>
      <c r="I77">
        <v>367.60090000000002</v>
      </c>
      <c r="J77">
        <v>-468.18299999999999</v>
      </c>
      <c r="K77">
        <v>1.102222</v>
      </c>
      <c r="L77">
        <v>367.61250000000001</v>
      </c>
      <c r="M77">
        <v>0.99991240000000003</v>
      </c>
      <c r="N77">
        <v>0</v>
      </c>
      <c r="O77">
        <v>1.2905399999999999E-2</v>
      </c>
      <c r="P77">
        <v>0.99681969999999998</v>
      </c>
      <c r="Q77">
        <v>3.7941139999999998E-2</v>
      </c>
      <c r="R77">
        <v>7.0082279999999997E-2</v>
      </c>
      <c r="S77">
        <v>3.025604</v>
      </c>
      <c r="T77">
        <v>-0.35015289999999999</v>
      </c>
      <c r="U77">
        <v>-3.1860350000000003E-2</v>
      </c>
      <c r="V77">
        <v>-5.7215479999999999E-2</v>
      </c>
      <c r="W77">
        <v>3.4958700000000002E-2</v>
      </c>
      <c r="X77">
        <v>0.99774959999999902</v>
      </c>
      <c r="Y77">
        <v>2.3192609999999999E-2</v>
      </c>
      <c r="Z77">
        <v>-2.8260719999999998E-3</v>
      </c>
      <c r="AA77">
        <v>0.99972700000000003</v>
      </c>
      <c r="AB77">
        <v>22</v>
      </c>
      <c r="AC77">
        <v>0.65080000000006</v>
      </c>
      <c r="AD77">
        <v>-9.85899999999999E-2</v>
      </c>
      <c r="AE77">
        <v>-1.15999999999871E-2</v>
      </c>
      <c r="AF77">
        <v>1.9549400767538399E-2</v>
      </c>
      <c r="AG77">
        <v>-9.85899999999999E-2</v>
      </c>
      <c r="AH77">
        <v>0.63600482852454399</v>
      </c>
      <c r="AI77">
        <v>98.807452424553503</v>
      </c>
      <c r="AJ77">
        <v>88.239407085704997</v>
      </c>
      <c r="AK77">
        <v>0.64389774737678995</v>
      </c>
    </row>
    <row r="78" spans="1:37" x14ac:dyDescent="0.2">
      <c r="A78" t="str">
        <f>"20200111153612197"</f>
        <v>20200111153612197</v>
      </c>
      <c r="B78" t="str">
        <f>"1578728172193117"</f>
        <v>1578728172193117</v>
      </c>
      <c r="C78" t="s">
        <v>37</v>
      </c>
      <c r="D78">
        <v>5.6023440000000004</v>
      </c>
      <c r="E78">
        <v>0.52503029999999995</v>
      </c>
      <c r="F78" t="s">
        <v>38</v>
      </c>
      <c r="G78">
        <v>-467.3229</v>
      </c>
      <c r="H78">
        <v>1.016367</v>
      </c>
      <c r="I78">
        <v>367.60820000000001</v>
      </c>
      <c r="J78">
        <v>-468.03809999999999</v>
      </c>
      <c r="K78">
        <v>1.1022080000000001</v>
      </c>
      <c r="L78">
        <v>367.61450000000002</v>
      </c>
      <c r="M78">
        <v>0.99991180000000002</v>
      </c>
      <c r="N78">
        <v>0</v>
      </c>
      <c r="O78">
        <v>1.2998859999999999E-2</v>
      </c>
      <c r="P78">
        <v>0.996834</v>
      </c>
      <c r="Q78">
        <v>3.7602780000000002E-2</v>
      </c>
      <c r="R78">
        <v>7.0060570000000003E-2</v>
      </c>
      <c r="S78">
        <v>3.0220340000000001</v>
      </c>
      <c r="T78">
        <v>-0.30183909999999903</v>
      </c>
      <c r="U78">
        <v>-1.3671880000000001E-2</v>
      </c>
      <c r="V78">
        <v>-5.7101079999999999E-2</v>
      </c>
      <c r="W78">
        <v>3.4833839999999998E-2</v>
      </c>
      <c r="X78">
        <v>0.99776049999999905</v>
      </c>
      <c r="Y78">
        <v>1.7371310000000001E-2</v>
      </c>
      <c r="Z78">
        <v>-2.1604379999999898E-3</v>
      </c>
      <c r="AA78">
        <v>0.99984680000000004</v>
      </c>
      <c r="AB78">
        <v>23</v>
      </c>
      <c r="AC78">
        <v>0.71519999999998096</v>
      </c>
      <c r="AD78">
        <v>-8.5841000000000001E-2</v>
      </c>
      <c r="AE78">
        <v>-6.3000000000101803E-3</v>
      </c>
      <c r="AF78">
        <v>1.53748189628919E-2</v>
      </c>
      <c r="AG78">
        <v>-8.5841000000000001E-2</v>
      </c>
      <c r="AH78">
        <v>0.70490383111988097</v>
      </c>
      <c r="AI78">
        <v>96.941480758749506</v>
      </c>
      <c r="AJ78">
        <v>88.750506741083598</v>
      </c>
      <c r="AK78">
        <v>0.71027774389081599</v>
      </c>
    </row>
    <row r="79" spans="1:37" x14ac:dyDescent="0.2">
      <c r="A79" t="str">
        <f>"20200111153612219"</f>
        <v>20200111153612219</v>
      </c>
      <c r="B79" t="str">
        <f>"1578728172212637"</f>
        <v>1578728172212637</v>
      </c>
      <c r="C79" t="s">
        <v>37</v>
      </c>
      <c r="D79">
        <v>5.6551580000000001</v>
      </c>
      <c r="E79">
        <v>0.52382759999999995</v>
      </c>
      <c r="F79" t="s">
        <v>38</v>
      </c>
      <c r="G79">
        <v>-467.3159</v>
      </c>
      <c r="H79">
        <v>1.0311219999999901</v>
      </c>
      <c r="I79">
        <v>367.61500000000001</v>
      </c>
      <c r="J79">
        <v>-467.83429999999998</v>
      </c>
      <c r="K79">
        <v>1.1021449999999999</v>
      </c>
      <c r="L79">
        <v>367.61720000000003</v>
      </c>
      <c r="M79">
        <v>0.99991030000000003</v>
      </c>
      <c r="N79">
        <v>0</v>
      </c>
      <c r="O79">
        <v>1.31336E-2</v>
      </c>
      <c r="P79">
        <v>0.99684689999999998</v>
      </c>
      <c r="Q79">
        <v>3.754979E-2</v>
      </c>
      <c r="R79">
        <v>6.990441E-2</v>
      </c>
      <c r="S79">
        <v>3.0204770000000001</v>
      </c>
      <c r="T79">
        <v>-0.29752729999999999</v>
      </c>
      <c r="U79">
        <v>3.7841799999999998E-3</v>
      </c>
      <c r="V79">
        <v>-5.6811250000000001E-2</v>
      </c>
      <c r="W79">
        <v>3.4870060000000001E-2</v>
      </c>
      <c r="X79">
        <v>0.99777579999999999</v>
      </c>
      <c r="Y79">
        <v>1.1760420000000001E-2</v>
      </c>
      <c r="Z79">
        <v>-1.8683770000000001E-3</v>
      </c>
      <c r="AA79">
        <v>0.99992909999999902</v>
      </c>
      <c r="AB79">
        <v>23</v>
      </c>
      <c r="AC79">
        <v>0.51839999999998498</v>
      </c>
      <c r="AD79">
        <v>-7.1023000000000197E-2</v>
      </c>
      <c r="AE79">
        <v>-2.2000000000161799E-3</v>
      </c>
      <c r="AF79">
        <v>8.8423231252353005E-3</v>
      </c>
      <c r="AG79">
        <v>-7.1023000000000197E-2</v>
      </c>
      <c r="AH79">
        <v>0.50877674362951397</v>
      </c>
      <c r="AI79">
        <v>97.945700126995106</v>
      </c>
      <c r="AJ79">
        <v>89.004323993097003</v>
      </c>
      <c r="AK79">
        <v>0.51378616959344403</v>
      </c>
    </row>
    <row r="80" spans="1:37" x14ac:dyDescent="0.2">
      <c r="A80" t="str">
        <f>"20200111153612233"</f>
        <v>20200111153612233</v>
      </c>
      <c r="B80" t="str">
        <f>"1578728172223373"</f>
        <v>1578728172223373</v>
      </c>
      <c r="C80" t="s">
        <v>37</v>
      </c>
      <c r="D80">
        <v>5.6221839999999998</v>
      </c>
      <c r="E80">
        <v>0.52333039999999997</v>
      </c>
      <c r="F80" t="s">
        <v>38</v>
      </c>
      <c r="G80">
        <v>-467.11040000000003</v>
      </c>
      <c r="H80">
        <v>1.0308379999999999</v>
      </c>
      <c r="I80">
        <v>367.62</v>
      </c>
      <c r="J80">
        <v>-467.68639999999999</v>
      </c>
      <c r="K80">
        <v>1.10209</v>
      </c>
      <c r="L80">
        <v>367.61930000000001</v>
      </c>
      <c r="M80">
        <v>0.99990889999999999</v>
      </c>
      <c r="N80">
        <v>0</v>
      </c>
      <c r="O80">
        <v>1.323216E-2</v>
      </c>
      <c r="P80">
        <v>0.99683759999999999</v>
      </c>
      <c r="Q80">
        <v>3.7539499999999899E-2</v>
      </c>
      <c r="R80">
        <v>7.004378E-2</v>
      </c>
      <c r="S80">
        <v>3.019806</v>
      </c>
      <c r="T80">
        <v>-0.29765239999999998</v>
      </c>
      <c r="U80">
        <v>1.312256E-2</v>
      </c>
      <c r="V80">
        <v>-5.6852760000000002E-2</v>
      </c>
      <c r="W80">
        <v>3.4818590000000003E-2</v>
      </c>
      <c r="X80">
        <v>0.99777530000000003</v>
      </c>
      <c r="Y80">
        <v>8.7803410000000005E-3</v>
      </c>
      <c r="Z80">
        <v>-1.732735E-3</v>
      </c>
      <c r="AA80">
        <v>0.99995990000000001</v>
      </c>
      <c r="AB80">
        <v>23</v>
      </c>
      <c r="AC80">
        <v>0.57599999999996498</v>
      </c>
      <c r="AD80">
        <v>-7.1251999999999996E-2</v>
      </c>
      <c r="AE80">
        <v>6.9999999999481501E-4</v>
      </c>
      <c r="AF80">
        <v>6.8174911830006599E-3</v>
      </c>
      <c r="AG80">
        <v>-7.1251999999999996E-2</v>
      </c>
      <c r="AH80">
        <v>0.56727833471691103</v>
      </c>
      <c r="AI80">
        <v>97.158533929603394</v>
      </c>
      <c r="AJ80">
        <v>89.311458513445601</v>
      </c>
      <c r="AK80">
        <v>0.57177621035613402</v>
      </c>
    </row>
    <row r="81" spans="1:37" x14ac:dyDescent="0.2">
      <c r="A81" t="str">
        <f>"20200111153612252"</f>
        <v>20200111153612252</v>
      </c>
      <c r="B81" t="str">
        <f>"1578728172242896"</f>
        <v>1578728172242896</v>
      </c>
      <c r="C81" t="s">
        <v>37</v>
      </c>
      <c r="D81">
        <v>5.8978919999999997</v>
      </c>
      <c r="E81">
        <v>0.52259889999999998</v>
      </c>
      <c r="F81" t="s">
        <v>38</v>
      </c>
      <c r="G81">
        <v>-466.9051</v>
      </c>
      <c r="H81">
        <v>1.0248629999999901</v>
      </c>
      <c r="I81">
        <v>367.62349999999998</v>
      </c>
      <c r="J81">
        <v>-467.48070000000001</v>
      </c>
      <c r="K81">
        <v>1.1020369999999999</v>
      </c>
      <c r="L81">
        <v>367.62209999999999</v>
      </c>
      <c r="M81">
        <v>0.99990679999999998</v>
      </c>
      <c r="N81">
        <v>0</v>
      </c>
      <c r="O81">
        <v>1.336919E-2</v>
      </c>
      <c r="P81">
        <v>0.99684069999999902</v>
      </c>
      <c r="Q81">
        <v>3.7735100000000001E-2</v>
      </c>
      <c r="R81">
        <v>6.9889699999999999E-2</v>
      </c>
      <c r="S81">
        <v>3.0195310000000002</v>
      </c>
      <c r="T81">
        <v>-0.29846980000000001</v>
      </c>
      <c r="U81">
        <v>1.696777E-2</v>
      </c>
      <c r="V81">
        <v>-5.6563219999999997E-2</v>
      </c>
      <c r="W81">
        <v>3.4951549999999998E-2</v>
      </c>
      <c r="X81">
        <v>0.99778709999999904</v>
      </c>
      <c r="Y81">
        <v>7.6478669999999896E-3</v>
      </c>
      <c r="Z81">
        <v>-1.6952979999999901E-3</v>
      </c>
      <c r="AA81">
        <v>0.99996929999999995</v>
      </c>
      <c r="AB81">
        <v>23</v>
      </c>
      <c r="AC81">
        <v>0.57560000000000799</v>
      </c>
      <c r="AD81">
        <v>-7.7174000000000298E-2</v>
      </c>
      <c r="AE81">
        <v>1.39999999998963E-3</v>
      </c>
      <c r="AF81">
        <v>6.1842903063616499E-3</v>
      </c>
      <c r="AG81">
        <v>-7.7174000000000298E-2</v>
      </c>
      <c r="AH81">
        <v>0.56540346863463997</v>
      </c>
      <c r="AI81">
        <v>97.772021597769495</v>
      </c>
      <c r="AJ81">
        <v>89.373333160970205</v>
      </c>
      <c r="AK81">
        <v>0.57067955462472597</v>
      </c>
    </row>
    <row r="82" spans="1:37" x14ac:dyDescent="0.2">
      <c r="A82" t="str">
        <f>"20200111153612276"</f>
        <v>20200111153612276</v>
      </c>
      <c r="B82" t="str">
        <f>"1578728172272681"</f>
        <v>1578728172272681</v>
      </c>
      <c r="C82" t="s">
        <v>37</v>
      </c>
      <c r="D82">
        <v>5.569134</v>
      </c>
      <c r="E82">
        <v>0.52176060000000002</v>
      </c>
      <c r="F82" t="s">
        <v>38</v>
      </c>
      <c r="G82">
        <v>-466.69420000000002</v>
      </c>
      <c r="H82">
        <v>1.0258309999999999</v>
      </c>
      <c r="I82">
        <v>367.6277</v>
      </c>
      <c r="J82">
        <v>-467.23320000000001</v>
      </c>
      <c r="K82">
        <v>1.102033</v>
      </c>
      <c r="L82">
        <v>367.62560000000002</v>
      </c>
      <c r="M82">
        <v>0.99990460000000003</v>
      </c>
      <c r="N82">
        <v>0</v>
      </c>
      <c r="O82">
        <v>1.353175E-2</v>
      </c>
      <c r="P82">
        <v>0.99682649999999995</v>
      </c>
      <c r="Q82">
        <v>3.8022550000000002E-2</v>
      </c>
      <c r="R82">
        <v>6.9940139999999998E-2</v>
      </c>
      <c r="S82">
        <v>3.019012</v>
      </c>
      <c r="T82">
        <v>-0.2926724</v>
      </c>
      <c r="U82">
        <v>2.2705079999999999E-2</v>
      </c>
      <c r="V82">
        <v>-5.6451809999999998E-2</v>
      </c>
      <c r="W82">
        <v>3.522699E-2</v>
      </c>
      <c r="X82">
        <v>0.99778369999999905</v>
      </c>
      <c r="Y82">
        <v>5.9204419999999997E-3</v>
      </c>
      <c r="Z82">
        <v>-1.59498E-3</v>
      </c>
      <c r="AA82">
        <v>0.99998120000000001</v>
      </c>
      <c r="AB82">
        <v>23</v>
      </c>
      <c r="AC82">
        <v>0.53899999999998705</v>
      </c>
      <c r="AD82">
        <v>-7.6202000000000103E-2</v>
      </c>
      <c r="AE82">
        <v>2.0999999999844398E-3</v>
      </c>
      <c r="AF82">
        <v>5.0920583358101297E-3</v>
      </c>
      <c r="AG82">
        <v>-7.6202000000000103E-2</v>
      </c>
      <c r="AH82">
        <v>0.52841756025853304</v>
      </c>
      <c r="AI82">
        <v>98.205558423608807</v>
      </c>
      <c r="AJ82">
        <v>89.447890374384002</v>
      </c>
      <c r="AK82">
        <v>0.53390803688620003</v>
      </c>
    </row>
    <row r="83" spans="1:37" x14ac:dyDescent="0.2">
      <c r="A83" t="str">
        <f>"20200111153612298"</f>
        <v>20200111153612298</v>
      </c>
      <c r="B83" t="str">
        <f>"1578728172293176"</f>
        <v>1578728172293176</v>
      </c>
      <c r="C83" t="s">
        <v>37</v>
      </c>
      <c r="D83">
        <v>5.6959960000000001</v>
      </c>
      <c r="E83">
        <v>0.52132829999999997</v>
      </c>
      <c r="F83" t="s">
        <v>38</v>
      </c>
      <c r="G83">
        <v>-466.47879999999998</v>
      </c>
      <c r="H83">
        <v>1.0321819999999999</v>
      </c>
      <c r="I83">
        <v>367.6327</v>
      </c>
      <c r="J83">
        <v>-466.99849999999998</v>
      </c>
      <c r="K83">
        <v>1.102069</v>
      </c>
      <c r="L83">
        <v>367.62900000000002</v>
      </c>
      <c r="M83">
        <v>0.99990270000000003</v>
      </c>
      <c r="N83">
        <v>0</v>
      </c>
      <c r="O83">
        <v>1.3685009999999999E-2</v>
      </c>
      <c r="P83">
        <v>0.99679969999999996</v>
      </c>
      <c r="Q83">
        <v>3.8519770000000002E-2</v>
      </c>
      <c r="R83">
        <v>7.0046440000000001E-2</v>
      </c>
      <c r="S83">
        <v>3.0181580000000001</v>
      </c>
      <c r="T83">
        <v>-0.27976699999999999</v>
      </c>
      <c r="U83">
        <v>3.0029299999999998E-2</v>
      </c>
      <c r="V83">
        <v>-5.6406440000000002E-2</v>
      </c>
      <c r="W83">
        <v>3.5786440000000003E-2</v>
      </c>
      <c r="X83">
        <v>0.99776629999999999</v>
      </c>
      <c r="Y83">
        <v>3.6619109999999999E-3</v>
      </c>
      <c r="Z83">
        <v>-1.4350889999999901E-3</v>
      </c>
      <c r="AA83">
        <v>0.99999229999999995</v>
      </c>
      <c r="AB83">
        <v>24</v>
      </c>
      <c r="AC83">
        <v>0.51970000000000005</v>
      </c>
      <c r="AD83">
        <v>-6.9887000000000005E-2</v>
      </c>
      <c r="AE83">
        <v>3.69999999998071E-3</v>
      </c>
      <c r="AF83">
        <v>3.3518611917299E-3</v>
      </c>
      <c r="AG83">
        <v>-6.9887000000000005E-2</v>
      </c>
      <c r="AH83">
        <v>0.51047122542440404</v>
      </c>
      <c r="AI83">
        <v>97.795552648550597</v>
      </c>
      <c r="AJ83">
        <v>89.623789294564503</v>
      </c>
      <c r="AK83">
        <v>0.51524392255391105</v>
      </c>
    </row>
    <row r="84" spans="1:37" x14ac:dyDescent="0.2">
      <c r="A84" t="str">
        <f>"20200111153612320"</f>
        <v>20200111153612320</v>
      </c>
      <c r="B84" t="str">
        <f>"1578728172312696"</f>
        <v>1578728172312696</v>
      </c>
      <c r="C84" t="s">
        <v>37</v>
      </c>
      <c r="D84">
        <v>5.6566179999999999</v>
      </c>
      <c r="E84">
        <v>0.52091549999999998</v>
      </c>
      <c r="F84" t="s">
        <v>38</v>
      </c>
      <c r="G84">
        <v>-466.26260000000002</v>
      </c>
      <c r="H84">
        <v>1.0359419999999999</v>
      </c>
      <c r="I84">
        <v>367.63720000000001</v>
      </c>
      <c r="J84">
        <v>-466.76330000000002</v>
      </c>
      <c r="K84">
        <v>1.10212</v>
      </c>
      <c r="L84">
        <v>367.63240000000002</v>
      </c>
      <c r="M84">
        <v>0.99990089999999998</v>
      </c>
      <c r="N84">
        <v>0</v>
      </c>
      <c r="O84">
        <v>1.3838970000000001E-2</v>
      </c>
      <c r="P84">
        <v>0.99679619999999902</v>
      </c>
      <c r="Q84">
        <v>3.898273E-2</v>
      </c>
      <c r="R84">
        <v>6.9842180000000004E-2</v>
      </c>
      <c r="S84">
        <v>3.0177610000000001</v>
      </c>
      <c r="T84">
        <v>-0.27125100000000002</v>
      </c>
      <c r="U84">
        <v>3.3782960000000001E-2</v>
      </c>
      <c r="V84">
        <v>-5.6048489999999999E-2</v>
      </c>
      <c r="W84">
        <v>3.6338259999999997E-2</v>
      </c>
      <c r="X84">
        <v>0.99776659999999995</v>
      </c>
      <c r="Y84">
        <v>2.5790399999999999E-3</v>
      </c>
      <c r="Z84">
        <v>-1.3569949999999999E-3</v>
      </c>
      <c r="AA84">
        <v>0.99999579999999999</v>
      </c>
      <c r="AB84">
        <v>24</v>
      </c>
      <c r="AC84">
        <v>0.50069999999999404</v>
      </c>
      <c r="AD84">
        <v>-6.6178000000000001E-2</v>
      </c>
      <c r="AE84">
        <v>4.7999999999888097E-3</v>
      </c>
      <c r="AF84">
        <v>2.0930938278608401E-3</v>
      </c>
      <c r="AG84">
        <v>-6.6178000000000001E-2</v>
      </c>
      <c r="AH84">
        <v>0.492122303707132</v>
      </c>
      <c r="AI84">
        <v>97.658818595645798</v>
      </c>
      <c r="AJ84">
        <v>89.756311147803103</v>
      </c>
      <c r="AK84">
        <v>0.496556412235093</v>
      </c>
    </row>
    <row r="85" spans="1:37" x14ac:dyDescent="0.2">
      <c r="A85" t="str">
        <f>"20200111153612341"</f>
        <v>20200111153612341</v>
      </c>
      <c r="B85" t="str">
        <f>"1578728172333192"</f>
        <v>1578728172333192</v>
      </c>
      <c r="C85" t="s">
        <v>37</v>
      </c>
      <c r="D85">
        <v>5.7019640000000003</v>
      </c>
      <c r="E85">
        <v>0.52053369999999999</v>
      </c>
      <c r="F85" t="s">
        <v>38</v>
      </c>
      <c r="G85">
        <v>-465.83479999999997</v>
      </c>
      <c r="H85">
        <v>1.0206899999999901</v>
      </c>
      <c r="I85">
        <v>367.64350000000002</v>
      </c>
      <c r="J85">
        <v>-466.51400000000001</v>
      </c>
      <c r="K85">
        <v>1.1021840000000001</v>
      </c>
      <c r="L85">
        <v>367.635999999999</v>
      </c>
      <c r="M85">
        <v>0.99989869999999903</v>
      </c>
      <c r="N85">
        <v>0</v>
      </c>
      <c r="O85">
        <v>1.4002840000000001E-2</v>
      </c>
      <c r="P85">
        <v>0.99682950000000003</v>
      </c>
      <c r="Q85">
        <v>3.92582E-2</v>
      </c>
      <c r="R85">
        <v>6.9208809999999996E-2</v>
      </c>
      <c r="S85">
        <v>3.0174560000000001</v>
      </c>
      <c r="T85">
        <v>-0.2646676</v>
      </c>
      <c r="U85">
        <v>3.6437990000000003E-2</v>
      </c>
      <c r="V85">
        <v>-5.5251759999999997E-2</v>
      </c>
      <c r="W85">
        <v>3.6709470000000001E-2</v>
      </c>
      <c r="X85">
        <v>0.99779739999999995</v>
      </c>
      <c r="Y85">
        <v>1.8672789999999999E-3</v>
      </c>
      <c r="Z85">
        <v>-1.307501E-3</v>
      </c>
      <c r="AA85">
        <v>0.99999740000000004</v>
      </c>
      <c r="AB85">
        <v>24</v>
      </c>
      <c r="AC85">
        <v>0.679200000000037</v>
      </c>
      <c r="AD85">
        <v>-8.1494000000000094E-2</v>
      </c>
      <c r="AE85">
        <v>7.5000000000500196E-3</v>
      </c>
      <c r="AF85">
        <v>1.9829512150618101E-3</v>
      </c>
      <c r="AG85">
        <v>-8.1494000000000094E-2</v>
      </c>
      <c r="AH85">
        <v>0.66959973438364495</v>
      </c>
      <c r="AI85">
        <v>96.939057038298998</v>
      </c>
      <c r="AJ85">
        <v>89.830324897633602</v>
      </c>
      <c r="AK85">
        <v>0.67454355561236301</v>
      </c>
    </row>
    <row r="86" spans="1:37" x14ac:dyDescent="0.2">
      <c r="A86" t="str">
        <f>"20200111153612364"</f>
        <v>20200111153612364</v>
      </c>
      <c r="B86" t="str">
        <f>"1578728172352712"</f>
        <v>1578728172352712</v>
      </c>
      <c r="C86" t="s">
        <v>37</v>
      </c>
      <c r="D86">
        <v>5.960877</v>
      </c>
      <c r="E86">
        <v>0.52033119999999999</v>
      </c>
      <c r="F86" t="s">
        <v>38</v>
      </c>
      <c r="G86">
        <v>-465.61239999999998</v>
      </c>
      <c r="H86">
        <v>1.024807</v>
      </c>
      <c r="I86">
        <v>367.64690000000002</v>
      </c>
      <c r="J86">
        <v>-466.27120000000002</v>
      </c>
      <c r="K86">
        <v>1.1022479999999999</v>
      </c>
      <c r="L86">
        <v>367.63959999999997</v>
      </c>
      <c r="M86">
        <v>0.99989680000000003</v>
      </c>
      <c r="N86">
        <v>0</v>
      </c>
      <c r="O86">
        <v>1.4161989999999999E-2</v>
      </c>
      <c r="P86">
        <v>0.99688790000000005</v>
      </c>
      <c r="Q86">
        <v>3.9861840000000003E-2</v>
      </c>
      <c r="R86">
        <v>6.8013530000000003E-2</v>
      </c>
      <c r="S86">
        <v>3.0171199999999998</v>
      </c>
      <c r="T86">
        <v>-0.25925160000000003</v>
      </c>
      <c r="U86">
        <v>3.7841800000000002E-2</v>
      </c>
      <c r="V86">
        <v>-5.3897180000000003E-2</v>
      </c>
      <c r="W86">
        <v>3.7406130000000003E-2</v>
      </c>
      <c r="X86">
        <v>0.9978456</v>
      </c>
      <c r="Y86">
        <v>1.56287299999999E-3</v>
      </c>
      <c r="Z86">
        <v>-1.281576E-3</v>
      </c>
      <c r="AA86">
        <v>0.99999799999999905</v>
      </c>
      <c r="AB86">
        <v>24</v>
      </c>
      <c r="AC86">
        <v>0.65880000000004202</v>
      </c>
      <c r="AD86">
        <v>-7.7440999999999802E-2</v>
      </c>
      <c r="AE86">
        <v>7.3000000000433803E-3</v>
      </c>
      <c r="AF86">
        <v>2.0030048326911401E-3</v>
      </c>
      <c r="AG86">
        <v>-7.7440999999999802E-2</v>
      </c>
      <c r="AH86">
        <v>0.64985888274692505</v>
      </c>
      <c r="AI86">
        <v>96.795623179811301</v>
      </c>
      <c r="AJ86">
        <v>89.823402644964801</v>
      </c>
      <c r="AK86">
        <v>0.65445984444764904</v>
      </c>
    </row>
    <row r="87" spans="1:37" x14ac:dyDescent="0.2">
      <c r="A87" t="str">
        <f>"20200111153612387"</f>
        <v>20200111153612387</v>
      </c>
      <c r="B87" t="str">
        <f>"1578728172383475"</f>
        <v>1578728172383475</v>
      </c>
      <c r="C87" t="s">
        <v>37</v>
      </c>
      <c r="D87">
        <v>5.6783219999999996</v>
      </c>
      <c r="E87">
        <v>0.51995590000000003</v>
      </c>
      <c r="F87" t="s">
        <v>38</v>
      </c>
      <c r="G87">
        <v>-465.38830000000002</v>
      </c>
      <c r="H87">
        <v>1.0281169999999999</v>
      </c>
      <c r="I87">
        <v>367.65</v>
      </c>
      <c r="J87">
        <v>-466.02120000000002</v>
      </c>
      <c r="K87">
        <v>1.1023099999999999</v>
      </c>
      <c r="L87">
        <v>367.64319999999998</v>
      </c>
      <c r="M87">
        <v>0.99989470000000003</v>
      </c>
      <c r="N87">
        <v>0</v>
      </c>
      <c r="O87">
        <v>1.4326149999999999E-2</v>
      </c>
      <c r="P87">
        <v>0.99697610000000003</v>
      </c>
      <c r="Q87">
        <v>4.0316310000000001E-2</v>
      </c>
      <c r="R87">
        <v>6.6433130000000007E-2</v>
      </c>
      <c r="S87">
        <v>3.017029</v>
      </c>
      <c r="T87">
        <v>-0.25356430000000002</v>
      </c>
      <c r="U87">
        <v>3.6224369999999999E-2</v>
      </c>
      <c r="V87">
        <v>-5.2152169999999998E-2</v>
      </c>
      <c r="W87">
        <v>3.7960290000000001E-2</v>
      </c>
      <c r="X87">
        <v>0.99791739999999995</v>
      </c>
      <c r="Y87">
        <v>2.2621469999999999E-3</v>
      </c>
      <c r="Z87">
        <v>-1.2967059999999999E-3</v>
      </c>
      <c r="AA87">
        <v>0.99999660000000001</v>
      </c>
      <c r="AB87">
        <v>25</v>
      </c>
      <c r="AC87">
        <v>0.63290000000000601</v>
      </c>
      <c r="AD87">
        <v>-7.4193000000000106E-2</v>
      </c>
      <c r="AE87">
        <v>6.7999999999983603E-3</v>
      </c>
      <c r="AF87">
        <v>2.2370046662716601E-3</v>
      </c>
      <c r="AG87">
        <v>-7.4193000000000106E-2</v>
      </c>
      <c r="AH87">
        <v>0.62435347831536203</v>
      </c>
      <c r="AI87">
        <v>96.776734138609996</v>
      </c>
      <c r="AJ87">
        <v>89.794715041832504</v>
      </c>
      <c r="AK87">
        <v>0.62875024558513504</v>
      </c>
    </row>
    <row r="88" spans="1:37" x14ac:dyDescent="0.2">
      <c r="A88" t="str">
        <f>"20200111153612408"</f>
        <v>20200111153612408</v>
      </c>
      <c r="B88" t="str">
        <f>"1578728172402995"</f>
        <v>1578728172402995</v>
      </c>
      <c r="C88" t="s">
        <v>37</v>
      </c>
      <c r="D88">
        <v>5.7266879999999896</v>
      </c>
      <c r="E88">
        <v>0.51970799999999995</v>
      </c>
      <c r="F88" t="s">
        <v>38</v>
      </c>
      <c r="G88">
        <v>-465.16199999999998</v>
      </c>
      <c r="H88">
        <v>1.0319479999999901</v>
      </c>
      <c r="I88">
        <v>367.65269999999998</v>
      </c>
      <c r="J88">
        <v>-465.77</v>
      </c>
      <c r="K88">
        <v>1.102376</v>
      </c>
      <c r="L88">
        <v>367.64699999999999</v>
      </c>
      <c r="M88">
        <v>0.99989249999999996</v>
      </c>
      <c r="N88">
        <v>0</v>
      </c>
      <c r="O88">
        <v>1.4490660000000001E-2</v>
      </c>
      <c r="P88">
        <v>0.99704059999999906</v>
      </c>
      <c r="Q88">
        <v>4.0243340000000002E-2</v>
      </c>
      <c r="R88">
        <v>6.5502469999999993E-2</v>
      </c>
      <c r="S88">
        <v>3.0168149999999998</v>
      </c>
      <c r="T88">
        <v>-0.247432499999999</v>
      </c>
      <c r="U88">
        <v>3.4790040000000001E-2</v>
      </c>
      <c r="V88">
        <v>-5.105668E-2</v>
      </c>
      <c r="W88">
        <v>3.7989370000000001E-2</v>
      </c>
      <c r="X88">
        <v>0.997973</v>
      </c>
      <c r="Y88">
        <v>2.9012859999999999E-3</v>
      </c>
      <c r="Z88">
        <v>-1.3051829999999999E-3</v>
      </c>
      <c r="AA88">
        <v>0.99999490000000002</v>
      </c>
      <c r="AB88">
        <v>25</v>
      </c>
      <c r="AC88">
        <v>0.60800000000000398</v>
      </c>
      <c r="AD88">
        <v>-7.0428000000000102E-2</v>
      </c>
      <c r="AE88">
        <v>5.6999999999902597E-3</v>
      </c>
      <c r="AF88">
        <v>3.0697558591090998E-3</v>
      </c>
      <c r="AG88">
        <v>-7.0428000000000102E-2</v>
      </c>
      <c r="AH88">
        <v>0.59996915941788997</v>
      </c>
      <c r="AI88">
        <v>96.694998061600103</v>
      </c>
      <c r="AJ88">
        <v>89.706847398213199</v>
      </c>
      <c r="AK88">
        <v>0.60409644829087095</v>
      </c>
    </row>
    <row r="89" spans="1:37" x14ac:dyDescent="0.2">
      <c r="A89" t="str">
        <f>"20200111153612431"</f>
        <v>20200111153612431</v>
      </c>
      <c r="B89" t="str">
        <f>"1578728172422515"</f>
        <v>1578728172422515</v>
      </c>
      <c r="C89" t="s">
        <v>37</v>
      </c>
      <c r="D89">
        <v>5.8929049999999998</v>
      </c>
      <c r="E89">
        <v>0.51948930000000004</v>
      </c>
      <c r="F89" t="s">
        <v>38</v>
      </c>
      <c r="G89">
        <v>-464.93430000000001</v>
      </c>
      <c r="H89">
        <v>1.0346469999999901</v>
      </c>
      <c r="I89">
        <v>367.65629999999999</v>
      </c>
      <c r="J89">
        <v>-465.51710000000003</v>
      </c>
      <c r="K89">
        <v>1.1024449999999999</v>
      </c>
      <c r="L89">
        <v>367.6508</v>
      </c>
      <c r="M89">
        <v>0.99989039999999996</v>
      </c>
      <c r="N89">
        <v>0</v>
      </c>
      <c r="O89">
        <v>1.465613E-2</v>
      </c>
      <c r="P89">
        <v>0.99703249999999999</v>
      </c>
      <c r="Q89">
        <v>4.1009879999999999E-2</v>
      </c>
      <c r="R89">
        <v>6.5150890000000003E-2</v>
      </c>
      <c r="S89">
        <v>3.0165410000000001</v>
      </c>
      <c r="T89">
        <v>-0.24445990000000001</v>
      </c>
      <c r="U89">
        <v>3.3599850000000001E-2</v>
      </c>
      <c r="V89">
        <v>-5.0540090000000003E-2</v>
      </c>
      <c r="W89">
        <v>3.8858469999999999E-2</v>
      </c>
      <c r="X89">
        <v>0.99796580000000001</v>
      </c>
      <c r="Y89">
        <v>3.459223E-3</v>
      </c>
      <c r="Z89">
        <v>-1.32563E-3</v>
      </c>
      <c r="AA89">
        <v>0.99999309999999997</v>
      </c>
      <c r="AB89">
        <v>25</v>
      </c>
      <c r="AC89">
        <v>0.58280000000001997</v>
      </c>
      <c r="AD89">
        <v>-6.7798000000000205E-2</v>
      </c>
      <c r="AE89">
        <v>5.4999999999836204E-3</v>
      </c>
      <c r="AF89">
        <v>3.00158514507156E-3</v>
      </c>
      <c r="AG89">
        <v>-6.7798000000000205E-2</v>
      </c>
      <c r="AH89">
        <v>0.57503672225329905</v>
      </c>
      <c r="AI89">
        <v>96.724155257772196</v>
      </c>
      <c r="AJ89">
        <v>89.700929363117794</v>
      </c>
      <c r="AK89">
        <v>0.57902746934597205</v>
      </c>
    </row>
    <row r="90" spans="1:37" x14ac:dyDescent="0.2">
      <c r="A90" t="str">
        <f>"20200111153612454"</f>
        <v>20200111153612454</v>
      </c>
      <c r="B90" t="str">
        <f>"1578728172443011"</f>
        <v>1578728172443011</v>
      </c>
      <c r="C90" t="s">
        <v>37</v>
      </c>
      <c r="D90">
        <v>5.8945309999999997</v>
      </c>
      <c r="E90">
        <v>0.5192061</v>
      </c>
      <c r="F90" t="s">
        <v>38</v>
      </c>
      <c r="G90">
        <v>-464.70440000000002</v>
      </c>
      <c r="H90">
        <v>1.037855</v>
      </c>
      <c r="I90">
        <v>367.65980000000002</v>
      </c>
      <c r="J90">
        <v>-465.25400000000002</v>
      </c>
      <c r="K90">
        <v>1.1025209999999901</v>
      </c>
      <c r="L90">
        <v>367.6549</v>
      </c>
      <c r="M90">
        <v>0.999887999999999</v>
      </c>
      <c r="N90">
        <v>0</v>
      </c>
      <c r="O90">
        <v>1.482809E-2</v>
      </c>
      <c r="P90">
        <v>0.99699059999999995</v>
      </c>
      <c r="Q90">
        <v>4.2969500000000001E-2</v>
      </c>
      <c r="R90">
        <v>6.4523220000000006E-2</v>
      </c>
      <c r="S90">
        <v>3.0166019999999998</v>
      </c>
      <c r="T90">
        <v>-0.239917299999999</v>
      </c>
      <c r="U90">
        <v>3.411865E-2</v>
      </c>
      <c r="V90">
        <v>-4.9742229999999998E-2</v>
      </c>
      <c r="W90">
        <v>4.0922489999999999E-2</v>
      </c>
      <c r="X90">
        <v>0.99792340000000002</v>
      </c>
      <c r="Y90">
        <v>3.4611020000000002E-3</v>
      </c>
      <c r="Z90">
        <v>-1.3147739999999899E-3</v>
      </c>
      <c r="AA90">
        <v>0.99999309999999997</v>
      </c>
      <c r="AB90">
        <v>25</v>
      </c>
      <c r="AC90">
        <v>0.54959999999999798</v>
      </c>
      <c r="AD90">
        <v>-6.4665999999999793E-2</v>
      </c>
      <c r="AE90">
        <v>4.9000000000205502E-3</v>
      </c>
      <c r="AF90">
        <v>3.2056979077756901E-3</v>
      </c>
      <c r="AG90">
        <v>-6.4665999999999793E-2</v>
      </c>
      <c r="AH90">
        <v>0.54210794008297303</v>
      </c>
      <c r="AI90">
        <v>96.802335436907995</v>
      </c>
      <c r="AJ90">
        <v>89.661191423205906</v>
      </c>
      <c r="AK90">
        <v>0.54596060916157696</v>
      </c>
    </row>
    <row r="91" spans="1:37" x14ac:dyDescent="0.2">
      <c r="A91" t="str">
        <f>"20200111153612476"</f>
        <v>20200111153612476</v>
      </c>
      <c r="B91" t="str">
        <f>"1578728172472800"</f>
        <v>1578728172472800</v>
      </c>
      <c r="C91" t="s">
        <v>37</v>
      </c>
      <c r="D91">
        <v>5.7049149999999997</v>
      </c>
      <c r="E91">
        <v>0.51880499999999996</v>
      </c>
      <c r="F91" t="s">
        <v>38</v>
      </c>
      <c r="G91">
        <v>-464.4717</v>
      </c>
      <c r="H91">
        <v>1.0420780000000001</v>
      </c>
      <c r="I91">
        <v>367.66399999999999</v>
      </c>
      <c r="J91">
        <v>-464.99720000000002</v>
      </c>
      <c r="K91">
        <v>1.1025860000000001</v>
      </c>
      <c r="L91">
        <v>367.65879999999999</v>
      </c>
      <c r="M91">
        <v>0.99988569999999999</v>
      </c>
      <c r="N91">
        <v>0</v>
      </c>
      <c r="O91">
        <v>1.499586E-2</v>
      </c>
      <c r="P91">
        <v>0.996947899999999</v>
      </c>
      <c r="Q91">
        <v>4.5228730000000002E-2</v>
      </c>
      <c r="R91">
        <v>6.3635559999999994E-2</v>
      </c>
      <c r="S91">
        <v>3.016785</v>
      </c>
      <c r="T91">
        <v>-0.23317270000000001</v>
      </c>
      <c r="U91">
        <v>3.5308840000000001E-2</v>
      </c>
      <c r="V91">
        <v>-4.8689070000000001E-2</v>
      </c>
      <c r="W91">
        <v>4.3281689999999998E-2</v>
      </c>
      <c r="X91">
        <v>0.99787579999999998</v>
      </c>
      <c r="Y91">
        <v>3.2384800000000002E-3</v>
      </c>
      <c r="Z91">
        <v>-1.2821989999999999E-3</v>
      </c>
      <c r="AA91">
        <v>0.99999389999999999</v>
      </c>
      <c r="AB91">
        <v>26</v>
      </c>
      <c r="AC91">
        <v>0.52550000000002195</v>
      </c>
      <c r="AD91">
        <v>-6.0507999999999999E-2</v>
      </c>
      <c r="AE91">
        <v>5.2000000000020901E-3</v>
      </c>
      <c r="AF91">
        <v>2.64584836851257E-3</v>
      </c>
      <c r="AG91">
        <v>-6.0507999999999999E-2</v>
      </c>
      <c r="AH91">
        <v>0.51864335469521705</v>
      </c>
      <c r="AI91">
        <v>96.654296577556707</v>
      </c>
      <c r="AJ91">
        <v>89.707709299085593</v>
      </c>
      <c r="AK91">
        <v>0.52216773928221305</v>
      </c>
    </row>
    <row r="92" spans="1:37" x14ac:dyDescent="0.2">
      <c r="A92" t="str">
        <f>"20200111153612498"</f>
        <v>20200111153612498</v>
      </c>
      <c r="B92" t="str">
        <f>"1578728172493295"</f>
        <v>1578728172493295</v>
      </c>
      <c r="C92" t="s">
        <v>37</v>
      </c>
      <c r="D92">
        <v>5.7592150000000002</v>
      </c>
      <c r="E92">
        <v>0.51856789999999997</v>
      </c>
      <c r="F92" t="s">
        <v>38</v>
      </c>
      <c r="G92">
        <v>-464.23610000000002</v>
      </c>
      <c r="H92">
        <v>1.0459319999999901</v>
      </c>
      <c r="I92">
        <v>367.6678</v>
      </c>
      <c r="J92">
        <v>-464.7484</v>
      </c>
      <c r="K92">
        <v>1.102635</v>
      </c>
      <c r="L92">
        <v>367.6628</v>
      </c>
      <c r="M92">
        <v>0.99988349999999904</v>
      </c>
      <c r="N92">
        <v>0</v>
      </c>
      <c r="O92">
        <v>1.515439E-2</v>
      </c>
      <c r="P92">
        <v>0.99689479999999997</v>
      </c>
      <c r="Q92">
        <v>4.6295860000000001E-2</v>
      </c>
      <c r="R92">
        <v>6.3700279999999998E-2</v>
      </c>
      <c r="S92">
        <v>3.0170590000000002</v>
      </c>
      <c r="T92">
        <v>-0.2249304</v>
      </c>
      <c r="U92">
        <v>3.7078859999999998E-2</v>
      </c>
      <c r="V92">
        <v>-4.8596649999999998E-2</v>
      </c>
      <c r="W92">
        <v>4.4443099999999999E-2</v>
      </c>
      <c r="X92">
        <v>0.99782929999999903</v>
      </c>
      <c r="Y92">
        <v>2.8160189999999999E-3</v>
      </c>
      <c r="Z92">
        <v>-1.23296E-3</v>
      </c>
      <c r="AA92">
        <v>0.99999530000000003</v>
      </c>
      <c r="AB92">
        <v>26</v>
      </c>
      <c r="AC92">
        <v>0.51229999999998199</v>
      </c>
      <c r="AD92">
        <v>-5.6703000000000101E-2</v>
      </c>
      <c r="AE92">
        <v>4.9999999999954499E-3</v>
      </c>
      <c r="AF92">
        <v>2.7307307346630299E-3</v>
      </c>
      <c r="AG92">
        <v>-5.6703000000000101E-2</v>
      </c>
      <c r="AH92">
        <v>0.50611720764242196</v>
      </c>
      <c r="AI92">
        <v>96.392401279040996</v>
      </c>
      <c r="AJ92">
        <v>89.690866412911802</v>
      </c>
      <c r="AK92">
        <v>0.50929099243075904</v>
      </c>
    </row>
    <row r="93" spans="1:37" x14ac:dyDescent="0.2">
      <c r="A93" t="str">
        <f>"20200111153612521"</f>
        <v>20200111153612521</v>
      </c>
      <c r="B93" t="str">
        <f>"1578728172512815"</f>
        <v>1578728172512815</v>
      </c>
      <c r="C93" t="s">
        <v>37</v>
      </c>
      <c r="D93">
        <v>5.7396029999999998</v>
      </c>
      <c r="E93">
        <v>0.51838059999999997</v>
      </c>
      <c r="F93" t="s">
        <v>38</v>
      </c>
      <c r="G93">
        <v>-464.00009999999997</v>
      </c>
      <c r="H93">
        <v>1.0480290000000001</v>
      </c>
      <c r="I93">
        <v>367.67219999999998</v>
      </c>
      <c r="J93">
        <v>-464.4776</v>
      </c>
      <c r="K93">
        <v>1.102679</v>
      </c>
      <c r="L93">
        <v>367.66699999999997</v>
      </c>
      <c r="M93">
        <v>0.99988129999999997</v>
      </c>
      <c r="N93">
        <v>0</v>
      </c>
      <c r="O93">
        <v>1.531562E-2</v>
      </c>
      <c r="P93">
        <v>0.99675519999999995</v>
      </c>
      <c r="Q93">
        <v>4.7040690000000003E-2</v>
      </c>
      <c r="R93">
        <v>6.5316589999999994E-2</v>
      </c>
      <c r="S93">
        <v>3.0170590000000002</v>
      </c>
      <c r="T93">
        <v>-0.22032199999999999</v>
      </c>
      <c r="U93">
        <v>3.9154050000000003E-2</v>
      </c>
      <c r="V93">
        <v>-5.0053500000000001E-2</v>
      </c>
      <c r="W93">
        <v>4.5289580000000003E-2</v>
      </c>
      <c r="X93">
        <v>0.99771919999999903</v>
      </c>
      <c r="Y93">
        <v>2.2925379999999898E-3</v>
      </c>
      <c r="Z93">
        <v>-1.2004279999999999E-3</v>
      </c>
      <c r="AA93">
        <v>0.99999669999999896</v>
      </c>
      <c r="AB93">
        <v>26</v>
      </c>
      <c r="AC93">
        <v>0.47750000000002002</v>
      </c>
      <c r="AD93">
        <v>-5.4649999999999997E-2</v>
      </c>
      <c r="AE93">
        <v>5.2000000000020901E-3</v>
      </c>
      <c r="AF93">
        <v>2.0865012165469498E-3</v>
      </c>
      <c r="AG93">
        <v>-5.4649999999999997E-2</v>
      </c>
      <c r="AH93">
        <v>0.47135021523639198</v>
      </c>
      <c r="AI93">
        <v>96.613480183360494</v>
      </c>
      <c r="AJ93">
        <v>89.746373441768299</v>
      </c>
      <c r="AK93">
        <v>0.47451238275804702</v>
      </c>
    </row>
    <row r="94" spans="1:37" x14ac:dyDescent="0.2">
      <c r="A94" t="str">
        <f>"20200111153612545"</f>
        <v>20200111153612545</v>
      </c>
      <c r="B94" t="str">
        <f>"1578728172533311"</f>
        <v>1578728172533311</v>
      </c>
      <c r="C94" t="s">
        <v>37</v>
      </c>
      <c r="D94">
        <v>5.7262309999999896</v>
      </c>
      <c r="E94">
        <v>0.51816249999999997</v>
      </c>
      <c r="F94" t="s">
        <v>38</v>
      </c>
      <c r="G94">
        <v>-463.53460000000001</v>
      </c>
      <c r="H94">
        <v>1.034926</v>
      </c>
      <c r="I94">
        <v>367.68119999999999</v>
      </c>
      <c r="J94">
        <v>-464.19040000000001</v>
      </c>
      <c r="K94">
        <v>1.1027149999999999</v>
      </c>
      <c r="L94">
        <v>367.67149999999998</v>
      </c>
      <c r="M94">
        <v>0.99987939999999997</v>
      </c>
      <c r="N94">
        <v>0</v>
      </c>
      <c r="O94">
        <v>1.545112E-2</v>
      </c>
      <c r="P94">
        <v>0.99656399999999901</v>
      </c>
      <c r="Q94">
        <v>4.937656E-2</v>
      </c>
      <c r="R94">
        <v>6.6501030000000003E-2</v>
      </c>
      <c r="S94">
        <v>3.016937</v>
      </c>
      <c r="T94">
        <v>-0.2167975</v>
      </c>
      <c r="U94">
        <v>4.5745849999999998E-2</v>
      </c>
      <c r="V94">
        <v>-5.1104299999999998E-2</v>
      </c>
      <c r="W94">
        <v>4.7732160000000003E-2</v>
      </c>
      <c r="X94">
        <v>0.99755199999999999</v>
      </c>
      <c r="Y94">
        <v>2.4943269999999997E-4</v>
      </c>
      <c r="Z94">
        <v>-1.1177119999999899E-3</v>
      </c>
      <c r="AA94">
        <v>0.99999930000000004</v>
      </c>
      <c r="AB94">
        <v>26</v>
      </c>
      <c r="AC94">
        <v>0.65579999999999905</v>
      </c>
      <c r="AD94">
        <v>-6.7788999999999794E-2</v>
      </c>
      <c r="AE94">
        <v>9.7000000000093695E-3</v>
      </c>
      <c r="AF94">
        <v>4.2942740741597701E-4</v>
      </c>
      <c r="AG94">
        <v>-6.7788999999999794E-2</v>
      </c>
      <c r="AH94">
        <v>0.64893917324801897</v>
      </c>
      <c r="AI94">
        <v>95.963558699336204</v>
      </c>
      <c r="AJ94">
        <v>89.962085237761698</v>
      </c>
      <c r="AK94">
        <v>0.65247036982894502</v>
      </c>
    </row>
    <row r="95" spans="1:37" x14ac:dyDescent="0.2">
      <c r="A95" t="str">
        <f>"20200111153612567"</f>
        <v>20200111153612567</v>
      </c>
      <c r="B95" t="str">
        <f>"1578728172562592"</f>
        <v>1578728172562592</v>
      </c>
      <c r="C95" t="s">
        <v>37</v>
      </c>
      <c r="D95">
        <v>5.8798269999999997</v>
      </c>
      <c r="E95">
        <v>0.51806529999999995</v>
      </c>
      <c r="F95" t="s">
        <v>38</v>
      </c>
      <c r="G95">
        <v>-463.2919</v>
      </c>
      <c r="H95">
        <v>1.040279</v>
      </c>
      <c r="I95">
        <v>367.68650000000002</v>
      </c>
      <c r="J95">
        <v>-463.93020000000001</v>
      </c>
      <c r="K95">
        <v>1.102738</v>
      </c>
      <c r="L95">
        <v>367.67559999999997</v>
      </c>
      <c r="M95">
        <v>0.99987800000000004</v>
      </c>
      <c r="N95">
        <v>0</v>
      </c>
      <c r="O95">
        <v>1.5544229999999999E-2</v>
      </c>
      <c r="P95">
        <v>0.99650780000000005</v>
      </c>
      <c r="Q95">
        <v>5.1996580000000001E-2</v>
      </c>
      <c r="R95">
        <v>6.5335500000000005E-2</v>
      </c>
      <c r="S95">
        <v>3.0172729999999999</v>
      </c>
      <c r="T95">
        <v>-0.2099577</v>
      </c>
      <c r="U95">
        <v>5.2154539999999999E-2</v>
      </c>
      <c r="V95">
        <v>-4.9845149999999998E-2</v>
      </c>
      <c r="W95">
        <v>5.0448750000000001E-2</v>
      </c>
      <c r="X95">
        <v>0.99748199999999998</v>
      </c>
      <c r="Y95">
        <v>-1.77202E-3</v>
      </c>
      <c r="Z95">
        <v>-1.0186209999999999E-3</v>
      </c>
      <c r="AA95">
        <v>0.999997899999999</v>
      </c>
      <c r="AB95">
        <v>27</v>
      </c>
      <c r="AC95">
        <v>0.63830000000001497</v>
      </c>
      <c r="AD95">
        <v>-6.2458999999999799E-2</v>
      </c>
      <c r="AE95">
        <v>1.09000000000492E-2</v>
      </c>
      <c r="AF95">
        <v>-9.6752793168953903E-4</v>
      </c>
      <c r="AG95">
        <v>-6.2458999999999799E-2</v>
      </c>
      <c r="AH95">
        <v>0.63233940667790001</v>
      </c>
      <c r="AI95">
        <v>95.641056621533295</v>
      </c>
      <c r="AJ95">
        <v>90.087666881426202</v>
      </c>
      <c r="AK95">
        <v>0.63541733374928999</v>
      </c>
    </row>
    <row r="96" spans="1:37" x14ac:dyDescent="0.2">
      <c r="A96" t="str">
        <f>"20200111153612588"</f>
        <v>20200111153612588</v>
      </c>
      <c r="B96" t="str">
        <f>"1578728172583088"</f>
        <v>1578728172583088</v>
      </c>
      <c r="C96" t="s">
        <v>37</v>
      </c>
      <c r="D96">
        <v>5.4288089999999896</v>
      </c>
      <c r="E96">
        <v>0.54456230000000005</v>
      </c>
      <c r="F96" t="s">
        <v>38</v>
      </c>
      <c r="G96">
        <v>-463.04759999999999</v>
      </c>
      <c r="H96">
        <v>1.0432840000000001</v>
      </c>
      <c r="I96">
        <v>367.69049999999999</v>
      </c>
      <c r="J96">
        <v>-463.65870000000001</v>
      </c>
      <c r="K96">
        <v>1.1027450000000001</v>
      </c>
      <c r="L96">
        <v>367.67989999999998</v>
      </c>
      <c r="M96">
        <v>0.99987729999999997</v>
      </c>
      <c r="N96">
        <v>0</v>
      </c>
      <c r="O96">
        <v>1.560741E-2</v>
      </c>
      <c r="P96">
        <v>0.99660499999999996</v>
      </c>
      <c r="Q96">
        <v>5.256885E-2</v>
      </c>
      <c r="R96">
        <v>6.3366770000000003E-2</v>
      </c>
      <c r="S96">
        <v>3.0177610000000001</v>
      </c>
      <c r="T96">
        <v>-0.20338499999999901</v>
      </c>
      <c r="U96">
        <v>5.0872800000000003E-2</v>
      </c>
      <c r="V96">
        <v>-4.7809119999999997E-2</v>
      </c>
      <c r="W96">
        <v>5.1121180000000002E-2</v>
      </c>
      <c r="X96">
        <v>0.99754739999999997</v>
      </c>
      <c r="Y96">
        <v>-1.280626E-3</v>
      </c>
      <c r="Z96">
        <v>-1.007443E-3</v>
      </c>
      <c r="AA96">
        <v>0.99999869999999902</v>
      </c>
      <c r="AB96">
        <v>27</v>
      </c>
      <c r="AC96">
        <v>0.61110000000002096</v>
      </c>
      <c r="AD96">
        <v>-5.9460999999999903E-2</v>
      </c>
      <c r="AE96">
        <v>1.06000000000108E-2</v>
      </c>
      <c r="AF96">
        <v>-1.0510640211467001E-3</v>
      </c>
      <c r="AG96">
        <v>-5.9460999999999903E-2</v>
      </c>
      <c r="AH96">
        <v>0.60546047200692199</v>
      </c>
      <c r="AI96">
        <v>95.6089035301043</v>
      </c>
      <c r="AJ96">
        <v>90.099463919941002</v>
      </c>
      <c r="AK96">
        <v>0.60837414345074003</v>
      </c>
    </row>
    <row r="97" spans="1:37" x14ac:dyDescent="0.2">
      <c r="A97" t="str">
        <f>"20200111153612643"</f>
        <v>20200111153612643</v>
      </c>
      <c r="B97" t="str">
        <f>"1578728172632862"</f>
        <v>1578728172632862</v>
      </c>
      <c r="C97" t="s">
        <v>37</v>
      </c>
      <c r="D97">
        <v>4.7430079999999997</v>
      </c>
      <c r="E97">
        <v>0.58003130000000003</v>
      </c>
      <c r="F97" t="s">
        <v>38</v>
      </c>
      <c r="G97">
        <v>-462.8023</v>
      </c>
      <c r="H97">
        <v>1.048543</v>
      </c>
      <c r="I97">
        <v>367.63299999999998</v>
      </c>
      <c r="J97">
        <v>-462.986999999999</v>
      </c>
      <c r="K97">
        <v>1.1027199999999999</v>
      </c>
      <c r="L97">
        <v>367.69029999999998</v>
      </c>
      <c r="M97">
        <v>0.99987819999999905</v>
      </c>
      <c r="N97">
        <v>0</v>
      </c>
      <c r="O97">
        <v>1.5569080000000001E-2</v>
      </c>
      <c r="P97">
        <v>0.99722840000000001</v>
      </c>
      <c r="Q97">
        <v>4.8247789999999999E-2</v>
      </c>
      <c r="R97">
        <v>5.6638649999999999E-2</v>
      </c>
      <c r="S97">
        <v>3.0307919999999999</v>
      </c>
      <c r="T97">
        <v>-0.19207009999999999</v>
      </c>
      <c r="U97">
        <v>-0.16473389999999999</v>
      </c>
      <c r="V97">
        <v>-4.1100850000000001E-2</v>
      </c>
      <c r="W97">
        <v>4.7043420000000002E-2</v>
      </c>
      <c r="X97">
        <v>0.99804689999999996</v>
      </c>
      <c r="Y97">
        <v>6.9642380000000004E-2</v>
      </c>
      <c r="Z97">
        <v>-3.1879059999999999E-3</v>
      </c>
      <c r="AA97">
        <v>0.99756690000000003</v>
      </c>
      <c r="AB97">
        <v>27</v>
      </c>
      <c r="AC97">
        <v>0.184699999999963</v>
      </c>
      <c r="AD97">
        <v>-5.41770000000001E-2</v>
      </c>
      <c r="AE97">
        <v>-5.7299999999941002E-2</v>
      </c>
      <c r="AF97">
        <v>5.5789969149599598E-2</v>
      </c>
      <c r="AG97">
        <v>-5.41770000000001E-2</v>
      </c>
      <c r="AH97">
        <v>0.17041075295205599</v>
      </c>
      <c r="AI97">
        <v>106.81168139666801</v>
      </c>
      <c r="AJ97">
        <v>71.872315927295602</v>
      </c>
      <c r="AK97">
        <v>0.187316557485984</v>
      </c>
    </row>
    <row r="98" spans="1:37" x14ac:dyDescent="0.2">
      <c r="A98" t="str">
        <f>"20200111153612665"</f>
        <v>20200111153612665</v>
      </c>
      <c r="B98" t="str">
        <f>"1578728172653363"</f>
        <v>1578728172653363</v>
      </c>
      <c r="C98" t="s">
        <v>37</v>
      </c>
      <c r="D98">
        <v>8.3936869999999999</v>
      </c>
      <c r="E98">
        <v>0.55506409999999995</v>
      </c>
      <c r="F98" t="s">
        <v>39</v>
      </c>
      <c r="G98">
        <v>-460.65410000000003</v>
      </c>
      <c r="H98" s="1">
        <v>-4.3949259999999902E-6</v>
      </c>
      <c r="I98">
        <v>367.34300000000002</v>
      </c>
      <c r="J98">
        <v>-462.71839999999997</v>
      </c>
      <c r="K98">
        <v>1.1027020000000001</v>
      </c>
      <c r="L98">
        <v>367.69439999999997</v>
      </c>
      <c r="M98">
        <v>0.99988009999999905</v>
      </c>
      <c r="N98">
        <v>0</v>
      </c>
      <c r="O98">
        <v>1.545039E-2</v>
      </c>
      <c r="P98">
        <v>0.99748979999999998</v>
      </c>
      <c r="Q98">
        <v>4.8538730000000002E-2</v>
      </c>
      <c r="R98">
        <v>5.15621E-2</v>
      </c>
      <c r="S98">
        <v>3.10562099999999</v>
      </c>
      <c r="T98">
        <v>-1.4679180000000001</v>
      </c>
      <c r="U98">
        <v>-0.4622192</v>
      </c>
      <c r="V98">
        <v>-3.6134579999999999E-2</v>
      </c>
      <c r="W98">
        <v>4.7430659999999999E-2</v>
      </c>
      <c r="X98">
        <v>0.99822069999999996</v>
      </c>
      <c r="Y98">
        <v>0.14572199999999999</v>
      </c>
      <c r="Z98">
        <v>-3.9454169999999997E-2</v>
      </c>
      <c r="AA98">
        <v>0.98853860000000005</v>
      </c>
      <c r="AB98">
        <v>28</v>
      </c>
      <c r="AC98">
        <v>2.0642999999999398</v>
      </c>
      <c r="AD98">
        <v>-1.1027063949260001</v>
      </c>
      <c r="AE98">
        <v>-0.35139999999995503</v>
      </c>
      <c r="AF98">
        <v>0.30004600988834701</v>
      </c>
      <c r="AG98">
        <v>-1.1027063949260001</v>
      </c>
      <c r="AH98">
        <v>1.6116850303191601</v>
      </c>
      <c r="AI98">
        <v>123.92625844406</v>
      </c>
      <c r="AJ98">
        <v>79.454025604462302</v>
      </c>
      <c r="AK98">
        <v>1.97573217780535</v>
      </c>
    </row>
    <row r="99" spans="1:37" x14ac:dyDescent="0.2">
      <c r="A99" t="str">
        <f>"20200111153612687"</f>
        <v>20200111153612687</v>
      </c>
      <c r="B99" t="str">
        <f>"1578728172682639"</f>
        <v>1578728172682639</v>
      </c>
      <c r="C99" t="s">
        <v>37</v>
      </c>
      <c r="D99">
        <v>5.71272</v>
      </c>
      <c r="E99">
        <v>0.53674639999999996</v>
      </c>
      <c r="F99" t="s">
        <v>38</v>
      </c>
      <c r="G99">
        <v>-461.87580000000003</v>
      </c>
      <c r="H99">
        <v>0.90344500000000005</v>
      </c>
      <c r="I99">
        <v>367.61720000000003</v>
      </c>
      <c r="J99">
        <v>-462.4409</v>
      </c>
      <c r="K99">
        <v>1.1026830000000001</v>
      </c>
      <c r="L99">
        <v>367.69850000000002</v>
      </c>
      <c r="M99">
        <v>0.99988290000000002</v>
      </c>
      <c r="N99">
        <v>0</v>
      </c>
      <c r="O99">
        <v>1.5268139999999999E-2</v>
      </c>
      <c r="P99">
        <v>0.99764120000000001</v>
      </c>
      <c r="Q99">
        <v>5.0539809999999998E-2</v>
      </c>
      <c r="R99">
        <v>4.6452649999999998E-2</v>
      </c>
      <c r="S99">
        <v>3.05722</v>
      </c>
      <c r="T99">
        <v>-0.7231128</v>
      </c>
      <c r="U99">
        <v>-0.2793274</v>
      </c>
      <c r="V99">
        <v>-3.1199250000000001E-2</v>
      </c>
      <c r="W99">
        <v>4.9530079999999997E-2</v>
      </c>
      <c r="X99">
        <v>0.99828519999999898</v>
      </c>
      <c r="Y99">
        <v>0.1029455</v>
      </c>
      <c r="Z99">
        <v>-1.554059E-2</v>
      </c>
      <c r="AA99">
        <v>0.99456559999999905</v>
      </c>
      <c r="AB99">
        <v>28</v>
      </c>
      <c r="AC99">
        <v>0.56509999999997196</v>
      </c>
      <c r="AD99">
        <v>-0.199238</v>
      </c>
      <c r="AE99">
        <v>-8.1299999999998804E-2</v>
      </c>
      <c r="AF99">
        <v>8.0156620723719804E-2</v>
      </c>
      <c r="AG99">
        <v>-0.199238</v>
      </c>
      <c r="AH99">
        <v>0.502585128728265</v>
      </c>
      <c r="AI99">
        <v>111.37928442380699</v>
      </c>
      <c r="AJ99">
        <v>80.938292570367693</v>
      </c>
      <c r="AK99">
        <v>0.54654613355933002</v>
      </c>
    </row>
    <row r="100" spans="1:37" x14ac:dyDescent="0.2">
      <c r="A100" t="str">
        <f>"20200111153612709"</f>
        <v>20200111153612709</v>
      </c>
      <c r="B100" t="str">
        <f>"1578728172703135"</f>
        <v>1578728172703135</v>
      </c>
      <c r="C100" t="s">
        <v>37</v>
      </c>
      <c r="D100">
        <v>5.7230210000000001</v>
      </c>
      <c r="E100">
        <v>0.52971040000000003</v>
      </c>
      <c r="F100" t="s">
        <v>38</v>
      </c>
      <c r="G100">
        <v>-461.58780000000002</v>
      </c>
      <c r="H100">
        <v>0.98104169999999902</v>
      </c>
      <c r="I100">
        <v>367.65629999999999</v>
      </c>
      <c r="J100">
        <v>-462.15170000000001</v>
      </c>
      <c r="K100">
        <v>1.102652</v>
      </c>
      <c r="L100">
        <v>367.70269999999999</v>
      </c>
      <c r="M100">
        <v>0.99988699999999997</v>
      </c>
      <c r="N100">
        <v>0</v>
      </c>
      <c r="O100">
        <v>1.5003509999999999E-2</v>
      </c>
      <c r="P100">
        <v>0.99771769999999904</v>
      </c>
      <c r="Q100">
        <v>5.2561570000000002E-2</v>
      </c>
      <c r="R100">
        <v>4.2389870000000003E-2</v>
      </c>
      <c r="S100">
        <v>3.0359500000000001</v>
      </c>
      <c r="T100">
        <v>-0.43301190000000001</v>
      </c>
      <c r="U100">
        <v>-0.14929200000000001</v>
      </c>
      <c r="V100">
        <v>-2.7392690000000001E-2</v>
      </c>
      <c r="W100">
        <v>5.1654060000000002E-2</v>
      </c>
      <c r="X100">
        <v>0.99828930000000005</v>
      </c>
      <c r="Y100">
        <v>6.3304540000000006E-2</v>
      </c>
      <c r="Z100">
        <v>-6.6171240000000003E-3</v>
      </c>
      <c r="AA100">
        <v>0.99797230000000003</v>
      </c>
      <c r="AB100">
        <v>28</v>
      </c>
      <c r="AC100">
        <v>0.56389999999998897</v>
      </c>
      <c r="AD100">
        <v>-0.1216103</v>
      </c>
      <c r="AE100">
        <v>-4.6400000000005499E-2</v>
      </c>
      <c r="AF100">
        <v>5.2433053980751099E-2</v>
      </c>
      <c r="AG100">
        <v>-0.1216103</v>
      </c>
      <c r="AH100">
        <v>0.53827415993443795</v>
      </c>
      <c r="AI100">
        <v>102.672858696196</v>
      </c>
      <c r="AJ100">
        <v>84.436395484338107</v>
      </c>
      <c r="AK100">
        <v>0.55432604256787699</v>
      </c>
    </row>
    <row r="101" spans="1:37" x14ac:dyDescent="0.2">
      <c r="A101" t="str">
        <f>"20200111153612732"</f>
        <v>20200111153612732</v>
      </c>
      <c r="B101" t="str">
        <f>"1578728172722654"</f>
        <v>1578728172722654</v>
      </c>
      <c r="C101" t="s">
        <v>37</v>
      </c>
      <c r="D101">
        <v>5.6464410000000003</v>
      </c>
      <c r="E101">
        <v>0.52590740000000002</v>
      </c>
      <c r="F101" t="s">
        <v>38</v>
      </c>
      <c r="G101">
        <v>-461.3193</v>
      </c>
      <c r="H101">
        <v>1.0097670000000001</v>
      </c>
      <c r="I101">
        <v>367.6737</v>
      </c>
      <c r="J101">
        <v>-461.85610000000003</v>
      </c>
      <c r="K101">
        <v>1.102606</v>
      </c>
      <c r="L101">
        <v>367.70679999999999</v>
      </c>
      <c r="M101">
        <v>0.99989249999999996</v>
      </c>
      <c r="N101">
        <v>0</v>
      </c>
      <c r="O101">
        <v>1.4645149999999999E-2</v>
      </c>
      <c r="P101">
        <v>0.99784930000000005</v>
      </c>
      <c r="Q101">
        <v>5.3813529999999998E-2</v>
      </c>
      <c r="R101">
        <v>3.7427469999999997E-2</v>
      </c>
      <c r="S101">
        <v>3.0291440000000001</v>
      </c>
      <c r="T101">
        <v>-0.3381305</v>
      </c>
      <c r="U101">
        <v>-0.1048279</v>
      </c>
      <c r="V101">
        <v>-2.277767E-2</v>
      </c>
      <c r="W101">
        <v>5.3009279999999999E-2</v>
      </c>
      <c r="X101">
        <v>0.99833419999999895</v>
      </c>
      <c r="Y101">
        <v>4.8824640000000002E-2</v>
      </c>
      <c r="Z101">
        <v>-4.34509299999999E-3</v>
      </c>
      <c r="AA101">
        <v>0.99879789999999902</v>
      </c>
      <c r="AB101">
        <v>28</v>
      </c>
      <c r="AC101">
        <v>0.53680000000002703</v>
      </c>
      <c r="AD101">
        <v>-9.2838999999999894E-2</v>
      </c>
      <c r="AE101">
        <v>-3.3099999999990297E-2</v>
      </c>
      <c r="AF101">
        <v>3.9772816514810398E-2</v>
      </c>
      <c r="AG101">
        <v>-9.2838999999999894E-2</v>
      </c>
      <c r="AH101">
        <v>0.52074062344649097</v>
      </c>
      <c r="AI101">
        <v>100.079881217202</v>
      </c>
      <c r="AJ101">
        <v>85.632376834578693</v>
      </c>
      <c r="AK101">
        <v>0.53044486401695001</v>
      </c>
    </row>
    <row r="102" spans="1:37" x14ac:dyDescent="0.2">
      <c r="A102" t="str">
        <f>"20200111153612754"</f>
        <v>20200111153612754</v>
      </c>
      <c r="B102" t="str">
        <f>"1578728172743154"</f>
        <v>1578728172743154</v>
      </c>
      <c r="C102" t="s">
        <v>37</v>
      </c>
      <c r="D102">
        <v>5.6368369999999999</v>
      </c>
      <c r="E102">
        <v>0.52244990000000002</v>
      </c>
      <c r="F102" t="s">
        <v>38</v>
      </c>
      <c r="G102">
        <v>-461.0573</v>
      </c>
      <c r="H102">
        <v>1.0210600000000001</v>
      </c>
      <c r="I102">
        <v>367.6832</v>
      </c>
      <c r="J102">
        <v>-461.5693</v>
      </c>
      <c r="K102">
        <v>1.102549</v>
      </c>
      <c r="L102">
        <v>367.71050000000002</v>
      </c>
      <c r="M102">
        <v>0.99989889999999904</v>
      </c>
      <c r="N102">
        <v>0</v>
      </c>
      <c r="O102">
        <v>1.420247E-2</v>
      </c>
      <c r="P102">
        <v>0.99800460000000002</v>
      </c>
      <c r="Q102">
        <v>5.3607929999999998E-2</v>
      </c>
      <c r="R102">
        <v>3.3367939999999999E-2</v>
      </c>
      <c r="S102">
        <v>3.02648899999999</v>
      </c>
      <c r="T102">
        <v>-0.30905509999999897</v>
      </c>
      <c r="U102">
        <v>-8.8439939999999995E-2</v>
      </c>
      <c r="V102">
        <v>-1.914923E-2</v>
      </c>
      <c r="W102">
        <v>5.2903569999999997E-2</v>
      </c>
      <c r="X102">
        <v>0.99841599999999997</v>
      </c>
      <c r="Y102">
        <v>4.3105169999999998E-2</v>
      </c>
      <c r="Z102">
        <v>-3.640987E-3</v>
      </c>
      <c r="AA102">
        <v>0.9990639</v>
      </c>
      <c r="AB102">
        <v>28</v>
      </c>
      <c r="AC102">
        <v>0.51200000000000001</v>
      </c>
      <c r="AD102">
        <v>-8.1488999999999895E-2</v>
      </c>
      <c r="AE102">
        <v>-2.73000000000252E-2</v>
      </c>
      <c r="AF102">
        <v>3.3717231828565501E-2</v>
      </c>
      <c r="AG102">
        <v>-8.1488999999999895E-2</v>
      </c>
      <c r="AH102">
        <v>0.49895721265439003</v>
      </c>
      <c r="AI102">
        <v>99.254836433128801</v>
      </c>
      <c r="AJ102">
        <v>86.134092264502101</v>
      </c>
      <c r="AK102">
        <v>0.50669084154247201</v>
      </c>
    </row>
    <row r="103" spans="1:37" x14ac:dyDescent="0.2">
      <c r="A103" t="str">
        <f>"20200111153612777"</f>
        <v>20200111153612777</v>
      </c>
      <c r="B103" t="str">
        <f>"1578728172772523"</f>
        <v>1578728172772523</v>
      </c>
      <c r="C103" t="s">
        <v>37</v>
      </c>
      <c r="D103">
        <v>5.724837</v>
      </c>
      <c r="E103">
        <v>0.5197889</v>
      </c>
      <c r="F103" t="s">
        <v>38</v>
      </c>
      <c r="G103">
        <v>-460.79669999999999</v>
      </c>
      <c r="H103">
        <v>1.0255510000000001</v>
      </c>
      <c r="I103">
        <v>367.69170000000003</v>
      </c>
      <c r="J103">
        <v>-461.28769999999997</v>
      </c>
      <c r="K103">
        <v>1.1024890000000001</v>
      </c>
      <c r="L103">
        <v>367.71409999999997</v>
      </c>
      <c r="M103">
        <v>0.99990639999999997</v>
      </c>
      <c r="N103">
        <v>0</v>
      </c>
      <c r="O103">
        <v>1.366624E-2</v>
      </c>
      <c r="P103">
        <v>0.99811859999999997</v>
      </c>
      <c r="Q103">
        <v>5.3505980000000002E-2</v>
      </c>
      <c r="R103">
        <v>2.9941720000000002E-2</v>
      </c>
      <c r="S103">
        <v>3.0246279999999999</v>
      </c>
      <c r="T103">
        <v>-0.30155300000000002</v>
      </c>
      <c r="U103">
        <v>-7.1990970000000001E-2</v>
      </c>
      <c r="V103">
        <v>-1.6247439999999998E-2</v>
      </c>
      <c r="W103">
        <v>5.2899290000000002E-2</v>
      </c>
      <c r="X103">
        <v>0.99846769999999996</v>
      </c>
      <c r="Y103">
        <v>3.7202949999999999E-2</v>
      </c>
      <c r="Z103">
        <v>-3.2086839999999998E-3</v>
      </c>
      <c r="AA103">
        <v>0.99930259999999904</v>
      </c>
      <c r="AB103">
        <v>29</v>
      </c>
      <c r="AC103">
        <v>0.490999999999985</v>
      </c>
      <c r="AD103">
        <v>-7.6937999999999895E-2</v>
      </c>
      <c r="AE103">
        <v>-2.2399999999947798E-2</v>
      </c>
      <c r="AF103">
        <v>2.8411862980184902E-2</v>
      </c>
      <c r="AG103">
        <v>-7.6937999999999895E-2</v>
      </c>
      <c r="AH103">
        <v>0.47891330249556402</v>
      </c>
      <c r="AI103">
        <v>99.110903658446603</v>
      </c>
      <c r="AJ103">
        <v>86.604867610861803</v>
      </c>
      <c r="AK103">
        <v>0.48588541973310201</v>
      </c>
    </row>
    <row r="104" spans="1:37" x14ac:dyDescent="0.2">
      <c r="A104" t="str">
        <f>"20200111153612799"</f>
        <v>20200111153612799</v>
      </c>
      <c r="B104" t="str">
        <f>"1578728172793018"</f>
        <v>1578728172793018</v>
      </c>
      <c r="C104" t="s">
        <v>37</v>
      </c>
      <c r="D104">
        <v>5.7592460000000001</v>
      </c>
      <c r="E104">
        <v>0.51780680000000001</v>
      </c>
      <c r="F104" t="s">
        <v>38</v>
      </c>
      <c r="G104">
        <v>-460.53429999999997</v>
      </c>
      <c r="H104">
        <v>1.0299450000000001</v>
      </c>
      <c r="I104">
        <v>367.69889999999998</v>
      </c>
      <c r="J104">
        <v>-460.9873</v>
      </c>
      <c r="K104">
        <v>1.1024229999999999</v>
      </c>
      <c r="L104">
        <v>367.7176</v>
      </c>
      <c r="M104">
        <v>0.99991559999999902</v>
      </c>
      <c r="N104">
        <v>0</v>
      </c>
      <c r="O104">
        <v>1.298644E-2</v>
      </c>
      <c r="P104">
        <v>0.99820589999999998</v>
      </c>
      <c r="Q104">
        <v>5.3641620000000001E-2</v>
      </c>
      <c r="R104">
        <v>2.6600769999999999E-2</v>
      </c>
      <c r="S104">
        <v>3.0230709999999998</v>
      </c>
      <c r="T104">
        <v>-0.29111859999999901</v>
      </c>
      <c r="U104">
        <v>-6.0424800000000001E-2</v>
      </c>
      <c r="V104">
        <v>-1.357245E-2</v>
      </c>
      <c r="W104">
        <v>5.3139270000000002E-2</v>
      </c>
      <c r="X104">
        <v>0.99849489999999996</v>
      </c>
      <c r="Y104">
        <v>3.2754529999999997E-2</v>
      </c>
      <c r="Z104">
        <v>-2.820903E-3</v>
      </c>
      <c r="AA104">
        <v>0.9994594</v>
      </c>
      <c r="AB104">
        <v>29</v>
      </c>
      <c r="AC104">
        <v>0.45300000000003099</v>
      </c>
      <c r="AD104">
        <v>-7.2477999999999806E-2</v>
      </c>
      <c r="AE104">
        <v>-1.8700000000023899E-2</v>
      </c>
      <c r="AF104">
        <v>2.3968758256428101E-2</v>
      </c>
      <c r="AG104">
        <v>-7.2477999999999806E-2</v>
      </c>
      <c r="AH104">
        <v>0.44143798794359201</v>
      </c>
      <c r="AI104">
        <v>99.310510711287407</v>
      </c>
      <c r="AJ104">
        <v>86.892062921257093</v>
      </c>
      <c r="AK104">
        <v>0.447990021156769</v>
      </c>
    </row>
    <row r="105" spans="1:37" x14ac:dyDescent="0.2">
      <c r="A105" t="str">
        <f>"20200111153612822"</f>
        <v>20200111153612822</v>
      </c>
      <c r="B105" t="str">
        <f>"1578728172812538"</f>
        <v>1578728172812538</v>
      </c>
      <c r="C105" t="s">
        <v>37</v>
      </c>
      <c r="D105">
        <v>5.8888400000000001</v>
      </c>
      <c r="E105">
        <v>0.5158064</v>
      </c>
      <c r="F105" t="s">
        <v>38</v>
      </c>
      <c r="G105">
        <v>-460.01650000000001</v>
      </c>
      <c r="H105">
        <v>1.0130129999999999</v>
      </c>
      <c r="I105">
        <v>367.7004</v>
      </c>
      <c r="J105">
        <v>-460.69170000000003</v>
      </c>
      <c r="K105">
        <v>1.1023609999999999</v>
      </c>
      <c r="L105">
        <v>367.72070000000002</v>
      </c>
      <c r="M105">
        <v>0.99992530000000002</v>
      </c>
      <c r="N105">
        <v>0</v>
      </c>
      <c r="O105">
        <v>1.222004E-2</v>
      </c>
      <c r="P105">
        <v>0.99825379999999997</v>
      </c>
      <c r="Q105">
        <v>5.4074560000000001E-2</v>
      </c>
      <c r="R105">
        <v>2.3775689999999999E-2</v>
      </c>
      <c r="S105">
        <v>3.0217589999999999</v>
      </c>
      <c r="T105">
        <v>-0.27827600000000002</v>
      </c>
      <c r="U105">
        <v>-5.3771970000000002E-2</v>
      </c>
      <c r="V105">
        <v>-1.1501920000000001E-2</v>
      </c>
      <c r="W105">
        <v>5.3673039999999998E-2</v>
      </c>
      <c r="X105">
        <v>0.9984923</v>
      </c>
      <c r="Y105">
        <v>2.9831E-2</v>
      </c>
      <c r="Z105">
        <v>-2.4934699999999998E-3</v>
      </c>
      <c r="AA105">
        <v>0.99955179999999999</v>
      </c>
      <c r="AB105">
        <v>29</v>
      </c>
      <c r="AC105">
        <v>0.67520000000001701</v>
      </c>
      <c r="AD105">
        <v>-8.9348000000000205E-2</v>
      </c>
      <c r="AE105">
        <v>-2.0300000000020101E-2</v>
      </c>
      <c r="AF105">
        <v>2.8058572530125E-2</v>
      </c>
      <c r="AG105">
        <v>-8.9348000000000205E-2</v>
      </c>
      <c r="AH105">
        <v>0.66329717452636305</v>
      </c>
      <c r="AI105">
        <v>97.664951443481797</v>
      </c>
      <c r="AJ105">
        <v>87.577737466176998</v>
      </c>
      <c r="AK105">
        <v>0.669875727527939</v>
      </c>
    </row>
    <row r="106" spans="1:37" x14ac:dyDescent="0.2">
      <c r="A106" t="str">
        <f>"20200111153612843"</f>
        <v>20200111153612843</v>
      </c>
      <c r="B106" t="str">
        <f>"1578728172833037"</f>
        <v>1578728172833037</v>
      </c>
      <c r="C106" t="s">
        <v>37</v>
      </c>
      <c r="D106">
        <v>5.6987239999999897</v>
      </c>
      <c r="E106">
        <v>0.51428989999999997</v>
      </c>
      <c r="F106" t="s">
        <v>38</v>
      </c>
      <c r="G106">
        <v>-459.74790000000002</v>
      </c>
      <c r="H106">
        <v>1.0194729999999901</v>
      </c>
      <c r="I106">
        <v>367.70609999999999</v>
      </c>
      <c r="J106">
        <v>-460.39760000000001</v>
      </c>
      <c r="K106">
        <v>1.1023129999999901</v>
      </c>
      <c r="L106">
        <v>367.7235</v>
      </c>
      <c r="M106">
        <v>0.99993500000000002</v>
      </c>
      <c r="N106">
        <v>0</v>
      </c>
      <c r="O106">
        <v>1.139742E-2</v>
      </c>
      <c r="P106">
        <v>0.99831099999999995</v>
      </c>
      <c r="Q106">
        <v>5.3669420000000002E-2</v>
      </c>
      <c r="R106">
        <v>2.224431E-2</v>
      </c>
      <c r="S106">
        <v>3.0206909999999998</v>
      </c>
      <c r="T106">
        <v>-0.2654434</v>
      </c>
      <c r="U106">
        <v>-4.5623780000000003E-2</v>
      </c>
      <c r="V106">
        <v>-1.0783630000000001E-2</v>
      </c>
      <c r="W106">
        <v>5.336925E-2</v>
      </c>
      <c r="X106">
        <v>0.99851659999999998</v>
      </c>
      <c r="Y106">
        <v>2.635173E-2</v>
      </c>
      <c r="Z106">
        <v>-2.15511E-3</v>
      </c>
      <c r="AA106">
        <v>0.99965040000000005</v>
      </c>
      <c r="AB106">
        <v>29</v>
      </c>
      <c r="AC106">
        <v>0.64969999999999495</v>
      </c>
      <c r="AD106">
        <v>-8.2839999999999997E-2</v>
      </c>
      <c r="AE106">
        <v>-1.7400000000009099E-2</v>
      </c>
      <c r="AF106">
        <v>2.4407256748783E-2</v>
      </c>
      <c r="AG106">
        <v>-8.2839999999999997E-2</v>
      </c>
      <c r="AH106">
        <v>0.63907711926308897</v>
      </c>
      <c r="AI106">
        <v>97.380428372746593</v>
      </c>
      <c r="AJ106">
        <v>87.812856315819005</v>
      </c>
      <c r="AK106">
        <v>0.64488583807338296</v>
      </c>
    </row>
    <row r="107" spans="1:37" x14ac:dyDescent="0.2">
      <c r="A107" t="str">
        <f>"20200111153612866"</f>
        <v>20200111153612866</v>
      </c>
      <c r="B107" t="str">
        <f>"1578728172863291"</f>
        <v>1578728172863291</v>
      </c>
      <c r="C107" t="s">
        <v>37</v>
      </c>
      <c r="D107">
        <v>5.6615089999999997</v>
      </c>
      <c r="E107">
        <v>0.51265850000000002</v>
      </c>
      <c r="F107" t="s">
        <v>38</v>
      </c>
      <c r="G107">
        <v>-459.4785</v>
      </c>
      <c r="H107">
        <v>1.0238969999999901</v>
      </c>
      <c r="I107">
        <v>367.71190000000001</v>
      </c>
      <c r="J107">
        <v>-460.10039999999998</v>
      </c>
      <c r="K107">
        <v>1.102266</v>
      </c>
      <c r="L107">
        <v>367.72609999999997</v>
      </c>
      <c r="M107">
        <v>0.99994459999999996</v>
      </c>
      <c r="N107">
        <v>0</v>
      </c>
      <c r="O107">
        <v>1.05297999999999E-2</v>
      </c>
      <c r="P107">
        <v>0.99838590000000005</v>
      </c>
      <c r="Q107">
        <v>5.2290450000000002E-2</v>
      </c>
      <c r="R107">
        <v>2.2165859999999999E-2</v>
      </c>
      <c r="S107">
        <v>3.0197449999999999</v>
      </c>
      <c r="T107">
        <v>-0.25765840000000001</v>
      </c>
      <c r="U107">
        <v>-3.7902829999999998E-2</v>
      </c>
      <c r="V107">
        <v>-1.156717E-2</v>
      </c>
      <c r="W107">
        <v>5.2094059999999998E-2</v>
      </c>
      <c r="X107">
        <v>0.9985752</v>
      </c>
      <c r="Y107">
        <v>2.2957290000000002E-2</v>
      </c>
      <c r="Z107">
        <v>-1.8743849999999999E-3</v>
      </c>
      <c r="AA107">
        <v>0.99973469999999998</v>
      </c>
      <c r="AB107">
        <v>30</v>
      </c>
      <c r="AC107">
        <v>0.62189999999998202</v>
      </c>
      <c r="AD107">
        <v>-7.8369000000000105E-2</v>
      </c>
      <c r="AE107">
        <v>-1.41999999999598E-2</v>
      </c>
      <c r="AF107">
        <v>2.0423540530771899E-2</v>
      </c>
      <c r="AG107">
        <v>-7.8369000000000105E-2</v>
      </c>
      <c r="AH107">
        <v>0.61200252996578497</v>
      </c>
      <c r="AI107">
        <v>97.293189907461297</v>
      </c>
      <c r="AJ107">
        <v>88.088654033820603</v>
      </c>
      <c r="AK107">
        <v>0.61733776642396798</v>
      </c>
    </row>
    <row r="108" spans="1:37" x14ac:dyDescent="0.2">
      <c r="A108" t="str">
        <f>"20200111153612888"</f>
        <v>20200111153612888</v>
      </c>
      <c r="B108" t="str">
        <f>"1578728172882811"</f>
        <v>1578728172882811</v>
      </c>
      <c r="C108" t="s">
        <v>37</v>
      </c>
      <c r="D108">
        <v>5.6301309999999898</v>
      </c>
      <c r="E108">
        <v>0.51156709999999905</v>
      </c>
      <c r="F108" t="s">
        <v>38</v>
      </c>
      <c r="G108">
        <v>-459.2079</v>
      </c>
      <c r="H108">
        <v>1.0272299999999901</v>
      </c>
      <c r="I108">
        <v>367.71809999999999</v>
      </c>
      <c r="J108">
        <v>-459.7998</v>
      </c>
      <c r="K108">
        <v>1.1022430000000001</v>
      </c>
      <c r="L108">
        <v>367.72840000000002</v>
      </c>
      <c r="M108">
        <v>0.99995369999999995</v>
      </c>
      <c r="N108">
        <v>0</v>
      </c>
      <c r="O108">
        <v>9.6369739999999995E-3</v>
      </c>
      <c r="P108">
        <v>0.99847680000000005</v>
      </c>
      <c r="Q108">
        <v>5.0809680000000003E-2</v>
      </c>
      <c r="R108">
        <v>2.1516299999999999E-2</v>
      </c>
      <c r="S108">
        <v>3.0186769999999998</v>
      </c>
      <c r="T108">
        <v>-0.25397029999999998</v>
      </c>
      <c r="U108">
        <v>-2.5604249999999999E-2</v>
      </c>
      <c r="V108">
        <v>-1.180704E-2</v>
      </c>
      <c r="W108">
        <v>5.0715440000000001E-2</v>
      </c>
      <c r="X108">
        <v>0.99864330000000001</v>
      </c>
      <c r="Y108">
        <v>1.8020169999999999E-2</v>
      </c>
      <c r="Z108">
        <v>-1.5660369999999999E-3</v>
      </c>
      <c r="AA108">
        <v>0.99983639999999996</v>
      </c>
      <c r="AB108">
        <v>30</v>
      </c>
      <c r="AC108">
        <v>0.59190000000000897</v>
      </c>
      <c r="AD108">
        <v>-7.5013000000000205E-2</v>
      </c>
      <c r="AE108">
        <v>-1.0300000000029201E-2</v>
      </c>
      <c r="AF108">
        <v>1.57507474420449E-2</v>
      </c>
      <c r="AG108">
        <v>-7.5013000000000205E-2</v>
      </c>
      <c r="AH108">
        <v>0.582421727713054</v>
      </c>
      <c r="AI108">
        <v>97.336354067000997</v>
      </c>
      <c r="AJ108">
        <v>88.450896656860706</v>
      </c>
      <c r="AK108">
        <v>0.58744370379317401</v>
      </c>
    </row>
    <row r="109" spans="1:37" x14ac:dyDescent="0.2">
      <c r="A109" t="str">
        <f>"20200111153612912"</f>
        <v>20200111153612912</v>
      </c>
      <c r="B109" t="str">
        <f>"1578728172903307"</f>
        <v>1578728172903307</v>
      </c>
      <c r="C109" t="s">
        <v>37</v>
      </c>
      <c r="D109">
        <v>5.6628470000000002</v>
      </c>
      <c r="E109">
        <v>0.51078619999999997</v>
      </c>
      <c r="F109" t="s">
        <v>38</v>
      </c>
      <c r="G109">
        <v>-458.9359</v>
      </c>
      <c r="H109">
        <v>1.0302690000000001</v>
      </c>
      <c r="I109">
        <v>367.72300000000001</v>
      </c>
      <c r="J109">
        <v>-459.47949999999997</v>
      </c>
      <c r="K109">
        <v>1.1022259999999999</v>
      </c>
      <c r="L109">
        <v>367.73059999999998</v>
      </c>
      <c r="M109">
        <v>0.99996240000000003</v>
      </c>
      <c r="N109">
        <v>0</v>
      </c>
      <c r="O109">
        <v>8.6835349999999992E-3</v>
      </c>
      <c r="P109">
        <v>0.99857320000000005</v>
      </c>
      <c r="Q109">
        <v>4.9329989999999997E-2</v>
      </c>
      <c r="R109">
        <v>2.0456129999999999E-2</v>
      </c>
      <c r="S109">
        <v>3.0177610000000001</v>
      </c>
      <c r="T109">
        <v>-0.25142979999999998</v>
      </c>
      <c r="U109">
        <v>-1.824951E-2</v>
      </c>
      <c r="V109">
        <v>-1.1698800000000001E-2</v>
      </c>
      <c r="W109">
        <v>4.9342919999999998E-2</v>
      </c>
      <c r="X109">
        <v>0.99871339999999997</v>
      </c>
      <c r="Y109">
        <v>1.4649560000000001E-2</v>
      </c>
      <c r="Z109">
        <v>-1.331439E-3</v>
      </c>
      <c r="AA109">
        <v>0.9998918</v>
      </c>
      <c r="AB109">
        <v>30</v>
      </c>
      <c r="AC109">
        <v>0.543599999999969</v>
      </c>
      <c r="AD109">
        <v>-7.1956999999999799E-2</v>
      </c>
      <c r="AE109">
        <v>-7.5999999999680698E-3</v>
      </c>
      <c r="AF109">
        <v>1.21079665511848E-2</v>
      </c>
      <c r="AG109">
        <v>-7.1956999999999799E-2</v>
      </c>
      <c r="AH109">
        <v>0.53415578547195997</v>
      </c>
      <c r="AI109">
        <v>97.670274030199494</v>
      </c>
      <c r="AJ109">
        <v>88.701471330654599</v>
      </c>
      <c r="AK109">
        <v>0.53911669966359899</v>
      </c>
    </row>
    <row r="110" spans="1:37" x14ac:dyDescent="0.2">
      <c r="A110" t="str">
        <f>"20200111153612933"</f>
        <v>20200111153612933</v>
      </c>
      <c r="B110" t="str">
        <f>"1578728172922826"</f>
        <v>1578728172922826</v>
      </c>
      <c r="C110" t="s">
        <v>37</v>
      </c>
      <c r="D110">
        <v>5.6727160000000003</v>
      </c>
      <c r="E110">
        <v>0.5099281</v>
      </c>
      <c r="F110" t="s">
        <v>38</v>
      </c>
      <c r="G110">
        <v>-458.6617</v>
      </c>
      <c r="H110">
        <v>1.0340750000000001</v>
      </c>
      <c r="I110">
        <v>367.72620000000001</v>
      </c>
      <c r="J110">
        <v>-459.1891</v>
      </c>
      <c r="K110">
        <v>1.1022080000000001</v>
      </c>
      <c r="L110">
        <v>367.73230000000001</v>
      </c>
      <c r="M110">
        <v>0.99996949999999996</v>
      </c>
      <c r="N110">
        <v>0</v>
      </c>
      <c r="O110">
        <v>7.8229760000000006E-3</v>
      </c>
      <c r="P110">
        <v>0.99873409999999996</v>
      </c>
      <c r="Q110">
        <v>4.6279010000000002E-2</v>
      </c>
      <c r="R110">
        <v>1.9721610000000001E-2</v>
      </c>
      <c r="S110">
        <v>3.017029</v>
      </c>
      <c r="T110">
        <v>-0.25160569999999999</v>
      </c>
      <c r="U110">
        <v>-1.4709470000000001E-2</v>
      </c>
      <c r="V110">
        <v>-1.182619E-2</v>
      </c>
      <c r="W110">
        <v>4.6389449999999999E-2</v>
      </c>
      <c r="X110">
        <v>0.9988534</v>
      </c>
      <c r="Y110">
        <v>1.262717E-2</v>
      </c>
      <c r="Z110">
        <v>-1.17687E-3</v>
      </c>
      <c r="AA110">
        <v>0.99991960000000002</v>
      </c>
      <c r="AB110">
        <v>30</v>
      </c>
      <c r="AC110">
        <v>0.52739999999999998</v>
      </c>
      <c r="AD110">
        <v>-6.8132999999999999E-2</v>
      </c>
      <c r="AE110">
        <v>-6.1000000000035401E-3</v>
      </c>
      <c r="AF110">
        <v>1.0057816303196999E-2</v>
      </c>
      <c r="AG110">
        <v>-6.8132999999999999E-2</v>
      </c>
      <c r="AH110">
        <v>0.51868094416201105</v>
      </c>
      <c r="AI110">
        <v>97.482034548969395</v>
      </c>
      <c r="AJ110">
        <v>88.889108576245704</v>
      </c>
      <c r="AK110">
        <v>0.52323339648247202</v>
      </c>
    </row>
    <row r="111" spans="1:37" x14ac:dyDescent="0.2">
      <c r="A111" t="str">
        <f>"20200111153612956"</f>
        <v>20200111153612956</v>
      </c>
      <c r="B111" t="str">
        <f>"1578728172943322"</f>
        <v>1578728172943322</v>
      </c>
      <c r="C111" t="s">
        <v>37</v>
      </c>
      <c r="D111">
        <v>5.7874930000000004</v>
      </c>
      <c r="E111">
        <v>0.50914269999999995</v>
      </c>
      <c r="F111" t="s">
        <v>38</v>
      </c>
      <c r="G111">
        <v>-458.38760000000002</v>
      </c>
      <c r="H111">
        <v>1.0343089999999999</v>
      </c>
      <c r="I111">
        <v>367.72930000000002</v>
      </c>
      <c r="J111">
        <v>-458.88049999999998</v>
      </c>
      <c r="K111">
        <v>1.1021860000000001</v>
      </c>
      <c r="L111">
        <v>367.73390000000001</v>
      </c>
      <c r="M111">
        <v>0.99997599999999998</v>
      </c>
      <c r="N111">
        <v>0</v>
      </c>
      <c r="O111">
        <v>6.91603599999999E-3</v>
      </c>
      <c r="P111">
        <v>0.99891010000000002</v>
      </c>
      <c r="Q111">
        <v>4.2761739999999999E-2</v>
      </c>
      <c r="R111">
        <v>1.8707950000000001E-2</v>
      </c>
      <c r="S111">
        <v>3.0158390000000002</v>
      </c>
      <c r="T111">
        <v>-0.25562790000000002</v>
      </c>
      <c r="U111">
        <v>-1.0162350000000001E-2</v>
      </c>
      <c r="V111">
        <v>-1.1722730000000001E-2</v>
      </c>
      <c r="W111">
        <v>4.2974419999999999E-2</v>
      </c>
      <c r="X111">
        <v>0.99900739999999999</v>
      </c>
      <c r="Y111">
        <v>1.02241E-2</v>
      </c>
      <c r="Z111">
        <v>-1.0176930000000001E-3</v>
      </c>
      <c r="AA111">
        <v>0.99994719999999904</v>
      </c>
      <c r="AB111">
        <v>30</v>
      </c>
      <c r="AC111">
        <v>0.49289999999996298</v>
      </c>
      <c r="AD111">
        <v>-6.7877000000000104E-2</v>
      </c>
      <c r="AE111">
        <v>-4.5999999999821696E-3</v>
      </c>
      <c r="AF111">
        <v>7.8597655934351304E-3</v>
      </c>
      <c r="AG111">
        <v>-6.7877000000000104E-2</v>
      </c>
      <c r="AH111">
        <v>0.48368464979528802</v>
      </c>
      <c r="AI111">
        <v>97.987290932035705</v>
      </c>
      <c r="AJ111">
        <v>89.069038545052805</v>
      </c>
      <c r="AK111">
        <v>0.48848736267356402</v>
      </c>
    </row>
    <row r="112" spans="1:37" x14ac:dyDescent="0.2">
      <c r="A112" t="str">
        <f>"20200111153612978"</f>
        <v>20200111153612978</v>
      </c>
      <c r="B112" t="str">
        <f>"1578728172972604"</f>
        <v>1578728172972604</v>
      </c>
      <c r="C112" t="s">
        <v>37</v>
      </c>
      <c r="D112">
        <v>5.6756390000000003</v>
      </c>
      <c r="E112">
        <v>0.50792799999999905</v>
      </c>
      <c r="F112" t="s">
        <v>38</v>
      </c>
      <c r="G112">
        <v>-458.11149999999998</v>
      </c>
      <c r="H112">
        <v>1.0354270000000001</v>
      </c>
      <c r="I112">
        <v>367.73169999999999</v>
      </c>
      <c r="J112">
        <v>-458.57380000000001</v>
      </c>
      <c r="K112">
        <v>1.102169</v>
      </c>
      <c r="L112">
        <v>367.73509999999999</v>
      </c>
      <c r="M112">
        <v>0.99998180000000003</v>
      </c>
      <c r="N112">
        <v>0</v>
      </c>
      <c r="O112">
        <v>6.0198780000000002E-3</v>
      </c>
      <c r="P112">
        <v>0.99907009999999996</v>
      </c>
      <c r="Q112">
        <v>3.927485E-2</v>
      </c>
      <c r="R112">
        <v>1.7792769999999999E-2</v>
      </c>
      <c r="S112">
        <v>3.01464799999999</v>
      </c>
      <c r="T112">
        <v>-0.26180399999999998</v>
      </c>
      <c r="U112">
        <v>-7.4157709999999998E-3</v>
      </c>
      <c r="V112">
        <v>-1.1707220000000001E-2</v>
      </c>
      <c r="W112">
        <v>3.958938E-2</v>
      </c>
      <c r="X112">
        <v>0.99914749999999997</v>
      </c>
      <c r="Y112">
        <v>8.4253539999999995E-3</v>
      </c>
      <c r="Z112">
        <v>-8.869638E-4</v>
      </c>
      <c r="AA112">
        <v>0.99996409999999902</v>
      </c>
      <c r="AB112">
        <v>31</v>
      </c>
      <c r="AC112">
        <v>0.46230000000002702</v>
      </c>
      <c r="AD112">
        <v>-6.6741999999999801E-2</v>
      </c>
      <c r="AE112">
        <v>-3.3999999999991802E-3</v>
      </c>
      <c r="AF112">
        <v>6.0566980713703698E-3</v>
      </c>
      <c r="AG112">
        <v>-6.6741999999999801E-2</v>
      </c>
      <c r="AH112">
        <v>0.45283346648491102</v>
      </c>
      <c r="AI112">
        <v>98.383580116683305</v>
      </c>
      <c r="AJ112">
        <v>89.233708257527198</v>
      </c>
      <c r="AK112">
        <v>0.45776558031842901</v>
      </c>
    </row>
    <row r="113" spans="1:37" x14ac:dyDescent="0.2">
      <c r="A113" t="str">
        <f>"20200111153613000"</f>
        <v>20200111153613000</v>
      </c>
      <c r="B113" t="str">
        <f>"1578728172993101"</f>
        <v>1578728172993101</v>
      </c>
      <c r="C113" t="s">
        <v>37</v>
      </c>
      <c r="D113">
        <v>5.6778089999999999</v>
      </c>
      <c r="E113">
        <v>0.50727370000000005</v>
      </c>
      <c r="F113" t="s">
        <v>38</v>
      </c>
      <c r="G113">
        <v>-457.83359999999999</v>
      </c>
      <c r="H113">
        <v>1.036883</v>
      </c>
      <c r="I113">
        <v>367.73480000000001</v>
      </c>
      <c r="J113">
        <v>-458.25760000000002</v>
      </c>
      <c r="K113">
        <v>1.10216</v>
      </c>
      <c r="L113">
        <v>367.73610000000002</v>
      </c>
      <c r="M113">
        <v>0.99998709999999902</v>
      </c>
      <c r="N113">
        <v>0</v>
      </c>
      <c r="O113">
        <v>5.1013539999999998E-3</v>
      </c>
      <c r="P113">
        <v>0.999148699999999</v>
      </c>
      <c r="Q113">
        <v>3.796559E-2</v>
      </c>
      <c r="R113">
        <v>1.6161910000000002E-2</v>
      </c>
      <c r="S113">
        <v>3.013245</v>
      </c>
      <c r="T113">
        <v>-0.26581859999999902</v>
      </c>
      <c r="U113">
        <v>-7.6293949999999998E-4</v>
      </c>
      <c r="V113">
        <v>-1.099547E-2</v>
      </c>
      <c r="W113">
        <v>3.8383899999999999E-2</v>
      </c>
      <c r="X113">
        <v>0.99920249999999999</v>
      </c>
      <c r="Y113">
        <v>5.3140959999999999E-3</v>
      </c>
      <c r="Z113">
        <v>-6.8309299999999996E-4</v>
      </c>
      <c r="AA113">
        <v>0.99998560000000003</v>
      </c>
      <c r="AB113">
        <v>31</v>
      </c>
      <c r="AC113">
        <v>0.42400000000003402</v>
      </c>
      <c r="AD113">
        <v>-6.5277000000000002E-2</v>
      </c>
      <c r="AE113">
        <v>-1.3000000000147299E-3</v>
      </c>
      <c r="AF113">
        <v>3.3827784012920902E-3</v>
      </c>
      <c r="AG113">
        <v>-6.5277000000000002E-2</v>
      </c>
      <c r="AH113">
        <v>0.41417117535738202</v>
      </c>
      <c r="AI113">
        <v>98.956344591213806</v>
      </c>
      <c r="AJ113">
        <v>89.532042239356599</v>
      </c>
      <c r="AK113">
        <v>0.419297379452373</v>
      </c>
    </row>
    <row r="114" spans="1:37" x14ac:dyDescent="0.2">
      <c r="A114" t="str">
        <f>"20200111153613023"</f>
        <v>20200111153613023</v>
      </c>
      <c r="B114" t="str">
        <f>"1578728173012618"</f>
        <v>1578728173012618</v>
      </c>
      <c r="C114" t="s">
        <v>37</v>
      </c>
      <c r="D114">
        <v>5.7132559999999897</v>
      </c>
      <c r="E114">
        <v>0.50665799999999905</v>
      </c>
      <c r="F114" t="s">
        <v>38</v>
      </c>
      <c r="G114">
        <v>-457.28410000000002</v>
      </c>
      <c r="H114">
        <v>1.016303</v>
      </c>
      <c r="I114">
        <v>367.73570000000001</v>
      </c>
      <c r="J114">
        <v>-457.94580000000002</v>
      </c>
      <c r="K114">
        <v>1.102155</v>
      </c>
      <c r="L114">
        <v>367.73680000000002</v>
      </c>
      <c r="M114">
        <v>0.99999119999999997</v>
      </c>
      <c r="N114">
        <v>0</v>
      </c>
      <c r="O114">
        <v>4.1966520000000004E-3</v>
      </c>
      <c r="P114">
        <v>0.99920299999999995</v>
      </c>
      <c r="Q114">
        <v>3.731458E-2</v>
      </c>
      <c r="R114">
        <v>1.419287E-2</v>
      </c>
      <c r="S114">
        <v>3.0126650000000001</v>
      </c>
      <c r="T114">
        <v>-0.2656558</v>
      </c>
      <c r="U114">
        <v>-8.5449219999999995E-4</v>
      </c>
      <c r="V114">
        <v>-9.9303099999999995E-3</v>
      </c>
      <c r="W114">
        <v>3.7834020000000003E-2</v>
      </c>
      <c r="X114">
        <v>0.99923469999999903</v>
      </c>
      <c r="Y114">
        <v>4.4467439999999999E-3</v>
      </c>
      <c r="Z114">
        <v>-5.6501860000000002E-4</v>
      </c>
      <c r="AA114">
        <v>0.99998989999999999</v>
      </c>
      <c r="AB114">
        <v>31</v>
      </c>
      <c r="AC114">
        <v>0.66169999999999596</v>
      </c>
      <c r="AD114">
        <v>-8.5851999999999998E-2</v>
      </c>
      <c r="AE114">
        <v>-1.1000000000080899E-3</v>
      </c>
      <c r="AF114">
        <v>3.8127328521136601E-3</v>
      </c>
      <c r="AG114">
        <v>-8.5851999999999998E-2</v>
      </c>
      <c r="AH114">
        <v>0.650735329415567</v>
      </c>
      <c r="AI114">
        <v>97.515542976326898</v>
      </c>
      <c r="AJ114">
        <v>89.664301304641</v>
      </c>
      <c r="AK114">
        <v>0.65638523123649595</v>
      </c>
    </row>
    <row r="115" spans="1:37" x14ac:dyDescent="0.2">
      <c r="A115" t="str">
        <f>"20200111153613044"</f>
        <v>20200111153613044</v>
      </c>
      <c r="B115" t="str">
        <f>"1578728173033117"</f>
        <v>1578728173033117</v>
      </c>
      <c r="C115" t="s">
        <v>37</v>
      </c>
      <c r="D115">
        <v>5.8190679999999997</v>
      </c>
      <c r="E115">
        <v>0.50656820000000002</v>
      </c>
      <c r="F115" t="s">
        <v>38</v>
      </c>
      <c r="G115">
        <v>-457.00069999999999</v>
      </c>
      <c r="H115">
        <v>1.019317</v>
      </c>
      <c r="I115">
        <v>367.73590000000002</v>
      </c>
      <c r="J115">
        <v>-457.63959999999997</v>
      </c>
      <c r="K115">
        <v>1.102139</v>
      </c>
      <c r="L115">
        <v>367.7373</v>
      </c>
      <c r="M115">
        <v>0.99999439999999995</v>
      </c>
      <c r="N115">
        <v>0</v>
      </c>
      <c r="O115">
        <v>3.3076809999999998E-3</v>
      </c>
      <c r="P115">
        <v>0.99926389999999998</v>
      </c>
      <c r="Q115">
        <v>3.6314109999999997E-2</v>
      </c>
      <c r="R115">
        <v>1.2359520000000001E-2</v>
      </c>
      <c r="S115">
        <v>3.0122680000000002</v>
      </c>
      <c r="T115">
        <v>-0.26412529999999901</v>
      </c>
      <c r="U115">
        <v>-1.617432E-3</v>
      </c>
      <c r="V115">
        <v>-8.9857649999999997E-3</v>
      </c>
      <c r="W115">
        <v>3.6932960000000001E-2</v>
      </c>
      <c r="X115">
        <v>0.99927739999999998</v>
      </c>
      <c r="Y115">
        <v>3.8172890000000002E-3</v>
      </c>
      <c r="Z115">
        <v>-4.5650820000000001E-4</v>
      </c>
      <c r="AA115">
        <v>0.99999259999999901</v>
      </c>
      <c r="AB115">
        <v>31</v>
      </c>
      <c r="AC115">
        <v>0.63889999999997804</v>
      </c>
      <c r="AD115">
        <v>-8.2821999999999896E-2</v>
      </c>
      <c r="AE115">
        <v>-1.39999999998963E-3</v>
      </c>
      <c r="AF115">
        <v>3.4552072473404099E-3</v>
      </c>
      <c r="AG115">
        <v>-8.2821999999999896E-2</v>
      </c>
      <c r="AH115">
        <v>0.62833309996819697</v>
      </c>
      <c r="AI115">
        <v>97.508884806472807</v>
      </c>
      <c r="AJ115">
        <v>89.684933362259201</v>
      </c>
      <c r="AK115">
        <v>0.63377748986278004</v>
      </c>
    </row>
    <row r="116" spans="1:37" x14ac:dyDescent="0.2">
      <c r="A116" t="str">
        <f>"20200111153613067"</f>
        <v>20200111153613067</v>
      </c>
      <c r="B116" t="str">
        <f>"1578728173062394"</f>
        <v>1578728173062394</v>
      </c>
      <c r="C116" t="s">
        <v>37</v>
      </c>
      <c r="D116">
        <v>5.7293599999999998</v>
      </c>
      <c r="E116">
        <v>0.52592669999999997</v>
      </c>
      <c r="F116" t="s">
        <v>38</v>
      </c>
      <c r="G116">
        <v>-456.71609999999998</v>
      </c>
      <c r="H116">
        <v>1.0214700000000001</v>
      </c>
      <c r="I116">
        <v>367.7353</v>
      </c>
      <c r="J116">
        <v>-457.32060000000001</v>
      </c>
      <c r="K116">
        <v>1.1021350000000001</v>
      </c>
      <c r="L116">
        <v>367.73750000000001</v>
      </c>
      <c r="M116">
        <v>0.99999699999999903</v>
      </c>
      <c r="N116">
        <v>0</v>
      </c>
      <c r="O116">
        <v>2.3809639999999902E-3</v>
      </c>
      <c r="P116">
        <v>0.99931700000000001</v>
      </c>
      <c r="Q116">
        <v>3.5522890000000001E-2</v>
      </c>
      <c r="R116">
        <v>1.01951E-2</v>
      </c>
      <c r="S116">
        <v>3.01187099999999</v>
      </c>
      <c r="T116">
        <v>-0.26303409999999999</v>
      </c>
      <c r="U116">
        <v>-6.286621E-3</v>
      </c>
      <c r="V116">
        <v>-7.7480259999999999E-3</v>
      </c>
      <c r="W116">
        <v>3.6244859999999997E-2</v>
      </c>
      <c r="X116">
        <v>0.99931289999999995</v>
      </c>
      <c r="Y116">
        <v>4.44226E-3</v>
      </c>
      <c r="Z116">
        <v>-4.0114829999999998E-4</v>
      </c>
      <c r="AA116">
        <v>0.99998999999999905</v>
      </c>
      <c r="AB116">
        <v>31</v>
      </c>
      <c r="AC116">
        <v>0.60450000000003001</v>
      </c>
      <c r="AD116">
        <v>-8.0664999999999903E-2</v>
      </c>
      <c r="AE116">
        <v>-2.2000000000161799E-3</v>
      </c>
      <c r="AF116">
        <v>3.5756184650826001E-3</v>
      </c>
      <c r="AG116">
        <v>-8.0664999999999903E-2</v>
      </c>
      <c r="AH116">
        <v>0.59391761633098095</v>
      </c>
      <c r="AI116">
        <v>97.734361518183405</v>
      </c>
      <c r="AJ116">
        <v>89.655060960538094</v>
      </c>
      <c r="AK116">
        <v>0.59938114940385201</v>
      </c>
    </row>
    <row r="117" spans="1:37" x14ac:dyDescent="0.2">
      <c r="A117" t="str">
        <f>"20200111153613090"</f>
        <v>20200111153613090</v>
      </c>
      <c r="B117" t="str">
        <f>"1578728173082891"</f>
        <v>1578728173082891</v>
      </c>
      <c r="C117" t="s">
        <v>37</v>
      </c>
      <c r="D117">
        <v>5.6836839999999897</v>
      </c>
      <c r="E117">
        <v>0.52678130000000001</v>
      </c>
      <c r="F117" t="s">
        <v>38</v>
      </c>
      <c r="G117">
        <v>-456.42110000000002</v>
      </c>
      <c r="H117">
        <v>1.0434139999999901</v>
      </c>
      <c r="I117">
        <v>367.6866</v>
      </c>
      <c r="J117">
        <v>-456.98599999999999</v>
      </c>
      <c r="K117">
        <v>1.102128</v>
      </c>
      <c r="L117">
        <v>367.73739999999998</v>
      </c>
      <c r="M117">
        <v>0.99999869999999902</v>
      </c>
      <c r="N117">
        <v>0</v>
      </c>
      <c r="O117">
        <v>1.407918E-3</v>
      </c>
      <c r="P117">
        <v>0.99935239999999903</v>
      </c>
      <c r="Q117">
        <v>3.4834810000000001E-2</v>
      </c>
      <c r="R117">
        <v>9.0224550000000004E-3</v>
      </c>
      <c r="S117">
        <v>3.0107729999999999</v>
      </c>
      <c r="T117">
        <v>-0.19668949999999999</v>
      </c>
      <c r="U117">
        <v>-0.16888429999999999</v>
      </c>
      <c r="V117">
        <v>-7.5475730000000001E-3</v>
      </c>
      <c r="W117">
        <v>3.5666360000000001E-2</v>
      </c>
      <c r="X117">
        <v>0.99933519999999898</v>
      </c>
      <c r="Y117">
        <v>5.7286219999999999E-2</v>
      </c>
      <c r="Z117">
        <v>-1.9595659999999998E-3</v>
      </c>
      <c r="AA117">
        <v>0.99835589999999996</v>
      </c>
      <c r="AB117">
        <v>32</v>
      </c>
      <c r="AC117">
        <v>0.56489999999996598</v>
      </c>
      <c r="AD117">
        <v>-5.8714000000000099E-2</v>
      </c>
      <c r="AE117">
        <v>-5.0799999999980999E-2</v>
      </c>
      <c r="AF117">
        <v>5.1048237899356898E-2</v>
      </c>
      <c r="AG117">
        <v>-5.8714000000000099E-2</v>
      </c>
      <c r="AH117">
        <v>0.55883926538154305</v>
      </c>
      <c r="AI117">
        <v>95.973043533185702</v>
      </c>
      <c r="AJ117">
        <v>84.780692727752907</v>
      </c>
      <c r="AK117">
        <v>0.56422919183680298</v>
      </c>
    </row>
    <row r="118" spans="1:37" x14ac:dyDescent="0.2">
      <c r="A118" t="str">
        <f>"20200111153613114"</f>
        <v>20200111153613114</v>
      </c>
      <c r="B118" t="str">
        <f>"1578728173103386"</f>
        <v>1578728173103386</v>
      </c>
      <c r="C118" t="s">
        <v>37</v>
      </c>
      <c r="D118">
        <v>5.8448909999999996</v>
      </c>
      <c r="E118">
        <v>0.52531000000000005</v>
      </c>
      <c r="F118" t="s">
        <v>38</v>
      </c>
      <c r="G118">
        <v>-456.13780000000003</v>
      </c>
      <c r="H118">
        <v>1.036443</v>
      </c>
      <c r="I118">
        <v>367.68740000000003</v>
      </c>
      <c r="J118">
        <v>-456.65800000000002</v>
      </c>
      <c r="K118">
        <v>1.1021209999999999</v>
      </c>
      <c r="L118">
        <v>367.73689999999999</v>
      </c>
      <c r="M118">
        <v>0.99999950000000004</v>
      </c>
      <c r="N118">
        <v>0</v>
      </c>
      <c r="O118">
        <v>4.5328430000000003E-4</v>
      </c>
      <c r="P118">
        <v>0.99937940000000003</v>
      </c>
      <c r="Q118">
        <v>3.4183909999999998E-2</v>
      </c>
      <c r="R118">
        <v>8.4996640000000005E-3</v>
      </c>
      <c r="S118">
        <v>3.0116879999999999</v>
      </c>
      <c r="T118">
        <v>-0.23323820000000001</v>
      </c>
      <c r="U118">
        <v>-0.178009</v>
      </c>
      <c r="V118">
        <v>-7.9789749999999993E-3</v>
      </c>
      <c r="W118">
        <v>3.5124059999999999E-2</v>
      </c>
      <c r="X118">
        <v>0.99935110000000005</v>
      </c>
      <c r="Y118">
        <v>5.9277349999999999E-2</v>
      </c>
      <c r="Z118">
        <v>-2.3249489999999898E-3</v>
      </c>
      <c r="AA118">
        <v>0.99823890000000004</v>
      </c>
      <c r="AB118">
        <v>32</v>
      </c>
      <c r="AC118">
        <v>0.52019999999998801</v>
      </c>
      <c r="AD118">
        <v>-6.5677999999999903E-2</v>
      </c>
      <c r="AE118">
        <v>-4.94999999999663E-2</v>
      </c>
      <c r="AF118">
        <v>4.8962318210046797E-2</v>
      </c>
      <c r="AG118">
        <v>-6.5677999999999903E-2</v>
      </c>
      <c r="AH118">
        <v>0.51208787328574701</v>
      </c>
      <c r="AI118">
        <v>97.2757660250806</v>
      </c>
      <c r="AJ118">
        <v>84.538374650712299</v>
      </c>
      <c r="AK118">
        <v>0.51859897633414298</v>
      </c>
    </row>
    <row r="119" spans="1:37" x14ac:dyDescent="0.2">
      <c r="A119" t="str">
        <f>"20200111153613134"</f>
        <v>20200111153613134</v>
      </c>
      <c r="B119" t="str">
        <f>"1578728173122907"</f>
        <v>1578728173122907</v>
      </c>
      <c r="C119" t="s">
        <v>37</v>
      </c>
      <c r="D119">
        <v>5.6206800000000001</v>
      </c>
      <c r="E119">
        <v>0.52425319999999997</v>
      </c>
      <c r="F119" t="s">
        <v>38</v>
      </c>
      <c r="G119">
        <v>-455.8476</v>
      </c>
      <c r="H119">
        <v>1.0407959999999901</v>
      </c>
      <c r="I119">
        <v>367.69130000000001</v>
      </c>
      <c r="J119">
        <v>-456.35079999999999</v>
      </c>
      <c r="K119">
        <v>1.1021350000000001</v>
      </c>
      <c r="L119">
        <v>367.73630000000003</v>
      </c>
      <c r="M119">
        <v>0.99999930000000004</v>
      </c>
      <c r="N119">
        <v>0</v>
      </c>
      <c r="O119">
        <v>-4.3988540000000002E-4</v>
      </c>
      <c r="P119">
        <v>0.99936970000000003</v>
      </c>
      <c r="Q119">
        <v>3.451978E-2</v>
      </c>
      <c r="R119">
        <v>8.2855900000000007E-3</v>
      </c>
      <c r="S119">
        <v>3.0111080000000001</v>
      </c>
      <c r="T119">
        <v>-0.2279553</v>
      </c>
      <c r="U119">
        <v>-0.16818239999999901</v>
      </c>
      <c r="V119">
        <v>-8.6554990000000005E-3</v>
      </c>
      <c r="W119">
        <v>3.5594880000000002E-2</v>
      </c>
      <c r="X119">
        <v>0.99932880000000002</v>
      </c>
      <c r="Y119">
        <v>5.517172E-2</v>
      </c>
      <c r="Z119">
        <v>-2.0505530000000001E-3</v>
      </c>
      <c r="AA119">
        <v>0.9984748</v>
      </c>
      <c r="AB119">
        <v>32</v>
      </c>
      <c r="AC119">
        <v>0.50319999999999199</v>
      </c>
      <c r="AD119">
        <v>-6.1339000000000199E-2</v>
      </c>
      <c r="AE119">
        <v>-4.5000000000015902E-2</v>
      </c>
      <c r="AF119">
        <v>4.4128143528212697E-2</v>
      </c>
      <c r="AG119">
        <v>-6.1339000000000199E-2</v>
      </c>
      <c r="AH119">
        <v>0.49590944737700798</v>
      </c>
      <c r="AI119">
        <v>97.023623644426493</v>
      </c>
      <c r="AJ119">
        <v>84.914969705747893</v>
      </c>
      <c r="AK119">
        <v>0.50163327837177696</v>
      </c>
    </row>
    <row r="120" spans="1:37" x14ac:dyDescent="0.2">
      <c r="A120" t="str">
        <f>"20200111153613157"</f>
        <v>20200111153613157</v>
      </c>
      <c r="B120" t="str">
        <f>"1578728173153163"</f>
        <v>1578728173153163</v>
      </c>
      <c r="C120" t="s">
        <v>37</v>
      </c>
      <c r="D120">
        <v>5.6664750000000002</v>
      </c>
      <c r="E120">
        <v>0.52308089999999996</v>
      </c>
      <c r="F120" t="s">
        <v>38</v>
      </c>
      <c r="G120">
        <v>-455.55579999999998</v>
      </c>
      <c r="H120">
        <v>1.04542</v>
      </c>
      <c r="I120">
        <v>367.69369999999998</v>
      </c>
      <c r="J120">
        <v>-456.03739999999999</v>
      </c>
      <c r="K120">
        <v>1.102168</v>
      </c>
      <c r="L120">
        <v>367.7353</v>
      </c>
      <c r="M120">
        <v>0.99999839999999995</v>
      </c>
      <c r="N120">
        <v>0</v>
      </c>
      <c r="O120">
        <v>-1.346776E-3</v>
      </c>
      <c r="P120">
        <v>0.99933739999999904</v>
      </c>
      <c r="Q120">
        <v>3.5464860000000001E-2</v>
      </c>
      <c r="R120">
        <v>8.1989339999999997E-3</v>
      </c>
      <c r="S120">
        <v>3.01065099999999</v>
      </c>
      <c r="T120">
        <v>-0.21475639999999999</v>
      </c>
      <c r="U120">
        <v>-0.1608887</v>
      </c>
      <c r="V120">
        <v>-9.4718400000000005E-3</v>
      </c>
      <c r="W120">
        <v>3.6778089999999999E-2</v>
      </c>
      <c r="X120">
        <v>0.99927849999999996</v>
      </c>
      <c r="Y120">
        <v>5.1890720000000001E-2</v>
      </c>
      <c r="Z120">
        <v>-1.751201E-3</v>
      </c>
      <c r="AA120">
        <v>0.99865119999999896</v>
      </c>
      <c r="AB120">
        <v>32</v>
      </c>
      <c r="AC120">
        <v>0.48160000000001402</v>
      </c>
      <c r="AD120">
        <v>-5.6748E-2</v>
      </c>
      <c r="AE120">
        <v>-4.16000000000167E-2</v>
      </c>
      <c r="AF120">
        <v>4.0394651373773197E-2</v>
      </c>
      <c r="AG120">
        <v>-5.6748E-2</v>
      </c>
      <c r="AH120">
        <v>0.47510784058132</v>
      </c>
      <c r="AI120">
        <v>96.7870172503915</v>
      </c>
      <c r="AJ120">
        <v>85.140281720547605</v>
      </c>
      <c r="AK120">
        <v>0.48018696727988502</v>
      </c>
    </row>
    <row r="121" spans="1:37" x14ac:dyDescent="0.2">
      <c r="A121" t="str">
        <f>"20200111153613179"</f>
        <v>20200111153613179</v>
      </c>
      <c r="B121" t="str">
        <f>"1578728173172683"</f>
        <v>1578728173172683</v>
      </c>
      <c r="C121" t="s">
        <v>37</v>
      </c>
      <c r="D121">
        <v>5.6932539999999996</v>
      </c>
      <c r="E121">
        <v>0.5221481</v>
      </c>
      <c r="F121" t="s">
        <v>38</v>
      </c>
      <c r="G121">
        <v>-455.2645</v>
      </c>
      <c r="H121">
        <v>1.046916</v>
      </c>
      <c r="I121">
        <v>367.69619999999998</v>
      </c>
      <c r="J121">
        <v>-455.7011</v>
      </c>
      <c r="K121">
        <v>1.1022419999999999</v>
      </c>
      <c r="L121">
        <v>367.73399999999998</v>
      </c>
      <c r="M121">
        <v>0.99999590000000005</v>
      </c>
      <c r="N121">
        <v>0</v>
      </c>
      <c r="O121">
        <v>-2.3126240000000001E-3</v>
      </c>
      <c r="P121">
        <v>0.99932649999999901</v>
      </c>
      <c r="Q121">
        <v>3.5778860000000003E-2</v>
      </c>
      <c r="R121">
        <v>8.1685830000000001E-3</v>
      </c>
      <c r="S121">
        <v>3.0108029999999899</v>
      </c>
      <c r="T121">
        <v>-0.215335</v>
      </c>
      <c r="U121">
        <v>-0.15182499999999999</v>
      </c>
      <c r="V121">
        <v>-1.040404E-2</v>
      </c>
      <c r="W121">
        <v>3.7534779999999997E-2</v>
      </c>
      <c r="X121">
        <v>0.99924120000000005</v>
      </c>
      <c r="Y121">
        <v>4.7936670000000001E-2</v>
      </c>
      <c r="Z121">
        <v>-1.5458819999999999E-3</v>
      </c>
      <c r="AA121">
        <v>0.99884919999999999</v>
      </c>
      <c r="AB121">
        <v>32</v>
      </c>
      <c r="AC121">
        <v>0.43659999999999799</v>
      </c>
      <c r="AD121">
        <v>-5.5325999999999903E-2</v>
      </c>
      <c r="AE121">
        <v>-3.7800000000061097E-2</v>
      </c>
      <c r="AF121">
        <v>3.6213024018781001E-2</v>
      </c>
      <c r="AG121">
        <v>-5.5325999999999903E-2</v>
      </c>
      <c r="AH121">
        <v>0.42983531326336899</v>
      </c>
      <c r="AI121">
        <v>97.308854511940197</v>
      </c>
      <c r="AJ121">
        <v>85.184282927014905</v>
      </c>
      <c r="AK121">
        <v>0.43489164847442602</v>
      </c>
    </row>
    <row r="122" spans="1:37" x14ac:dyDescent="0.2">
      <c r="A122" t="str">
        <f>"20200111153613201"</f>
        <v>20200111153613201</v>
      </c>
      <c r="B122" t="str">
        <f>"1578728173193178"</f>
        <v>1578728173193178</v>
      </c>
      <c r="C122" t="s">
        <v>37</v>
      </c>
      <c r="D122">
        <v>6.0166209999999998</v>
      </c>
      <c r="E122">
        <v>0.52312199999999998</v>
      </c>
      <c r="F122" t="s">
        <v>38</v>
      </c>
      <c r="G122">
        <v>-454.97269999999997</v>
      </c>
      <c r="H122">
        <v>1.047669</v>
      </c>
      <c r="I122">
        <v>367.69889999999998</v>
      </c>
      <c r="J122">
        <v>-455.3707</v>
      </c>
      <c r="K122">
        <v>1.1023719999999999</v>
      </c>
      <c r="L122">
        <v>367.73230000000001</v>
      </c>
      <c r="M122">
        <v>0.99999179999999999</v>
      </c>
      <c r="N122">
        <v>0</v>
      </c>
      <c r="O122">
        <v>-3.257013E-3</v>
      </c>
      <c r="P122">
        <v>0.99936619999999998</v>
      </c>
      <c r="Q122">
        <v>3.4558310000000002E-2</v>
      </c>
      <c r="R122">
        <v>8.5370989999999994E-3</v>
      </c>
      <c r="S122">
        <v>3.0113219999999998</v>
      </c>
      <c r="T122">
        <v>-0.22571350000000001</v>
      </c>
      <c r="U122">
        <v>-0.1443787</v>
      </c>
      <c r="V122">
        <v>-1.171551E-2</v>
      </c>
      <c r="W122">
        <v>3.7028730000000003E-2</v>
      </c>
      <c r="X122">
        <v>0.99924550000000001</v>
      </c>
      <c r="Y122">
        <v>4.4521239999999997E-2</v>
      </c>
      <c r="Z122">
        <v>-1.4216109999999999E-3</v>
      </c>
      <c r="AA122">
        <v>0.99900739999999999</v>
      </c>
      <c r="AB122">
        <v>32</v>
      </c>
      <c r="AC122">
        <v>0.398000000000024</v>
      </c>
      <c r="AD122">
        <v>-5.4702999999999898E-2</v>
      </c>
      <c r="AE122">
        <v>-3.3400000000028698E-2</v>
      </c>
      <c r="AF122">
        <v>3.1512388833414798E-2</v>
      </c>
      <c r="AG122">
        <v>-5.4702999999999898E-2</v>
      </c>
      <c r="AH122">
        <v>0.39077612673053302</v>
      </c>
      <c r="AI122">
        <v>97.943342015180505</v>
      </c>
      <c r="AJ122">
        <v>85.389615068607498</v>
      </c>
      <c r="AK122">
        <v>0.39584268350129398</v>
      </c>
    </row>
    <row r="123" spans="1:37" x14ac:dyDescent="0.2">
      <c r="A123" t="str">
        <f>"20200111153613225"</f>
        <v>20200111153613225</v>
      </c>
      <c r="B123" t="str">
        <f>"1578728173212716"</f>
        <v>1578728173212716</v>
      </c>
      <c r="C123" t="s">
        <v>37</v>
      </c>
      <c r="D123">
        <v>6.0277260000000004</v>
      </c>
      <c r="E123">
        <v>0.55968509999999905</v>
      </c>
      <c r="F123" t="s">
        <v>38</v>
      </c>
      <c r="G123">
        <v>-454.3997</v>
      </c>
      <c r="H123">
        <v>1.028184</v>
      </c>
      <c r="I123">
        <v>367.68329999999997</v>
      </c>
      <c r="J123">
        <v>-455.0367</v>
      </c>
      <c r="K123">
        <v>1.1025229999999999</v>
      </c>
      <c r="L123">
        <v>367.73020000000002</v>
      </c>
      <c r="M123">
        <v>0.99998560000000003</v>
      </c>
      <c r="N123">
        <v>0</v>
      </c>
      <c r="O123">
        <v>-4.2118939999999999E-3</v>
      </c>
      <c r="P123">
        <v>0.99942180000000003</v>
      </c>
      <c r="Q123">
        <v>3.2931920000000003E-2</v>
      </c>
      <c r="R123">
        <v>8.4837539999999996E-3</v>
      </c>
      <c r="S123">
        <v>3.0112000000000001</v>
      </c>
      <c r="T123">
        <v>-0.230173299999999</v>
      </c>
      <c r="U123">
        <v>-0.15148929999999999</v>
      </c>
      <c r="V123">
        <v>-1.2616870000000001E-2</v>
      </c>
      <c r="W123">
        <v>3.6283940000000001E-2</v>
      </c>
      <c r="X123">
        <v>0.99926190000000004</v>
      </c>
      <c r="Y123">
        <v>4.591667E-2</v>
      </c>
      <c r="Z123">
        <v>-1.42998E-3</v>
      </c>
      <c r="AA123">
        <v>0.99894419999999995</v>
      </c>
      <c r="AB123">
        <v>33</v>
      </c>
      <c r="AC123">
        <v>0.63700000000000001</v>
      </c>
      <c r="AD123">
        <v>-7.4338999999999905E-2</v>
      </c>
      <c r="AE123">
        <v>-4.6900000000050499E-2</v>
      </c>
      <c r="AF123">
        <v>4.3625645653152502E-2</v>
      </c>
      <c r="AG123">
        <v>-7.4338999999999905E-2</v>
      </c>
      <c r="AH123">
        <v>0.62867593056694904</v>
      </c>
      <c r="AI123">
        <v>96.727705499875896</v>
      </c>
      <c r="AJ123">
        <v>86.0304432047635</v>
      </c>
      <c r="AK123">
        <v>0.63455725474843805</v>
      </c>
    </row>
    <row r="124" spans="1:37" x14ac:dyDescent="0.2">
      <c r="A124" t="str">
        <f>"20200111153613245"</f>
        <v>20200111153613245</v>
      </c>
      <c r="B124" t="str">
        <f>"1578728173233195"</f>
        <v>1578728173233195</v>
      </c>
      <c r="C124" t="s">
        <v>37</v>
      </c>
      <c r="D124">
        <v>5.4339009999999996</v>
      </c>
      <c r="E124">
        <v>0.56354609999999905</v>
      </c>
      <c r="F124" t="s">
        <v>38</v>
      </c>
      <c r="G124">
        <v>-454.11020000000002</v>
      </c>
      <c r="H124">
        <v>1.0228930000000001</v>
      </c>
      <c r="I124">
        <v>367.59359999999998</v>
      </c>
      <c r="J124">
        <v>-454.73110000000003</v>
      </c>
      <c r="K124">
        <v>1.1026020000000001</v>
      </c>
      <c r="L124">
        <v>367.72809999999998</v>
      </c>
      <c r="M124">
        <v>0.99997909999999901</v>
      </c>
      <c r="N124">
        <v>0</v>
      </c>
      <c r="O124">
        <v>-5.1044380000000002E-3</v>
      </c>
      <c r="P124">
        <v>0.99944599999999995</v>
      </c>
      <c r="Q124">
        <v>3.2318439999999997E-2</v>
      </c>
      <c r="R124">
        <v>7.9814459999999997E-3</v>
      </c>
      <c r="S124">
        <v>3.014008</v>
      </c>
      <c r="T124">
        <v>-0.25921689999999997</v>
      </c>
      <c r="U124">
        <v>-0.44317629999999902</v>
      </c>
      <c r="V124">
        <v>-1.3006139999999999E-2</v>
      </c>
      <c r="W124">
        <v>3.6319199999999899E-2</v>
      </c>
      <c r="X124">
        <v>0.99925560000000002</v>
      </c>
      <c r="Y124">
        <v>0.13993549999999999</v>
      </c>
      <c r="Z124">
        <v>-5.538655E-3</v>
      </c>
      <c r="AA124">
        <v>0.990145099999999</v>
      </c>
      <c r="AB124">
        <v>32</v>
      </c>
      <c r="AC124">
        <v>0.620900000000006</v>
      </c>
      <c r="AD124">
        <v>-7.9709000000000002E-2</v>
      </c>
      <c r="AE124">
        <v>-0.13450000000000201</v>
      </c>
      <c r="AF124">
        <v>0.12929355654212901</v>
      </c>
      <c r="AG124">
        <v>-7.9709000000000002E-2</v>
      </c>
      <c r="AH124">
        <v>0.61194530765831701</v>
      </c>
      <c r="AI124">
        <v>97.262717819141002</v>
      </c>
      <c r="AJ124">
        <v>78.069840999112799</v>
      </c>
      <c r="AK124">
        <v>0.63051360652197297</v>
      </c>
    </row>
    <row r="125" spans="1:37" x14ac:dyDescent="0.2">
      <c r="A125" t="str">
        <f>"20200111153613268"</f>
        <v>20200111153613268</v>
      </c>
      <c r="B125" t="str">
        <f>"1578728173262475"</f>
        <v>1578728173262475</v>
      </c>
      <c r="C125" t="s">
        <v>37</v>
      </c>
      <c r="D125">
        <v>6.0024160000000002</v>
      </c>
      <c r="E125">
        <v>0.564191199999999</v>
      </c>
      <c r="F125" t="s">
        <v>38</v>
      </c>
      <c r="G125">
        <v>-453.81869999999998</v>
      </c>
      <c r="H125">
        <v>1.021798</v>
      </c>
      <c r="I125">
        <v>367.58359999999999</v>
      </c>
      <c r="J125">
        <v>-454.39949999999999</v>
      </c>
      <c r="K125">
        <v>1.1026959999999999</v>
      </c>
      <c r="L125">
        <v>367.72539999999998</v>
      </c>
      <c r="M125">
        <v>0.99997060000000004</v>
      </c>
      <c r="N125">
        <v>0</v>
      </c>
      <c r="O125">
        <v>-6.07640099999999E-3</v>
      </c>
      <c r="P125">
        <v>0.99946089999999999</v>
      </c>
      <c r="Q125">
        <v>3.211551E-2</v>
      </c>
      <c r="R125">
        <v>6.8480600000000004E-3</v>
      </c>
      <c r="S125">
        <v>3.0140689999999899</v>
      </c>
      <c r="T125">
        <v>-0.26707890000000001</v>
      </c>
      <c r="U125">
        <v>-0.475768999999999</v>
      </c>
      <c r="V125">
        <v>-1.2841979999999999E-2</v>
      </c>
      <c r="W125">
        <v>3.6852900000000001E-2</v>
      </c>
      <c r="X125">
        <v>0.99923819999999997</v>
      </c>
      <c r="Y125">
        <v>0.1493662</v>
      </c>
      <c r="Z125">
        <v>-6.030349E-3</v>
      </c>
      <c r="AA125">
        <v>0.98876359999999996</v>
      </c>
      <c r="AB125">
        <v>33</v>
      </c>
      <c r="AC125">
        <v>0.58080000000000997</v>
      </c>
      <c r="AD125">
        <v>-8.0897999999999901E-2</v>
      </c>
      <c r="AE125">
        <v>-0.14179999999998899</v>
      </c>
      <c r="AF125">
        <v>0.135782062741819</v>
      </c>
      <c r="AG125">
        <v>-8.0897999999999901E-2</v>
      </c>
      <c r="AH125">
        <v>0.57119264603655595</v>
      </c>
      <c r="AI125">
        <v>97.845398039582093</v>
      </c>
      <c r="AJ125">
        <v>76.628026052937798</v>
      </c>
      <c r="AK125">
        <v>0.59265697823670804</v>
      </c>
    </row>
    <row r="126" spans="1:37" x14ac:dyDescent="0.2">
      <c r="A126" t="str">
        <f>"20200111153613292"</f>
        <v>20200111153613292</v>
      </c>
      <c r="B126" t="str">
        <f>"1578728173282970"</f>
        <v>1578728173282970</v>
      </c>
      <c r="C126" t="s">
        <v>37</v>
      </c>
      <c r="D126">
        <v>5.9639629999999997</v>
      </c>
      <c r="E126">
        <v>0.56430789999999997</v>
      </c>
      <c r="F126" t="s">
        <v>38</v>
      </c>
      <c r="G126">
        <v>-453.5265</v>
      </c>
      <c r="H126">
        <v>1.0225770000000001</v>
      </c>
      <c r="I126">
        <v>367.58499999999998</v>
      </c>
      <c r="J126">
        <v>-454.05009999999999</v>
      </c>
      <c r="K126">
        <v>1.1028129999999901</v>
      </c>
      <c r="L126">
        <v>367.72219999999999</v>
      </c>
      <c r="M126">
        <v>0.9999593</v>
      </c>
      <c r="N126">
        <v>0</v>
      </c>
      <c r="O126">
        <v>-7.1042689999999999E-3</v>
      </c>
      <c r="P126">
        <v>0.99947169999999896</v>
      </c>
      <c r="Q126">
        <v>3.185847E-2</v>
      </c>
      <c r="R126">
        <v>6.4293079999999999E-3</v>
      </c>
      <c r="S126">
        <v>3.0138240000000001</v>
      </c>
      <c r="T126">
        <v>-0.27662529999999902</v>
      </c>
      <c r="U126">
        <v>-0.48449709999999901</v>
      </c>
      <c r="V126">
        <v>-1.344919E-2</v>
      </c>
      <c r="W126">
        <v>3.743519E-2</v>
      </c>
      <c r="X126">
        <v>0.999208599999999</v>
      </c>
      <c r="Y126">
        <v>0.1511121</v>
      </c>
      <c r="Z126">
        <v>-6.2300439999999997E-3</v>
      </c>
      <c r="AA126">
        <v>0.98849699999999996</v>
      </c>
      <c r="AB126">
        <v>33</v>
      </c>
      <c r="AC126">
        <v>0.52359999999998696</v>
      </c>
      <c r="AD126">
        <v>-8.0235999999999696E-2</v>
      </c>
      <c r="AE126">
        <v>-0.13720000000000701</v>
      </c>
      <c r="AF126">
        <v>0.13060679544129</v>
      </c>
      <c r="AG126">
        <v>-8.0235999999999696E-2</v>
      </c>
      <c r="AH126">
        <v>0.51328288192870997</v>
      </c>
      <c r="AI126">
        <v>98.614344193337899</v>
      </c>
      <c r="AJ126">
        <v>75.723834596656403</v>
      </c>
      <c r="AK126">
        <v>0.53568205830742999</v>
      </c>
    </row>
    <row r="127" spans="1:37" x14ac:dyDescent="0.2">
      <c r="A127" t="str">
        <f>"20200111153613314"</f>
        <v>20200111153613314</v>
      </c>
      <c r="B127" t="str">
        <f>"1578728173302490"</f>
        <v>1578728173302490</v>
      </c>
      <c r="C127" t="s">
        <v>37</v>
      </c>
      <c r="D127">
        <v>5.9624309999999996</v>
      </c>
      <c r="E127">
        <v>0.56478459999999997</v>
      </c>
      <c r="F127" t="s">
        <v>38</v>
      </c>
      <c r="G127">
        <v>-453.23270000000002</v>
      </c>
      <c r="H127">
        <v>1.027452</v>
      </c>
      <c r="I127">
        <v>367.5899</v>
      </c>
      <c r="J127">
        <v>-453.7373</v>
      </c>
      <c r="K127">
        <v>1.102902</v>
      </c>
      <c r="L127">
        <v>367.71899999999999</v>
      </c>
      <c r="M127">
        <v>0.99994830000000001</v>
      </c>
      <c r="N127">
        <v>0</v>
      </c>
      <c r="O127">
        <v>-8.0191689999999996E-3</v>
      </c>
      <c r="P127">
        <v>0.99947260000000004</v>
      </c>
      <c r="Q127">
        <v>3.1824970000000001E-2</v>
      </c>
      <c r="R127">
        <v>6.4841689999999997E-3</v>
      </c>
      <c r="S127">
        <v>3.0135800000000001</v>
      </c>
      <c r="T127">
        <v>-0.2779182</v>
      </c>
      <c r="U127">
        <v>-0.48712159999999899</v>
      </c>
      <c r="V127">
        <v>-1.4417930000000001E-2</v>
      </c>
      <c r="W127">
        <v>3.8128500000000003E-2</v>
      </c>
      <c r="X127">
        <v>0.99916879999999997</v>
      </c>
      <c r="Y127">
        <v>0.15105789999999999</v>
      </c>
      <c r="Z127">
        <v>-6.173001E-3</v>
      </c>
      <c r="AA127">
        <v>0.98850569999999904</v>
      </c>
      <c r="AB127">
        <v>33</v>
      </c>
      <c r="AC127">
        <v>0.50459999999998195</v>
      </c>
      <c r="AD127">
        <v>-7.5450000000000003E-2</v>
      </c>
      <c r="AE127">
        <v>-0.129099999999994</v>
      </c>
      <c r="AF127">
        <v>0.12247919546767499</v>
      </c>
      <c r="AG127">
        <v>-7.5450000000000003E-2</v>
      </c>
      <c r="AH127">
        <v>0.495227228991659</v>
      </c>
      <c r="AI127">
        <v>98.412955435365504</v>
      </c>
      <c r="AJ127">
        <v>76.108411510023402</v>
      </c>
      <c r="AK127">
        <v>0.51569745409218903</v>
      </c>
    </row>
    <row r="128" spans="1:37" x14ac:dyDescent="0.2">
      <c r="A128" t="str">
        <f>"20200111153613335"</f>
        <v>20200111153613335</v>
      </c>
      <c r="B128" t="str">
        <f>"1578728173322990"</f>
        <v>1578728173322990</v>
      </c>
      <c r="C128" t="s">
        <v>37</v>
      </c>
      <c r="D128">
        <v>5.9558099999999996</v>
      </c>
      <c r="E128">
        <v>0.56510689999999997</v>
      </c>
      <c r="F128" t="s">
        <v>38</v>
      </c>
      <c r="G128">
        <v>-452.94009999999997</v>
      </c>
      <c r="H128">
        <v>1.0296940000000001</v>
      </c>
      <c r="I128">
        <v>367.58879999999999</v>
      </c>
      <c r="J128">
        <v>-453.42750000000001</v>
      </c>
      <c r="K128">
        <v>1.1029799999999901</v>
      </c>
      <c r="L128">
        <v>367.71559999999999</v>
      </c>
      <c r="M128">
        <v>0.99993639999999995</v>
      </c>
      <c r="N128">
        <v>0</v>
      </c>
      <c r="O128">
        <v>-8.8990979999999994E-3</v>
      </c>
      <c r="P128">
        <v>0.99946270000000004</v>
      </c>
      <c r="Q128">
        <v>3.207318E-2</v>
      </c>
      <c r="R128">
        <v>6.7736000000000003E-3</v>
      </c>
      <c r="S128">
        <v>3.0135800000000001</v>
      </c>
      <c r="T128">
        <v>-0.27695530000000002</v>
      </c>
      <c r="U128">
        <v>-0.49114989999999997</v>
      </c>
      <c r="V128">
        <v>-1.558608E-2</v>
      </c>
      <c r="W128">
        <v>3.9036670000000002E-2</v>
      </c>
      <c r="X128">
        <v>0.99911620000000001</v>
      </c>
      <c r="Y128">
        <v>0.15148159999999999</v>
      </c>
      <c r="Z128">
        <v>-6.0902059999999999E-3</v>
      </c>
      <c r="AA128">
        <v>0.98844129999999997</v>
      </c>
      <c r="AB128">
        <v>33</v>
      </c>
      <c r="AC128">
        <v>0.48740000000003603</v>
      </c>
      <c r="AD128">
        <v>-7.3285999999999699E-2</v>
      </c>
      <c r="AE128">
        <v>-0.12680000000000199</v>
      </c>
      <c r="AF128">
        <v>0.119918152278976</v>
      </c>
      <c r="AG128">
        <v>-7.3285999999999699E-2</v>
      </c>
      <c r="AH128">
        <v>0.47837930977743398</v>
      </c>
      <c r="AI128">
        <v>98.4522277365935</v>
      </c>
      <c r="AJ128">
        <v>75.927315451100995</v>
      </c>
      <c r="AK128">
        <v>0.49859599383181802</v>
      </c>
    </row>
    <row r="129" spans="1:37" x14ac:dyDescent="0.2">
      <c r="A129" t="str">
        <f>"20200111153613350"</f>
        <v>20200111153613350</v>
      </c>
      <c r="B129" t="str">
        <f>"1578728173342508"</f>
        <v>1578728173342508</v>
      </c>
      <c r="C129" t="s">
        <v>37</v>
      </c>
      <c r="D129">
        <v>5.9355330000000004</v>
      </c>
      <c r="E129">
        <v>0.56521180000000004</v>
      </c>
      <c r="F129" t="s">
        <v>38</v>
      </c>
      <c r="G129">
        <v>-452.64729999999997</v>
      </c>
      <c r="H129">
        <v>1.032405</v>
      </c>
      <c r="I129">
        <v>367.5874</v>
      </c>
      <c r="J129">
        <v>-453.20139999999998</v>
      </c>
      <c r="K129">
        <v>1.1030450000000001</v>
      </c>
      <c r="L129">
        <v>367.71289999999999</v>
      </c>
      <c r="M129">
        <v>0.99992760000000003</v>
      </c>
      <c r="N129">
        <v>0</v>
      </c>
      <c r="O129">
        <v>-9.5053659999999995E-3</v>
      </c>
      <c r="P129">
        <v>0.99945890000000004</v>
      </c>
      <c r="Q129">
        <v>3.2137390000000002E-2</v>
      </c>
      <c r="R129">
        <v>6.9992029999999998E-3</v>
      </c>
      <c r="S129">
        <v>3.0137019999999999</v>
      </c>
      <c r="T129">
        <v>-0.27275500000000003</v>
      </c>
      <c r="U129">
        <v>-0.49368289999999998</v>
      </c>
      <c r="V129">
        <v>-1.6418519999999999E-2</v>
      </c>
      <c r="W129">
        <v>3.9541260000000002E-2</v>
      </c>
      <c r="X129">
        <v>0.99908299999999906</v>
      </c>
      <c r="Y129">
        <v>0.15170439999999999</v>
      </c>
      <c r="Z129">
        <v>-5.9531879999999999E-3</v>
      </c>
      <c r="AA129">
        <v>0.98840799999999995</v>
      </c>
      <c r="AB129">
        <v>33</v>
      </c>
      <c r="AC129">
        <v>0.55410000000000503</v>
      </c>
      <c r="AD129">
        <v>-7.0639999999999994E-2</v>
      </c>
      <c r="AE129">
        <v>-0.12549999999998801</v>
      </c>
      <c r="AF129">
        <v>0.118396892726815</v>
      </c>
      <c r="AG129">
        <v>-7.0639999999999994E-2</v>
      </c>
      <c r="AH129">
        <v>0.546814381267686</v>
      </c>
      <c r="AI129">
        <v>97.196025530900798</v>
      </c>
      <c r="AJ129">
        <v>77.782839799071994</v>
      </c>
      <c r="AK129">
        <v>0.56392712416457402</v>
      </c>
    </row>
    <row r="130" spans="1:37" x14ac:dyDescent="0.2">
      <c r="A130" t="str">
        <f>"20200111153613370"</f>
        <v>20200111153613370</v>
      </c>
      <c r="B130" t="str">
        <f>"1578728173363003"</f>
        <v>1578728173363003</v>
      </c>
      <c r="C130" t="s">
        <v>37</v>
      </c>
      <c r="D130">
        <v>5.9388420000000002</v>
      </c>
      <c r="E130">
        <v>0.56535789999999997</v>
      </c>
      <c r="F130" t="s">
        <v>38</v>
      </c>
      <c r="G130">
        <v>-452.35840000000002</v>
      </c>
      <c r="H130">
        <v>1.0269699999999999</v>
      </c>
      <c r="I130">
        <v>367.5745</v>
      </c>
      <c r="J130">
        <v>-452.91629999999998</v>
      </c>
      <c r="K130">
        <v>1.1031340000000001</v>
      </c>
      <c r="L130">
        <v>367.70940000000002</v>
      </c>
      <c r="M130">
        <v>0.99991669999999999</v>
      </c>
      <c r="N130">
        <v>0</v>
      </c>
      <c r="O130">
        <v>-1.022211E-2</v>
      </c>
      <c r="P130">
        <v>0.99940879999999999</v>
      </c>
      <c r="Q130">
        <v>3.3362889999999999E-2</v>
      </c>
      <c r="R130">
        <v>8.3296350000000002E-3</v>
      </c>
      <c r="S130">
        <v>3.0137939999999999</v>
      </c>
      <c r="T130">
        <v>-0.27225240000000001</v>
      </c>
      <c r="U130">
        <v>-0.493927</v>
      </c>
      <c r="V130">
        <v>-1.846571E-2</v>
      </c>
      <c r="W130">
        <v>4.1281720000000001E-2</v>
      </c>
      <c r="X130">
        <v>0.99897689999999995</v>
      </c>
      <c r="Y130">
        <v>0.1510765</v>
      </c>
      <c r="Z130">
        <v>-5.849763E-3</v>
      </c>
      <c r="AA130">
        <v>0.98850479999999996</v>
      </c>
      <c r="AB130">
        <v>33</v>
      </c>
      <c r="AC130">
        <v>0.55789999999996098</v>
      </c>
      <c r="AD130">
        <v>-7.6163999999999898E-2</v>
      </c>
      <c r="AE130">
        <v>-0.13490000000001601</v>
      </c>
      <c r="AF130">
        <v>0.12695444836149899</v>
      </c>
      <c r="AG130">
        <v>-7.6163999999999898E-2</v>
      </c>
      <c r="AH130">
        <v>0.54957298732405602</v>
      </c>
      <c r="AI130">
        <v>97.690222402947001</v>
      </c>
      <c r="AJ130">
        <v>76.992524614088595</v>
      </c>
      <c r="AK130">
        <v>0.56916505097472403</v>
      </c>
    </row>
    <row r="131" spans="1:37" x14ac:dyDescent="0.2">
      <c r="A131" t="str">
        <f>"20200111153613392"</f>
        <v>20200111153613392</v>
      </c>
      <c r="B131" t="str">
        <f>"1578728173382522"</f>
        <v>1578728173382522</v>
      </c>
      <c r="C131" t="s">
        <v>37</v>
      </c>
      <c r="D131">
        <v>5.8855680000000001</v>
      </c>
      <c r="E131">
        <v>0.56556830000000002</v>
      </c>
      <c r="F131" t="s">
        <v>38</v>
      </c>
      <c r="G131">
        <v>-452.06699999999898</v>
      </c>
      <c r="H131">
        <v>1.027415</v>
      </c>
      <c r="I131">
        <v>367.57119999999998</v>
      </c>
      <c r="J131">
        <v>-452.5976</v>
      </c>
      <c r="K131">
        <v>1.1032379999999999</v>
      </c>
      <c r="L131">
        <v>367.70530000000002</v>
      </c>
      <c r="M131">
        <v>0.99990460000000003</v>
      </c>
      <c r="N131">
        <v>0</v>
      </c>
      <c r="O131">
        <v>-1.0951580000000001E-2</v>
      </c>
      <c r="P131">
        <v>0.9993476</v>
      </c>
      <c r="Q131">
        <v>3.4857470000000002E-2</v>
      </c>
      <c r="R131">
        <v>9.4614529999999999E-3</v>
      </c>
      <c r="S131">
        <v>3.0148320000000002</v>
      </c>
      <c r="T131">
        <v>-0.26867489999999999</v>
      </c>
      <c r="U131">
        <v>-0.49133300000000002</v>
      </c>
      <c r="V131">
        <v>-2.0328849999999999E-2</v>
      </c>
      <c r="W131">
        <v>4.3295029999999998E-2</v>
      </c>
      <c r="X131">
        <v>0.99885550000000001</v>
      </c>
      <c r="Y131">
        <v>0.1494962</v>
      </c>
      <c r="Z131">
        <v>-5.6373830000000002E-3</v>
      </c>
      <c r="AA131">
        <v>0.98874619999999902</v>
      </c>
      <c r="AB131">
        <v>33</v>
      </c>
      <c r="AC131">
        <v>0.53060000000004903</v>
      </c>
      <c r="AD131">
        <v>-7.5822999999999904E-2</v>
      </c>
      <c r="AE131">
        <v>-0.13410000000004599</v>
      </c>
      <c r="AF131">
        <v>0.12586492607910299</v>
      </c>
      <c r="AG131">
        <v>-7.5822999999999904E-2</v>
      </c>
      <c r="AH131">
        <v>0.52201697011493198</v>
      </c>
      <c r="AI131">
        <v>98.037234062149494</v>
      </c>
      <c r="AJ131">
        <v>76.444000605696601</v>
      </c>
      <c r="AK131">
        <v>0.54230325836553195</v>
      </c>
    </row>
    <row r="132" spans="1:37" x14ac:dyDescent="0.2">
      <c r="A132" t="str">
        <f>"20200111153613414"</f>
        <v>20200111153613414</v>
      </c>
      <c r="B132" t="str">
        <f>"1578728173403018"</f>
        <v>1578728173403018</v>
      </c>
      <c r="C132" t="s">
        <v>37</v>
      </c>
      <c r="D132">
        <v>6.7679559999999999</v>
      </c>
      <c r="E132">
        <v>0.53617550000000003</v>
      </c>
      <c r="F132" t="s">
        <v>38</v>
      </c>
      <c r="G132">
        <v>-451.77440000000001</v>
      </c>
      <c r="H132">
        <v>1.0304549999999999</v>
      </c>
      <c r="I132">
        <v>367.57139999999998</v>
      </c>
      <c r="J132">
        <v>-452.27409999999998</v>
      </c>
      <c r="K132">
        <v>1.1033360000000001</v>
      </c>
      <c r="L132">
        <v>367.700999999999</v>
      </c>
      <c r="M132">
        <v>0.99989319999999904</v>
      </c>
      <c r="N132">
        <v>0</v>
      </c>
      <c r="O132">
        <v>-1.161567E-2</v>
      </c>
      <c r="P132">
        <v>0.9992991</v>
      </c>
      <c r="Q132">
        <v>3.6092880000000001E-2</v>
      </c>
      <c r="R132">
        <v>9.9372019999999991E-3</v>
      </c>
      <c r="S132">
        <v>3.0158999999999998</v>
      </c>
      <c r="T132">
        <v>-0.26673379999999902</v>
      </c>
      <c r="U132">
        <v>-0.48992920000000001</v>
      </c>
      <c r="V132">
        <v>-2.147174E-2</v>
      </c>
      <c r="W132">
        <v>4.4996630000000003E-2</v>
      </c>
      <c r="X132">
        <v>0.99875630000000004</v>
      </c>
      <c r="Y132">
        <v>0.14835039999999999</v>
      </c>
      <c r="Z132">
        <v>-5.4866079999999996E-3</v>
      </c>
      <c r="AA132">
        <v>0.98891960000000001</v>
      </c>
      <c r="AB132">
        <v>33</v>
      </c>
      <c r="AC132">
        <v>0.49969999999996101</v>
      </c>
      <c r="AD132">
        <v>-7.2881000000000196E-2</v>
      </c>
      <c r="AE132">
        <v>-0.12959999999998201</v>
      </c>
      <c r="AF132">
        <v>0.12136765158886199</v>
      </c>
      <c r="AG132">
        <v>-7.2881000000000196E-2</v>
      </c>
      <c r="AH132">
        <v>0.491377892122213</v>
      </c>
      <c r="AI132">
        <v>98.193839685605795</v>
      </c>
      <c r="AJ132">
        <v>76.125942074752004</v>
      </c>
      <c r="AK132">
        <v>0.511364820729452</v>
      </c>
    </row>
    <row r="133" spans="1:37" x14ac:dyDescent="0.2">
      <c r="A133" t="str">
        <f>"20200111153613436"</f>
        <v>20200111153613436</v>
      </c>
      <c r="B133" t="str">
        <f>"1578728173433275"</f>
        <v>1578728173433275</v>
      </c>
      <c r="C133" t="s">
        <v>37</v>
      </c>
      <c r="D133">
        <v>5.6952780000000001</v>
      </c>
      <c r="E133">
        <v>0.46287259999999902</v>
      </c>
      <c r="F133" t="s">
        <v>38</v>
      </c>
      <c r="G133">
        <v>-451.4914</v>
      </c>
      <c r="H133">
        <v>1.013495</v>
      </c>
      <c r="I133">
        <v>367.6352</v>
      </c>
      <c r="J133">
        <v>-451.96190000000001</v>
      </c>
      <c r="K133">
        <v>1.1034269999999999</v>
      </c>
      <c r="L133">
        <v>367.6968</v>
      </c>
      <c r="M133">
        <v>0.99988290000000002</v>
      </c>
      <c r="N133">
        <v>0</v>
      </c>
      <c r="O133">
        <v>-1.218413E-2</v>
      </c>
      <c r="P133">
        <v>0.99925980000000003</v>
      </c>
      <c r="Q133">
        <v>3.7042909999999998E-2</v>
      </c>
      <c r="R133">
        <v>1.0404139999999999E-2</v>
      </c>
      <c r="S133">
        <v>3.01709</v>
      </c>
      <c r="T133">
        <v>-0.34642889999999998</v>
      </c>
      <c r="U133">
        <v>-0.25308229999999998</v>
      </c>
      <c r="V133">
        <v>-2.2511420000000001E-2</v>
      </c>
      <c r="W133">
        <v>4.6344669999999998E-2</v>
      </c>
      <c r="X133">
        <v>0.9986718</v>
      </c>
      <c r="Y133">
        <v>7.1057099999999998E-2</v>
      </c>
      <c r="Z133">
        <v>-2.6671870000000001E-3</v>
      </c>
      <c r="AA133">
        <v>0.99746869999999999</v>
      </c>
      <c r="AB133">
        <v>33</v>
      </c>
      <c r="AC133">
        <v>0.47050000000001502</v>
      </c>
      <c r="AD133">
        <v>-8.9931999999999901E-2</v>
      </c>
      <c r="AE133">
        <v>-6.1599999999998503E-2</v>
      </c>
      <c r="AF133">
        <v>5.3925578588369799E-2</v>
      </c>
      <c r="AG133">
        <v>-8.9931999999999901E-2</v>
      </c>
      <c r="AH133">
        <v>0.45487678639115497</v>
      </c>
      <c r="AI133">
        <v>101.107683707162</v>
      </c>
      <c r="AJ133">
        <v>83.239148113384999</v>
      </c>
      <c r="AK133">
        <v>0.46680683740454598</v>
      </c>
    </row>
    <row r="134" spans="1:37" x14ac:dyDescent="0.2">
      <c r="A134" t="str">
        <f>"20200111153613459"</f>
        <v>20200111153613459</v>
      </c>
      <c r="B134" t="str">
        <f>"1578728173452796"</f>
        <v>1578728173452796</v>
      </c>
      <c r="C134" t="s">
        <v>37</v>
      </c>
      <c r="D134">
        <v>5.585089</v>
      </c>
      <c r="E134">
        <v>0.46072279999999999</v>
      </c>
      <c r="F134" t="s">
        <v>40</v>
      </c>
      <c r="G134">
        <v>-438.61790000000002</v>
      </c>
      <c r="H134">
        <v>-0.05</v>
      </c>
      <c r="I134">
        <v>369.16930000000002</v>
      </c>
      <c r="J134">
        <v>-451.6302</v>
      </c>
      <c r="K134">
        <v>1.1035159999999999</v>
      </c>
      <c r="L134">
        <v>367.69209999999998</v>
      </c>
      <c r="M134">
        <v>0.99987269999999995</v>
      </c>
      <c r="N134">
        <v>0</v>
      </c>
      <c r="O134">
        <v>-1.271425E-2</v>
      </c>
      <c r="P134">
        <v>0.99920419999999999</v>
      </c>
      <c r="Q134">
        <v>3.8413499999999899E-2</v>
      </c>
      <c r="R134">
        <v>1.07478E-2</v>
      </c>
      <c r="S134">
        <v>3.00839199999999</v>
      </c>
      <c r="T134">
        <v>-0.26003939999999998</v>
      </c>
      <c r="U134">
        <v>0.33197019999999999</v>
      </c>
      <c r="V134">
        <v>-2.3388550000000001E-2</v>
      </c>
      <c r="W134">
        <v>4.808747E-2</v>
      </c>
      <c r="X134">
        <v>0.99856929999999999</v>
      </c>
      <c r="Y134">
        <v>-0.1218158</v>
      </c>
      <c r="Z134">
        <v>6.3330139999999997E-3</v>
      </c>
      <c r="AA134">
        <v>0.99253259999999899</v>
      </c>
      <c r="AB134">
        <v>33</v>
      </c>
      <c r="AC134">
        <v>13.0122999999999</v>
      </c>
      <c r="AD134">
        <v>-1.153516</v>
      </c>
      <c r="AE134">
        <v>1.47720000000003</v>
      </c>
      <c r="AF134">
        <v>-1.62988444922604</v>
      </c>
      <c r="AG134">
        <v>-1.153516</v>
      </c>
      <c r="AH134">
        <v>12.892439744153499</v>
      </c>
      <c r="AI134">
        <v>95.072607547376407</v>
      </c>
      <c r="AJ134">
        <v>97.205207794418499</v>
      </c>
      <c r="AK134">
        <v>13.046153649130201</v>
      </c>
    </row>
    <row r="135" spans="1:37" x14ac:dyDescent="0.2">
      <c r="A135" t="str">
        <f>"20200111153613482"</f>
        <v>20200111153613482</v>
      </c>
      <c r="B135" t="str">
        <f>"1578728173473291"</f>
        <v>1578728173473291</v>
      </c>
      <c r="C135" t="s">
        <v>37</v>
      </c>
      <c r="D135">
        <v>5.4979360000000002</v>
      </c>
      <c r="E135">
        <v>0.46055849999999998</v>
      </c>
      <c r="F135" t="s">
        <v>40</v>
      </c>
      <c r="G135">
        <v>-438.09010000000001</v>
      </c>
      <c r="H135">
        <v>-0.05</v>
      </c>
      <c r="I135">
        <v>369.26639999999998</v>
      </c>
      <c r="J135">
        <v>-451.29919999999998</v>
      </c>
      <c r="K135">
        <v>1.1036049999999999</v>
      </c>
      <c r="L135">
        <v>367.68729999999999</v>
      </c>
      <c r="M135">
        <v>0.99986339999999996</v>
      </c>
      <c r="N135">
        <v>0</v>
      </c>
      <c r="O135">
        <v>-1.317245E-2</v>
      </c>
      <c r="P135">
        <v>0.99910580000000004</v>
      </c>
      <c r="Q135">
        <v>4.0919299999999999E-2</v>
      </c>
      <c r="R135">
        <v>1.065138E-2</v>
      </c>
      <c r="S135">
        <v>3.0085139999999999</v>
      </c>
      <c r="T135">
        <v>-0.25630249999999999</v>
      </c>
      <c r="U135">
        <v>0.34979250000000001</v>
      </c>
      <c r="V135">
        <v>-2.3751850000000001E-2</v>
      </c>
      <c r="W135">
        <v>5.0913079999999999E-2</v>
      </c>
      <c r="X135">
        <v>0.99842059999999999</v>
      </c>
      <c r="Y135">
        <v>-0.12805949999999999</v>
      </c>
      <c r="Z135">
        <v>6.543475E-3</v>
      </c>
      <c r="AA135">
        <v>0.99174490000000004</v>
      </c>
      <c r="AB135">
        <v>32</v>
      </c>
      <c r="AC135">
        <v>13.2090999999999</v>
      </c>
      <c r="AD135">
        <v>-1.153605</v>
      </c>
      <c r="AE135">
        <v>1.57909999999998</v>
      </c>
      <c r="AF135">
        <v>-1.7398843178504799</v>
      </c>
      <c r="AG135">
        <v>-1.153605</v>
      </c>
      <c r="AH135">
        <v>13.088727862095</v>
      </c>
      <c r="AI135">
        <v>94.993181607752902</v>
      </c>
      <c r="AJ135">
        <v>97.571935337206298</v>
      </c>
      <c r="AK135">
        <v>13.254161572257599</v>
      </c>
    </row>
    <row r="136" spans="1:37" x14ac:dyDescent="0.2">
      <c r="A136" t="str">
        <f>"20200111153613504"</f>
        <v>20200111153613504</v>
      </c>
      <c r="B136" t="str">
        <f>"1578728173492810"</f>
        <v>1578728173492810</v>
      </c>
      <c r="C136" t="s">
        <v>37</v>
      </c>
      <c r="D136">
        <v>5.4874269999999896</v>
      </c>
      <c r="E136">
        <v>0.46117970000000003</v>
      </c>
      <c r="F136" t="s">
        <v>40</v>
      </c>
      <c r="G136">
        <v>-437.50099999999998</v>
      </c>
      <c r="H136">
        <v>-0.05</v>
      </c>
      <c r="I136">
        <v>369.29689999999999</v>
      </c>
      <c r="J136">
        <v>-450.96940000000001</v>
      </c>
      <c r="K136">
        <v>1.103688</v>
      </c>
      <c r="L136">
        <v>367.68239999999997</v>
      </c>
      <c r="M136">
        <v>0.99985519999999894</v>
      </c>
      <c r="N136">
        <v>0</v>
      </c>
      <c r="O136">
        <v>-1.35757E-2</v>
      </c>
      <c r="P136">
        <v>0.99899720000000003</v>
      </c>
      <c r="Q136">
        <v>4.3434309999999997E-2</v>
      </c>
      <c r="R136">
        <v>1.08659E-2</v>
      </c>
      <c r="S136">
        <v>3.0092159999999999</v>
      </c>
      <c r="T136">
        <v>-0.25158789999999998</v>
      </c>
      <c r="U136">
        <v>0.35104370000000001</v>
      </c>
      <c r="V136">
        <v>-2.4370039999999999E-2</v>
      </c>
      <c r="W136">
        <v>5.3709239999999998E-2</v>
      </c>
      <c r="X136">
        <v>0.99825919999999901</v>
      </c>
      <c r="Y136">
        <v>-0.1288543</v>
      </c>
      <c r="Z136">
        <v>6.488504E-3</v>
      </c>
      <c r="AA136">
        <v>0.99164229999999998</v>
      </c>
      <c r="AB136">
        <v>32</v>
      </c>
      <c r="AC136">
        <v>13.468400000000001</v>
      </c>
      <c r="AD136">
        <v>-1.1536879999999901</v>
      </c>
      <c r="AE136">
        <v>1.61450000000002</v>
      </c>
      <c r="AF136">
        <v>-1.7842970711077899</v>
      </c>
      <c r="AG136">
        <v>-1.1536879999999901</v>
      </c>
      <c r="AH136">
        <v>13.3486818816667</v>
      </c>
      <c r="AI136">
        <v>94.896300434223903</v>
      </c>
      <c r="AJ136">
        <v>97.613505625165899</v>
      </c>
      <c r="AK136">
        <v>13.516731114335499</v>
      </c>
    </row>
    <row r="137" spans="1:37" x14ac:dyDescent="0.2">
      <c r="A137" t="str">
        <f>"20200111153613525"</f>
        <v>20200111153613525</v>
      </c>
      <c r="B137" t="str">
        <f>"1578728173523067"</f>
        <v>1578728173523067</v>
      </c>
      <c r="C137" t="s">
        <v>37</v>
      </c>
      <c r="D137">
        <v>5.4816919999999998</v>
      </c>
      <c r="E137">
        <v>0.46317029999999998</v>
      </c>
      <c r="F137" t="s">
        <v>40</v>
      </c>
      <c r="G137">
        <v>-436.62470000000002</v>
      </c>
      <c r="H137">
        <v>-0.05</v>
      </c>
      <c r="I137">
        <v>369.33390000000003</v>
      </c>
      <c r="J137">
        <v>-450.66129999999998</v>
      </c>
      <c r="K137">
        <v>1.1036790000000001</v>
      </c>
      <c r="L137">
        <v>367.67779999999999</v>
      </c>
      <c r="M137">
        <v>0.99985059999999903</v>
      </c>
      <c r="N137">
        <v>0</v>
      </c>
      <c r="O137">
        <v>-1.392349E-2</v>
      </c>
      <c r="P137">
        <v>0.99888849999999996</v>
      </c>
      <c r="Q137">
        <v>4.5682550000000002E-2</v>
      </c>
      <c r="R137">
        <v>1.161242E-2</v>
      </c>
      <c r="S137">
        <v>3.0097959999999899</v>
      </c>
      <c r="T137">
        <v>-0.242066799999999</v>
      </c>
      <c r="U137">
        <v>0.34652709999999998</v>
      </c>
      <c r="V137">
        <v>-2.5465539999999998E-2</v>
      </c>
      <c r="W137">
        <v>5.593033E-2</v>
      </c>
      <c r="X137">
        <v>0.99810989999999999</v>
      </c>
      <c r="Y137">
        <v>-0.12774759999999999</v>
      </c>
      <c r="Z137">
        <v>6.2266500000000002E-3</v>
      </c>
      <c r="AA137">
        <v>0.99178709999999903</v>
      </c>
      <c r="AB137">
        <v>32</v>
      </c>
      <c r="AC137">
        <v>14.0365999999999</v>
      </c>
      <c r="AD137">
        <v>-1.1536789999999999</v>
      </c>
      <c r="AE137">
        <v>1.6561000000000301</v>
      </c>
      <c r="AF137">
        <v>-1.83913478058278</v>
      </c>
      <c r="AG137">
        <v>-1.1536789999999999</v>
      </c>
      <c r="AH137">
        <v>13.919439944272</v>
      </c>
      <c r="AI137">
        <v>94.697352503297907</v>
      </c>
      <c r="AJ137">
        <v>97.526725954860098</v>
      </c>
      <c r="AK137">
        <v>14.087732263866499</v>
      </c>
    </row>
    <row r="138" spans="1:37" x14ac:dyDescent="0.2">
      <c r="A138" t="str">
        <f>"20200111153613549"</f>
        <v>20200111153613549</v>
      </c>
      <c r="B138" t="str">
        <f>"1578728173542588"</f>
        <v>1578728173542588</v>
      </c>
      <c r="C138" t="s">
        <v>37</v>
      </c>
      <c r="D138">
        <v>5.443206</v>
      </c>
      <c r="E138">
        <v>0.46411140000000001</v>
      </c>
      <c r="F138" t="s">
        <v>40</v>
      </c>
      <c r="G138">
        <v>-435.40469999999999</v>
      </c>
      <c r="H138">
        <v>-0.05</v>
      </c>
      <c r="I138">
        <v>369.363</v>
      </c>
      <c r="J138">
        <v>-450.31549999999999</v>
      </c>
      <c r="K138">
        <v>1.1034299999999999</v>
      </c>
      <c r="L138">
        <v>367.67250000000001</v>
      </c>
      <c r="M138">
        <v>0.99985519999999894</v>
      </c>
      <c r="N138">
        <v>0</v>
      </c>
      <c r="O138">
        <v>-1.428657E-2</v>
      </c>
      <c r="P138">
        <v>0.99880360000000001</v>
      </c>
      <c r="Q138">
        <v>4.7131960000000001E-2</v>
      </c>
      <c r="R138">
        <v>1.304163E-2</v>
      </c>
      <c r="S138">
        <v>3.0099179999999999</v>
      </c>
      <c r="T138">
        <v>-0.22760649999999999</v>
      </c>
      <c r="U138">
        <v>0.33245849999999999</v>
      </c>
      <c r="V138">
        <v>-2.726145E-2</v>
      </c>
      <c r="W138">
        <v>5.6390699999999898E-2</v>
      </c>
      <c r="X138">
        <v>0.99803649999999999</v>
      </c>
      <c r="Y138">
        <v>-0.12358719999999999</v>
      </c>
      <c r="Z138">
        <v>5.7277839999999997E-3</v>
      </c>
      <c r="AA138">
        <v>0.99231719999999901</v>
      </c>
      <c r="AB138">
        <v>32</v>
      </c>
      <c r="AC138">
        <v>14.910799999999901</v>
      </c>
      <c r="AD138">
        <v>-1.15343</v>
      </c>
      <c r="AE138">
        <v>1.6905000000000401</v>
      </c>
      <c r="AF138">
        <v>-1.8921819077474999</v>
      </c>
      <c r="AG138">
        <v>-1.15343</v>
      </c>
      <c r="AH138">
        <v>14.7977021281093</v>
      </c>
      <c r="AI138">
        <v>94.421143718766103</v>
      </c>
      <c r="AJ138">
        <v>97.286866802131001</v>
      </c>
      <c r="AK138">
        <v>14.9627116997274</v>
      </c>
    </row>
    <row r="139" spans="1:37" x14ac:dyDescent="0.2">
      <c r="A139" t="str">
        <f>"20200111153613571"</f>
        <v>20200111153613571</v>
      </c>
      <c r="B139" t="str">
        <f>"1578728173563083"</f>
        <v>1578728173563083</v>
      </c>
      <c r="C139" t="s">
        <v>37</v>
      </c>
      <c r="D139">
        <v>5.6998110000000004</v>
      </c>
      <c r="E139">
        <v>0.46481670000000003</v>
      </c>
      <c r="F139" t="s">
        <v>40</v>
      </c>
      <c r="G139">
        <v>-434.54349999999999</v>
      </c>
      <c r="H139">
        <v>-0.05</v>
      </c>
      <c r="I139">
        <v>369.39249999999998</v>
      </c>
      <c r="J139">
        <v>-449.98110000000003</v>
      </c>
      <c r="K139">
        <v>1.103186</v>
      </c>
      <c r="L139">
        <v>367.66739999999999</v>
      </c>
      <c r="M139">
        <v>0.99986049999999904</v>
      </c>
      <c r="N139">
        <v>0</v>
      </c>
      <c r="O139">
        <v>-1.4620009999999999E-2</v>
      </c>
      <c r="P139">
        <v>0.9987568</v>
      </c>
      <c r="Q139">
        <v>4.7472849999999997E-2</v>
      </c>
      <c r="R139">
        <v>1.521518E-2</v>
      </c>
      <c r="S139">
        <v>3.0097049999999999</v>
      </c>
      <c r="T139">
        <v>-0.2201051</v>
      </c>
      <c r="U139">
        <v>0.32821659999999903</v>
      </c>
      <c r="V139">
        <v>-2.977312E-2</v>
      </c>
      <c r="W139">
        <v>5.5564679999999998E-2</v>
      </c>
      <c r="X139">
        <v>0.99801109999999904</v>
      </c>
      <c r="Y139">
        <v>-0.1225706</v>
      </c>
      <c r="Z139">
        <v>5.5275840000000003E-3</v>
      </c>
      <c r="AA139">
        <v>0.9924444</v>
      </c>
      <c r="AB139">
        <v>33</v>
      </c>
      <c r="AC139">
        <v>15.4376</v>
      </c>
      <c r="AD139">
        <v>-1.153186</v>
      </c>
      <c r="AE139">
        <v>1.7250999999999901</v>
      </c>
      <c r="AF139">
        <v>-1.9399294186162701</v>
      </c>
      <c r="AG139">
        <v>-1.153186</v>
      </c>
      <c r="AH139">
        <v>15.3262613979061</v>
      </c>
      <c r="AI139">
        <v>94.269034205418805</v>
      </c>
      <c r="AJ139">
        <v>97.213880591374505</v>
      </c>
      <c r="AK139">
        <v>15.4915284119016</v>
      </c>
    </row>
    <row r="140" spans="1:37" x14ac:dyDescent="0.2">
      <c r="A140" t="str">
        <f>"20200111153613594"</f>
        <v>20200111153613594</v>
      </c>
      <c r="B140" t="str">
        <f>"1578728173582602"</f>
        <v>1578728173582602</v>
      </c>
      <c r="C140" t="s">
        <v>37</v>
      </c>
      <c r="D140">
        <v>5.5592319999999997</v>
      </c>
      <c r="E140">
        <v>0.46522619999999998</v>
      </c>
      <c r="F140" t="s">
        <v>40</v>
      </c>
      <c r="G140">
        <v>-433.98</v>
      </c>
      <c r="H140">
        <v>-0.05</v>
      </c>
      <c r="I140">
        <v>369.4153</v>
      </c>
      <c r="J140">
        <v>-449.64159999999998</v>
      </c>
      <c r="K140">
        <v>1.102984</v>
      </c>
      <c r="L140">
        <v>367.66210000000001</v>
      </c>
      <c r="M140">
        <v>0.9998648</v>
      </c>
      <c r="N140">
        <v>0</v>
      </c>
      <c r="O140">
        <v>-1.4938099999999999E-2</v>
      </c>
      <c r="P140">
        <v>0.99866010000000005</v>
      </c>
      <c r="Q140">
        <v>4.8195099999999998E-2</v>
      </c>
      <c r="R140">
        <v>1.8853680000000001E-2</v>
      </c>
      <c r="S140">
        <v>3.009064</v>
      </c>
      <c r="T140">
        <v>-0.2168612</v>
      </c>
      <c r="U140">
        <v>0.32870479999999902</v>
      </c>
      <c r="V140">
        <v>-3.3732669999999999E-2</v>
      </c>
      <c r="W140">
        <v>5.5099059999999998E-2</v>
      </c>
      <c r="X140">
        <v>0.99791090000000005</v>
      </c>
      <c r="Y140">
        <v>-0.123076399999999</v>
      </c>
      <c r="Z140">
        <v>5.4884080000000002E-3</v>
      </c>
      <c r="AA140">
        <v>0.99238199999999999</v>
      </c>
      <c r="AB140">
        <v>33</v>
      </c>
      <c r="AC140">
        <v>15.6615999999999</v>
      </c>
      <c r="AD140">
        <v>-1.152984</v>
      </c>
      <c r="AE140">
        <v>1.7531999999999901</v>
      </c>
      <c r="AF140">
        <v>-1.9763856128346899</v>
      </c>
      <c r="AG140">
        <v>-1.152984</v>
      </c>
      <c r="AH140">
        <v>15.550426875550601</v>
      </c>
      <c r="AI140">
        <v>94.2067106810062</v>
      </c>
      <c r="AJ140">
        <v>97.243188585295101</v>
      </c>
      <c r="AK140">
        <v>15.7178639835927</v>
      </c>
    </row>
    <row r="141" spans="1:37" x14ac:dyDescent="0.2">
      <c r="A141" t="str">
        <f>"20200111153613615"</f>
        <v>20200111153613615</v>
      </c>
      <c r="B141" t="str">
        <f>"1578728173612859"</f>
        <v>1578728173612859</v>
      </c>
      <c r="C141" t="s">
        <v>37</v>
      </c>
      <c r="D141">
        <v>5.533766</v>
      </c>
      <c r="E141">
        <v>0.46576469999999998</v>
      </c>
      <c r="F141" t="s">
        <v>40</v>
      </c>
      <c r="G141">
        <v>-433.36799999999999</v>
      </c>
      <c r="H141">
        <v>-0.05</v>
      </c>
      <c r="I141">
        <v>369.47890000000001</v>
      </c>
      <c r="J141">
        <v>-449.31580000000002</v>
      </c>
      <c r="K141">
        <v>1.1028229999999899</v>
      </c>
      <c r="L141">
        <v>367.65699999999998</v>
      </c>
      <c r="M141">
        <v>0.99986769999999903</v>
      </c>
      <c r="N141">
        <v>0</v>
      </c>
      <c r="O141">
        <v>-1.521367E-2</v>
      </c>
      <c r="P141">
        <v>0.99852719999999995</v>
      </c>
      <c r="Q141">
        <v>4.9633530000000002E-2</v>
      </c>
      <c r="R141">
        <v>2.1907039999999999E-2</v>
      </c>
      <c r="S141">
        <v>3.0079039999999999</v>
      </c>
      <c r="T141">
        <v>-0.2131094</v>
      </c>
      <c r="U141">
        <v>0.33581539999999999</v>
      </c>
      <c r="V141">
        <v>-3.706222E-2</v>
      </c>
      <c r="W141">
        <v>5.5422800000000001E-2</v>
      </c>
      <c r="X141">
        <v>0.99777490000000002</v>
      </c>
      <c r="Y141">
        <v>-0.12571309999999999</v>
      </c>
      <c r="Z141">
        <v>5.5075030000000004E-3</v>
      </c>
      <c r="AA141">
        <v>0.99205140000000003</v>
      </c>
      <c r="AB141">
        <v>33</v>
      </c>
      <c r="AC141">
        <v>15.9477999999999</v>
      </c>
      <c r="AD141">
        <v>-1.1528229999999999</v>
      </c>
      <c r="AE141">
        <v>1.8219000000000201</v>
      </c>
      <c r="AF141">
        <v>-2.05372434272065</v>
      </c>
      <c r="AG141">
        <v>-1.1528229999999999</v>
      </c>
      <c r="AH141">
        <v>15.8365489922296</v>
      </c>
      <c r="AI141">
        <v>94.129052975218301</v>
      </c>
      <c r="AJ141">
        <v>97.389026154245599</v>
      </c>
      <c r="AK141">
        <v>16.010717302122998</v>
      </c>
    </row>
    <row r="142" spans="1:37" x14ac:dyDescent="0.2">
      <c r="A142" t="str">
        <f>"20200111153613637"</f>
        <v>20200111153613637</v>
      </c>
      <c r="B142" t="str">
        <f>"1578728173633355"</f>
        <v>1578728173633355</v>
      </c>
      <c r="C142" t="s">
        <v>37</v>
      </c>
      <c r="D142">
        <v>5.5297510000000001</v>
      </c>
      <c r="E142">
        <v>0.465939099999999</v>
      </c>
      <c r="F142" t="s">
        <v>40</v>
      </c>
      <c r="G142">
        <v>-432.56869999999998</v>
      </c>
      <c r="H142">
        <v>-0.05</v>
      </c>
      <c r="I142">
        <v>369.55250000000001</v>
      </c>
      <c r="J142">
        <v>-448.98970000000003</v>
      </c>
      <c r="K142">
        <v>1.1026929999999999</v>
      </c>
      <c r="L142">
        <v>367.65190000000001</v>
      </c>
      <c r="M142">
        <v>0.99986960000000003</v>
      </c>
      <c r="N142">
        <v>0</v>
      </c>
      <c r="O142">
        <v>-1.545329E-2</v>
      </c>
      <c r="P142">
        <v>0.99840469999999903</v>
      </c>
      <c r="Q142">
        <v>5.0147209999999998E-2</v>
      </c>
      <c r="R142">
        <v>2.5947680000000001E-2</v>
      </c>
      <c r="S142">
        <v>3.0072329999999998</v>
      </c>
      <c r="T142">
        <v>-0.20700929999999901</v>
      </c>
      <c r="U142">
        <v>0.34036250000000001</v>
      </c>
      <c r="V142">
        <v>-4.1342719999999999E-2</v>
      </c>
      <c r="W142">
        <v>5.4875760000000003E-2</v>
      </c>
      <c r="X142">
        <v>0.99763690000000005</v>
      </c>
      <c r="Y142">
        <v>-0.12747120000000001</v>
      </c>
      <c r="Z142">
        <v>5.42764099999999E-3</v>
      </c>
      <c r="AA142">
        <v>0.99182739999999903</v>
      </c>
      <c r="AB142">
        <v>34</v>
      </c>
      <c r="AC142">
        <v>16.420999999999999</v>
      </c>
      <c r="AD142">
        <v>-1.152693</v>
      </c>
      <c r="AE142">
        <v>1.9005999999999901</v>
      </c>
      <c r="AF142">
        <v>-2.1437107748523099</v>
      </c>
      <c r="AG142">
        <v>-1.152693</v>
      </c>
      <c r="AH142">
        <v>16.310361130853</v>
      </c>
      <c r="AI142">
        <v>94.008153807404099</v>
      </c>
      <c r="AJ142">
        <v>97.487606825626997</v>
      </c>
      <c r="AK142">
        <v>16.4909695669268</v>
      </c>
    </row>
    <row r="143" spans="1:37" x14ac:dyDescent="0.2">
      <c r="A143" t="str">
        <f>"20200111153613651"</f>
        <v>20200111153613651</v>
      </c>
      <c r="B143" t="str">
        <f>"1578728173643115"</f>
        <v>1578728173643115</v>
      </c>
      <c r="C143" t="s">
        <v>37</v>
      </c>
      <c r="D143">
        <v>5.8355629999999996</v>
      </c>
      <c r="E143">
        <v>0.46607120000000002</v>
      </c>
      <c r="F143" t="s">
        <v>40</v>
      </c>
      <c r="G143">
        <v>-432.09179999999998</v>
      </c>
      <c r="H143">
        <v>-0.05</v>
      </c>
      <c r="I143">
        <v>369.62509999999997</v>
      </c>
      <c r="J143">
        <v>-448.75990000000002</v>
      </c>
      <c r="K143">
        <v>1.1026279999999999</v>
      </c>
      <c r="L143">
        <v>367.64830000000001</v>
      </c>
      <c r="M143">
        <v>0.99987019999999904</v>
      </c>
      <c r="N143">
        <v>0</v>
      </c>
      <c r="O143">
        <v>-1.559806E-2</v>
      </c>
      <c r="P143">
        <v>0.99833209999999994</v>
      </c>
      <c r="Q143">
        <v>5.1053830000000001E-2</v>
      </c>
      <c r="R143">
        <v>2.6958409999999999E-2</v>
      </c>
      <c r="S143">
        <v>3.0059809999999998</v>
      </c>
      <c r="T143">
        <v>-0.20505279999999901</v>
      </c>
      <c r="U143">
        <v>0.35101320000000003</v>
      </c>
      <c r="V143">
        <v>-4.249816E-2</v>
      </c>
      <c r="W143">
        <v>5.5091439999999998E-2</v>
      </c>
      <c r="X143">
        <v>0.99757649999999998</v>
      </c>
      <c r="Y143">
        <v>-0.13112579999999999</v>
      </c>
      <c r="Z143">
        <v>5.5115199999999998E-3</v>
      </c>
      <c r="AA143">
        <v>0.99135039999999996</v>
      </c>
      <c r="AB143">
        <v>34</v>
      </c>
      <c r="AC143">
        <v>16.668099999999999</v>
      </c>
      <c r="AD143">
        <v>-1.152628</v>
      </c>
      <c r="AE143">
        <v>1.9767999999999599</v>
      </c>
      <c r="AF143">
        <v>-2.22605438565382</v>
      </c>
      <c r="AG143">
        <v>-1.152628</v>
      </c>
      <c r="AH143">
        <v>16.5571601585787</v>
      </c>
      <c r="AI143">
        <v>93.946827778176598</v>
      </c>
      <c r="AJ143">
        <v>97.657307217598699</v>
      </c>
      <c r="AK143">
        <v>16.745847901826298</v>
      </c>
    </row>
    <row r="144" spans="1:37" x14ac:dyDescent="0.2">
      <c r="A144" t="str">
        <f>"20200111153613671"</f>
        <v>20200111153613671</v>
      </c>
      <c r="B144" t="str">
        <f>"1578728173662635"</f>
        <v>1578728173662635</v>
      </c>
      <c r="C144" t="s">
        <v>37</v>
      </c>
      <c r="D144">
        <v>5.6988180000000002</v>
      </c>
      <c r="E144">
        <v>0.46634680000000001</v>
      </c>
      <c r="F144" t="s">
        <v>40</v>
      </c>
      <c r="G144">
        <v>-431.43920000000003</v>
      </c>
      <c r="H144">
        <v>-0.05</v>
      </c>
      <c r="I144">
        <v>369.67910000000001</v>
      </c>
      <c r="J144">
        <v>-448.46179999999998</v>
      </c>
      <c r="K144">
        <v>1.1025639999999901</v>
      </c>
      <c r="L144">
        <v>367.64350000000002</v>
      </c>
      <c r="M144">
        <v>0.9998707</v>
      </c>
      <c r="N144">
        <v>0</v>
      </c>
      <c r="O144">
        <v>-1.576454E-2</v>
      </c>
      <c r="P144">
        <v>0.99820819999999999</v>
      </c>
      <c r="Q144">
        <v>5.2305259999999999E-2</v>
      </c>
      <c r="R144">
        <v>2.9062560000000001E-2</v>
      </c>
      <c r="S144">
        <v>3.0057369999999999</v>
      </c>
      <c r="T144">
        <v>-0.200021</v>
      </c>
      <c r="U144">
        <v>0.35241699999999998</v>
      </c>
      <c r="V144">
        <v>-4.4767410000000001E-2</v>
      </c>
      <c r="W144">
        <v>5.5522790000000002E-2</v>
      </c>
      <c r="X144">
        <v>0.99745329999999999</v>
      </c>
      <c r="Y144">
        <v>-0.13177130000000001</v>
      </c>
      <c r="Z144">
        <v>5.4092699999999999E-3</v>
      </c>
      <c r="AA144">
        <v>0.99126539999999996</v>
      </c>
      <c r="AB144">
        <v>34</v>
      </c>
      <c r="AC144">
        <v>17.022599999999901</v>
      </c>
      <c r="AD144">
        <v>-1.1525639999999999</v>
      </c>
      <c r="AE144">
        <v>2.0355999999999801</v>
      </c>
      <c r="AF144">
        <v>-2.2933365973443198</v>
      </c>
      <c r="AG144">
        <v>-1.1525639999999999</v>
      </c>
      <c r="AH144">
        <v>16.911956774507399</v>
      </c>
      <c r="AI144">
        <v>93.863475313684603</v>
      </c>
      <c r="AJ144">
        <v>97.722457597172095</v>
      </c>
      <c r="AK144">
        <v>17.105615407392399</v>
      </c>
    </row>
    <row r="145" spans="1:37" x14ac:dyDescent="0.2">
      <c r="A145" t="str">
        <f>"20200111153613695"</f>
        <v>20200111153613695</v>
      </c>
      <c r="B145" t="str">
        <f>"1578728173683131"</f>
        <v>1578728173683131</v>
      </c>
      <c r="C145" t="s">
        <v>37</v>
      </c>
      <c r="D145">
        <v>5.3896489999999897</v>
      </c>
      <c r="E145">
        <v>0.46661959999999902</v>
      </c>
      <c r="F145" t="s">
        <v>40</v>
      </c>
      <c r="G145">
        <v>-430.64409999999998</v>
      </c>
      <c r="H145">
        <v>-0.05</v>
      </c>
      <c r="I145">
        <v>369.75650000000002</v>
      </c>
      <c r="J145">
        <v>-448.0883</v>
      </c>
      <c r="K145">
        <v>1.1025199999999999</v>
      </c>
      <c r="L145">
        <v>367.63740000000001</v>
      </c>
      <c r="M145">
        <v>0.99987039999999905</v>
      </c>
      <c r="N145">
        <v>0</v>
      </c>
      <c r="O145">
        <v>-1.5942959999999999E-2</v>
      </c>
      <c r="P145">
        <v>0.99807969999999901</v>
      </c>
      <c r="Q145">
        <v>5.3701770000000003E-2</v>
      </c>
      <c r="R145">
        <v>3.0881200000000001E-2</v>
      </c>
      <c r="S145">
        <v>3.005188</v>
      </c>
      <c r="T145">
        <v>-0.19439509999999999</v>
      </c>
      <c r="U145">
        <v>0.35638429999999999</v>
      </c>
      <c r="V145">
        <v>-4.6762640000000001E-2</v>
      </c>
      <c r="W145">
        <v>5.6035059999999998E-2</v>
      </c>
      <c r="X145">
        <v>0.99733309999999997</v>
      </c>
      <c r="Y145">
        <v>-0.1332739</v>
      </c>
      <c r="Z145">
        <v>5.3178679999999999E-3</v>
      </c>
      <c r="AA145">
        <v>0.99106499999999997</v>
      </c>
      <c r="AB145">
        <v>35</v>
      </c>
      <c r="AC145">
        <v>17.444199999999999</v>
      </c>
      <c r="AD145">
        <v>-1.15252</v>
      </c>
      <c r="AE145">
        <v>2.1191</v>
      </c>
      <c r="AF145">
        <v>-2.3866769525157001</v>
      </c>
      <c r="AG145">
        <v>-1.15252</v>
      </c>
      <c r="AH145">
        <v>17.333635240967698</v>
      </c>
      <c r="AI145">
        <v>93.768567068672297</v>
      </c>
      <c r="AJ145">
        <v>97.839788710972599</v>
      </c>
      <c r="AK145">
        <v>17.535091670504301</v>
      </c>
    </row>
    <row r="146" spans="1:37" x14ac:dyDescent="0.2">
      <c r="A146" t="str">
        <f>"20200111153613717"</f>
        <v>20200111153613717</v>
      </c>
      <c r="B146" t="str">
        <f>"1578728173712411"</f>
        <v>1578728173712411</v>
      </c>
      <c r="C146" t="s">
        <v>37</v>
      </c>
      <c r="D146">
        <v>5.6955599999999897</v>
      </c>
      <c r="E146">
        <v>0.467055199999999</v>
      </c>
      <c r="F146" t="s">
        <v>40</v>
      </c>
      <c r="G146">
        <v>-429.77190000000002</v>
      </c>
      <c r="H146">
        <v>-0.05</v>
      </c>
      <c r="I146">
        <v>369.82819999999998</v>
      </c>
      <c r="J146">
        <v>-447.74090000000001</v>
      </c>
      <c r="K146">
        <v>1.102509</v>
      </c>
      <c r="L146">
        <v>367.63170000000002</v>
      </c>
      <c r="M146">
        <v>0.99986929999999996</v>
      </c>
      <c r="N146">
        <v>0</v>
      </c>
      <c r="O146">
        <v>-1.6087799999999999E-2</v>
      </c>
      <c r="P146">
        <v>0.99798889999999996</v>
      </c>
      <c r="Q146">
        <v>5.4941139999999999E-2</v>
      </c>
      <c r="R146">
        <v>3.1619809999999998E-2</v>
      </c>
      <c r="S146">
        <v>3.0048219999999999</v>
      </c>
      <c r="T146">
        <v>-0.1890715</v>
      </c>
      <c r="U146">
        <v>0.35940549999999999</v>
      </c>
      <c r="V146">
        <v>-4.7645140000000002E-2</v>
      </c>
      <c r="W146">
        <v>5.6613980000000001E-2</v>
      </c>
      <c r="X146">
        <v>0.99725869999999905</v>
      </c>
      <c r="Y146">
        <v>-0.13442809999999999</v>
      </c>
      <c r="Z146">
        <v>5.2180689999999997E-3</v>
      </c>
      <c r="AA146">
        <v>0.99090959999999995</v>
      </c>
      <c r="AB146">
        <v>35</v>
      </c>
      <c r="AC146">
        <v>17.968999999999902</v>
      </c>
      <c r="AD146">
        <v>-1.152509</v>
      </c>
      <c r="AE146">
        <v>2.1964999999999502</v>
      </c>
      <c r="AF146">
        <v>-2.47526500529509</v>
      </c>
      <c r="AG146">
        <v>-1.152509</v>
      </c>
      <c r="AH146">
        <v>17.858951451280198</v>
      </c>
      <c r="AI146">
        <v>93.657536258151097</v>
      </c>
      <c r="AJ146">
        <v>97.890968320354304</v>
      </c>
      <c r="AK146">
        <v>18.066470623248499</v>
      </c>
    </row>
    <row r="147" spans="1:37" x14ac:dyDescent="0.2">
      <c r="A147" t="str">
        <f>"20200111153613737"</f>
        <v>20200111153613737</v>
      </c>
      <c r="B147" t="str">
        <f>"1578728173732906"</f>
        <v>1578728173732906</v>
      </c>
      <c r="C147" t="s">
        <v>37</v>
      </c>
      <c r="D147">
        <v>5.43431</v>
      </c>
      <c r="E147">
        <v>0.46706609999999998</v>
      </c>
      <c r="F147" t="s">
        <v>40</v>
      </c>
      <c r="G147">
        <v>-428.85019999999997</v>
      </c>
      <c r="H147">
        <v>-0.05</v>
      </c>
      <c r="I147">
        <v>369.88529999999997</v>
      </c>
      <c r="J147">
        <v>-447.4221</v>
      </c>
      <c r="K147">
        <v>1.102536</v>
      </c>
      <c r="L147">
        <v>367.62650000000002</v>
      </c>
      <c r="M147">
        <v>0.99986799999999998</v>
      </c>
      <c r="N147">
        <v>0</v>
      </c>
      <c r="O147">
        <v>-1.6209910000000001E-2</v>
      </c>
      <c r="P147">
        <v>0.99786540000000001</v>
      </c>
      <c r="Q147">
        <v>5.6526519999999997E-2</v>
      </c>
      <c r="R147">
        <v>3.2704129999999998E-2</v>
      </c>
      <c r="S147">
        <v>3.004791</v>
      </c>
      <c r="T147">
        <v>-0.1833197</v>
      </c>
      <c r="U147">
        <v>0.35845949999999999</v>
      </c>
      <c r="V147">
        <v>-4.8849799999999999E-2</v>
      </c>
      <c r="W147">
        <v>5.7738909999999997E-2</v>
      </c>
      <c r="X147">
        <v>0.99713589999999996</v>
      </c>
      <c r="Y147">
        <v>-0.134260299999999</v>
      </c>
      <c r="Z147">
        <v>5.0620930000000001E-3</v>
      </c>
      <c r="AA147">
        <v>0.99093319999999996</v>
      </c>
      <c r="AB147">
        <v>35</v>
      </c>
      <c r="AC147">
        <v>18.571899999999999</v>
      </c>
      <c r="AD147">
        <v>-1.152536</v>
      </c>
      <c r="AE147">
        <v>2.2587999999999502</v>
      </c>
      <c r="AF147">
        <v>-2.5498752901446302</v>
      </c>
      <c r="AG147">
        <v>-1.152536</v>
      </c>
      <c r="AH147">
        <v>18.462777467743599</v>
      </c>
      <c r="AI147">
        <v>93.538543694660106</v>
      </c>
      <c r="AJ147">
        <v>97.863318014768794</v>
      </c>
      <c r="AK147">
        <v>18.673627260122998</v>
      </c>
    </row>
    <row r="148" spans="1:37" x14ac:dyDescent="0.2">
      <c r="A148" t="str">
        <f>"20200111153613761"</f>
        <v>20200111153613761</v>
      </c>
      <c r="B148" t="str">
        <f>"1578728173753403"</f>
        <v>1578728173753403</v>
      </c>
      <c r="C148" t="s">
        <v>37</v>
      </c>
      <c r="D148">
        <v>5.6694760000000004</v>
      </c>
      <c r="E148">
        <v>0.46711059999999999</v>
      </c>
      <c r="F148" t="s">
        <v>40</v>
      </c>
      <c r="G148">
        <v>-428.03519999999997</v>
      </c>
      <c r="H148">
        <v>-0.05</v>
      </c>
      <c r="I148">
        <v>369.96</v>
      </c>
      <c r="J148">
        <v>-447.04570000000001</v>
      </c>
      <c r="K148">
        <v>1.1025860000000001</v>
      </c>
      <c r="L148">
        <v>367.62020000000001</v>
      </c>
      <c r="M148">
        <v>0.99986600000000003</v>
      </c>
      <c r="N148">
        <v>0</v>
      </c>
      <c r="O148">
        <v>-1.634731E-2</v>
      </c>
      <c r="P148">
        <v>0.99771500000000002</v>
      </c>
      <c r="Q148">
        <v>5.8815430000000002E-2</v>
      </c>
      <c r="R148">
        <v>3.3250080000000001E-2</v>
      </c>
      <c r="S148">
        <v>3.0047000000000001</v>
      </c>
      <c r="T148">
        <v>-0.17862700000000001</v>
      </c>
      <c r="U148">
        <v>0.36166379999999998</v>
      </c>
      <c r="V148">
        <v>-4.9530329999999997E-2</v>
      </c>
      <c r="W148">
        <v>5.9646299999999999E-2</v>
      </c>
      <c r="X148">
        <v>0.99698999999999904</v>
      </c>
      <c r="Y148">
        <v>-0.1354533</v>
      </c>
      <c r="Z148">
        <v>4.9760170000000001E-3</v>
      </c>
      <c r="AA148">
        <v>0.99077119999999996</v>
      </c>
      <c r="AB148">
        <v>35</v>
      </c>
      <c r="AC148">
        <v>19.0105</v>
      </c>
      <c r="AD148">
        <v>-1.1525860000000001</v>
      </c>
      <c r="AE148">
        <v>2.3397999999999599</v>
      </c>
      <c r="AF148">
        <v>-2.6406960011136098</v>
      </c>
      <c r="AG148">
        <v>-1.1525860000000001</v>
      </c>
      <c r="AH148">
        <v>18.901268519231301</v>
      </c>
      <c r="AI148">
        <v>93.456051602610799</v>
      </c>
      <c r="AJ148">
        <v>97.9533127134127</v>
      </c>
      <c r="AK148">
        <v>19.1196150979506</v>
      </c>
    </row>
    <row r="149" spans="1:37" x14ac:dyDescent="0.2">
      <c r="A149" t="str">
        <f>"20200111153613782"</f>
        <v>20200111153613782</v>
      </c>
      <c r="B149" t="str">
        <f>"1578728173773332"</f>
        <v>1578728173773332</v>
      </c>
      <c r="C149" t="s">
        <v>37</v>
      </c>
      <c r="D149">
        <v>5.4546320000000001</v>
      </c>
      <c r="E149">
        <v>0.46733669999999999</v>
      </c>
      <c r="F149" t="s">
        <v>40</v>
      </c>
      <c r="G149">
        <v>-426.79910000000001</v>
      </c>
      <c r="H149">
        <v>-0.05</v>
      </c>
      <c r="I149">
        <v>370.06490000000002</v>
      </c>
      <c r="J149">
        <v>-446.69240000000002</v>
      </c>
      <c r="K149">
        <v>1.1026590000000001</v>
      </c>
      <c r="L149">
        <v>367.61430000000001</v>
      </c>
      <c r="M149">
        <v>0.99986419999999998</v>
      </c>
      <c r="N149">
        <v>0</v>
      </c>
      <c r="O149">
        <v>-1.6474260000000001E-2</v>
      </c>
      <c r="P149">
        <v>0.99761180000000005</v>
      </c>
      <c r="Q149">
        <v>6.0873080000000003E-2</v>
      </c>
      <c r="R149">
        <v>3.2640160000000001E-2</v>
      </c>
      <c r="S149">
        <v>3.0048520000000001</v>
      </c>
      <c r="T149">
        <v>-0.17105789999999901</v>
      </c>
      <c r="U149">
        <v>0.36282350000000002</v>
      </c>
      <c r="V149">
        <v>-4.9046090000000001E-2</v>
      </c>
      <c r="W149">
        <v>6.149255E-2</v>
      </c>
      <c r="X149">
        <v>0.99690179999999995</v>
      </c>
      <c r="Y149">
        <v>-0.13597100000000001</v>
      </c>
      <c r="Z149">
        <v>4.7870270000000001E-3</v>
      </c>
      <c r="AA149">
        <v>0.99070130000000001</v>
      </c>
      <c r="AB149">
        <v>36</v>
      </c>
      <c r="AC149">
        <v>19.8933</v>
      </c>
      <c r="AD149">
        <v>-1.1526590000000001</v>
      </c>
      <c r="AE149">
        <v>2.4506000000000001</v>
      </c>
      <c r="AF149">
        <v>-2.7688380364705698</v>
      </c>
      <c r="AG149">
        <v>-1.1526590000000001</v>
      </c>
      <c r="AH149">
        <v>19.784798189770999</v>
      </c>
      <c r="AI149">
        <v>93.302165422568706</v>
      </c>
      <c r="AJ149">
        <v>97.966674346974699</v>
      </c>
      <c r="AK149">
        <v>20.010830223967599</v>
      </c>
    </row>
    <row r="150" spans="1:37" x14ac:dyDescent="0.2">
      <c r="A150" t="str">
        <f>"20200111153613805"</f>
        <v>20200111153613805</v>
      </c>
      <c r="B150" t="str">
        <f>"1578728173792849"</f>
        <v>1578728173792849</v>
      </c>
      <c r="C150" t="s">
        <v>37</v>
      </c>
      <c r="D150">
        <v>5.3926179999999997</v>
      </c>
      <c r="E150">
        <v>0.46720109999999898</v>
      </c>
      <c r="F150" t="s">
        <v>40</v>
      </c>
      <c r="G150">
        <v>-425.36169999999998</v>
      </c>
      <c r="H150">
        <v>-0.05</v>
      </c>
      <c r="I150">
        <v>370.16629999999998</v>
      </c>
      <c r="J150">
        <v>-446.33800000000002</v>
      </c>
      <c r="K150">
        <v>1.1027209999999901</v>
      </c>
      <c r="L150">
        <v>367.60829999999999</v>
      </c>
      <c r="M150">
        <v>0.99986219999999904</v>
      </c>
      <c r="N150">
        <v>0</v>
      </c>
      <c r="O150">
        <v>-1.660199E-2</v>
      </c>
      <c r="P150">
        <v>0.9975328</v>
      </c>
      <c r="Q150">
        <v>6.2807379999999996E-2</v>
      </c>
      <c r="R150">
        <v>3.1366579999999998E-2</v>
      </c>
      <c r="S150">
        <v>3.0053709999999998</v>
      </c>
      <c r="T150">
        <v>-0.16240289999999999</v>
      </c>
      <c r="U150">
        <v>0.35955809999999999</v>
      </c>
      <c r="V150">
        <v>-4.7898780000000002E-2</v>
      </c>
      <c r="W150">
        <v>6.3314319999999993E-2</v>
      </c>
      <c r="X150">
        <v>0.99684349999999999</v>
      </c>
      <c r="Y150">
        <v>-0.1350412</v>
      </c>
      <c r="Z150">
        <v>4.5265519999999997E-3</v>
      </c>
      <c r="AA150">
        <v>0.99082959999999998</v>
      </c>
      <c r="AB150">
        <v>36</v>
      </c>
      <c r="AC150">
        <v>20.976299999999998</v>
      </c>
      <c r="AD150">
        <v>-1.1527209999999899</v>
      </c>
      <c r="AE150">
        <v>2.5579999999999901</v>
      </c>
      <c r="AF150">
        <v>-2.89727453163799</v>
      </c>
      <c r="AG150">
        <v>-1.1527209999999899</v>
      </c>
      <c r="AH150">
        <v>20.8688430309649</v>
      </c>
      <c r="AI150">
        <v>93.131627636735004</v>
      </c>
      <c r="AJ150">
        <v>97.903995351714002</v>
      </c>
      <c r="AK150">
        <v>21.100511246568701</v>
      </c>
    </row>
    <row r="151" spans="1:37" x14ac:dyDescent="0.2">
      <c r="A151" t="str">
        <f>"20200111153613827"</f>
        <v>20200111153613827</v>
      </c>
      <c r="B151" t="str">
        <f>"1578728173823106"</f>
        <v>1578728173823106</v>
      </c>
      <c r="C151" t="s">
        <v>37</v>
      </c>
      <c r="D151">
        <v>5.7318889999999998</v>
      </c>
      <c r="E151">
        <v>0.50090690000000004</v>
      </c>
      <c r="F151" t="s">
        <v>40</v>
      </c>
      <c r="G151">
        <v>-424.31150000000002</v>
      </c>
      <c r="H151">
        <v>-0.05</v>
      </c>
      <c r="I151">
        <v>370.22699999999998</v>
      </c>
      <c r="J151">
        <v>-445.9819</v>
      </c>
      <c r="K151">
        <v>1.102781</v>
      </c>
      <c r="L151">
        <v>367.60230000000001</v>
      </c>
      <c r="M151">
        <v>0.99985990000000002</v>
      </c>
      <c r="N151">
        <v>0</v>
      </c>
      <c r="O151">
        <v>-1.6731670000000001E-2</v>
      </c>
      <c r="P151">
        <v>0.99749619999999894</v>
      </c>
      <c r="Q151">
        <v>6.3822619999999997E-2</v>
      </c>
      <c r="R151">
        <v>3.0464149999999999E-2</v>
      </c>
      <c r="S151">
        <v>3.0061339999999999</v>
      </c>
      <c r="T151">
        <v>-0.1573215</v>
      </c>
      <c r="U151">
        <v>0.35739140000000003</v>
      </c>
      <c r="V151">
        <v>-4.7125309999999997E-2</v>
      </c>
      <c r="W151">
        <v>6.4288910000000005E-2</v>
      </c>
      <c r="X151">
        <v>0.99681799999999998</v>
      </c>
      <c r="Y151">
        <v>-0.13444999999999999</v>
      </c>
      <c r="Z151">
        <v>4.3755519999999996E-3</v>
      </c>
      <c r="AA151">
        <v>0.99091070000000003</v>
      </c>
      <c r="AB151">
        <v>36</v>
      </c>
      <c r="AC151">
        <v>21.670399999999901</v>
      </c>
      <c r="AD151">
        <v>-1.1527810000000001</v>
      </c>
      <c r="AE151">
        <v>2.6246999999999598</v>
      </c>
      <c r="AF151">
        <v>-2.9786075288618399</v>
      </c>
      <c r="AG151">
        <v>-1.1527810000000001</v>
      </c>
      <c r="AH151">
        <v>21.563312657474899</v>
      </c>
      <c r="AI151">
        <v>93.031406396093502</v>
      </c>
      <c r="AJ151">
        <v>97.864675138838706</v>
      </c>
      <c r="AK151">
        <v>21.798565540167399</v>
      </c>
    </row>
    <row r="152" spans="1:37" x14ac:dyDescent="0.2">
      <c r="A152" t="str">
        <f>"20200111153613849"</f>
        <v>20200111153613849</v>
      </c>
      <c r="B152" t="str">
        <f>"1578728173842625"</f>
        <v>1578728173842625</v>
      </c>
      <c r="C152" t="s">
        <v>37</v>
      </c>
      <c r="D152">
        <v>5.7214210000000003</v>
      </c>
      <c r="E152">
        <v>0.5013628</v>
      </c>
      <c r="F152" t="s">
        <v>40</v>
      </c>
      <c r="G152">
        <v>-428.21440000000001</v>
      </c>
      <c r="H152">
        <v>-0.05</v>
      </c>
      <c r="I152">
        <v>368.10939999999999</v>
      </c>
      <c r="J152">
        <v>-445.61149999999998</v>
      </c>
      <c r="K152">
        <v>1.10283</v>
      </c>
      <c r="L152">
        <v>367.59589999999997</v>
      </c>
      <c r="M152">
        <v>0.99985769999999996</v>
      </c>
      <c r="N152">
        <v>0</v>
      </c>
      <c r="O152">
        <v>-1.686876E-2</v>
      </c>
      <c r="P152">
        <v>0.99742149999999996</v>
      </c>
      <c r="Q152">
        <v>6.5284120000000001E-2</v>
      </c>
      <c r="R152">
        <v>2.980522E-2</v>
      </c>
      <c r="S152">
        <v>3.0174259999999999</v>
      </c>
      <c r="T152">
        <v>-0.19577429999999901</v>
      </c>
      <c r="U152">
        <v>8.612061E-2</v>
      </c>
      <c r="V152">
        <v>-4.6601759999999999E-2</v>
      </c>
      <c r="W152">
        <v>6.576063E-2</v>
      </c>
      <c r="X152">
        <v>0.99674660000000004</v>
      </c>
      <c r="Y152">
        <v>-4.5256780000000003E-2</v>
      </c>
      <c r="Z152">
        <v>2.559441E-3</v>
      </c>
      <c r="AA152">
        <v>0.99897209999999903</v>
      </c>
      <c r="AB152">
        <v>36</v>
      </c>
      <c r="AC152">
        <v>17.397099999999899</v>
      </c>
      <c r="AD152">
        <v>-1.15283</v>
      </c>
      <c r="AE152">
        <v>0.51350000000002105</v>
      </c>
      <c r="AF152">
        <v>-0.803369808702458</v>
      </c>
      <c r="AG152">
        <v>-1.15283</v>
      </c>
      <c r="AH152">
        <v>17.3100180319163</v>
      </c>
      <c r="AI152">
        <v>93.806130472726196</v>
      </c>
      <c r="AJ152">
        <v>92.657229669170505</v>
      </c>
      <c r="AK152">
        <v>17.366955528350498</v>
      </c>
    </row>
    <row r="153" spans="1:37" x14ac:dyDescent="0.2">
      <c r="A153" t="str">
        <f>"20200111153613872"</f>
        <v>20200111153613872</v>
      </c>
      <c r="B153" t="str">
        <f>"1578728173863124"</f>
        <v>1578728173863124</v>
      </c>
      <c r="C153" t="s">
        <v>37</v>
      </c>
      <c r="D153">
        <v>5.5139990000000001</v>
      </c>
      <c r="E153">
        <v>0.50107559999999995</v>
      </c>
      <c r="F153" t="s">
        <v>40</v>
      </c>
      <c r="G153">
        <v>-426.29149999999998</v>
      </c>
      <c r="H153">
        <v>-0.05</v>
      </c>
      <c r="I153">
        <v>368.10969999999998</v>
      </c>
      <c r="J153">
        <v>-445.22309999999999</v>
      </c>
      <c r="K153">
        <v>1.1028719999999901</v>
      </c>
      <c r="L153">
        <v>367.58929999999998</v>
      </c>
      <c r="M153">
        <v>0.99985519999999894</v>
      </c>
      <c r="N153">
        <v>0</v>
      </c>
      <c r="O153">
        <v>-1.7013739999999999E-2</v>
      </c>
      <c r="P153">
        <v>0.9974731</v>
      </c>
      <c r="Q153">
        <v>6.4883940000000001E-2</v>
      </c>
      <c r="R153">
        <v>2.8937500000000001E-2</v>
      </c>
      <c r="S153">
        <v>3.0171509999999899</v>
      </c>
      <c r="T153">
        <v>-0.18003529999999901</v>
      </c>
      <c r="U153">
        <v>8.0230709999999997E-2</v>
      </c>
      <c r="V153">
        <v>-4.588039E-2</v>
      </c>
      <c r="W153">
        <v>6.5408530000000006E-2</v>
      </c>
      <c r="X153">
        <v>0.996803199999999</v>
      </c>
      <c r="Y153">
        <v>-4.3478500000000003E-2</v>
      </c>
      <c r="Z153">
        <v>2.3099739999999998E-3</v>
      </c>
      <c r="AA153">
        <v>0.99905169999999999</v>
      </c>
      <c r="AB153">
        <v>36</v>
      </c>
      <c r="AC153">
        <v>18.9316</v>
      </c>
      <c r="AD153">
        <v>-1.1528719999999999</v>
      </c>
      <c r="AE153">
        <v>0.52039999999999498</v>
      </c>
      <c r="AF153">
        <v>-0.839311852355068</v>
      </c>
      <c r="AG153">
        <v>-1.1528719999999999</v>
      </c>
      <c r="AH153">
        <v>18.850154521837599</v>
      </c>
      <c r="AI153">
        <v>93.496384488635499</v>
      </c>
      <c r="AJ153">
        <v>92.549437216868</v>
      </c>
      <c r="AK153">
        <v>18.904017661096301</v>
      </c>
    </row>
    <row r="154" spans="1:37" x14ac:dyDescent="0.2">
      <c r="A154" t="str">
        <f>"20200111153613893"</f>
        <v>20200111153613893</v>
      </c>
      <c r="B154" t="str">
        <f>"1578728173883151"</f>
        <v>1578728173883151</v>
      </c>
      <c r="C154" t="s">
        <v>37</v>
      </c>
      <c r="D154">
        <v>5.7183989999999998</v>
      </c>
      <c r="E154">
        <v>0.50103059999999999</v>
      </c>
      <c r="F154" t="s">
        <v>40</v>
      </c>
      <c r="G154">
        <v>-425.2826</v>
      </c>
      <c r="H154">
        <v>-0.05</v>
      </c>
      <c r="I154">
        <v>368.11619999999999</v>
      </c>
      <c r="J154">
        <v>-444.8732</v>
      </c>
      <c r="K154">
        <v>1.1028899999999999</v>
      </c>
      <c r="L154">
        <v>367.58330000000001</v>
      </c>
      <c r="M154">
        <v>0.99985290000000004</v>
      </c>
      <c r="N154">
        <v>0</v>
      </c>
      <c r="O154">
        <v>-1.7145259999999999E-2</v>
      </c>
      <c r="P154">
        <v>0.99767380000000006</v>
      </c>
      <c r="Q154">
        <v>6.2044879999999997E-2</v>
      </c>
      <c r="R154">
        <v>2.8248269999999999E-2</v>
      </c>
      <c r="S154">
        <v>3.016632</v>
      </c>
      <c r="T154">
        <v>-0.1744086</v>
      </c>
      <c r="U154">
        <v>7.9711909999999997E-2</v>
      </c>
      <c r="V154">
        <v>-4.5327119999999999E-2</v>
      </c>
      <c r="W154">
        <v>6.2632389999999996E-2</v>
      </c>
      <c r="X154">
        <v>0.99700679999999997</v>
      </c>
      <c r="Y154">
        <v>-4.3449189999999999E-2</v>
      </c>
      <c r="Z154">
        <v>2.2450410000000001E-3</v>
      </c>
      <c r="AA154">
        <v>0.99905309999999903</v>
      </c>
      <c r="AB154">
        <v>37</v>
      </c>
      <c r="AC154">
        <v>19.590599999999899</v>
      </c>
      <c r="AD154">
        <v>-1.15289</v>
      </c>
      <c r="AE154">
        <v>0.53289999999998305</v>
      </c>
      <c r="AF154">
        <v>-0.86571170126483299</v>
      </c>
      <c r="AG154">
        <v>-1.15289</v>
      </c>
      <c r="AH154">
        <v>19.511062482222599</v>
      </c>
      <c r="AI154">
        <v>93.378304618844894</v>
      </c>
      <c r="AJ154">
        <v>92.540564593468901</v>
      </c>
      <c r="AK154">
        <v>19.564257493884099</v>
      </c>
    </row>
    <row r="155" spans="1:37" x14ac:dyDescent="0.2">
      <c r="A155" t="str">
        <f>"20200111153613916"</f>
        <v>20200111153613916</v>
      </c>
      <c r="B155" t="str">
        <f>"1578728173902668"</f>
        <v>1578728173902668</v>
      </c>
      <c r="C155" t="s">
        <v>37</v>
      </c>
      <c r="D155">
        <v>5.71692</v>
      </c>
      <c r="E155">
        <v>0.50102970000000002</v>
      </c>
      <c r="F155" t="s">
        <v>40</v>
      </c>
      <c r="G155">
        <v>-425.53890000000001</v>
      </c>
      <c r="H155">
        <v>-0.05</v>
      </c>
      <c r="I155">
        <v>368.08390000000003</v>
      </c>
      <c r="J155">
        <v>-444.50869999999998</v>
      </c>
      <c r="K155">
        <v>1.102902</v>
      </c>
      <c r="L155">
        <v>367.57690000000002</v>
      </c>
      <c r="M155">
        <v>0.99985059999999903</v>
      </c>
      <c r="N155">
        <v>0</v>
      </c>
      <c r="O155">
        <v>-1.7282619999999999E-2</v>
      </c>
      <c r="P155">
        <v>0.997803</v>
      </c>
      <c r="Q155">
        <v>5.9660079999999997E-2</v>
      </c>
      <c r="R155">
        <v>2.8811529999999998E-2</v>
      </c>
      <c r="S155">
        <v>3.0159910000000001</v>
      </c>
      <c r="T155">
        <v>-0.1798409</v>
      </c>
      <c r="U155">
        <v>7.8094479999999994E-2</v>
      </c>
      <c r="V155">
        <v>-4.6030139999999997E-2</v>
      </c>
      <c r="W155">
        <v>6.0325040000000003E-2</v>
      </c>
      <c r="X155">
        <v>0.99711689999999997</v>
      </c>
      <c r="Y155">
        <v>-4.3050669999999999E-2</v>
      </c>
      <c r="Z155">
        <v>2.3116629999999998E-3</v>
      </c>
      <c r="AA155">
        <v>0.99907019999999902</v>
      </c>
      <c r="AB155">
        <v>37</v>
      </c>
      <c r="AC155">
        <v>18.9697999999999</v>
      </c>
      <c r="AD155">
        <v>-1.1529020000000001</v>
      </c>
      <c r="AE155">
        <v>0.507000000000005</v>
      </c>
      <c r="AF155">
        <v>-0.831702286756549</v>
      </c>
      <c r="AG155">
        <v>-1.1529020000000001</v>
      </c>
      <c r="AH155">
        <v>18.888486239474599</v>
      </c>
      <c r="AI155">
        <v>93.489473025878695</v>
      </c>
      <c r="AJ155">
        <v>92.521232715500901</v>
      </c>
      <c r="AK155">
        <v>18.941906560170299</v>
      </c>
    </row>
    <row r="156" spans="1:37" x14ac:dyDescent="0.2">
      <c r="A156" t="str">
        <f>"20200111153613938"</f>
        <v>20200111153613938</v>
      </c>
      <c r="B156" t="str">
        <f>"1578728173932924"</f>
        <v>1578728173932924</v>
      </c>
      <c r="C156" t="s">
        <v>37</v>
      </c>
      <c r="D156">
        <v>5.6179500000000004</v>
      </c>
      <c r="E156">
        <v>0.50110940000000004</v>
      </c>
      <c r="F156" t="s">
        <v>40</v>
      </c>
      <c r="G156">
        <v>-425.83339999999998</v>
      </c>
      <c r="H156">
        <v>-0.05</v>
      </c>
      <c r="I156">
        <v>368.06979999999999</v>
      </c>
      <c r="J156">
        <v>-444.13139999999999</v>
      </c>
      <c r="K156">
        <v>1.1029119999999999</v>
      </c>
      <c r="L156">
        <v>367.5702</v>
      </c>
      <c r="M156">
        <v>0.99984799999999996</v>
      </c>
      <c r="N156">
        <v>0</v>
      </c>
      <c r="O156">
        <v>-1.7425010000000001E-2</v>
      </c>
      <c r="P156">
        <v>0.99780599999999997</v>
      </c>
      <c r="Q156">
        <v>5.8823470000000003E-2</v>
      </c>
      <c r="R156">
        <v>3.0384890000000001E-2</v>
      </c>
      <c r="S156">
        <v>3.01544199999999</v>
      </c>
      <c r="T156">
        <v>-0.18615580000000001</v>
      </c>
      <c r="U156">
        <v>7.9589839999999995E-2</v>
      </c>
      <c r="V156">
        <v>-4.7745320000000001E-2</v>
      </c>
      <c r="W156">
        <v>5.9575379999999997E-2</v>
      </c>
      <c r="X156">
        <v>0.99708129999999995</v>
      </c>
      <c r="Y156">
        <v>-4.3683569999999998E-2</v>
      </c>
      <c r="Z156">
        <v>2.421398E-3</v>
      </c>
      <c r="AA156">
        <v>0.99904249999999895</v>
      </c>
      <c r="AB156">
        <v>37</v>
      </c>
      <c r="AC156">
        <v>18.297999999999998</v>
      </c>
      <c r="AD156">
        <v>-1.1529119999999999</v>
      </c>
      <c r="AE156">
        <v>0.499599999999986</v>
      </c>
      <c r="AF156">
        <v>-0.81513340680714197</v>
      </c>
      <c r="AG156">
        <v>-1.1529119999999999</v>
      </c>
      <c r="AH156">
        <v>18.214260488011899</v>
      </c>
      <c r="AI156">
        <v>93.618219738165905</v>
      </c>
      <c r="AJ156">
        <v>92.562418728859001</v>
      </c>
      <c r="AK156">
        <v>18.268906198122298</v>
      </c>
    </row>
    <row r="157" spans="1:37" x14ac:dyDescent="0.2">
      <c r="A157" t="str">
        <f>"20200111153613962"</f>
        <v>20200111153613962</v>
      </c>
      <c r="B157" t="str">
        <f>"1578728173953421"</f>
        <v>1578728173953421</v>
      </c>
      <c r="C157" t="s">
        <v>37</v>
      </c>
      <c r="D157">
        <v>5.5185969999999998</v>
      </c>
      <c r="E157">
        <v>0.50093920000000003</v>
      </c>
      <c r="F157" t="s">
        <v>40</v>
      </c>
      <c r="G157">
        <v>-425.99279999999999</v>
      </c>
      <c r="H157">
        <v>-0.05</v>
      </c>
      <c r="I157">
        <v>368.07560000000001</v>
      </c>
      <c r="J157">
        <v>-443.74970000000002</v>
      </c>
      <c r="K157">
        <v>1.102911</v>
      </c>
      <c r="L157">
        <v>367.56349999999998</v>
      </c>
      <c r="M157">
        <v>0.9998454</v>
      </c>
      <c r="N157">
        <v>0</v>
      </c>
      <c r="O157">
        <v>-1.7569069999999999E-2</v>
      </c>
      <c r="P157">
        <v>0.99765969999999904</v>
      </c>
      <c r="Q157">
        <v>6.0072340000000002E-2</v>
      </c>
      <c r="R157">
        <v>3.2661040000000002E-2</v>
      </c>
      <c r="S157">
        <v>3.0153500000000002</v>
      </c>
      <c r="T157">
        <v>-0.1916592</v>
      </c>
      <c r="U157">
        <v>8.4014889999999995E-2</v>
      </c>
      <c r="V157">
        <v>-5.0161129999999998E-2</v>
      </c>
      <c r="W157">
        <v>6.0914759999999998E-2</v>
      </c>
      <c r="X157">
        <v>0.99688180000000004</v>
      </c>
      <c r="Y157">
        <v>-4.5282799999999998E-2</v>
      </c>
      <c r="Z157">
        <v>2.5527800000000002E-3</v>
      </c>
      <c r="AA157">
        <v>0.99897089999999999</v>
      </c>
      <c r="AB157">
        <v>37</v>
      </c>
      <c r="AC157">
        <v>17.756900000000002</v>
      </c>
      <c r="AD157">
        <v>-1.152911</v>
      </c>
      <c r="AE157">
        <v>0.51210000000003197</v>
      </c>
      <c r="AF157">
        <v>-0.82053709135465602</v>
      </c>
      <c r="AG157">
        <v>-1.152911</v>
      </c>
      <c r="AH157">
        <v>17.670731666843999</v>
      </c>
      <c r="AI157">
        <v>93.728914254788293</v>
      </c>
      <c r="AJ157">
        <v>92.658608986709794</v>
      </c>
      <c r="AK157">
        <v>17.7273021786682</v>
      </c>
    </row>
    <row r="158" spans="1:37" x14ac:dyDescent="0.2">
      <c r="A158" t="str">
        <f>"20200111153613983"</f>
        <v>20200111153613983</v>
      </c>
      <c r="B158" t="str">
        <f>"1578728173972470"</f>
        <v>1578728173972470</v>
      </c>
      <c r="C158" t="s">
        <v>37</v>
      </c>
      <c r="D158">
        <v>5.5306449999999998</v>
      </c>
      <c r="E158">
        <v>0.50090089999999998</v>
      </c>
      <c r="F158" t="s">
        <v>40</v>
      </c>
      <c r="G158">
        <v>-425.62259999999998</v>
      </c>
      <c r="H158">
        <v>-0.05</v>
      </c>
      <c r="I158">
        <v>368.12040000000002</v>
      </c>
      <c r="J158">
        <v>-443.3784</v>
      </c>
      <c r="K158">
        <v>1.1029089999999999</v>
      </c>
      <c r="L158">
        <v>367.55689999999998</v>
      </c>
      <c r="M158">
        <v>0.99984280000000003</v>
      </c>
      <c r="N158">
        <v>0</v>
      </c>
      <c r="O158">
        <v>-1.7709430000000002E-2</v>
      </c>
      <c r="P158">
        <v>0.99754419999999899</v>
      </c>
      <c r="Q158">
        <v>6.1254870000000003E-2</v>
      </c>
      <c r="R158">
        <v>3.3961650000000003E-2</v>
      </c>
      <c r="S158">
        <v>3.015533</v>
      </c>
      <c r="T158">
        <v>-0.1917924</v>
      </c>
      <c r="U158">
        <v>9.2651369999999997E-2</v>
      </c>
      <c r="V158">
        <v>-5.159876E-2</v>
      </c>
      <c r="W158">
        <v>6.2184070000000001E-2</v>
      </c>
      <c r="X158">
        <v>0.99672999999999901</v>
      </c>
      <c r="Y158">
        <v>-4.827327E-2</v>
      </c>
      <c r="Z158">
        <v>2.6581929999999901E-3</v>
      </c>
      <c r="AA158">
        <v>0.99883060000000001</v>
      </c>
      <c r="AB158">
        <v>38</v>
      </c>
      <c r="AC158">
        <v>17.755800000000001</v>
      </c>
      <c r="AD158">
        <v>-1.152909</v>
      </c>
      <c r="AE158">
        <v>0.56350000000003297</v>
      </c>
      <c r="AF158">
        <v>-0.87417495540817602</v>
      </c>
      <c r="AG158">
        <v>-1.152909</v>
      </c>
      <c r="AH158">
        <v>17.6686187075052</v>
      </c>
      <c r="AI158">
        <v>93.728811380347906</v>
      </c>
      <c r="AJ158">
        <v>92.832464014803605</v>
      </c>
      <c r="AK158">
        <v>17.727759814656402</v>
      </c>
    </row>
    <row r="159" spans="1:37" x14ac:dyDescent="0.2">
      <c r="A159" t="str">
        <f>"20200111153614005"</f>
        <v>20200111153614005</v>
      </c>
      <c r="B159" t="str">
        <f>"1578728173992966"</f>
        <v>1578728173992966</v>
      </c>
      <c r="C159" t="s">
        <v>37</v>
      </c>
      <c r="D159">
        <v>5.5266890000000002</v>
      </c>
      <c r="E159">
        <v>0.50081039999999999</v>
      </c>
      <c r="F159" t="s">
        <v>40</v>
      </c>
      <c r="G159">
        <v>-425.42779999999999</v>
      </c>
      <c r="H159">
        <v>-0.05</v>
      </c>
      <c r="I159">
        <v>368.13440000000003</v>
      </c>
      <c r="J159">
        <v>-443.0027</v>
      </c>
      <c r="K159">
        <v>1.102905</v>
      </c>
      <c r="L159">
        <v>367.55009999999999</v>
      </c>
      <c r="M159">
        <v>0.99984030000000002</v>
      </c>
      <c r="N159">
        <v>0</v>
      </c>
      <c r="O159">
        <v>-1.7851349999999998E-2</v>
      </c>
      <c r="P159">
        <v>0.99741299999999899</v>
      </c>
      <c r="Q159">
        <v>6.2629039999999997E-2</v>
      </c>
      <c r="R159">
        <v>3.5282519999999998E-2</v>
      </c>
      <c r="S159">
        <v>3.0159609999999999</v>
      </c>
      <c r="T159">
        <v>-0.19370599999999999</v>
      </c>
      <c r="U159">
        <v>9.7045899999999893E-2</v>
      </c>
      <c r="V159">
        <v>-5.3058149999999998E-2</v>
      </c>
      <c r="W159">
        <v>6.3644599999999996E-2</v>
      </c>
      <c r="X159">
        <v>0.99656119999999904</v>
      </c>
      <c r="Y159">
        <v>-4.9858409999999999E-2</v>
      </c>
      <c r="Z159">
        <v>2.7441659999999902E-3</v>
      </c>
      <c r="AA159">
        <v>0.99875249999999904</v>
      </c>
      <c r="AB159">
        <v>38</v>
      </c>
      <c r="AC159">
        <v>17.5749</v>
      </c>
      <c r="AD159">
        <v>-1.1529049999999901</v>
      </c>
      <c r="AE159">
        <v>0.58430000000004101</v>
      </c>
      <c r="AF159">
        <v>-0.89409936735768303</v>
      </c>
      <c r="AG159">
        <v>-1.1529049999999901</v>
      </c>
      <c r="AH159">
        <v>17.486502394111501</v>
      </c>
      <c r="AI159">
        <v>93.767209557940703</v>
      </c>
      <c r="AJ159">
        <v>92.927031719290696</v>
      </c>
      <c r="AK159">
        <v>17.547261028348601</v>
      </c>
    </row>
    <row r="160" spans="1:37" x14ac:dyDescent="0.2">
      <c r="A160" t="str">
        <f>"20200111153614028"</f>
        <v>20200111153614028</v>
      </c>
      <c r="B160" t="str">
        <f>"1578728174023222"</f>
        <v>1578728174023222</v>
      </c>
      <c r="C160" t="s">
        <v>37</v>
      </c>
      <c r="D160">
        <v>5.5333199999999998</v>
      </c>
      <c r="E160">
        <v>0.50106130000000004</v>
      </c>
      <c r="F160" t="s">
        <v>40</v>
      </c>
      <c r="G160">
        <v>-425.05239999999998</v>
      </c>
      <c r="H160">
        <v>-0.05</v>
      </c>
      <c r="I160">
        <v>368.15719999999999</v>
      </c>
      <c r="J160">
        <v>-442.62520000000001</v>
      </c>
      <c r="K160">
        <v>1.102894</v>
      </c>
      <c r="L160">
        <v>367.54320000000001</v>
      </c>
      <c r="M160">
        <v>0.99983759999999999</v>
      </c>
      <c r="N160">
        <v>0</v>
      </c>
      <c r="O160">
        <v>-1.7993740000000001E-2</v>
      </c>
      <c r="P160">
        <v>0.99735699999999905</v>
      </c>
      <c r="Q160">
        <v>6.3166520000000004E-2</v>
      </c>
      <c r="R160">
        <v>3.5904390000000001E-2</v>
      </c>
      <c r="S160">
        <v>3.0163570000000002</v>
      </c>
      <c r="T160">
        <v>-0.19373319999999999</v>
      </c>
      <c r="U160">
        <v>0.10202029999999999</v>
      </c>
      <c r="V160">
        <v>-5.3820100000000003E-2</v>
      </c>
      <c r="W160">
        <v>6.4265589999999997E-2</v>
      </c>
      <c r="X160">
        <v>0.99648049999999999</v>
      </c>
      <c r="Y160">
        <v>-5.1637679999999998E-2</v>
      </c>
      <c r="Z160">
        <v>2.8103189999999999E-3</v>
      </c>
      <c r="AA160">
        <v>0.99866189999999999</v>
      </c>
      <c r="AB160">
        <v>38</v>
      </c>
      <c r="AC160">
        <v>17.572800000000001</v>
      </c>
      <c r="AD160">
        <v>-1.1528940000000001</v>
      </c>
      <c r="AE160">
        <v>0.61399999999997501</v>
      </c>
      <c r="AF160">
        <v>-0.92611976092354997</v>
      </c>
      <c r="AG160">
        <v>-1.1528940000000001</v>
      </c>
      <c r="AH160">
        <v>17.483744260316801</v>
      </c>
      <c r="AI160">
        <v>93.767407568847503</v>
      </c>
      <c r="AJ160">
        <v>93.032142737850606</v>
      </c>
      <c r="AK160">
        <v>17.546172680871699</v>
      </c>
    </row>
    <row r="161" spans="1:37" x14ac:dyDescent="0.2">
      <c r="A161" t="str">
        <f>"20200111153614049"</f>
        <v>20200111153614049</v>
      </c>
      <c r="B161" t="str">
        <f>"1578728174042743"</f>
        <v>1578728174042743</v>
      </c>
      <c r="C161" t="s">
        <v>37</v>
      </c>
      <c r="D161">
        <v>5.759652</v>
      </c>
      <c r="E161">
        <v>0.50141670000000005</v>
      </c>
      <c r="F161" t="s">
        <v>40</v>
      </c>
      <c r="G161">
        <v>-424.97500000000002</v>
      </c>
      <c r="H161">
        <v>-0.05</v>
      </c>
      <c r="I161">
        <v>368.13850000000002</v>
      </c>
      <c r="J161">
        <v>-442.24380000000002</v>
      </c>
      <c r="K161">
        <v>1.102873</v>
      </c>
      <c r="L161">
        <v>367.53629999999998</v>
      </c>
      <c r="M161">
        <v>0.99983500000000003</v>
      </c>
      <c r="N161">
        <v>0</v>
      </c>
      <c r="O161">
        <v>-1.8137810000000001E-2</v>
      </c>
      <c r="P161">
        <v>0.99738749999999998</v>
      </c>
      <c r="Q161">
        <v>6.2918929999999998E-2</v>
      </c>
      <c r="R161">
        <v>3.5494329999999998E-2</v>
      </c>
      <c r="S161">
        <v>3.016785</v>
      </c>
      <c r="T161">
        <v>-0.1970537</v>
      </c>
      <c r="U161">
        <v>0.10174560000000001</v>
      </c>
      <c r="V161">
        <v>-5.3554110000000002E-2</v>
      </c>
      <c r="W161">
        <v>6.4099039999999996E-2</v>
      </c>
      <c r="X161">
        <v>0.99650559999999999</v>
      </c>
      <c r="Y161">
        <v>-5.168068E-2</v>
      </c>
      <c r="Z161">
        <v>2.868785E-3</v>
      </c>
      <c r="AA161">
        <v>0.99865959999999998</v>
      </c>
      <c r="AB161">
        <v>38</v>
      </c>
      <c r="AC161">
        <v>17.268799999999999</v>
      </c>
      <c r="AD161">
        <v>-1.152873</v>
      </c>
      <c r="AE161">
        <v>0.60220000000003804</v>
      </c>
      <c r="AF161">
        <v>-0.91126277698760905</v>
      </c>
      <c r="AG161">
        <v>-1.152873</v>
      </c>
      <c r="AH161">
        <v>17.178565458629301</v>
      </c>
      <c r="AI161">
        <v>93.834052997719198</v>
      </c>
      <c r="AJ161">
        <v>93.0364945543907</v>
      </c>
      <c r="AK161">
        <v>17.241305844374601</v>
      </c>
    </row>
    <row r="162" spans="1:37" x14ac:dyDescent="0.2">
      <c r="A162" t="str">
        <f>"20200111153614072"</f>
        <v>20200111153614072</v>
      </c>
      <c r="B162" t="str">
        <f>"1578728174063242"</f>
        <v>1578728174063242</v>
      </c>
      <c r="C162" t="s">
        <v>37</v>
      </c>
      <c r="D162">
        <v>5.7895729999999999</v>
      </c>
      <c r="E162">
        <v>0.55918780000000001</v>
      </c>
      <c r="F162" t="s">
        <v>40</v>
      </c>
      <c r="G162">
        <v>-424.71170000000001</v>
      </c>
      <c r="H162">
        <v>-0.05</v>
      </c>
      <c r="I162">
        <v>368.1062</v>
      </c>
      <c r="J162">
        <v>-441.84960000000001</v>
      </c>
      <c r="K162">
        <v>1.1028530000000001</v>
      </c>
      <c r="L162">
        <v>367.529</v>
      </c>
      <c r="M162">
        <v>0.99983219999999995</v>
      </c>
      <c r="N162">
        <v>0</v>
      </c>
      <c r="O162">
        <v>-1.8286529999999999E-2</v>
      </c>
      <c r="P162">
        <v>0.99754209999999999</v>
      </c>
      <c r="Q162">
        <v>6.1622000000000003E-2</v>
      </c>
      <c r="R162">
        <v>3.3359229999999997E-2</v>
      </c>
      <c r="S162">
        <v>3.0168459999999899</v>
      </c>
      <c r="T162">
        <v>-0.19838069999999999</v>
      </c>
      <c r="U162">
        <v>9.8083500000000004E-2</v>
      </c>
      <c r="V162">
        <v>-5.1570360000000003E-2</v>
      </c>
      <c r="W162">
        <v>6.2882209999999994E-2</v>
      </c>
      <c r="X162">
        <v>0.99668769999999995</v>
      </c>
      <c r="Y162">
        <v>-5.0617540000000003E-2</v>
      </c>
      <c r="Z162">
        <v>2.8629179999999999E-3</v>
      </c>
      <c r="AA162">
        <v>0.99871399999999999</v>
      </c>
      <c r="AB162">
        <v>38</v>
      </c>
      <c r="AC162">
        <v>17.137899999999998</v>
      </c>
      <c r="AD162">
        <v>-1.1528529999999999</v>
      </c>
      <c r="AE162">
        <v>0.57720000000000404</v>
      </c>
      <c r="AF162">
        <v>-0.88648944178917899</v>
      </c>
      <c r="AG162">
        <v>-1.1528529999999999</v>
      </c>
      <c r="AH162">
        <v>17.047424641379799</v>
      </c>
      <c r="AI162">
        <v>93.863602295505103</v>
      </c>
      <c r="AJ162">
        <v>92.976777769965693</v>
      </c>
      <c r="AK162">
        <v>17.1093430754526</v>
      </c>
    </row>
    <row r="163" spans="1:37" x14ac:dyDescent="0.2">
      <c r="A163" t="str">
        <f>"20200111153614094"</f>
        <v>20200111153614094</v>
      </c>
      <c r="B163" t="str">
        <f>"1578728174082758"</f>
        <v>1578728174082758</v>
      </c>
      <c r="C163" t="s">
        <v>37</v>
      </c>
      <c r="D163">
        <v>5.5837459999999997</v>
      </c>
      <c r="E163">
        <v>0.56777939999999905</v>
      </c>
      <c r="F163" t="s">
        <v>38</v>
      </c>
      <c r="G163">
        <v>-441.05500000000001</v>
      </c>
      <c r="H163">
        <v>0.95395339999999995</v>
      </c>
      <c r="I163">
        <v>367.43340000000001</v>
      </c>
      <c r="J163">
        <v>-441.47590000000002</v>
      </c>
      <c r="K163">
        <v>1.1028439999999999</v>
      </c>
      <c r="L163">
        <v>367.52199999999999</v>
      </c>
      <c r="M163">
        <v>0.99982939999999998</v>
      </c>
      <c r="N163">
        <v>0</v>
      </c>
      <c r="O163">
        <v>-1.8426910000000001E-2</v>
      </c>
      <c r="P163">
        <v>0.99769330000000001</v>
      </c>
      <c r="Q163">
        <v>6.0448109999999999E-2</v>
      </c>
      <c r="R163">
        <v>3.0890859999999999E-2</v>
      </c>
      <c r="S163">
        <v>3.0550229999999998</v>
      </c>
      <c r="T163">
        <v>-0.57253500000000002</v>
      </c>
      <c r="U163">
        <v>-0.36538699999999902</v>
      </c>
      <c r="V163">
        <v>-4.9245810000000001E-2</v>
      </c>
      <c r="W163">
        <v>6.1780010000000003E-2</v>
      </c>
      <c r="X163">
        <v>0.99687420000000004</v>
      </c>
      <c r="Y163">
        <v>9.9055660000000004E-2</v>
      </c>
      <c r="Z163">
        <v>-5.7593319999999998E-3</v>
      </c>
      <c r="AA163">
        <v>0.99506519999999998</v>
      </c>
      <c r="AB163">
        <v>38</v>
      </c>
      <c r="AC163">
        <v>0.42090000000001698</v>
      </c>
      <c r="AD163">
        <v>-0.14889060000000001</v>
      </c>
      <c r="AE163">
        <v>-8.8599999999985302E-2</v>
      </c>
      <c r="AF163">
        <v>7.2180094046755905E-2</v>
      </c>
      <c r="AG163">
        <v>-0.14889060000000001</v>
      </c>
      <c r="AH163">
        <v>0.37725645770107002</v>
      </c>
      <c r="AI163">
        <v>111.18810062683499</v>
      </c>
      <c r="AJ163">
        <v>79.168558853520807</v>
      </c>
      <c r="AK163">
        <v>0.41194758358572497</v>
      </c>
    </row>
    <row r="164" spans="1:37" x14ac:dyDescent="0.2">
      <c r="A164" t="str">
        <f>"20200111153614117"</f>
        <v>20200111153614117</v>
      </c>
      <c r="B164" t="str">
        <f>"1578728174113014"</f>
        <v>1578728174113014</v>
      </c>
      <c r="C164" t="s">
        <v>37</v>
      </c>
      <c r="D164">
        <v>5.5758660000000004</v>
      </c>
      <c r="E164">
        <v>0.56997089999999995</v>
      </c>
      <c r="F164" t="s">
        <v>38</v>
      </c>
      <c r="G164">
        <v>-440.71839999999997</v>
      </c>
      <c r="H164">
        <v>0.93246079999999998</v>
      </c>
      <c r="I164">
        <v>367.4128</v>
      </c>
      <c r="J164">
        <v>-441.0754</v>
      </c>
      <c r="K164">
        <v>1.102838</v>
      </c>
      <c r="L164">
        <v>367.5145</v>
      </c>
      <c r="M164">
        <v>0.99982660000000001</v>
      </c>
      <c r="N164">
        <v>0</v>
      </c>
      <c r="O164">
        <v>-1.857789E-2</v>
      </c>
      <c r="P164">
        <v>0.99774419999999897</v>
      </c>
      <c r="Q164">
        <v>6.0971949999999997E-2</v>
      </c>
      <c r="R164">
        <v>2.8093030000000001E-2</v>
      </c>
      <c r="S164">
        <v>3.0622859999999998</v>
      </c>
      <c r="T164">
        <v>-0.68889009999999995</v>
      </c>
      <c r="U164">
        <v>-0.44030760000000002</v>
      </c>
      <c r="V164">
        <v>-4.6599080000000001E-2</v>
      </c>
      <c r="W164">
        <v>6.2378240000000001E-2</v>
      </c>
      <c r="X164">
        <v>0.99696419999999997</v>
      </c>
      <c r="Y164">
        <v>0.1213906</v>
      </c>
      <c r="Z164">
        <v>-9.3131540000000006E-3</v>
      </c>
      <c r="AA164">
        <v>0.99256109999999897</v>
      </c>
      <c r="AB164">
        <v>39</v>
      </c>
      <c r="AC164">
        <v>0.35700000000002702</v>
      </c>
      <c r="AD164">
        <v>-0.17037720000000001</v>
      </c>
      <c r="AE164">
        <v>-0.101699999999993</v>
      </c>
      <c r="AF164">
        <v>7.8510465686928099E-2</v>
      </c>
      <c r="AG164">
        <v>-0.17037720000000001</v>
      </c>
      <c r="AH164">
        <v>0.29638815621061099</v>
      </c>
      <c r="AI164">
        <v>119.06005632726701</v>
      </c>
      <c r="AJ164">
        <v>75.163624694406593</v>
      </c>
      <c r="AK164">
        <v>0.35076804678326101</v>
      </c>
    </row>
    <row r="165" spans="1:37" x14ac:dyDescent="0.2">
      <c r="A165" t="str">
        <f>"20200111153614139"</f>
        <v>20200111153614139</v>
      </c>
      <c r="B165" t="str">
        <f>"1578728174132534"</f>
        <v>1578728174132534</v>
      </c>
      <c r="C165" t="s">
        <v>37</v>
      </c>
      <c r="D165">
        <v>5.6061909999999999</v>
      </c>
      <c r="E165">
        <v>0.57069169999999902</v>
      </c>
      <c r="F165" t="s">
        <v>38</v>
      </c>
      <c r="G165">
        <v>-440.37009999999998</v>
      </c>
      <c r="H165">
        <v>0.9327221</v>
      </c>
      <c r="I165">
        <v>367.40710000000001</v>
      </c>
      <c r="J165">
        <v>-440.6961</v>
      </c>
      <c r="K165">
        <v>1.1027610000000001</v>
      </c>
      <c r="L165">
        <v>367.50729999999999</v>
      </c>
      <c r="M165">
        <v>0.99982420000000005</v>
      </c>
      <c r="N165">
        <v>0</v>
      </c>
      <c r="O165">
        <v>-1.8723489999999999E-2</v>
      </c>
      <c r="P165">
        <v>0.99768429999999997</v>
      </c>
      <c r="Q165">
        <v>6.2656870000000003E-2</v>
      </c>
      <c r="R165">
        <v>2.6465430000000002E-2</v>
      </c>
      <c r="S165">
        <v>3.0650629999999999</v>
      </c>
      <c r="T165">
        <v>-0.73935740000000005</v>
      </c>
      <c r="U165">
        <v>-0.46536250000000001</v>
      </c>
      <c r="V165">
        <v>-4.5115469999999998E-2</v>
      </c>
      <c r="W165">
        <v>6.3827320000000007E-2</v>
      </c>
      <c r="X165">
        <v>0.99694069999999901</v>
      </c>
      <c r="Y165">
        <v>0.12849379999999999</v>
      </c>
      <c r="Z165">
        <v>-1.076853E-2</v>
      </c>
      <c r="AA165">
        <v>0.99165179999999997</v>
      </c>
      <c r="AB165">
        <v>39</v>
      </c>
      <c r="AC165">
        <v>0.326000000000021</v>
      </c>
      <c r="AD165">
        <v>-0.17003889999999999</v>
      </c>
      <c r="AE165">
        <v>-0.10019999999997201</v>
      </c>
      <c r="AF165">
        <v>7.5348773564680505E-2</v>
      </c>
      <c r="AG165">
        <v>-0.17003889999999999</v>
      </c>
      <c r="AH165">
        <v>0.26255452762971099</v>
      </c>
      <c r="AI165">
        <v>121.902480780735</v>
      </c>
      <c r="AJ165">
        <v>73.987403203717705</v>
      </c>
      <c r="AK165">
        <v>0.32175385804955298</v>
      </c>
    </row>
    <row r="166" spans="1:37" x14ac:dyDescent="0.2">
      <c r="A166" t="str">
        <f>"20200111153614162"</f>
        <v>20200111153614162</v>
      </c>
      <c r="B166" t="str">
        <f>"1578728174153033"</f>
        <v>1578728174153033</v>
      </c>
      <c r="C166" t="s">
        <v>37</v>
      </c>
      <c r="D166">
        <v>5.6182290000000004</v>
      </c>
      <c r="E166">
        <v>0.57063129999999995</v>
      </c>
      <c r="F166" t="s">
        <v>38</v>
      </c>
      <c r="G166">
        <v>-440.017</v>
      </c>
      <c r="H166">
        <v>0.93793459999999995</v>
      </c>
      <c r="I166">
        <v>367.40179999999998</v>
      </c>
      <c r="J166">
        <v>-440.27949999999998</v>
      </c>
      <c r="K166">
        <v>1.1025559999999901</v>
      </c>
      <c r="L166">
        <v>367.49939999999998</v>
      </c>
      <c r="M166">
        <v>0.99982130000000002</v>
      </c>
      <c r="N166">
        <v>0</v>
      </c>
      <c r="O166">
        <v>-1.8882369999999999E-2</v>
      </c>
      <c r="P166">
        <v>0.99764730000000001</v>
      </c>
      <c r="Q166">
        <v>6.3726099999999994E-2</v>
      </c>
      <c r="R166">
        <v>2.5275329999999999E-2</v>
      </c>
      <c r="S166">
        <v>3.066284</v>
      </c>
      <c r="T166">
        <v>-0.7442666</v>
      </c>
      <c r="U166">
        <v>-0.47525020000000001</v>
      </c>
      <c r="V166">
        <v>-4.4083299999999999E-2</v>
      </c>
      <c r="W166">
        <v>6.4699549999999995E-2</v>
      </c>
      <c r="X166">
        <v>0.9969306</v>
      </c>
      <c r="Y166">
        <v>0.1312905</v>
      </c>
      <c r="Z166">
        <v>-1.11262999999999E-2</v>
      </c>
      <c r="AA166">
        <v>0.99128150000000004</v>
      </c>
      <c r="AB166">
        <v>39</v>
      </c>
      <c r="AC166">
        <v>0.26249999999998802</v>
      </c>
      <c r="AD166">
        <v>-0.164621399999999</v>
      </c>
      <c r="AE166">
        <v>-9.7599999999999895E-2</v>
      </c>
      <c r="AF166">
        <v>6.8840034943767198E-2</v>
      </c>
      <c r="AG166">
        <v>-0.164621399999999</v>
      </c>
      <c r="AH166">
        <v>0.19642604695820701</v>
      </c>
      <c r="AI166">
        <v>128.341098334127</v>
      </c>
      <c r="AJ166">
        <v>70.686331229036796</v>
      </c>
      <c r="AK166">
        <v>0.26537209286706598</v>
      </c>
    </row>
    <row r="167" spans="1:37" x14ac:dyDescent="0.2">
      <c r="A167" t="str">
        <f>"20200111153614176"</f>
        <v>20200111153614176</v>
      </c>
      <c r="B167" t="str">
        <f>"1578728174172468"</f>
        <v>1578728174172468</v>
      </c>
      <c r="C167" t="s">
        <v>37</v>
      </c>
      <c r="D167">
        <v>5.6057480000000002</v>
      </c>
      <c r="E167">
        <v>0.57049479999999997</v>
      </c>
      <c r="F167" t="s">
        <v>38</v>
      </c>
      <c r="G167">
        <v>-439.33589999999998</v>
      </c>
      <c r="H167">
        <v>0.87269159999999901</v>
      </c>
      <c r="I167">
        <v>367.35210000000001</v>
      </c>
      <c r="J167">
        <v>-440.02499999999998</v>
      </c>
      <c r="K167">
        <v>1.1023639999999999</v>
      </c>
      <c r="L167">
        <v>367.49459999999999</v>
      </c>
      <c r="M167">
        <v>0.99981949999999997</v>
      </c>
      <c r="N167">
        <v>0</v>
      </c>
      <c r="O167">
        <v>-1.8976920000000001E-2</v>
      </c>
      <c r="P167">
        <v>0.99762199999999901</v>
      </c>
      <c r="Q167">
        <v>6.4303799999999994E-2</v>
      </c>
      <c r="R167">
        <v>2.480951E-2</v>
      </c>
      <c r="S167">
        <v>3.0669249999999999</v>
      </c>
      <c r="T167">
        <v>-0.74715730000000002</v>
      </c>
      <c r="U167">
        <v>-0.47839359999999997</v>
      </c>
      <c r="V167">
        <v>-4.3711750000000001E-2</v>
      </c>
      <c r="W167">
        <v>6.5300049999999998E-2</v>
      </c>
      <c r="X167">
        <v>0.99690780000000001</v>
      </c>
      <c r="Y167">
        <v>0.13211410000000001</v>
      </c>
      <c r="Z167">
        <v>-1.1240999999999999E-2</v>
      </c>
      <c r="AA167">
        <v>0.99117080000000002</v>
      </c>
      <c r="AB167">
        <v>39</v>
      </c>
      <c r="AC167">
        <v>0.68909999999999605</v>
      </c>
      <c r="AD167">
        <v>-0.2296724</v>
      </c>
      <c r="AE167">
        <v>-0.142499999999984</v>
      </c>
      <c r="AF167">
        <v>0.11693985809608</v>
      </c>
      <c r="AG167">
        <v>-0.2296724</v>
      </c>
      <c r="AH167">
        <v>0.62508994788786698</v>
      </c>
      <c r="AI167">
        <v>109.857563639285</v>
      </c>
      <c r="AJ167">
        <v>79.403767850181396</v>
      </c>
      <c r="AK167">
        <v>0.67613740074318296</v>
      </c>
    </row>
    <row r="168" spans="1:37" x14ac:dyDescent="0.2">
      <c r="A168" t="str">
        <f>"20200111153614195"</f>
        <v>20200111153614195</v>
      </c>
      <c r="B168" t="str">
        <f>"1578728174192964"</f>
        <v>1578728174192964</v>
      </c>
      <c r="C168" t="s">
        <v>37</v>
      </c>
      <c r="D168">
        <v>5.6566419999999997</v>
      </c>
      <c r="E168">
        <v>0.57053589999999998</v>
      </c>
      <c r="F168" t="s">
        <v>38</v>
      </c>
      <c r="G168">
        <v>-439.31310000000002</v>
      </c>
      <c r="H168">
        <v>0.92837479999999994</v>
      </c>
      <c r="I168">
        <v>367.38330000000002</v>
      </c>
      <c r="J168">
        <v>-439.68990000000002</v>
      </c>
      <c r="K168">
        <v>1.1019909999999999</v>
      </c>
      <c r="L168">
        <v>367.48809999999997</v>
      </c>
      <c r="M168">
        <v>0.99981699999999996</v>
      </c>
      <c r="N168">
        <v>0</v>
      </c>
      <c r="O168">
        <v>-1.9096769999999999E-2</v>
      </c>
      <c r="P168">
        <v>0.99758930000000001</v>
      </c>
      <c r="Q168">
        <v>6.4913150000000003E-2</v>
      </c>
      <c r="R168">
        <v>2.453922E-2</v>
      </c>
      <c r="S168">
        <v>3.067383</v>
      </c>
      <c r="T168">
        <v>-0.74978120000000004</v>
      </c>
      <c r="U168">
        <v>-0.47882079999999899</v>
      </c>
      <c r="V168">
        <v>-4.3559609999999999E-2</v>
      </c>
      <c r="W168">
        <v>6.613223E-2</v>
      </c>
      <c r="X168">
        <v>0.99685959999999996</v>
      </c>
      <c r="Y168">
        <v>0.13209029999999899</v>
      </c>
      <c r="Z168">
        <v>-1.12461E-2</v>
      </c>
      <c r="AA168">
        <v>0.99117389999999905</v>
      </c>
      <c r="AB168">
        <v>39</v>
      </c>
      <c r="AC168">
        <v>0.37680000000000202</v>
      </c>
      <c r="AD168">
        <v>-0.1736162</v>
      </c>
      <c r="AE168">
        <v>-0.104799999999954</v>
      </c>
      <c r="AF168">
        <v>8.1520727803739701E-2</v>
      </c>
      <c r="AG168">
        <v>-0.1736162</v>
      </c>
      <c r="AH168">
        <v>0.31638560885301897</v>
      </c>
      <c r="AI168">
        <v>117.985845584506</v>
      </c>
      <c r="AJ168">
        <v>75.551300074554305</v>
      </c>
      <c r="AK168">
        <v>0.36998387458561899</v>
      </c>
    </row>
    <row r="169" spans="1:37" x14ac:dyDescent="0.2">
      <c r="A169" t="str">
        <f>"20200111153614217"</f>
        <v>20200111153614217</v>
      </c>
      <c r="B169" t="str">
        <f>"1578728174213460"</f>
        <v>1578728174213460</v>
      </c>
      <c r="C169" t="s">
        <v>37</v>
      </c>
      <c r="D169">
        <v>5.6921939999999998</v>
      </c>
      <c r="E169">
        <v>0.57031509999999996</v>
      </c>
      <c r="F169" t="s">
        <v>38</v>
      </c>
      <c r="G169">
        <v>-438.95859999999999</v>
      </c>
      <c r="H169">
        <v>0.92290689999999997</v>
      </c>
      <c r="I169">
        <v>367.37349999999998</v>
      </c>
      <c r="J169">
        <v>-439.3032</v>
      </c>
      <c r="K169">
        <v>1.1013770000000001</v>
      </c>
      <c r="L169">
        <v>367.48070000000001</v>
      </c>
      <c r="M169">
        <v>0.99981369999999903</v>
      </c>
      <c r="N169">
        <v>0</v>
      </c>
      <c r="O169">
        <v>-1.9229449999999999E-2</v>
      </c>
      <c r="P169">
        <v>0.99753899999999995</v>
      </c>
      <c r="Q169">
        <v>6.5765160000000003E-2</v>
      </c>
      <c r="R169">
        <v>2.4319400000000001E-2</v>
      </c>
      <c r="S169">
        <v>3.0679319999999999</v>
      </c>
      <c r="T169">
        <v>-0.75132710000000003</v>
      </c>
      <c r="U169">
        <v>-0.47933959999999998</v>
      </c>
      <c r="V169">
        <v>-4.346916E-2</v>
      </c>
      <c r="W169">
        <v>6.7482009999999995E-2</v>
      </c>
      <c r="X169">
        <v>0.99677309999999997</v>
      </c>
      <c r="Y169">
        <v>0.13208729999999999</v>
      </c>
      <c r="Z169">
        <v>-1.123439E-2</v>
      </c>
      <c r="AA169">
        <v>0.99117440000000001</v>
      </c>
      <c r="AB169">
        <v>40</v>
      </c>
      <c r="AC169">
        <v>0.34460000000001401</v>
      </c>
      <c r="AD169">
        <v>-0.17847009999999999</v>
      </c>
      <c r="AE169">
        <v>-0.107200000000034</v>
      </c>
      <c r="AF169">
        <v>8.0794659433125596E-2</v>
      </c>
      <c r="AG169">
        <v>-0.17847009999999999</v>
      </c>
      <c r="AH169">
        <v>0.27849041376935402</v>
      </c>
      <c r="AI169">
        <v>121.61105762575799</v>
      </c>
      <c r="AJ169">
        <v>73.821684924101007</v>
      </c>
      <c r="AK169">
        <v>0.34049414701041603</v>
      </c>
    </row>
    <row r="170" spans="1:37" x14ac:dyDescent="0.2">
      <c r="A170" t="str">
        <f>"20200111153614240"</f>
        <v>20200111153614240</v>
      </c>
      <c r="B170" t="str">
        <f>"1578728174232981"</f>
        <v>1578728174232981</v>
      </c>
      <c r="C170" t="s">
        <v>37</v>
      </c>
      <c r="D170">
        <v>5.653327</v>
      </c>
      <c r="E170">
        <v>0.57108029999999999</v>
      </c>
      <c r="F170" t="s">
        <v>38</v>
      </c>
      <c r="G170">
        <v>-438.59699999999998</v>
      </c>
      <c r="H170">
        <v>0.92854689999999995</v>
      </c>
      <c r="I170">
        <v>367.37040000000002</v>
      </c>
      <c r="J170">
        <v>-438.88319999999999</v>
      </c>
      <c r="K170">
        <v>1.1004620000000001</v>
      </c>
      <c r="L170">
        <v>367.47250000000003</v>
      </c>
      <c r="M170">
        <v>0.99980919999999895</v>
      </c>
      <c r="N170">
        <v>0</v>
      </c>
      <c r="O170">
        <v>-1.9366540000000002E-2</v>
      </c>
      <c r="P170">
        <v>0.99756739999999999</v>
      </c>
      <c r="Q170">
        <v>6.5427079999999999E-2</v>
      </c>
      <c r="R170">
        <v>2.4059529999999999E-2</v>
      </c>
      <c r="S170">
        <v>3.06857299999999</v>
      </c>
      <c r="T170">
        <v>-0.75107590000000002</v>
      </c>
      <c r="U170">
        <v>-0.4778442</v>
      </c>
      <c r="V170">
        <v>-4.3345059999999998E-2</v>
      </c>
      <c r="W170">
        <v>6.7978689999999994E-2</v>
      </c>
      <c r="X170">
        <v>0.99674479999999999</v>
      </c>
      <c r="Y170">
        <v>0.13147310000000001</v>
      </c>
      <c r="Z170">
        <v>-1.1122379999999999E-2</v>
      </c>
      <c r="AA170">
        <v>0.99125730000000001</v>
      </c>
      <c r="AB170">
        <v>40</v>
      </c>
      <c r="AC170">
        <v>0.286200000000008</v>
      </c>
      <c r="AD170">
        <v>-0.17191509999999999</v>
      </c>
      <c r="AE170">
        <v>-0.102100000000007</v>
      </c>
      <c r="AF170">
        <v>7.3130356644778099E-2</v>
      </c>
      <c r="AG170">
        <v>-0.17191509999999999</v>
      </c>
      <c r="AH170">
        <v>0.21826179627432299</v>
      </c>
      <c r="AI170">
        <v>126.75415151196</v>
      </c>
      <c r="AJ170">
        <v>71.476163743156405</v>
      </c>
      <c r="AK170">
        <v>0.28729960387006498</v>
      </c>
    </row>
    <row r="171" spans="1:37" x14ac:dyDescent="0.2">
      <c r="A171" t="str">
        <f>"20200111153614262"</f>
        <v>20200111153614262</v>
      </c>
      <c r="B171" t="str">
        <f>"1578728174252500"</f>
        <v>1578728174252500</v>
      </c>
      <c r="C171" t="s">
        <v>37</v>
      </c>
      <c r="D171">
        <v>5.6242849999999898</v>
      </c>
      <c r="E171">
        <v>0.57212379999999996</v>
      </c>
      <c r="F171" t="s">
        <v>38</v>
      </c>
      <c r="G171">
        <v>-437.90260000000001</v>
      </c>
      <c r="H171">
        <v>0.85929199999999994</v>
      </c>
      <c r="I171">
        <v>367.31790000000001</v>
      </c>
      <c r="J171">
        <v>-438.48239999999998</v>
      </c>
      <c r="K171">
        <v>1.099335</v>
      </c>
      <c r="L171">
        <v>367.46460000000002</v>
      </c>
      <c r="M171">
        <v>0.99980349999999996</v>
      </c>
      <c r="N171">
        <v>0</v>
      </c>
      <c r="O171">
        <v>-1.9478820000000001E-2</v>
      </c>
      <c r="P171">
        <v>0.99771279999999996</v>
      </c>
      <c r="Q171">
        <v>6.3665899999999997E-2</v>
      </c>
      <c r="R171">
        <v>2.271664E-2</v>
      </c>
      <c r="S171">
        <v>3.0685119999999899</v>
      </c>
      <c r="T171">
        <v>-0.75462779999999996</v>
      </c>
      <c r="U171">
        <v>-0.48379519999999998</v>
      </c>
      <c r="V171">
        <v>-4.2115409999999999E-2</v>
      </c>
      <c r="W171">
        <v>6.7339280000000001E-2</v>
      </c>
      <c r="X171">
        <v>0.99684089999999903</v>
      </c>
      <c r="Y171">
        <v>0.133165899999999</v>
      </c>
      <c r="Z171">
        <v>-1.134897E-2</v>
      </c>
      <c r="AA171">
        <v>0.99102880000000004</v>
      </c>
      <c r="AB171">
        <v>40</v>
      </c>
      <c r="AC171">
        <v>0.579799999999977</v>
      </c>
      <c r="AD171">
        <v>-0.24004299999999901</v>
      </c>
      <c r="AE171">
        <v>-0.14670000000000899</v>
      </c>
      <c r="AF171">
        <v>0.11659569582787301</v>
      </c>
      <c r="AG171">
        <v>-0.24004299999999901</v>
      </c>
      <c r="AH171">
        <v>0.50172407718576195</v>
      </c>
      <c r="AI171">
        <v>114.986368778562</v>
      </c>
      <c r="AJ171">
        <v>76.917242605376501</v>
      </c>
      <c r="AK171">
        <v>0.56828007862539998</v>
      </c>
    </row>
    <row r="172" spans="1:37" x14ac:dyDescent="0.2">
      <c r="A172" t="str">
        <f>"20200111153614284"</f>
        <v>20200111153614284</v>
      </c>
      <c r="B172" t="str">
        <f>"1578728174272996"</f>
        <v>1578728174272996</v>
      </c>
      <c r="C172" t="s">
        <v>37</v>
      </c>
      <c r="D172">
        <v>5.6532939999999998</v>
      </c>
      <c r="E172">
        <v>0.57280620000000004</v>
      </c>
      <c r="F172" t="s">
        <v>38</v>
      </c>
      <c r="G172">
        <v>-437.536</v>
      </c>
      <c r="H172">
        <v>0.86298980000000003</v>
      </c>
      <c r="I172">
        <v>367.31169999999997</v>
      </c>
      <c r="J172">
        <v>-438.08519999999999</v>
      </c>
      <c r="K172">
        <v>1.097912</v>
      </c>
      <c r="L172">
        <v>367.45679999999999</v>
      </c>
      <c r="M172">
        <v>0.99979750000000001</v>
      </c>
      <c r="N172">
        <v>0</v>
      </c>
      <c r="O172">
        <v>-1.9598810000000001E-2</v>
      </c>
      <c r="P172">
        <v>0.99787939999999997</v>
      </c>
      <c r="Q172">
        <v>6.1597730000000003E-2</v>
      </c>
      <c r="R172">
        <v>2.1036240000000001E-2</v>
      </c>
      <c r="S172">
        <v>3.0670470000000001</v>
      </c>
      <c r="T172">
        <v>-0.76601430000000004</v>
      </c>
      <c r="U172">
        <v>-0.49481199999999997</v>
      </c>
      <c r="V172">
        <v>-4.0557509999999998E-2</v>
      </c>
      <c r="W172">
        <v>6.6179340000000003E-2</v>
      </c>
      <c r="X172">
        <v>0.99698319999999996</v>
      </c>
      <c r="Y172">
        <v>0.13639760000000001</v>
      </c>
      <c r="Z172">
        <v>-1.188315E-2</v>
      </c>
      <c r="AA172">
        <v>0.99058289999999904</v>
      </c>
      <c r="AB172">
        <v>40</v>
      </c>
      <c r="AC172">
        <v>0.54919999999998403</v>
      </c>
      <c r="AD172">
        <v>-0.234922199999999</v>
      </c>
      <c r="AE172">
        <v>-0.145100000000013</v>
      </c>
      <c r="AF172">
        <v>0.114692070190683</v>
      </c>
      <c r="AG172">
        <v>-0.234922199999999</v>
      </c>
      <c r="AH172">
        <v>0.471325491194383</v>
      </c>
      <c r="AI172">
        <v>115.840740774632</v>
      </c>
      <c r="AJ172">
        <v>76.323490458107102</v>
      </c>
      <c r="AK172">
        <v>0.53897164087463001</v>
      </c>
    </row>
    <row r="173" spans="1:37" x14ac:dyDescent="0.2">
      <c r="A173" t="str">
        <f>"20200111153614299"</f>
        <v>20200111153614299</v>
      </c>
      <c r="B173" t="str">
        <f>"1578728174292516"</f>
        <v>1578728174292516</v>
      </c>
      <c r="C173" t="s">
        <v>37</v>
      </c>
      <c r="D173">
        <v>5.6637250000000003</v>
      </c>
      <c r="E173">
        <v>0.57324090000000005</v>
      </c>
      <c r="F173" t="s">
        <v>38</v>
      </c>
      <c r="G173">
        <v>-437.16770000000002</v>
      </c>
      <c r="H173">
        <v>0.86544719999999997</v>
      </c>
      <c r="I173">
        <v>367.30520000000001</v>
      </c>
      <c r="J173">
        <v>-437.81580000000002</v>
      </c>
      <c r="K173">
        <v>1.0968059999999999</v>
      </c>
      <c r="L173">
        <v>367.45150000000001</v>
      </c>
      <c r="M173">
        <v>0.99979280000000004</v>
      </c>
      <c r="N173">
        <v>0</v>
      </c>
      <c r="O173">
        <v>-1.9685299999999999E-2</v>
      </c>
      <c r="P173">
        <v>0.997973</v>
      </c>
      <c r="Q173">
        <v>6.0302750000000002E-2</v>
      </c>
      <c r="R173">
        <v>2.033737E-2</v>
      </c>
      <c r="S173">
        <v>3.064972</v>
      </c>
      <c r="T173">
        <v>-0.77656590000000003</v>
      </c>
      <c r="U173">
        <v>-0.50546259999999998</v>
      </c>
      <c r="V173">
        <v>-3.994702E-2</v>
      </c>
      <c r="W173">
        <v>6.5489420000000007E-2</v>
      </c>
      <c r="X173">
        <v>0.99705330000000003</v>
      </c>
      <c r="Y173">
        <v>0.1395767</v>
      </c>
      <c r="Z173">
        <v>-1.2419110000000001E-2</v>
      </c>
      <c r="AA173">
        <v>0.99013340000000005</v>
      </c>
      <c r="AB173">
        <v>41</v>
      </c>
      <c r="AC173">
        <v>0.64809999999999901</v>
      </c>
      <c r="AD173">
        <v>-0.231358799999999</v>
      </c>
      <c r="AE173">
        <v>-0.14629999999999599</v>
      </c>
      <c r="AF173">
        <v>0.119074897377747</v>
      </c>
      <c r="AG173">
        <v>-0.231358799999999</v>
      </c>
      <c r="AH173">
        <v>0.58046908551211396</v>
      </c>
      <c r="AI173">
        <v>111.327749955344</v>
      </c>
      <c r="AJ173">
        <v>78.407415802270293</v>
      </c>
      <c r="AK173">
        <v>0.63612112428234202</v>
      </c>
    </row>
    <row r="174" spans="1:37" x14ac:dyDescent="0.2">
      <c r="A174" t="str">
        <f>"20200111153614318"</f>
        <v>20200111153614318</v>
      </c>
      <c r="B174" t="str">
        <f>"1578728174313013"</f>
        <v>1578728174313013</v>
      </c>
      <c r="C174" t="s">
        <v>37</v>
      </c>
      <c r="D174">
        <v>5.6408129999999996</v>
      </c>
      <c r="E174">
        <v>0.5735981</v>
      </c>
      <c r="F174" t="s">
        <v>38</v>
      </c>
      <c r="G174">
        <v>-437.14299999999997</v>
      </c>
      <c r="H174">
        <v>0.92479679999999997</v>
      </c>
      <c r="I174">
        <v>367.33890000000002</v>
      </c>
      <c r="J174">
        <v>-437.45089999999999</v>
      </c>
      <c r="K174">
        <v>1.0950879999999901</v>
      </c>
      <c r="L174">
        <v>367.44420000000002</v>
      </c>
      <c r="M174">
        <v>0.9997857</v>
      </c>
      <c r="N174">
        <v>0</v>
      </c>
      <c r="O174">
        <v>-1.9798409999999999E-2</v>
      </c>
      <c r="P174">
        <v>0.998193</v>
      </c>
      <c r="Q174">
        <v>5.6839380000000002E-2</v>
      </c>
      <c r="R174">
        <v>1.9497779999999999E-2</v>
      </c>
      <c r="S174">
        <v>3.0638429999999999</v>
      </c>
      <c r="T174">
        <v>-0.78335449999999995</v>
      </c>
      <c r="U174">
        <v>-0.51123050000000003</v>
      </c>
      <c r="V174">
        <v>-3.9227089999999999E-2</v>
      </c>
      <c r="W174">
        <v>6.2902199999999894E-2</v>
      </c>
      <c r="X174">
        <v>0.99724849999999998</v>
      </c>
      <c r="Y174">
        <v>0.14122409999999999</v>
      </c>
      <c r="Z174">
        <v>-1.270462E-2</v>
      </c>
      <c r="AA174">
        <v>0.98989609999999995</v>
      </c>
      <c r="AB174">
        <v>41</v>
      </c>
      <c r="AC174">
        <v>0.30789999999996098</v>
      </c>
      <c r="AD174">
        <v>-0.170291199999999</v>
      </c>
      <c r="AE174">
        <v>-0.10529999999999901</v>
      </c>
      <c r="AF174">
        <v>7.7860499727775798E-2</v>
      </c>
      <c r="AG174">
        <v>-0.170291199999999</v>
      </c>
      <c r="AH174">
        <v>0.243295684336754</v>
      </c>
      <c r="AI174">
        <v>123.688631149019</v>
      </c>
      <c r="AJ174">
        <v>72.254072119503803</v>
      </c>
      <c r="AK174">
        <v>0.30700837159951899</v>
      </c>
    </row>
    <row r="175" spans="1:37" x14ac:dyDescent="0.2">
      <c r="A175" t="str">
        <f>"20200111153614340"</f>
        <v>20200111153614340</v>
      </c>
      <c r="B175" t="str">
        <f>"1578728174332532"</f>
        <v>1578728174332532</v>
      </c>
      <c r="C175" t="s">
        <v>37</v>
      </c>
      <c r="D175">
        <v>5.5843179999999997</v>
      </c>
      <c r="E175">
        <v>0.57428679999999999</v>
      </c>
      <c r="F175" t="s">
        <v>38</v>
      </c>
      <c r="G175">
        <v>-436.7765</v>
      </c>
      <c r="H175">
        <v>0.91963259999999902</v>
      </c>
      <c r="I175">
        <v>367.33</v>
      </c>
      <c r="J175">
        <v>-437.0566</v>
      </c>
      <c r="K175">
        <v>1.0929690000000001</v>
      </c>
      <c r="L175">
        <v>367.43639999999999</v>
      </c>
      <c r="M175">
        <v>0.9997779</v>
      </c>
      <c r="N175">
        <v>0</v>
      </c>
      <c r="O175">
        <v>-1.9897990000000001E-2</v>
      </c>
      <c r="P175">
        <v>0.99849489999999996</v>
      </c>
      <c r="Q175">
        <v>5.1399430000000003E-2</v>
      </c>
      <c r="R175">
        <v>1.9130950000000001E-2</v>
      </c>
      <c r="S175">
        <v>3.060883</v>
      </c>
      <c r="T175">
        <v>-0.79631419999999997</v>
      </c>
      <c r="U175">
        <v>-0.51681520000000003</v>
      </c>
      <c r="V175">
        <v>-3.8970150000000002E-2</v>
      </c>
      <c r="W175">
        <v>5.8352510000000003E-2</v>
      </c>
      <c r="X175">
        <v>0.99753510000000001</v>
      </c>
      <c r="Y175">
        <v>0.14285699999999901</v>
      </c>
      <c r="Z175">
        <v>-1.3100540000000001E-2</v>
      </c>
      <c r="AA175">
        <v>0.989656599999999</v>
      </c>
      <c r="AB175">
        <v>41</v>
      </c>
      <c r="AC175">
        <v>0.28010000000000401</v>
      </c>
      <c r="AD175">
        <v>-0.1733364</v>
      </c>
      <c r="AE175">
        <v>-0.106400000000007</v>
      </c>
      <c r="AF175">
        <v>7.5528407069458098E-2</v>
      </c>
      <c r="AG175">
        <v>-0.1733364</v>
      </c>
      <c r="AH175">
        <v>0.21140963276729899</v>
      </c>
      <c r="AI175">
        <v>127.672183490729</v>
      </c>
      <c r="AJ175">
        <v>70.340175154908806</v>
      </c>
      <c r="AK175">
        <v>0.28362665718548702</v>
      </c>
    </row>
    <row r="176" spans="1:37" x14ac:dyDescent="0.2">
      <c r="A176" t="str">
        <f>"20200111153614362"</f>
        <v>20200111153614362</v>
      </c>
      <c r="B176" t="str">
        <f>"1578728174353028"</f>
        <v>1578728174353028</v>
      </c>
      <c r="C176" t="s">
        <v>37</v>
      </c>
      <c r="D176">
        <v>5.5756439999999996</v>
      </c>
      <c r="E176">
        <v>0.57493229999999995</v>
      </c>
      <c r="F176" t="s">
        <v>38</v>
      </c>
      <c r="G176">
        <v>-436.07190000000003</v>
      </c>
      <c r="H176">
        <v>0.83076740000000004</v>
      </c>
      <c r="I176">
        <v>367.26729999999998</v>
      </c>
      <c r="J176">
        <v>-436.63580000000002</v>
      </c>
      <c r="K176">
        <v>1.0904020000000001</v>
      </c>
      <c r="L176">
        <v>367.42790000000002</v>
      </c>
      <c r="M176">
        <v>0.99977139999999998</v>
      </c>
      <c r="N176">
        <v>0</v>
      </c>
      <c r="O176">
        <v>-1.99735999999999E-2</v>
      </c>
      <c r="P176">
        <v>0.9987277</v>
      </c>
      <c r="Q176">
        <v>4.6817280000000003E-2</v>
      </c>
      <c r="R176">
        <v>1.874106E-2</v>
      </c>
      <c r="S176">
        <v>3.0563959999999999</v>
      </c>
      <c r="T176">
        <v>-0.81390479999999998</v>
      </c>
      <c r="U176">
        <v>-0.52398679999999997</v>
      </c>
      <c r="V176">
        <v>-3.8665190000000002E-2</v>
      </c>
      <c r="W176">
        <v>5.4466760000000003E-2</v>
      </c>
      <c r="X176">
        <v>0.99776669999999901</v>
      </c>
      <c r="Y176">
        <v>0.1450217</v>
      </c>
      <c r="Z176">
        <v>-1.3658450000000001E-2</v>
      </c>
      <c r="AA176">
        <v>0.98933419999999905</v>
      </c>
      <c r="AB176">
        <v>41</v>
      </c>
      <c r="AC176">
        <v>0.56389999999998897</v>
      </c>
      <c r="AD176">
        <v>-0.25963459999999999</v>
      </c>
      <c r="AE176">
        <v>-0.16060000000004401</v>
      </c>
      <c r="AF176">
        <v>0.12482741163307599</v>
      </c>
      <c r="AG176">
        <v>-0.25963459999999999</v>
      </c>
      <c r="AH176">
        <v>0.47404166265761799</v>
      </c>
      <c r="AI176">
        <v>117.90788105036999</v>
      </c>
      <c r="AJ176">
        <v>75.247439037548602</v>
      </c>
      <c r="AK176">
        <v>0.55471389575831997</v>
      </c>
    </row>
    <row r="177" spans="1:37" x14ac:dyDescent="0.2">
      <c r="A177" t="str">
        <f>"20200111153614385"</f>
        <v>20200111153614385</v>
      </c>
      <c r="B177" t="str">
        <f>"1578728174383284"</f>
        <v>1578728174383284</v>
      </c>
      <c r="C177" t="s">
        <v>37</v>
      </c>
      <c r="D177">
        <v>5.52529</v>
      </c>
      <c r="E177">
        <v>0.57581039999999994</v>
      </c>
      <c r="F177" t="s">
        <v>38</v>
      </c>
      <c r="G177">
        <v>-435.69740000000002</v>
      </c>
      <c r="H177">
        <v>0.83597479999999902</v>
      </c>
      <c r="I177">
        <v>367.26459999999997</v>
      </c>
      <c r="J177">
        <v>-436.22660000000002</v>
      </c>
      <c r="K177">
        <v>1.0876629999999901</v>
      </c>
      <c r="L177">
        <v>367.41969999999998</v>
      </c>
      <c r="M177">
        <v>0.99976719999999897</v>
      </c>
      <c r="N177">
        <v>0</v>
      </c>
      <c r="O177">
        <v>-2.001257E-2</v>
      </c>
      <c r="P177">
        <v>0.9988958</v>
      </c>
      <c r="Q177">
        <v>4.3370779999999998E-2</v>
      </c>
      <c r="R177">
        <v>1.8072040000000001E-2</v>
      </c>
      <c r="S177">
        <v>3.0525509999999998</v>
      </c>
      <c r="T177">
        <v>-0.82763880000000001</v>
      </c>
      <c r="U177">
        <v>-0.53100590000000003</v>
      </c>
      <c r="V177">
        <v>-3.8043300000000002E-2</v>
      </c>
      <c r="W177">
        <v>5.142977E-2</v>
      </c>
      <c r="X177">
        <v>0.9979517</v>
      </c>
      <c r="Y177">
        <v>0.147175</v>
      </c>
      <c r="Z177">
        <v>-1.4169660000000001E-2</v>
      </c>
      <c r="AA177">
        <v>0.98900900000000003</v>
      </c>
      <c r="AB177">
        <v>41</v>
      </c>
      <c r="AC177">
        <v>0.529200000000003</v>
      </c>
      <c r="AD177">
        <v>-0.25168819999999897</v>
      </c>
      <c r="AE177">
        <v>-0.15510000000000401</v>
      </c>
      <c r="AF177">
        <v>0.11957088447561</v>
      </c>
      <c r="AG177">
        <v>-0.25168819999999897</v>
      </c>
      <c r="AH177">
        <v>0.44045058380012198</v>
      </c>
      <c r="AI177">
        <v>118.875566703234</v>
      </c>
      <c r="AJ177">
        <v>74.811738178201196</v>
      </c>
      <c r="AK177">
        <v>0.52119177200277</v>
      </c>
    </row>
    <row r="178" spans="1:37" x14ac:dyDescent="0.2">
      <c r="A178" t="str">
        <f>"20200111153614407"</f>
        <v>20200111153614407</v>
      </c>
      <c r="B178" t="str">
        <f>"1578728174402804"</f>
        <v>1578728174402804</v>
      </c>
      <c r="C178" t="s">
        <v>37</v>
      </c>
      <c r="D178">
        <v>5.5213400000000004</v>
      </c>
      <c r="E178">
        <v>0.57638279999999997</v>
      </c>
      <c r="F178" t="s">
        <v>38</v>
      </c>
      <c r="G178">
        <v>-435.3227</v>
      </c>
      <c r="H178">
        <v>0.83947190000000005</v>
      </c>
      <c r="I178">
        <v>367.25920000000002</v>
      </c>
      <c r="J178">
        <v>-435.8134</v>
      </c>
      <c r="K178">
        <v>1.0847629999999999</v>
      </c>
      <c r="L178">
        <v>367.41140000000001</v>
      </c>
      <c r="M178">
        <v>0.99976529999999997</v>
      </c>
      <c r="N178">
        <v>0</v>
      </c>
      <c r="O178">
        <v>-1.999103E-2</v>
      </c>
      <c r="P178">
        <v>0.9989633</v>
      </c>
      <c r="Q178">
        <v>4.1947369999999998E-2</v>
      </c>
      <c r="R178">
        <v>1.7687850000000001E-2</v>
      </c>
      <c r="S178">
        <v>3.0494080000000001</v>
      </c>
      <c r="T178">
        <v>-0.83730629999999995</v>
      </c>
      <c r="U178">
        <v>-0.5400085</v>
      </c>
      <c r="V178">
        <v>-3.7643839999999998E-2</v>
      </c>
      <c r="W178">
        <v>5.0298259999999997E-2</v>
      </c>
      <c r="X178">
        <v>0.99802459999999904</v>
      </c>
      <c r="Y178">
        <v>0.14998939999999999</v>
      </c>
      <c r="Z178">
        <v>-1.472241E-2</v>
      </c>
      <c r="AA178">
        <v>0.98857799999999996</v>
      </c>
      <c r="AB178">
        <v>42</v>
      </c>
      <c r="AC178">
        <v>0.49070000000000302</v>
      </c>
      <c r="AD178">
        <v>-0.24529109999999901</v>
      </c>
      <c r="AE178">
        <v>-0.15219999999999301</v>
      </c>
      <c r="AF178">
        <v>0.11593276101056001</v>
      </c>
      <c r="AG178">
        <v>-0.24529109999999901</v>
      </c>
      <c r="AH178">
        <v>0.40200712136100297</v>
      </c>
      <c r="AI178">
        <v>120.38198371733399</v>
      </c>
      <c r="AJ178">
        <v>73.913240439940395</v>
      </c>
      <c r="AK178">
        <v>0.48499263338704601</v>
      </c>
    </row>
    <row r="179" spans="1:37" x14ac:dyDescent="0.2">
      <c r="A179" t="str">
        <f>"20200111153614430"</f>
        <v>20200111153614430</v>
      </c>
      <c r="B179" t="str">
        <f>"1578728174423301"</f>
        <v>1578728174423301</v>
      </c>
      <c r="C179" t="s">
        <v>37</v>
      </c>
      <c r="D179">
        <v>5.52522</v>
      </c>
      <c r="E179">
        <v>0.5768759</v>
      </c>
      <c r="F179" t="s">
        <v>38</v>
      </c>
      <c r="G179">
        <v>-434.94619999999998</v>
      </c>
      <c r="H179">
        <v>0.84577359999999902</v>
      </c>
      <c r="I179">
        <v>367.25619999999998</v>
      </c>
      <c r="J179">
        <v>-435.38400000000001</v>
      </c>
      <c r="K179">
        <v>1.081698</v>
      </c>
      <c r="L179">
        <v>367.40289999999999</v>
      </c>
      <c r="M179">
        <v>0.99976549999999997</v>
      </c>
      <c r="N179">
        <v>0</v>
      </c>
      <c r="O179">
        <v>-1.9891349999999999E-2</v>
      </c>
      <c r="P179">
        <v>0.99896569999999996</v>
      </c>
      <c r="Q179">
        <v>4.2156619999999999E-2</v>
      </c>
      <c r="R179">
        <v>1.705332E-2</v>
      </c>
      <c r="S179">
        <v>3.0480040000000002</v>
      </c>
      <c r="T179">
        <v>-0.84000529999999995</v>
      </c>
      <c r="U179">
        <v>-0.54528809999999905</v>
      </c>
      <c r="V179">
        <v>-3.6916829999999998E-2</v>
      </c>
      <c r="W179">
        <v>5.072306E-2</v>
      </c>
      <c r="X179">
        <v>0.99803019999999998</v>
      </c>
      <c r="Y179">
        <v>0.15172720000000001</v>
      </c>
      <c r="Z179">
        <v>-1.503263E-2</v>
      </c>
      <c r="AA179">
        <v>0.98830810000000002</v>
      </c>
      <c r="AB179">
        <v>42</v>
      </c>
      <c r="AC179">
        <v>0.43780000000003799</v>
      </c>
      <c r="AD179">
        <v>-0.23592440000000001</v>
      </c>
      <c r="AE179">
        <v>-0.14670000000000899</v>
      </c>
      <c r="AF179">
        <v>0.109399750254823</v>
      </c>
      <c r="AG179">
        <v>-0.23592440000000001</v>
      </c>
      <c r="AH179">
        <v>0.34940710834192701</v>
      </c>
      <c r="AI179">
        <v>122.796412491499</v>
      </c>
      <c r="AJ179">
        <v>72.6146043006067</v>
      </c>
      <c r="AK179">
        <v>0.43556165491356702</v>
      </c>
    </row>
    <row r="180" spans="1:37" x14ac:dyDescent="0.2">
      <c r="A180" t="str">
        <f>"20200111153614454"</f>
        <v>20200111153614454</v>
      </c>
      <c r="B180" t="str">
        <f>"1578728174442820"</f>
        <v>1578728174442820</v>
      </c>
      <c r="C180" t="s">
        <v>37</v>
      </c>
      <c r="D180">
        <v>5.5167630000000001</v>
      </c>
      <c r="E180">
        <v>0.57714469999999995</v>
      </c>
      <c r="F180" t="s">
        <v>38</v>
      </c>
      <c r="G180">
        <v>-434.56699999999898</v>
      </c>
      <c r="H180">
        <v>0.85745759999999904</v>
      </c>
      <c r="I180">
        <v>367.2543</v>
      </c>
      <c r="J180">
        <v>-434.95089999999999</v>
      </c>
      <c r="K180">
        <v>1.0786450000000001</v>
      </c>
      <c r="L180">
        <v>367.39440000000002</v>
      </c>
      <c r="M180">
        <v>0.99976860000000001</v>
      </c>
      <c r="N180">
        <v>0</v>
      </c>
      <c r="O180">
        <v>-1.9697039999999999E-2</v>
      </c>
      <c r="P180">
        <v>0.99891219999999903</v>
      </c>
      <c r="Q180">
        <v>4.3483750000000002E-2</v>
      </c>
      <c r="R180">
        <v>1.6848990000000001E-2</v>
      </c>
      <c r="S180">
        <v>3.0478209999999999</v>
      </c>
      <c r="T180">
        <v>-0.83656719999999896</v>
      </c>
      <c r="U180">
        <v>-0.55154419999999904</v>
      </c>
      <c r="V180">
        <v>-3.6527730000000001E-2</v>
      </c>
      <c r="W180">
        <v>5.213454E-2</v>
      </c>
      <c r="X180">
        <v>0.99797179999999996</v>
      </c>
      <c r="Y180">
        <v>0.15385090000000001</v>
      </c>
      <c r="Z180">
        <v>-1.530746E-2</v>
      </c>
      <c r="AA180">
        <v>0.98797549999999901</v>
      </c>
      <c r="AB180">
        <v>42</v>
      </c>
      <c r="AC180">
        <v>0.38390000000003899</v>
      </c>
      <c r="AD180">
        <v>-0.22118740000000001</v>
      </c>
      <c r="AE180">
        <v>-0.14010000000001799</v>
      </c>
      <c r="AF180">
        <v>0.102487639289571</v>
      </c>
      <c r="AG180">
        <v>-0.22118740000000001</v>
      </c>
      <c r="AH180">
        <v>0.29899592715283102</v>
      </c>
      <c r="AI180">
        <v>124.984250933347</v>
      </c>
      <c r="AJ180">
        <v>71.079685335511499</v>
      </c>
      <c r="AK180">
        <v>0.38577991987646298</v>
      </c>
    </row>
    <row r="181" spans="1:37" x14ac:dyDescent="0.2">
      <c r="A181" t="str">
        <f>"20200111153614474"</f>
        <v>20200111153614474</v>
      </c>
      <c r="B181" t="str">
        <f>"1578728174463316"</f>
        <v>1578728174463316</v>
      </c>
      <c r="C181" t="s">
        <v>37</v>
      </c>
      <c r="D181">
        <v>5.5077619999999996</v>
      </c>
      <c r="E181">
        <v>0.57744359999999995</v>
      </c>
      <c r="F181" t="s">
        <v>38</v>
      </c>
      <c r="G181">
        <v>-434.18639999999999</v>
      </c>
      <c r="H181">
        <v>0.87057410000000002</v>
      </c>
      <c r="I181">
        <v>367.25549999999998</v>
      </c>
      <c r="J181">
        <v>-434.55509999999998</v>
      </c>
      <c r="K181">
        <v>1.075963</v>
      </c>
      <c r="L181">
        <v>367.38679999999999</v>
      </c>
      <c r="M181">
        <v>0.9997743</v>
      </c>
      <c r="N181">
        <v>0</v>
      </c>
      <c r="O181">
        <v>-1.9425609999999999E-2</v>
      </c>
      <c r="P181">
        <v>0.99882469999999901</v>
      </c>
      <c r="Q181">
        <v>4.5386170000000003E-2</v>
      </c>
      <c r="R181">
        <v>1.7023159999999999E-2</v>
      </c>
      <c r="S181">
        <v>3.048737</v>
      </c>
      <c r="T181">
        <v>-0.82974139999999996</v>
      </c>
      <c r="U181">
        <v>-0.55392459999999999</v>
      </c>
      <c r="V181">
        <v>-3.6441840000000003E-2</v>
      </c>
      <c r="W181">
        <v>5.3972069999999997E-2</v>
      </c>
      <c r="X181">
        <v>0.99787719999999902</v>
      </c>
      <c r="Y181">
        <v>0.15484919999999999</v>
      </c>
      <c r="Z181">
        <v>-1.5385859999999999E-2</v>
      </c>
      <c r="AA181">
        <v>0.98781830000000004</v>
      </c>
      <c r="AB181">
        <v>42</v>
      </c>
      <c r="AC181">
        <v>0.36869999999998898</v>
      </c>
      <c r="AD181">
        <v>-0.20538890000000001</v>
      </c>
      <c r="AE181">
        <v>-0.13130000000000999</v>
      </c>
      <c r="AF181">
        <v>9.7313290766109797E-2</v>
      </c>
      <c r="AG181">
        <v>-0.20538890000000001</v>
      </c>
      <c r="AH181">
        <v>0.29103261866379998</v>
      </c>
      <c r="AI181">
        <v>123.794406061586</v>
      </c>
      <c r="AJ181">
        <v>71.511484408770599</v>
      </c>
      <c r="AK181">
        <v>0.369262050486166</v>
      </c>
    </row>
    <row r="182" spans="1:37" x14ac:dyDescent="0.2">
      <c r="A182" t="str">
        <f>"20200111153614488"</f>
        <v>20200111153614488</v>
      </c>
      <c r="B182" t="str">
        <f>"1578728174483622"</f>
        <v>1578728174483622</v>
      </c>
      <c r="C182" t="s">
        <v>37</v>
      </c>
      <c r="D182">
        <v>5.5136890000000003</v>
      </c>
      <c r="E182">
        <v>0.57778450000000003</v>
      </c>
      <c r="F182" t="s">
        <v>38</v>
      </c>
      <c r="G182">
        <v>-433.80869999999999</v>
      </c>
      <c r="H182">
        <v>0.8747798</v>
      </c>
      <c r="I182">
        <v>367.25029999999998</v>
      </c>
      <c r="J182">
        <v>-434.29309999999998</v>
      </c>
      <c r="K182">
        <v>1.0742799999999999</v>
      </c>
      <c r="L182">
        <v>367.38189999999997</v>
      </c>
      <c r="M182">
        <v>0.99977969999999905</v>
      </c>
      <c r="N182">
        <v>0</v>
      </c>
      <c r="O182">
        <v>-1.9187389999999999E-2</v>
      </c>
      <c r="P182">
        <v>0.9987857</v>
      </c>
      <c r="Q182">
        <v>4.6126960000000002E-2</v>
      </c>
      <c r="R182">
        <v>1.7306909999999998E-2</v>
      </c>
      <c r="S182">
        <v>3.050354</v>
      </c>
      <c r="T182">
        <v>-0.82233679999999998</v>
      </c>
      <c r="U182">
        <v>-0.55569460000000004</v>
      </c>
      <c r="V182">
        <v>-3.649579E-2</v>
      </c>
      <c r="W182">
        <v>5.4597220000000002E-2</v>
      </c>
      <c r="X182">
        <v>0.99784130000000004</v>
      </c>
      <c r="Y182">
        <v>0.1556015</v>
      </c>
      <c r="Z182">
        <v>-1.540619E-2</v>
      </c>
      <c r="AA182">
        <v>0.98769969999999996</v>
      </c>
      <c r="AB182">
        <v>42</v>
      </c>
      <c r="AC182">
        <v>0.484399999999993</v>
      </c>
      <c r="AD182">
        <v>-0.19950019999999899</v>
      </c>
      <c r="AE182">
        <v>-0.131599999999991</v>
      </c>
      <c r="AF182">
        <v>0.10560026693298501</v>
      </c>
      <c r="AG182">
        <v>-0.19950019999999899</v>
      </c>
      <c r="AH182">
        <v>0.42042493771744299</v>
      </c>
      <c r="AI182">
        <v>114.713062636705</v>
      </c>
      <c r="AJ182">
        <v>75.900407423174698</v>
      </c>
      <c r="AK182">
        <v>0.47718851037202697</v>
      </c>
    </row>
    <row r="183" spans="1:37" x14ac:dyDescent="0.2">
      <c r="A183" t="str">
        <f>"20200111153614508"</f>
        <v>20200111153614508</v>
      </c>
      <c r="B183" t="str">
        <f>"1578728174503142"</f>
        <v>1578728174503142</v>
      </c>
      <c r="C183" t="s">
        <v>37</v>
      </c>
      <c r="D183">
        <v>5.4550320000000001</v>
      </c>
      <c r="E183">
        <v>0.57808879999999996</v>
      </c>
      <c r="F183" t="s">
        <v>38</v>
      </c>
      <c r="G183">
        <v>-433.44330000000002</v>
      </c>
      <c r="H183">
        <v>0.84643519999999906</v>
      </c>
      <c r="I183">
        <v>367.22649999999999</v>
      </c>
      <c r="J183">
        <v>-433.91820000000001</v>
      </c>
      <c r="K183">
        <v>1.0720069999999999</v>
      </c>
      <c r="L183">
        <v>367.37490000000003</v>
      </c>
      <c r="M183">
        <v>0.999789699999999</v>
      </c>
      <c r="N183">
        <v>0</v>
      </c>
      <c r="O183">
        <v>-1.876999E-2</v>
      </c>
      <c r="P183">
        <v>0.99865890000000002</v>
      </c>
      <c r="Q183">
        <v>4.8569420000000002E-2</v>
      </c>
      <c r="R183">
        <v>1.7935469999999998E-2</v>
      </c>
      <c r="S183">
        <v>3.0510860000000002</v>
      </c>
      <c r="T183">
        <v>-0.81804759999999999</v>
      </c>
      <c r="U183">
        <v>-0.55749510000000002</v>
      </c>
      <c r="V183">
        <v>-3.6720139999999998E-2</v>
      </c>
      <c r="W183">
        <v>5.6799170000000003E-2</v>
      </c>
      <c r="X183">
        <v>0.99771010000000004</v>
      </c>
      <c r="Y183">
        <v>0.1565404</v>
      </c>
      <c r="Z183">
        <v>-1.5556E-2</v>
      </c>
      <c r="AA183">
        <v>0.98754909999999996</v>
      </c>
      <c r="AB183">
        <v>42</v>
      </c>
      <c r="AC183">
        <v>0.474899999999991</v>
      </c>
      <c r="AD183">
        <v>-0.22557179999999999</v>
      </c>
      <c r="AE183">
        <v>-0.148400000000037</v>
      </c>
      <c r="AF183">
        <v>0.115682070551378</v>
      </c>
      <c r="AG183">
        <v>-0.22557179999999999</v>
      </c>
      <c r="AH183">
        <v>0.39617167484072402</v>
      </c>
      <c r="AI183">
        <v>118.65902154091</v>
      </c>
      <c r="AJ183">
        <v>73.722203401770798</v>
      </c>
      <c r="AK183">
        <v>0.47033708587394901</v>
      </c>
    </row>
    <row r="184" spans="1:37" x14ac:dyDescent="0.2">
      <c r="A184" t="str">
        <f>"20200111153614524"</f>
        <v>20200111153614524</v>
      </c>
      <c r="B184" t="str">
        <f>"1578728174512902"</f>
        <v>1578728174512902</v>
      </c>
      <c r="C184" t="s">
        <v>37</v>
      </c>
      <c r="D184">
        <v>5.4674629999999897</v>
      </c>
      <c r="E184">
        <v>0.57821049999999996</v>
      </c>
      <c r="F184" t="s">
        <v>38</v>
      </c>
      <c r="G184">
        <v>-433.0652</v>
      </c>
      <c r="H184">
        <v>0.8460704</v>
      </c>
      <c r="I184">
        <v>367.21850000000001</v>
      </c>
      <c r="J184">
        <v>-433.62130000000002</v>
      </c>
      <c r="K184">
        <v>1.070316</v>
      </c>
      <c r="L184">
        <v>367.36959999999999</v>
      </c>
      <c r="M184">
        <v>0.99979889999999905</v>
      </c>
      <c r="N184">
        <v>0</v>
      </c>
      <c r="O184">
        <v>-1.8373500000000001E-2</v>
      </c>
      <c r="P184">
        <v>0.99860249999999995</v>
      </c>
      <c r="Q184">
        <v>4.9478939999999999E-2</v>
      </c>
      <c r="R184">
        <v>1.857992E-2</v>
      </c>
      <c r="S184">
        <v>3.053436</v>
      </c>
      <c r="T184">
        <v>-0.80891210000000002</v>
      </c>
      <c r="U184">
        <v>-0.55862429999999996</v>
      </c>
      <c r="V184">
        <v>-3.6980359999999997E-2</v>
      </c>
      <c r="W184">
        <v>5.747327E-2</v>
      </c>
      <c r="X184">
        <v>0.99766189999999999</v>
      </c>
      <c r="Y184">
        <v>0.1572247</v>
      </c>
      <c r="Z184">
        <v>-1.5566999999999999E-2</v>
      </c>
      <c r="AA184">
        <v>0.98744019999999999</v>
      </c>
      <c r="AB184">
        <v>42</v>
      </c>
      <c r="AC184">
        <v>0.55610000000001403</v>
      </c>
      <c r="AD184">
        <v>-0.22424559999999999</v>
      </c>
      <c r="AE184">
        <v>-0.151099999999985</v>
      </c>
      <c r="AF184">
        <v>0.122332108336037</v>
      </c>
      <c r="AG184">
        <v>-0.22424559999999999</v>
      </c>
      <c r="AH184">
        <v>0.48529501906684402</v>
      </c>
      <c r="AI184">
        <v>114.13545674802999</v>
      </c>
      <c r="AJ184">
        <v>75.851764307102897</v>
      </c>
      <c r="AK184">
        <v>0.54841817017709105</v>
      </c>
    </row>
    <row r="185" spans="1:37" x14ac:dyDescent="0.2">
      <c r="A185" t="str">
        <f>"20200111153614543"</f>
        <v>20200111153614543</v>
      </c>
      <c r="B185" t="str">
        <f>"1578728174533398"</f>
        <v>1578728174533398</v>
      </c>
      <c r="C185" t="s">
        <v>37</v>
      </c>
      <c r="D185">
        <v>5.4656560000000001</v>
      </c>
      <c r="E185">
        <v>0.57853599999999905</v>
      </c>
      <c r="F185" t="s">
        <v>38</v>
      </c>
      <c r="G185">
        <v>-432.6943</v>
      </c>
      <c r="H185">
        <v>0.82587670000000002</v>
      </c>
      <c r="I185">
        <v>367.2</v>
      </c>
      <c r="J185">
        <v>-433.26799999999997</v>
      </c>
      <c r="K185">
        <v>1.0684610000000001</v>
      </c>
      <c r="L185">
        <v>367.36349999999999</v>
      </c>
      <c r="M185">
        <v>0.99981119999999901</v>
      </c>
      <c r="N185">
        <v>0</v>
      </c>
      <c r="O185">
        <v>-1.7823309999999998E-2</v>
      </c>
      <c r="P185">
        <v>0.99849789999999905</v>
      </c>
      <c r="Q185">
        <v>5.0941680000000003E-2</v>
      </c>
      <c r="R185">
        <v>2.017681E-2</v>
      </c>
      <c r="S185">
        <v>3.0545650000000002</v>
      </c>
      <c r="T185">
        <v>-0.80552409999999997</v>
      </c>
      <c r="U185">
        <v>-0.55810550000000003</v>
      </c>
      <c r="V185">
        <v>-3.804105E-2</v>
      </c>
      <c r="W185">
        <v>5.8622420000000001E-2</v>
      </c>
      <c r="X185">
        <v>0.99755509999999903</v>
      </c>
      <c r="Y185">
        <v>0.1575529</v>
      </c>
      <c r="Z185">
        <v>-1.5682310000000001E-2</v>
      </c>
      <c r="AA185">
        <v>0.98738599999999999</v>
      </c>
      <c r="AB185">
        <v>42</v>
      </c>
      <c r="AC185">
        <v>0.57370000000002996</v>
      </c>
      <c r="AD185">
        <v>-0.2425843</v>
      </c>
      <c r="AE185">
        <v>-0.16349999999999901</v>
      </c>
      <c r="AF185">
        <v>0.131502660291163</v>
      </c>
      <c r="AG185">
        <v>-0.2425843</v>
      </c>
      <c r="AH185">
        <v>0.49471493999915001</v>
      </c>
      <c r="AI185">
        <v>115.356050994809</v>
      </c>
      <c r="AJ185">
        <v>75.114148829806297</v>
      </c>
      <c r="AK185">
        <v>0.56646532473621503</v>
      </c>
    </row>
    <row r="186" spans="1:37" x14ac:dyDescent="0.2">
      <c r="A186" t="str">
        <f>"20200111153614565"</f>
        <v>20200111153614565</v>
      </c>
      <c r="B186" t="str">
        <f>"1578728174552917"</f>
        <v>1578728174552917</v>
      </c>
      <c r="C186" t="s">
        <v>37</v>
      </c>
      <c r="D186">
        <v>5.4476290000000001</v>
      </c>
      <c r="E186">
        <v>0.57882880000000003</v>
      </c>
      <c r="F186" t="s">
        <v>38</v>
      </c>
      <c r="G186">
        <v>-432.31630000000001</v>
      </c>
      <c r="H186">
        <v>0.81962789999999996</v>
      </c>
      <c r="I186">
        <v>367.18959999999998</v>
      </c>
      <c r="J186">
        <v>-432.84710000000001</v>
      </c>
      <c r="K186">
        <v>1.0664879999999901</v>
      </c>
      <c r="L186">
        <v>367.35660000000001</v>
      </c>
      <c r="M186">
        <v>0.99982729999999997</v>
      </c>
      <c r="N186">
        <v>0</v>
      </c>
      <c r="O186">
        <v>-1.7066149999999999E-2</v>
      </c>
      <c r="P186">
        <v>0.998422699999999</v>
      </c>
      <c r="Q186">
        <v>5.1349869999999999E-2</v>
      </c>
      <c r="R186">
        <v>2.2704040000000002E-2</v>
      </c>
      <c r="S186">
        <v>3.056549</v>
      </c>
      <c r="T186">
        <v>-0.79931660000000004</v>
      </c>
      <c r="U186">
        <v>-0.55682369999999903</v>
      </c>
      <c r="V186">
        <v>-3.9826130000000001E-2</v>
      </c>
      <c r="W186">
        <v>5.8639080000000003E-2</v>
      </c>
      <c r="X186">
        <v>0.997484499999999</v>
      </c>
      <c r="Y186">
        <v>0.15782760000000001</v>
      </c>
      <c r="Z186">
        <v>-1.5784349999999999E-2</v>
      </c>
      <c r="AA186">
        <v>0.98734049999999995</v>
      </c>
      <c r="AB186">
        <v>42</v>
      </c>
      <c r="AC186">
        <v>0.53079999999999905</v>
      </c>
      <c r="AD186">
        <v>-0.246860099999999</v>
      </c>
      <c r="AE186">
        <v>-0.16700000000003001</v>
      </c>
      <c r="AF186">
        <v>0.131947983738393</v>
      </c>
      <c r="AG186">
        <v>-0.246860099999999</v>
      </c>
      <c r="AH186">
        <v>0.44582902519372097</v>
      </c>
      <c r="AI186">
        <v>117.965835489968</v>
      </c>
      <c r="AJ186">
        <v>73.513303250982403</v>
      </c>
      <c r="AK186">
        <v>0.52641589935128397</v>
      </c>
    </row>
    <row r="187" spans="1:37" x14ac:dyDescent="0.2">
      <c r="A187" t="str">
        <f>"20200111153614587"</f>
        <v>20200111153614587</v>
      </c>
      <c r="B187" t="str">
        <f>"1578728174582684"</f>
        <v>1578728174582684</v>
      </c>
      <c r="C187" t="s">
        <v>37</v>
      </c>
      <c r="D187">
        <v>5.4869129999999897</v>
      </c>
      <c r="E187">
        <v>0.57925039999999905</v>
      </c>
      <c r="F187" t="s">
        <v>38</v>
      </c>
      <c r="G187">
        <v>-431.93130000000002</v>
      </c>
      <c r="H187">
        <v>0.82802509999999996</v>
      </c>
      <c r="I187">
        <v>367.1909</v>
      </c>
      <c r="J187">
        <v>-432.43470000000002</v>
      </c>
      <c r="K187">
        <v>1.064781</v>
      </c>
      <c r="L187">
        <v>367.35019999999997</v>
      </c>
      <c r="M187">
        <v>0.99984359999999906</v>
      </c>
      <c r="N187">
        <v>0</v>
      </c>
      <c r="O187">
        <v>-1.6242429999999999E-2</v>
      </c>
      <c r="P187">
        <v>0.99834279999999997</v>
      </c>
      <c r="Q187">
        <v>5.1844500000000002E-2</v>
      </c>
      <c r="R187">
        <v>2.498467E-2</v>
      </c>
      <c r="S187">
        <v>3.0582889999999998</v>
      </c>
      <c r="T187">
        <v>-0.79634550000000004</v>
      </c>
      <c r="U187">
        <v>-0.55319209999999996</v>
      </c>
      <c r="V187">
        <v>-4.1296960000000001E-2</v>
      </c>
      <c r="W187">
        <v>5.875379E-2</v>
      </c>
      <c r="X187">
        <v>0.99741789999999997</v>
      </c>
      <c r="Y187">
        <v>0.15742979999999901</v>
      </c>
      <c r="Z187">
        <v>-1.5879219999999999E-2</v>
      </c>
      <c r="AA187">
        <v>0.98740249999999996</v>
      </c>
      <c r="AB187">
        <v>43</v>
      </c>
      <c r="AC187">
        <v>0.50339999999999896</v>
      </c>
      <c r="AD187">
        <v>-0.23675589999999899</v>
      </c>
      <c r="AE187">
        <v>-0.15929999999997299</v>
      </c>
      <c r="AF187">
        <v>0.12580740429135701</v>
      </c>
      <c r="AG187">
        <v>-0.23675589999999899</v>
      </c>
      <c r="AH187">
        <v>0.42122851763179098</v>
      </c>
      <c r="AI187">
        <v>118.304833892023</v>
      </c>
      <c r="AJ187">
        <v>73.370807220529798</v>
      </c>
      <c r="AK187">
        <v>0.49931385242712301</v>
      </c>
    </row>
    <row r="188" spans="1:37" x14ac:dyDescent="0.2">
      <c r="A188" t="str">
        <f>"20200111153614609"</f>
        <v>20200111153614609</v>
      </c>
      <c r="B188" t="str">
        <f>"1578728174603181"</f>
        <v>1578728174603181</v>
      </c>
      <c r="C188" t="s">
        <v>37</v>
      </c>
      <c r="D188">
        <v>5.5575330000000003</v>
      </c>
      <c r="E188">
        <v>0.57922869999999904</v>
      </c>
      <c r="F188" t="s">
        <v>38</v>
      </c>
      <c r="G188">
        <v>-431.54570000000001</v>
      </c>
      <c r="H188">
        <v>0.83445139999999995</v>
      </c>
      <c r="I188">
        <v>367.18970000000002</v>
      </c>
      <c r="J188">
        <v>-432.0204</v>
      </c>
      <c r="K188">
        <v>1.0632870000000001</v>
      </c>
      <c r="L188">
        <v>367.34399999999999</v>
      </c>
      <c r="M188">
        <v>0.99986019999999898</v>
      </c>
      <c r="N188">
        <v>0</v>
      </c>
      <c r="O188">
        <v>-1.5353199999999999E-2</v>
      </c>
      <c r="P188">
        <v>0.99816479999999996</v>
      </c>
      <c r="Q188">
        <v>5.3505899999999898E-2</v>
      </c>
      <c r="R188">
        <v>2.8363889999999999E-2</v>
      </c>
      <c r="S188">
        <v>3.0599059999999998</v>
      </c>
      <c r="T188">
        <v>-0.79284379999999999</v>
      </c>
      <c r="U188">
        <v>-0.55081179999999996</v>
      </c>
      <c r="V188">
        <v>-4.3799879999999999E-2</v>
      </c>
      <c r="W188">
        <v>6.0049459999999999E-2</v>
      </c>
      <c r="X188">
        <v>0.99723399999999995</v>
      </c>
      <c r="Y188">
        <v>0.15748499999999899</v>
      </c>
      <c r="Z188">
        <v>-1.6036399999999999E-2</v>
      </c>
      <c r="AA188">
        <v>0.98739120000000002</v>
      </c>
      <c r="AB188">
        <v>43</v>
      </c>
      <c r="AC188">
        <v>0.47469999999998402</v>
      </c>
      <c r="AD188">
        <v>-0.2288356</v>
      </c>
      <c r="AE188">
        <v>-0.15429999999997701</v>
      </c>
      <c r="AF188">
        <v>0.121464280359928</v>
      </c>
      <c r="AG188">
        <v>-0.2288356</v>
      </c>
      <c r="AH188">
        <v>0.39416747732270802</v>
      </c>
      <c r="AI188">
        <v>119.021929860887</v>
      </c>
      <c r="AJ188">
        <v>72.873109566460201</v>
      </c>
      <c r="AK188">
        <v>0.47168559805199001</v>
      </c>
    </row>
    <row r="189" spans="1:37" x14ac:dyDescent="0.2">
      <c r="A189" t="str">
        <f>"20200111153614622"</f>
        <v>20200111153614622</v>
      </c>
      <c r="B189" t="str">
        <f>"1578728174612940"</f>
        <v>1578728174612940</v>
      </c>
      <c r="C189" t="s">
        <v>37</v>
      </c>
      <c r="D189">
        <v>5.6089459999999898</v>
      </c>
      <c r="E189">
        <v>0.57922869999999904</v>
      </c>
      <c r="F189" t="s">
        <v>38</v>
      </c>
      <c r="G189">
        <v>-431.15859999999998</v>
      </c>
      <c r="H189">
        <v>0.84196139999999997</v>
      </c>
      <c r="I189">
        <v>367.19099999999997</v>
      </c>
      <c r="J189">
        <v>-431.74900000000002</v>
      </c>
      <c r="K189">
        <v>1.062397</v>
      </c>
      <c r="L189">
        <v>367.34019999999998</v>
      </c>
      <c r="M189">
        <v>0.9998707</v>
      </c>
      <c r="N189">
        <v>0</v>
      </c>
      <c r="O189">
        <v>-1.4747710000000001E-2</v>
      </c>
      <c r="P189">
        <v>0.99803809999999904</v>
      </c>
      <c r="Q189">
        <v>5.4845369999999997E-2</v>
      </c>
      <c r="R189">
        <v>3.0199610000000002E-2</v>
      </c>
      <c r="S189">
        <v>3.06311</v>
      </c>
      <c r="T189">
        <v>-0.78677680000000005</v>
      </c>
      <c r="U189">
        <v>-0.54290769999999899</v>
      </c>
      <c r="V189">
        <v>-4.5038370000000001E-2</v>
      </c>
      <c r="W189">
        <v>6.116605E-2</v>
      </c>
      <c r="X189">
        <v>0.99711099999999997</v>
      </c>
      <c r="Y189">
        <v>0.15554949999999901</v>
      </c>
      <c r="Z189">
        <v>-1.5813999999999901E-2</v>
      </c>
      <c r="AA189">
        <v>0.98770149999999901</v>
      </c>
      <c r="AB189">
        <v>43</v>
      </c>
      <c r="AC189">
        <v>0.590400000000045</v>
      </c>
      <c r="AD189">
        <v>-0.22043560000000001</v>
      </c>
      <c r="AE189">
        <v>-0.14920000000000699</v>
      </c>
      <c r="AF189">
        <v>0.124201833612608</v>
      </c>
      <c r="AG189">
        <v>-0.22043560000000001</v>
      </c>
      <c r="AH189">
        <v>0.52388874509592898</v>
      </c>
      <c r="AI189">
        <v>112.265147485223</v>
      </c>
      <c r="AJ189">
        <v>76.662740107948693</v>
      </c>
      <c r="AK189">
        <v>0.58178807693032097</v>
      </c>
    </row>
    <row r="190" spans="1:37" x14ac:dyDescent="0.2">
      <c r="A190" t="str">
        <f>"20200111153614642"</f>
        <v>20200111153614642</v>
      </c>
      <c r="B190" t="str">
        <f>"1578728174633435"</f>
        <v>1578728174633435</v>
      </c>
      <c r="C190" t="s">
        <v>37</v>
      </c>
      <c r="D190">
        <v>5.4322710000000001</v>
      </c>
      <c r="E190">
        <v>0.5223122</v>
      </c>
      <c r="F190" t="s">
        <v>38</v>
      </c>
      <c r="G190">
        <v>-430.78359999999998</v>
      </c>
      <c r="H190">
        <v>0.81610109999999902</v>
      </c>
      <c r="I190">
        <v>367.17059999999998</v>
      </c>
      <c r="J190">
        <v>-431.36720000000003</v>
      </c>
      <c r="K190">
        <v>1.061301</v>
      </c>
      <c r="L190">
        <v>367.33510000000001</v>
      </c>
      <c r="M190">
        <v>0.99988489999999997</v>
      </c>
      <c r="N190">
        <v>0</v>
      </c>
      <c r="O190">
        <v>-1.386984E-2</v>
      </c>
      <c r="P190">
        <v>0.99781880000000001</v>
      </c>
      <c r="Q190">
        <v>5.7515990000000003E-2</v>
      </c>
      <c r="R190">
        <v>3.2400099999999897E-2</v>
      </c>
      <c r="S190">
        <v>3.0651860000000002</v>
      </c>
      <c r="T190">
        <v>-0.78213299999999997</v>
      </c>
      <c r="U190">
        <v>-0.53784180000000004</v>
      </c>
      <c r="V190">
        <v>-4.6373610000000003E-2</v>
      </c>
      <c r="W190">
        <v>6.355703E-2</v>
      </c>
      <c r="X190">
        <v>0.99690020000000001</v>
      </c>
      <c r="Y190">
        <v>0.1547703</v>
      </c>
      <c r="Z190">
        <v>-1.583706E-2</v>
      </c>
      <c r="AA190">
        <v>0.98782349999999997</v>
      </c>
      <c r="AB190">
        <v>43</v>
      </c>
      <c r="AC190">
        <v>0.58360000000004597</v>
      </c>
      <c r="AD190">
        <v>-0.2451999</v>
      </c>
      <c r="AE190">
        <v>-0.16450000000003201</v>
      </c>
      <c r="AF190">
        <v>0.13440917152586601</v>
      </c>
      <c r="AG190">
        <v>-0.2451999</v>
      </c>
      <c r="AH190">
        <v>0.50348825639026296</v>
      </c>
      <c r="AI190">
        <v>115.198141480937</v>
      </c>
      <c r="AJ190">
        <v>75.053111134646699</v>
      </c>
      <c r="AK190">
        <v>0.57592468316020895</v>
      </c>
    </row>
    <row r="191" spans="1:37" x14ac:dyDescent="0.2">
      <c r="A191" t="str">
        <f>"20200111153614665"</f>
        <v>20200111153614665</v>
      </c>
      <c r="B191" t="str">
        <f>"1578728174652955"</f>
        <v>1578728174652955</v>
      </c>
      <c r="C191" t="s">
        <v>37</v>
      </c>
      <c r="D191">
        <v>5.494046</v>
      </c>
      <c r="E191">
        <v>0.51019020000000004</v>
      </c>
      <c r="F191" t="s">
        <v>38</v>
      </c>
      <c r="G191">
        <v>-430.37560000000002</v>
      </c>
      <c r="H191">
        <v>0.86574209999999996</v>
      </c>
      <c r="I191">
        <v>367.30959999999999</v>
      </c>
      <c r="J191">
        <v>-430.93150000000003</v>
      </c>
      <c r="K191">
        <v>1.0602119999999999</v>
      </c>
      <c r="L191">
        <v>367.3297</v>
      </c>
      <c r="M191">
        <v>0.99990009999999996</v>
      </c>
      <c r="N191">
        <v>0</v>
      </c>
      <c r="O191">
        <v>-1.284712E-2</v>
      </c>
      <c r="P191">
        <v>0.99769989999999997</v>
      </c>
      <c r="Q191">
        <v>5.8449660000000001E-2</v>
      </c>
      <c r="R191">
        <v>3.4333299999999997E-2</v>
      </c>
      <c r="S191">
        <v>3.0437319999999999</v>
      </c>
      <c r="T191">
        <v>-0.60032700000000006</v>
      </c>
      <c r="U191">
        <v>-7.830811E-2</v>
      </c>
      <c r="V191">
        <v>-4.7296129999999999E-2</v>
      </c>
      <c r="W191">
        <v>6.4226569999999997E-2</v>
      </c>
      <c r="X191">
        <v>0.99681399999999998</v>
      </c>
      <c r="Y191">
        <v>1.287342E-2</v>
      </c>
      <c r="Z191">
        <v>1.2519759999999999E-3</v>
      </c>
      <c r="AA191">
        <v>0.99991640000000004</v>
      </c>
      <c r="AB191">
        <v>43</v>
      </c>
      <c r="AC191">
        <v>0.55590000000000805</v>
      </c>
      <c r="AD191">
        <v>-0.1944699</v>
      </c>
      <c r="AE191">
        <v>-2.0100000000013499E-2</v>
      </c>
      <c r="AF191">
        <v>1.1545416594664499E-2</v>
      </c>
      <c r="AG191">
        <v>-0.1944699</v>
      </c>
      <c r="AH191">
        <v>0.49554642588416697</v>
      </c>
      <c r="AI191">
        <v>111.421507833748</v>
      </c>
      <c r="AJ191">
        <v>88.665344038394693</v>
      </c>
      <c r="AK191">
        <v>0.53246417612542396</v>
      </c>
    </row>
    <row r="192" spans="1:37" x14ac:dyDescent="0.2">
      <c r="A192" t="str">
        <f>"20200111153614687"</f>
        <v>20200111153614687</v>
      </c>
      <c r="B192" t="str">
        <f>"1578728174683212"</f>
        <v>1578728174683212</v>
      </c>
      <c r="C192" t="s">
        <v>37</v>
      </c>
      <c r="D192">
        <v>5.4388449999999997</v>
      </c>
      <c r="E192">
        <v>0.50619349999999996</v>
      </c>
      <c r="F192" t="s">
        <v>38</v>
      </c>
      <c r="G192">
        <v>-429.96339999999998</v>
      </c>
      <c r="H192">
        <v>0.91724069999999902</v>
      </c>
      <c r="I192">
        <v>367.33699999999999</v>
      </c>
      <c r="J192">
        <v>-430.51710000000003</v>
      </c>
      <c r="K192">
        <v>1.0593239999999999</v>
      </c>
      <c r="L192">
        <v>367.32499999999999</v>
      </c>
      <c r="M192">
        <v>0.9999133</v>
      </c>
      <c r="N192">
        <v>0</v>
      </c>
      <c r="O192">
        <v>-1.1863479999999999E-2</v>
      </c>
      <c r="P192">
        <v>0.99759880000000001</v>
      </c>
      <c r="Q192">
        <v>5.897347E-2</v>
      </c>
      <c r="R192">
        <v>3.6316349999999997E-2</v>
      </c>
      <c r="S192">
        <v>3.032349</v>
      </c>
      <c r="T192">
        <v>-0.44812600000000002</v>
      </c>
      <c r="U192">
        <v>2.3986819999999999E-2</v>
      </c>
      <c r="V192">
        <v>-4.8305149999999998E-2</v>
      </c>
      <c r="W192">
        <v>6.454965E-2</v>
      </c>
      <c r="X192">
        <v>0.99674470000000004</v>
      </c>
      <c r="Y192">
        <v>-1.9432930000000001E-2</v>
      </c>
      <c r="Z192">
        <v>3.171868E-3</v>
      </c>
      <c r="AA192">
        <v>0.99980609999999903</v>
      </c>
      <c r="AB192">
        <v>43</v>
      </c>
      <c r="AC192">
        <v>0.55370000000004804</v>
      </c>
      <c r="AD192">
        <v>-0.1420833</v>
      </c>
      <c r="AE192">
        <v>1.2000000000000399E-2</v>
      </c>
      <c r="AF192">
        <v>-1.7421456775070902E-2</v>
      </c>
      <c r="AG192">
        <v>-0.1420833</v>
      </c>
      <c r="AH192">
        <v>0.51933780565917298</v>
      </c>
      <c r="AI192">
        <v>105.292679004078</v>
      </c>
      <c r="AJ192">
        <v>91.921296257405601</v>
      </c>
      <c r="AK192">
        <v>0.53870486138695695</v>
      </c>
    </row>
    <row r="193" spans="1:37" x14ac:dyDescent="0.2">
      <c r="A193" t="str">
        <f>"20200111153614709"</f>
        <v>20200111153614709</v>
      </c>
      <c r="B193" t="str">
        <f>"1578728174702731"</f>
        <v>1578728174702731</v>
      </c>
      <c r="C193" t="s">
        <v>37</v>
      </c>
      <c r="D193">
        <v>5.3642539999999999</v>
      </c>
      <c r="E193">
        <v>0.50447849999999905</v>
      </c>
      <c r="F193" t="s">
        <v>38</v>
      </c>
      <c r="G193">
        <v>-429.55959999999999</v>
      </c>
      <c r="H193">
        <v>0.948592199999999</v>
      </c>
      <c r="I193">
        <v>367.34440000000001</v>
      </c>
      <c r="J193">
        <v>-430.0616</v>
      </c>
      <c r="K193">
        <v>1.0584959999999899</v>
      </c>
      <c r="L193">
        <v>367.32029999999997</v>
      </c>
      <c r="M193">
        <v>0.99992639999999999</v>
      </c>
      <c r="N193">
        <v>0</v>
      </c>
      <c r="O193">
        <v>-1.0777200000000001E-2</v>
      </c>
      <c r="P193">
        <v>0.99752859999999999</v>
      </c>
      <c r="Q193">
        <v>5.8250040000000003E-2</v>
      </c>
      <c r="R193">
        <v>3.9290940000000003E-2</v>
      </c>
      <c r="S193">
        <v>3.025665</v>
      </c>
      <c r="T193">
        <v>-0.34985719999999998</v>
      </c>
      <c r="U193">
        <v>6.1218259999999997E-2</v>
      </c>
      <c r="V193">
        <v>-5.0200979999999999E-2</v>
      </c>
      <c r="W193">
        <v>6.3667420000000002E-2</v>
      </c>
      <c r="X193">
        <v>0.99670769999999997</v>
      </c>
      <c r="Y193">
        <v>-3.0726400000000001E-2</v>
      </c>
      <c r="Z193">
        <v>3.012303E-3</v>
      </c>
      <c r="AA193">
        <v>0.9995233</v>
      </c>
      <c r="AB193">
        <v>43</v>
      </c>
      <c r="AC193">
        <v>0.50200000000000899</v>
      </c>
      <c r="AD193">
        <v>-0.1099038</v>
      </c>
      <c r="AE193">
        <v>2.4100000000032599E-2</v>
      </c>
      <c r="AF193">
        <v>-2.8162100359287599E-2</v>
      </c>
      <c r="AG193">
        <v>-0.1099038</v>
      </c>
      <c r="AH193">
        <v>0.47881378124387503</v>
      </c>
      <c r="AI193">
        <v>102.905820934133</v>
      </c>
      <c r="AJ193">
        <v>93.366053285655497</v>
      </c>
      <c r="AK193">
        <v>0.49207172877553501</v>
      </c>
    </row>
    <row r="194" spans="1:37" x14ac:dyDescent="0.2">
      <c r="A194" t="str">
        <f>"20200111153614732"</f>
        <v>20200111153614732</v>
      </c>
      <c r="B194" t="str">
        <f>"1578728174723230"</f>
        <v>1578728174723230</v>
      </c>
      <c r="C194" t="s">
        <v>37</v>
      </c>
      <c r="D194">
        <v>5.3299699999999897</v>
      </c>
      <c r="E194">
        <v>0.50400440000000002</v>
      </c>
      <c r="F194" t="s">
        <v>38</v>
      </c>
      <c r="G194">
        <v>-429.1628</v>
      </c>
      <c r="H194">
        <v>0.96346620000000005</v>
      </c>
      <c r="I194">
        <v>367.34460000000001</v>
      </c>
      <c r="J194">
        <v>-429.62450000000001</v>
      </c>
      <c r="K194">
        <v>1.057833</v>
      </c>
      <c r="L194">
        <v>367.31630000000001</v>
      </c>
      <c r="M194">
        <v>0.99993770000000004</v>
      </c>
      <c r="N194">
        <v>0</v>
      </c>
      <c r="O194">
        <v>-9.7343550000000001E-3</v>
      </c>
      <c r="P194">
        <v>0.99752369999999901</v>
      </c>
      <c r="Q194">
        <v>5.665369E-2</v>
      </c>
      <c r="R194">
        <v>4.168028E-2</v>
      </c>
      <c r="S194">
        <v>3.0227970000000002</v>
      </c>
      <c r="T194">
        <v>-0.31999719999999998</v>
      </c>
      <c r="U194">
        <v>8.3282469999999997E-2</v>
      </c>
      <c r="V194">
        <v>-5.1551840000000002E-2</v>
      </c>
      <c r="W194">
        <v>6.1996549999999997E-2</v>
      </c>
      <c r="X194">
        <v>0.99674409999999902</v>
      </c>
      <c r="Y194">
        <v>-3.7009510000000002E-2</v>
      </c>
      <c r="Z194">
        <v>2.9805769999999999E-3</v>
      </c>
      <c r="AA194">
        <v>0.99931049999999999</v>
      </c>
      <c r="AB194">
        <v>43</v>
      </c>
      <c r="AC194">
        <v>0.46170000000000699</v>
      </c>
      <c r="AD194">
        <v>-9.4366799999999904E-2</v>
      </c>
      <c r="AE194">
        <v>2.8300000000001501E-2</v>
      </c>
      <c r="AF194">
        <v>-3.1482799936126897E-2</v>
      </c>
      <c r="AG194">
        <v>-9.4366799999999904E-2</v>
      </c>
      <c r="AH194">
        <v>0.44296686610622799</v>
      </c>
      <c r="AI194">
        <v>101.996763425319</v>
      </c>
      <c r="AJ194">
        <v>94.065323243581005</v>
      </c>
      <c r="AK194">
        <v>0.45399989438548499</v>
      </c>
    </row>
    <row r="195" spans="1:37" x14ac:dyDescent="0.2">
      <c r="A195" t="str">
        <f>"20200111153614754"</f>
        <v>20200111153614754</v>
      </c>
      <c r="B195" t="str">
        <f>"1578728174742751"</f>
        <v>1578728174742751</v>
      </c>
      <c r="C195" t="s">
        <v>37</v>
      </c>
      <c r="D195">
        <v>5.4572199999999897</v>
      </c>
      <c r="E195">
        <v>0.50409589999999904</v>
      </c>
      <c r="F195" t="s">
        <v>38</v>
      </c>
      <c r="G195">
        <v>-428.76799999999997</v>
      </c>
      <c r="H195">
        <v>0.97130559999999999</v>
      </c>
      <c r="I195">
        <v>367.34269999999998</v>
      </c>
      <c r="J195">
        <v>-429.19260000000003</v>
      </c>
      <c r="K195">
        <v>1.057293</v>
      </c>
      <c r="L195">
        <v>367.31270000000001</v>
      </c>
      <c r="M195">
        <v>0.99994699999999903</v>
      </c>
      <c r="N195">
        <v>0</v>
      </c>
      <c r="O195">
        <v>-8.7043060000000002E-3</v>
      </c>
      <c r="P195">
        <v>0.997494199999999</v>
      </c>
      <c r="Q195">
        <v>5.5312269999999997E-2</v>
      </c>
      <c r="R195">
        <v>4.4117249999999997E-2</v>
      </c>
      <c r="S195">
        <v>3.0208740000000001</v>
      </c>
      <c r="T195">
        <v>-0.30539379999999999</v>
      </c>
      <c r="U195">
        <v>9.3902589999999994E-2</v>
      </c>
      <c r="V195">
        <v>-5.2964360000000002E-2</v>
      </c>
      <c r="W195">
        <v>6.0677729999999999E-2</v>
      </c>
      <c r="X195">
        <v>0.99675119999999895</v>
      </c>
      <c r="Y195">
        <v>-3.9523030000000001E-2</v>
      </c>
      <c r="Z195">
        <v>2.8697699999999998E-3</v>
      </c>
      <c r="AA195">
        <v>0.99921450000000001</v>
      </c>
      <c r="AB195">
        <v>44</v>
      </c>
      <c r="AC195">
        <v>0.42459999999999798</v>
      </c>
      <c r="AD195">
        <v>-8.5987399999999894E-2</v>
      </c>
      <c r="AE195">
        <v>2.9999999999972701E-2</v>
      </c>
      <c r="AF195">
        <v>-3.2373658247339801E-2</v>
      </c>
      <c r="AG195">
        <v>-8.5987399999999894E-2</v>
      </c>
      <c r="AH195">
        <v>0.40768587102026299</v>
      </c>
      <c r="AI195">
        <v>101.873714912409</v>
      </c>
      <c r="AJ195">
        <v>94.540235634802499</v>
      </c>
      <c r="AK195">
        <v>0.41791106247218002</v>
      </c>
    </row>
    <row r="196" spans="1:37" x14ac:dyDescent="0.2">
      <c r="A196" t="str">
        <f>"20200111153614775"</f>
        <v>20200111153614775</v>
      </c>
      <c r="B196" t="str">
        <f>"1578728174773003"</f>
        <v>1578728174773003</v>
      </c>
      <c r="C196" t="s">
        <v>37</v>
      </c>
      <c r="D196">
        <v>5.4754709999999998</v>
      </c>
      <c r="E196">
        <v>0.50443509999999903</v>
      </c>
      <c r="F196" t="s">
        <v>38</v>
      </c>
      <c r="G196">
        <v>-428.3723</v>
      </c>
      <c r="H196">
        <v>0.97636100000000003</v>
      </c>
      <c r="I196">
        <v>367.33969999999999</v>
      </c>
      <c r="J196">
        <v>-428.75889999999998</v>
      </c>
      <c r="K196">
        <v>1.056862</v>
      </c>
      <c r="L196">
        <v>367.30959999999999</v>
      </c>
      <c r="M196">
        <v>0.99995460000000003</v>
      </c>
      <c r="N196">
        <v>0</v>
      </c>
      <c r="O196">
        <v>-7.6712119999999898E-3</v>
      </c>
      <c r="P196">
        <v>0.99749679999999996</v>
      </c>
      <c r="Q196">
        <v>5.3537149999999999E-2</v>
      </c>
      <c r="R196">
        <v>4.6197780000000001E-2</v>
      </c>
      <c r="S196">
        <v>3.0196529999999999</v>
      </c>
      <c r="T196">
        <v>-0.29828860000000001</v>
      </c>
      <c r="U196">
        <v>0.10046389999999999</v>
      </c>
      <c r="V196">
        <v>-5.401479E-2</v>
      </c>
      <c r="W196">
        <v>5.9043199999999997E-2</v>
      </c>
      <c r="X196">
        <v>0.99679300000000004</v>
      </c>
      <c r="Y196">
        <v>-4.0682620000000003E-2</v>
      </c>
      <c r="Z196">
        <v>2.759699E-3</v>
      </c>
      <c r="AA196">
        <v>0.99916830000000001</v>
      </c>
      <c r="AB196">
        <v>44</v>
      </c>
      <c r="AC196">
        <v>0.38659999999998701</v>
      </c>
      <c r="AD196">
        <v>-8.05010000000001E-2</v>
      </c>
      <c r="AE196">
        <v>3.0100000000004401E-2</v>
      </c>
      <c r="AF196">
        <v>-3.1698710560344602E-2</v>
      </c>
      <c r="AG196">
        <v>-8.05010000000001E-2</v>
      </c>
      <c r="AH196">
        <v>0.370394561477847</v>
      </c>
      <c r="AI196">
        <v>102.21857058939</v>
      </c>
      <c r="AJ196">
        <v>94.891507301256993</v>
      </c>
      <c r="AK196">
        <v>0.38036475970383399</v>
      </c>
    </row>
    <row r="197" spans="1:37" x14ac:dyDescent="0.2">
      <c r="A197" t="str">
        <f>"20200111153614801"</f>
        <v>20200111153614801</v>
      </c>
      <c r="B197" t="str">
        <f>"1578728174793500"</f>
        <v>1578728174793500</v>
      </c>
      <c r="C197" t="s">
        <v>37</v>
      </c>
      <c r="D197">
        <v>5.4668970000000003</v>
      </c>
      <c r="E197">
        <v>0.50472890000000004</v>
      </c>
      <c r="F197" t="s">
        <v>38</v>
      </c>
      <c r="G197">
        <v>-427.97660000000002</v>
      </c>
      <c r="H197">
        <v>0.98104579999999997</v>
      </c>
      <c r="I197">
        <v>367.33640000000003</v>
      </c>
      <c r="J197">
        <v>-428.28530000000001</v>
      </c>
      <c r="K197">
        <v>1.0565249999999999</v>
      </c>
      <c r="L197">
        <v>367.3066</v>
      </c>
      <c r="M197">
        <v>0.99996079999999998</v>
      </c>
      <c r="N197">
        <v>0</v>
      </c>
      <c r="O197">
        <v>-6.54215599999999E-3</v>
      </c>
      <c r="P197">
        <v>0.99756829999999996</v>
      </c>
      <c r="Q197">
        <v>5.1027940000000001E-2</v>
      </c>
      <c r="R197">
        <v>4.7475120000000003E-2</v>
      </c>
      <c r="S197">
        <v>3.0184329999999999</v>
      </c>
      <c r="T197">
        <v>-0.29251850000000001</v>
      </c>
      <c r="U197">
        <v>0.10357669999999999</v>
      </c>
      <c r="V197">
        <v>-5.416576E-2</v>
      </c>
      <c r="W197">
        <v>5.6836310000000001E-2</v>
      </c>
      <c r="X197">
        <v>0.996913099999999</v>
      </c>
      <c r="Y197">
        <v>-4.0611559999999998E-2</v>
      </c>
      <c r="Z197">
        <v>2.5950399999999998E-3</v>
      </c>
      <c r="AA197">
        <v>0.99917160000000005</v>
      </c>
      <c r="AB197">
        <v>44</v>
      </c>
      <c r="AC197">
        <v>0.30869999999998698</v>
      </c>
      <c r="AD197">
        <v>-7.5479199999999802E-2</v>
      </c>
      <c r="AE197">
        <v>2.9800000000022898E-2</v>
      </c>
      <c r="AF197">
        <v>-3.00396663169352E-2</v>
      </c>
      <c r="AG197">
        <v>-7.5479199999999802E-2</v>
      </c>
      <c r="AH197">
        <v>0.29124740404044203</v>
      </c>
      <c r="AI197">
        <v>104.45558851869799</v>
      </c>
      <c r="AJ197">
        <v>95.888744302338907</v>
      </c>
      <c r="AK197">
        <v>0.30236491454097197</v>
      </c>
    </row>
    <row r="198" spans="1:37" x14ac:dyDescent="0.2">
      <c r="A198" t="str">
        <f>"20200111153614821"</f>
        <v>20200111153614821</v>
      </c>
      <c r="B198" t="str">
        <f>"1578728174813020"</f>
        <v>1578728174813020</v>
      </c>
      <c r="C198" t="s">
        <v>37</v>
      </c>
      <c r="D198">
        <v>5.4359970000000004</v>
      </c>
      <c r="E198">
        <v>0.50498419999999999</v>
      </c>
      <c r="F198" t="s">
        <v>38</v>
      </c>
      <c r="G198">
        <v>-427.20859999999999</v>
      </c>
      <c r="H198">
        <v>0.95136030000000005</v>
      </c>
      <c r="I198">
        <v>367.34410000000003</v>
      </c>
      <c r="J198">
        <v>-427.87189999999998</v>
      </c>
      <c r="K198">
        <v>1.0563149999999999</v>
      </c>
      <c r="L198">
        <v>367.30470000000003</v>
      </c>
      <c r="M198">
        <v>0.99996430000000003</v>
      </c>
      <c r="N198">
        <v>0</v>
      </c>
      <c r="O198">
        <v>-5.5550410000000001E-3</v>
      </c>
      <c r="P198">
        <v>0.99761889999999998</v>
      </c>
      <c r="Q198">
        <v>4.9376360000000001E-2</v>
      </c>
      <c r="R198">
        <v>4.8155129999999997E-2</v>
      </c>
      <c r="S198">
        <v>3.0173649999999999</v>
      </c>
      <c r="T198">
        <v>-0.29469909999999999</v>
      </c>
      <c r="U198">
        <v>0.1050415</v>
      </c>
      <c r="V198">
        <v>-5.3861550000000001E-2</v>
      </c>
      <c r="W198">
        <v>5.5576109999999998E-2</v>
      </c>
      <c r="X198">
        <v>0.99700059999999902</v>
      </c>
      <c r="Y198">
        <v>-4.0125420000000002E-2</v>
      </c>
      <c r="Z198">
        <v>2.4953599999999999E-3</v>
      </c>
      <c r="AA198">
        <v>0.99919150000000001</v>
      </c>
      <c r="AB198">
        <v>44</v>
      </c>
      <c r="AC198">
        <v>0.66329999999999201</v>
      </c>
      <c r="AD198">
        <v>-0.104954699999999</v>
      </c>
      <c r="AE198">
        <v>3.9400000000000497E-2</v>
      </c>
      <c r="AF198">
        <v>-4.2035382284848599E-2</v>
      </c>
      <c r="AG198">
        <v>-0.104954699999999</v>
      </c>
      <c r="AH198">
        <v>0.64693058405071302</v>
      </c>
      <c r="AI198">
        <v>99.196025822808807</v>
      </c>
      <c r="AJ198">
        <v>93.717661756645398</v>
      </c>
      <c r="AK198">
        <v>0.65673559595633302</v>
      </c>
    </row>
    <row r="199" spans="1:37" x14ac:dyDescent="0.2">
      <c r="A199" t="str">
        <f>"20200111153614845"</f>
        <v>20200111153614845</v>
      </c>
      <c r="B199" t="str">
        <f>"1578728174833515"</f>
        <v>1578728174833515</v>
      </c>
      <c r="C199" t="s">
        <v>37</v>
      </c>
      <c r="D199">
        <v>5.4826559999999898</v>
      </c>
      <c r="E199">
        <v>0.50525010000000004</v>
      </c>
      <c r="F199" t="s">
        <v>38</v>
      </c>
      <c r="G199">
        <v>-426.8152</v>
      </c>
      <c r="H199">
        <v>0.95269419999999905</v>
      </c>
      <c r="I199">
        <v>367.34089999999998</v>
      </c>
      <c r="J199">
        <v>-427.41680000000002</v>
      </c>
      <c r="K199">
        <v>1.05614599999999</v>
      </c>
      <c r="L199">
        <v>367.303</v>
      </c>
      <c r="M199">
        <v>0.99996629999999997</v>
      </c>
      <c r="N199">
        <v>0</v>
      </c>
      <c r="O199">
        <v>-4.4644929999999999E-3</v>
      </c>
      <c r="P199">
        <v>0.99768979999999996</v>
      </c>
      <c r="Q199">
        <v>4.789115E-2</v>
      </c>
      <c r="R199">
        <v>4.8180000000000001E-2</v>
      </c>
      <c r="S199">
        <v>3.0167540000000002</v>
      </c>
      <c r="T199">
        <v>-0.29604079999999999</v>
      </c>
      <c r="U199">
        <v>0.10446169999999901</v>
      </c>
      <c r="V199">
        <v>-5.2799449999999998E-2</v>
      </c>
      <c r="W199">
        <v>5.4601040000000003E-2</v>
      </c>
      <c r="X199">
        <v>0.99711130000000003</v>
      </c>
      <c r="Y199">
        <v>-3.8860150000000003E-2</v>
      </c>
      <c r="Z199">
        <v>2.338531E-3</v>
      </c>
      <c r="AA199">
        <v>0.99924190000000002</v>
      </c>
      <c r="AB199">
        <v>44</v>
      </c>
      <c r="AC199">
        <v>0.60160000000001901</v>
      </c>
      <c r="AD199">
        <v>-0.103451799999999</v>
      </c>
      <c r="AE199">
        <v>3.7899999999922301E-2</v>
      </c>
      <c r="AF199">
        <v>-3.9424331616075801E-2</v>
      </c>
      <c r="AG199">
        <v>-0.103451799999999</v>
      </c>
      <c r="AH199">
        <v>0.58421741719460696</v>
      </c>
      <c r="AI199">
        <v>100.019379158183</v>
      </c>
      <c r="AJ199">
        <v>93.860597541301701</v>
      </c>
      <c r="AK199">
        <v>0.59461461754665301</v>
      </c>
    </row>
    <row r="200" spans="1:37" x14ac:dyDescent="0.2">
      <c r="A200" t="str">
        <f>"20200111153614865"</f>
        <v>20200111153614865</v>
      </c>
      <c r="B200" t="str">
        <f>"1578728174853035"</f>
        <v>1578728174853035</v>
      </c>
      <c r="C200" t="s">
        <v>37</v>
      </c>
      <c r="D200">
        <v>5.4093499999999999</v>
      </c>
      <c r="E200">
        <v>0.50539350000000005</v>
      </c>
      <c r="F200" t="s">
        <v>38</v>
      </c>
      <c r="G200">
        <v>-426.41989999999998</v>
      </c>
      <c r="H200">
        <v>0.95845210000000003</v>
      </c>
      <c r="I200">
        <v>367.3365</v>
      </c>
      <c r="J200">
        <v>-427.01569999999998</v>
      </c>
      <c r="K200">
        <v>1.0560479999999901</v>
      </c>
      <c r="L200">
        <v>367.30189999999999</v>
      </c>
      <c r="M200">
        <v>0.99996659999999904</v>
      </c>
      <c r="N200">
        <v>0</v>
      </c>
      <c r="O200">
        <v>-3.5034319999999999E-3</v>
      </c>
      <c r="P200">
        <v>0.99767830000000002</v>
      </c>
      <c r="Q200">
        <v>4.7792500000000002E-2</v>
      </c>
      <c r="R200">
        <v>4.8519699999999902E-2</v>
      </c>
      <c r="S200">
        <v>3.0162049999999998</v>
      </c>
      <c r="T200">
        <v>-0.2957669</v>
      </c>
      <c r="U200">
        <v>0.102478</v>
      </c>
      <c r="V200">
        <v>-5.2184429999999997E-2</v>
      </c>
      <c r="W200">
        <v>5.501574E-2</v>
      </c>
      <c r="X200">
        <v>0.99712089999999998</v>
      </c>
      <c r="Y200">
        <v>-3.7262219999999999E-2</v>
      </c>
      <c r="Z200">
        <v>2.1646980000000001E-3</v>
      </c>
      <c r="AA200">
        <v>0.99930319999999995</v>
      </c>
      <c r="AB200">
        <v>44</v>
      </c>
      <c r="AC200">
        <v>0.595799999999997</v>
      </c>
      <c r="AD200">
        <v>-9.7595899999999805E-2</v>
      </c>
      <c r="AE200">
        <v>3.4600000000011698E-2</v>
      </c>
      <c r="AF200">
        <v>-3.5731640449846801E-2</v>
      </c>
      <c r="AG200">
        <v>-9.7595899999999805E-2</v>
      </c>
      <c r="AH200">
        <v>0.58016025870688503</v>
      </c>
      <c r="AI200">
        <v>99.531295356054002</v>
      </c>
      <c r="AJ200">
        <v>93.524352869152096</v>
      </c>
      <c r="AK200">
        <v>0.589395992189365</v>
      </c>
    </row>
    <row r="201" spans="1:37" x14ac:dyDescent="0.2">
      <c r="A201" t="str">
        <f>"20200111153614887"</f>
        <v>20200111153614887</v>
      </c>
      <c r="B201" t="str">
        <f>"1578728174883292"</f>
        <v>1578728174883292</v>
      </c>
      <c r="C201" t="s">
        <v>37</v>
      </c>
      <c r="D201">
        <v>5.4840460000000002</v>
      </c>
      <c r="E201">
        <v>0.50555430000000001</v>
      </c>
      <c r="F201" t="s">
        <v>38</v>
      </c>
      <c r="G201">
        <v>-426.02640000000002</v>
      </c>
      <c r="H201">
        <v>0.96058940000000004</v>
      </c>
      <c r="I201">
        <v>367.3349</v>
      </c>
      <c r="J201">
        <v>-426.58760000000001</v>
      </c>
      <c r="K201">
        <v>1.0559829999999999</v>
      </c>
      <c r="L201">
        <v>367.30130000000003</v>
      </c>
      <c r="M201">
        <v>0.99996479999999999</v>
      </c>
      <c r="N201">
        <v>0</v>
      </c>
      <c r="O201">
        <v>-2.4843929999999901E-3</v>
      </c>
      <c r="P201">
        <v>0.99757739999999995</v>
      </c>
      <c r="Q201">
        <v>4.8869940000000001E-2</v>
      </c>
      <c r="R201">
        <v>4.9512130000000001E-2</v>
      </c>
      <c r="S201">
        <v>3.0159910000000001</v>
      </c>
      <c r="T201">
        <v>-0.29123589999999999</v>
      </c>
      <c r="U201">
        <v>0.1016541</v>
      </c>
      <c r="V201">
        <v>-5.2166610000000002E-2</v>
      </c>
      <c r="W201">
        <v>5.6717759999999999E-2</v>
      </c>
      <c r="X201">
        <v>0.99702639999999998</v>
      </c>
      <c r="Y201">
        <v>-3.5990099999999997E-2</v>
      </c>
      <c r="Z201">
        <v>1.9724399999999998E-3</v>
      </c>
      <c r="AA201">
        <v>0.99935019999999997</v>
      </c>
      <c r="AB201">
        <v>44</v>
      </c>
      <c r="AC201">
        <v>0.56119999999998504</v>
      </c>
      <c r="AD201">
        <v>-9.5393599999999801E-2</v>
      </c>
      <c r="AE201">
        <v>3.3599999999978501E-2</v>
      </c>
      <c r="AF201">
        <v>-3.4014877222341797E-2</v>
      </c>
      <c r="AG201">
        <v>-9.5393599999999801E-2</v>
      </c>
      <c r="AH201">
        <v>0.54541210437254795</v>
      </c>
      <c r="AI201">
        <v>99.901934361513796</v>
      </c>
      <c r="AJ201">
        <v>93.568655777420801</v>
      </c>
      <c r="AK201">
        <v>0.55473535527267603</v>
      </c>
    </row>
    <row r="202" spans="1:37" x14ac:dyDescent="0.2">
      <c r="A202" t="str">
        <f>"20200111153614910"</f>
        <v>20200111153614910</v>
      </c>
      <c r="B202" t="str">
        <f>"1578728174902812"</f>
        <v>1578728174902812</v>
      </c>
      <c r="C202" t="s">
        <v>37</v>
      </c>
      <c r="D202">
        <v>5.4582110000000004</v>
      </c>
      <c r="E202">
        <v>0.5056583</v>
      </c>
      <c r="F202" t="s">
        <v>38</v>
      </c>
      <c r="G202">
        <v>-425.63139999999999</v>
      </c>
      <c r="H202">
        <v>0.96631469999999897</v>
      </c>
      <c r="I202">
        <v>367.3338</v>
      </c>
      <c r="J202">
        <v>-426.135999999999</v>
      </c>
      <c r="K202">
        <v>1.055933</v>
      </c>
      <c r="L202">
        <v>367.30110000000002</v>
      </c>
      <c r="M202">
        <v>0.99996070000000004</v>
      </c>
      <c r="N202">
        <v>0</v>
      </c>
      <c r="O202">
        <v>-1.4221959999999999E-3</v>
      </c>
      <c r="P202">
        <v>0.99739500000000003</v>
      </c>
      <c r="Q202">
        <v>5.0527049999999997E-2</v>
      </c>
      <c r="R202">
        <v>5.1481569999999997E-2</v>
      </c>
      <c r="S202">
        <v>3.0160520000000002</v>
      </c>
      <c r="T202">
        <v>-0.28290460000000001</v>
      </c>
      <c r="U202">
        <v>0.1027222</v>
      </c>
      <c r="V202">
        <v>-5.3083449999999997E-2</v>
      </c>
      <c r="W202">
        <v>5.9104610000000002E-2</v>
      </c>
      <c r="X202">
        <v>0.99683940000000004</v>
      </c>
      <c r="Y202">
        <v>-3.529914E-2</v>
      </c>
      <c r="Z202">
        <v>1.7844989999999999E-3</v>
      </c>
      <c r="AA202">
        <v>0.99937520000000002</v>
      </c>
      <c r="AB202">
        <v>44</v>
      </c>
      <c r="AC202">
        <v>0.50459999999998195</v>
      </c>
      <c r="AD202">
        <v>-8.9618300000000095E-2</v>
      </c>
      <c r="AE202">
        <v>3.2699999999976997E-2</v>
      </c>
      <c r="AF202">
        <v>-3.2399927116428501E-2</v>
      </c>
      <c r="AG202">
        <v>-8.9618300000000095E-2</v>
      </c>
      <c r="AH202">
        <v>0.489187223633888</v>
      </c>
      <c r="AI202">
        <v>100.35917258424</v>
      </c>
      <c r="AJ202">
        <v>93.789288955380798</v>
      </c>
      <c r="AK202">
        <v>0.498382719141296</v>
      </c>
    </row>
    <row r="203" spans="1:37" x14ac:dyDescent="0.2">
      <c r="A203" t="str">
        <f>"20200111153614934"</f>
        <v>20200111153614934</v>
      </c>
      <c r="B203" t="str">
        <f>"1578728174923307"</f>
        <v>1578728174923307</v>
      </c>
      <c r="C203" t="s">
        <v>37</v>
      </c>
      <c r="D203">
        <v>5.353796</v>
      </c>
      <c r="E203">
        <v>0.50563480000000005</v>
      </c>
      <c r="F203" t="s">
        <v>38</v>
      </c>
      <c r="G203">
        <v>-425.23399999999998</v>
      </c>
      <c r="H203">
        <v>0.97387559999999995</v>
      </c>
      <c r="I203">
        <v>367.33260000000001</v>
      </c>
      <c r="J203">
        <v>-425.67520000000002</v>
      </c>
      <c r="K203">
        <v>1.05589</v>
      </c>
      <c r="L203">
        <v>367.30130000000003</v>
      </c>
      <c r="M203">
        <v>0.99995460000000003</v>
      </c>
      <c r="N203">
        <v>0</v>
      </c>
      <c r="O203">
        <v>-3.5695399999999998E-4</v>
      </c>
      <c r="P203">
        <v>0.99721409999999999</v>
      </c>
      <c r="Q203">
        <v>5.1456899999999903E-2</v>
      </c>
      <c r="R203">
        <v>5.4003589999999997E-2</v>
      </c>
      <c r="S203">
        <v>3.0162659999999999</v>
      </c>
      <c r="T203">
        <v>-0.27483340000000001</v>
      </c>
      <c r="U203">
        <v>0.10720830000000001</v>
      </c>
      <c r="V203">
        <v>-5.4544700000000002E-2</v>
      </c>
      <c r="W203">
        <v>6.0798150000000002E-2</v>
      </c>
      <c r="X203">
        <v>0.99665859999999995</v>
      </c>
      <c r="Y203">
        <v>-3.5728379999999997E-2</v>
      </c>
      <c r="Z203">
        <v>1.65630799999999E-3</v>
      </c>
      <c r="AA203">
        <v>0.99936009999999997</v>
      </c>
      <c r="AB203">
        <v>44</v>
      </c>
      <c r="AC203">
        <v>0.44119999999998</v>
      </c>
      <c r="AD203">
        <v>-8.2014400000000001E-2</v>
      </c>
      <c r="AE203">
        <v>3.12999999999874E-2</v>
      </c>
      <c r="AF203">
        <v>-3.0411877367871001E-2</v>
      </c>
      <c r="AG203">
        <v>-8.2014400000000001E-2</v>
      </c>
      <c r="AH203">
        <v>0.42652412052870398</v>
      </c>
      <c r="AI203">
        <v>100.857393847118</v>
      </c>
      <c r="AJ203">
        <v>94.078382075719603</v>
      </c>
      <c r="AK203">
        <v>0.43540104442362398</v>
      </c>
    </row>
    <row r="204" spans="1:37" x14ac:dyDescent="0.2">
      <c r="A204" t="str">
        <f>"20200111153614955"</f>
        <v>20200111153614955</v>
      </c>
      <c r="B204" t="str">
        <f>"1578728174942828"</f>
        <v>1578728174942828</v>
      </c>
      <c r="C204" t="s">
        <v>37</v>
      </c>
      <c r="D204">
        <v>5.2820910000000003</v>
      </c>
      <c r="E204">
        <v>0.50539970000000001</v>
      </c>
      <c r="F204" t="s">
        <v>40</v>
      </c>
      <c r="G204">
        <v>-413.24169999999998</v>
      </c>
      <c r="H204">
        <v>-0.05</v>
      </c>
      <c r="I204">
        <v>367.77390000000003</v>
      </c>
      <c r="J204">
        <v>-425.25349999999997</v>
      </c>
      <c r="K204">
        <v>1.055831</v>
      </c>
      <c r="L204">
        <v>367.30189999999999</v>
      </c>
      <c r="M204">
        <v>0.99994780000000005</v>
      </c>
      <c r="N204">
        <v>0</v>
      </c>
      <c r="O204">
        <v>5.8343199999999896E-4</v>
      </c>
      <c r="P204">
        <v>0.997019199999999</v>
      </c>
      <c r="Q204">
        <v>5.2120590000000001E-2</v>
      </c>
      <c r="R204">
        <v>5.6887699999999902E-2</v>
      </c>
      <c r="S204">
        <v>3.016022</v>
      </c>
      <c r="T204">
        <v>-0.26825749999999998</v>
      </c>
      <c r="U204">
        <v>0.114624</v>
      </c>
      <c r="V204">
        <v>-5.6489879999999999E-2</v>
      </c>
      <c r="W204">
        <v>6.2129339999999998E-2</v>
      </c>
      <c r="X204">
        <v>0.99646819999999903</v>
      </c>
      <c r="Y204">
        <v>-3.7250039999999998E-2</v>
      </c>
      <c r="Z204">
        <v>1.600956E-3</v>
      </c>
      <c r="AA204">
        <v>0.99930469999999905</v>
      </c>
      <c r="AB204">
        <v>44</v>
      </c>
      <c r="AC204">
        <v>12.0117999999999</v>
      </c>
      <c r="AD204">
        <v>-1.105831</v>
      </c>
      <c r="AE204">
        <v>0.472000000000036</v>
      </c>
      <c r="AF204">
        <v>-0.461089582505539</v>
      </c>
      <c r="AG204">
        <v>-1.105831</v>
      </c>
      <c r="AH204">
        <v>11.9112758974159</v>
      </c>
      <c r="AI204">
        <v>95.300132272743895</v>
      </c>
      <c r="AJ204">
        <v>92.216832452019503</v>
      </c>
      <c r="AK204">
        <v>11.9713808438299</v>
      </c>
    </row>
    <row r="205" spans="1:37" x14ac:dyDescent="0.2">
      <c r="A205" t="str">
        <f>"20200111153614977"</f>
        <v>20200111153614977</v>
      </c>
      <c r="B205" t="str">
        <f>"1578728174973084"</f>
        <v>1578728174973084</v>
      </c>
      <c r="C205" t="s">
        <v>37</v>
      </c>
      <c r="D205">
        <v>5.3786699999999996</v>
      </c>
      <c r="E205">
        <v>0.50442889999999996</v>
      </c>
      <c r="F205" t="s">
        <v>40</v>
      </c>
      <c r="G205">
        <v>-412.52620000000002</v>
      </c>
      <c r="H205">
        <v>-0.05</v>
      </c>
      <c r="I205">
        <v>367.82889999999998</v>
      </c>
      <c r="J205">
        <v>-424.81209999999999</v>
      </c>
      <c r="K205">
        <v>1.0557479999999999</v>
      </c>
      <c r="L205">
        <v>367.303</v>
      </c>
      <c r="M205">
        <v>0.99993999999999905</v>
      </c>
      <c r="N205">
        <v>0</v>
      </c>
      <c r="O205">
        <v>1.50616799999999E-3</v>
      </c>
      <c r="P205">
        <v>0.99690309999999904</v>
      </c>
      <c r="Q205">
        <v>5.1517269999999997E-2</v>
      </c>
      <c r="R205">
        <v>5.941834E-2</v>
      </c>
      <c r="S205">
        <v>3.015533</v>
      </c>
      <c r="T205">
        <v>-0.26200810000000002</v>
      </c>
      <c r="U205">
        <v>0.1248474</v>
      </c>
      <c r="V205">
        <v>-5.8093289999999999E-2</v>
      </c>
      <c r="W205">
        <v>6.2173599999999898E-2</v>
      </c>
      <c r="X205">
        <v>0.99637319999999996</v>
      </c>
      <c r="Y205">
        <v>-3.9717269999999999E-2</v>
      </c>
      <c r="Z205">
        <v>1.5908929999999999E-3</v>
      </c>
      <c r="AA205">
        <v>0.99920969999999998</v>
      </c>
      <c r="AB205">
        <v>44</v>
      </c>
      <c r="AC205">
        <v>12.2858999999999</v>
      </c>
      <c r="AD205">
        <v>-1.105748</v>
      </c>
      <c r="AE205">
        <v>0.52589999999992099</v>
      </c>
      <c r="AF205">
        <v>-0.50332409078126605</v>
      </c>
      <c r="AG205">
        <v>-1.105748</v>
      </c>
      <c r="AH205">
        <v>12.188131864133901</v>
      </c>
      <c r="AI205">
        <v>95.179482509223504</v>
      </c>
      <c r="AJ205">
        <v>92.364756942130299</v>
      </c>
      <c r="AK205">
        <v>12.248533468027199</v>
      </c>
    </row>
    <row r="206" spans="1:37" x14ac:dyDescent="0.2">
      <c r="A206" t="str">
        <f>"20200111153615000"</f>
        <v>20200111153615000</v>
      </c>
      <c r="B206" t="str">
        <f>"1578728174992604"</f>
        <v>1578728174992604</v>
      </c>
      <c r="C206" t="s">
        <v>37</v>
      </c>
      <c r="D206">
        <v>5.4321510000000002</v>
      </c>
      <c r="E206">
        <v>0.50366199999999905</v>
      </c>
      <c r="F206" t="s">
        <v>40</v>
      </c>
      <c r="G206">
        <v>-411.72579999999999</v>
      </c>
      <c r="H206">
        <v>-0.05</v>
      </c>
      <c r="I206">
        <v>367.91230000000002</v>
      </c>
      <c r="J206">
        <v>-424.38479999999998</v>
      </c>
      <c r="K206">
        <v>1.0556369999999999</v>
      </c>
      <c r="L206">
        <v>367.30430000000001</v>
      </c>
      <c r="M206">
        <v>0.99993220000000005</v>
      </c>
      <c r="N206">
        <v>0</v>
      </c>
      <c r="O206">
        <v>2.3120409999999999E-3</v>
      </c>
      <c r="P206">
        <v>0.99677950000000004</v>
      </c>
      <c r="Q206">
        <v>5.0538199999999901E-2</v>
      </c>
      <c r="R206">
        <v>6.22623E-2</v>
      </c>
      <c r="S206">
        <v>3.0140989999999999</v>
      </c>
      <c r="T206">
        <v>-0.25468150000000001</v>
      </c>
      <c r="U206">
        <v>0.14035029999999901</v>
      </c>
      <c r="V206">
        <v>-6.0122469999999997E-2</v>
      </c>
      <c r="W206">
        <v>6.1760019999999999E-2</v>
      </c>
      <c r="X206">
        <v>0.99627860000000001</v>
      </c>
      <c r="Y206">
        <v>-4.405597E-2</v>
      </c>
      <c r="Z206">
        <v>1.662064E-3</v>
      </c>
      <c r="AA206">
        <v>0.99902769999999996</v>
      </c>
      <c r="AB206">
        <v>44</v>
      </c>
      <c r="AC206">
        <v>12.658999999999899</v>
      </c>
      <c r="AD206">
        <v>-1.105637</v>
      </c>
      <c r="AE206">
        <v>0.60800000000000398</v>
      </c>
      <c r="AF206">
        <v>-0.57435707150388104</v>
      </c>
      <c r="AG206">
        <v>-1.105637</v>
      </c>
      <c r="AH206">
        <v>12.5647452353357</v>
      </c>
      <c r="AI206">
        <v>95.023580520607496</v>
      </c>
      <c r="AJ206">
        <v>92.617271012955499</v>
      </c>
      <c r="AK206">
        <v>12.6263669378902</v>
      </c>
    </row>
    <row r="207" spans="1:37" x14ac:dyDescent="0.2">
      <c r="A207" t="str">
        <f>"20200111153615022"</f>
        <v>20200111153615022</v>
      </c>
      <c r="B207" t="str">
        <f>"1578728175013102"</f>
        <v>1578728175013102</v>
      </c>
      <c r="C207" t="s">
        <v>37</v>
      </c>
      <c r="D207">
        <v>5.4184229999999998</v>
      </c>
      <c r="E207">
        <v>0.50306079999999997</v>
      </c>
      <c r="F207" t="s">
        <v>38</v>
      </c>
      <c r="G207">
        <v>-423.2749</v>
      </c>
      <c r="H207">
        <v>0.96266589999999996</v>
      </c>
      <c r="I207">
        <v>367.36110000000002</v>
      </c>
      <c r="J207">
        <v>-423.93819999999999</v>
      </c>
      <c r="K207">
        <v>1.055512</v>
      </c>
      <c r="L207">
        <v>367.30610000000001</v>
      </c>
      <c r="M207">
        <v>0.99992409999999998</v>
      </c>
      <c r="N207">
        <v>0</v>
      </c>
      <c r="O207">
        <v>3.0377679999999902E-3</v>
      </c>
      <c r="P207">
        <v>0.99667969999999895</v>
      </c>
      <c r="Q207">
        <v>4.9481850000000001E-2</v>
      </c>
      <c r="R207">
        <v>6.4664379999999994E-2</v>
      </c>
      <c r="S207">
        <v>3.01287799999999</v>
      </c>
      <c r="T207">
        <v>-0.25242489999999901</v>
      </c>
      <c r="U207">
        <v>0.154327399999999</v>
      </c>
      <c r="V207">
        <v>-6.1786630000000002E-2</v>
      </c>
      <c r="W207">
        <v>6.1232670000000003E-2</v>
      </c>
      <c r="X207">
        <v>0.99620929999999996</v>
      </c>
      <c r="Y207">
        <v>-4.7964279999999998E-2</v>
      </c>
      <c r="Z207">
        <v>1.7505379999999901E-3</v>
      </c>
      <c r="AA207">
        <v>0.9988475</v>
      </c>
      <c r="AB207">
        <v>44</v>
      </c>
      <c r="AC207">
        <v>0.66329999999999201</v>
      </c>
      <c r="AD207">
        <v>-9.2846100000000001E-2</v>
      </c>
      <c r="AE207">
        <v>5.50000000000068E-2</v>
      </c>
      <c r="AF207">
        <v>-5.19732773218608E-2</v>
      </c>
      <c r="AG207">
        <v>-9.2846100000000001E-2</v>
      </c>
      <c r="AH207">
        <v>0.65079979317790604</v>
      </c>
      <c r="AI207">
        <v>98.093865372922394</v>
      </c>
      <c r="AJ207">
        <v>94.565986275883006</v>
      </c>
      <c r="AK207">
        <v>0.65944066498904297</v>
      </c>
    </row>
    <row r="208" spans="1:37" x14ac:dyDescent="0.2">
      <c r="A208" t="str">
        <f>"20200111153615044"</f>
        <v>20200111153615044</v>
      </c>
      <c r="B208" t="str">
        <f>"1578728175032624"</f>
        <v>1578728175032624</v>
      </c>
      <c r="C208" t="s">
        <v>37</v>
      </c>
      <c r="D208">
        <v>5.4425559999999997</v>
      </c>
      <c r="E208">
        <v>0.50254359999999998</v>
      </c>
      <c r="F208" t="s">
        <v>40</v>
      </c>
      <c r="G208">
        <v>-410.66980000000001</v>
      </c>
      <c r="H208">
        <v>-0.05</v>
      </c>
      <c r="I208">
        <v>368.03649999999999</v>
      </c>
      <c r="J208">
        <v>-423.52229999999997</v>
      </c>
      <c r="K208">
        <v>1.0553900000000001</v>
      </c>
      <c r="L208">
        <v>367.30790000000002</v>
      </c>
      <c r="M208">
        <v>0.9999169</v>
      </c>
      <c r="N208">
        <v>0</v>
      </c>
      <c r="O208">
        <v>3.6247850000000002E-3</v>
      </c>
      <c r="P208">
        <v>0.99655689999999997</v>
      </c>
      <c r="Q208">
        <v>4.9047399999999998E-2</v>
      </c>
      <c r="R208">
        <v>6.6851060000000004E-2</v>
      </c>
      <c r="S208">
        <v>3.0116879999999999</v>
      </c>
      <c r="T208">
        <v>-0.25093159999999998</v>
      </c>
      <c r="U208">
        <v>0.165802</v>
      </c>
      <c r="V208">
        <v>-6.3374559999999996E-2</v>
      </c>
      <c r="W208">
        <v>6.1239349999999998E-2</v>
      </c>
      <c r="X208">
        <v>0.99610909999999997</v>
      </c>
      <c r="Y208">
        <v>-5.1185370000000001E-2</v>
      </c>
      <c r="Z208">
        <v>1.8257929999999901E-3</v>
      </c>
      <c r="AA208">
        <v>0.99868749999999995</v>
      </c>
      <c r="AB208">
        <v>44</v>
      </c>
      <c r="AC208">
        <v>12.8524999999999</v>
      </c>
      <c r="AD208">
        <v>-1.1053900000000001</v>
      </c>
      <c r="AE208">
        <v>0.72859999999997105</v>
      </c>
      <c r="AF208">
        <v>-0.67701227764938998</v>
      </c>
      <c r="AG208">
        <v>-1.1053900000000001</v>
      </c>
      <c r="AH208">
        <v>12.760966234733701</v>
      </c>
      <c r="AI208">
        <v>94.943841844212798</v>
      </c>
      <c r="AJ208">
        <v>93.036887121802096</v>
      </c>
      <c r="AK208">
        <v>12.826632134750099</v>
      </c>
    </row>
    <row r="209" spans="1:37" x14ac:dyDescent="0.2">
      <c r="A209" t="str">
        <f>"20200111153615066"</f>
        <v>20200111153615066</v>
      </c>
      <c r="B209" t="str">
        <f>"1578728175062876"</f>
        <v>1578728175062876</v>
      </c>
      <c r="C209" t="s">
        <v>37</v>
      </c>
      <c r="D209">
        <v>5.7091260000000004</v>
      </c>
      <c r="E209">
        <v>0.5018089</v>
      </c>
      <c r="F209" t="s">
        <v>40</v>
      </c>
      <c r="G209">
        <v>-410.15300000000002</v>
      </c>
      <c r="H209">
        <v>-0.05</v>
      </c>
      <c r="I209">
        <v>368.08940000000001</v>
      </c>
      <c r="J209">
        <v>-423.09609999999998</v>
      </c>
      <c r="K209">
        <v>1.055267</v>
      </c>
      <c r="L209">
        <v>367.3098</v>
      </c>
      <c r="M209">
        <v>0.99990999999999997</v>
      </c>
      <c r="N209">
        <v>0</v>
      </c>
      <c r="O209">
        <v>4.1277110000000001E-3</v>
      </c>
      <c r="P209">
        <v>0.99652280000000004</v>
      </c>
      <c r="Q209">
        <v>4.8414350000000002E-2</v>
      </c>
      <c r="R209">
        <v>6.7812739999999996E-2</v>
      </c>
      <c r="S209">
        <v>3.0108029999999899</v>
      </c>
      <c r="T209">
        <v>-0.24893799999999999</v>
      </c>
      <c r="U209">
        <v>0.17599489999999901</v>
      </c>
      <c r="V209">
        <v>-6.3819559999999997E-2</v>
      </c>
      <c r="W209">
        <v>6.1012799999999999E-2</v>
      </c>
      <c r="X209">
        <v>0.99609459999999905</v>
      </c>
      <c r="Y209">
        <v>-5.4063529999999999E-2</v>
      </c>
      <c r="Z209">
        <v>1.888898E-3</v>
      </c>
      <c r="AA209">
        <v>0.99853570000000003</v>
      </c>
      <c r="AB209">
        <v>44</v>
      </c>
      <c r="AC209">
        <v>12.9430999999999</v>
      </c>
      <c r="AD209">
        <v>-1.105267</v>
      </c>
      <c r="AE209">
        <v>0.77960000000001595</v>
      </c>
      <c r="AF209">
        <v>-0.72092550807585898</v>
      </c>
      <c r="AG209">
        <v>-1.105267</v>
      </c>
      <c r="AH209">
        <v>12.8528215729413</v>
      </c>
      <c r="AI209">
        <v>94.9073322431923</v>
      </c>
      <c r="AJ209">
        <v>93.2104041586161</v>
      </c>
      <c r="AK209">
        <v>12.920385873314601</v>
      </c>
    </row>
    <row r="210" spans="1:37" x14ac:dyDescent="0.2">
      <c r="A210" t="str">
        <f>"20200111153615088"</f>
        <v>20200111153615088</v>
      </c>
      <c r="B210" t="str">
        <f>"1578728175083372"</f>
        <v>1578728175083372</v>
      </c>
      <c r="C210" t="s">
        <v>37</v>
      </c>
      <c r="D210">
        <v>5.7626900000000001</v>
      </c>
      <c r="E210">
        <v>0.50152459999999999</v>
      </c>
      <c r="F210" t="s">
        <v>40</v>
      </c>
      <c r="G210">
        <v>-409.67910000000001</v>
      </c>
      <c r="H210">
        <v>-0.05</v>
      </c>
      <c r="I210">
        <v>368.1343</v>
      </c>
      <c r="J210">
        <v>-422.67020000000002</v>
      </c>
      <c r="K210">
        <v>1.0551379999999999</v>
      </c>
      <c r="L210">
        <v>367.31199999999899</v>
      </c>
      <c r="M210">
        <v>0.99990389999999996</v>
      </c>
      <c r="N210">
        <v>0</v>
      </c>
      <c r="O210">
        <v>4.5189449999999999E-3</v>
      </c>
      <c r="P210">
        <v>0.99650019999999995</v>
      </c>
      <c r="Q210">
        <v>4.7324459999999999E-2</v>
      </c>
      <c r="R210">
        <v>6.8907979999999994E-2</v>
      </c>
      <c r="S210">
        <v>3.0099179999999999</v>
      </c>
      <c r="T210">
        <v>-0.24795200000000001</v>
      </c>
      <c r="U210">
        <v>0.18496699999999999</v>
      </c>
      <c r="V210">
        <v>-6.4508259999999998E-2</v>
      </c>
      <c r="W210">
        <v>6.0283629999999998E-2</v>
      </c>
      <c r="X210">
        <v>0.99609459999999905</v>
      </c>
      <c r="Y210">
        <v>-5.6649449999999997E-2</v>
      </c>
      <c r="Z210">
        <v>1.9559099999999999E-3</v>
      </c>
      <c r="AA210">
        <v>0.99839219999999895</v>
      </c>
      <c r="AB210">
        <v>43</v>
      </c>
      <c r="AC210">
        <v>12.991099999999999</v>
      </c>
      <c r="AD210">
        <v>-1.105138</v>
      </c>
      <c r="AE210">
        <v>0.822300000000041</v>
      </c>
      <c r="AF210">
        <v>-0.75811612010743901</v>
      </c>
      <c r="AG210">
        <v>-1.105138</v>
      </c>
      <c r="AH210">
        <v>12.901690367323599</v>
      </c>
      <c r="AI210">
        <v>94.887523359286703</v>
      </c>
      <c r="AJ210">
        <v>93.362889856941507</v>
      </c>
      <c r="AK210">
        <v>12.971109604999199</v>
      </c>
    </row>
    <row r="211" spans="1:37" x14ac:dyDescent="0.2">
      <c r="A211" t="str">
        <f>"20200111153615111"</f>
        <v>20200111153615111</v>
      </c>
      <c r="B211" t="str">
        <f>"1578728175102891"</f>
        <v>1578728175102891</v>
      </c>
      <c r="C211" t="s">
        <v>37</v>
      </c>
      <c r="D211">
        <v>5.4935010000000002</v>
      </c>
      <c r="E211">
        <v>0.5013031</v>
      </c>
      <c r="F211" t="s">
        <v>40</v>
      </c>
      <c r="G211">
        <v>-409.24189999999999</v>
      </c>
      <c r="H211">
        <v>-0.05</v>
      </c>
      <c r="I211">
        <v>368.16039999999998</v>
      </c>
      <c r="J211">
        <v>-422.21839999999997</v>
      </c>
      <c r="K211">
        <v>1.055005</v>
      </c>
      <c r="L211">
        <v>367.31439999999998</v>
      </c>
      <c r="M211">
        <v>0.99989830000000002</v>
      </c>
      <c r="N211">
        <v>0</v>
      </c>
      <c r="O211">
        <v>4.8147179999999999E-3</v>
      </c>
      <c r="P211">
        <v>0.99647419999999998</v>
      </c>
      <c r="Q211">
        <v>4.7022319999999999E-2</v>
      </c>
      <c r="R211">
        <v>6.9485649999999996E-2</v>
      </c>
      <c r="S211">
        <v>3.0091549999999998</v>
      </c>
      <c r="T211">
        <v>-0.2476505</v>
      </c>
      <c r="U211">
        <v>0.1901245</v>
      </c>
      <c r="V211">
        <v>-6.4773150000000002E-2</v>
      </c>
      <c r="W211">
        <v>6.031885E-2</v>
      </c>
      <c r="X211">
        <v>0.9960753</v>
      </c>
      <c r="Y211">
        <v>-5.8070660000000003E-2</v>
      </c>
      <c r="Z211">
        <v>1.9879770000000001E-3</v>
      </c>
      <c r="AA211">
        <v>0.99831049999999999</v>
      </c>
      <c r="AB211">
        <v>43</v>
      </c>
      <c r="AC211">
        <v>12.9764999999999</v>
      </c>
      <c r="AD211">
        <v>-1.105005</v>
      </c>
      <c r="AE211">
        <v>0.84600000000000297</v>
      </c>
      <c r="AF211">
        <v>-0.77788956961337796</v>
      </c>
      <c r="AG211">
        <v>-1.105005</v>
      </c>
      <c r="AH211">
        <v>12.887369061371899</v>
      </c>
      <c r="AI211">
        <v>94.891880163454701</v>
      </c>
      <c r="AJ211">
        <v>93.454217729572306</v>
      </c>
      <c r="AK211">
        <v>12.958025681273501</v>
      </c>
    </row>
    <row r="212" spans="1:37" x14ac:dyDescent="0.2">
      <c r="A212" t="str">
        <f>"20200111153615134"</f>
        <v>20200111153615134</v>
      </c>
      <c r="B212" t="str">
        <f>"1578728175123387"</f>
        <v>1578728175123387</v>
      </c>
      <c r="C212" t="s">
        <v>37</v>
      </c>
      <c r="D212">
        <v>5.7559979999999999</v>
      </c>
      <c r="E212">
        <v>0.50111539999999999</v>
      </c>
      <c r="F212" t="s">
        <v>40</v>
      </c>
      <c r="G212">
        <v>-408.6071</v>
      </c>
      <c r="H212">
        <v>-0.05</v>
      </c>
      <c r="I212">
        <v>368.19</v>
      </c>
      <c r="J212">
        <v>-421.78129999999999</v>
      </c>
      <c r="K212">
        <v>1.054881</v>
      </c>
      <c r="L212">
        <v>367.31670000000003</v>
      </c>
      <c r="M212">
        <v>0.99989359999999905</v>
      </c>
      <c r="N212">
        <v>0</v>
      </c>
      <c r="O212">
        <v>4.9980049999999998E-3</v>
      </c>
      <c r="P212">
        <v>0.99641759999999902</v>
      </c>
      <c r="Q212">
        <v>4.6558370000000002E-2</v>
      </c>
      <c r="R212">
        <v>7.0599460000000003E-2</v>
      </c>
      <c r="S212">
        <v>3.0086360000000001</v>
      </c>
      <c r="T212">
        <v>-0.24424960000000001</v>
      </c>
      <c r="U212">
        <v>0.19354250000000001</v>
      </c>
      <c r="V212">
        <v>-6.5686739999999993E-2</v>
      </c>
      <c r="W212">
        <v>6.0139409999999997E-2</v>
      </c>
      <c r="X212">
        <v>0.99602630000000003</v>
      </c>
      <c r="Y212">
        <v>-5.9030300000000001E-2</v>
      </c>
      <c r="Z212">
        <v>1.98504E-3</v>
      </c>
      <c r="AA212">
        <v>0.99825419999999998</v>
      </c>
      <c r="AB212">
        <v>43</v>
      </c>
      <c r="AC212">
        <v>13.1741999999999</v>
      </c>
      <c r="AD212">
        <v>-1.104881</v>
      </c>
      <c r="AE212">
        <v>0.87329999999997199</v>
      </c>
      <c r="AF212">
        <v>-0.80182309687228703</v>
      </c>
      <c r="AG212">
        <v>-1.104881</v>
      </c>
      <c r="AH212">
        <v>13.0867552685877</v>
      </c>
      <c r="AI212">
        <v>94.816900120780602</v>
      </c>
      <c r="AJ212">
        <v>93.506118981046598</v>
      </c>
      <c r="AK212">
        <v>13.1577675067903</v>
      </c>
    </row>
    <row r="213" spans="1:37" x14ac:dyDescent="0.2">
      <c r="A213" t="str">
        <f>"20200111153615155"</f>
        <v>20200111153615155</v>
      </c>
      <c r="B213" t="str">
        <f>"1578728175142907"</f>
        <v>1578728175142907</v>
      </c>
      <c r="C213" t="s">
        <v>37</v>
      </c>
      <c r="D213">
        <v>5.5653980000000001</v>
      </c>
      <c r="E213">
        <v>0.50084499999999998</v>
      </c>
      <c r="F213" t="s">
        <v>40</v>
      </c>
      <c r="G213">
        <v>-408.03919999999999</v>
      </c>
      <c r="H213">
        <v>-0.05</v>
      </c>
      <c r="I213">
        <v>368.2208</v>
      </c>
      <c r="J213">
        <v>-421.36320000000001</v>
      </c>
      <c r="K213">
        <v>1.054773</v>
      </c>
      <c r="L213">
        <v>367.31889999999999</v>
      </c>
      <c r="M213">
        <v>0.9998901</v>
      </c>
      <c r="N213">
        <v>0</v>
      </c>
      <c r="O213">
        <v>5.0772389999999999E-3</v>
      </c>
      <c r="P213">
        <v>0.99637940000000003</v>
      </c>
      <c r="Q213">
        <v>4.6486590000000001E-2</v>
      </c>
      <c r="R213">
        <v>7.1184919999999999E-2</v>
      </c>
      <c r="S213">
        <v>3.008057</v>
      </c>
      <c r="T213">
        <v>-0.24185079999999901</v>
      </c>
      <c r="U213">
        <v>0.19790650000000001</v>
      </c>
      <c r="V213">
        <v>-6.6178100000000004E-2</v>
      </c>
      <c r="W213">
        <v>6.0306480000000003E-2</v>
      </c>
      <c r="X213">
        <v>0.99598369999999903</v>
      </c>
      <c r="Y213">
        <v>-6.040483E-2</v>
      </c>
      <c r="Z213">
        <v>2.0146470000000001E-3</v>
      </c>
      <c r="AA213">
        <v>0.9981719</v>
      </c>
      <c r="AB213">
        <v>43</v>
      </c>
      <c r="AC213">
        <v>13.324</v>
      </c>
      <c r="AD213">
        <v>-1.104773</v>
      </c>
      <c r="AE213">
        <v>0.90190000000001203</v>
      </c>
      <c r="AF213">
        <v>-0.828562238870167</v>
      </c>
      <c r="AG213">
        <v>-1.104773</v>
      </c>
      <c r="AH213">
        <v>13.2378121101044</v>
      </c>
      <c r="AI213">
        <v>94.7613391055569</v>
      </c>
      <c r="AJ213">
        <v>93.5815035766053</v>
      </c>
      <c r="AK213">
        <v>13.309647186444799</v>
      </c>
    </row>
    <row r="214" spans="1:37" x14ac:dyDescent="0.2">
      <c r="A214" t="str">
        <f>"20200111153615170"</f>
        <v>20200111153615170</v>
      </c>
      <c r="B214" t="str">
        <f>"1578728175163405"</f>
        <v>1578728175163405</v>
      </c>
      <c r="C214" t="s">
        <v>37</v>
      </c>
      <c r="D214">
        <v>5.6003069999999999</v>
      </c>
      <c r="E214">
        <v>0.50058619999999998</v>
      </c>
      <c r="F214" t="s">
        <v>40</v>
      </c>
      <c r="G214">
        <v>-407.4862</v>
      </c>
      <c r="H214">
        <v>-0.05</v>
      </c>
      <c r="I214">
        <v>368.24889999999999</v>
      </c>
      <c r="J214">
        <v>-421.07479999999998</v>
      </c>
      <c r="K214">
        <v>1.0546959999999901</v>
      </c>
      <c r="L214">
        <v>367.32029999999997</v>
      </c>
      <c r="M214">
        <v>0.9998882</v>
      </c>
      <c r="N214">
        <v>0</v>
      </c>
      <c r="O214">
        <v>5.0699339999999999E-3</v>
      </c>
      <c r="P214">
        <v>0.99634800000000001</v>
      </c>
      <c r="Q214">
        <v>4.7137289999999998E-2</v>
      </c>
      <c r="R214">
        <v>7.1194099999999996E-2</v>
      </c>
      <c r="S214">
        <v>3.00766</v>
      </c>
      <c r="T214">
        <v>-0.23944659999999901</v>
      </c>
      <c r="U214">
        <v>0.20156859999999999</v>
      </c>
      <c r="V214">
        <v>-6.6183889999999995E-2</v>
      </c>
      <c r="W214">
        <v>6.1103709999999999E-2</v>
      </c>
      <c r="X214">
        <v>0.99593469999999995</v>
      </c>
      <c r="Y214">
        <v>-6.1630320000000002E-2</v>
      </c>
      <c r="Z214">
        <v>2.0440950000000001E-3</v>
      </c>
      <c r="AA214">
        <v>0.99809689999999995</v>
      </c>
      <c r="AB214">
        <v>43</v>
      </c>
      <c r="AC214">
        <v>13.5885999999999</v>
      </c>
      <c r="AD214">
        <v>-1.1046959999999999</v>
      </c>
      <c r="AE214">
        <v>0.92860000000001697</v>
      </c>
      <c r="AF214">
        <v>-0.85406962637248196</v>
      </c>
      <c r="AG214">
        <v>-1.1046959999999999</v>
      </c>
      <c r="AH214">
        <v>13.504298592371001</v>
      </c>
      <c r="AI214">
        <v>94.6672865033661</v>
      </c>
      <c r="AJ214">
        <v>93.618810508014207</v>
      </c>
      <c r="AK214">
        <v>13.576298046633401</v>
      </c>
    </row>
    <row r="215" spans="1:37" x14ac:dyDescent="0.2">
      <c r="A215" t="str">
        <f>"20200111153615189"</f>
        <v>20200111153615189</v>
      </c>
      <c r="B215" t="str">
        <f>"1578728175182923"</f>
        <v>1578728175182923</v>
      </c>
      <c r="C215" t="s">
        <v>37</v>
      </c>
      <c r="D215">
        <v>5.5369409999999997</v>
      </c>
      <c r="E215">
        <v>0.50041930000000001</v>
      </c>
      <c r="F215" t="s">
        <v>40</v>
      </c>
      <c r="G215">
        <v>-407.08730000000003</v>
      </c>
      <c r="H215">
        <v>-0.05</v>
      </c>
      <c r="I215">
        <v>368.2679</v>
      </c>
      <c r="J215">
        <v>-420.71589999999998</v>
      </c>
      <c r="K215">
        <v>1.0546149999999901</v>
      </c>
      <c r="L215">
        <v>367.32209999999998</v>
      </c>
      <c r="M215">
        <v>0.99988639999999995</v>
      </c>
      <c r="N215">
        <v>0</v>
      </c>
      <c r="O215">
        <v>5.0013990000000001E-3</v>
      </c>
      <c r="P215">
        <v>0.99629869999999898</v>
      </c>
      <c r="Q215">
        <v>4.7962650000000003E-2</v>
      </c>
      <c r="R215">
        <v>7.1333859999999999E-2</v>
      </c>
      <c r="S215">
        <v>3.00766</v>
      </c>
      <c r="T215">
        <v>-0.23753730000000001</v>
      </c>
      <c r="U215">
        <v>0.2037659</v>
      </c>
      <c r="V215">
        <v>-6.6378339999999994E-2</v>
      </c>
      <c r="W215">
        <v>6.2095549999999999E-2</v>
      </c>
      <c r="X215">
        <v>0.99586049999999904</v>
      </c>
      <c r="Y215">
        <v>-6.2424729999999998E-2</v>
      </c>
      <c r="Z215">
        <v>2.06448E-3</v>
      </c>
      <c r="AA215">
        <v>0.99804749999999998</v>
      </c>
      <c r="AB215">
        <v>43</v>
      </c>
      <c r="AC215">
        <v>13.628599999999899</v>
      </c>
      <c r="AD215">
        <v>-1.1046149999999999</v>
      </c>
      <c r="AE215">
        <v>0.94580000000001896</v>
      </c>
      <c r="AF215">
        <v>-0.87191876491908804</v>
      </c>
      <c r="AG215">
        <v>-1.1046149999999999</v>
      </c>
      <c r="AH215">
        <v>13.5446081367198</v>
      </c>
      <c r="AI215">
        <v>94.652785222790897</v>
      </c>
      <c r="AJ215">
        <v>93.683268525451894</v>
      </c>
      <c r="AK215">
        <v>13.617519091528401</v>
      </c>
    </row>
    <row r="216" spans="1:37" x14ac:dyDescent="0.2">
      <c r="A216" t="str">
        <f>"20200111153615213"</f>
        <v>20200111153615213</v>
      </c>
      <c r="B216" t="str">
        <f>"1578728175203427"</f>
        <v>1578728175203427</v>
      </c>
      <c r="C216" t="s">
        <v>37</v>
      </c>
      <c r="D216">
        <v>5.5879560000000001</v>
      </c>
      <c r="E216">
        <v>0.50036369999999997</v>
      </c>
      <c r="F216" t="s">
        <v>40</v>
      </c>
      <c r="G216">
        <v>-406.5299</v>
      </c>
      <c r="H216">
        <v>-0.05</v>
      </c>
      <c r="I216">
        <v>368.29230000000001</v>
      </c>
      <c r="J216">
        <v>-420.25130000000001</v>
      </c>
      <c r="K216">
        <v>1.0545119999999999</v>
      </c>
      <c r="L216">
        <v>367.32440000000003</v>
      </c>
      <c r="M216">
        <v>0.99988500000000002</v>
      </c>
      <c r="N216">
        <v>0</v>
      </c>
      <c r="O216">
        <v>4.815789E-3</v>
      </c>
      <c r="P216">
        <v>0.99622479999999902</v>
      </c>
      <c r="Q216">
        <v>4.9774100000000002E-2</v>
      </c>
      <c r="R216">
        <v>7.1128170000000004E-2</v>
      </c>
      <c r="S216">
        <v>3.0077509999999998</v>
      </c>
      <c r="T216">
        <v>-0.23420389999999899</v>
      </c>
      <c r="U216">
        <v>0.2056885</v>
      </c>
      <c r="V216">
        <v>-6.634002E-2</v>
      </c>
      <c r="W216">
        <v>6.409571E-2</v>
      </c>
      <c r="X216">
        <v>0.99573630000000002</v>
      </c>
      <c r="Y216">
        <v>-6.3244910000000001E-2</v>
      </c>
      <c r="Z216">
        <v>2.0817520000000001E-3</v>
      </c>
      <c r="AA216">
        <v>0.99799590000000005</v>
      </c>
      <c r="AB216">
        <v>43</v>
      </c>
      <c r="AC216">
        <v>13.721399999999999</v>
      </c>
      <c r="AD216">
        <v>-1.1045119999999999</v>
      </c>
      <c r="AE216">
        <v>0.96789999999998599</v>
      </c>
      <c r="AF216">
        <v>-0.89602548793204395</v>
      </c>
      <c r="AG216">
        <v>-1.1045119999999999</v>
      </c>
      <c r="AH216">
        <v>13.6379723056807</v>
      </c>
      <c r="AI216">
        <v>94.620246783838297</v>
      </c>
      <c r="AJ216">
        <v>93.7589752542779</v>
      </c>
      <c r="AK216">
        <v>13.711932651660801</v>
      </c>
    </row>
    <row r="217" spans="1:37" x14ac:dyDescent="0.2">
      <c r="A217" t="str">
        <f>"20200111153615245"</f>
        <v>20200111153615245</v>
      </c>
      <c r="B217" t="str">
        <f>"1578728175232703"</f>
        <v>1578728175232703</v>
      </c>
      <c r="C217" t="s">
        <v>37</v>
      </c>
      <c r="D217">
        <v>5.5930650000000002</v>
      </c>
      <c r="E217">
        <v>0.50033059999999996</v>
      </c>
      <c r="F217" t="s">
        <v>40</v>
      </c>
      <c r="G217">
        <v>-405.71960000000001</v>
      </c>
      <c r="H217">
        <v>-0.05</v>
      </c>
      <c r="I217">
        <v>368.31889999999999</v>
      </c>
      <c r="J217">
        <v>-419.64019999999999</v>
      </c>
      <c r="K217">
        <v>1.054397</v>
      </c>
      <c r="L217">
        <v>367.32690000000002</v>
      </c>
      <c r="M217">
        <v>0.99988390000000005</v>
      </c>
      <c r="N217">
        <v>0</v>
      </c>
      <c r="O217">
        <v>4.4307050000000001E-3</v>
      </c>
      <c r="P217">
        <v>0.99617710000000004</v>
      </c>
      <c r="Q217">
        <v>5.1150800000000003E-2</v>
      </c>
      <c r="R217">
        <v>7.0814070000000007E-2</v>
      </c>
      <c r="S217">
        <v>3.00808699999999</v>
      </c>
      <c r="T217">
        <v>-0.22863629999999999</v>
      </c>
      <c r="U217">
        <v>0.20587159999999999</v>
      </c>
      <c r="V217">
        <v>-6.6386329999999993E-2</v>
      </c>
      <c r="W217">
        <v>6.5681180000000006E-2</v>
      </c>
      <c r="X217">
        <v>0.99562980000000001</v>
      </c>
      <c r="Y217">
        <v>-6.3688049999999996E-2</v>
      </c>
      <c r="Z217">
        <v>2.0781670000000001E-3</v>
      </c>
      <c r="AA217">
        <v>0.99796770000000001</v>
      </c>
      <c r="AB217">
        <v>43</v>
      </c>
      <c r="AC217">
        <v>13.920599999999901</v>
      </c>
      <c r="AD217">
        <v>-1.1043970000000001</v>
      </c>
      <c r="AE217">
        <v>0.99199999999996102</v>
      </c>
      <c r="AF217">
        <v>-0.92451602516312403</v>
      </c>
      <c r="AG217">
        <v>-1.1043970000000001</v>
      </c>
      <c r="AH217">
        <v>13.838199935631099</v>
      </c>
      <c r="AI217">
        <v>94.552875166853298</v>
      </c>
      <c r="AJ217">
        <v>93.8221926414938</v>
      </c>
      <c r="AK217">
        <v>13.912950803941399</v>
      </c>
    </row>
    <row r="218" spans="1:37" x14ac:dyDescent="0.2">
      <c r="A218" t="str">
        <f>"20200111153615266"</f>
        <v>20200111153615266</v>
      </c>
      <c r="B218" t="str">
        <f>"1578728175262956"</f>
        <v>1578728175262956</v>
      </c>
      <c r="C218" t="s">
        <v>37</v>
      </c>
      <c r="D218">
        <v>5.8840879999999904</v>
      </c>
      <c r="E218">
        <v>0.50033950000000005</v>
      </c>
      <c r="F218" t="s">
        <v>40</v>
      </c>
      <c r="G218">
        <v>-404.8605</v>
      </c>
      <c r="H218">
        <v>-0.05</v>
      </c>
      <c r="I218">
        <v>368.33409999999998</v>
      </c>
      <c r="J218">
        <v>-419.22649999999999</v>
      </c>
      <c r="K218">
        <v>1.0543450000000001</v>
      </c>
      <c r="L218">
        <v>367.32850000000002</v>
      </c>
      <c r="M218">
        <v>0.99988390000000005</v>
      </c>
      <c r="N218">
        <v>0</v>
      </c>
      <c r="O218">
        <v>4.0947259999999999E-3</v>
      </c>
      <c r="P218">
        <v>0.99603589999999997</v>
      </c>
      <c r="Q218">
        <v>5.417984E-2</v>
      </c>
      <c r="R218">
        <v>7.0548490000000005E-2</v>
      </c>
      <c r="S218">
        <v>3.0084840000000002</v>
      </c>
      <c r="T218">
        <v>-0.22480539999999999</v>
      </c>
      <c r="U218">
        <v>0.20501710000000001</v>
      </c>
      <c r="V218">
        <v>-6.6440570000000004E-2</v>
      </c>
      <c r="W218">
        <v>6.8825929999999994E-2</v>
      </c>
      <c r="X218">
        <v>0.99541380000000002</v>
      </c>
      <c r="Y218">
        <v>-6.3736870000000001E-2</v>
      </c>
      <c r="Z218">
        <v>2.0700559999999998E-3</v>
      </c>
      <c r="AA218">
        <v>0.99796459999999998</v>
      </c>
      <c r="AB218">
        <v>43</v>
      </c>
      <c r="AC218">
        <v>14.3659999999999</v>
      </c>
      <c r="AD218">
        <v>-1.1043449999999999</v>
      </c>
      <c r="AE218">
        <v>1.0055999999999501</v>
      </c>
      <c r="AF218">
        <v>-0.94122551027309398</v>
      </c>
      <c r="AG218">
        <v>-1.1043449999999999</v>
      </c>
      <c r="AH218">
        <v>14.2859887267477</v>
      </c>
      <c r="AI218">
        <v>94.4108006739785</v>
      </c>
      <c r="AJ218">
        <v>93.769457115998904</v>
      </c>
      <c r="AK218">
        <v>14.3594901455788</v>
      </c>
    </row>
    <row r="219" spans="1:37" x14ac:dyDescent="0.2">
      <c r="A219" t="str">
        <f>"20200111153615280"</f>
        <v>20200111153615280</v>
      </c>
      <c r="B219" t="str">
        <f>"1578728175272715"</f>
        <v>1578728175272715</v>
      </c>
      <c r="C219" t="s">
        <v>37</v>
      </c>
      <c r="D219">
        <v>5.5687110000000004</v>
      </c>
      <c r="E219">
        <v>0.50034230000000002</v>
      </c>
      <c r="F219" t="s">
        <v>40</v>
      </c>
      <c r="G219">
        <v>-403.7774</v>
      </c>
      <c r="H219">
        <v>-0.05</v>
      </c>
      <c r="I219">
        <v>368.37810000000002</v>
      </c>
      <c r="J219">
        <v>-418.95679999999999</v>
      </c>
      <c r="K219">
        <v>1.0543129999999901</v>
      </c>
      <c r="L219">
        <v>367.3295</v>
      </c>
      <c r="M219">
        <v>0.99988390000000005</v>
      </c>
      <c r="N219">
        <v>0</v>
      </c>
      <c r="O219">
        <v>3.8544170000000002E-3</v>
      </c>
      <c r="P219">
        <v>0.99594269999999996</v>
      </c>
      <c r="Q219">
        <v>5.6040609999999998E-2</v>
      </c>
      <c r="R219">
        <v>7.0408990000000005E-2</v>
      </c>
      <c r="S219">
        <v>3.0091549999999998</v>
      </c>
      <c r="T219">
        <v>-0.21510309999999999</v>
      </c>
      <c r="U219">
        <v>0.20443729999999999</v>
      </c>
      <c r="V219">
        <v>-6.6531259999999995E-2</v>
      </c>
      <c r="W219">
        <v>7.0754800000000007E-2</v>
      </c>
      <c r="X219">
        <v>0.9952725</v>
      </c>
      <c r="Y219">
        <v>-6.3783489999999998E-2</v>
      </c>
      <c r="Z219">
        <v>1.9993189999999998E-3</v>
      </c>
      <c r="AA219">
        <v>0.99796180000000001</v>
      </c>
      <c r="AB219">
        <v>43</v>
      </c>
      <c r="AC219">
        <v>15.1793999999999</v>
      </c>
      <c r="AD219">
        <v>-1.1043129999999901</v>
      </c>
      <c r="AE219">
        <v>1.04860000000002</v>
      </c>
      <c r="AF219">
        <v>-0.98489016750830805</v>
      </c>
      <c r="AG219">
        <v>-1.1043129999999901</v>
      </c>
      <c r="AH219">
        <v>15.1037697349628</v>
      </c>
      <c r="AI219">
        <v>94.172912198428193</v>
      </c>
      <c r="AJ219">
        <v>93.730874607867307</v>
      </c>
      <c r="AK219">
        <v>15.176079073686999</v>
      </c>
    </row>
    <row r="220" spans="1:37" x14ac:dyDescent="0.2">
      <c r="A220" t="str">
        <f>"20200111153615301"</f>
        <v>20200111153615301</v>
      </c>
      <c r="B220" t="str">
        <f>"1578728175293211"</f>
        <v>1578728175293211</v>
      </c>
      <c r="C220" t="s">
        <v>37</v>
      </c>
      <c r="D220">
        <v>5.6520479999999997</v>
      </c>
      <c r="E220">
        <v>0.50035289999999999</v>
      </c>
      <c r="F220" t="s">
        <v>40</v>
      </c>
      <c r="G220">
        <v>-403.053</v>
      </c>
      <c r="H220">
        <v>-0.05</v>
      </c>
      <c r="I220">
        <v>368.40660000000003</v>
      </c>
      <c r="J220">
        <v>-418.56290000000001</v>
      </c>
      <c r="K220">
        <v>1.0542819999999999</v>
      </c>
      <c r="L220">
        <v>367.33069999999998</v>
      </c>
      <c r="M220">
        <v>0.999884199999999</v>
      </c>
      <c r="N220">
        <v>0</v>
      </c>
      <c r="O220">
        <v>3.4713600000000002E-3</v>
      </c>
      <c r="P220">
        <v>0.99571449999999995</v>
      </c>
      <c r="Q220">
        <v>5.9667070000000003E-2</v>
      </c>
      <c r="R220">
        <v>7.0658529999999997E-2</v>
      </c>
      <c r="S220">
        <v>3.0095519999999998</v>
      </c>
      <c r="T220">
        <v>-0.20897350000000001</v>
      </c>
      <c r="U220">
        <v>0.20382690000000001</v>
      </c>
      <c r="V220">
        <v>-6.7149470000000003E-2</v>
      </c>
      <c r="W220">
        <v>7.4465260000000005E-2</v>
      </c>
      <c r="X220">
        <v>0.99496019999999896</v>
      </c>
      <c r="Y220">
        <v>-6.3962679999999994E-2</v>
      </c>
      <c r="Z220">
        <v>1.9749860000000002E-3</v>
      </c>
      <c r="AA220">
        <v>0.99795029999999996</v>
      </c>
      <c r="AB220">
        <v>43</v>
      </c>
      <c r="AC220">
        <v>15.509899999999901</v>
      </c>
      <c r="AD220">
        <v>-1.104282</v>
      </c>
      <c r="AE220">
        <v>1.07590000000004</v>
      </c>
      <c r="AF220">
        <v>-1.01691686029145</v>
      </c>
      <c r="AG220">
        <v>-1.104282</v>
      </c>
      <c r="AH220">
        <v>15.4356695389436</v>
      </c>
      <c r="AI220">
        <v>94.083199624407598</v>
      </c>
      <c r="AJ220">
        <v>93.769254514304194</v>
      </c>
      <c r="AK220">
        <v>15.5084961473297</v>
      </c>
    </row>
    <row r="221" spans="1:37" x14ac:dyDescent="0.2">
      <c r="A221" t="str">
        <f>"20200111153615324"</f>
        <v>20200111153615324</v>
      </c>
      <c r="B221" t="str">
        <f>"1578728175312731"</f>
        <v>1578728175312731</v>
      </c>
      <c r="C221" t="s">
        <v>37</v>
      </c>
      <c r="D221">
        <v>5.7630019999999904</v>
      </c>
      <c r="E221">
        <v>0.53077489999999905</v>
      </c>
      <c r="F221" t="s">
        <v>40</v>
      </c>
      <c r="G221">
        <v>-401.82709999999997</v>
      </c>
      <c r="H221">
        <v>-0.05</v>
      </c>
      <c r="I221">
        <v>368.46640000000002</v>
      </c>
      <c r="J221">
        <v>-418.11900000000003</v>
      </c>
      <c r="K221">
        <v>1.054249</v>
      </c>
      <c r="L221">
        <v>367.33179999999999</v>
      </c>
      <c r="M221">
        <v>0.99988469999999996</v>
      </c>
      <c r="N221">
        <v>0</v>
      </c>
      <c r="O221">
        <v>3.0112359999999901E-3</v>
      </c>
      <c r="P221">
        <v>0.99557399999999996</v>
      </c>
      <c r="Q221">
        <v>6.091738E-2</v>
      </c>
      <c r="R221">
        <v>7.1566309999999994E-2</v>
      </c>
      <c r="S221">
        <v>3.010345</v>
      </c>
      <c r="T221">
        <v>-0.198633</v>
      </c>
      <c r="U221">
        <v>0.20428470000000001</v>
      </c>
      <c r="V221">
        <v>-6.8504599999999999E-2</v>
      </c>
      <c r="W221">
        <v>7.5798050000000006E-2</v>
      </c>
      <c r="X221">
        <v>0.99476719999999896</v>
      </c>
      <c r="Y221">
        <v>-6.4566949999999998E-2</v>
      </c>
      <c r="Z221">
        <v>1.92716E-3</v>
      </c>
      <c r="AA221">
        <v>0.99791149999999995</v>
      </c>
      <c r="AB221">
        <v>43</v>
      </c>
      <c r="AC221">
        <v>16.291899999999998</v>
      </c>
      <c r="AD221">
        <v>-1.104249</v>
      </c>
      <c r="AE221">
        <v>1.13460000000003</v>
      </c>
      <c r="AF221">
        <v>-1.0805903973915501</v>
      </c>
      <c r="AG221">
        <v>-1.104249</v>
      </c>
      <c r="AH221">
        <v>16.221083140747901</v>
      </c>
      <c r="AI221">
        <v>93.885811339675499</v>
      </c>
      <c r="AJ221">
        <v>93.811208325015002</v>
      </c>
      <c r="AK221">
        <v>16.294495380955802</v>
      </c>
    </row>
    <row r="222" spans="1:37" x14ac:dyDescent="0.2">
      <c r="A222" t="str">
        <f>"20200111153615337"</f>
        <v>20200111153615337</v>
      </c>
      <c r="B222" t="str">
        <f>"1578728175333227"</f>
        <v>1578728175333227</v>
      </c>
      <c r="C222" t="s">
        <v>37</v>
      </c>
      <c r="D222">
        <v>5.661594</v>
      </c>
      <c r="E222">
        <v>0.58585259999999995</v>
      </c>
      <c r="F222" t="s">
        <v>38</v>
      </c>
      <c r="G222">
        <v>-417.12079999999997</v>
      </c>
      <c r="H222">
        <v>0.95100149999999894</v>
      </c>
      <c r="I222">
        <v>367.31970000000001</v>
      </c>
      <c r="J222">
        <v>-417.85730000000001</v>
      </c>
      <c r="K222">
        <v>1.0542419999999999</v>
      </c>
      <c r="L222">
        <v>367.33240000000001</v>
      </c>
      <c r="M222">
        <v>0.99988489999999997</v>
      </c>
      <c r="N222">
        <v>0</v>
      </c>
      <c r="O222">
        <v>2.731977E-3</v>
      </c>
      <c r="P222">
        <v>0.99552580000000002</v>
      </c>
      <c r="Q222">
        <v>6.1024540000000002E-2</v>
      </c>
      <c r="R222">
        <v>7.2144299999999995E-2</v>
      </c>
      <c r="S222">
        <v>3.0351560000000002</v>
      </c>
      <c r="T222">
        <v>-0.3139364</v>
      </c>
      <c r="U222">
        <v>-3.649902E-2</v>
      </c>
      <c r="V222">
        <v>-6.9355700000000006E-2</v>
      </c>
      <c r="W222">
        <v>7.5949260000000005E-2</v>
      </c>
      <c r="X222">
        <v>0.99469669999999899</v>
      </c>
      <c r="Y222">
        <v>1.4663789999999999E-2</v>
      </c>
      <c r="Z222">
        <v>-1.0381660000000001E-3</v>
      </c>
      <c r="AA222">
        <v>0.99989189999999994</v>
      </c>
      <c r="AB222">
        <v>43</v>
      </c>
      <c r="AC222">
        <v>0.73650000000003502</v>
      </c>
      <c r="AD222">
        <v>-0.103240499999999</v>
      </c>
      <c r="AE222">
        <v>-1.26999999999952E-2</v>
      </c>
      <c r="AF222">
        <v>1.4428840457820899E-2</v>
      </c>
      <c r="AG222">
        <v>-0.103240499999999</v>
      </c>
      <c r="AH222">
        <v>0.72227433583028899</v>
      </c>
      <c r="AI222">
        <v>98.133045399616094</v>
      </c>
      <c r="AJ222">
        <v>88.855557130447906</v>
      </c>
      <c r="AK222">
        <v>0.72975818493271605</v>
      </c>
    </row>
    <row r="223" spans="1:37" x14ac:dyDescent="0.2">
      <c r="A223" t="str">
        <f>"20200111153615356"</f>
        <v>20200111153615356</v>
      </c>
      <c r="B223" t="str">
        <f>"1578728175352748"</f>
        <v>1578728175352748</v>
      </c>
      <c r="C223" t="s">
        <v>37</v>
      </c>
      <c r="D223">
        <v>5.6336589999999998</v>
      </c>
      <c r="E223">
        <v>0.59211740000000002</v>
      </c>
      <c r="F223" t="s">
        <v>38</v>
      </c>
      <c r="G223">
        <v>-417.14030000000002</v>
      </c>
      <c r="H223">
        <v>0.9110779</v>
      </c>
      <c r="I223">
        <v>367.22140000000002</v>
      </c>
      <c r="J223">
        <v>-417.50459999999998</v>
      </c>
      <c r="K223">
        <v>1.054243</v>
      </c>
      <c r="L223">
        <v>367.3331</v>
      </c>
      <c r="M223">
        <v>0.99988509999999997</v>
      </c>
      <c r="N223">
        <v>0</v>
      </c>
      <c r="O223">
        <v>2.348101E-3</v>
      </c>
      <c r="P223">
        <v>0.99546859999999904</v>
      </c>
      <c r="Q223">
        <v>6.0397989999999999E-2</v>
      </c>
      <c r="R223">
        <v>7.3447970000000001E-2</v>
      </c>
      <c r="S223">
        <v>3.0858759999999998</v>
      </c>
      <c r="T223">
        <v>-0.61618799999999996</v>
      </c>
      <c r="U223">
        <v>-0.47729490000000002</v>
      </c>
      <c r="V223">
        <v>-7.1036329999999995E-2</v>
      </c>
      <c r="W223">
        <v>7.5374880000000005E-2</v>
      </c>
      <c r="X223">
        <v>0.9946218</v>
      </c>
      <c r="Y223">
        <v>0.1521931</v>
      </c>
      <c r="Z223">
        <v>-1.542175E-2</v>
      </c>
      <c r="AA223">
        <v>0.98823050000000001</v>
      </c>
      <c r="AB223">
        <v>43</v>
      </c>
      <c r="AC223">
        <v>0.36429999999995699</v>
      </c>
      <c r="AD223">
        <v>-0.14316509999999999</v>
      </c>
      <c r="AE223">
        <v>-0.11169999999998401</v>
      </c>
      <c r="AF223">
        <v>9.8631656369735907E-2</v>
      </c>
      <c r="AG223">
        <v>-0.14316509999999999</v>
      </c>
      <c r="AH223">
        <v>0.31900383705395802</v>
      </c>
      <c r="AI223">
        <v>113.207800077643</v>
      </c>
      <c r="AJ223">
        <v>72.819101037488494</v>
      </c>
      <c r="AK223">
        <v>0.36330138666318901</v>
      </c>
    </row>
    <row r="224" spans="1:37" x14ac:dyDescent="0.2">
      <c r="A224" t="str">
        <f>"20200111153615369"</f>
        <v>20200111153615369</v>
      </c>
      <c r="B224" t="str">
        <f>"1578728175363484"</f>
        <v>1578728175363484</v>
      </c>
      <c r="C224" t="s">
        <v>37</v>
      </c>
      <c r="D224">
        <v>5.5136589999999996</v>
      </c>
      <c r="E224">
        <v>0.59340899999999996</v>
      </c>
      <c r="F224" t="s">
        <v>38</v>
      </c>
      <c r="G224">
        <v>-416.7681</v>
      </c>
      <c r="H224">
        <v>0.88904479999999997</v>
      </c>
      <c r="I224">
        <v>367.2079</v>
      </c>
      <c r="J224">
        <v>-417.25619999999998</v>
      </c>
      <c r="K224">
        <v>1.054238</v>
      </c>
      <c r="L224">
        <v>367.33350000000002</v>
      </c>
      <c r="M224">
        <v>0.99988529999999998</v>
      </c>
      <c r="N224">
        <v>0</v>
      </c>
      <c r="O224">
        <v>2.0748659999999999E-3</v>
      </c>
      <c r="P224">
        <v>0.99544009999999905</v>
      </c>
      <c r="Q224">
        <v>6.0752670000000002E-2</v>
      </c>
      <c r="R224">
        <v>7.3543330000000004E-2</v>
      </c>
      <c r="S224">
        <v>3.0944820000000002</v>
      </c>
      <c r="T224">
        <v>-0.69413130000000001</v>
      </c>
      <c r="U224">
        <v>-0.52432250000000002</v>
      </c>
      <c r="V224">
        <v>-7.1399409999999996E-2</v>
      </c>
      <c r="W224">
        <v>7.5761910000000002E-2</v>
      </c>
      <c r="X224">
        <v>0.99456639999999996</v>
      </c>
      <c r="Y224">
        <v>0.165063299999999</v>
      </c>
      <c r="Z224">
        <v>-1.861755E-2</v>
      </c>
      <c r="AA224">
        <v>0.98610719999999996</v>
      </c>
      <c r="AB224">
        <v>43</v>
      </c>
      <c r="AC224">
        <v>0.488099999999974</v>
      </c>
      <c r="AD224">
        <v>-0.16519319999999901</v>
      </c>
      <c r="AE224">
        <v>-0.125600000000019</v>
      </c>
      <c r="AF224">
        <v>0.114330204242117</v>
      </c>
      <c r="AG224">
        <v>-0.16519319999999901</v>
      </c>
      <c r="AH224">
        <v>0.44051429863788699</v>
      </c>
      <c r="AI224">
        <v>109.94963094356601</v>
      </c>
      <c r="AJ224">
        <v>75.4505806176672</v>
      </c>
      <c r="AK224">
        <v>0.484162200334468</v>
      </c>
    </row>
    <row r="225" spans="1:37" x14ac:dyDescent="0.2">
      <c r="A225" t="str">
        <f>"20200111153615383"</f>
        <v>20200111153615383</v>
      </c>
      <c r="B225" t="str">
        <f>"1578728175373244"</f>
        <v>1578728175373244</v>
      </c>
      <c r="C225" t="s">
        <v>37</v>
      </c>
      <c r="D225">
        <v>5.5399580000000004</v>
      </c>
      <c r="E225">
        <v>0.59407109999999996</v>
      </c>
      <c r="F225" t="s">
        <v>38</v>
      </c>
      <c r="G225">
        <v>-416.39960000000002</v>
      </c>
      <c r="H225">
        <v>0.85676319999999995</v>
      </c>
      <c r="I225">
        <v>367.18560000000002</v>
      </c>
      <c r="J225">
        <v>-416.99900000000002</v>
      </c>
      <c r="K225">
        <v>1.054235</v>
      </c>
      <c r="L225">
        <v>367.33390000000003</v>
      </c>
      <c r="M225">
        <v>0.99988539999999904</v>
      </c>
      <c r="N225">
        <v>0</v>
      </c>
      <c r="O225">
        <v>1.7909879999999899E-3</v>
      </c>
      <c r="P225">
        <v>0.99539069999999996</v>
      </c>
      <c r="Q225">
        <v>6.1641139999999997E-2</v>
      </c>
      <c r="R225">
        <v>7.3470899999999895E-2</v>
      </c>
      <c r="S225">
        <v>3.0967709999999999</v>
      </c>
      <c r="T225">
        <v>-0.71400359999999996</v>
      </c>
      <c r="U225">
        <v>-0.53433229999999998</v>
      </c>
      <c r="V225">
        <v>-7.1605890000000005E-2</v>
      </c>
      <c r="W225">
        <v>7.6680010000000007E-2</v>
      </c>
      <c r="X225">
        <v>0.99448110000000001</v>
      </c>
      <c r="Y225">
        <v>0.16748270000000001</v>
      </c>
      <c r="Z225">
        <v>-1.932799E-2</v>
      </c>
      <c r="AA225">
        <v>0.98568549999999999</v>
      </c>
      <c r="AB225">
        <v>43</v>
      </c>
      <c r="AC225">
        <v>0.59940000000000204</v>
      </c>
      <c r="AD225">
        <v>-0.1974718</v>
      </c>
      <c r="AE225">
        <v>-0.14830000000000601</v>
      </c>
      <c r="AF225">
        <v>0.13551360863189199</v>
      </c>
      <c r="AG225">
        <v>-0.1974718</v>
      </c>
      <c r="AH225">
        <v>0.54354208225535905</v>
      </c>
      <c r="AI225">
        <v>109.418305179218</v>
      </c>
      <c r="AJ225">
        <v>76.000660281905098</v>
      </c>
      <c r="AK225">
        <v>0.59396720877685605</v>
      </c>
    </row>
    <row r="226" spans="1:37" x14ac:dyDescent="0.2">
      <c r="A226" t="str">
        <f>"20200111153615401"</f>
        <v>20200111153615401</v>
      </c>
      <c r="B226" t="str">
        <f>"1578728175392766"</f>
        <v>1578728175392766</v>
      </c>
      <c r="C226" t="s">
        <v>37</v>
      </c>
      <c r="D226">
        <v>5.7406180000000004</v>
      </c>
      <c r="E226">
        <v>0.59485790000000005</v>
      </c>
      <c r="F226" t="s">
        <v>38</v>
      </c>
      <c r="G226">
        <v>-416.02969999999999</v>
      </c>
      <c r="H226">
        <v>0.82759769999999899</v>
      </c>
      <c r="I226">
        <v>367.16469999999998</v>
      </c>
      <c r="J226">
        <v>-416.64729999999997</v>
      </c>
      <c r="K226">
        <v>1.054233</v>
      </c>
      <c r="L226">
        <v>367.33409999999998</v>
      </c>
      <c r="M226">
        <v>0.99988539999999904</v>
      </c>
      <c r="N226">
        <v>0</v>
      </c>
      <c r="O226">
        <v>1.401745E-3</v>
      </c>
      <c r="P226">
        <v>0.995311099999999</v>
      </c>
      <c r="Q226">
        <v>6.3667950000000001E-2</v>
      </c>
      <c r="R226">
        <v>7.2816149999999996E-2</v>
      </c>
      <c r="S226">
        <v>3.0986020000000001</v>
      </c>
      <c r="T226">
        <v>-0.72451509999999997</v>
      </c>
      <c r="U226">
        <v>-0.53970340000000006</v>
      </c>
      <c r="V226">
        <v>-7.1332149999999997E-2</v>
      </c>
      <c r="W226">
        <v>7.874275E-2</v>
      </c>
      <c r="X226">
        <v>0.99433959999999999</v>
      </c>
      <c r="Y226">
        <v>0.1685236</v>
      </c>
      <c r="Z226">
        <v>-1.9621400000000001E-2</v>
      </c>
      <c r="AA226">
        <v>0.98550230000000005</v>
      </c>
      <c r="AB226">
        <v>43</v>
      </c>
      <c r="AC226">
        <v>0.61759999999998105</v>
      </c>
      <c r="AD226">
        <v>-0.22663530000000001</v>
      </c>
      <c r="AE226">
        <v>-0.169399999999996</v>
      </c>
      <c r="AF226">
        <v>0.15131517213554399</v>
      </c>
      <c r="AG226">
        <v>-0.22663530000000001</v>
      </c>
      <c r="AH226">
        <v>0.54864985373556596</v>
      </c>
      <c r="AI226">
        <v>111.712997950272</v>
      </c>
      <c r="AJ226">
        <v>74.581382028318799</v>
      </c>
      <c r="AK226">
        <v>0.61259815746421997</v>
      </c>
    </row>
    <row r="227" spans="1:37" x14ac:dyDescent="0.2">
      <c r="A227" t="str">
        <f>"20200111153615423"</f>
        <v>20200111153615423</v>
      </c>
      <c r="B227" t="str">
        <f>"1578728175413262"</f>
        <v>1578728175413262</v>
      </c>
      <c r="C227" t="s">
        <v>37</v>
      </c>
      <c r="D227">
        <v>5.9015629999999897</v>
      </c>
      <c r="E227">
        <v>0.59546279999999996</v>
      </c>
      <c r="F227" t="s">
        <v>38</v>
      </c>
      <c r="G227">
        <v>-415.6456</v>
      </c>
      <c r="H227">
        <v>0.83350970000000002</v>
      </c>
      <c r="I227">
        <v>367.15690000000001</v>
      </c>
      <c r="J227">
        <v>-416.22340000000003</v>
      </c>
      <c r="K227">
        <v>1.054219</v>
      </c>
      <c r="L227">
        <v>367.33440000000002</v>
      </c>
      <c r="M227">
        <v>0.99988559999999904</v>
      </c>
      <c r="N227">
        <v>0</v>
      </c>
      <c r="O227">
        <v>9.314964E-4</v>
      </c>
      <c r="P227">
        <v>0.99532609999999999</v>
      </c>
      <c r="Q227">
        <v>6.4795770000000003E-2</v>
      </c>
      <c r="R227">
        <v>7.1606199999999995E-2</v>
      </c>
      <c r="S227">
        <v>3.097839</v>
      </c>
      <c r="T227">
        <v>-0.68264639999999999</v>
      </c>
      <c r="U227">
        <v>-0.54739380000000004</v>
      </c>
      <c r="V227">
        <v>-7.0584960000000002E-2</v>
      </c>
      <c r="W227">
        <v>7.9907800000000001E-2</v>
      </c>
      <c r="X227">
        <v>0.99429999999999996</v>
      </c>
      <c r="Y227">
        <v>0.17092360000000001</v>
      </c>
      <c r="Z227">
        <v>-1.8672540000000001E-2</v>
      </c>
      <c r="AA227">
        <v>0.98510739999999997</v>
      </c>
      <c r="AB227">
        <v>43</v>
      </c>
      <c r="AC227">
        <v>0.57780000000002396</v>
      </c>
      <c r="AD227">
        <v>-0.2207093</v>
      </c>
      <c r="AE227">
        <v>-0.17750000000000901</v>
      </c>
      <c r="AF227">
        <v>0.157093271893266</v>
      </c>
      <c r="AG227">
        <v>-0.2207093</v>
      </c>
      <c r="AH227">
        <v>0.50967980329342999</v>
      </c>
      <c r="AI227">
        <v>112.480974609265</v>
      </c>
      <c r="AJ227">
        <v>72.869679805325902</v>
      </c>
      <c r="AK227">
        <v>0.57720394408376297</v>
      </c>
    </row>
    <row r="228" spans="1:37" x14ac:dyDescent="0.2">
      <c r="A228" t="str">
        <f>"20200111153615436"</f>
        <v>20200111153615436</v>
      </c>
      <c r="B228" t="str">
        <f>"1578728175432780"</f>
        <v>1578728175432780</v>
      </c>
      <c r="C228" t="s">
        <v>37</v>
      </c>
      <c r="D228">
        <v>5.590795</v>
      </c>
      <c r="E228">
        <v>0.59646519999999903</v>
      </c>
      <c r="F228" t="s">
        <v>38</v>
      </c>
      <c r="G228">
        <v>-415.260999999999</v>
      </c>
      <c r="H228">
        <v>0.84355630000000004</v>
      </c>
      <c r="I228">
        <v>367.16129999999998</v>
      </c>
      <c r="J228">
        <v>-415.97219999999999</v>
      </c>
      <c r="K228">
        <v>1.0542119999999999</v>
      </c>
      <c r="L228">
        <v>367.33440000000002</v>
      </c>
      <c r="M228">
        <v>0.99988559999999904</v>
      </c>
      <c r="N228">
        <v>0</v>
      </c>
      <c r="O228">
        <v>6.525557E-4</v>
      </c>
      <c r="P228">
        <v>0.99539100000000003</v>
      </c>
      <c r="Q228">
        <v>6.4701079999999994E-2</v>
      </c>
      <c r="R228">
        <v>7.0786669999999996E-2</v>
      </c>
      <c r="S228">
        <v>3.098236</v>
      </c>
      <c r="T228">
        <v>-0.67820609999999903</v>
      </c>
      <c r="U228">
        <v>-0.55606080000000002</v>
      </c>
      <c r="V228">
        <v>-7.0040599999999995E-2</v>
      </c>
      <c r="W228">
        <v>7.9832689999999998E-2</v>
      </c>
      <c r="X228">
        <v>0.99434449999999996</v>
      </c>
      <c r="Y228">
        <v>0.17330419999999999</v>
      </c>
      <c r="Z228">
        <v>-1.874284E-2</v>
      </c>
      <c r="AA228">
        <v>0.98468999999999995</v>
      </c>
      <c r="AB228">
        <v>43</v>
      </c>
      <c r="AC228">
        <v>0.71120000000001904</v>
      </c>
      <c r="AD228">
        <v>-0.2106557</v>
      </c>
      <c r="AE228">
        <v>-0.17310000000003301</v>
      </c>
      <c r="AF228">
        <v>0.16028803237710201</v>
      </c>
      <c r="AG228">
        <v>-0.2106557</v>
      </c>
      <c r="AH228">
        <v>0.65669517794416199</v>
      </c>
      <c r="AI228">
        <v>107.308750088455</v>
      </c>
      <c r="AJ228">
        <v>76.283282860864702</v>
      </c>
      <c r="AK228">
        <v>0.70803716992890098</v>
      </c>
    </row>
    <row r="229" spans="1:37" x14ac:dyDescent="0.2">
      <c r="A229" t="str">
        <f>"20200111153615456"</f>
        <v>20200111153615456</v>
      </c>
      <c r="B229" t="str">
        <f>"1578728175453276"</f>
        <v>1578728175453276</v>
      </c>
      <c r="C229" t="s">
        <v>37</v>
      </c>
      <c r="D229">
        <v>5.611599</v>
      </c>
      <c r="E229">
        <v>0.59710200000000002</v>
      </c>
      <c r="F229" t="s">
        <v>38</v>
      </c>
      <c r="G229">
        <v>-415.23989999999998</v>
      </c>
      <c r="H229">
        <v>0.89508580000000004</v>
      </c>
      <c r="I229">
        <v>367.2002</v>
      </c>
      <c r="J229">
        <v>-415.59629999999999</v>
      </c>
      <c r="K229">
        <v>1.05419</v>
      </c>
      <c r="L229">
        <v>367.33429999999998</v>
      </c>
      <c r="M229">
        <v>0.99988519999999903</v>
      </c>
      <c r="N229">
        <v>0</v>
      </c>
      <c r="O229">
        <v>2.3446830000000001E-4</v>
      </c>
      <c r="P229">
        <v>0.99561060000000001</v>
      </c>
      <c r="Q229">
        <v>6.3499630000000001E-2</v>
      </c>
      <c r="R229">
        <v>6.8757869999999999E-2</v>
      </c>
      <c r="S229">
        <v>3.097931</v>
      </c>
      <c r="T229">
        <v>-0.67328310000000002</v>
      </c>
      <c r="U229">
        <v>-0.56628420000000002</v>
      </c>
      <c r="V229">
        <v>-6.8427260000000004E-2</v>
      </c>
      <c r="W229">
        <v>7.8658140000000001E-2</v>
      </c>
      <c r="X229">
        <v>0.994550499999999</v>
      </c>
      <c r="Y229">
        <v>0.17606159999999901</v>
      </c>
      <c r="Z229">
        <v>-1.8811060000000001E-2</v>
      </c>
      <c r="AA229">
        <v>0.98419939999999995</v>
      </c>
      <c r="AB229">
        <v>43</v>
      </c>
      <c r="AC229">
        <v>0.35640000000000699</v>
      </c>
      <c r="AD229">
        <v>-0.159104199999999</v>
      </c>
      <c r="AE229">
        <v>-0.13409999999998901</v>
      </c>
      <c r="AF229">
        <v>0.11424002821182699</v>
      </c>
      <c r="AG229">
        <v>-0.159104199999999</v>
      </c>
      <c r="AH229">
        <v>0.30340191755016999</v>
      </c>
      <c r="AI229">
        <v>116.140159926772</v>
      </c>
      <c r="AJ229">
        <v>69.367121400458402</v>
      </c>
      <c r="AK229">
        <v>0.36113384509984497</v>
      </c>
    </row>
    <row r="230" spans="1:37" x14ac:dyDescent="0.2">
      <c r="A230" t="str">
        <f>"20200111153615480"</f>
        <v>20200111153615480</v>
      </c>
      <c r="B230" t="str">
        <f>"1578728175472796"</f>
        <v>1578728175472796</v>
      </c>
      <c r="C230" t="s">
        <v>37</v>
      </c>
      <c r="D230">
        <v>5.6580159999999999</v>
      </c>
      <c r="E230">
        <v>0.59647099999999997</v>
      </c>
      <c r="F230" t="s">
        <v>38</v>
      </c>
      <c r="G230">
        <v>-414.85969999999998</v>
      </c>
      <c r="H230">
        <v>0.89478930000000001</v>
      </c>
      <c r="I230">
        <v>367.19650000000001</v>
      </c>
      <c r="J230">
        <v>-415.15550000000002</v>
      </c>
      <c r="K230">
        <v>1.0541670000000001</v>
      </c>
      <c r="L230">
        <v>367.334</v>
      </c>
      <c r="M230">
        <v>0.99988489999999997</v>
      </c>
      <c r="N230">
        <v>0</v>
      </c>
      <c r="O230">
        <v>-2.5650370000000002E-4</v>
      </c>
      <c r="P230">
        <v>0.99581540000000002</v>
      </c>
      <c r="Q230">
        <v>6.2324930000000001E-2</v>
      </c>
      <c r="R230">
        <v>6.6837419999999995E-2</v>
      </c>
      <c r="S230">
        <v>3.0958559999999999</v>
      </c>
      <c r="T230">
        <v>-0.67003239999999997</v>
      </c>
      <c r="U230">
        <v>-0.57824709999999901</v>
      </c>
      <c r="V230">
        <v>-6.6994860000000003E-2</v>
      </c>
      <c r="W230">
        <v>7.7510090000000004E-2</v>
      </c>
      <c r="X230">
        <v>0.99473809999999996</v>
      </c>
      <c r="Y230">
        <v>0.17934549999999999</v>
      </c>
      <c r="Z230">
        <v>-1.8972220000000001E-2</v>
      </c>
      <c r="AA230">
        <v>0.98360319999999901</v>
      </c>
      <c r="AB230">
        <v>43</v>
      </c>
      <c r="AC230">
        <v>0.29580000000004197</v>
      </c>
      <c r="AD230">
        <v>-0.15937770000000001</v>
      </c>
      <c r="AE230">
        <v>-0.13749999999998799</v>
      </c>
      <c r="AF230">
        <v>0.11093998351011999</v>
      </c>
      <c r="AG230">
        <v>-0.15937770000000001</v>
      </c>
      <c r="AH230">
        <v>0.238822420311433</v>
      </c>
      <c r="AI230">
        <v>121.183771262001</v>
      </c>
      <c r="AJ230">
        <v>65.083756356071106</v>
      </c>
      <c r="AK230">
        <v>0.30780688693063102</v>
      </c>
    </row>
    <row r="231" spans="1:37" x14ac:dyDescent="0.2">
      <c r="A231" t="str">
        <f>"20200111153615494"</f>
        <v>20200111153615494</v>
      </c>
      <c r="B231" t="str">
        <f>"1578728175482556"</f>
        <v>1578728175482556</v>
      </c>
      <c r="C231" t="s">
        <v>37</v>
      </c>
      <c r="D231">
        <v>5.6723039999999996</v>
      </c>
      <c r="E231">
        <v>0.59612159999999903</v>
      </c>
      <c r="F231" t="s">
        <v>38</v>
      </c>
      <c r="G231">
        <v>-414.12849999999997</v>
      </c>
      <c r="H231">
        <v>0.82561189999999995</v>
      </c>
      <c r="I231">
        <v>367.14170000000001</v>
      </c>
      <c r="J231">
        <v>-414.8793</v>
      </c>
      <c r="K231">
        <v>1.0541529999999999</v>
      </c>
      <c r="L231">
        <v>367.33359999999999</v>
      </c>
      <c r="M231">
        <v>0.99988459999999901</v>
      </c>
      <c r="N231">
        <v>0</v>
      </c>
      <c r="O231">
        <v>-5.6510389999999897E-4</v>
      </c>
      <c r="P231">
        <v>0.99593869999999896</v>
      </c>
      <c r="Q231">
        <v>6.158044E-2</v>
      </c>
      <c r="R231">
        <v>6.5681610000000001E-2</v>
      </c>
      <c r="S231">
        <v>3.0945740000000002</v>
      </c>
      <c r="T231">
        <v>-0.68873130000000005</v>
      </c>
      <c r="U231">
        <v>-0.57897949999999998</v>
      </c>
      <c r="V231">
        <v>-6.6145739999999995E-2</v>
      </c>
      <c r="W231">
        <v>7.677937E-2</v>
      </c>
      <c r="X231">
        <v>0.99485159999999995</v>
      </c>
      <c r="Y231">
        <v>0.1791257</v>
      </c>
      <c r="Z231">
        <v>-1.9405599999999999E-2</v>
      </c>
      <c r="AA231">
        <v>0.98363480000000003</v>
      </c>
      <c r="AB231">
        <v>42</v>
      </c>
      <c r="AC231">
        <v>0.750800000000026</v>
      </c>
      <c r="AD231">
        <v>-0.2285411</v>
      </c>
      <c r="AE231">
        <v>-0.19189999999997501</v>
      </c>
      <c r="AF231">
        <v>0.176154523392</v>
      </c>
      <c r="AG231">
        <v>-0.2285411</v>
      </c>
      <c r="AH231">
        <v>0.69082364596003099</v>
      </c>
      <c r="AI231">
        <v>107.774106455431</v>
      </c>
      <c r="AJ231">
        <v>75.694876957080893</v>
      </c>
      <c r="AK231">
        <v>0.74866465144160699</v>
      </c>
    </row>
    <row r="232" spans="1:37" x14ac:dyDescent="0.2">
      <c r="A232" t="str">
        <f>"20200111153615513"</f>
        <v>20200111153615513</v>
      </c>
      <c r="B232" t="str">
        <f>"1578728175503051"</f>
        <v>1578728175503051</v>
      </c>
      <c r="C232" t="s">
        <v>37</v>
      </c>
      <c r="D232">
        <v>5.66106</v>
      </c>
      <c r="E232">
        <v>0.59620479999999998</v>
      </c>
      <c r="F232" t="s">
        <v>38</v>
      </c>
      <c r="G232">
        <v>-414.10789999999997</v>
      </c>
      <c r="H232">
        <v>0.87890170000000001</v>
      </c>
      <c r="I232">
        <v>367.18880000000001</v>
      </c>
      <c r="J232">
        <v>-414.51609999999999</v>
      </c>
      <c r="K232">
        <v>1.054119</v>
      </c>
      <c r="L232">
        <v>367.3331</v>
      </c>
      <c r="M232">
        <v>0.99988410000000005</v>
      </c>
      <c r="N232">
        <v>0</v>
      </c>
      <c r="O232">
        <v>-9.714802E-4</v>
      </c>
      <c r="P232">
        <v>0.99614789999999998</v>
      </c>
      <c r="Q232">
        <v>5.9457879999999998E-2</v>
      </c>
      <c r="R232">
        <v>6.4451969999999997E-2</v>
      </c>
      <c r="S232">
        <v>3.0939329999999998</v>
      </c>
      <c r="T232">
        <v>-0.70294199999999996</v>
      </c>
      <c r="U232">
        <v>-0.58001709999999995</v>
      </c>
      <c r="V232">
        <v>-6.5322699999999997E-2</v>
      </c>
      <c r="W232">
        <v>7.4674950000000004E-2</v>
      </c>
      <c r="X232">
        <v>0.99506609999999995</v>
      </c>
      <c r="Y232">
        <v>0.17892149999999901</v>
      </c>
      <c r="Z232">
        <v>-1.9686599999999999E-2</v>
      </c>
      <c r="AA232">
        <v>0.98366640000000005</v>
      </c>
      <c r="AB232">
        <v>42</v>
      </c>
      <c r="AC232">
        <v>0.40820000000002199</v>
      </c>
      <c r="AD232">
        <v>-0.17521729999999999</v>
      </c>
      <c r="AE232">
        <v>-0.14429999999998699</v>
      </c>
      <c r="AF232">
        <v>0.12365132731987601</v>
      </c>
      <c r="AG232">
        <v>-0.17521729999999999</v>
      </c>
      <c r="AH232">
        <v>0.35087294185042101</v>
      </c>
      <c r="AI232">
        <v>115.219709469897</v>
      </c>
      <c r="AJ232">
        <v>70.587004520085998</v>
      </c>
      <c r="AK232">
        <v>0.41122083396883702</v>
      </c>
    </row>
    <row r="233" spans="1:37" x14ac:dyDescent="0.2">
      <c r="A233" t="str">
        <f>"20200111153615535"</f>
        <v>20200111153615535</v>
      </c>
      <c r="B233" t="str">
        <f>"1578728175533308"</f>
        <v>1578728175533308</v>
      </c>
      <c r="C233" t="s">
        <v>37</v>
      </c>
      <c r="D233">
        <v>5.7196249999999997</v>
      </c>
      <c r="E233">
        <v>0.59646669999999902</v>
      </c>
      <c r="F233" t="s">
        <v>38</v>
      </c>
      <c r="G233">
        <v>-413.7328</v>
      </c>
      <c r="H233">
        <v>0.86977719999999903</v>
      </c>
      <c r="I233">
        <v>367.18450000000001</v>
      </c>
      <c r="J233">
        <v>-414.0994</v>
      </c>
      <c r="K233">
        <v>1.0540969999999901</v>
      </c>
      <c r="L233">
        <v>367.33229999999998</v>
      </c>
      <c r="M233">
        <v>0.99988339999999998</v>
      </c>
      <c r="N233">
        <v>0</v>
      </c>
      <c r="O233">
        <v>-1.4387499999999999E-3</v>
      </c>
      <c r="P233">
        <v>0.99632109999999996</v>
      </c>
      <c r="Q233">
        <v>5.7374219999999997E-2</v>
      </c>
      <c r="R233">
        <v>6.3659649999999998E-2</v>
      </c>
      <c r="S233">
        <v>3.0929570000000002</v>
      </c>
      <c r="T233">
        <v>-0.72784450000000001</v>
      </c>
      <c r="U233">
        <v>-0.58551030000000004</v>
      </c>
      <c r="V233">
        <v>-6.4997659999999999E-2</v>
      </c>
      <c r="W233">
        <v>7.2607770000000002E-2</v>
      </c>
      <c r="X233">
        <v>0.99524040000000003</v>
      </c>
      <c r="Y233">
        <v>0.1798796</v>
      </c>
      <c r="Z233">
        <v>-2.037191E-2</v>
      </c>
      <c r="AA233">
        <v>0.98347770000000001</v>
      </c>
      <c r="AB233">
        <v>42</v>
      </c>
      <c r="AC233">
        <v>0.36660000000000498</v>
      </c>
      <c r="AD233">
        <v>-0.18431979999999901</v>
      </c>
      <c r="AE233">
        <v>-0.14779999999996099</v>
      </c>
      <c r="AF233">
        <v>0.12096831216928799</v>
      </c>
      <c r="AG233">
        <v>-0.18431979999999901</v>
      </c>
      <c r="AH233">
        <v>0.30129665760088697</v>
      </c>
      <c r="AI233">
        <v>119.583916839559</v>
      </c>
      <c r="AJ233">
        <v>68.124915468630803</v>
      </c>
      <c r="AK233">
        <v>0.37334541259079701</v>
      </c>
    </row>
    <row r="234" spans="1:37" x14ac:dyDescent="0.2">
      <c r="A234" t="str">
        <f>"20200111153615550"</f>
        <v>20200111153615550</v>
      </c>
      <c r="B234" t="str">
        <f>"1578728175543068"</f>
        <v>1578728175543068</v>
      </c>
      <c r="C234" t="s">
        <v>37</v>
      </c>
      <c r="D234">
        <v>5.663786</v>
      </c>
      <c r="E234">
        <v>0.59641860000000002</v>
      </c>
      <c r="F234" t="s">
        <v>38</v>
      </c>
      <c r="G234">
        <v>-413.3535</v>
      </c>
      <c r="H234">
        <v>0.87251380000000001</v>
      </c>
      <c r="I234">
        <v>367.18979999999999</v>
      </c>
      <c r="J234">
        <v>-413.81099999999998</v>
      </c>
      <c r="K234">
        <v>1.05409</v>
      </c>
      <c r="L234">
        <v>367.33159999999998</v>
      </c>
      <c r="M234">
        <v>0.99988269999999901</v>
      </c>
      <c r="N234">
        <v>0</v>
      </c>
      <c r="O234">
        <v>-1.76263299999999E-3</v>
      </c>
      <c r="P234">
        <v>0.99642900000000001</v>
      </c>
      <c r="Q234">
        <v>5.6000139999999997E-2</v>
      </c>
      <c r="R234">
        <v>6.3196150000000006E-2</v>
      </c>
      <c r="S234">
        <v>3.092133</v>
      </c>
      <c r="T234">
        <v>-0.75272659999999902</v>
      </c>
      <c r="U234">
        <v>-0.59014889999999998</v>
      </c>
      <c r="V234">
        <v>-6.4858369999999999E-2</v>
      </c>
      <c r="W234">
        <v>7.124374E-2</v>
      </c>
      <c r="X234">
        <v>0.99534800000000001</v>
      </c>
      <c r="Y234">
        <v>0.18069540000000001</v>
      </c>
      <c r="Z234">
        <v>-2.1071929999999999E-2</v>
      </c>
      <c r="AA234">
        <v>0.98331329999999995</v>
      </c>
      <c r="AB234">
        <v>42</v>
      </c>
      <c r="AC234">
        <v>0.45749999999998098</v>
      </c>
      <c r="AD234">
        <v>-0.18157619999999899</v>
      </c>
      <c r="AE234">
        <v>-0.14179999999998899</v>
      </c>
      <c r="AF234">
        <v>0.123276701335682</v>
      </c>
      <c r="AG234">
        <v>-0.18157619999999899</v>
      </c>
      <c r="AH234">
        <v>0.40023055035738597</v>
      </c>
      <c r="AI234">
        <v>113.44047581470301</v>
      </c>
      <c r="AJ234">
        <v>72.880423443195596</v>
      </c>
      <c r="AK234">
        <v>0.45645542491904201</v>
      </c>
    </row>
    <row r="235" spans="1:37" x14ac:dyDescent="0.2">
      <c r="A235" t="str">
        <f>"20200111153615569"</f>
        <v>20200111153615569</v>
      </c>
      <c r="B235" t="str">
        <f>"1578728175562588"</f>
        <v>1578728175562588</v>
      </c>
      <c r="C235" t="s">
        <v>37</v>
      </c>
      <c r="D235">
        <v>5.6977120000000001</v>
      </c>
      <c r="E235">
        <v>0.59596789999999999</v>
      </c>
      <c r="F235" t="s">
        <v>38</v>
      </c>
      <c r="G235">
        <v>-412.98430000000002</v>
      </c>
      <c r="H235">
        <v>0.85028329999999996</v>
      </c>
      <c r="I235">
        <v>367.17309999999998</v>
      </c>
      <c r="J235">
        <v>-413.46530000000001</v>
      </c>
      <c r="K235">
        <v>1.054073</v>
      </c>
      <c r="L235">
        <v>367.33069999999998</v>
      </c>
      <c r="M235">
        <v>0.99988169999999899</v>
      </c>
      <c r="N235">
        <v>0</v>
      </c>
      <c r="O235">
        <v>-2.1513610000000001E-3</v>
      </c>
      <c r="P235">
        <v>0.99656329999999904</v>
      </c>
      <c r="Q235">
        <v>5.4120040000000001E-2</v>
      </c>
      <c r="R235">
        <v>6.2712340000000005E-2</v>
      </c>
      <c r="S235">
        <v>3.0910950000000001</v>
      </c>
      <c r="T235">
        <v>-0.76197159999999997</v>
      </c>
      <c r="U235">
        <v>-0.59143069999999998</v>
      </c>
      <c r="V235">
        <v>-6.4763929999999997E-2</v>
      </c>
      <c r="W235">
        <v>6.9373939999999995E-2</v>
      </c>
      <c r="X235">
        <v>0.99548630000000005</v>
      </c>
      <c r="Y235">
        <v>0.18065429999999999</v>
      </c>
      <c r="Z235">
        <v>-2.1230949999999998E-2</v>
      </c>
      <c r="AA235">
        <v>0.98331749999999996</v>
      </c>
      <c r="AB235">
        <v>42</v>
      </c>
      <c r="AC235">
        <v>0.48099999999999399</v>
      </c>
      <c r="AD235">
        <v>-0.20378969999999999</v>
      </c>
      <c r="AE235">
        <v>-0.15760000000000199</v>
      </c>
      <c r="AF235">
        <v>0.13472548676755999</v>
      </c>
      <c r="AG235">
        <v>-0.20378969999999999</v>
      </c>
      <c r="AH235">
        <v>0.41419610778431898</v>
      </c>
      <c r="AI235">
        <v>115.074123499338</v>
      </c>
      <c r="AJ235">
        <v>71.981857704194795</v>
      </c>
      <c r="AK235">
        <v>0.48087380289897802</v>
      </c>
    </row>
    <row r="236" spans="1:37" x14ac:dyDescent="0.2">
      <c r="A236" t="str">
        <f>"20200111153615592"</f>
        <v>20200111153615592</v>
      </c>
      <c r="B236" t="str">
        <f>"1578728175583083"</f>
        <v>1578728175583083</v>
      </c>
      <c r="C236" t="s">
        <v>37</v>
      </c>
      <c r="D236">
        <v>5.6760390000000003</v>
      </c>
      <c r="E236">
        <v>0.59561769999999903</v>
      </c>
      <c r="F236" t="s">
        <v>38</v>
      </c>
      <c r="G236">
        <v>-412.61090000000002</v>
      </c>
      <c r="H236">
        <v>0.83988629999999997</v>
      </c>
      <c r="I236">
        <v>367.16750000000002</v>
      </c>
      <c r="J236">
        <v>-413.02300000000002</v>
      </c>
      <c r="K236">
        <v>1.054068</v>
      </c>
      <c r="L236">
        <v>367.32929999999999</v>
      </c>
      <c r="M236">
        <v>0.9998804</v>
      </c>
      <c r="N236">
        <v>0</v>
      </c>
      <c r="O236">
        <v>-2.6471139999999999E-3</v>
      </c>
      <c r="P236">
        <v>0.99663359999999901</v>
      </c>
      <c r="Q236">
        <v>5.3393740000000002E-2</v>
      </c>
      <c r="R236">
        <v>6.2213739999999997E-2</v>
      </c>
      <c r="S236">
        <v>3.0895079999999999</v>
      </c>
      <c r="T236">
        <v>-0.77455600000000002</v>
      </c>
      <c r="U236">
        <v>-0.58932499999999999</v>
      </c>
      <c r="V236">
        <v>-6.4760499999999999E-2</v>
      </c>
      <c r="W236">
        <v>6.8657529999999994E-2</v>
      </c>
      <c r="X236">
        <v>0.99553609999999904</v>
      </c>
      <c r="Y236">
        <v>0.17948810000000001</v>
      </c>
      <c r="Z236">
        <v>-2.1319210000000002E-2</v>
      </c>
      <c r="AA236">
        <v>0.98352909999999905</v>
      </c>
      <c r="AB236">
        <v>42</v>
      </c>
      <c r="AC236">
        <v>0.41210000000000901</v>
      </c>
      <c r="AD236">
        <v>-0.214181699999999</v>
      </c>
      <c r="AE236">
        <v>-0.16179999999997099</v>
      </c>
      <c r="AF236">
        <v>0.13022917130278</v>
      </c>
      <c r="AG236">
        <v>-0.214181699999999</v>
      </c>
      <c r="AH236">
        <v>0.33428885611130199</v>
      </c>
      <c r="AI236">
        <v>120.83744061367</v>
      </c>
      <c r="AJ236">
        <v>68.715565150344403</v>
      </c>
      <c r="AK236">
        <v>0.41783067981336902</v>
      </c>
    </row>
    <row r="237" spans="1:37" x14ac:dyDescent="0.2">
      <c r="A237" t="str">
        <f>"20200111153615613"</f>
        <v>20200111153615613</v>
      </c>
      <c r="B237" t="str">
        <f>"1578728175602603"</f>
        <v>1578728175602603</v>
      </c>
      <c r="C237" t="s">
        <v>37</v>
      </c>
      <c r="D237">
        <v>5.721794</v>
      </c>
      <c r="E237">
        <v>0.59481189999999995</v>
      </c>
      <c r="F237" t="s">
        <v>38</v>
      </c>
      <c r="G237">
        <v>-412.22879999999998</v>
      </c>
      <c r="H237">
        <v>0.85265329999999995</v>
      </c>
      <c r="I237">
        <v>367.17779999999999</v>
      </c>
      <c r="J237">
        <v>-412.62349999999998</v>
      </c>
      <c r="K237">
        <v>1.054071</v>
      </c>
      <c r="L237">
        <v>367.3279</v>
      </c>
      <c r="M237">
        <v>0.99987909999999902</v>
      </c>
      <c r="N237">
        <v>0</v>
      </c>
      <c r="O237">
        <v>-3.0904509999999902E-3</v>
      </c>
      <c r="P237">
        <v>0.99668979999999996</v>
      </c>
      <c r="Q237">
        <v>5.3264869999999999E-2</v>
      </c>
      <c r="R237">
        <v>6.1420620000000002E-2</v>
      </c>
      <c r="S237">
        <v>3.088867</v>
      </c>
      <c r="T237">
        <v>-0.78334269999999995</v>
      </c>
      <c r="U237">
        <v>-0.58828740000000002</v>
      </c>
      <c r="V237">
        <v>-6.4410220000000004E-2</v>
      </c>
      <c r="W237">
        <v>6.8534310000000001E-2</v>
      </c>
      <c r="X237">
        <v>0.99556739999999999</v>
      </c>
      <c r="Y237">
        <v>0.17868789999999901</v>
      </c>
      <c r="Z237">
        <v>-2.1349989999999999E-2</v>
      </c>
      <c r="AA237">
        <v>0.98367420000000005</v>
      </c>
      <c r="AB237">
        <v>42</v>
      </c>
      <c r="AC237">
        <v>0.3947</v>
      </c>
      <c r="AD237">
        <v>-0.20141769999999901</v>
      </c>
      <c r="AE237">
        <v>-0.150100000000009</v>
      </c>
      <c r="AF237">
        <v>0.121285677422329</v>
      </c>
      <c r="AG237">
        <v>-0.20141769999999901</v>
      </c>
      <c r="AH237">
        <v>0.32192174034222798</v>
      </c>
      <c r="AI237">
        <v>120.34885435929</v>
      </c>
      <c r="AJ237">
        <v>69.355840546483506</v>
      </c>
      <c r="AK237">
        <v>0.39863882440882797</v>
      </c>
    </row>
    <row r="238" spans="1:37" x14ac:dyDescent="0.2">
      <c r="A238" t="str">
        <f>"20200111153615627"</f>
        <v>20200111153615627</v>
      </c>
      <c r="B238" t="str">
        <f>"1578728175623101"</f>
        <v>1578728175623101</v>
      </c>
      <c r="C238" t="s">
        <v>37</v>
      </c>
      <c r="D238">
        <v>5.7230290000000004</v>
      </c>
      <c r="E238">
        <v>0.5343909</v>
      </c>
      <c r="F238" t="s">
        <v>38</v>
      </c>
      <c r="G238">
        <v>-411.85019999999997</v>
      </c>
      <c r="H238">
        <v>0.85741000000000001</v>
      </c>
      <c r="I238">
        <v>367.18150000000003</v>
      </c>
      <c r="J238">
        <v>-412.37299999999999</v>
      </c>
      <c r="K238">
        <v>1.0540769999999999</v>
      </c>
      <c r="L238">
        <v>367.32679999999999</v>
      </c>
      <c r="M238">
        <v>0.9998783</v>
      </c>
      <c r="N238">
        <v>0</v>
      </c>
      <c r="O238">
        <v>-3.3641119999999998E-3</v>
      </c>
      <c r="P238">
        <v>0.99671049999999894</v>
      </c>
      <c r="Q238">
        <v>5.3686739999999997E-2</v>
      </c>
      <c r="R238">
        <v>6.0711960000000002E-2</v>
      </c>
      <c r="S238">
        <v>3.087952</v>
      </c>
      <c r="T238">
        <v>-0.78528240000000005</v>
      </c>
      <c r="U238">
        <v>-0.5840149</v>
      </c>
      <c r="V238">
        <v>-6.397398E-2</v>
      </c>
      <c r="W238">
        <v>6.8958640000000002E-2</v>
      </c>
      <c r="X238">
        <v>0.99556619999999996</v>
      </c>
      <c r="Y238">
        <v>0.17718229999999999</v>
      </c>
      <c r="Z238">
        <v>-2.1155150000000001E-2</v>
      </c>
      <c r="AA238">
        <v>0.98395069999999996</v>
      </c>
      <c r="AB238">
        <v>42</v>
      </c>
      <c r="AC238">
        <v>0.52280000000007398</v>
      </c>
      <c r="AD238">
        <v>-0.19666700000000001</v>
      </c>
      <c r="AE238">
        <v>-0.14529999999996299</v>
      </c>
      <c r="AF238">
        <v>0.126873534852742</v>
      </c>
      <c r="AG238">
        <v>-0.19666700000000001</v>
      </c>
      <c r="AH238">
        <v>0.462526351452758</v>
      </c>
      <c r="AI238">
        <v>112.29630293429901</v>
      </c>
      <c r="AJ238">
        <v>74.660748076699704</v>
      </c>
      <c r="AK238">
        <v>0.51836804350117005</v>
      </c>
    </row>
    <row r="239" spans="1:37" x14ac:dyDescent="0.2">
      <c r="A239" t="str">
        <f>"20200111153615640"</f>
        <v>20200111153615640</v>
      </c>
      <c r="B239" t="str">
        <f>"1578728175632860"</f>
        <v>1578728175632860</v>
      </c>
      <c r="C239" t="s">
        <v>37</v>
      </c>
      <c r="D239">
        <v>5.7028489999999996</v>
      </c>
      <c r="E239">
        <v>0.52941530000000003</v>
      </c>
      <c r="F239" t="s">
        <v>38</v>
      </c>
      <c r="G239">
        <v>-411.4436</v>
      </c>
      <c r="H239">
        <v>0.92355049999999905</v>
      </c>
      <c r="I239">
        <v>367.2962</v>
      </c>
      <c r="J239">
        <v>-412.11219999999997</v>
      </c>
      <c r="K239">
        <v>1.054084</v>
      </c>
      <c r="L239">
        <v>367.32580000000002</v>
      </c>
      <c r="M239">
        <v>0.99987709999999996</v>
      </c>
      <c r="N239">
        <v>0</v>
      </c>
      <c r="O239">
        <v>-3.6456119999999999E-3</v>
      </c>
      <c r="P239">
        <v>0.99674269999999998</v>
      </c>
      <c r="Q239">
        <v>5.3949759999999999E-2</v>
      </c>
      <c r="R239">
        <v>5.9945230000000002E-2</v>
      </c>
      <c r="S239">
        <v>3.0389710000000001</v>
      </c>
      <c r="T239">
        <v>-0.42679889999999998</v>
      </c>
      <c r="U239">
        <v>-9.9609379999999997E-2</v>
      </c>
      <c r="V239">
        <v>-6.348811E-2</v>
      </c>
      <c r="W239">
        <v>6.9223610000000005E-2</v>
      </c>
      <c r="X239">
        <v>0.99557890000000004</v>
      </c>
      <c r="Y239">
        <v>2.8868189999999998E-2</v>
      </c>
      <c r="Z239">
        <v>-1.507307E-3</v>
      </c>
      <c r="AA239">
        <v>0.99958210000000003</v>
      </c>
      <c r="AB239">
        <v>42</v>
      </c>
      <c r="AC239">
        <v>0.668599999999969</v>
      </c>
      <c r="AD239">
        <v>-0.1305335</v>
      </c>
      <c r="AE239">
        <v>-2.96000000000162E-2</v>
      </c>
      <c r="AF239">
        <v>2.61666381412454E-2</v>
      </c>
      <c r="AG239">
        <v>-0.1305335</v>
      </c>
      <c r="AH239">
        <v>0.64419707420667804</v>
      </c>
      <c r="AI239">
        <v>101.445549306145</v>
      </c>
      <c r="AJ239">
        <v>87.673981654800301</v>
      </c>
      <c r="AK239">
        <v>0.65780966699365995</v>
      </c>
    </row>
    <row r="240" spans="1:37" x14ac:dyDescent="0.2">
      <c r="A240" t="str">
        <f>"20200111153615657"</f>
        <v>20200111153615657</v>
      </c>
      <c r="B240" t="str">
        <f>"1578728175653355"</f>
        <v>1578728175653355</v>
      </c>
      <c r="C240" t="s">
        <v>37</v>
      </c>
      <c r="D240">
        <v>5.6999740000000001</v>
      </c>
      <c r="E240">
        <v>0.5244008</v>
      </c>
      <c r="F240" t="s">
        <v>38</v>
      </c>
      <c r="G240">
        <v>-411.06450000000001</v>
      </c>
      <c r="H240">
        <v>0.92934450000000002</v>
      </c>
      <c r="I240">
        <v>367.30470000000003</v>
      </c>
      <c r="J240">
        <v>-411.79379999999998</v>
      </c>
      <c r="K240">
        <v>1.0540860000000001</v>
      </c>
      <c r="L240">
        <v>367.32429999999999</v>
      </c>
      <c r="M240">
        <v>0.99987590000000004</v>
      </c>
      <c r="N240">
        <v>0</v>
      </c>
      <c r="O240">
        <v>-3.9803219999999997E-3</v>
      </c>
      <c r="P240">
        <v>0.99673259999999897</v>
      </c>
      <c r="Q240">
        <v>5.4770869999999999E-2</v>
      </c>
      <c r="R240">
        <v>5.9369940000000003E-2</v>
      </c>
      <c r="S240">
        <v>3.0329899999999999</v>
      </c>
      <c r="T240">
        <v>-0.36109049999999998</v>
      </c>
      <c r="U240">
        <v>-6.1126710000000001E-2</v>
      </c>
      <c r="V240">
        <v>-6.3246629999999998E-2</v>
      </c>
      <c r="W240">
        <v>7.0045109999999994E-2</v>
      </c>
      <c r="X240">
        <v>0.9955368</v>
      </c>
      <c r="Y240">
        <v>1.6084279999999999E-2</v>
      </c>
      <c r="Z240">
        <v>-4.8177779999999899E-4</v>
      </c>
      <c r="AA240">
        <v>0.9998705</v>
      </c>
      <c r="AB240">
        <v>42</v>
      </c>
      <c r="AC240">
        <v>0.72929999999996598</v>
      </c>
      <c r="AD240">
        <v>-0.12474150000000001</v>
      </c>
      <c r="AE240">
        <v>-1.95999999999685E-2</v>
      </c>
      <c r="AF240">
        <v>1.6222404414759101E-2</v>
      </c>
      <c r="AG240">
        <v>-0.12474150000000001</v>
      </c>
      <c r="AH240">
        <v>0.70865505614519997</v>
      </c>
      <c r="AI240">
        <v>99.980695178716104</v>
      </c>
      <c r="AJ240">
        <v>88.688624331182595</v>
      </c>
      <c r="AK240">
        <v>0.71973300384753902</v>
      </c>
    </row>
    <row r="241" spans="1:37" x14ac:dyDescent="0.2">
      <c r="A241" t="str">
        <f>"20200111153615670"</f>
        <v>20200111153615670</v>
      </c>
      <c r="B241" t="str">
        <f>"1578728175663115"</f>
        <v>1578728175663115</v>
      </c>
      <c r="C241" t="s">
        <v>37</v>
      </c>
      <c r="D241">
        <v>5.7122739999999999</v>
      </c>
      <c r="E241">
        <v>0.52349659999999998</v>
      </c>
      <c r="F241" t="s">
        <v>38</v>
      </c>
      <c r="G241">
        <v>-411.03820000000002</v>
      </c>
      <c r="H241">
        <v>0.98133019999999904</v>
      </c>
      <c r="I241">
        <v>367.31880000000001</v>
      </c>
      <c r="J241">
        <v>-411.54450000000003</v>
      </c>
      <c r="K241">
        <v>1.0540969999999901</v>
      </c>
      <c r="L241">
        <v>367.32310000000001</v>
      </c>
      <c r="M241">
        <v>0.99987479999999995</v>
      </c>
      <c r="N241">
        <v>0</v>
      </c>
      <c r="O241">
        <v>-4.2352850000000001E-3</v>
      </c>
      <c r="P241">
        <v>0.99675040000000004</v>
      </c>
      <c r="Q241">
        <v>5.496736E-2</v>
      </c>
      <c r="R241">
        <v>5.8886139999999997E-2</v>
      </c>
      <c r="S241">
        <v>3.0271300000000001</v>
      </c>
      <c r="T241">
        <v>-0.29148809999999897</v>
      </c>
      <c r="U241">
        <v>-2.2064210000000001E-2</v>
      </c>
      <c r="V241">
        <v>-6.3017900000000002E-2</v>
      </c>
      <c r="W241">
        <v>7.0241559999999995E-2</v>
      </c>
      <c r="X241">
        <v>0.99553749999999996</v>
      </c>
      <c r="Y241">
        <v>3.0583429999999998E-3</v>
      </c>
      <c r="Z241">
        <v>2.6001689999999999E-4</v>
      </c>
      <c r="AA241">
        <v>0.99999530000000003</v>
      </c>
      <c r="AB241">
        <v>42</v>
      </c>
      <c r="AC241">
        <v>0.50630000000000996</v>
      </c>
      <c r="AD241">
        <v>-7.2766799999999895E-2</v>
      </c>
      <c r="AE241">
        <v>-4.3000000000006297E-3</v>
      </c>
      <c r="AF241">
        <v>2.1117693544475901E-3</v>
      </c>
      <c r="AG241">
        <v>-7.2766799999999895E-2</v>
      </c>
      <c r="AH241">
        <v>0.49606753436930701</v>
      </c>
      <c r="AI241">
        <v>98.344973521040203</v>
      </c>
      <c r="AJ241">
        <v>89.756092201085906</v>
      </c>
      <c r="AK241">
        <v>0.50138055946285898</v>
      </c>
    </row>
    <row r="242" spans="1:37" x14ac:dyDescent="0.2">
      <c r="A242" t="str">
        <f>"20200111153615692"</f>
        <v>20200111153615692</v>
      </c>
      <c r="B242" t="str">
        <f>"1578728175682638"</f>
        <v>1578728175682638</v>
      </c>
      <c r="C242" t="s">
        <v>37</v>
      </c>
      <c r="D242">
        <v>5.8264300000000002</v>
      </c>
      <c r="E242">
        <v>0.52223180000000002</v>
      </c>
      <c r="F242" t="s">
        <v>38</v>
      </c>
      <c r="G242">
        <v>-410.66669999999999</v>
      </c>
      <c r="H242">
        <v>0.97380900000000004</v>
      </c>
      <c r="I242">
        <v>367.31819999999999</v>
      </c>
      <c r="J242">
        <v>-411.15010000000001</v>
      </c>
      <c r="K242">
        <v>1.0541119999999999</v>
      </c>
      <c r="L242">
        <v>367.3211</v>
      </c>
      <c r="M242">
        <v>0.99987300000000001</v>
      </c>
      <c r="N242">
        <v>0</v>
      </c>
      <c r="O242">
        <v>-4.6284029999999997E-3</v>
      </c>
      <c r="P242">
        <v>0.99672959999999999</v>
      </c>
      <c r="Q242">
        <v>5.560735E-2</v>
      </c>
      <c r="R242">
        <v>5.8635630000000001E-2</v>
      </c>
      <c r="S242">
        <v>3.0260009999999999</v>
      </c>
      <c r="T242">
        <v>-0.27689829999999999</v>
      </c>
      <c r="U242">
        <v>-1.6113280000000001E-2</v>
      </c>
      <c r="V242">
        <v>-6.3160309999999997E-2</v>
      </c>
      <c r="W242">
        <v>7.0881319999999998E-2</v>
      </c>
      <c r="X242">
        <v>0.99548309999999995</v>
      </c>
      <c r="Y242">
        <v>7.1229699999999997E-4</v>
      </c>
      <c r="Z242">
        <v>3.9016739999999999E-4</v>
      </c>
      <c r="AA242">
        <v>0.99999959999999899</v>
      </c>
      <c r="AB242">
        <v>42</v>
      </c>
      <c r="AC242">
        <v>0.48340000000001698</v>
      </c>
      <c r="AD242">
        <v>-8.0303000000000097E-2</v>
      </c>
      <c r="AE242">
        <v>-2.9000000000110001E-3</v>
      </c>
      <c r="AF242">
        <v>6.4455212296181202E-4</v>
      </c>
      <c r="AG242">
        <v>-8.0303000000000097E-2</v>
      </c>
      <c r="AH242">
        <v>0.47042669421194599</v>
      </c>
      <c r="AI242">
        <v>99.687150063304102</v>
      </c>
      <c r="AJ242">
        <v>89.921496603685995</v>
      </c>
      <c r="AK242">
        <v>0.47723187433743303</v>
      </c>
    </row>
    <row r="243" spans="1:37" x14ac:dyDescent="0.2">
      <c r="A243" t="str">
        <f>"20200111153615713"</f>
        <v>20200111153615713</v>
      </c>
      <c r="B243" t="str">
        <f>"1578728175703134"</f>
        <v>1578728175703134</v>
      </c>
      <c r="C243" t="s">
        <v>37</v>
      </c>
      <c r="D243">
        <v>5.6412240000000002</v>
      </c>
      <c r="E243">
        <v>0.52200089999999999</v>
      </c>
      <c r="F243" t="s">
        <v>38</v>
      </c>
      <c r="G243">
        <v>-410.28530000000001</v>
      </c>
      <c r="H243">
        <v>0.98278199999999905</v>
      </c>
      <c r="I243">
        <v>367.31920000000002</v>
      </c>
      <c r="J243">
        <v>-410.7364</v>
      </c>
      <c r="K243">
        <v>1.054128</v>
      </c>
      <c r="L243">
        <v>367.31880000000001</v>
      </c>
      <c r="M243">
        <v>0.99987109999999901</v>
      </c>
      <c r="N243">
        <v>0</v>
      </c>
      <c r="O243">
        <v>-5.0251699999999998E-3</v>
      </c>
      <c r="P243">
        <v>0.99669459999999999</v>
      </c>
      <c r="Q243">
        <v>5.6719859999999997E-2</v>
      </c>
      <c r="R243">
        <v>5.8161539999999998E-2</v>
      </c>
      <c r="S243">
        <v>3.0241090000000002</v>
      </c>
      <c r="T243">
        <v>-0.24949189999999999</v>
      </c>
      <c r="U243">
        <v>-6.3781740000000003E-3</v>
      </c>
      <c r="V243">
        <v>-6.3083130000000001E-2</v>
      </c>
      <c r="W243">
        <v>7.1990940000000003E-2</v>
      </c>
      <c r="X243">
        <v>0.99540839999999997</v>
      </c>
      <c r="Y243">
        <v>-2.8897739999999999E-3</v>
      </c>
      <c r="Z243">
        <v>5.3292650000000003E-4</v>
      </c>
      <c r="AA243">
        <v>0.99999570000000004</v>
      </c>
      <c r="AB243">
        <v>42</v>
      </c>
      <c r="AC243">
        <v>0.451099999999996</v>
      </c>
      <c r="AD243">
        <v>-7.1346000000000201E-2</v>
      </c>
      <c r="AE243">
        <v>4.0000000001327803E-4</v>
      </c>
      <c r="AF243">
        <v>-2.6020241888874999E-3</v>
      </c>
      <c r="AG243">
        <v>-7.1346000000000201E-2</v>
      </c>
      <c r="AH243">
        <v>0.440083780524063</v>
      </c>
      <c r="AI243">
        <v>99.208465987333199</v>
      </c>
      <c r="AJ243">
        <v>90.338761103201307</v>
      </c>
      <c r="AK243">
        <v>0.445837140810668</v>
      </c>
    </row>
    <row r="244" spans="1:37" x14ac:dyDescent="0.2">
      <c r="A244" t="str">
        <f>"20200111153615728"</f>
        <v>20200111153615728</v>
      </c>
      <c r="B244" t="str">
        <f>"1578728175722651"</f>
        <v>1578728175722651</v>
      </c>
      <c r="C244" t="s">
        <v>37</v>
      </c>
      <c r="D244">
        <v>5.6852710000000002</v>
      </c>
      <c r="E244">
        <v>0.52177709999999999</v>
      </c>
      <c r="F244" t="s">
        <v>39</v>
      </c>
      <c r="G244">
        <v>-396.65210000000002</v>
      </c>
      <c r="H244" s="1">
        <v>-1.83095E-6</v>
      </c>
      <c r="I244">
        <v>367.29140000000001</v>
      </c>
      <c r="J244">
        <v>-410.47300000000001</v>
      </c>
      <c r="K244">
        <v>1.0541419999999999</v>
      </c>
      <c r="L244">
        <v>367.31729999999999</v>
      </c>
      <c r="M244">
        <v>0.99986980000000003</v>
      </c>
      <c r="N244">
        <v>0</v>
      </c>
      <c r="O244">
        <v>-5.2695839999999999E-3</v>
      </c>
      <c r="P244">
        <v>0.99666980000000005</v>
      </c>
      <c r="Q244">
        <v>5.7385600000000002E-2</v>
      </c>
      <c r="R244">
        <v>5.7935849999999997E-2</v>
      </c>
      <c r="S244">
        <v>3.023193</v>
      </c>
      <c r="T244">
        <v>-0.22626729999999901</v>
      </c>
      <c r="U244">
        <v>-5.859375E-3</v>
      </c>
      <c r="V244">
        <v>-6.3101900000000002E-2</v>
      </c>
      <c r="W244">
        <v>7.2655319999999995E-2</v>
      </c>
      <c r="X244">
        <v>0.99535890000000005</v>
      </c>
      <c r="Y244">
        <v>-3.3080850000000001E-3</v>
      </c>
      <c r="Z244">
        <v>5.1751049999999995E-4</v>
      </c>
      <c r="AA244">
        <v>0.99999439999999995</v>
      </c>
      <c r="AB244">
        <v>42</v>
      </c>
      <c r="AC244">
        <v>13.8208999999999</v>
      </c>
      <c r="AD244">
        <v>-1.05414383095</v>
      </c>
      <c r="AE244">
        <v>-2.58999999999787E-2</v>
      </c>
      <c r="AF244">
        <v>-4.6667742549769103E-2</v>
      </c>
      <c r="AG244">
        <v>-1.05414383095</v>
      </c>
      <c r="AH244">
        <v>13.740908814325399</v>
      </c>
      <c r="AI244">
        <v>94.386869664440496</v>
      </c>
      <c r="AJ244">
        <v>90.194590797672106</v>
      </c>
      <c r="AK244">
        <v>13.7813632176984</v>
      </c>
    </row>
    <row r="245" spans="1:37" x14ac:dyDescent="0.2">
      <c r="A245" t="str">
        <f>"20200111153615742"</f>
        <v>20200111153615742</v>
      </c>
      <c r="B245" t="str">
        <f>"1578728175733388"</f>
        <v>1578728175733388</v>
      </c>
      <c r="C245" t="s">
        <v>37</v>
      </c>
      <c r="D245">
        <v>5.6474739999999999</v>
      </c>
      <c r="E245">
        <v>0.52154369999999906</v>
      </c>
      <c r="F245" t="s">
        <v>38</v>
      </c>
      <c r="G245">
        <v>-409.52839999999998</v>
      </c>
      <c r="H245">
        <v>0.98784289999999997</v>
      </c>
      <c r="I245">
        <v>367.31610000000001</v>
      </c>
      <c r="J245">
        <v>-410.2131</v>
      </c>
      <c r="K245">
        <v>1.0541609999999999</v>
      </c>
      <c r="L245">
        <v>367.31580000000002</v>
      </c>
      <c r="M245">
        <v>0.99986849999999905</v>
      </c>
      <c r="N245">
        <v>0</v>
      </c>
      <c r="O245">
        <v>-5.5063769999999998E-3</v>
      </c>
      <c r="P245">
        <v>0.99663880000000005</v>
      </c>
      <c r="Q245">
        <v>5.8400290000000001E-2</v>
      </c>
      <c r="R245">
        <v>5.7454070000000003E-2</v>
      </c>
      <c r="S245">
        <v>3.0225520000000001</v>
      </c>
      <c r="T245">
        <v>-0.212117</v>
      </c>
      <c r="U245">
        <v>-4.1198729999999996E-3</v>
      </c>
      <c r="V245">
        <v>-6.2856120000000001E-2</v>
      </c>
      <c r="W245">
        <v>7.3667319999999994E-2</v>
      </c>
      <c r="X245">
        <v>0.99530010000000002</v>
      </c>
      <c r="Y245">
        <v>-4.1203129999999996E-3</v>
      </c>
      <c r="Z245">
        <v>5.3039549999999997E-4</v>
      </c>
      <c r="AA245">
        <v>0.99999139999999997</v>
      </c>
      <c r="AB245">
        <v>42</v>
      </c>
      <c r="AC245">
        <v>0.68470000000001996</v>
      </c>
      <c r="AD245">
        <v>-6.6318100000000102E-2</v>
      </c>
      <c r="AE245">
        <v>2.9999999998153699E-4</v>
      </c>
      <c r="AF245">
        <v>-4.0328173501907498E-3</v>
      </c>
      <c r="AG245">
        <v>-6.6318100000000102E-2</v>
      </c>
      <c r="AH245">
        <v>0.67832439496469599</v>
      </c>
      <c r="AI245">
        <v>95.583822570436297</v>
      </c>
      <c r="AJ245">
        <v>90.340634500372602</v>
      </c>
      <c r="AK245">
        <v>0.681570494378689</v>
      </c>
    </row>
    <row r="246" spans="1:37" x14ac:dyDescent="0.2">
      <c r="A246" t="str">
        <f>"20200111153615758"</f>
        <v>20200111153615758</v>
      </c>
      <c r="B246" t="str">
        <f>"1578728175752908"</f>
        <v>1578728175752908</v>
      </c>
      <c r="C246" t="s">
        <v>37</v>
      </c>
      <c r="D246">
        <v>5.8661500000000002</v>
      </c>
      <c r="E246">
        <v>0.52143739999999905</v>
      </c>
      <c r="F246" t="s">
        <v>38</v>
      </c>
      <c r="G246">
        <v>-409.16140000000001</v>
      </c>
      <c r="H246">
        <v>0.98333019999999904</v>
      </c>
      <c r="I246">
        <v>367.3141</v>
      </c>
      <c r="J246">
        <v>-409.90269999999998</v>
      </c>
      <c r="K246">
        <v>1.0541830000000001</v>
      </c>
      <c r="L246">
        <v>367.31380000000001</v>
      </c>
      <c r="M246">
        <v>0.99986699999999995</v>
      </c>
      <c r="N246">
        <v>0</v>
      </c>
      <c r="O246">
        <v>-5.7818949999999996E-3</v>
      </c>
      <c r="P246">
        <v>0.99654859999999901</v>
      </c>
      <c r="Q246">
        <v>6.0381959999999998E-2</v>
      </c>
      <c r="R246">
        <v>5.6964330000000001E-2</v>
      </c>
      <c r="S246">
        <v>3.022278</v>
      </c>
      <c r="T246">
        <v>-0.20371539999999999</v>
      </c>
      <c r="U246">
        <v>-3.8452149999999999E-3</v>
      </c>
      <c r="V246">
        <v>-6.2639879999999995E-2</v>
      </c>
      <c r="W246">
        <v>7.5644950000000002E-2</v>
      </c>
      <c r="X246">
        <v>0.99516530000000003</v>
      </c>
      <c r="Y246">
        <v>-4.4869920000000004E-3</v>
      </c>
      <c r="Z246">
        <v>5.4037839999999905E-4</v>
      </c>
      <c r="AA246">
        <v>0.99998980000000004</v>
      </c>
      <c r="AB246">
        <v>42</v>
      </c>
      <c r="AC246">
        <v>0.74129999999996699</v>
      </c>
      <c r="AD246">
        <v>-7.0852800000000105E-2</v>
      </c>
      <c r="AE246">
        <v>2.9999999998153699E-4</v>
      </c>
      <c r="AF246">
        <v>-4.5450911352238098E-3</v>
      </c>
      <c r="AG246">
        <v>-7.0852800000000105E-2</v>
      </c>
      <c r="AH246">
        <v>0.73457525728117201</v>
      </c>
      <c r="AI246">
        <v>95.509265304329801</v>
      </c>
      <c r="AJ246">
        <v>90.354505837005803</v>
      </c>
      <c r="AK246">
        <v>0.73799836431456201</v>
      </c>
    </row>
    <row r="247" spans="1:37" x14ac:dyDescent="0.2">
      <c r="A247" t="str">
        <f>"20200111153615782"</f>
        <v>20200111153615782</v>
      </c>
      <c r="B247" t="str">
        <f>"1578728175773403"</f>
        <v>1578728175773403</v>
      </c>
      <c r="C247" t="s">
        <v>37</v>
      </c>
      <c r="D247">
        <v>5.6998290000000003</v>
      </c>
      <c r="E247">
        <v>0.52073139999999996</v>
      </c>
      <c r="F247" t="s">
        <v>39</v>
      </c>
      <c r="G247">
        <v>-393.14170000000001</v>
      </c>
      <c r="H247" s="1">
        <v>-3.3367019999999998E-6</v>
      </c>
      <c r="I247">
        <v>367.29259999999999</v>
      </c>
      <c r="J247">
        <v>-409.47140000000002</v>
      </c>
      <c r="K247">
        <v>1.0542020000000001</v>
      </c>
      <c r="L247">
        <v>367.3109</v>
      </c>
      <c r="M247">
        <v>0.99986459999999999</v>
      </c>
      <c r="N247">
        <v>0</v>
      </c>
      <c r="O247">
        <v>-6.1546359999999998E-3</v>
      </c>
      <c r="P247">
        <v>0.99646399999999902</v>
      </c>
      <c r="Q247">
        <v>6.247229E-2</v>
      </c>
      <c r="R247">
        <v>5.6184049999999999E-2</v>
      </c>
      <c r="S247">
        <v>3.0220639999999999</v>
      </c>
      <c r="T247">
        <v>-0.19007189999999999</v>
      </c>
      <c r="U247">
        <v>-3.8146970000000001E-3</v>
      </c>
      <c r="V247">
        <v>-6.2230319999999999E-2</v>
      </c>
      <c r="W247">
        <v>7.7730199999999999E-2</v>
      </c>
      <c r="X247">
        <v>0.99503030000000003</v>
      </c>
      <c r="Y247">
        <v>-4.8713039999999999E-3</v>
      </c>
      <c r="Z247">
        <v>5.3979329999999999E-4</v>
      </c>
      <c r="AA247">
        <v>0.99998799999999899</v>
      </c>
      <c r="AB247">
        <v>42</v>
      </c>
      <c r="AC247">
        <v>16.329699999999999</v>
      </c>
      <c r="AD247">
        <v>-1.0542053367019999</v>
      </c>
      <c r="AE247">
        <v>-1.8300000000010599E-2</v>
      </c>
      <c r="AF247">
        <v>-8.1874187235397397E-2</v>
      </c>
      <c r="AG247">
        <v>-1.0542053367019999</v>
      </c>
      <c r="AH247">
        <v>16.261729742262599</v>
      </c>
      <c r="AI247">
        <v>93.709098208851699</v>
      </c>
      <c r="AJ247">
        <v>90.288469050762899</v>
      </c>
      <c r="AK247">
        <v>16.296070277366098</v>
      </c>
    </row>
    <row r="248" spans="1:37" x14ac:dyDescent="0.2">
      <c r="A248" t="str">
        <f>"20200111153615814"</f>
        <v>20200111153615814</v>
      </c>
      <c r="B248" t="str">
        <f>"1578728175802686"</f>
        <v>1578728175802686</v>
      </c>
      <c r="C248" t="s">
        <v>37</v>
      </c>
      <c r="D248">
        <v>5.6975720000000001</v>
      </c>
      <c r="E248">
        <v>0.5201808</v>
      </c>
      <c r="F248" t="s">
        <v>39</v>
      </c>
      <c r="G248">
        <v>-391.78870000000001</v>
      </c>
      <c r="H248" s="1">
        <v>-3.9141619999999999E-6</v>
      </c>
      <c r="I248">
        <v>367.30930000000001</v>
      </c>
      <c r="J248">
        <v>-408.86130000000003</v>
      </c>
      <c r="K248">
        <v>1.054236</v>
      </c>
      <c r="L248">
        <v>367.3066</v>
      </c>
      <c r="M248">
        <v>0.99986149999999996</v>
      </c>
      <c r="N248">
        <v>0</v>
      </c>
      <c r="O248">
        <v>-6.6634009999999898E-3</v>
      </c>
      <c r="P248">
        <v>0.99633850000000002</v>
      </c>
      <c r="Q248">
        <v>6.4935679999999996E-2</v>
      </c>
      <c r="R248">
        <v>5.5614820000000002E-2</v>
      </c>
      <c r="S248">
        <v>3.0219419999999899</v>
      </c>
      <c r="T248">
        <v>-0.18016109999999999</v>
      </c>
      <c r="U248">
        <v>-2.7465820000000001E-4</v>
      </c>
      <c r="V248">
        <v>-6.2167890000000003E-2</v>
      </c>
      <c r="W248">
        <v>8.0186320000000005E-2</v>
      </c>
      <c r="X248">
        <v>0.99483929999999998</v>
      </c>
      <c r="Y248">
        <v>-6.5498279999999997E-3</v>
      </c>
      <c r="Z248">
        <v>5.9201749999999997E-4</v>
      </c>
      <c r="AA248">
        <v>0.99997839999999905</v>
      </c>
      <c r="AB248">
        <v>42</v>
      </c>
      <c r="AC248">
        <v>17.072600000000001</v>
      </c>
      <c r="AD248">
        <v>-1.054239914162</v>
      </c>
      <c r="AE248">
        <v>2.7000000000043599E-3</v>
      </c>
      <c r="AF248">
        <v>-0.116032307403007</v>
      </c>
      <c r="AG248">
        <v>-1.054239914162</v>
      </c>
      <c r="AH248">
        <v>17.007351955997301</v>
      </c>
      <c r="AI248">
        <v>93.546990150801804</v>
      </c>
      <c r="AJ248">
        <v>90.390893207390405</v>
      </c>
      <c r="AK248">
        <v>17.040390425343499</v>
      </c>
    </row>
    <row r="249" spans="1:37" x14ac:dyDescent="0.2">
      <c r="A249" t="str">
        <f>"20200111153615829"</f>
        <v>20200111153615829</v>
      </c>
      <c r="B249" t="str">
        <f>"1578728175823180"</f>
        <v>1578728175823180</v>
      </c>
      <c r="C249" t="s">
        <v>37</v>
      </c>
      <c r="D249">
        <v>5.690334</v>
      </c>
      <c r="E249">
        <v>0.51970470000000002</v>
      </c>
      <c r="F249" t="s">
        <v>39</v>
      </c>
      <c r="G249">
        <v>-390.32470000000001</v>
      </c>
      <c r="H249" s="1">
        <v>-4.5399310000000002E-6</v>
      </c>
      <c r="I249">
        <v>367.32209999999998</v>
      </c>
      <c r="J249">
        <v>-408.60390000000001</v>
      </c>
      <c r="K249">
        <v>1.0542499999999999</v>
      </c>
      <c r="L249">
        <v>367.30470000000003</v>
      </c>
      <c r="M249">
        <v>0.99986010000000003</v>
      </c>
      <c r="N249">
        <v>0</v>
      </c>
      <c r="O249">
        <v>-6.8702839999999999E-3</v>
      </c>
      <c r="P249">
        <v>0.99629349999999905</v>
      </c>
      <c r="Q249">
        <v>6.5872799999999995E-2</v>
      </c>
      <c r="R249">
        <v>5.5318230000000003E-2</v>
      </c>
      <c r="S249">
        <v>3.0220639999999999</v>
      </c>
      <c r="T249">
        <v>-0.17187430000000001</v>
      </c>
      <c r="U249">
        <v>2.532959E-3</v>
      </c>
      <c r="V249">
        <v>-6.2077319999999998E-2</v>
      </c>
      <c r="W249">
        <v>8.1119780000000002E-2</v>
      </c>
      <c r="X249">
        <v>0.99476929999999997</v>
      </c>
      <c r="Y249">
        <v>-7.6856919999999896E-3</v>
      </c>
      <c r="Z249">
        <v>6.0884069999999897E-4</v>
      </c>
      <c r="AA249">
        <v>0.99997029999999998</v>
      </c>
      <c r="AB249">
        <v>42</v>
      </c>
      <c r="AC249">
        <v>18.279199999999999</v>
      </c>
      <c r="AD249">
        <v>-1.0542545399309999</v>
      </c>
      <c r="AE249">
        <v>1.7399999999952301E-2</v>
      </c>
      <c r="AF249">
        <v>-0.14252339943236</v>
      </c>
      <c r="AG249">
        <v>-1.0542545399309999</v>
      </c>
      <c r="AH249">
        <v>18.218048185071801</v>
      </c>
      <c r="AI249">
        <v>93.311836755329395</v>
      </c>
      <c r="AJ249">
        <v>90.448227087759506</v>
      </c>
      <c r="AK249">
        <v>18.249083407885198</v>
      </c>
    </row>
    <row r="250" spans="1:37" x14ac:dyDescent="0.2">
      <c r="A250" t="str">
        <f>"20200111153615848"</f>
        <v>20200111153615848</v>
      </c>
      <c r="B250" t="str">
        <f>"1578728175842700"</f>
        <v>1578728175842700</v>
      </c>
      <c r="C250" t="s">
        <v>37</v>
      </c>
      <c r="D250">
        <v>5.6783229999999998</v>
      </c>
      <c r="E250">
        <v>0.51941440000000005</v>
      </c>
      <c r="F250" t="s">
        <v>39</v>
      </c>
      <c r="G250">
        <v>-390.38720000000001</v>
      </c>
      <c r="H250" s="1">
        <v>-4.5104769999999998E-6</v>
      </c>
      <c r="I250">
        <v>367.33710000000002</v>
      </c>
      <c r="J250">
        <v>-408.2362</v>
      </c>
      <c r="K250">
        <v>1.0542719999999901</v>
      </c>
      <c r="L250">
        <v>367.30189999999999</v>
      </c>
      <c r="M250">
        <v>0.99985809999999997</v>
      </c>
      <c r="N250">
        <v>0</v>
      </c>
      <c r="O250">
        <v>-7.1541599999999997E-3</v>
      </c>
      <c r="P250">
        <v>0.99620580000000003</v>
      </c>
      <c r="Q250">
        <v>6.7942279999999994E-2</v>
      </c>
      <c r="R250">
        <v>5.4387249999999998E-2</v>
      </c>
      <c r="S250">
        <v>3.0223689999999999</v>
      </c>
      <c r="T250">
        <v>-0.17491219999999999</v>
      </c>
      <c r="U250">
        <v>5.3710939999999999E-3</v>
      </c>
      <c r="V250">
        <v>-6.1429310000000001E-2</v>
      </c>
      <c r="W250">
        <v>8.3182249999999999E-2</v>
      </c>
      <c r="X250">
        <v>0.99463919999999995</v>
      </c>
      <c r="Y250">
        <v>-8.9051740000000001E-3</v>
      </c>
      <c r="Z250">
        <v>6.7119610000000002E-4</v>
      </c>
      <c r="AA250">
        <v>0.99996010000000002</v>
      </c>
      <c r="AB250">
        <v>42</v>
      </c>
      <c r="AC250">
        <v>17.848999999999901</v>
      </c>
      <c r="AD250">
        <v>-1.05427651047699</v>
      </c>
      <c r="AE250">
        <v>3.5200000000031602E-2</v>
      </c>
      <c r="AF250">
        <v>-0.16234217019953601</v>
      </c>
      <c r="AG250">
        <v>-1.05427651047699</v>
      </c>
      <c r="AH250">
        <v>17.786238127956501</v>
      </c>
      <c r="AI250">
        <v>93.392088334936403</v>
      </c>
      <c r="AJ250">
        <v>90.522947170377094</v>
      </c>
      <c r="AK250">
        <v>17.818196336474202</v>
      </c>
    </row>
    <row r="251" spans="1:37" x14ac:dyDescent="0.2">
      <c r="A251" t="str">
        <f>"20200111153615883"</f>
        <v>20200111153615883</v>
      </c>
      <c r="B251" t="str">
        <f>"1578728175872956"</f>
        <v>1578728175872956</v>
      </c>
      <c r="C251" t="s">
        <v>37</v>
      </c>
      <c r="D251">
        <v>5.9277100000000003</v>
      </c>
      <c r="E251">
        <v>0.51914629999999995</v>
      </c>
      <c r="F251" t="s">
        <v>39</v>
      </c>
      <c r="G251">
        <v>-389.91059999999999</v>
      </c>
      <c r="H251" s="1">
        <v>-6.2392579999999996E-7</v>
      </c>
      <c r="I251">
        <v>367.33330000000001</v>
      </c>
      <c r="J251">
        <v>-407.58839999999998</v>
      </c>
      <c r="K251">
        <v>1.0543089999999999</v>
      </c>
      <c r="L251">
        <v>367.29680000000002</v>
      </c>
      <c r="M251">
        <v>0.99985489999999999</v>
      </c>
      <c r="N251">
        <v>0</v>
      </c>
      <c r="O251">
        <v>-7.6085160000000001E-3</v>
      </c>
      <c r="P251">
        <v>0.99617169999999899</v>
      </c>
      <c r="Q251">
        <v>6.9451410000000005E-2</v>
      </c>
      <c r="R251">
        <v>5.3090930000000001E-2</v>
      </c>
      <c r="S251">
        <v>3.02300999999999</v>
      </c>
      <c r="T251">
        <v>-0.17391309999999999</v>
      </c>
      <c r="U251">
        <v>5.1879880000000001E-3</v>
      </c>
      <c r="V251">
        <v>-6.059163E-2</v>
      </c>
      <c r="W251">
        <v>8.4680430000000001E-2</v>
      </c>
      <c r="X251">
        <v>0.99456420000000001</v>
      </c>
      <c r="Y251">
        <v>-9.2975490000000004E-3</v>
      </c>
      <c r="Z251">
        <v>7.0462439999999997E-4</v>
      </c>
      <c r="AA251">
        <v>0.99995650000000003</v>
      </c>
      <c r="AB251">
        <v>42</v>
      </c>
      <c r="AC251">
        <v>17.677799999999898</v>
      </c>
      <c r="AD251">
        <v>-1.0543096239258001</v>
      </c>
      <c r="AE251">
        <v>3.6499999999989499E-2</v>
      </c>
      <c r="AF251">
        <v>-0.17041025064211601</v>
      </c>
      <c r="AG251">
        <v>-1.0543096239258001</v>
      </c>
      <c r="AH251">
        <v>17.614357020831701</v>
      </c>
      <c r="AI251">
        <v>93.425199700811703</v>
      </c>
      <c r="AJ251">
        <v>90.554291225933397</v>
      </c>
      <c r="AK251">
        <v>17.646704556204</v>
      </c>
    </row>
    <row r="252" spans="1:37" x14ac:dyDescent="0.2">
      <c r="A252" t="str">
        <f>"20200111153615904"</f>
        <v>20200111153615904</v>
      </c>
      <c r="B252" t="str">
        <f>"1578728175892983"</f>
        <v>1578728175892983</v>
      </c>
      <c r="C252" t="s">
        <v>37</v>
      </c>
      <c r="D252">
        <v>5.6709189999999996</v>
      </c>
      <c r="E252">
        <v>0.51871369999999895</v>
      </c>
      <c r="F252" t="s">
        <v>39</v>
      </c>
      <c r="G252">
        <v>-388.80579999999998</v>
      </c>
      <c r="H252" s="1">
        <v>-1.0029120000000001E-6</v>
      </c>
      <c r="I252">
        <v>367.32199999999898</v>
      </c>
      <c r="J252">
        <v>-407.19499999999999</v>
      </c>
      <c r="K252">
        <v>1.0543359999999999</v>
      </c>
      <c r="L252">
        <v>367.29360000000003</v>
      </c>
      <c r="M252">
        <v>0.999853199999999</v>
      </c>
      <c r="N252">
        <v>0</v>
      </c>
      <c r="O252">
        <v>-7.8410500000000005E-3</v>
      </c>
      <c r="P252">
        <v>0.99619619999999998</v>
      </c>
      <c r="Q252">
        <v>6.9804019999999994E-2</v>
      </c>
      <c r="R252">
        <v>5.2162170000000001E-2</v>
      </c>
      <c r="S252">
        <v>3.0231629999999998</v>
      </c>
      <c r="T252">
        <v>-0.16969579999999901</v>
      </c>
      <c r="U252">
        <v>4.05883799999999E-3</v>
      </c>
      <c r="V252">
        <v>-5.9900299999999997E-2</v>
      </c>
      <c r="W252">
        <v>8.5024890000000006E-2</v>
      </c>
      <c r="X252">
        <v>0.99457659999999903</v>
      </c>
      <c r="Y252">
        <v>-9.1577289999999999E-3</v>
      </c>
      <c r="Z252">
        <v>6.9665269999999999E-4</v>
      </c>
      <c r="AA252">
        <v>0.99995780000000001</v>
      </c>
      <c r="AB252">
        <v>42</v>
      </c>
      <c r="AC252">
        <v>18.389199999999999</v>
      </c>
      <c r="AD252">
        <v>-1.0543370029120001</v>
      </c>
      <c r="AE252">
        <v>2.8399999999919601E-2</v>
      </c>
      <c r="AF252">
        <v>-0.172040958443332</v>
      </c>
      <c r="AG252">
        <v>-1.0543370029120001</v>
      </c>
      <c r="AH252">
        <v>18.328162668255001</v>
      </c>
      <c r="AI252">
        <v>93.292196072583295</v>
      </c>
      <c r="AJ252">
        <v>90.537802479653905</v>
      </c>
      <c r="AK252">
        <v>18.359269359130501</v>
      </c>
    </row>
    <row r="253" spans="1:37" x14ac:dyDescent="0.2">
      <c r="A253" t="str">
        <f>"20200111153615917"</f>
        <v>20200111153615917</v>
      </c>
      <c r="B253" t="str">
        <f>"1578728175913480"</f>
        <v>1578728175913480</v>
      </c>
      <c r="C253" t="s">
        <v>37</v>
      </c>
      <c r="D253">
        <v>5.54854</v>
      </c>
      <c r="E253">
        <v>0.51870229999999995</v>
      </c>
      <c r="F253" t="s">
        <v>39</v>
      </c>
      <c r="G253">
        <v>-388.3526</v>
      </c>
      <c r="H253" s="1">
        <v>-1.156307E-6</v>
      </c>
      <c r="I253">
        <v>367.32510000000002</v>
      </c>
      <c r="J253">
        <v>-406.93340000000001</v>
      </c>
      <c r="K253">
        <v>1.0543579999999999</v>
      </c>
      <c r="L253">
        <v>367.29140000000001</v>
      </c>
      <c r="M253">
        <v>0.99985210000000002</v>
      </c>
      <c r="N253">
        <v>0</v>
      </c>
      <c r="O253">
        <v>-7.9765749999999996E-3</v>
      </c>
      <c r="P253">
        <v>0.99620699999999995</v>
      </c>
      <c r="Q253">
        <v>7.0019890000000001E-2</v>
      </c>
      <c r="R253">
        <v>5.166275E-2</v>
      </c>
      <c r="S253">
        <v>3.02300999999999</v>
      </c>
      <c r="T253">
        <v>-0.16915329999999901</v>
      </c>
      <c r="U253">
        <v>5.065918E-3</v>
      </c>
      <c r="V253">
        <v>-5.9540679999999999E-2</v>
      </c>
      <c r="W253">
        <v>8.5234870000000004E-2</v>
      </c>
      <c r="X253">
        <v>0.99458029999999997</v>
      </c>
      <c r="Y253">
        <v>-9.6256840000000007E-3</v>
      </c>
      <c r="Z253">
        <v>7.1512419999999999E-4</v>
      </c>
      <c r="AA253">
        <v>0.99995339999999999</v>
      </c>
      <c r="AB253">
        <v>41</v>
      </c>
      <c r="AC253">
        <v>18.5808</v>
      </c>
      <c r="AD253">
        <v>-1.0543591563069901</v>
      </c>
      <c r="AE253">
        <v>3.3700000000010201E-2</v>
      </c>
      <c r="AF253">
        <v>-0.181343365603894</v>
      </c>
      <c r="AG253">
        <v>-1.0543591563069901</v>
      </c>
      <c r="AH253">
        <v>18.520305750069198</v>
      </c>
      <c r="AI253">
        <v>93.258170099709105</v>
      </c>
      <c r="AJ253">
        <v>90.560999240296695</v>
      </c>
      <c r="AK253">
        <v>18.551180116714502</v>
      </c>
    </row>
    <row r="254" spans="1:37" x14ac:dyDescent="0.2">
      <c r="A254" t="str">
        <f>"20200111153615936"</f>
        <v>20200111153615936</v>
      </c>
      <c r="B254" t="str">
        <f>"1578728175933000"</f>
        <v>1578728175933000</v>
      </c>
      <c r="C254" t="s">
        <v>37</v>
      </c>
      <c r="D254">
        <v>5.9828720000000004</v>
      </c>
      <c r="E254">
        <v>0.51867819999999998</v>
      </c>
      <c r="F254" t="s">
        <v>39</v>
      </c>
      <c r="G254">
        <v>-388.113</v>
      </c>
      <c r="H254" s="1">
        <v>-1.240538E-6</v>
      </c>
      <c r="I254">
        <v>367.31490000000002</v>
      </c>
      <c r="J254">
        <v>-406.589</v>
      </c>
      <c r="K254">
        <v>1.0544009999999999</v>
      </c>
      <c r="L254">
        <v>367.2885</v>
      </c>
      <c r="M254">
        <v>0.99985100000000005</v>
      </c>
      <c r="N254">
        <v>0</v>
      </c>
      <c r="O254">
        <v>-8.1161219999999999E-3</v>
      </c>
      <c r="P254">
        <v>0.99627049999999995</v>
      </c>
      <c r="Q254">
        <v>6.9969039999999996E-2</v>
      </c>
      <c r="R254">
        <v>5.0490140000000003E-2</v>
      </c>
      <c r="S254">
        <v>3.0231319999999999</v>
      </c>
      <c r="T254">
        <v>-0.16936199999999901</v>
      </c>
      <c r="U254">
        <v>3.7841799999999998E-3</v>
      </c>
      <c r="V254">
        <v>-5.8515619999999997E-2</v>
      </c>
      <c r="W254">
        <v>8.5175959999999995E-2</v>
      </c>
      <c r="X254">
        <v>0.99464609999999998</v>
      </c>
      <c r="Y254">
        <v>-9.341383E-3</v>
      </c>
      <c r="Z254">
        <v>7.1583140000000003E-4</v>
      </c>
      <c r="AA254">
        <v>0.99995610000000001</v>
      </c>
      <c r="AB254">
        <v>41</v>
      </c>
      <c r="AC254">
        <v>18.4759999999999</v>
      </c>
      <c r="AD254">
        <v>-1.054402240538</v>
      </c>
      <c r="AE254">
        <v>2.64000000000237E-2</v>
      </c>
      <c r="AF254">
        <v>-0.17579746251300399</v>
      </c>
      <c r="AG254">
        <v>-1.054402240538</v>
      </c>
      <c r="AH254">
        <v>18.415201751887299</v>
      </c>
      <c r="AI254">
        <v>93.276866922494094</v>
      </c>
      <c r="AJ254">
        <v>90.546947398586298</v>
      </c>
      <c r="AK254">
        <v>18.446200811966399</v>
      </c>
    </row>
    <row r="255" spans="1:37" x14ac:dyDescent="0.2">
      <c r="A255" t="str">
        <f>"20200111153615960"</f>
        <v>20200111153615960</v>
      </c>
      <c r="B255" t="str">
        <f>"1578728175953496"</f>
        <v>1578728175953496</v>
      </c>
      <c r="C255" t="s">
        <v>37</v>
      </c>
      <c r="D255">
        <v>5.6804379999999997</v>
      </c>
      <c r="E255">
        <v>0.51862410000000003</v>
      </c>
      <c r="F255" t="s">
        <v>39</v>
      </c>
      <c r="G255">
        <v>-387.91829999999999</v>
      </c>
      <c r="H255" s="1">
        <v>-1.312179E-6</v>
      </c>
      <c r="I255">
        <v>367.29469999999998</v>
      </c>
      <c r="J255">
        <v>-406.16309999999999</v>
      </c>
      <c r="K255">
        <v>1.05446</v>
      </c>
      <c r="L255">
        <v>367.28489999999999</v>
      </c>
      <c r="M255">
        <v>0.99985000000000002</v>
      </c>
      <c r="N255">
        <v>0</v>
      </c>
      <c r="O255">
        <v>-8.2308959999999997E-3</v>
      </c>
      <c r="P255">
        <v>0.99633959999999999</v>
      </c>
      <c r="Q255">
        <v>6.973443E-2</v>
      </c>
      <c r="R255">
        <v>4.9444969999999998E-2</v>
      </c>
      <c r="S255">
        <v>3.023193</v>
      </c>
      <c r="T255">
        <v>-0.17073039999999901</v>
      </c>
      <c r="U255">
        <v>1.00708E-3</v>
      </c>
      <c r="V255">
        <v>-5.7597170000000003E-2</v>
      </c>
      <c r="W255">
        <v>8.4930809999999995E-2</v>
      </c>
      <c r="X255">
        <v>0.99472070000000001</v>
      </c>
      <c r="Y255">
        <v>-8.5382369999999902E-3</v>
      </c>
      <c r="Z255">
        <v>7.0540789999999902E-4</v>
      </c>
      <c r="AA255">
        <v>0.9999633</v>
      </c>
      <c r="AB255">
        <v>41</v>
      </c>
      <c r="AC255">
        <v>18.244800000000001</v>
      </c>
      <c r="AD255">
        <v>-1.0544613121789901</v>
      </c>
      <c r="AE255">
        <v>9.7999999999842605E-3</v>
      </c>
      <c r="AF255">
        <v>-0.15945553319625999</v>
      </c>
      <c r="AG255">
        <v>-1.0544613121789901</v>
      </c>
      <c r="AH255">
        <v>18.183363614542301</v>
      </c>
      <c r="AI255">
        <v>93.3187632930333</v>
      </c>
      <c r="AJ255">
        <v>90.502431512937306</v>
      </c>
      <c r="AK255">
        <v>18.214610263868199</v>
      </c>
    </row>
    <row r="256" spans="1:37" x14ac:dyDescent="0.2">
      <c r="A256" t="str">
        <f>"20200111153615973"</f>
        <v>20200111153615973</v>
      </c>
      <c r="B256" t="str">
        <f>"1578728175963256"</f>
        <v>1578728175963256</v>
      </c>
      <c r="C256" t="s">
        <v>37</v>
      </c>
      <c r="D256">
        <v>5.9850050000000001</v>
      </c>
      <c r="E256">
        <v>0.51859940000000004</v>
      </c>
      <c r="F256" t="s">
        <v>39</v>
      </c>
      <c r="G256">
        <v>-387.65039999999999</v>
      </c>
      <c r="H256" s="1">
        <v>-1.4077760000000001E-6</v>
      </c>
      <c r="I256">
        <v>367.27809999999999</v>
      </c>
      <c r="J256">
        <v>-405.9008</v>
      </c>
      <c r="K256">
        <v>1.0544979999999999</v>
      </c>
      <c r="L256">
        <v>367.28269999999998</v>
      </c>
      <c r="M256">
        <v>0.99985000000000002</v>
      </c>
      <c r="N256">
        <v>0</v>
      </c>
      <c r="O256">
        <v>-8.2518920000000003E-3</v>
      </c>
      <c r="P256">
        <v>0.99638019999999905</v>
      </c>
      <c r="Q256">
        <v>6.9592009999999996E-2</v>
      </c>
      <c r="R256">
        <v>4.8825300000000002E-2</v>
      </c>
      <c r="S256">
        <v>3.0231020000000002</v>
      </c>
      <c r="T256">
        <v>-0.17219189999999901</v>
      </c>
      <c r="U256">
        <v>-1.0986329999999999E-3</v>
      </c>
      <c r="V256">
        <v>-5.7006880000000003E-2</v>
      </c>
      <c r="W256">
        <v>8.4780670000000002E-2</v>
      </c>
      <c r="X256">
        <v>0.99476749999999903</v>
      </c>
      <c r="Y256">
        <v>-7.8633269999999998E-3</v>
      </c>
      <c r="Z256">
        <v>6.9344770000000005E-4</v>
      </c>
      <c r="AA256">
        <v>0.99996879999999999</v>
      </c>
      <c r="AB256">
        <v>41</v>
      </c>
      <c r="AC256">
        <v>18.250399999999999</v>
      </c>
      <c r="AD256">
        <v>-1.0544994077759999</v>
      </c>
      <c r="AE256">
        <v>-4.5999999999821696E-3</v>
      </c>
      <c r="AF256">
        <v>-0.14553209535367601</v>
      </c>
      <c r="AG256">
        <v>-1.0544994077759999</v>
      </c>
      <c r="AH256">
        <v>18.189092643548999</v>
      </c>
      <c r="AI256">
        <v>93.317861234494103</v>
      </c>
      <c r="AJ256">
        <v>90.458417419991505</v>
      </c>
      <c r="AK256">
        <v>18.220215141084001</v>
      </c>
    </row>
    <row r="257" spans="1:37" x14ac:dyDescent="0.2">
      <c r="A257" t="str">
        <f>"20200111153615987"</f>
        <v>20200111153615987</v>
      </c>
      <c r="B257" t="str">
        <f>"1578728175983284"</f>
        <v>1578728175983284</v>
      </c>
      <c r="C257" t="s">
        <v>37</v>
      </c>
      <c r="D257">
        <v>5.9194290000000001</v>
      </c>
      <c r="E257">
        <v>0.51851800000000003</v>
      </c>
      <c r="F257" t="s">
        <v>39</v>
      </c>
      <c r="G257">
        <v>-387.50560000000002</v>
      </c>
      <c r="H257" s="1">
        <v>-1.4691319999999899E-6</v>
      </c>
      <c r="I257">
        <v>367.267</v>
      </c>
      <c r="J257">
        <v>-405.66849999999999</v>
      </c>
      <c r="K257">
        <v>1.054535</v>
      </c>
      <c r="L257">
        <v>367.2808</v>
      </c>
      <c r="M257">
        <v>0.99985000000000002</v>
      </c>
      <c r="N257">
        <v>0</v>
      </c>
      <c r="O257">
        <v>-8.2493600000000007E-3</v>
      </c>
      <c r="P257">
        <v>0.99641979999999997</v>
      </c>
      <c r="Q257">
        <v>6.9538269999999999E-2</v>
      </c>
      <c r="R257">
        <v>4.8086320000000002E-2</v>
      </c>
      <c r="S257">
        <v>3.0231020000000002</v>
      </c>
      <c r="T257">
        <v>-0.17329800000000001</v>
      </c>
      <c r="U257">
        <v>-2.5634770000000002E-3</v>
      </c>
      <c r="V257">
        <v>-5.6273829999999997E-2</v>
      </c>
      <c r="W257">
        <v>8.4719379999999997E-2</v>
      </c>
      <c r="X257">
        <v>0.99481450000000005</v>
      </c>
      <c r="Y257">
        <v>-7.3767260000000001E-3</v>
      </c>
      <c r="Z257">
        <v>6.8381379999999997E-4</v>
      </c>
      <c r="AA257">
        <v>0.99997259999999999</v>
      </c>
      <c r="AB257">
        <v>41</v>
      </c>
      <c r="AC257">
        <v>18.162899999999901</v>
      </c>
      <c r="AD257">
        <v>-1.0545364691320001</v>
      </c>
      <c r="AE257">
        <v>-1.3800000000003299E-2</v>
      </c>
      <c r="AF257">
        <v>-0.135593070675007</v>
      </c>
      <c r="AG257">
        <v>-1.0545364691320001</v>
      </c>
      <c r="AH257">
        <v>18.1013768172099</v>
      </c>
      <c r="AI257">
        <v>93.334032836473597</v>
      </c>
      <c r="AJ257">
        <v>90.429180910151899</v>
      </c>
      <c r="AK257">
        <v>18.1325749777622</v>
      </c>
    </row>
    <row r="258" spans="1:37" x14ac:dyDescent="0.2">
      <c r="A258" t="str">
        <f>"20200111153616003"</f>
        <v>20200111153616003</v>
      </c>
      <c r="B258" t="str">
        <f>"1578728175993043"</f>
        <v>1578728175993043</v>
      </c>
      <c r="C258" t="s">
        <v>37</v>
      </c>
      <c r="D258">
        <v>5.9854789999999998</v>
      </c>
      <c r="E258">
        <v>0.51847370000000004</v>
      </c>
      <c r="F258" t="s">
        <v>39</v>
      </c>
      <c r="G258">
        <v>-387.43979999999999</v>
      </c>
      <c r="H258" s="1">
        <v>-1.499147E-6</v>
      </c>
      <c r="I258">
        <v>367.25699999999898</v>
      </c>
      <c r="J258">
        <v>-405.34840000000003</v>
      </c>
      <c r="K258">
        <v>1.0545899999999999</v>
      </c>
      <c r="L258">
        <v>367.27809999999999</v>
      </c>
      <c r="M258">
        <v>0.99985049999999998</v>
      </c>
      <c r="N258">
        <v>0</v>
      </c>
      <c r="O258">
        <v>-8.2031910000000003E-3</v>
      </c>
      <c r="P258">
        <v>0.99653349999999996</v>
      </c>
      <c r="Q258">
        <v>6.9051009999999996E-2</v>
      </c>
      <c r="R258">
        <v>4.6403090000000001E-2</v>
      </c>
      <c r="S258">
        <v>3.023193</v>
      </c>
      <c r="T258">
        <v>-0.1748924</v>
      </c>
      <c r="U258">
        <v>-3.9367680000000002E-3</v>
      </c>
      <c r="V258">
        <v>-5.4557899999999999E-2</v>
      </c>
      <c r="W258">
        <v>8.4223339999999994E-2</v>
      </c>
      <c r="X258">
        <v>0.99495219999999995</v>
      </c>
      <c r="Y258">
        <v>-6.8767769999999997E-3</v>
      </c>
      <c r="Z258">
        <v>6.7295560000000003E-4</v>
      </c>
      <c r="AA258">
        <v>0.99997610000000003</v>
      </c>
      <c r="AB258">
        <v>41</v>
      </c>
      <c r="AC258">
        <v>17.9086</v>
      </c>
      <c r="AD258">
        <v>-1.054591499147</v>
      </c>
      <c r="AE258">
        <v>-2.1100000000046699E-2</v>
      </c>
      <c r="AF258">
        <v>-0.12539057753681501</v>
      </c>
      <c r="AG258">
        <v>-1.054591499147</v>
      </c>
      <c r="AH258">
        <v>17.846284394158399</v>
      </c>
      <c r="AI258">
        <v>93.381766677840702</v>
      </c>
      <c r="AJ258">
        <v>90.402561816555504</v>
      </c>
      <c r="AK258">
        <v>17.877856490759498</v>
      </c>
    </row>
    <row r="259" spans="1:37" x14ac:dyDescent="0.2">
      <c r="A259" t="str">
        <f>"20200111153616018"</f>
        <v>20200111153616018</v>
      </c>
      <c r="B259" t="str">
        <f>"1578728176012565"</f>
        <v>1578728176012565</v>
      </c>
      <c r="C259" t="s">
        <v>37</v>
      </c>
      <c r="D259">
        <v>5.7240690000000001</v>
      </c>
      <c r="E259">
        <v>0.51834820000000004</v>
      </c>
      <c r="F259" t="s">
        <v>39</v>
      </c>
      <c r="G259">
        <v>-387.31229999999999</v>
      </c>
      <c r="H259" s="1">
        <v>-1.55876E-6</v>
      </c>
      <c r="I259">
        <v>367.22930000000002</v>
      </c>
      <c r="J259">
        <v>-405.07900000000001</v>
      </c>
      <c r="K259">
        <v>1.054648</v>
      </c>
      <c r="L259">
        <v>367.27600000000001</v>
      </c>
      <c r="M259">
        <v>0.99985119999999905</v>
      </c>
      <c r="N259">
        <v>0</v>
      </c>
      <c r="O259">
        <v>-8.1146090000000001E-3</v>
      </c>
      <c r="P259">
        <v>0.99658169999999902</v>
      </c>
      <c r="Q259">
        <v>6.8826600000000002E-2</v>
      </c>
      <c r="R259">
        <v>4.56931E-2</v>
      </c>
      <c r="S259">
        <v>3.0230410000000001</v>
      </c>
      <c r="T259">
        <v>-0.17676020000000001</v>
      </c>
      <c r="U259">
        <v>-8.178711E-3</v>
      </c>
      <c r="V259">
        <v>-5.3771390000000002E-2</v>
      </c>
      <c r="W259">
        <v>8.3989579999999994E-2</v>
      </c>
      <c r="X259">
        <v>0.99501479999999998</v>
      </c>
      <c r="Y259">
        <v>-5.3870990000000002E-3</v>
      </c>
      <c r="Z259">
        <v>6.3147319999999998E-4</v>
      </c>
      <c r="AA259">
        <v>0.99998529999999997</v>
      </c>
      <c r="AB259">
        <v>41</v>
      </c>
      <c r="AC259">
        <v>17.7667</v>
      </c>
      <c r="AD259">
        <v>-1.05464955876</v>
      </c>
      <c r="AE259">
        <v>-4.6699999999987002E-2</v>
      </c>
      <c r="AF259">
        <v>-9.7145755640621195E-2</v>
      </c>
      <c r="AG259">
        <v>-1.05464955876</v>
      </c>
      <c r="AH259">
        <v>17.704109811150801</v>
      </c>
      <c r="AI259">
        <v>93.4090804729627</v>
      </c>
      <c r="AJ259">
        <v>90.314389483184598</v>
      </c>
      <c r="AK259">
        <v>17.7357612521965</v>
      </c>
    </row>
    <row r="260" spans="1:37" x14ac:dyDescent="0.2">
      <c r="A260" t="str">
        <f>"20200111153616036"</f>
        <v>20200111153616036</v>
      </c>
      <c r="B260" t="str">
        <f>"1578728176033060"</f>
        <v>1578728176033060</v>
      </c>
      <c r="C260" t="s">
        <v>37</v>
      </c>
      <c r="D260">
        <v>5.8552540000000004</v>
      </c>
      <c r="E260">
        <v>0.51825259999999995</v>
      </c>
      <c r="F260" t="s">
        <v>39</v>
      </c>
      <c r="G260">
        <v>-387.22710000000001</v>
      </c>
      <c r="H260" s="1">
        <v>-1.5968129999999901E-6</v>
      </c>
      <c r="I260">
        <v>367.2208</v>
      </c>
      <c r="J260">
        <v>-404.74299999999999</v>
      </c>
      <c r="K260">
        <v>1.0547299999999999</v>
      </c>
      <c r="L260">
        <v>367.27339999999998</v>
      </c>
      <c r="M260">
        <v>0.99985279999999999</v>
      </c>
      <c r="N260">
        <v>0</v>
      </c>
      <c r="O260">
        <v>-7.9155089999999994E-3</v>
      </c>
      <c r="P260">
        <v>0.9966488</v>
      </c>
      <c r="Q260">
        <v>6.8732000000000001E-2</v>
      </c>
      <c r="R260">
        <v>4.4354940000000002E-2</v>
      </c>
      <c r="S260">
        <v>3.02300999999999</v>
      </c>
      <c r="T260">
        <v>-0.178592</v>
      </c>
      <c r="U260">
        <v>-9.3383790000000008E-3</v>
      </c>
      <c r="V260">
        <v>-5.225258E-2</v>
      </c>
      <c r="W260">
        <v>8.3882659999999998E-2</v>
      </c>
      <c r="X260">
        <v>0.99510469999999895</v>
      </c>
      <c r="Y260">
        <v>-4.8052199999999998E-3</v>
      </c>
      <c r="Z260">
        <v>6.0908580000000004E-4</v>
      </c>
      <c r="AA260">
        <v>0.99998829999999905</v>
      </c>
      <c r="AB260">
        <v>41</v>
      </c>
      <c r="AC260">
        <v>17.515899999999998</v>
      </c>
      <c r="AD260">
        <v>-1.054731596813</v>
      </c>
      <c r="AE260">
        <v>-5.2599999999983903E-2</v>
      </c>
      <c r="AF260">
        <v>-8.57540439524236E-2</v>
      </c>
      <c r="AG260">
        <v>-1.054731596813</v>
      </c>
      <c r="AH260">
        <v>17.452486672812501</v>
      </c>
      <c r="AI260">
        <v>93.458391466265397</v>
      </c>
      <c r="AJ260">
        <v>90.281524652966098</v>
      </c>
      <c r="AK260">
        <v>17.484538986260599</v>
      </c>
    </row>
    <row r="261" spans="1:37" x14ac:dyDescent="0.2">
      <c r="A261" t="str">
        <f>"20200111153616061"</f>
        <v>20200111153616061</v>
      </c>
      <c r="B261" t="str">
        <f>"1578728176052580"</f>
        <v>1578728176052580</v>
      </c>
      <c r="C261" t="s">
        <v>37</v>
      </c>
      <c r="D261">
        <v>5.6965370000000002</v>
      </c>
      <c r="E261">
        <v>0.5180998</v>
      </c>
      <c r="F261" t="s">
        <v>39</v>
      </c>
      <c r="G261">
        <v>-387.02839999999998</v>
      </c>
      <c r="H261" s="1">
        <v>-1.6855480000000001E-6</v>
      </c>
      <c r="I261">
        <v>367.200999999999</v>
      </c>
      <c r="J261">
        <v>-404.29950000000002</v>
      </c>
      <c r="K261">
        <v>1.0548599999999999</v>
      </c>
      <c r="L261">
        <v>367.27019999999999</v>
      </c>
      <c r="M261">
        <v>0.99985619999999997</v>
      </c>
      <c r="N261">
        <v>0</v>
      </c>
      <c r="O261">
        <v>-7.5069179999999996E-3</v>
      </c>
      <c r="P261">
        <v>0.99672700000000003</v>
      </c>
      <c r="Q261">
        <v>6.8173109999999995E-2</v>
      </c>
      <c r="R261">
        <v>4.344899E-2</v>
      </c>
      <c r="S261">
        <v>3.0230709999999998</v>
      </c>
      <c r="T261">
        <v>-0.17999389999999901</v>
      </c>
      <c r="U261">
        <v>-1.23290999999999E-2</v>
      </c>
      <c r="V261">
        <v>-5.0967209999999999E-2</v>
      </c>
      <c r="W261">
        <v>8.330485E-2</v>
      </c>
      <c r="X261">
        <v>0.99521990000000005</v>
      </c>
      <c r="Y261">
        <v>-3.4102020000000002E-3</v>
      </c>
      <c r="Z261">
        <v>5.480436E-4</v>
      </c>
      <c r="AA261">
        <v>0.99999400000000005</v>
      </c>
      <c r="AB261">
        <v>41</v>
      </c>
      <c r="AC261">
        <v>17.271100000000001</v>
      </c>
      <c r="AD261">
        <v>-1.054861685548</v>
      </c>
      <c r="AE261">
        <v>-6.9200000000023396E-2</v>
      </c>
      <c r="AF261">
        <v>-6.0244942033309698E-2</v>
      </c>
      <c r="AG261">
        <v>-1.054861685548</v>
      </c>
      <c r="AH261">
        <v>17.206945658432701</v>
      </c>
      <c r="AI261">
        <v>93.508072277659807</v>
      </c>
      <c r="AJ261">
        <v>90.200603109913303</v>
      </c>
      <c r="AK261">
        <v>17.239354440376701</v>
      </c>
    </row>
    <row r="262" spans="1:37" x14ac:dyDescent="0.2">
      <c r="A262" t="str">
        <f>"20200111153616083"</f>
        <v>20200111153616083</v>
      </c>
      <c r="B262" t="str">
        <f>"1578728176073076"</f>
        <v>1578728176073076</v>
      </c>
      <c r="C262" t="s">
        <v>37</v>
      </c>
      <c r="D262">
        <v>5.6957019999999998</v>
      </c>
      <c r="E262">
        <v>0.51795190000000002</v>
      </c>
      <c r="F262" t="s">
        <v>39</v>
      </c>
      <c r="G262">
        <v>-386.825999999999</v>
      </c>
      <c r="H262" s="1">
        <v>-1.773973E-6</v>
      </c>
      <c r="I262">
        <v>367.19199999999898</v>
      </c>
      <c r="J262">
        <v>-403.88940000000002</v>
      </c>
      <c r="K262">
        <v>1.054986</v>
      </c>
      <c r="L262">
        <v>367.26749999999998</v>
      </c>
      <c r="M262">
        <v>0.99986019999999898</v>
      </c>
      <c r="N262">
        <v>0</v>
      </c>
      <c r="O262">
        <v>-6.9634500000000004E-3</v>
      </c>
      <c r="P262">
        <v>0.99677579999999999</v>
      </c>
      <c r="Q262">
        <v>6.7703680000000002E-2</v>
      </c>
      <c r="R262">
        <v>4.3063199999999899E-2</v>
      </c>
      <c r="S262">
        <v>3.0229189999999999</v>
      </c>
      <c r="T262">
        <v>-0.18249099999999999</v>
      </c>
      <c r="U262">
        <v>-1.351929E-2</v>
      </c>
      <c r="V262">
        <v>-5.006853E-2</v>
      </c>
      <c r="W262">
        <v>8.2816840000000003E-2</v>
      </c>
      <c r="X262">
        <v>0.99530629999999998</v>
      </c>
      <c r="Y262">
        <v>-2.4748919999999998E-3</v>
      </c>
      <c r="Z262">
        <v>4.9467269999999995E-4</v>
      </c>
      <c r="AA262">
        <v>0.99999680000000002</v>
      </c>
      <c r="AB262">
        <v>41</v>
      </c>
      <c r="AC262">
        <v>17.063400000000001</v>
      </c>
      <c r="AD262">
        <v>-1.054987773973</v>
      </c>
      <c r="AE262">
        <v>-7.5500000000033596E-2</v>
      </c>
      <c r="AF262">
        <v>-4.3170672333939702E-2</v>
      </c>
      <c r="AG262">
        <v>-1.054987773973</v>
      </c>
      <c r="AH262">
        <v>16.998533951443299</v>
      </c>
      <c r="AI262">
        <v>93.551407503900904</v>
      </c>
      <c r="AJ262">
        <v>90.145512078430102</v>
      </c>
      <c r="AK262">
        <v>17.031295294502801</v>
      </c>
    </row>
    <row r="263" spans="1:37" x14ac:dyDescent="0.2">
      <c r="A263" t="str">
        <f>"20200111153616104"</f>
        <v>20200111153616104</v>
      </c>
      <c r="B263" t="str">
        <f>"1578728176093106"</f>
        <v>1578728176093106</v>
      </c>
      <c r="C263" t="s">
        <v>37</v>
      </c>
      <c r="D263">
        <v>5.9828939999999999</v>
      </c>
      <c r="E263">
        <v>0.51785170000000003</v>
      </c>
      <c r="F263" t="s">
        <v>39</v>
      </c>
      <c r="G263">
        <v>-386.60320000000002</v>
      </c>
      <c r="H263" s="1">
        <v>-1.869589E-6</v>
      </c>
      <c r="I263">
        <v>367.19189999999998</v>
      </c>
      <c r="J263">
        <v>-403.50110000000001</v>
      </c>
      <c r="K263">
        <v>1.0551090000000001</v>
      </c>
      <c r="L263">
        <v>367.2654</v>
      </c>
      <c r="M263">
        <v>0.99986419999999998</v>
      </c>
      <c r="N263">
        <v>0</v>
      </c>
      <c r="O263">
        <v>-6.3305660000000001E-3</v>
      </c>
      <c r="P263">
        <v>0.99685279999999998</v>
      </c>
      <c r="Q263">
        <v>6.6405389999999995E-2</v>
      </c>
      <c r="R263">
        <v>4.329794E-2</v>
      </c>
      <c r="S263">
        <v>3.0227659999999998</v>
      </c>
      <c r="T263">
        <v>-0.18448039999999999</v>
      </c>
      <c r="U263">
        <v>-1.3214109999999999E-2</v>
      </c>
      <c r="V263">
        <v>-4.9697579999999998E-2</v>
      </c>
      <c r="W263">
        <v>8.1501889999999994E-2</v>
      </c>
      <c r="X263">
        <v>0.99543340000000002</v>
      </c>
      <c r="Y263">
        <v>-1.9444410000000001E-3</v>
      </c>
      <c r="Z263">
        <v>4.4531639999999999E-4</v>
      </c>
      <c r="AA263">
        <v>0.99999799999999905</v>
      </c>
      <c r="AB263">
        <v>41</v>
      </c>
      <c r="AC263">
        <v>16.8978999999999</v>
      </c>
      <c r="AD263">
        <v>-1.0551108695889999</v>
      </c>
      <c r="AE263">
        <v>-7.3500000000024102E-2</v>
      </c>
      <c r="AF263">
        <v>-3.3357078914331303E-2</v>
      </c>
      <c r="AG263">
        <v>-1.0551108695889999</v>
      </c>
      <c r="AH263">
        <v>16.832401776976599</v>
      </c>
      <c r="AI263">
        <v>93.586789968184505</v>
      </c>
      <c r="AJ263">
        <v>90.113543947089994</v>
      </c>
      <c r="AK263">
        <v>16.865471271903498</v>
      </c>
    </row>
    <row r="264" spans="1:37" x14ac:dyDescent="0.2">
      <c r="A264" t="str">
        <f>"20200111153616134"</f>
        <v>20200111153616134</v>
      </c>
      <c r="B264" t="str">
        <f>"1578728176123359"</f>
        <v>1578728176123359</v>
      </c>
      <c r="C264" t="s">
        <v>37</v>
      </c>
      <c r="D264">
        <v>5.6950669999999999</v>
      </c>
      <c r="E264">
        <v>0.51767770000000002</v>
      </c>
      <c r="F264" t="s">
        <v>39</v>
      </c>
      <c r="G264">
        <v>-386.57040000000001</v>
      </c>
      <c r="H264" s="1">
        <v>-1.8819659999999901E-6</v>
      </c>
      <c r="I264">
        <v>367.20139999999998</v>
      </c>
      <c r="J264">
        <v>-402.96620000000001</v>
      </c>
      <c r="K264">
        <v>1.055267</v>
      </c>
      <c r="L264">
        <v>367.26299999999998</v>
      </c>
      <c r="M264">
        <v>0.99987060000000005</v>
      </c>
      <c r="N264">
        <v>0</v>
      </c>
      <c r="O264">
        <v>-5.2704379999999997E-3</v>
      </c>
      <c r="P264">
        <v>0.99692380000000003</v>
      </c>
      <c r="Q264">
        <v>6.4465990000000001E-2</v>
      </c>
      <c r="R264">
        <v>4.4578560000000003E-2</v>
      </c>
      <c r="S264">
        <v>3.0225520000000001</v>
      </c>
      <c r="T264">
        <v>-0.18836320000000001</v>
      </c>
      <c r="U264">
        <v>-1.141357E-2</v>
      </c>
      <c r="V264">
        <v>-4.9953289999999997E-2</v>
      </c>
      <c r="W264">
        <v>7.9538949999999997E-2</v>
      </c>
      <c r="X264">
        <v>0.9955794</v>
      </c>
      <c r="Y264">
        <v>-1.4818520000000001E-3</v>
      </c>
      <c r="Z264">
        <v>3.7429530000000001E-4</v>
      </c>
      <c r="AA264">
        <v>0.99999879999999997</v>
      </c>
      <c r="AB264">
        <v>41</v>
      </c>
      <c r="AC264">
        <v>16.395800000000001</v>
      </c>
      <c r="AD264">
        <v>-1.0552688819660001</v>
      </c>
      <c r="AE264">
        <v>-6.1600000000055298E-2</v>
      </c>
      <c r="AF264">
        <v>-2.4721478863770002E-2</v>
      </c>
      <c r="AG264">
        <v>-1.0552688819660001</v>
      </c>
      <c r="AH264">
        <v>16.3282582998749</v>
      </c>
      <c r="AI264">
        <v>93.697786560784905</v>
      </c>
      <c r="AJ264">
        <v>90.086747483651294</v>
      </c>
      <c r="AK264">
        <v>16.362341601133899</v>
      </c>
    </row>
    <row r="265" spans="1:37" x14ac:dyDescent="0.2">
      <c r="A265" t="str">
        <f>"20200111153616149"</f>
        <v>20200111153616149</v>
      </c>
      <c r="B265" t="str">
        <f>"1578728176142879"</f>
        <v>1578728176142879</v>
      </c>
      <c r="C265" t="s">
        <v>37</v>
      </c>
      <c r="D265">
        <v>5.9897859999999996</v>
      </c>
      <c r="E265">
        <v>0.517544</v>
      </c>
      <c r="F265" t="s">
        <v>39</v>
      </c>
      <c r="G265">
        <v>-386.56020000000001</v>
      </c>
      <c r="H265" s="1">
        <v>-1.8816089999999999E-6</v>
      </c>
      <c r="I265">
        <v>367.22800000000001</v>
      </c>
      <c r="J265">
        <v>-402.68209999999999</v>
      </c>
      <c r="K265">
        <v>1.055339</v>
      </c>
      <c r="L265">
        <v>367.26209999999998</v>
      </c>
      <c r="M265">
        <v>0.99987380000000003</v>
      </c>
      <c r="N265">
        <v>0</v>
      </c>
      <c r="O265">
        <v>-4.6173270000000001E-3</v>
      </c>
      <c r="P265">
        <v>0.99699709999999997</v>
      </c>
      <c r="Q265">
        <v>6.2515039999999994E-2</v>
      </c>
      <c r="R265">
        <v>4.5701029999999997E-2</v>
      </c>
      <c r="S265">
        <v>3.022125</v>
      </c>
      <c r="T265">
        <v>-0.1943888</v>
      </c>
      <c r="U265">
        <v>-6.4392090000000004E-3</v>
      </c>
      <c r="V265">
        <v>-5.0438209999999997E-2</v>
      </c>
      <c r="W265">
        <v>7.7576640000000002E-2</v>
      </c>
      <c r="X265">
        <v>0.99570969999999903</v>
      </c>
      <c r="Y265">
        <v>-2.4725369999999999E-3</v>
      </c>
      <c r="Z265">
        <v>3.7615849999999998E-4</v>
      </c>
      <c r="AA265">
        <v>0.99999689999999997</v>
      </c>
      <c r="AB265">
        <v>41</v>
      </c>
      <c r="AC265">
        <v>16.121899999999901</v>
      </c>
      <c r="AD265">
        <v>-1.055340881609</v>
      </c>
      <c r="AE265">
        <v>-3.4099999999966699E-2</v>
      </c>
      <c r="AF265">
        <v>-4.0176891362430099E-2</v>
      </c>
      <c r="AG265">
        <v>-1.055340881609</v>
      </c>
      <c r="AH265">
        <v>16.0530979974485</v>
      </c>
      <c r="AI265">
        <v>93.761237009712303</v>
      </c>
      <c r="AJ265">
        <v>90.143396714022799</v>
      </c>
      <c r="AK265">
        <v>16.087800156475101</v>
      </c>
    </row>
    <row r="266" spans="1:37" x14ac:dyDescent="0.2">
      <c r="A266" t="str">
        <f>"20200111153616173"</f>
        <v>20200111153616173</v>
      </c>
      <c r="B266" t="str">
        <f>"1578728176163378"</f>
        <v>1578728176163378</v>
      </c>
      <c r="C266" t="s">
        <v>37</v>
      </c>
      <c r="D266">
        <v>5.6782899999999996</v>
      </c>
      <c r="E266">
        <v>0.51744659999999998</v>
      </c>
      <c r="F266" t="s">
        <v>39</v>
      </c>
      <c r="G266">
        <v>-386.74740000000003</v>
      </c>
      <c r="H266" s="1">
        <v>-1.79747E-6</v>
      </c>
      <c r="I266">
        <v>367.24959999999999</v>
      </c>
      <c r="J266">
        <v>-402.25799999999998</v>
      </c>
      <c r="K266">
        <v>1.0554559999999999</v>
      </c>
      <c r="L266">
        <v>367.260999999999</v>
      </c>
      <c r="M266">
        <v>0.99987819999999905</v>
      </c>
      <c r="N266">
        <v>0</v>
      </c>
      <c r="O266">
        <v>-3.548495E-3</v>
      </c>
      <c r="P266">
        <v>0.99703719999999996</v>
      </c>
      <c r="Q266">
        <v>6.0902459999999999E-2</v>
      </c>
      <c r="R266">
        <v>4.6987090000000002E-2</v>
      </c>
      <c r="S266">
        <v>3.0217290000000001</v>
      </c>
      <c r="T266">
        <v>-0.20012550000000001</v>
      </c>
      <c r="U266">
        <v>-2.3498539999999902E-3</v>
      </c>
      <c r="V266">
        <v>-5.067866E-2</v>
      </c>
      <c r="W266">
        <v>7.594687E-2</v>
      </c>
      <c r="X266">
        <v>0.99582309999999996</v>
      </c>
      <c r="Y266">
        <v>-2.7574420000000001E-3</v>
      </c>
      <c r="Z266">
        <v>3.259933E-4</v>
      </c>
      <c r="AA266">
        <v>0.99999609999999906</v>
      </c>
      <c r="AB266">
        <v>41</v>
      </c>
      <c r="AC266">
        <v>15.5106</v>
      </c>
      <c r="AD266">
        <v>-1.0554577974699999</v>
      </c>
      <c r="AE266">
        <v>-1.13999999999805E-2</v>
      </c>
      <c r="AF266">
        <v>-4.3444547969283299E-2</v>
      </c>
      <c r="AG266">
        <v>-1.0554577974699999</v>
      </c>
      <c r="AH266">
        <v>15.4390528354712</v>
      </c>
      <c r="AI266">
        <v>93.910803076945896</v>
      </c>
      <c r="AJ266">
        <v>90.161226384678002</v>
      </c>
      <c r="AK266">
        <v>15.475148821496299</v>
      </c>
    </row>
    <row r="267" spans="1:37" x14ac:dyDescent="0.2">
      <c r="A267" t="str">
        <f>"20200111153616195"</f>
        <v>20200111153616195</v>
      </c>
      <c r="B267" t="str">
        <f>"1578728176183403"</f>
        <v>1578728176183403</v>
      </c>
      <c r="C267" t="s">
        <v>37</v>
      </c>
      <c r="D267">
        <v>5.8713030000000002</v>
      </c>
      <c r="E267">
        <v>0.51732040000000001</v>
      </c>
      <c r="F267" t="s">
        <v>39</v>
      </c>
      <c r="G267">
        <v>-386.70080000000002</v>
      </c>
      <c r="H267" s="1">
        <v>-1.8132699999999899E-6</v>
      </c>
      <c r="I267">
        <v>367.27319999999997</v>
      </c>
      <c r="J267">
        <v>-401.85109999999997</v>
      </c>
      <c r="K267">
        <v>1.0555570000000001</v>
      </c>
      <c r="L267">
        <v>367.26060000000001</v>
      </c>
      <c r="M267">
        <v>0.99988159999999904</v>
      </c>
      <c r="N267">
        <v>0</v>
      </c>
      <c r="O267">
        <v>-2.4405329999999999E-3</v>
      </c>
      <c r="P267">
        <v>0.99698719999999996</v>
      </c>
      <c r="Q267">
        <v>6.0865540000000003E-2</v>
      </c>
      <c r="R267">
        <v>4.8084920000000003E-2</v>
      </c>
      <c r="S267">
        <v>3.0213619999999999</v>
      </c>
      <c r="T267">
        <v>-0.20498040000000001</v>
      </c>
      <c r="U267">
        <v>2.380371E-3</v>
      </c>
      <c r="V267">
        <v>-5.0690260000000001E-2</v>
      </c>
      <c r="W267">
        <v>7.589361E-2</v>
      </c>
      <c r="X267">
        <v>0.99582660000000001</v>
      </c>
      <c r="Y267">
        <v>-3.215655E-3</v>
      </c>
      <c r="Z267">
        <v>2.7435950000000001E-4</v>
      </c>
      <c r="AA267">
        <v>0.99999479999999996</v>
      </c>
      <c r="AB267">
        <v>41</v>
      </c>
      <c r="AC267">
        <v>15.1502999999999</v>
      </c>
      <c r="AD267">
        <v>-1.05555881327</v>
      </c>
      <c r="AE267">
        <v>1.25999999999635E-2</v>
      </c>
      <c r="AF267">
        <v>-4.9339531357181103E-2</v>
      </c>
      <c r="AG267">
        <v>-1.05555881327</v>
      </c>
      <c r="AH267">
        <v>15.0770364175916</v>
      </c>
      <c r="AI267">
        <v>94.004780321990197</v>
      </c>
      <c r="AJ267">
        <v>90.187499501905705</v>
      </c>
      <c r="AK267">
        <v>15.114022162714001</v>
      </c>
    </row>
    <row r="268" spans="1:37" x14ac:dyDescent="0.2">
      <c r="A268" t="str">
        <f>"20200111153616215"</f>
        <v>20200111153616215</v>
      </c>
      <c r="B268" t="str">
        <f>"1578728176212684"</f>
        <v>1578728176212684</v>
      </c>
      <c r="C268" t="s">
        <v>37</v>
      </c>
      <c r="D268">
        <v>5.6988570000000003</v>
      </c>
      <c r="E268">
        <v>0.51702369999999997</v>
      </c>
      <c r="F268" t="s">
        <v>39</v>
      </c>
      <c r="G268">
        <v>-386.26369999999997</v>
      </c>
      <c r="H268" s="1">
        <v>-1.997258E-6</v>
      </c>
      <c r="I268">
        <v>367.29309999999998</v>
      </c>
      <c r="J268">
        <v>-401.46910000000003</v>
      </c>
      <c r="K268">
        <v>1.0556430000000001</v>
      </c>
      <c r="L268">
        <v>367.26060000000001</v>
      </c>
      <c r="M268">
        <v>0.99988379999999999</v>
      </c>
      <c r="N268">
        <v>0</v>
      </c>
      <c r="O268">
        <v>-1.34772E-3</v>
      </c>
      <c r="P268">
        <v>0.99689819999999996</v>
      </c>
      <c r="Q268">
        <v>6.1438649999999997E-2</v>
      </c>
      <c r="R268">
        <v>4.9190169999999998E-2</v>
      </c>
      <c r="S268">
        <v>3.0212400000000001</v>
      </c>
      <c r="T268">
        <v>-0.204594</v>
      </c>
      <c r="U268">
        <v>6.3171390000000003E-3</v>
      </c>
      <c r="V268">
        <v>-5.0722280000000002E-2</v>
      </c>
      <c r="W268">
        <v>7.645275E-2</v>
      </c>
      <c r="X268">
        <v>0.99578219999999995</v>
      </c>
      <c r="Y268">
        <v>-3.4278379999999999E-3</v>
      </c>
      <c r="Z268">
        <v>2.0710299999999901E-4</v>
      </c>
      <c r="AA268">
        <v>0.999994099999999</v>
      </c>
      <c r="AB268">
        <v>41</v>
      </c>
      <c r="AC268">
        <v>15.205399999999999</v>
      </c>
      <c r="AD268">
        <v>-1.055644997258</v>
      </c>
      <c r="AE268">
        <v>3.24999999999704E-2</v>
      </c>
      <c r="AF268">
        <v>-5.2740749882009802E-2</v>
      </c>
      <c r="AG268">
        <v>-1.055644997258</v>
      </c>
      <c r="AH268">
        <v>15.132405686580199</v>
      </c>
      <c r="AI268">
        <v>93.990496180622301</v>
      </c>
      <c r="AJ268">
        <v>90.199691324941796</v>
      </c>
      <c r="AK268">
        <v>15.1692738722122</v>
      </c>
    </row>
    <row r="269" spans="1:37" x14ac:dyDescent="0.2">
      <c r="A269" t="str">
        <f>"20200111153616239"</f>
        <v>20200111153616239</v>
      </c>
      <c r="B269" t="str">
        <f>"1578728176233178"</f>
        <v>1578728176233178</v>
      </c>
      <c r="C269" t="s">
        <v>37</v>
      </c>
      <c r="D269">
        <v>5.7523</v>
      </c>
      <c r="E269">
        <v>0.51687870000000002</v>
      </c>
      <c r="F269" t="s">
        <v>39</v>
      </c>
      <c r="G269">
        <v>-385.7124</v>
      </c>
      <c r="H269" s="1">
        <v>-2.2286280000000001E-6</v>
      </c>
      <c r="I269">
        <v>367.32209999999998</v>
      </c>
      <c r="J269">
        <v>-401.05110000000002</v>
      </c>
      <c r="K269">
        <v>1.0557239999999899</v>
      </c>
      <c r="L269">
        <v>367.2611</v>
      </c>
      <c r="M269">
        <v>0.99988469999999996</v>
      </c>
      <c r="N269">
        <v>0</v>
      </c>
      <c r="O269">
        <v>-1.148752E-4</v>
      </c>
      <c r="P269">
        <v>0.99677549999999904</v>
      </c>
      <c r="Q269">
        <v>6.2616740000000004E-2</v>
      </c>
      <c r="R269">
        <v>5.0179389999999997E-2</v>
      </c>
      <c r="S269">
        <v>3.021271</v>
      </c>
      <c r="T269">
        <v>-0.20241479999999901</v>
      </c>
      <c r="U269">
        <v>1.1810299999999999E-2</v>
      </c>
      <c r="V269">
        <v>-5.0498830000000001E-2</v>
      </c>
      <c r="W269">
        <v>7.7617539999999999E-2</v>
      </c>
      <c r="X269">
        <v>0.99570349999999996</v>
      </c>
      <c r="Y269">
        <v>-4.0146519999999996E-3</v>
      </c>
      <c r="Z269">
        <v>1.4202139999999999E-4</v>
      </c>
      <c r="AA269">
        <v>0.99999199999999999</v>
      </c>
      <c r="AB269">
        <v>41</v>
      </c>
      <c r="AC269">
        <v>15.338699999999999</v>
      </c>
      <c r="AD269">
        <v>-1.05572622862799</v>
      </c>
      <c r="AE269">
        <v>6.0999999999978599E-2</v>
      </c>
      <c r="AF269">
        <v>-6.2466325618518601E-2</v>
      </c>
      <c r="AG269">
        <v>-1.05572622862799</v>
      </c>
      <c r="AH269">
        <v>15.266373537618501</v>
      </c>
      <c r="AI269">
        <v>93.955884166582607</v>
      </c>
      <c r="AJ269">
        <v>90.234439229257703</v>
      </c>
      <c r="AK269">
        <v>15.3029611808221</v>
      </c>
    </row>
    <row r="270" spans="1:37" x14ac:dyDescent="0.2">
      <c r="A270" t="str">
        <f>"20200111153616252"</f>
        <v>20200111153616252</v>
      </c>
      <c r="B270" t="str">
        <f>"1578728176242939"</f>
        <v>1578728176242939</v>
      </c>
      <c r="C270" t="s">
        <v>37</v>
      </c>
      <c r="D270">
        <v>5.7167459999999997</v>
      </c>
      <c r="E270">
        <v>0.51680879999999996</v>
      </c>
      <c r="F270" t="s">
        <v>39</v>
      </c>
      <c r="G270">
        <v>-384.98559999999998</v>
      </c>
      <c r="H270" s="1">
        <v>-2.536331E-6</v>
      </c>
      <c r="I270">
        <v>367.34519999999998</v>
      </c>
      <c r="J270">
        <v>-400.79930000000002</v>
      </c>
      <c r="K270">
        <v>1.0558730000000001</v>
      </c>
      <c r="L270">
        <v>367.26170000000002</v>
      </c>
      <c r="M270">
        <v>0.99987539999999997</v>
      </c>
      <c r="N270">
        <v>0</v>
      </c>
      <c r="O270">
        <v>5.1723019999999999E-4</v>
      </c>
      <c r="P270">
        <v>0.99675930000000001</v>
      </c>
      <c r="Q270">
        <v>6.2608670000000005E-2</v>
      </c>
      <c r="R270">
        <v>5.051166E-2</v>
      </c>
      <c r="S270">
        <v>3.0213619999999999</v>
      </c>
      <c r="T270">
        <v>-0.1985441</v>
      </c>
      <c r="U270">
        <v>1.5838620000000001E-2</v>
      </c>
      <c r="V270">
        <v>-5.0199309999999997E-2</v>
      </c>
      <c r="W270">
        <v>7.8200359999999997E-2</v>
      </c>
      <c r="X270">
        <v>0.99567299999999903</v>
      </c>
      <c r="Y270">
        <v>-4.7157969999999999E-3</v>
      </c>
      <c r="Z270">
        <v>1.20821399999999E-4</v>
      </c>
      <c r="AA270">
        <v>0.99998889999999996</v>
      </c>
      <c r="AB270">
        <v>41</v>
      </c>
      <c r="AC270">
        <v>15.813700000000001</v>
      </c>
      <c r="AD270">
        <v>-1.055875536331</v>
      </c>
      <c r="AE270">
        <v>8.3499999999958094E-2</v>
      </c>
      <c r="AF270">
        <v>-7.4985357869571195E-2</v>
      </c>
      <c r="AG270">
        <v>-1.055875536331</v>
      </c>
      <c r="AH270">
        <v>15.7435552919586</v>
      </c>
      <c r="AI270">
        <v>93.836875860082003</v>
      </c>
      <c r="AJ270">
        <v>90.272893381692398</v>
      </c>
      <c r="AK270">
        <v>15.7791010258213</v>
      </c>
    </row>
    <row r="271" spans="1:37" x14ac:dyDescent="0.2">
      <c r="A271" t="str">
        <f>"20200111153616273"</f>
        <v>20200111153616273</v>
      </c>
      <c r="B271" t="str">
        <f>"1578728176263434"</f>
        <v>1578728176263434</v>
      </c>
      <c r="C271" t="s">
        <v>37</v>
      </c>
      <c r="D271">
        <v>5.665241</v>
      </c>
      <c r="E271">
        <v>0.51668449999999999</v>
      </c>
      <c r="F271" t="s">
        <v>39</v>
      </c>
      <c r="G271">
        <v>-384.71550000000002</v>
      </c>
      <c r="H271" s="1">
        <v>-2.65026E-6</v>
      </c>
      <c r="I271">
        <v>367.35599999999999</v>
      </c>
      <c r="J271">
        <v>-400.43169999999998</v>
      </c>
      <c r="K271">
        <v>1.056325</v>
      </c>
      <c r="L271">
        <v>367.26260000000002</v>
      </c>
      <c r="M271">
        <v>0.99985689999999905</v>
      </c>
      <c r="N271">
        <v>0</v>
      </c>
      <c r="O271">
        <v>1.4102520000000001E-3</v>
      </c>
      <c r="P271">
        <v>0.99674449999999903</v>
      </c>
      <c r="Q271">
        <v>6.2562270000000003E-2</v>
      </c>
      <c r="R271">
        <v>5.0864670000000001E-2</v>
      </c>
      <c r="S271">
        <v>3.0213009999999998</v>
      </c>
      <c r="T271">
        <v>-0.19834379999999999</v>
      </c>
      <c r="U271">
        <v>1.773071E-2</v>
      </c>
      <c r="V271">
        <v>-4.9656810000000003E-2</v>
      </c>
      <c r="W271">
        <v>7.9242339999999994E-2</v>
      </c>
      <c r="X271">
        <v>0.9956178</v>
      </c>
      <c r="Y271">
        <v>-4.4514869999999996E-3</v>
      </c>
      <c r="Z271" s="1">
        <v>5.3464700000000003E-5</v>
      </c>
      <c r="AA271">
        <v>0.99999009999999999</v>
      </c>
      <c r="AB271">
        <v>41</v>
      </c>
      <c r="AC271">
        <v>15.716199999999899</v>
      </c>
      <c r="AD271">
        <v>-1.0563276502600001</v>
      </c>
      <c r="AE271">
        <v>9.3399999999974101E-2</v>
      </c>
      <c r="AF271">
        <v>-7.09126151629485E-2</v>
      </c>
      <c r="AG271">
        <v>-1.0563276502600001</v>
      </c>
      <c r="AH271">
        <v>15.645638768950301</v>
      </c>
      <c r="AI271">
        <v>93.862468411873905</v>
      </c>
      <c r="AJ271">
        <v>90.259686792058204</v>
      </c>
      <c r="AK271">
        <v>15.681417958595899</v>
      </c>
    </row>
    <row r="272" spans="1:37" x14ac:dyDescent="0.2">
      <c r="A272" t="str">
        <f>"20200111153616286"</f>
        <v>20200111153616286</v>
      </c>
      <c r="B272" t="str">
        <f>"1578728176282955"</f>
        <v>1578728176282955</v>
      </c>
      <c r="C272" t="s">
        <v>37</v>
      </c>
      <c r="D272">
        <v>5.7354959999999897</v>
      </c>
      <c r="E272">
        <v>0.51659069999999996</v>
      </c>
      <c r="F272" t="s">
        <v>39</v>
      </c>
      <c r="G272">
        <v>-384.33449999999999</v>
      </c>
      <c r="H272" s="1">
        <v>-2.8111739999999898E-6</v>
      </c>
      <c r="I272">
        <v>367.37040000000002</v>
      </c>
      <c r="J272">
        <v>-400.18990000000002</v>
      </c>
      <c r="K272">
        <v>1.056789</v>
      </c>
      <c r="L272">
        <v>367.26350000000002</v>
      </c>
      <c r="M272">
        <v>0.99984779999999995</v>
      </c>
      <c r="N272">
        <v>0</v>
      </c>
      <c r="O272">
        <v>2.0080139999999998E-3</v>
      </c>
      <c r="P272">
        <v>0.99672479999999997</v>
      </c>
      <c r="Q272">
        <v>6.2493600000000003E-2</v>
      </c>
      <c r="R272">
        <v>5.132606E-2</v>
      </c>
      <c r="S272">
        <v>3.0211790000000001</v>
      </c>
      <c r="T272">
        <v>-0.19825429999999999</v>
      </c>
      <c r="U272">
        <v>2.0233149999999998E-2</v>
      </c>
      <c r="V272">
        <v>-4.9523739999999997E-2</v>
      </c>
      <c r="W272">
        <v>7.9636860000000004E-2</v>
      </c>
      <c r="X272">
        <v>0.99559299999999995</v>
      </c>
      <c r="Y272">
        <v>-4.6829189999999998E-3</v>
      </c>
      <c r="Z272" s="1">
        <v>2.1837960000000001E-5</v>
      </c>
      <c r="AA272">
        <v>0.99998899999999902</v>
      </c>
      <c r="AB272">
        <v>40</v>
      </c>
      <c r="AC272">
        <v>15.855399999999999</v>
      </c>
      <c r="AD272">
        <v>-1.056791811174</v>
      </c>
      <c r="AE272">
        <v>0.106899999999996</v>
      </c>
      <c r="AF272">
        <v>-7.4725187706335197E-2</v>
      </c>
      <c r="AG272">
        <v>-1.056791811174</v>
      </c>
      <c r="AH272">
        <v>15.785459476256801</v>
      </c>
      <c r="AI272">
        <v>93.830032193403596</v>
      </c>
      <c r="AJ272">
        <v>90.271224661218398</v>
      </c>
      <c r="AK272">
        <v>15.8209710088347</v>
      </c>
    </row>
    <row r="273" spans="1:37" x14ac:dyDescent="0.2">
      <c r="A273" t="str">
        <f>"20200111153616306"</f>
        <v>20200111153616306</v>
      </c>
      <c r="B273" t="str">
        <f>"1578728176303451"</f>
        <v>1578728176303451</v>
      </c>
      <c r="C273" t="s">
        <v>37</v>
      </c>
      <c r="D273">
        <v>5.8482469999999998</v>
      </c>
      <c r="E273">
        <v>0.51651499999999995</v>
      </c>
      <c r="F273" t="s">
        <v>39</v>
      </c>
      <c r="G273">
        <v>-384.08920000000001</v>
      </c>
      <c r="H273" s="1">
        <v>-2.9142369999999999E-6</v>
      </c>
      <c r="I273">
        <v>367.3827</v>
      </c>
      <c r="J273">
        <v>-399.8646</v>
      </c>
      <c r="K273">
        <v>1.0574950000000001</v>
      </c>
      <c r="L273">
        <v>367.26499999999999</v>
      </c>
      <c r="M273">
        <v>0.99984910000000005</v>
      </c>
      <c r="N273">
        <v>0</v>
      </c>
      <c r="O273">
        <v>2.8489190000000001E-3</v>
      </c>
      <c r="P273">
        <v>0.99665859999999995</v>
      </c>
      <c r="Q273">
        <v>6.2716369999999994E-2</v>
      </c>
      <c r="R273">
        <v>5.2329639999999997E-2</v>
      </c>
      <c r="S273">
        <v>3.0211790000000001</v>
      </c>
      <c r="T273">
        <v>-0.19829869999999999</v>
      </c>
      <c r="U273">
        <v>2.2369380000000001E-2</v>
      </c>
      <c r="V273">
        <v>-4.9697890000000002E-2</v>
      </c>
      <c r="W273">
        <v>7.9657309999999995E-2</v>
      </c>
      <c r="X273">
        <v>0.99558259999999899</v>
      </c>
      <c r="Y273">
        <v>-4.551037E-3</v>
      </c>
      <c r="Z273" s="1">
        <v>-3.7621599999999999E-5</v>
      </c>
      <c r="AA273">
        <v>0.99998960000000003</v>
      </c>
      <c r="AB273">
        <v>40</v>
      </c>
      <c r="AC273">
        <v>15.7753999999999</v>
      </c>
      <c r="AD273">
        <v>-1.057497914237</v>
      </c>
      <c r="AE273">
        <v>0.117700000000013</v>
      </c>
      <c r="AF273">
        <v>-7.2424652786299504E-2</v>
      </c>
      <c r="AG273">
        <v>-1.057497914237</v>
      </c>
      <c r="AH273">
        <v>15.705102181425101</v>
      </c>
      <c r="AI273">
        <v>93.852136872153196</v>
      </c>
      <c r="AJ273">
        <v>90.264219708607996</v>
      </c>
      <c r="AK273">
        <v>15.7408316711015</v>
      </c>
    </row>
    <row r="274" spans="1:37" x14ac:dyDescent="0.2">
      <c r="A274" t="str">
        <f>"20200111153616321"</f>
        <v>20200111153616321</v>
      </c>
      <c r="B274" t="str">
        <f>"1578728176313211"</f>
        <v>1578728176313211</v>
      </c>
      <c r="C274" t="s">
        <v>37</v>
      </c>
      <c r="D274">
        <v>5.6419930000000003</v>
      </c>
      <c r="E274">
        <v>0.49590889999999999</v>
      </c>
      <c r="F274" t="s">
        <v>39</v>
      </c>
      <c r="G274">
        <v>-383.67790000000002</v>
      </c>
      <c r="H274" s="1">
        <v>-3.086668E-6</v>
      </c>
      <c r="I274">
        <v>367.40539999999999</v>
      </c>
      <c r="J274">
        <v>-399.57049999999998</v>
      </c>
      <c r="K274">
        <v>1.0581069999999999</v>
      </c>
      <c r="L274">
        <v>367.26659999999998</v>
      </c>
      <c r="M274">
        <v>0.99986620000000004</v>
      </c>
      <c r="N274">
        <v>0</v>
      </c>
      <c r="O274">
        <v>3.6342670000000001E-3</v>
      </c>
      <c r="P274">
        <v>0.99652619999999903</v>
      </c>
      <c r="Q274">
        <v>6.4121339999999999E-2</v>
      </c>
      <c r="R274">
        <v>5.3140519999999997E-2</v>
      </c>
      <c r="S274">
        <v>3.0210880000000002</v>
      </c>
      <c r="T274">
        <v>-0.1973702</v>
      </c>
      <c r="U274">
        <v>2.6214600000000001E-2</v>
      </c>
      <c r="V274">
        <v>-4.9736919999999997E-2</v>
      </c>
      <c r="W274">
        <v>7.9868809999999998E-2</v>
      </c>
      <c r="X274">
        <v>0.99556369999999905</v>
      </c>
      <c r="Y274">
        <v>-5.0392350000000004E-3</v>
      </c>
      <c r="Z274" s="1">
        <v>-7.2770880000000003E-5</v>
      </c>
      <c r="AA274">
        <v>0.99998729999999902</v>
      </c>
      <c r="AB274">
        <v>40</v>
      </c>
      <c r="AC274">
        <v>15.8925999999999</v>
      </c>
      <c r="AD274">
        <v>-1.058110086668</v>
      </c>
      <c r="AE274">
        <v>0.138800000000003</v>
      </c>
      <c r="AF274">
        <v>-8.0676194997316097E-2</v>
      </c>
      <c r="AG274">
        <v>-1.058110086668</v>
      </c>
      <c r="AH274">
        <v>15.8228662902086</v>
      </c>
      <c r="AI274">
        <v>93.825749927159805</v>
      </c>
      <c r="AJ274">
        <v>90.292131990525206</v>
      </c>
      <c r="AK274">
        <v>15.858411119710899</v>
      </c>
    </row>
    <row r="275" spans="1:37" x14ac:dyDescent="0.2">
      <c r="A275" t="str">
        <f>"20200111153616338"</f>
        <v>20200111153616338</v>
      </c>
      <c r="B275" t="str">
        <f>"1578728176332732"</f>
        <v>1578728176332732</v>
      </c>
      <c r="C275" t="s">
        <v>37</v>
      </c>
      <c r="D275">
        <v>5.9508460000000003</v>
      </c>
      <c r="E275">
        <v>0.48824499999999998</v>
      </c>
      <c r="F275" t="s">
        <v>39</v>
      </c>
      <c r="G275">
        <v>-379.6524</v>
      </c>
      <c r="H275" s="1">
        <v>-3.9047659999999999E-7</v>
      </c>
      <c r="I275">
        <v>368.541</v>
      </c>
      <c r="J275">
        <v>-399.2593</v>
      </c>
      <c r="K275">
        <v>1.058883</v>
      </c>
      <c r="L275">
        <v>367.26870000000002</v>
      </c>
      <c r="M275">
        <v>0.9998901</v>
      </c>
      <c r="N275">
        <v>0</v>
      </c>
      <c r="O275">
        <v>4.3899849999999999E-3</v>
      </c>
      <c r="P275">
        <v>0.99634269999999903</v>
      </c>
      <c r="Q275">
        <v>6.5933500000000006E-2</v>
      </c>
      <c r="R275">
        <v>5.4349620000000001E-2</v>
      </c>
      <c r="S275">
        <v>3.0104679999999999</v>
      </c>
      <c r="T275">
        <v>-0.15992400000000001</v>
      </c>
      <c r="U275">
        <v>0.19262699999999999</v>
      </c>
      <c r="V275">
        <v>-5.020633E-2</v>
      </c>
      <c r="W275">
        <v>7.9890680000000006E-2</v>
      </c>
      <c r="X275">
        <v>0.99553849999999999</v>
      </c>
      <c r="Y275">
        <v>-5.9395829999999997E-2</v>
      </c>
      <c r="Z275">
        <v>1.3420939999999901E-3</v>
      </c>
      <c r="AA275">
        <v>0.99823359999999906</v>
      </c>
      <c r="AB275">
        <v>40</v>
      </c>
      <c r="AC275">
        <v>19.6069</v>
      </c>
      <c r="AD275">
        <v>-1.0588833904766</v>
      </c>
      <c r="AE275">
        <v>1.27229999999997</v>
      </c>
      <c r="AF275">
        <v>-1.18276989584987</v>
      </c>
      <c r="AG275">
        <v>-1.0588833904766</v>
      </c>
      <c r="AH275">
        <v>19.555500351051101</v>
      </c>
      <c r="AI275">
        <v>93.093759590686403</v>
      </c>
      <c r="AJ275">
        <v>93.461188300170605</v>
      </c>
      <c r="AK275">
        <v>19.619831106335099</v>
      </c>
    </row>
    <row r="276" spans="1:37" x14ac:dyDescent="0.2">
      <c r="A276" t="str">
        <f>"20200111153616362"</f>
        <v>20200111153616362</v>
      </c>
      <c r="B276" t="str">
        <f>"1578728176353227"</f>
        <v>1578728176353227</v>
      </c>
      <c r="C276" t="s">
        <v>37</v>
      </c>
      <c r="D276">
        <v>5.6394419999999998</v>
      </c>
      <c r="E276">
        <v>0.48582330000000001</v>
      </c>
      <c r="F276" t="s">
        <v>39</v>
      </c>
      <c r="G276">
        <v>-379.87509999999997</v>
      </c>
      <c r="H276" s="1">
        <v>-2.11499999999999E-7</v>
      </c>
      <c r="I276">
        <v>368.92869999999999</v>
      </c>
      <c r="J276">
        <v>-398.84359999999998</v>
      </c>
      <c r="K276">
        <v>1.060165</v>
      </c>
      <c r="L276">
        <v>367.27190000000002</v>
      </c>
      <c r="M276">
        <v>0.99991509999999995</v>
      </c>
      <c r="N276">
        <v>0</v>
      </c>
      <c r="O276">
        <v>5.4328369999999898E-3</v>
      </c>
      <c r="P276">
        <v>0.99609689999999995</v>
      </c>
      <c r="Q276">
        <v>6.8404580000000006E-2</v>
      </c>
      <c r="R276">
        <v>5.5783590000000001E-2</v>
      </c>
      <c r="S276">
        <v>3.0078429999999998</v>
      </c>
      <c r="T276">
        <v>-0.1643068</v>
      </c>
      <c r="U276">
        <v>0.25759890000000002</v>
      </c>
      <c r="V276">
        <v>-5.0598699999999899E-2</v>
      </c>
      <c r="W276">
        <v>8.0058000000000004E-2</v>
      </c>
      <c r="X276">
        <v>0.99550519999999998</v>
      </c>
      <c r="Y276">
        <v>-7.9805310000000004E-2</v>
      </c>
      <c r="Z276">
        <v>1.8781169999999999E-3</v>
      </c>
      <c r="AA276">
        <v>0.99680869999999999</v>
      </c>
      <c r="AB276">
        <v>40</v>
      </c>
      <c r="AC276">
        <v>18.968499999999999</v>
      </c>
      <c r="AD276">
        <v>-1.0601652115</v>
      </c>
      <c r="AE276">
        <v>1.6567999999999701</v>
      </c>
      <c r="AF276">
        <v>-1.54891370874617</v>
      </c>
      <c r="AG276">
        <v>-1.0601652115</v>
      </c>
      <c r="AH276">
        <v>18.918571679914201</v>
      </c>
      <c r="AI276">
        <v>93.196731487759806</v>
      </c>
      <c r="AJ276">
        <v>94.6805182239478</v>
      </c>
      <c r="AK276">
        <v>19.0114554508819</v>
      </c>
    </row>
    <row r="277" spans="1:37" x14ac:dyDescent="0.2">
      <c r="A277" t="str">
        <f>"20200111153616384"</f>
        <v>20200111153616384</v>
      </c>
      <c r="B277" t="str">
        <f>"1578728176372747"</f>
        <v>1578728176372747</v>
      </c>
      <c r="C277" t="s">
        <v>37</v>
      </c>
      <c r="D277">
        <v>5.6217300000000003</v>
      </c>
      <c r="E277">
        <v>0.48491980000000001</v>
      </c>
      <c r="F277" t="s">
        <v>39</v>
      </c>
      <c r="G277">
        <v>-377.25689999999997</v>
      </c>
      <c r="H277" s="1">
        <v>-1.2170219999999999E-6</v>
      </c>
      <c r="I277">
        <v>369.28989999999999</v>
      </c>
      <c r="J277">
        <v>-398.46140000000003</v>
      </c>
      <c r="K277">
        <v>1.0615559999999999</v>
      </c>
      <c r="L277">
        <v>367.27519999999998</v>
      </c>
      <c r="M277">
        <v>0.99992839999999905</v>
      </c>
      <c r="N277">
        <v>0</v>
      </c>
      <c r="O277">
        <v>6.4770869999999899E-3</v>
      </c>
      <c r="P277">
        <v>0.99588829999999995</v>
      </c>
      <c r="Q277">
        <v>7.0404599999999998E-2</v>
      </c>
      <c r="R277">
        <v>5.7009310000000001E-2</v>
      </c>
      <c r="S277">
        <v>3.006195</v>
      </c>
      <c r="T277">
        <v>-0.1476394</v>
      </c>
      <c r="U277">
        <v>0.28103640000000002</v>
      </c>
      <c r="V277">
        <v>-5.0769999999999899E-2</v>
      </c>
      <c r="W277">
        <v>8.030611E-2</v>
      </c>
      <c r="X277">
        <v>0.99547640000000004</v>
      </c>
      <c r="Y277">
        <v>-8.6532990000000004E-2</v>
      </c>
      <c r="Z277">
        <v>1.8017910000000001E-3</v>
      </c>
      <c r="AA277">
        <v>0.99624740000000001</v>
      </c>
      <c r="AB277">
        <v>40</v>
      </c>
      <c r="AC277">
        <v>21.204499999999999</v>
      </c>
      <c r="AD277">
        <v>-1.061557217022</v>
      </c>
      <c r="AE277">
        <v>2.0146999999999999</v>
      </c>
      <c r="AF277">
        <v>-1.87265596775543</v>
      </c>
      <c r="AG277">
        <v>-1.061557217022</v>
      </c>
      <c r="AH277">
        <v>21.164535383944699</v>
      </c>
      <c r="AI277">
        <v>92.860242997590603</v>
      </c>
      <c r="AJ277">
        <v>95.056411091271698</v>
      </c>
      <c r="AK277">
        <v>21.273723278185901</v>
      </c>
    </row>
    <row r="278" spans="1:37" x14ac:dyDescent="0.2">
      <c r="A278" t="str">
        <f>"20200111153616397"</f>
        <v>20200111153616397</v>
      </c>
      <c r="B278" t="str">
        <f>"1578728176393244"</f>
        <v>1578728176393244</v>
      </c>
      <c r="C278" t="s">
        <v>37</v>
      </c>
      <c r="D278">
        <v>5.5821189999999996</v>
      </c>
      <c r="E278">
        <v>0.48475190000000001</v>
      </c>
      <c r="F278" t="s">
        <v>39</v>
      </c>
      <c r="G278">
        <v>-375.2937</v>
      </c>
      <c r="H278" s="1">
        <v>-2.0177089999999998E-6</v>
      </c>
      <c r="I278">
        <v>369.52390000000003</v>
      </c>
      <c r="J278">
        <v>-398.21879999999999</v>
      </c>
      <c r="K278">
        <v>1.0625849999999999</v>
      </c>
      <c r="L278">
        <v>367.2774</v>
      </c>
      <c r="M278">
        <v>0.99993019999999999</v>
      </c>
      <c r="N278">
        <v>0</v>
      </c>
      <c r="O278">
        <v>7.1829149999999998E-3</v>
      </c>
      <c r="P278">
        <v>0.99581839999999999</v>
      </c>
      <c r="Q278">
        <v>7.0920479999999994E-2</v>
      </c>
      <c r="R278">
        <v>5.7587909999999999E-2</v>
      </c>
      <c r="S278">
        <v>3.0054319999999999</v>
      </c>
      <c r="T278">
        <v>-0.13771029999999901</v>
      </c>
      <c r="U278">
        <v>0.29171750000000002</v>
      </c>
      <c r="V278">
        <v>-5.0631599999999999E-2</v>
      </c>
      <c r="W278">
        <v>8.0139760000000004E-2</v>
      </c>
      <c r="X278">
        <v>0.99549690000000002</v>
      </c>
      <c r="Y278">
        <v>-8.9371859999999997E-2</v>
      </c>
      <c r="Z278">
        <v>1.7135010000000001E-3</v>
      </c>
      <c r="AA278">
        <v>0.99599680000000002</v>
      </c>
      <c r="AB278">
        <v>40</v>
      </c>
      <c r="AC278">
        <v>22.925099999999901</v>
      </c>
      <c r="AD278">
        <v>-1.062587017709</v>
      </c>
      <c r="AE278">
        <v>2.2465000000000201</v>
      </c>
      <c r="AF278">
        <v>-2.07734531782953</v>
      </c>
      <c r="AG278">
        <v>-1.062587017709</v>
      </c>
      <c r="AH278">
        <v>22.891933378674501</v>
      </c>
      <c r="AI278">
        <v>92.646761145925694</v>
      </c>
      <c r="AJ278">
        <v>95.185145879570598</v>
      </c>
      <c r="AK278">
        <v>23.0105425523472</v>
      </c>
    </row>
    <row r="279" spans="1:37" x14ac:dyDescent="0.2">
      <c r="A279" t="str">
        <f>"20200111153616416"</f>
        <v>20200111153616416</v>
      </c>
      <c r="B279" t="str">
        <f>"1578728176412765"</f>
        <v>1578728176412765</v>
      </c>
      <c r="C279" t="s">
        <v>37</v>
      </c>
      <c r="D279">
        <v>5.9956199999999997</v>
      </c>
      <c r="E279">
        <v>0.48467149999999998</v>
      </c>
      <c r="F279" t="s">
        <v>39</v>
      </c>
      <c r="G279">
        <v>-374.19560000000001</v>
      </c>
      <c r="H279" s="1">
        <v>-2.47667E-6</v>
      </c>
      <c r="I279">
        <v>369.63229999999999</v>
      </c>
      <c r="J279">
        <v>-397.88249999999999</v>
      </c>
      <c r="K279">
        <v>1.0644849999999999</v>
      </c>
      <c r="L279">
        <v>367.28059999999999</v>
      </c>
      <c r="M279">
        <v>0.99992440000000005</v>
      </c>
      <c r="N279">
        <v>0</v>
      </c>
      <c r="O279">
        <v>8.2214969999999995E-3</v>
      </c>
      <c r="P279">
        <v>0.99578330000000004</v>
      </c>
      <c r="Q279">
        <v>7.0959930000000004E-2</v>
      </c>
      <c r="R279">
        <v>5.8142699999999999E-2</v>
      </c>
      <c r="S279">
        <v>3.0050659999999998</v>
      </c>
      <c r="T279">
        <v>-0.1329186</v>
      </c>
      <c r="U279">
        <v>0.29458620000000002</v>
      </c>
      <c r="V279">
        <v>-5.0134869999999998E-2</v>
      </c>
      <c r="W279">
        <v>7.9954849999999994E-2</v>
      </c>
      <c r="X279">
        <v>0.99553689999999995</v>
      </c>
      <c r="Y279">
        <v>-8.9297790000000002E-2</v>
      </c>
      <c r="Z279">
        <v>1.6066310000000001E-3</v>
      </c>
      <c r="AA279">
        <v>0.99600370000000005</v>
      </c>
      <c r="AB279">
        <v>40</v>
      </c>
      <c r="AC279">
        <v>23.686899999999898</v>
      </c>
      <c r="AD279">
        <v>-1.0644874766700001</v>
      </c>
      <c r="AE279">
        <v>2.3516999999999899</v>
      </c>
      <c r="AF279">
        <v>-2.15256571342278</v>
      </c>
      <c r="AG279">
        <v>-1.0644874766700001</v>
      </c>
      <c r="AH279">
        <v>23.658121195415799</v>
      </c>
      <c r="AI279">
        <v>92.565678655238301</v>
      </c>
      <c r="AJ279">
        <v>95.198818295658</v>
      </c>
      <c r="AK279">
        <v>23.779684002012601</v>
      </c>
    </row>
    <row r="280" spans="1:37" x14ac:dyDescent="0.2">
      <c r="A280" t="str">
        <f>"20200111153616441"</f>
        <v>20200111153616441</v>
      </c>
      <c r="B280" t="str">
        <f>"1578728176433259"</f>
        <v>1578728176433259</v>
      </c>
      <c r="C280" t="s">
        <v>37</v>
      </c>
      <c r="D280">
        <v>5.9383179999999998</v>
      </c>
      <c r="E280">
        <v>0.48465730000000001</v>
      </c>
      <c r="F280" t="s">
        <v>39</v>
      </c>
      <c r="G280">
        <v>-373.67039999999997</v>
      </c>
      <c r="H280" s="1">
        <v>-2.7132539999999999E-6</v>
      </c>
      <c r="I280">
        <v>369.67469999999997</v>
      </c>
      <c r="J280">
        <v>-397.45760000000001</v>
      </c>
      <c r="K280">
        <v>1.0674030000000001</v>
      </c>
      <c r="L280">
        <v>367.28500000000003</v>
      </c>
      <c r="M280">
        <v>0.99991240000000003</v>
      </c>
      <c r="N280">
        <v>0</v>
      </c>
      <c r="O280">
        <v>9.559138E-3</v>
      </c>
      <c r="P280">
        <v>0.99571529999999997</v>
      </c>
      <c r="Q280">
        <v>7.1381219999999995E-2</v>
      </c>
      <c r="R280">
        <v>5.8789929999999997E-2</v>
      </c>
      <c r="S280">
        <v>3.004791</v>
      </c>
      <c r="T280">
        <v>-0.13210569999999999</v>
      </c>
      <c r="U280">
        <v>0.29711909999999903</v>
      </c>
      <c r="V280">
        <v>-4.9441399999999899E-2</v>
      </c>
      <c r="W280">
        <v>8.0405439999999995E-2</v>
      </c>
      <c r="X280">
        <v>0.99553530000000001</v>
      </c>
      <c r="Y280">
        <v>-8.8808479999999995E-2</v>
      </c>
      <c r="Z280">
        <v>1.5275429999999999E-3</v>
      </c>
      <c r="AA280">
        <v>0.99604760000000003</v>
      </c>
      <c r="AB280">
        <v>40</v>
      </c>
      <c r="AC280">
        <v>23.787199999999999</v>
      </c>
      <c r="AD280">
        <v>-1.067405713254</v>
      </c>
      <c r="AE280">
        <v>2.38969999999994</v>
      </c>
      <c r="AF280">
        <v>-2.1578944361925498</v>
      </c>
      <c r="AG280">
        <v>-1.067405713254</v>
      </c>
      <c r="AH280">
        <v>23.761589327879001</v>
      </c>
      <c r="AI280">
        <v>92.561554848480895</v>
      </c>
      <c r="AJ280">
        <v>95.189047843121102</v>
      </c>
      <c r="AK280">
        <v>23.883236605225999</v>
      </c>
    </row>
    <row r="281" spans="1:37" x14ac:dyDescent="0.2">
      <c r="A281" t="str">
        <f>"20200111153616466"</f>
        <v>20200111153616466</v>
      </c>
      <c r="B281" t="str">
        <f>"1578728176463516"</f>
        <v>1578728176463516</v>
      </c>
      <c r="C281" t="s">
        <v>37</v>
      </c>
      <c r="D281">
        <v>5.6738780000000002</v>
      </c>
      <c r="E281">
        <v>0.48476269999999999</v>
      </c>
      <c r="F281" t="s">
        <v>39</v>
      </c>
      <c r="G281">
        <v>-372.8417</v>
      </c>
      <c r="H281" s="1">
        <v>-3.0849579999999998E-6</v>
      </c>
      <c r="I281">
        <v>369.73559999999998</v>
      </c>
      <c r="J281">
        <v>-397.00729999999999</v>
      </c>
      <c r="K281">
        <v>1.070829</v>
      </c>
      <c r="L281">
        <v>367.2901</v>
      </c>
      <c r="M281">
        <v>0.99990140000000005</v>
      </c>
      <c r="N281">
        <v>0</v>
      </c>
      <c r="O281">
        <v>1.09172E-2</v>
      </c>
      <c r="P281">
        <v>0.99562949999999995</v>
      </c>
      <c r="Q281">
        <v>7.241715E-2</v>
      </c>
      <c r="R281">
        <v>5.8973949999999997E-2</v>
      </c>
      <c r="S281">
        <v>3.004578</v>
      </c>
      <c r="T281">
        <v>-0.13028580000000001</v>
      </c>
      <c r="U281">
        <v>0.29913329999999999</v>
      </c>
      <c r="V281">
        <v>-4.8276970000000002E-2</v>
      </c>
      <c r="W281">
        <v>8.1115499999999993E-2</v>
      </c>
      <c r="X281">
        <v>0.99553479999999905</v>
      </c>
      <c r="Y281">
        <v>-8.8127750000000005E-2</v>
      </c>
      <c r="Z281">
        <v>1.4331610000000001E-3</v>
      </c>
      <c r="AA281">
        <v>0.9961082</v>
      </c>
      <c r="AB281">
        <v>39</v>
      </c>
      <c r="AC281">
        <v>24.165599999999898</v>
      </c>
      <c r="AD281">
        <v>-1.070832084958</v>
      </c>
      <c r="AE281">
        <v>2.44549999999998</v>
      </c>
      <c r="AF281">
        <v>-2.1772913352357399</v>
      </c>
      <c r="AG281">
        <v>-1.070832084958</v>
      </c>
      <c r="AH281">
        <v>24.143930963472801</v>
      </c>
      <c r="AI281">
        <v>92.529268969354803</v>
      </c>
      <c r="AJ281">
        <v>95.152975090879096</v>
      </c>
      <c r="AK281">
        <v>24.265545147010599</v>
      </c>
    </row>
    <row r="282" spans="1:37" x14ac:dyDescent="0.2">
      <c r="A282" t="str">
        <f>"20200111153616495"</f>
        <v>20200111153616495</v>
      </c>
      <c r="B282" t="str">
        <f>"1578728176492795"</f>
        <v>1578728176492795</v>
      </c>
      <c r="C282" t="s">
        <v>37</v>
      </c>
      <c r="D282">
        <v>5.9285189999999997</v>
      </c>
      <c r="E282">
        <v>0.48488100000000001</v>
      </c>
      <c r="F282" t="s">
        <v>39</v>
      </c>
      <c r="G282">
        <v>-371.2672</v>
      </c>
      <c r="H282" s="1">
        <v>-3.79121899999999E-6</v>
      </c>
      <c r="I282">
        <v>369.85140000000001</v>
      </c>
      <c r="J282">
        <v>-396.48790000000002</v>
      </c>
      <c r="K282">
        <v>1.07497</v>
      </c>
      <c r="L282">
        <v>367.29669999999999</v>
      </c>
      <c r="M282">
        <v>0.99988809999999995</v>
      </c>
      <c r="N282">
        <v>0</v>
      </c>
      <c r="O282">
        <v>1.2361169999999999E-2</v>
      </c>
      <c r="P282">
        <v>0.99563999999999997</v>
      </c>
      <c r="Q282">
        <v>7.1548249999999994E-2</v>
      </c>
      <c r="R282">
        <v>5.985008E-2</v>
      </c>
      <c r="S282">
        <v>3.0045470000000001</v>
      </c>
      <c r="T282">
        <v>-0.1249943</v>
      </c>
      <c r="U282">
        <v>0.29898069999999999</v>
      </c>
      <c r="V282">
        <v>-4.7717929999999999E-2</v>
      </c>
      <c r="W282">
        <v>7.9843159999999996E-2</v>
      </c>
      <c r="X282">
        <v>0.99566469999999896</v>
      </c>
      <c r="Y282">
        <v>-8.6648329999999996E-2</v>
      </c>
      <c r="Z282">
        <v>1.2844589999999999E-3</v>
      </c>
      <c r="AA282">
        <v>0.99623809999999902</v>
      </c>
      <c r="AB282">
        <v>40</v>
      </c>
      <c r="AC282">
        <v>25.220700000000001</v>
      </c>
      <c r="AD282">
        <v>-1.0749737912190001</v>
      </c>
      <c r="AE282">
        <v>2.55470000000002</v>
      </c>
      <c r="AF282">
        <v>-2.2387106315374901</v>
      </c>
      <c r="AG282">
        <v>-1.0749737912190001</v>
      </c>
      <c r="AH282">
        <v>25.205028407987701</v>
      </c>
      <c r="AI282">
        <v>92.432573161113496</v>
      </c>
      <c r="AJ282">
        <v>95.075691754478896</v>
      </c>
      <c r="AK282">
        <v>25.327077426956201</v>
      </c>
    </row>
    <row r="283" spans="1:37" x14ac:dyDescent="0.2">
      <c r="A283" t="str">
        <f>"20200111153616518"</f>
        <v>20200111153616518</v>
      </c>
      <c r="B283" t="str">
        <f>"1578728176513290"</f>
        <v>1578728176513290</v>
      </c>
      <c r="C283" t="s">
        <v>37</v>
      </c>
      <c r="D283">
        <v>5.6590530000000001</v>
      </c>
      <c r="E283">
        <v>0.48512040000000001</v>
      </c>
      <c r="F283" t="s">
        <v>39</v>
      </c>
      <c r="G283">
        <v>-371.0994</v>
      </c>
      <c r="H283" s="1">
        <v>-3.859298E-6</v>
      </c>
      <c r="I283">
        <v>369.83670000000001</v>
      </c>
      <c r="J283">
        <v>-396.08580000000001</v>
      </c>
      <c r="K283">
        <v>1.078227</v>
      </c>
      <c r="L283">
        <v>367.3023</v>
      </c>
      <c r="M283">
        <v>0.99987569999999903</v>
      </c>
      <c r="N283">
        <v>0</v>
      </c>
      <c r="O283">
        <v>1.3390849999999999E-2</v>
      </c>
      <c r="P283">
        <v>0.99554759999999998</v>
      </c>
      <c r="Q283">
        <v>7.0850270000000007E-2</v>
      </c>
      <c r="R283">
        <v>6.217176E-2</v>
      </c>
      <c r="S283">
        <v>3.0042110000000002</v>
      </c>
      <c r="T283">
        <v>-0.12720109999999901</v>
      </c>
      <c r="U283">
        <v>0.30056759999999999</v>
      </c>
      <c r="V283">
        <v>-4.9015740000000002E-2</v>
      </c>
      <c r="W283">
        <v>7.9037940000000001E-2</v>
      </c>
      <c r="X283">
        <v>0.99566580000000005</v>
      </c>
      <c r="Y283">
        <v>-8.6153510000000003E-2</v>
      </c>
      <c r="Z283">
        <v>1.2533289999999901E-3</v>
      </c>
      <c r="AA283">
        <v>0.99628109999999903</v>
      </c>
      <c r="AB283">
        <v>40</v>
      </c>
      <c r="AC283">
        <v>24.9864</v>
      </c>
      <c r="AD283">
        <v>-1.0782308592980001</v>
      </c>
      <c r="AE283">
        <v>2.5344000000000002</v>
      </c>
      <c r="AF283">
        <v>-2.1955252459402899</v>
      </c>
      <c r="AG283">
        <v>-1.0782308592980001</v>
      </c>
      <c r="AH283">
        <v>24.972070127804798</v>
      </c>
      <c r="AI283">
        <v>92.462862665639307</v>
      </c>
      <c r="AJ283">
        <v>95.024481488068403</v>
      </c>
      <c r="AK283">
        <v>25.0915762629513</v>
      </c>
    </row>
    <row r="284" spans="1:37" x14ac:dyDescent="0.2">
      <c r="A284" t="str">
        <f>"20200111153616541"</f>
        <v>20200111153616541</v>
      </c>
      <c r="B284" t="str">
        <f>"1578728176532811"</f>
        <v>1578728176532811</v>
      </c>
      <c r="C284" t="s">
        <v>37</v>
      </c>
      <c r="D284">
        <v>5.643872</v>
      </c>
      <c r="E284">
        <v>0.4852477</v>
      </c>
      <c r="F284" t="s">
        <v>39</v>
      </c>
      <c r="G284">
        <v>-371.04480000000001</v>
      </c>
      <c r="H284" s="1">
        <v>-3.8860989999999997E-6</v>
      </c>
      <c r="I284">
        <v>369.84930000000003</v>
      </c>
      <c r="J284">
        <v>-395.67110000000002</v>
      </c>
      <c r="K284">
        <v>1.081504</v>
      </c>
      <c r="L284">
        <v>367.30849999999998</v>
      </c>
      <c r="M284">
        <v>0.99986109999999995</v>
      </c>
      <c r="N284">
        <v>0</v>
      </c>
      <c r="O284">
        <v>1.4371E-2</v>
      </c>
      <c r="P284">
        <v>0.99533649999999996</v>
      </c>
      <c r="Q284">
        <v>7.0917309999999997E-2</v>
      </c>
      <c r="R284">
        <v>6.539267E-2</v>
      </c>
      <c r="S284">
        <v>3.0035400000000001</v>
      </c>
      <c r="T284">
        <v>-0.1293279</v>
      </c>
      <c r="U284">
        <v>0.30551149999999999</v>
      </c>
      <c r="V284">
        <v>-5.1263370000000003E-2</v>
      </c>
      <c r="W284">
        <v>7.9223329999999995E-2</v>
      </c>
      <c r="X284">
        <v>0.99553789999999998</v>
      </c>
      <c r="Y284">
        <v>-8.6820380000000003E-2</v>
      </c>
      <c r="Z284">
        <v>1.246699E-3</v>
      </c>
      <c r="AA284">
        <v>0.99622319999999998</v>
      </c>
      <c r="AB284">
        <v>40</v>
      </c>
      <c r="AC284">
        <v>24.626300000000001</v>
      </c>
      <c r="AD284">
        <v>-1.0815078860989999</v>
      </c>
      <c r="AE284">
        <v>2.5408000000000399</v>
      </c>
      <c r="AF284">
        <v>-2.1824554995134</v>
      </c>
      <c r="AG284">
        <v>-1.0815078860989999</v>
      </c>
      <c r="AH284">
        <v>24.613300573774701</v>
      </c>
      <c r="AI284">
        <v>92.506136787416494</v>
      </c>
      <c r="AJ284">
        <v>95.067150986112296</v>
      </c>
      <c r="AK284">
        <v>24.733526567192801</v>
      </c>
    </row>
    <row r="285" spans="1:37" x14ac:dyDescent="0.2">
      <c r="A285" t="str">
        <f>"20200111153616564"</f>
        <v>20200111153616564</v>
      </c>
      <c r="B285" t="str">
        <f>"1578728176553307"</f>
        <v>1578728176553307</v>
      </c>
      <c r="C285" t="s">
        <v>37</v>
      </c>
      <c r="D285">
        <v>5.9372470000000002</v>
      </c>
      <c r="E285">
        <v>0.48536889999999999</v>
      </c>
      <c r="F285" t="s">
        <v>39</v>
      </c>
      <c r="G285">
        <v>-370.63099999999997</v>
      </c>
      <c r="H285" s="1">
        <v>-4.08275E-6</v>
      </c>
      <c r="I285">
        <v>369.92129999999997</v>
      </c>
      <c r="J285">
        <v>-395.26799999999997</v>
      </c>
      <c r="K285">
        <v>1.0845</v>
      </c>
      <c r="L285">
        <v>367.31490000000002</v>
      </c>
      <c r="M285">
        <v>0.99984580000000001</v>
      </c>
      <c r="N285">
        <v>0</v>
      </c>
      <c r="O285">
        <v>1.523414E-2</v>
      </c>
      <c r="P285">
        <v>0.99504210000000004</v>
      </c>
      <c r="Q285">
        <v>7.170385E-2</v>
      </c>
      <c r="R285">
        <v>6.8920529999999994E-2</v>
      </c>
      <c r="S285">
        <v>3.0026860000000002</v>
      </c>
      <c r="T285">
        <v>-0.129689</v>
      </c>
      <c r="U285">
        <v>0.31332399999999999</v>
      </c>
      <c r="V285">
        <v>-5.3932609999999999E-2</v>
      </c>
      <c r="W285">
        <v>8.0287090000000005E-2</v>
      </c>
      <c r="X285">
        <v>0.99531159999999996</v>
      </c>
      <c r="Y285">
        <v>-8.8552329999999999E-2</v>
      </c>
      <c r="Z285">
        <v>1.2505039999999999E-3</v>
      </c>
      <c r="AA285">
        <v>0.99607069999999998</v>
      </c>
      <c r="AB285">
        <v>40</v>
      </c>
      <c r="AC285">
        <v>24.637</v>
      </c>
      <c r="AD285">
        <v>-1.0845040827500001</v>
      </c>
      <c r="AE285">
        <v>2.6063999999999501</v>
      </c>
      <c r="AF285">
        <v>-2.22649316101037</v>
      </c>
      <c r="AG285">
        <v>-1.0845040827500001</v>
      </c>
      <c r="AH285">
        <v>24.6266575913357</v>
      </c>
      <c r="AI285">
        <v>92.511321866507203</v>
      </c>
      <c r="AJ285">
        <v>95.166059410914698</v>
      </c>
      <c r="AK285">
        <v>24.750872409319602</v>
      </c>
    </row>
    <row r="286" spans="1:37" x14ac:dyDescent="0.2">
      <c r="A286" t="str">
        <f>"20200111153616585"</f>
        <v>20200111153616585</v>
      </c>
      <c r="B286" t="str">
        <f>"1578728176572826"</f>
        <v>1578728176572826</v>
      </c>
      <c r="C286" t="s">
        <v>37</v>
      </c>
      <c r="D286">
        <v>5.6680890000000002</v>
      </c>
      <c r="E286">
        <v>0.4853053</v>
      </c>
      <c r="F286" t="s">
        <v>39</v>
      </c>
      <c r="G286">
        <v>-369.8057</v>
      </c>
      <c r="H286" s="1">
        <v>-1.79615799999999E-7</v>
      </c>
      <c r="I286">
        <v>370.04450000000003</v>
      </c>
      <c r="J286">
        <v>-394.89159999999998</v>
      </c>
      <c r="K286">
        <v>1.0870869999999999</v>
      </c>
      <c r="L286">
        <v>367.32119999999998</v>
      </c>
      <c r="M286">
        <v>0.99983120000000003</v>
      </c>
      <c r="N286">
        <v>0</v>
      </c>
      <c r="O286">
        <v>1.596941E-2</v>
      </c>
      <c r="P286">
        <v>0.99485309999999905</v>
      </c>
      <c r="Q286">
        <v>7.1701879999999996E-2</v>
      </c>
      <c r="R286">
        <v>7.1597149999999998E-2</v>
      </c>
      <c r="S286">
        <v>3.0018919999999998</v>
      </c>
      <c r="T286">
        <v>-0.1278571</v>
      </c>
      <c r="U286">
        <v>0.32180789999999998</v>
      </c>
      <c r="V286">
        <v>-5.587255E-2</v>
      </c>
      <c r="W286">
        <v>8.0630729999999998E-2</v>
      </c>
      <c r="X286">
        <v>0.99517690000000003</v>
      </c>
      <c r="Y286">
        <v>-9.0631370000000003E-2</v>
      </c>
      <c r="Z286">
        <v>1.245929E-3</v>
      </c>
      <c r="AA286">
        <v>0.99588369999999904</v>
      </c>
      <c r="AB286">
        <v>40</v>
      </c>
      <c r="AC286">
        <v>25.085899999999899</v>
      </c>
      <c r="AD286">
        <v>-1.0870871796157999</v>
      </c>
      <c r="AE286">
        <v>2.7233000000000498</v>
      </c>
      <c r="AF286">
        <v>-2.3180268511487201</v>
      </c>
      <c r="AG286">
        <v>-1.0870871796157999</v>
      </c>
      <c r="AH286">
        <v>25.079643936435801</v>
      </c>
      <c r="AI286">
        <v>92.471434088891996</v>
      </c>
      <c r="AJ286">
        <v>95.280652665986295</v>
      </c>
      <c r="AK286">
        <v>25.209989032070801</v>
      </c>
    </row>
    <row r="287" spans="1:37" x14ac:dyDescent="0.2">
      <c r="A287" t="str">
        <f>"20200111153616606"</f>
        <v>20200111153616606</v>
      </c>
      <c r="B287" t="str">
        <f>"1578728176603083"</f>
        <v>1578728176603083</v>
      </c>
      <c r="C287" t="s">
        <v>37</v>
      </c>
      <c r="D287">
        <v>5.6279529999999998</v>
      </c>
      <c r="E287">
        <v>0.4852244</v>
      </c>
      <c r="F287" t="s">
        <v>39</v>
      </c>
      <c r="G287">
        <v>-369.4436</v>
      </c>
      <c r="H287" s="1">
        <v>-3.5466009999999901E-7</v>
      </c>
      <c r="I287">
        <v>370.11860000000001</v>
      </c>
      <c r="J287">
        <v>-394.50400000000002</v>
      </c>
      <c r="K287">
        <v>1.0894969999999999</v>
      </c>
      <c r="L287">
        <v>367.3279</v>
      </c>
      <c r="M287">
        <v>0.99981659999999895</v>
      </c>
      <c r="N287">
        <v>0</v>
      </c>
      <c r="O287">
        <v>1.663326E-2</v>
      </c>
      <c r="P287">
        <v>0.994660399999999</v>
      </c>
      <c r="Q287">
        <v>7.1711469999999999E-2</v>
      </c>
      <c r="R287">
        <v>7.4217889999999995E-2</v>
      </c>
      <c r="S287">
        <v>3.001007</v>
      </c>
      <c r="T287">
        <v>-0.1281968</v>
      </c>
      <c r="U287">
        <v>0.32989499999999999</v>
      </c>
      <c r="V287">
        <v>-5.7825590000000003E-2</v>
      </c>
      <c r="W287">
        <v>8.104517E-2</v>
      </c>
      <c r="X287">
        <v>0.99503159999999902</v>
      </c>
      <c r="Y287">
        <v>-9.2651869999999997E-2</v>
      </c>
      <c r="Z287">
        <v>1.2641830000000001E-3</v>
      </c>
      <c r="AA287">
        <v>0.99569769999999902</v>
      </c>
      <c r="AB287">
        <v>40</v>
      </c>
      <c r="AC287">
        <v>25.060400000000001</v>
      </c>
      <c r="AD287">
        <v>-1.0894973546600999</v>
      </c>
      <c r="AE287">
        <v>2.79070000000001</v>
      </c>
      <c r="AF287">
        <v>-2.36903618230102</v>
      </c>
      <c r="AG287">
        <v>-1.0894973546600999</v>
      </c>
      <c r="AH287">
        <v>25.0565748823436</v>
      </c>
      <c r="AI287">
        <v>92.478697625839501</v>
      </c>
      <c r="AJ287">
        <v>95.401116206694894</v>
      </c>
      <c r="AK287">
        <v>25.191889205721701</v>
      </c>
    </row>
    <row r="288" spans="1:37" x14ac:dyDescent="0.2">
      <c r="A288" t="str">
        <f>"20200111153616629"</f>
        <v>20200111153616629</v>
      </c>
      <c r="B288" t="str">
        <f>"1578728176622602"</f>
        <v>1578728176622602</v>
      </c>
      <c r="C288" t="s">
        <v>37</v>
      </c>
      <c r="D288">
        <v>5.6853790000000002</v>
      </c>
      <c r="E288">
        <v>0.48533290000000001</v>
      </c>
      <c r="F288" t="s">
        <v>39</v>
      </c>
      <c r="G288">
        <v>-369.7525</v>
      </c>
      <c r="H288" s="1">
        <v>-2.2127229999999899E-7</v>
      </c>
      <c r="I288">
        <v>370.11520000000002</v>
      </c>
      <c r="J288">
        <v>-394.1114</v>
      </c>
      <c r="K288">
        <v>1.091664</v>
      </c>
      <c r="L288">
        <v>367.3349</v>
      </c>
      <c r="M288">
        <v>0.999803</v>
      </c>
      <c r="N288">
        <v>0</v>
      </c>
      <c r="O288">
        <v>1.7184890000000001E-2</v>
      </c>
      <c r="P288">
        <v>0.99450559999999999</v>
      </c>
      <c r="Q288">
        <v>7.1099780000000001E-2</v>
      </c>
      <c r="R288">
        <v>7.6833349999999995E-2</v>
      </c>
      <c r="S288">
        <v>3.0004580000000001</v>
      </c>
      <c r="T288">
        <v>-0.13207199999999999</v>
      </c>
      <c r="U288">
        <v>0.33789059999999999</v>
      </c>
      <c r="V288">
        <v>-5.9878389999999997E-2</v>
      </c>
      <c r="W288">
        <v>8.0870259999999999E-2</v>
      </c>
      <c r="X288">
        <v>0.99492440000000004</v>
      </c>
      <c r="Y288">
        <v>-9.4737249999999995E-2</v>
      </c>
      <c r="Z288">
        <v>1.323957E-3</v>
      </c>
      <c r="AA288">
        <v>0.99550149999999904</v>
      </c>
      <c r="AB288">
        <v>40</v>
      </c>
      <c r="AC288">
        <v>24.358899999999998</v>
      </c>
      <c r="AD288">
        <v>-1.0916642212723</v>
      </c>
      <c r="AE288">
        <v>2.7803000000000102</v>
      </c>
      <c r="AF288">
        <v>-2.3565914782256598</v>
      </c>
      <c r="AG288">
        <v>-1.0916642212723</v>
      </c>
      <c r="AH288">
        <v>24.354797514034502</v>
      </c>
      <c r="AI288">
        <v>92.554557375090397</v>
      </c>
      <c r="AJ288">
        <v>95.526784041873398</v>
      </c>
      <c r="AK288">
        <v>24.492885010077401</v>
      </c>
    </row>
    <row r="289" spans="1:37" x14ac:dyDescent="0.2">
      <c r="A289" t="str">
        <f>"20200111153616651"</f>
        <v>20200111153616651</v>
      </c>
      <c r="B289" t="str">
        <f>"1578728176643098"</f>
        <v>1578728176643098</v>
      </c>
      <c r="C289" t="s">
        <v>37</v>
      </c>
      <c r="D289">
        <v>5.9364400000000002</v>
      </c>
      <c r="E289">
        <v>0.48558959999999901</v>
      </c>
      <c r="F289" t="s">
        <v>39</v>
      </c>
      <c r="G289">
        <v>-369.9873</v>
      </c>
      <c r="H289" s="1">
        <v>-4.3671789999999902E-6</v>
      </c>
      <c r="I289">
        <v>370.10570000000001</v>
      </c>
      <c r="J289">
        <v>-393.69889999999998</v>
      </c>
      <c r="K289">
        <v>1.0936489999999901</v>
      </c>
      <c r="L289">
        <v>367.3424</v>
      </c>
      <c r="M289">
        <v>0.99979089999999904</v>
      </c>
      <c r="N289">
        <v>0</v>
      </c>
      <c r="O289">
        <v>1.7621370000000001E-2</v>
      </c>
      <c r="P289">
        <v>0.99440069999999903</v>
      </c>
      <c r="Q289">
        <v>7.0436280000000004E-2</v>
      </c>
      <c r="R289">
        <v>7.8778479999999998E-2</v>
      </c>
      <c r="S289">
        <v>2.999695</v>
      </c>
      <c r="T289">
        <v>-0.13574249999999999</v>
      </c>
      <c r="U289">
        <v>0.3445435</v>
      </c>
      <c r="V289">
        <v>-6.1369460000000001E-2</v>
      </c>
      <c r="W289">
        <v>8.0672560000000004E-2</v>
      </c>
      <c r="X289">
        <v>0.994849599999999</v>
      </c>
      <c r="Y289">
        <v>-9.6504699999999999E-2</v>
      </c>
      <c r="Z289">
        <v>1.3810629999999901E-3</v>
      </c>
      <c r="AA289">
        <v>0.99533159999999898</v>
      </c>
      <c r="AB289">
        <v>40</v>
      </c>
      <c r="AC289">
        <v>23.711599999999901</v>
      </c>
      <c r="AD289">
        <v>-1.0936533671789901</v>
      </c>
      <c r="AE289">
        <v>2.7633000000000099</v>
      </c>
      <c r="AF289">
        <v>-2.3401060272062</v>
      </c>
      <c r="AG289">
        <v>-1.0936533671789901</v>
      </c>
      <c r="AH289">
        <v>23.706856813173701</v>
      </c>
      <c r="AI289">
        <v>92.6285602820696</v>
      </c>
      <c r="AJ289">
        <v>95.637409316033697</v>
      </c>
      <c r="AK289">
        <v>23.847164063394001</v>
      </c>
    </row>
    <row r="290" spans="1:37" x14ac:dyDescent="0.2">
      <c r="A290" t="str">
        <f>"20200111153616675"</f>
        <v>20200111153616675</v>
      </c>
      <c r="B290" t="str">
        <f>"1578728176662625"</f>
        <v>1578728176662625</v>
      </c>
      <c r="C290" t="s">
        <v>37</v>
      </c>
      <c r="D290">
        <v>5.6575150000000001</v>
      </c>
      <c r="E290">
        <v>0.485792</v>
      </c>
      <c r="F290" t="s">
        <v>39</v>
      </c>
      <c r="G290">
        <v>-369.8929</v>
      </c>
      <c r="H290" s="1">
        <v>-1.5812849999999901E-7</v>
      </c>
      <c r="I290">
        <v>370.10430000000002</v>
      </c>
      <c r="J290">
        <v>-393.3116</v>
      </c>
      <c r="K290">
        <v>1.095267</v>
      </c>
      <c r="L290">
        <v>367.34949999999998</v>
      </c>
      <c r="M290">
        <v>0.99978129999999998</v>
      </c>
      <c r="N290">
        <v>0</v>
      </c>
      <c r="O290">
        <v>1.7907099999999999E-2</v>
      </c>
      <c r="P290">
        <v>0.99438909999999903</v>
      </c>
      <c r="Q290">
        <v>6.9506589999999993E-2</v>
      </c>
      <c r="R290">
        <v>7.9745289999999996E-2</v>
      </c>
      <c r="S290">
        <v>2.9991150000000002</v>
      </c>
      <c r="T290">
        <v>-0.13777890000000001</v>
      </c>
      <c r="U290">
        <v>0.34796139999999998</v>
      </c>
      <c r="V290">
        <v>-6.2029430000000003E-2</v>
      </c>
      <c r="W290">
        <v>8.0174449999999994E-2</v>
      </c>
      <c r="X290">
        <v>0.99484899999999998</v>
      </c>
      <c r="Y290">
        <v>-9.7358349999999996E-2</v>
      </c>
      <c r="Z290">
        <v>1.4084010000000001E-3</v>
      </c>
      <c r="AA290">
        <v>0.99524840000000003</v>
      </c>
      <c r="AB290">
        <v>40</v>
      </c>
      <c r="AC290">
        <v>23.418700000000001</v>
      </c>
      <c r="AD290">
        <v>-1.0952671581285001</v>
      </c>
      <c r="AE290">
        <v>2.7548000000000399</v>
      </c>
      <c r="AF290">
        <v>-2.3299459522886701</v>
      </c>
      <c r="AG290">
        <v>-1.0952671581285001</v>
      </c>
      <c r="AH290">
        <v>23.4137631835241</v>
      </c>
      <c r="AI290">
        <v>92.665129701973598</v>
      </c>
      <c r="AJ290">
        <v>95.682897514748205</v>
      </c>
      <c r="AK290">
        <v>23.554884094437998</v>
      </c>
    </row>
    <row r="291" spans="1:37" x14ac:dyDescent="0.2">
      <c r="A291" t="str">
        <f>"20200111153616695"</f>
        <v>20200111153616695</v>
      </c>
      <c r="B291" t="str">
        <f>"1578728176682801"</f>
        <v>1578728176682801</v>
      </c>
      <c r="C291" t="s">
        <v>37</v>
      </c>
      <c r="D291">
        <v>5.6687820000000002</v>
      </c>
      <c r="E291">
        <v>0.48613980000000001</v>
      </c>
      <c r="F291" t="s">
        <v>39</v>
      </c>
      <c r="G291">
        <v>-369.93130000000002</v>
      </c>
      <c r="H291" s="1">
        <v>-1.340596E-7</v>
      </c>
      <c r="I291">
        <v>370.07569999999998</v>
      </c>
      <c r="J291">
        <v>-392.92579999999998</v>
      </c>
      <c r="K291">
        <v>1.0966639999999901</v>
      </c>
      <c r="L291">
        <v>367.35660000000001</v>
      </c>
      <c r="M291">
        <v>0.99977359999999904</v>
      </c>
      <c r="N291">
        <v>0</v>
      </c>
      <c r="O291">
        <v>1.8089890000000001E-2</v>
      </c>
      <c r="P291">
        <v>0.99437809999999904</v>
      </c>
      <c r="Q291">
        <v>6.8892419999999996E-2</v>
      </c>
      <c r="R291">
        <v>8.0411060000000006E-2</v>
      </c>
      <c r="S291">
        <v>2.9986570000000001</v>
      </c>
      <c r="T291">
        <v>-0.14047379999999901</v>
      </c>
      <c r="U291">
        <v>0.34967039999999999</v>
      </c>
      <c r="V291">
        <v>-6.2492020000000002E-2</v>
      </c>
      <c r="W291">
        <v>7.997195E-2</v>
      </c>
      <c r="X291">
        <v>0.99483630000000001</v>
      </c>
      <c r="Y291">
        <v>-9.7749820000000001E-2</v>
      </c>
      <c r="Z291">
        <v>1.436697E-3</v>
      </c>
      <c r="AA291">
        <v>0.99521000000000004</v>
      </c>
      <c r="AB291">
        <v>40</v>
      </c>
      <c r="AC291">
        <v>22.994499999999899</v>
      </c>
      <c r="AD291">
        <v>-1.0966641340595999</v>
      </c>
      <c r="AE291">
        <v>2.7190999999999601</v>
      </c>
      <c r="AF291">
        <v>-2.2975071463485799</v>
      </c>
      <c r="AG291">
        <v>-1.0966641340595999</v>
      </c>
      <c r="AH291">
        <v>22.988360552724</v>
      </c>
      <c r="AI291">
        <v>92.717716764305905</v>
      </c>
      <c r="AJ291">
        <v>95.707313763405296</v>
      </c>
      <c r="AK291">
        <v>23.1288982057618</v>
      </c>
    </row>
    <row r="292" spans="1:37" x14ac:dyDescent="0.2">
      <c r="A292" t="str">
        <f>"20200111153616717"</f>
        <v>20200111153616717</v>
      </c>
      <c r="B292" t="str">
        <f>"1578728176713058"</f>
        <v>1578728176713058</v>
      </c>
      <c r="C292" t="s">
        <v>37</v>
      </c>
      <c r="D292">
        <v>5.7875420000000002</v>
      </c>
      <c r="E292">
        <v>0.48652029999999902</v>
      </c>
      <c r="F292" t="s">
        <v>39</v>
      </c>
      <c r="G292">
        <v>-369.5874</v>
      </c>
      <c r="H292" s="1">
        <v>-2.8069699999999999E-7</v>
      </c>
      <c r="I292">
        <v>370.07240000000002</v>
      </c>
      <c r="J292">
        <v>-392.53489999999999</v>
      </c>
      <c r="K292">
        <v>1.09788</v>
      </c>
      <c r="L292">
        <v>367.36380000000003</v>
      </c>
      <c r="M292">
        <v>0.99976769999999904</v>
      </c>
      <c r="N292">
        <v>0</v>
      </c>
      <c r="O292">
        <v>1.8182759999999999E-2</v>
      </c>
      <c r="P292">
        <v>0.99445030000000001</v>
      </c>
      <c r="Q292">
        <v>6.7905530000000006E-2</v>
      </c>
      <c r="R292">
        <v>8.0359230000000004E-2</v>
      </c>
      <c r="S292">
        <v>2.998535</v>
      </c>
      <c r="T292">
        <v>-0.14089969999999999</v>
      </c>
      <c r="U292">
        <v>0.34893800000000003</v>
      </c>
      <c r="V292">
        <v>-6.2326099999999898E-2</v>
      </c>
      <c r="W292">
        <v>7.9378770000000001E-2</v>
      </c>
      <c r="X292">
        <v>0.99489419999999995</v>
      </c>
      <c r="Y292">
        <v>-9.7422060000000005E-2</v>
      </c>
      <c r="Z292">
        <v>1.429107E-3</v>
      </c>
      <c r="AA292">
        <v>0.99524210000000002</v>
      </c>
      <c r="AB292">
        <v>40</v>
      </c>
      <c r="AC292">
        <v>22.947499999999899</v>
      </c>
      <c r="AD292">
        <v>-1.0978802806970001</v>
      </c>
      <c r="AE292">
        <v>2.7085999999999899</v>
      </c>
      <c r="AF292">
        <v>-2.2857152919338501</v>
      </c>
      <c r="AG292">
        <v>-1.0978802806970001</v>
      </c>
      <c r="AH292">
        <v>22.941168939507001</v>
      </c>
      <c r="AI292">
        <v>92.726397298114705</v>
      </c>
      <c r="AJ292">
        <v>95.689817060345604</v>
      </c>
      <c r="AK292">
        <v>23.080881001762599</v>
      </c>
    </row>
    <row r="293" spans="1:37" x14ac:dyDescent="0.2">
      <c r="A293" t="str">
        <f>"20200111153616741"</f>
        <v>20200111153616741</v>
      </c>
      <c r="B293" t="str">
        <f>"1578728176732577"</f>
        <v>1578728176732577</v>
      </c>
      <c r="C293" t="s">
        <v>37</v>
      </c>
      <c r="D293">
        <v>5.870018</v>
      </c>
      <c r="E293">
        <v>0.52095899999999995</v>
      </c>
      <c r="F293" t="s">
        <v>39</v>
      </c>
      <c r="G293">
        <v>-369.57990000000001</v>
      </c>
      <c r="H293" s="1">
        <v>-2.676513E-7</v>
      </c>
      <c r="I293">
        <v>370.01130000000001</v>
      </c>
      <c r="J293">
        <v>-392.12450000000001</v>
      </c>
      <c r="K293">
        <v>1.0989659999999899</v>
      </c>
      <c r="L293">
        <v>367.37130000000002</v>
      </c>
      <c r="M293">
        <v>0.99976319999999996</v>
      </c>
      <c r="N293">
        <v>0</v>
      </c>
      <c r="O293">
        <v>1.8192610000000001E-2</v>
      </c>
      <c r="P293">
        <v>0.99453670000000005</v>
      </c>
      <c r="Q293">
        <v>6.6744849999999994E-2</v>
      </c>
      <c r="R293">
        <v>8.026076E-2</v>
      </c>
      <c r="S293">
        <v>2.998596</v>
      </c>
      <c r="T293">
        <v>-0.1434146</v>
      </c>
      <c r="U293">
        <v>0.34585569999999999</v>
      </c>
      <c r="V293">
        <v>-6.2196649999999999E-2</v>
      </c>
      <c r="W293">
        <v>7.8601099999999993E-2</v>
      </c>
      <c r="X293">
        <v>0.99496409999999902</v>
      </c>
      <c r="Y293">
        <v>-9.6398380000000006E-2</v>
      </c>
      <c r="Z293">
        <v>1.4297820000000001E-3</v>
      </c>
      <c r="AA293">
        <v>0.99534179999999906</v>
      </c>
      <c r="AB293">
        <v>40</v>
      </c>
      <c r="AC293">
        <v>22.544599999999999</v>
      </c>
      <c r="AD293">
        <v>-1.0989662676512999</v>
      </c>
      <c r="AE293">
        <v>2.6399999999999801</v>
      </c>
      <c r="AF293">
        <v>-2.22417506306319</v>
      </c>
      <c r="AG293">
        <v>-1.0989662676512999</v>
      </c>
      <c r="AH293">
        <v>22.536074352493401</v>
      </c>
      <c r="AI293">
        <v>92.778326339960103</v>
      </c>
      <c r="AJ293">
        <v>95.636495531311397</v>
      </c>
      <c r="AK293">
        <v>22.672214907011099</v>
      </c>
    </row>
    <row r="294" spans="1:37" x14ac:dyDescent="0.2">
      <c r="A294" t="str">
        <f>"20200111153616764"</f>
        <v>20200111153616764</v>
      </c>
      <c r="B294" t="str">
        <f>"1578728176753077"</f>
        <v>1578728176753077</v>
      </c>
      <c r="C294" t="s">
        <v>37</v>
      </c>
      <c r="D294">
        <v>5.9065379999999896</v>
      </c>
      <c r="E294">
        <v>0.53079759999999998</v>
      </c>
      <c r="F294" t="s">
        <v>38</v>
      </c>
      <c r="G294">
        <v>-391.08510000000001</v>
      </c>
      <c r="H294">
        <v>1.0211870000000001</v>
      </c>
      <c r="I294">
        <v>367.3956</v>
      </c>
      <c r="J294">
        <v>-391.72320000000002</v>
      </c>
      <c r="K294">
        <v>1.0998569999999901</v>
      </c>
      <c r="L294">
        <v>367.37860000000001</v>
      </c>
      <c r="M294">
        <v>0.99976019999999899</v>
      </c>
      <c r="N294">
        <v>0</v>
      </c>
      <c r="O294">
        <v>1.8139240000000001E-2</v>
      </c>
      <c r="P294">
        <v>0.99469719999999995</v>
      </c>
      <c r="Q294">
        <v>6.5726679999999996E-2</v>
      </c>
      <c r="R294">
        <v>7.910652E-2</v>
      </c>
      <c r="S294">
        <v>3.025909</v>
      </c>
      <c r="T294">
        <v>-0.22657840000000001</v>
      </c>
      <c r="U294">
        <v>7.1502689999999994E-2</v>
      </c>
      <c r="V294">
        <v>-6.1077810000000003E-2</v>
      </c>
      <c r="W294">
        <v>7.7923690000000004E-2</v>
      </c>
      <c r="X294">
        <v>0.99508660000000004</v>
      </c>
      <c r="Y294">
        <v>-5.519431E-3</v>
      </c>
      <c r="Z294">
        <v>-1.1498139999999899E-3</v>
      </c>
      <c r="AA294">
        <v>0.99998410000000004</v>
      </c>
      <c r="AB294">
        <v>39</v>
      </c>
      <c r="AC294">
        <v>0.63810000000000799</v>
      </c>
      <c r="AD294">
        <v>-7.8669999999999796E-2</v>
      </c>
      <c r="AE294">
        <v>1.69999999999959E-2</v>
      </c>
      <c r="AF294">
        <v>-5.34056390482982E-3</v>
      </c>
      <c r="AG294">
        <v>-7.8669999999999796E-2</v>
      </c>
      <c r="AH294">
        <v>0.62875317945182296</v>
      </c>
      <c r="AI294">
        <v>97.131567446004098</v>
      </c>
      <c r="AJ294">
        <v>90.486652670020604</v>
      </c>
      <c r="AK294">
        <v>0.63367819213982601</v>
      </c>
    </row>
    <row r="295" spans="1:37" x14ac:dyDescent="0.2">
      <c r="A295" t="str">
        <f>"20200111153616784"</f>
        <v>20200111153616784</v>
      </c>
      <c r="B295" t="str">
        <f>"1578728176772593"</f>
        <v>1578728176772593</v>
      </c>
      <c r="C295" t="s">
        <v>37</v>
      </c>
      <c r="D295">
        <v>5.8209770000000001</v>
      </c>
      <c r="E295">
        <v>0.53322899999999995</v>
      </c>
      <c r="F295" t="s">
        <v>38</v>
      </c>
      <c r="G295">
        <v>-390.73399999999998</v>
      </c>
      <c r="H295">
        <v>1.0194570000000001</v>
      </c>
      <c r="I295">
        <v>367.37509999999997</v>
      </c>
      <c r="J295">
        <v>-391.35480000000001</v>
      </c>
      <c r="K295">
        <v>1.100568</v>
      </c>
      <c r="L295">
        <v>367.38529999999997</v>
      </c>
      <c r="M295">
        <v>0.99975820000000004</v>
      </c>
      <c r="N295">
        <v>0</v>
      </c>
      <c r="O295">
        <v>1.8056119999999998E-2</v>
      </c>
      <c r="P295">
        <v>0.99488269999999901</v>
      </c>
      <c r="Q295">
        <v>6.5333989999999995E-2</v>
      </c>
      <c r="R295">
        <v>7.7070879999999994E-2</v>
      </c>
      <c r="S295">
        <v>3.0330810000000001</v>
      </c>
      <c r="T295">
        <v>-0.24661669999999999</v>
      </c>
      <c r="U295">
        <v>-1.019287E-2</v>
      </c>
      <c r="V295">
        <v>-5.9110450000000002E-2</v>
      </c>
      <c r="W295">
        <v>7.7818609999999996E-2</v>
      </c>
      <c r="X295">
        <v>0.99521360000000003</v>
      </c>
      <c r="Y295">
        <v>2.12875999999999E-2</v>
      </c>
      <c r="Z295">
        <v>-2.3297769999999999E-3</v>
      </c>
      <c r="AA295">
        <v>0.99977070000000001</v>
      </c>
      <c r="AB295">
        <v>39</v>
      </c>
      <c r="AC295">
        <v>0.62079999999997404</v>
      </c>
      <c r="AD295">
        <v>-8.1110999999999905E-2</v>
      </c>
      <c r="AE295">
        <v>-1.0199999999997499E-2</v>
      </c>
      <c r="AF295">
        <v>2.1049227106091702E-2</v>
      </c>
      <c r="AG295">
        <v>-8.1110999999999905E-2</v>
      </c>
      <c r="AH295">
        <v>0.61010241252321096</v>
      </c>
      <c r="AI295">
        <v>97.568416436031598</v>
      </c>
      <c r="AJ295">
        <v>88.024014219216397</v>
      </c>
      <c r="AK295">
        <v>0.61583034843161699</v>
      </c>
    </row>
    <row r="296" spans="1:37" x14ac:dyDescent="0.2">
      <c r="A296" t="str">
        <f>"20200111153616807"</f>
        <v>20200111153616807</v>
      </c>
      <c r="B296" t="str">
        <f>"1578728176803397"</f>
        <v>1578728176803397</v>
      </c>
      <c r="C296" t="s">
        <v>37</v>
      </c>
      <c r="D296">
        <v>5.8075859999999997</v>
      </c>
      <c r="E296">
        <v>0.53378700000000001</v>
      </c>
      <c r="F296" t="s">
        <v>38</v>
      </c>
      <c r="G296">
        <v>-390.38170000000002</v>
      </c>
      <c r="H296">
        <v>1.0209629999999901</v>
      </c>
      <c r="I296">
        <v>367.37349999999998</v>
      </c>
      <c r="J296">
        <v>-390.95499999999998</v>
      </c>
      <c r="K296">
        <v>1.101227</v>
      </c>
      <c r="L296">
        <v>367.39240000000001</v>
      </c>
      <c r="M296">
        <v>0.99975689999999995</v>
      </c>
      <c r="N296">
        <v>0</v>
      </c>
      <c r="O296">
        <v>1.7945340000000001E-2</v>
      </c>
      <c r="P296">
        <v>0.99499760000000004</v>
      </c>
      <c r="Q296">
        <v>6.5416589999999997E-2</v>
      </c>
      <c r="R296">
        <v>7.5503600000000004E-2</v>
      </c>
      <c r="S296">
        <v>3.03454599999999</v>
      </c>
      <c r="T296">
        <v>-0.2484828</v>
      </c>
      <c r="U296">
        <v>-3.549194E-2</v>
      </c>
      <c r="V296">
        <v>-5.7641899999999899E-2</v>
      </c>
      <c r="W296">
        <v>7.8183249999999996E-2</v>
      </c>
      <c r="X296">
        <v>0.99527119999999902</v>
      </c>
      <c r="Y296">
        <v>2.948015E-2</v>
      </c>
      <c r="Z296">
        <v>-2.6719719999999999E-3</v>
      </c>
      <c r="AA296">
        <v>0.99956179999999994</v>
      </c>
      <c r="AB296">
        <v>39</v>
      </c>
      <c r="AC296">
        <v>0.57329999999995995</v>
      </c>
      <c r="AD296">
        <v>-8.0264000000000099E-2</v>
      </c>
      <c r="AE296">
        <v>-1.89000000000305E-2</v>
      </c>
      <c r="AF296">
        <v>2.8625387300397102E-2</v>
      </c>
      <c r="AG296">
        <v>-8.0264000000000099E-2</v>
      </c>
      <c r="AH296">
        <v>0.56186728009924702</v>
      </c>
      <c r="AI296">
        <v>98.119437274784502</v>
      </c>
      <c r="AJ296">
        <v>87.083480165575907</v>
      </c>
      <c r="AK296">
        <v>0.56829267366404101</v>
      </c>
    </row>
    <row r="297" spans="1:37" x14ac:dyDescent="0.2">
      <c r="A297" t="str">
        <f>"20200111153616830"</f>
        <v>20200111153616830</v>
      </c>
      <c r="B297" t="str">
        <f>"1578728176822916"</f>
        <v>1578728176822916</v>
      </c>
      <c r="C297" t="s">
        <v>37</v>
      </c>
      <c r="D297">
        <v>5.8210350000000002</v>
      </c>
      <c r="E297">
        <v>0.53364469999999997</v>
      </c>
      <c r="F297" t="s">
        <v>38</v>
      </c>
      <c r="G297">
        <v>-390.02749999999997</v>
      </c>
      <c r="H297">
        <v>1.027091</v>
      </c>
      <c r="I297">
        <v>367.37860000000001</v>
      </c>
      <c r="J297">
        <v>-390.5575</v>
      </c>
      <c r="K297">
        <v>1.1017840000000001</v>
      </c>
      <c r="L297">
        <v>367.39949999999999</v>
      </c>
      <c r="M297">
        <v>0.99975550000000002</v>
      </c>
      <c r="N297">
        <v>0</v>
      </c>
      <c r="O297">
        <v>1.7833410000000001E-2</v>
      </c>
      <c r="P297">
        <v>0.99506870000000003</v>
      </c>
      <c r="Q297">
        <v>6.5760840000000001E-2</v>
      </c>
      <c r="R297">
        <v>7.4255080000000001E-2</v>
      </c>
      <c r="S297">
        <v>3.0344540000000002</v>
      </c>
      <c r="T297">
        <v>-0.24254009999999901</v>
      </c>
      <c r="U297">
        <v>-4.4982910000000001E-2</v>
      </c>
      <c r="V297">
        <v>-5.6496879999999999E-2</v>
      </c>
      <c r="W297">
        <v>7.8778879999999996E-2</v>
      </c>
      <c r="X297">
        <v>0.99528989999999995</v>
      </c>
      <c r="Y297">
        <v>3.2492569999999998E-2</v>
      </c>
      <c r="Z297">
        <v>-2.7195740000000002E-3</v>
      </c>
      <c r="AA297">
        <v>0.99946829999999998</v>
      </c>
      <c r="AB297">
        <v>39</v>
      </c>
      <c r="AC297">
        <v>0.530000000000029</v>
      </c>
      <c r="AD297">
        <v>-7.4693000000000107E-2</v>
      </c>
      <c r="AE297">
        <v>-2.0899999999983199E-2</v>
      </c>
      <c r="AF297">
        <v>2.9759054483679999E-2</v>
      </c>
      <c r="AG297">
        <v>-7.4693000000000107E-2</v>
      </c>
      <c r="AH297">
        <v>0.51924605174671501</v>
      </c>
      <c r="AI297">
        <v>98.172555044534803</v>
      </c>
      <c r="AJ297">
        <v>86.719849815933003</v>
      </c>
      <c r="AK297">
        <v>0.52543420884761005</v>
      </c>
    </row>
    <row r="298" spans="1:37" x14ac:dyDescent="0.2">
      <c r="A298" t="str">
        <f>"20200111153616853"</f>
        <v>20200111153616853</v>
      </c>
      <c r="B298" t="str">
        <f>"1578728176843415"</f>
        <v>1578728176843415</v>
      </c>
      <c r="C298" t="s">
        <v>37</v>
      </c>
      <c r="D298">
        <v>5.8635330000000003</v>
      </c>
      <c r="E298">
        <v>0.53345830000000005</v>
      </c>
      <c r="F298" t="s">
        <v>38</v>
      </c>
      <c r="G298">
        <v>-389.67419999999998</v>
      </c>
      <c r="H298">
        <v>1.0320229999999999</v>
      </c>
      <c r="I298">
        <v>367.38529999999997</v>
      </c>
      <c r="J298">
        <v>-390.16059999999999</v>
      </c>
      <c r="K298">
        <v>1.1022650000000001</v>
      </c>
      <c r="L298">
        <v>367.40649999999999</v>
      </c>
      <c r="M298">
        <v>0.99975439999999904</v>
      </c>
      <c r="N298">
        <v>0</v>
      </c>
      <c r="O298">
        <v>1.7737650000000001E-2</v>
      </c>
      <c r="P298">
        <v>0.99514899999999995</v>
      </c>
      <c r="Q298">
        <v>6.5898709999999999E-2</v>
      </c>
      <c r="R298">
        <v>7.3047379999999995E-2</v>
      </c>
      <c r="S298">
        <v>3.0342410000000002</v>
      </c>
      <c r="T298">
        <v>-0.2398602</v>
      </c>
      <c r="U298">
        <v>-4.7668460000000003E-2</v>
      </c>
      <c r="V298">
        <v>-5.5379009999999999E-2</v>
      </c>
      <c r="W298">
        <v>7.914156E-2</v>
      </c>
      <c r="X298">
        <v>0.99532399999999999</v>
      </c>
      <c r="Y298">
        <v>3.3283670000000001E-2</v>
      </c>
      <c r="Z298">
        <v>-2.7134559999999999E-3</v>
      </c>
      <c r="AA298">
        <v>0.99944230000000001</v>
      </c>
      <c r="AB298">
        <v>39</v>
      </c>
      <c r="AC298">
        <v>0.486400000000003</v>
      </c>
      <c r="AD298">
        <v>-7.0242000000000096E-2</v>
      </c>
      <c r="AE298">
        <v>-2.1200000000021601E-2</v>
      </c>
      <c r="AF298">
        <v>2.9216861351988699E-2</v>
      </c>
      <c r="AG298">
        <v>-7.0242000000000096E-2</v>
      </c>
      <c r="AH298">
        <v>0.476038515174382</v>
      </c>
      <c r="AI298">
        <v>98.378186651306294</v>
      </c>
      <c r="AJ298">
        <v>86.487877340787094</v>
      </c>
      <c r="AK298">
        <v>0.48207907181363102</v>
      </c>
    </row>
    <row r="299" spans="1:37" x14ac:dyDescent="0.2">
      <c r="A299" t="str">
        <f>"20200111153616874"</f>
        <v>20200111153616874</v>
      </c>
      <c r="B299" t="str">
        <f>"1578728176862932"</f>
        <v>1578728176862932</v>
      </c>
      <c r="C299" t="s">
        <v>37</v>
      </c>
      <c r="D299">
        <v>5.8337979999999998</v>
      </c>
      <c r="E299">
        <v>0.53302740000000004</v>
      </c>
      <c r="F299" t="s">
        <v>38</v>
      </c>
      <c r="G299">
        <v>-389.32150000000001</v>
      </c>
      <c r="H299">
        <v>1.036761</v>
      </c>
      <c r="I299">
        <v>367.39249999999998</v>
      </c>
      <c r="J299">
        <v>-389.78680000000003</v>
      </c>
      <c r="K299">
        <v>1.10266</v>
      </c>
      <c r="L299">
        <v>367.41309999999999</v>
      </c>
      <c r="M299">
        <v>0.99975309999999995</v>
      </c>
      <c r="N299">
        <v>0</v>
      </c>
      <c r="O299">
        <v>1.7670470000000001E-2</v>
      </c>
      <c r="P299">
        <v>0.99517269999999902</v>
      </c>
      <c r="Q299">
        <v>6.6035499999999997E-2</v>
      </c>
      <c r="R299">
        <v>7.2600789999999998E-2</v>
      </c>
      <c r="S299">
        <v>3.0340579999999999</v>
      </c>
      <c r="T299">
        <v>-0.23698369999999999</v>
      </c>
      <c r="U299">
        <v>-5.0354000000000003E-2</v>
      </c>
      <c r="V299">
        <v>-5.4997900000000002E-2</v>
      </c>
      <c r="W299">
        <v>7.9465740000000007E-2</v>
      </c>
      <c r="X299">
        <v>0.99531919999999996</v>
      </c>
      <c r="Y299">
        <v>3.4103359999999999E-2</v>
      </c>
      <c r="Z299">
        <v>-2.7078829999999999E-3</v>
      </c>
      <c r="AA299">
        <v>0.99941460000000004</v>
      </c>
      <c r="AB299">
        <v>39</v>
      </c>
      <c r="AC299">
        <v>0.46530000000001298</v>
      </c>
      <c r="AD299">
        <v>-6.5898999999999902E-2</v>
      </c>
      <c r="AE299">
        <v>-2.06000000000017E-2</v>
      </c>
      <c r="AF299">
        <v>2.8253984068192101E-2</v>
      </c>
      <c r="AG299">
        <v>-6.5898999999999902E-2</v>
      </c>
      <c r="AH299">
        <v>0.45573986233223202</v>
      </c>
      <c r="AI299">
        <v>98.2122673207258</v>
      </c>
      <c r="AJ299">
        <v>86.452439305920507</v>
      </c>
      <c r="AK299">
        <v>0.46134562741542001</v>
      </c>
    </row>
    <row r="300" spans="1:37" x14ac:dyDescent="0.2">
      <c r="A300" t="str">
        <f>"20200111153616896"</f>
        <v>20200111153616896</v>
      </c>
      <c r="B300" t="str">
        <f>"1578728176883177"</f>
        <v>1578728176883177</v>
      </c>
      <c r="C300" t="s">
        <v>37</v>
      </c>
      <c r="D300">
        <v>5.8511369999999996</v>
      </c>
      <c r="E300">
        <v>0.53276689999999904</v>
      </c>
      <c r="F300" t="s">
        <v>38</v>
      </c>
      <c r="G300">
        <v>-388.9701</v>
      </c>
      <c r="H300">
        <v>1.038756</v>
      </c>
      <c r="I300">
        <v>367.3997</v>
      </c>
      <c r="J300">
        <v>-389.40039999999999</v>
      </c>
      <c r="K300">
        <v>1.1030040000000001</v>
      </c>
      <c r="L300">
        <v>367.41989999999998</v>
      </c>
      <c r="M300">
        <v>0.99975159999999996</v>
      </c>
      <c r="N300">
        <v>0</v>
      </c>
      <c r="O300">
        <v>1.762182E-2</v>
      </c>
      <c r="P300">
        <v>0.99512529999999999</v>
      </c>
      <c r="Q300">
        <v>6.6640080000000004E-2</v>
      </c>
      <c r="R300">
        <v>7.2697419999999999E-2</v>
      </c>
      <c r="S300">
        <v>3.03384399999999</v>
      </c>
      <c r="T300">
        <v>-0.237692299999999</v>
      </c>
      <c r="U300">
        <v>-4.840088E-2</v>
      </c>
      <c r="V300">
        <v>-5.5143949999999997E-2</v>
      </c>
      <c r="W300">
        <v>8.0243850000000005E-2</v>
      </c>
      <c r="X300">
        <v>0.99524869999999899</v>
      </c>
      <c r="Y300">
        <v>3.3413989999999998E-2</v>
      </c>
      <c r="Z300">
        <v>-2.6853950000000001E-3</v>
      </c>
      <c r="AA300">
        <v>0.99943799999999905</v>
      </c>
      <c r="AB300">
        <v>39</v>
      </c>
      <c r="AC300">
        <v>0.43029999999998803</v>
      </c>
      <c r="AD300">
        <v>-6.4248E-2</v>
      </c>
      <c r="AE300">
        <v>-2.0199999999988401E-2</v>
      </c>
      <c r="AF300">
        <v>2.7175730494314699E-2</v>
      </c>
      <c r="AG300">
        <v>-6.4248E-2</v>
      </c>
      <c r="AH300">
        <v>0.42052290248353202</v>
      </c>
      <c r="AI300">
        <v>98.668740150942995</v>
      </c>
      <c r="AJ300">
        <v>86.302478330517602</v>
      </c>
      <c r="AK300">
        <v>0.42626967678345801</v>
      </c>
    </row>
    <row r="301" spans="1:37" x14ac:dyDescent="0.2">
      <c r="A301" t="str">
        <f>"20200111153616919"</f>
        <v>20200111153616919</v>
      </c>
      <c r="B301" t="str">
        <f>"1578728176913434"</f>
        <v>1578728176913434</v>
      </c>
      <c r="C301" t="s">
        <v>37</v>
      </c>
      <c r="D301">
        <v>5.84239</v>
      </c>
      <c r="E301">
        <v>0.5325915</v>
      </c>
      <c r="F301" t="s">
        <v>38</v>
      </c>
      <c r="G301">
        <v>-388.61720000000003</v>
      </c>
      <c r="H301">
        <v>1.0423929999999999</v>
      </c>
      <c r="I301">
        <v>367.40789999999998</v>
      </c>
      <c r="J301">
        <v>-388.99680000000001</v>
      </c>
      <c r="K301">
        <v>1.1033120000000001</v>
      </c>
      <c r="L301">
        <v>367.426999999999</v>
      </c>
      <c r="M301">
        <v>0.99974979999999902</v>
      </c>
      <c r="N301">
        <v>0</v>
      </c>
      <c r="O301">
        <v>1.7590809999999998E-2</v>
      </c>
      <c r="P301">
        <v>0.99506079999999997</v>
      </c>
      <c r="Q301">
        <v>6.7194379999999998E-2</v>
      </c>
      <c r="R301">
        <v>7.306965E-2</v>
      </c>
      <c r="S301">
        <v>3.0337830000000001</v>
      </c>
      <c r="T301">
        <v>-0.23475760000000001</v>
      </c>
      <c r="U301">
        <v>-4.6081539999999997E-2</v>
      </c>
      <c r="V301">
        <v>-5.5548849999999997E-2</v>
      </c>
      <c r="W301">
        <v>8.0959139999999999E-2</v>
      </c>
      <c r="X301">
        <v>0.99516830000000001</v>
      </c>
      <c r="Y301">
        <v>3.2625729999999999E-2</v>
      </c>
      <c r="Z301">
        <v>-2.6195620000000002E-3</v>
      </c>
      <c r="AA301">
        <v>0.99946420000000002</v>
      </c>
      <c r="AB301">
        <v>39</v>
      </c>
      <c r="AC301">
        <v>0.37959999999998201</v>
      </c>
      <c r="AD301">
        <v>-6.0918999999999897E-2</v>
      </c>
      <c r="AE301">
        <v>-1.9099999999980299E-2</v>
      </c>
      <c r="AF301">
        <v>2.5129587446985301E-2</v>
      </c>
      <c r="AG301">
        <v>-6.0918999999999897E-2</v>
      </c>
      <c r="AH301">
        <v>0.36970764619863999</v>
      </c>
      <c r="AI301">
        <v>99.335737768998698</v>
      </c>
      <c r="AJ301">
        <v>86.111500369074804</v>
      </c>
      <c r="AK301">
        <v>0.375534771205004</v>
      </c>
    </row>
    <row r="302" spans="1:37" x14ac:dyDescent="0.2">
      <c r="A302" t="str">
        <f>"20200111153616942"</f>
        <v>20200111153616942</v>
      </c>
      <c r="B302" t="str">
        <f>"1578728176932971"</f>
        <v>1578728176932971</v>
      </c>
      <c r="C302" t="s">
        <v>37</v>
      </c>
      <c r="D302">
        <v>5.8209780000000002</v>
      </c>
      <c r="E302">
        <v>0.53212369999999898</v>
      </c>
      <c r="F302" t="s">
        <v>38</v>
      </c>
      <c r="G302">
        <v>-388.26420000000002</v>
      </c>
      <c r="H302">
        <v>1.0464039999999999</v>
      </c>
      <c r="I302">
        <v>367.41609999999997</v>
      </c>
      <c r="J302">
        <v>-388.59750000000003</v>
      </c>
      <c r="K302">
        <v>1.103566</v>
      </c>
      <c r="L302">
        <v>367.43400000000003</v>
      </c>
      <c r="M302">
        <v>0.99974779999999996</v>
      </c>
      <c r="N302">
        <v>0</v>
      </c>
      <c r="O302">
        <v>1.758958E-2</v>
      </c>
      <c r="P302">
        <v>0.99497760000000002</v>
      </c>
      <c r="Q302">
        <v>6.7666190000000001E-2</v>
      </c>
      <c r="R302">
        <v>7.3765020000000001E-2</v>
      </c>
      <c r="S302">
        <v>3.034027</v>
      </c>
      <c r="T302">
        <v>-0.236002299999999</v>
      </c>
      <c r="U302">
        <v>-4.348755E-2</v>
      </c>
      <c r="V302">
        <v>-5.6248340000000001E-2</v>
      </c>
      <c r="W302">
        <v>8.1570320000000002E-2</v>
      </c>
      <c r="X302">
        <v>0.99507909999999899</v>
      </c>
      <c r="Y302">
        <v>3.1769989999999998E-2</v>
      </c>
      <c r="Z302">
        <v>-2.5998889999999898E-3</v>
      </c>
      <c r="AA302">
        <v>0.99949179999999904</v>
      </c>
      <c r="AB302">
        <v>39</v>
      </c>
      <c r="AC302">
        <v>0.33330000000000798</v>
      </c>
      <c r="AD302">
        <v>-5.71619999999999E-2</v>
      </c>
      <c r="AE302">
        <v>-1.7900000000054199E-2</v>
      </c>
      <c r="AF302">
        <v>2.3083401655900702E-2</v>
      </c>
      <c r="AG302">
        <v>-5.71619999999999E-2</v>
      </c>
      <c r="AH302">
        <v>0.32344724175926698</v>
      </c>
      <c r="AI302">
        <v>99.997338586561497</v>
      </c>
      <c r="AJ302">
        <v>85.917903270701999</v>
      </c>
      <c r="AK302">
        <v>0.32926957933839801</v>
      </c>
    </row>
    <row r="303" spans="1:37" x14ac:dyDescent="0.2">
      <c r="A303" t="str">
        <f>"20200111153616964"</f>
        <v>20200111153616964</v>
      </c>
      <c r="B303" t="str">
        <f>"1578728176953449"</f>
        <v>1578728176953449</v>
      </c>
      <c r="C303" t="s">
        <v>37</v>
      </c>
      <c r="D303">
        <v>6.0382379999999998</v>
      </c>
      <c r="E303">
        <v>0.53191449999999996</v>
      </c>
      <c r="F303" t="s">
        <v>38</v>
      </c>
      <c r="G303">
        <v>-387.58120000000002</v>
      </c>
      <c r="H303">
        <v>1.0251479999999999</v>
      </c>
      <c r="I303">
        <v>367.42070000000001</v>
      </c>
      <c r="J303">
        <v>-388.21530000000001</v>
      </c>
      <c r="K303">
        <v>1.1037709999999901</v>
      </c>
      <c r="L303">
        <v>367.44080000000002</v>
      </c>
      <c r="M303">
        <v>0.99974569999999996</v>
      </c>
      <c r="N303">
        <v>0</v>
      </c>
      <c r="O303">
        <v>1.7618479999999999E-2</v>
      </c>
      <c r="P303">
        <v>0.99492099999999895</v>
      </c>
      <c r="Q303">
        <v>6.7957219999999999E-2</v>
      </c>
      <c r="R303">
        <v>7.4257050000000005E-2</v>
      </c>
      <c r="S303">
        <v>3.0338750000000001</v>
      </c>
      <c r="T303">
        <v>-0.23450789999999899</v>
      </c>
      <c r="U303">
        <v>-3.7902829999999998E-2</v>
      </c>
      <c r="V303">
        <v>-5.671474E-2</v>
      </c>
      <c r="W303">
        <v>8.1979029999999994E-2</v>
      </c>
      <c r="X303">
        <v>0.99501899999999999</v>
      </c>
      <c r="Y303">
        <v>2.9967219999999999E-2</v>
      </c>
      <c r="Z303">
        <v>-2.5162959999999999E-3</v>
      </c>
      <c r="AA303">
        <v>0.99954769999999904</v>
      </c>
      <c r="AB303">
        <v>39</v>
      </c>
      <c r="AC303">
        <v>0.63409999999998901</v>
      </c>
      <c r="AD303">
        <v>-7.8622999999999804E-2</v>
      </c>
      <c r="AE303">
        <v>-2.0100000000013499E-2</v>
      </c>
      <c r="AF303">
        <v>3.0796872147658801E-2</v>
      </c>
      <c r="AG303">
        <v>-7.8622999999999804E-2</v>
      </c>
      <c r="AH303">
        <v>0.62406275025383895</v>
      </c>
      <c r="AI303">
        <v>97.171982063354903</v>
      </c>
      <c r="AJ303">
        <v>87.174802560005105</v>
      </c>
      <c r="AK303">
        <v>0.629749426135082</v>
      </c>
    </row>
    <row r="304" spans="1:37" x14ac:dyDescent="0.2">
      <c r="A304" t="str">
        <f>"20200111153616986"</f>
        <v>20200111153616986</v>
      </c>
      <c r="B304" t="str">
        <f>"1578728176972970"</f>
        <v>1578728176972970</v>
      </c>
      <c r="C304" t="s">
        <v>37</v>
      </c>
      <c r="D304">
        <v>5.905036</v>
      </c>
      <c r="E304">
        <v>0.53182010000000002</v>
      </c>
      <c r="F304" t="s">
        <v>38</v>
      </c>
      <c r="G304">
        <v>-387.23140000000001</v>
      </c>
      <c r="H304">
        <v>1.028824</v>
      </c>
      <c r="I304">
        <v>367.42950000000002</v>
      </c>
      <c r="J304">
        <v>-387.8365</v>
      </c>
      <c r="K304">
        <v>1.103944</v>
      </c>
      <c r="L304">
        <v>367.44749999999999</v>
      </c>
      <c r="M304">
        <v>0.99974319999999905</v>
      </c>
      <c r="N304">
        <v>0</v>
      </c>
      <c r="O304">
        <v>1.7671320000000001E-2</v>
      </c>
      <c r="P304">
        <v>0.99492689999999995</v>
      </c>
      <c r="Q304">
        <v>6.7391039999999999E-2</v>
      </c>
      <c r="R304">
        <v>7.4692880000000003E-2</v>
      </c>
      <c r="S304">
        <v>3.0336910000000001</v>
      </c>
      <c r="T304">
        <v>-0.23110890000000001</v>
      </c>
      <c r="U304">
        <v>-3.4729000000000003E-2</v>
      </c>
      <c r="V304">
        <v>-5.7100270000000002E-2</v>
      </c>
      <c r="W304">
        <v>8.151709E-2</v>
      </c>
      <c r="X304">
        <v>0.99503490000000006</v>
      </c>
      <c r="Y304">
        <v>2.8982000000000001E-2</v>
      </c>
      <c r="Z304">
        <v>-2.4466420000000002E-3</v>
      </c>
      <c r="AA304">
        <v>0.99957689999999999</v>
      </c>
      <c r="AB304">
        <v>39</v>
      </c>
      <c r="AC304">
        <v>0.60509999999999298</v>
      </c>
      <c r="AD304">
        <v>-7.5120000000000006E-2</v>
      </c>
      <c r="AE304">
        <v>-1.7999999999972201E-2</v>
      </c>
      <c r="AF304">
        <v>2.8256085033333201E-2</v>
      </c>
      <c r="AG304">
        <v>-7.5120000000000006E-2</v>
      </c>
      <c r="AH304">
        <v>0.59551742413509501</v>
      </c>
      <c r="AI304">
        <v>97.181460433113301</v>
      </c>
      <c r="AJ304">
        <v>87.283469687253799</v>
      </c>
      <c r="AK304">
        <v>0.60090134230995895</v>
      </c>
    </row>
    <row r="305" spans="1:37" x14ac:dyDescent="0.2">
      <c r="A305" t="str">
        <f>"20200111153617010"</f>
        <v>20200111153617010</v>
      </c>
      <c r="B305" t="str">
        <f>"1578728177003230"</f>
        <v>1578728177003230</v>
      </c>
      <c r="C305" t="s">
        <v>37</v>
      </c>
      <c r="D305">
        <v>5.8996579999999996</v>
      </c>
      <c r="E305">
        <v>0.53178019999999904</v>
      </c>
      <c r="F305" t="s">
        <v>38</v>
      </c>
      <c r="G305">
        <v>-386.8827</v>
      </c>
      <c r="H305">
        <v>1.0310809999999999</v>
      </c>
      <c r="I305">
        <v>367.43680000000001</v>
      </c>
      <c r="J305">
        <v>-387.43419999999998</v>
      </c>
      <c r="K305">
        <v>1.104095</v>
      </c>
      <c r="L305">
        <v>367.4547</v>
      </c>
      <c r="M305">
        <v>0.99974030000000003</v>
      </c>
      <c r="N305">
        <v>0</v>
      </c>
      <c r="O305">
        <v>1.7750249999999999E-2</v>
      </c>
      <c r="P305">
        <v>0.99490579999999995</v>
      </c>
      <c r="Q305">
        <v>6.7150029999999999E-2</v>
      </c>
      <c r="R305">
        <v>7.5190149999999997E-2</v>
      </c>
      <c r="S305">
        <v>3.0334779999999899</v>
      </c>
      <c r="T305">
        <v>-0.232015099999999</v>
      </c>
      <c r="U305">
        <v>-3.2531740000000003E-2</v>
      </c>
      <c r="V305">
        <v>-5.7523690000000002E-2</v>
      </c>
      <c r="W305">
        <v>8.137308E-2</v>
      </c>
      <c r="X305">
        <v>0.99502239999999997</v>
      </c>
      <c r="Y305">
        <v>2.8338370000000002E-2</v>
      </c>
      <c r="Z305">
        <v>-2.437842E-3</v>
      </c>
      <c r="AA305">
        <v>0.99959540000000002</v>
      </c>
      <c r="AB305">
        <v>39</v>
      </c>
      <c r="AC305">
        <v>0.55149999999997501</v>
      </c>
      <c r="AD305">
        <v>-7.3014000000000107E-2</v>
      </c>
      <c r="AE305">
        <v>-1.78999999999973E-2</v>
      </c>
      <c r="AF305">
        <v>2.7211001798818499E-2</v>
      </c>
      <c r="AG305">
        <v>-7.3014000000000107E-2</v>
      </c>
      <c r="AH305">
        <v>0.54161218713582104</v>
      </c>
      <c r="AI305">
        <v>97.668123085197607</v>
      </c>
      <c r="AJ305">
        <v>87.123835452373996</v>
      </c>
      <c r="AK305">
        <v>0.54718849043902795</v>
      </c>
    </row>
    <row r="306" spans="1:37" x14ac:dyDescent="0.2">
      <c r="A306" t="str">
        <f>"20200111153617022"</f>
        <v>20200111153617022</v>
      </c>
      <c r="B306" t="str">
        <f>"1578728177012990"</f>
        <v>1578728177012990</v>
      </c>
      <c r="C306" t="s">
        <v>37</v>
      </c>
      <c r="D306">
        <v>5.9086819999999998</v>
      </c>
      <c r="E306">
        <v>0.53184259999999905</v>
      </c>
      <c r="F306" t="s">
        <v>38</v>
      </c>
      <c r="G306">
        <v>-386.53370000000001</v>
      </c>
      <c r="H306">
        <v>1.034734</v>
      </c>
      <c r="I306">
        <v>367.44540000000001</v>
      </c>
      <c r="J306">
        <v>-387.19299999999998</v>
      </c>
      <c r="K306">
        <v>1.104177</v>
      </c>
      <c r="L306">
        <v>367.459</v>
      </c>
      <c r="M306">
        <v>0.99973860000000003</v>
      </c>
      <c r="N306">
        <v>0</v>
      </c>
      <c r="O306">
        <v>1.780638E-2</v>
      </c>
      <c r="P306">
        <v>0.99490089999999998</v>
      </c>
      <c r="Q306">
        <v>6.7092170000000007E-2</v>
      </c>
      <c r="R306">
        <v>7.5306929999999994E-2</v>
      </c>
      <c r="S306">
        <v>3.0334779999999899</v>
      </c>
      <c r="T306">
        <v>-0.2337475</v>
      </c>
      <c r="U306">
        <v>-3.0700680000000001E-2</v>
      </c>
      <c r="V306">
        <v>-5.7586350000000001E-2</v>
      </c>
      <c r="W306">
        <v>8.1367389999999998E-2</v>
      </c>
      <c r="X306">
        <v>0.99501919999999899</v>
      </c>
      <c r="Y306">
        <v>2.7790639999999998E-2</v>
      </c>
      <c r="Z306">
        <v>-2.4392440000000001E-3</v>
      </c>
      <c r="AA306">
        <v>0.99961080000000002</v>
      </c>
      <c r="AB306">
        <v>39</v>
      </c>
      <c r="AC306">
        <v>0.65930000000002997</v>
      </c>
      <c r="AD306">
        <v>-6.9442999999999894E-2</v>
      </c>
      <c r="AE306">
        <v>-1.35999999999967E-2</v>
      </c>
      <c r="AF306">
        <v>2.5060888146486899E-2</v>
      </c>
      <c r="AG306">
        <v>-6.9442999999999894E-2</v>
      </c>
      <c r="AH306">
        <v>0.65172604003747003</v>
      </c>
      <c r="AI306">
        <v>96.077599035753593</v>
      </c>
      <c r="AJ306">
        <v>87.797884475839197</v>
      </c>
      <c r="AK306">
        <v>0.65589420612367999</v>
      </c>
    </row>
    <row r="307" spans="1:37" x14ac:dyDescent="0.2">
      <c r="A307" t="str">
        <f>"20200111153617035"</f>
        <v>20200111153617035</v>
      </c>
      <c r="B307" t="str">
        <f>"1578728177022750"</f>
        <v>1578728177022750</v>
      </c>
      <c r="C307" t="s">
        <v>37</v>
      </c>
      <c r="D307">
        <v>5.8467989999999999</v>
      </c>
      <c r="E307">
        <v>0.53175119999999998</v>
      </c>
      <c r="F307" t="s">
        <v>38</v>
      </c>
      <c r="G307">
        <v>-386.19069999999999</v>
      </c>
      <c r="H307">
        <v>1.0269649999999999</v>
      </c>
      <c r="I307">
        <v>367.4486</v>
      </c>
      <c r="J307">
        <v>-386.97770000000003</v>
      </c>
      <c r="K307">
        <v>1.1042399999999899</v>
      </c>
      <c r="L307">
        <v>367.46289999999999</v>
      </c>
      <c r="M307">
        <v>0.99973699999999999</v>
      </c>
      <c r="N307">
        <v>0</v>
      </c>
      <c r="O307">
        <v>1.7863210000000001E-2</v>
      </c>
      <c r="P307">
        <v>0.99490730000000005</v>
      </c>
      <c r="Q307">
        <v>6.6893380000000002E-2</v>
      </c>
      <c r="R307">
        <v>7.539738E-2</v>
      </c>
      <c r="S307">
        <v>3.0334469999999998</v>
      </c>
      <c r="T307">
        <v>-0.233842299999999</v>
      </c>
      <c r="U307">
        <v>-3.0792239999999999E-2</v>
      </c>
      <c r="V307">
        <v>-5.7621720000000001E-2</v>
      </c>
      <c r="W307">
        <v>8.1211969999999994E-2</v>
      </c>
      <c r="X307">
        <v>0.99502979999999996</v>
      </c>
      <c r="Y307">
        <v>2.7877199999999901E-2</v>
      </c>
      <c r="Z307">
        <v>-2.4479609999999998E-3</v>
      </c>
      <c r="AA307">
        <v>0.99960830000000001</v>
      </c>
      <c r="AB307">
        <v>39</v>
      </c>
      <c r="AC307">
        <v>0.78700000000003401</v>
      </c>
      <c r="AD307">
        <v>-7.7274999999999899E-2</v>
      </c>
      <c r="AE307">
        <v>-1.42999999999915E-2</v>
      </c>
      <c r="AF307">
        <v>2.8086818523569101E-2</v>
      </c>
      <c r="AG307">
        <v>-7.7274999999999899E-2</v>
      </c>
      <c r="AH307">
        <v>0.77910989864439895</v>
      </c>
      <c r="AI307">
        <v>95.660628594731406</v>
      </c>
      <c r="AJ307">
        <v>87.935388087410601</v>
      </c>
      <c r="AK307">
        <v>0.78343635935885803</v>
      </c>
    </row>
    <row r="308" spans="1:37" x14ac:dyDescent="0.2">
      <c r="A308" t="str">
        <f>"20200111153617053"</f>
        <v>20200111153617053</v>
      </c>
      <c r="B308" t="str">
        <f>"1578728177043257"</f>
        <v>1578728177043257</v>
      </c>
      <c r="C308" t="s">
        <v>37</v>
      </c>
      <c r="D308">
        <v>5.747967</v>
      </c>
      <c r="E308">
        <v>0.53156759999999903</v>
      </c>
      <c r="F308" t="s">
        <v>38</v>
      </c>
      <c r="G308">
        <v>-386.18079999999998</v>
      </c>
      <c r="H308">
        <v>1.042627</v>
      </c>
      <c r="I308">
        <v>367.45490000000001</v>
      </c>
      <c r="J308">
        <v>-386.66489999999999</v>
      </c>
      <c r="K308">
        <v>1.104322</v>
      </c>
      <c r="L308">
        <v>367.46850000000001</v>
      </c>
      <c r="M308">
        <v>0.99973449999999997</v>
      </c>
      <c r="N308">
        <v>0</v>
      </c>
      <c r="O308">
        <v>1.7953179999999999E-2</v>
      </c>
      <c r="P308">
        <v>0.99492269999999905</v>
      </c>
      <c r="Q308">
        <v>6.6606219999999994E-2</v>
      </c>
      <c r="R308">
        <v>7.5452069999999996E-2</v>
      </c>
      <c r="S308">
        <v>3.0333559999999999</v>
      </c>
      <c r="T308">
        <v>-0.2347312</v>
      </c>
      <c r="U308">
        <v>-2.9479979999999999E-2</v>
      </c>
      <c r="V308">
        <v>-5.7589590000000003E-2</v>
      </c>
      <c r="W308">
        <v>8.0982899999999997E-2</v>
      </c>
      <c r="X308">
        <v>0.9950504</v>
      </c>
      <c r="Y308">
        <v>2.7534800000000002E-2</v>
      </c>
      <c r="Z308">
        <v>-2.4510420000000001E-3</v>
      </c>
      <c r="AA308">
        <v>0.9996178</v>
      </c>
      <c r="AB308">
        <v>39</v>
      </c>
      <c r="AC308">
        <v>0.48410000000001202</v>
      </c>
      <c r="AD308">
        <v>-6.1695E-2</v>
      </c>
      <c r="AE308">
        <v>-1.35999999999967E-2</v>
      </c>
      <c r="AF308">
        <v>2.1933887456371499E-2</v>
      </c>
      <c r="AG308">
        <v>-6.1695E-2</v>
      </c>
      <c r="AH308">
        <v>0.47605200604646702</v>
      </c>
      <c r="AI308">
        <v>97.376475776149704</v>
      </c>
      <c r="AJ308">
        <v>87.361987739193793</v>
      </c>
      <c r="AK308">
        <v>0.48053395395623599</v>
      </c>
    </row>
    <row r="309" spans="1:37" x14ac:dyDescent="0.2">
      <c r="A309" t="str">
        <f>"20200111153617066"</f>
        <v>20200111153617066</v>
      </c>
      <c r="B309" t="str">
        <f>"1578728177062766"</f>
        <v>1578728177062766</v>
      </c>
      <c r="C309" t="s">
        <v>37</v>
      </c>
      <c r="D309">
        <v>5.7692249999999996</v>
      </c>
      <c r="E309">
        <v>0.53136719999999904</v>
      </c>
      <c r="F309" t="s">
        <v>38</v>
      </c>
      <c r="G309">
        <v>-385.83699999999999</v>
      </c>
      <c r="H309">
        <v>1.0398019999999999</v>
      </c>
      <c r="I309">
        <v>367.46080000000001</v>
      </c>
      <c r="J309">
        <v>-386.4384</v>
      </c>
      <c r="K309">
        <v>1.104371</v>
      </c>
      <c r="L309">
        <v>367.47269999999997</v>
      </c>
      <c r="M309">
        <v>0.99973269999999903</v>
      </c>
      <c r="N309">
        <v>0</v>
      </c>
      <c r="O309">
        <v>1.802337E-2</v>
      </c>
      <c r="P309">
        <v>0.99492839999999905</v>
      </c>
      <c r="Q309">
        <v>6.6677650000000005E-2</v>
      </c>
      <c r="R309">
        <v>7.5312370000000003E-2</v>
      </c>
      <c r="S309">
        <v>3.033264</v>
      </c>
      <c r="T309">
        <v>-0.23642529999999901</v>
      </c>
      <c r="U309">
        <v>-2.7954099999999999E-2</v>
      </c>
      <c r="V309">
        <v>-5.7381260000000003E-2</v>
      </c>
      <c r="W309">
        <v>8.1092209999999998E-2</v>
      </c>
      <c r="X309">
        <v>0.99505350000000004</v>
      </c>
      <c r="Y309">
        <v>2.7101589999999998E-2</v>
      </c>
      <c r="Z309">
        <v>-2.4573629999999902E-3</v>
      </c>
      <c r="AA309">
        <v>0.99962969999999896</v>
      </c>
      <c r="AB309">
        <v>39</v>
      </c>
      <c r="AC309">
        <v>0.60140000000001204</v>
      </c>
      <c r="AD309">
        <v>-6.4568999999999793E-2</v>
      </c>
      <c r="AE309">
        <v>-1.18999999999687E-2</v>
      </c>
      <c r="AF309">
        <v>2.2479435934834702E-2</v>
      </c>
      <c r="AG309">
        <v>-6.4568999999999793E-2</v>
      </c>
      <c r="AH309">
        <v>0.59424058219494602</v>
      </c>
      <c r="AI309">
        <v>96.196918567676704</v>
      </c>
      <c r="AJ309">
        <v>87.833599730118706</v>
      </c>
      <c r="AK309">
        <v>0.59816080641273806</v>
      </c>
    </row>
    <row r="310" spans="1:37" x14ac:dyDescent="0.2">
      <c r="A310" t="str">
        <f>"20200111153617080"</f>
        <v>20200111153617080</v>
      </c>
      <c r="B310" t="str">
        <f>"1578728177073502"</f>
        <v>1578728177073502</v>
      </c>
      <c r="C310" t="s">
        <v>37</v>
      </c>
      <c r="D310">
        <v>5.6783919999999997</v>
      </c>
      <c r="E310">
        <v>0.51449350000000005</v>
      </c>
      <c r="F310" t="s">
        <v>38</v>
      </c>
      <c r="G310">
        <v>-385.49650000000003</v>
      </c>
      <c r="H310">
        <v>1.0306489999999999</v>
      </c>
      <c r="I310">
        <v>367.46409999999997</v>
      </c>
      <c r="J310">
        <v>-386.18389999999999</v>
      </c>
      <c r="K310">
        <v>1.1044240000000001</v>
      </c>
      <c r="L310">
        <v>367.47739999999999</v>
      </c>
      <c r="M310">
        <v>0.99973060000000002</v>
      </c>
      <c r="N310">
        <v>0</v>
      </c>
      <c r="O310">
        <v>1.8105929999999999E-2</v>
      </c>
      <c r="P310">
        <v>0.99496459999999998</v>
      </c>
      <c r="Q310">
        <v>6.6237399999999905E-2</v>
      </c>
      <c r="R310">
        <v>7.5221999999999997E-2</v>
      </c>
      <c r="S310">
        <v>3.0332029999999999</v>
      </c>
      <c r="T310">
        <v>-0.23766979999999999</v>
      </c>
      <c r="U310">
        <v>-2.6275630000000001E-2</v>
      </c>
      <c r="V310">
        <v>-5.7209929999999999E-2</v>
      </c>
      <c r="W310">
        <v>8.0692509999999995E-2</v>
      </c>
      <c r="X310">
        <v>0.99509579999999997</v>
      </c>
      <c r="Y310">
        <v>2.663097E-2</v>
      </c>
      <c r="Z310">
        <v>-2.4583629999999999E-3</v>
      </c>
      <c r="AA310">
        <v>0.99964229999999998</v>
      </c>
      <c r="AB310">
        <v>39</v>
      </c>
      <c r="AC310">
        <v>0.68739999999996804</v>
      </c>
      <c r="AD310">
        <v>-7.3775000000000104E-2</v>
      </c>
      <c r="AE310">
        <v>-1.33000000000151E-2</v>
      </c>
      <c r="AF310">
        <v>2.5452085793745301E-2</v>
      </c>
      <c r="AG310">
        <v>-7.3775000000000104E-2</v>
      </c>
      <c r="AH310">
        <v>0.67922566409702301</v>
      </c>
      <c r="AI310">
        <v>96.194642408074401</v>
      </c>
      <c r="AJ310">
        <v>87.854004665340696</v>
      </c>
      <c r="AK310">
        <v>0.68369442155417204</v>
      </c>
    </row>
    <row r="311" spans="1:37" x14ac:dyDescent="0.2">
      <c r="A311" t="str">
        <f>"20200111153617097"</f>
        <v>20200111153617097</v>
      </c>
      <c r="B311" t="str">
        <f>"1578728177093529"</f>
        <v>1578728177093529</v>
      </c>
      <c r="C311" t="s">
        <v>37</v>
      </c>
      <c r="D311">
        <v>5.7845629999999897</v>
      </c>
      <c r="E311">
        <v>0.5100538</v>
      </c>
      <c r="F311" t="s">
        <v>38</v>
      </c>
      <c r="G311">
        <v>-385.14510000000001</v>
      </c>
      <c r="H311">
        <v>1.031569</v>
      </c>
      <c r="I311">
        <v>367.51429999999999</v>
      </c>
      <c r="J311">
        <v>-385.89760000000001</v>
      </c>
      <c r="K311">
        <v>1.104474</v>
      </c>
      <c r="L311">
        <v>367.48259999999999</v>
      </c>
      <c r="M311">
        <v>0.99972809999999901</v>
      </c>
      <c r="N311">
        <v>0</v>
      </c>
      <c r="O311">
        <v>1.8202960000000001E-2</v>
      </c>
      <c r="P311">
        <v>0.99506609999999995</v>
      </c>
      <c r="Q311">
        <v>6.5710480000000002E-2</v>
      </c>
      <c r="R311">
        <v>7.4334410000000004E-2</v>
      </c>
      <c r="S311">
        <v>3.021118</v>
      </c>
      <c r="T311">
        <v>-0.2119239</v>
      </c>
      <c r="U311">
        <v>0.10787960000000001</v>
      </c>
      <c r="V311">
        <v>-5.6225160000000003E-2</v>
      </c>
      <c r="W311">
        <v>8.0207719999999996E-2</v>
      </c>
      <c r="X311">
        <v>0.99519120000000005</v>
      </c>
      <c r="Y311">
        <v>-1.748831E-2</v>
      </c>
      <c r="Z311">
        <v>-6.6246649999999996E-4</v>
      </c>
      <c r="AA311">
        <v>0.99984689999999998</v>
      </c>
      <c r="AB311">
        <v>39</v>
      </c>
      <c r="AC311">
        <v>0.75249999999999695</v>
      </c>
      <c r="AD311">
        <v>-7.2904999999999998E-2</v>
      </c>
      <c r="AE311">
        <v>3.17000000000007E-2</v>
      </c>
      <c r="AF311">
        <v>-1.7828514301862299E-2</v>
      </c>
      <c r="AG311">
        <v>-7.2904999999999998E-2</v>
      </c>
      <c r="AH311">
        <v>0.74596284552999703</v>
      </c>
      <c r="AI311">
        <v>95.580363283783001</v>
      </c>
      <c r="AJ311">
        <v>91.369108663312105</v>
      </c>
      <c r="AK311">
        <v>0.74972899227548995</v>
      </c>
    </row>
    <row r="312" spans="1:37" x14ac:dyDescent="0.2">
      <c r="A312" t="str">
        <f>"20200111153617111"</f>
        <v>20200111153617111</v>
      </c>
      <c r="B312" t="str">
        <f>"1578728177103290"</f>
        <v>1578728177103290</v>
      </c>
      <c r="C312" t="s">
        <v>37</v>
      </c>
      <c r="D312">
        <v>5.6926690000000004</v>
      </c>
      <c r="E312">
        <v>0.50919599999999998</v>
      </c>
      <c r="F312" t="s">
        <v>39</v>
      </c>
      <c r="G312">
        <v>-370.3125</v>
      </c>
      <c r="H312" s="1">
        <v>-4.3876549999999998E-6</v>
      </c>
      <c r="I312">
        <v>368.21019999999999</v>
      </c>
      <c r="J312">
        <v>-385.67829999999998</v>
      </c>
      <c r="K312">
        <v>1.104508</v>
      </c>
      <c r="L312">
        <v>367.48669999999998</v>
      </c>
      <c r="M312">
        <v>0.99972640000000002</v>
      </c>
      <c r="N312">
        <v>0</v>
      </c>
      <c r="O312">
        <v>1.8279299999999998E-2</v>
      </c>
      <c r="P312">
        <v>0.995098699999999</v>
      </c>
      <c r="Q312">
        <v>6.5504569999999998E-2</v>
      </c>
      <c r="R312">
        <v>7.4081129999999995E-2</v>
      </c>
      <c r="S312">
        <v>3.0184630000000001</v>
      </c>
      <c r="T312">
        <v>-0.213909499999999</v>
      </c>
      <c r="U312">
        <v>0.14093020000000001</v>
      </c>
      <c r="V312">
        <v>-5.5895670000000001E-2</v>
      </c>
      <c r="W312">
        <v>8.0030420000000005E-2</v>
      </c>
      <c r="X312">
        <v>0.995224</v>
      </c>
      <c r="Y312">
        <v>-2.8344250000000001E-2</v>
      </c>
      <c r="Z312">
        <v>-2.9048719999999999E-4</v>
      </c>
      <c r="AA312">
        <v>0.99959819999999999</v>
      </c>
      <c r="AB312">
        <v>39</v>
      </c>
      <c r="AC312">
        <v>15.365799999999901</v>
      </c>
      <c r="AD312">
        <v>-1.104512387655</v>
      </c>
      <c r="AE312">
        <v>0.72350000000000103</v>
      </c>
      <c r="AF312">
        <v>-0.44020364579742199</v>
      </c>
      <c r="AG312">
        <v>-1.104512387655</v>
      </c>
      <c r="AH312">
        <v>15.2975921891918</v>
      </c>
      <c r="AI312">
        <v>94.127984494785295</v>
      </c>
      <c r="AJ312">
        <v>91.648288989682101</v>
      </c>
      <c r="AK312">
        <v>15.3437301087799</v>
      </c>
    </row>
    <row r="313" spans="1:37" x14ac:dyDescent="0.2">
      <c r="A313" t="str">
        <f>"20200111153617132"</f>
        <v>20200111153617132</v>
      </c>
      <c r="B313" t="str">
        <f>"1578728177122809"</f>
        <v>1578728177122809</v>
      </c>
      <c r="C313" t="s">
        <v>37</v>
      </c>
      <c r="D313">
        <v>5.8060460000000003</v>
      </c>
      <c r="E313">
        <v>0.50929469999999999</v>
      </c>
      <c r="F313" t="s">
        <v>39</v>
      </c>
      <c r="G313">
        <v>-369.91849999999999</v>
      </c>
      <c r="H313" s="1">
        <v>-3.7618379999999999E-7</v>
      </c>
      <c r="I313">
        <v>368.2543</v>
      </c>
      <c r="J313">
        <v>-385.29329999999999</v>
      </c>
      <c r="K313">
        <v>1.104565</v>
      </c>
      <c r="L313">
        <v>367.49380000000002</v>
      </c>
      <c r="M313">
        <v>0.99972320000000003</v>
      </c>
      <c r="N313">
        <v>0</v>
      </c>
      <c r="O313">
        <v>1.8415210000000001E-2</v>
      </c>
      <c r="P313">
        <v>0.99515069999999906</v>
      </c>
      <c r="Q313">
        <v>6.5479159999999995E-2</v>
      </c>
      <c r="R313">
        <v>7.3401350000000004E-2</v>
      </c>
      <c r="S313">
        <v>3.0177610000000001</v>
      </c>
      <c r="T313">
        <v>-0.21149499999999999</v>
      </c>
      <c r="U313">
        <v>0.1470032</v>
      </c>
      <c r="V313">
        <v>-5.508122E-2</v>
      </c>
      <c r="W313">
        <v>8.0050389999999999E-2</v>
      </c>
      <c r="X313">
        <v>0.99526780000000004</v>
      </c>
      <c r="Y313">
        <v>-3.0222450000000001E-2</v>
      </c>
      <c r="Z313">
        <v>-2.3107410000000001E-4</v>
      </c>
      <c r="AA313">
        <v>0.99954319999999897</v>
      </c>
      <c r="AB313">
        <v>39</v>
      </c>
      <c r="AC313">
        <v>15.374799999999899</v>
      </c>
      <c r="AD313">
        <v>-1.1045653761837999</v>
      </c>
      <c r="AE313">
        <v>0.76049999999997897</v>
      </c>
      <c r="AF313">
        <v>-0.474766027279659</v>
      </c>
      <c r="AG313">
        <v>-1.1045653761837999</v>
      </c>
      <c r="AH313">
        <v>15.307384495106801</v>
      </c>
      <c r="AI313">
        <v>94.125275124878002</v>
      </c>
      <c r="AJ313">
        <v>91.776487172758905</v>
      </c>
      <c r="AK313">
        <v>15.354526613737001</v>
      </c>
    </row>
    <row r="314" spans="1:37" x14ac:dyDescent="0.2">
      <c r="A314" t="str">
        <f>"20200111153617154"</f>
        <v>20200111153617154</v>
      </c>
      <c r="B314" t="str">
        <f>"1578728177143557"</f>
        <v>1578728177143557</v>
      </c>
      <c r="C314" t="s">
        <v>37</v>
      </c>
      <c r="D314">
        <v>5.7341870000000004</v>
      </c>
      <c r="E314">
        <v>0.50944140000000004</v>
      </c>
      <c r="F314" t="s">
        <v>39</v>
      </c>
      <c r="G314">
        <v>-369.50540000000001</v>
      </c>
      <c r="H314" s="1">
        <v>-5.1873369999999996E-7</v>
      </c>
      <c r="I314">
        <v>368.24699999999899</v>
      </c>
      <c r="J314">
        <v>-384.92809999999997</v>
      </c>
      <c r="K314">
        <v>1.104608</v>
      </c>
      <c r="L314">
        <v>367.50060000000002</v>
      </c>
      <c r="M314">
        <v>0.999720099999999</v>
      </c>
      <c r="N314">
        <v>0</v>
      </c>
      <c r="O314">
        <v>1.8545430000000002E-2</v>
      </c>
      <c r="P314">
        <v>0.99519820000000003</v>
      </c>
      <c r="Q314">
        <v>6.6056799999999999E-2</v>
      </c>
      <c r="R314">
        <v>7.2228500000000001E-2</v>
      </c>
      <c r="S314">
        <v>3.0178529999999899</v>
      </c>
      <c r="T314">
        <v>-0.21113599999999999</v>
      </c>
      <c r="U314">
        <v>0.1439819</v>
      </c>
      <c r="V314">
        <v>-5.3778619999999999E-2</v>
      </c>
      <c r="W314">
        <v>8.0665890000000004E-2</v>
      </c>
      <c r="X314">
        <v>0.99528930000000004</v>
      </c>
      <c r="Y314">
        <v>-2.9095579999999999E-2</v>
      </c>
      <c r="Z314">
        <v>-2.7912560000000001E-4</v>
      </c>
      <c r="AA314">
        <v>0.99957659999999904</v>
      </c>
      <c r="AB314">
        <v>39</v>
      </c>
      <c r="AC314">
        <v>15.422699999999899</v>
      </c>
      <c r="AD314">
        <v>-1.10460851873369</v>
      </c>
      <c r="AE314">
        <v>0.746399999999937</v>
      </c>
      <c r="AF314">
        <v>-0.45787683331526402</v>
      </c>
      <c r="AG314">
        <v>-1.10460851873369</v>
      </c>
      <c r="AH314">
        <v>15.355306038527001</v>
      </c>
      <c r="AI314">
        <v>94.112754140771798</v>
      </c>
      <c r="AJ314">
        <v>91.707985410891695</v>
      </c>
      <c r="AK314">
        <v>15.4017932303667</v>
      </c>
    </row>
    <row r="315" spans="1:37" x14ac:dyDescent="0.2">
      <c r="A315" t="str">
        <f>"20200111153617167"</f>
        <v>20200111153617167</v>
      </c>
      <c r="B315" t="str">
        <f>"1578728177163078"</f>
        <v>1578728177163078</v>
      </c>
      <c r="C315" t="s">
        <v>37</v>
      </c>
      <c r="D315">
        <v>5.7616440000000004</v>
      </c>
      <c r="E315">
        <v>0.50917609999999902</v>
      </c>
      <c r="F315" t="s">
        <v>39</v>
      </c>
      <c r="G315">
        <v>-368.95599999999899</v>
      </c>
      <c r="H315" s="1">
        <v>-7.0730500000000002E-7</v>
      </c>
      <c r="I315">
        <v>368.24090000000001</v>
      </c>
      <c r="J315">
        <v>-384.6934</v>
      </c>
      <c r="K315">
        <v>1.104622</v>
      </c>
      <c r="L315">
        <v>367.50510000000003</v>
      </c>
      <c r="M315">
        <v>0.99971829999999995</v>
      </c>
      <c r="N315">
        <v>0</v>
      </c>
      <c r="O315">
        <v>1.8629E-2</v>
      </c>
      <c r="P315">
        <v>0.99524840000000003</v>
      </c>
      <c r="Q315">
        <v>6.5926390000000001E-2</v>
      </c>
      <c r="R315">
        <v>7.1653289999999994E-2</v>
      </c>
      <c r="S315">
        <v>3.0181879999999999</v>
      </c>
      <c r="T315">
        <v>-0.20873259999999999</v>
      </c>
      <c r="U315">
        <v>0.13989260000000001</v>
      </c>
      <c r="V315">
        <v>-5.3120340000000002E-2</v>
      </c>
      <c r="W315">
        <v>8.0557539999999997E-2</v>
      </c>
      <c r="X315">
        <v>0.99533349999999898</v>
      </c>
      <c r="Y315">
        <v>-2.765956E-2</v>
      </c>
      <c r="Z315">
        <v>-3.3127729999999999E-4</v>
      </c>
      <c r="AA315">
        <v>0.99961730000000004</v>
      </c>
      <c r="AB315">
        <v>39</v>
      </c>
      <c r="AC315">
        <v>15.737399999999999</v>
      </c>
      <c r="AD315">
        <v>-1.1046227073049999</v>
      </c>
      <c r="AE315">
        <v>0.73579999999998302</v>
      </c>
      <c r="AF315">
        <v>-0.44030400865566699</v>
      </c>
      <c r="AG315">
        <v>-1.1046227073049999</v>
      </c>
      <c r="AH315">
        <v>15.671336520832501</v>
      </c>
      <c r="AI315">
        <v>94.030343628696698</v>
      </c>
      <c r="AJ315">
        <v>91.609366651974298</v>
      </c>
      <c r="AK315">
        <v>15.7163878577334</v>
      </c>
    </row>
    <row r="316" spans="1:37" x14ac:dyDescent="0.2">
      <c r="A316" t="str">
        <f>"20200111153617182"</f>
        <v>20200111153617182</v>
      </c>
      <c r="B316" t="str">
        <f>"1578728177172837"</f>
        <v>1578728177172837</v>
      </c>
      <c r="C316" t="s">
        <v>37</v>
      </c>
      <c r="D316">
        <v>5.9907859999999999</v>
      </c>
      <c r="E316">
        <v>0.50937719999999997</v>
      </c>
      <c r="F316" t="s">
        <v>39</v>
      </c>
      <c r="G316">
        <v>-367.6413</v>
      </c>
      <c r="H316" s="1">
        <v>-1.227797E-6</v>
      </c>
      <c r="I316">
        <v>368.29939999999999</v>
      </c>
      <c r="J316">
        <v>-384.44119999999998</v>
      </c>
      <c r="K316">
        <v>1.1046389999999999</v>
      </c>
      <c r="L316">
        <v>367.50979999999998</v>
      </c>
      <c r="M316">
        <v>0.99971650000000001</v>
      </c>
      <c r="N316">
        <v>0</v>
      </c>
      <c r="O316">
        <v>1.8718410000000001E-2</v>
      </c>
      <c r="P316">
        <v>0.99527299999999996</v>
      </c>
      <c r="Q316">
        <v>6.6053639999999997E-2</v>
      </c>
      <c r="R316">
        <v>7.1196250000000003E-2</v>
      </c>
      <c r="S316">
        <v>3.0171509999999899</v>
      </c>
      <c r="T316">
        <v>-0.19544819999999999</v>
      </c>
      <c r="U316">
        <v>0.14056399999999999</v>
      </c>
      <c r="V316">
        <v>-5.25739E-2</v>
      </c>
      <c r="W316">
        <v>8.0706769999999997E-2</v>
      </c>
      <c r="X316">
        <v>0.99535039999999997</v>
      </c>
      <c r="Y316">
        <v>-2.7810519999999998E-2</v>
      </c>
      <c r="Z316">
        <v>-3.1124309999999998E-4</v>
      </c>
      <c r="AA316">
        <v>0.99961319999999998</v>
      </c>
      <c r="AB316">
        <v>39</v>
      </c>
      <c r="AC316">
        <v>16.799899999999901</v>
      </c>
      <c r="AD316">
        <v>-1.104640227797</v>
      </c>
      <c r="AE316">
        <v>0.78960000000000696</v>
      </c>
      <c r="AF316">
        <v>-0.47292002973849101</v>
      </c>
      <c r="AG316">
        <v>-1.104640227797</v>
      </c>
      <c r="AH316">
        <v>16.739524970948501</v>
      </c>
      <c r="AI316">
        <v>93.773969560107702</v>
      </c>
      <c r="AJ316">
        <v>91.618272692638001</v>
      </c>
      <c r="AK316">
        <v>16.782597523637499</v>
      </c>
    </row>
    <row r="317" spans="1:37" x14ac:dyDescent="0.2">
      <c r="A317" t="str">
        <f>"20200111153617198"</f>
        <v>20200111153617198</v>
      </c>
      <c r="B317" t="str">
        <f>"1578728177192865"</f>
        <v>1578728177192865</v>
      </c>
      <c r="C317" t="s">
        <v>37</v>
      </c>
      <c r="D317">
        <v>5.7925250000000004</v>
      </c>
      <c r="E317">
        <v>0.50904259999999901</v>
      </c>
      <c r="F317" t="s">
        <v>39</v>
      </c>
      <c r="G317">
        <v>-366.74699999999899</v>
      </c>
      <c r="H317" s="1">
        <v>-1.60823999999999E-6</v>
      </c>
      <c r="I317">
        <v>368.31729999999999</v>
      </c>
      <c r="J317">
        <v>-384.16120000000001</v>
      </c>
      <c r="K317">
        <v>1.1046530000000001</v>
      </c>
      <c r="L317">
        <v>367.51510000000002</v>
      </c>
      <c r="M317">
        <v>0.99971409999999905</v>
      </c>
      <c r="N317">
        <v>0</v>
      </c>
      <c r="O317">
        <v>1.8817830000000001E-2</v>
      </c>
      <c r="P317">
        <v>0.99536789999999997</v>
      </c>
      <c r="Q317">
        <v>6.4615359999999997E-2</v>
      </c>
      <c r="R317">
        <v>7.118795E-2</v>
      </c>
      <c r="S317">
        <v>3.016937</v>
      </c>
      <c r="T317">
        <v>-0.1883454</v>
      </c>
      <c r="U317">
        <v>0.13769529999999999</v>
      </c>
      <c r="V317">
        <v>-5.2465009999999999E-2</v>
      </c>
      <c r="W317">
        <v>7.9290819999999998E-2</v>
      </c>
      <c r="X317">
        <v>0.99546990000000002</v>
      </c>
      <c r="Y317">
        <v>-2.676947E-2</v>
      </c>
      <c r="Z317">
        <v>-3.3862889999999998E-4</v>
      </c>
      <c r="AA317">
        <v>0.99964159999999902</v>
      </c>
      <c r="AB317">
        <v>38</v>
      </c>
      <c r="AC317">
        <v>17.414200000000001</v>
      </c>
      <c r="AD317">
        <v>-1.1046546082399999</v>
      </c>
      <c r="AE317">
        <v>0.80219999999997005</v>
      </c>
      <c r="AF317">
        <v>-0.47242783542543498</v>
      </c>
      <c r="AG317">
        <v>-1.1046546082399999</v>
      </c>
      <c r="AH317">
        <v>17.3565202707358</v>
      </c>
      <c r="AI317">
        <v>93.640329752680898</v>
      </c>
      <c r="AJ317">
        <v>91.559151196980594</v>
      </c>
      <c r="AK317">
        <v>17.398052930476201</v>
      </c>
    </row>
    <row r="318" spans="1:37" x14ac:dyDescent="0.2">
      <c r="A318" t="str">
        <f>"20200111153617212"</f>
        <v>20200111153617212</v>
      </c>
      <c r="B318" t="str">
        <f>"1578728177203601"</f>
        <v>1578728177203601</v>
      </c>
      <c r="C318" t="s">
        <v>37</v>
      </c>
      <c r="D318">
        <v>5.9198529999999998</v>
      </c>
      <c r="E318">
        <v>0.50908019999999998</v>
      </c>
      <c r="F318" t="s">
        <v>39</v>
      </c>
      <c r="G318">
        <v>-366.27159999999998</v>
      </c>
      <c r="H318" s="1">
        <v>-1.807236E-6</v>
      </c>
      <c r="I318">
        <v>368.34539999999998</v>
      </c>
      <c r="J318">
        <v>-383.9316</v>
      </c>
      <c r="K318">
        <v>1.1046659999999999</v>
      </c>
      <c r="L318">
        <v>367.51960000000003</v>
      </c>
      <c r="M318">
        <v>0.9997125</v>
      </c>
      <c r="N318">
        <v>0</v>
      </c>
      <c r="O318">
        <v>1.8898870000000002E-2</v>
      </c>
      <c r="P318">
        <v>0.99541100000000005</v>
      </c>
      <c r="Q318">
        <v>6.3958490000000007E-2</v>
      </c>
      <c r="R318">
        <v>7.1178740000000004E-2</v>
      </c>
      <c r="S318">
        <v>3.016022</v>
      </c>
      <c r="T318">
        <v>-0.18623329999999999</v>
      </c>
      <c r="U318">
        <v>0.1399841</v>
      </c>
      <c r="V318">
        <v>-5.2374169999999998E-2</v>
      </c>
      <c r="W318">
        <v>7.8650529999999996E-2</v>
      </c>
      <c r="X318">
        <v>0.99552549999999995</v>
      </c>
      <c r="Y318">
        <v>-2.7458449999999999E-2</v>
      </c>
      <c r="Z318">
        <v>-3.1868759999999999E-4</v>
      </c>
      <c r="AA318">
        <v>0.99962289999999998</v>
      </c>
      <c r="AB318">
        <v>38</v>
      </c>
      <c r="AC318">
        <v>17.66</v>
      </c>
      <c r="AD318">
        <v>-1.1046678072360001</v>
      </c>
      <c r="AE318">
        <v>0.82579999999995801</v>
      </c>
      <c r="AF318">
        <v>-0.48994922699437798</v>
      </c>
      <c r="AG318">
        <v>-1.1046678072360001</v>
      </c>
      <c r="AH318">
        <v>17.603724953802502</v>
      </c>
      <c r="AI318">
        <v>93.589326514137497</v>
      </c>
      <c r="AJ318">
        <v>91.594252231727594</v>
      </c>
      <c r="AK318">
        <v>17.6451543903278</v>
      </c>
    </row>
    <row r="319" spans="1:37" x14ac:dyDescent="0.2">
      <c r="A319" t="str">
        <f>"20200111153617226"</f>
        <v>20200111153617226</v>
      </c>
      <c r="B319" t="str">
        <f>"1578728177223120"</f>
        <v>1578728177223120</v>
      </c>
      <c r="C319" t="s">
        <v>37</v>
      </c>
      <c r="D319">
        <v>5.7584280000000003</v>
      </c>
      <c r="E319">
        <v>0.50897990000000004</v>
      </c>
      <c r="F319" t="s">
        <v>39</v>
      </c>
      <c r="G319">
        <v>-365.935</v>
      </c>
      <c r="H319" s="1">
        <v>-1.9502820000000001E-6</v>
      </c>
      <c r="I319">
        <v>368.35300000000001</v>
      </c>
      <c r="J319">
        <v>-383.69490000000002</v>
      </c>
      <c r="K319">
        <v>1.1046769999999999</v>
      </c>
      <c r="L319">
        <v>367.52409999999998</v>
      </c>
      <c r="M319">
        <v>0.99971069999999995</v>
      </c>
      <c r="N319">
        <v>0</v>
      </c>
      <c r="O319">
        <v>1.8982280000000001E-2</v>
      </c>
      <c r="P319">
        <v>0.99543619999999899</v>
      </c>
      <c r="Q319">
        <v>6.3765619999999995E-2</v>
      </c>
      <c r="R319">
        <v>7.1000919999999995E-2</v>
      </c>
      <c r="S319">
        <v>3.0157470000000002</v>
      </c>
      <c r="T319">
        <v>-0.18511129999999901</v>
      </c>
      <c r="U319">
        <v>0.139679</v>
      </c>
      <c r="V319">
        <v>-5.2113340000000001E-2</v>
      </c>
      <c r="W319">
        <v>7.8472269999999997E-2</v>
      </c>
      <c r="X319">
        <v>0.99555329999999997</v>
      </c>
      <c r="Y319">
        <v>-2.7279000000000001E-2</v>
      </c>
      <c r="Z319">
        <v>-3.2741219999999998E-4</v>
      </c>
      <c r="AA319">
        <v>0.99962779999999996</v>
      </c>
      <c r="AB319">
        <v>38</v>
      </c>
      <c r="AC319">
        <v>17.759899999999998</v>
      </c>
      <c r="AD319">
        <v>-1.104678950282</v>
      </c>
      <c r="AE319">
        <v>0.82890000000003194</v>
      </c>
      <c r="AF319">
        <v>-0.48969993971631498</v>
      </c>
      <c r="AG319">
        <v>-1.104678950282</v>
      </c>
      <c r="AH319">
        <v>17.704088420243799</v>
      </c>
      <c r="AI319">
        <v>93.569084441620404</v>
      </c>
      <c r="AJ319">
        <v>91.584412979542705</v>
      </c>
      <c r="AK319">
        <v>17.7452773550025</v>
      </c>
    </row>
    <row r="320" spans="1:37" x14ac:dyDescent="0.2">
      <c r="A320" t="str">
        <f>"20200111153617244"</f>
        <v>20200111153617244</v>
      </c>
      <c r="B320" t="str">
        <f>"1578728177232880"</f>
        <v>1578728177232880</v>
      </c>
      <c r="C320" t="s">
        <v>37</v>
      </c>
      <c r="D320">
        <v>5.7687119999999998</v>
      </c>
      <c r="E320">
        <v>0.50894919999999999</v>
      </c>
      <c r="F320" t="s">
        <v>39</v>
      </c>
      <c r="G320">
        <v>-365.13529999999997</v>
      </c>
      <c r="H320" s="1">
        <v>-2.2877999999999999E-6</v>
      </c>
      <c r="I320">
        <v>368.3843</v>
      </c>
      <c r="J320">
        <v>-383.3802</v>
      </c>
      <c r="K320">
        <v>1.1046989999999901</v>
      </c>
      <c r="L320">
        <v>367.53019999999998</v>
      </c>
      <c r="M320">
        <v>0.99970829999999999</v>
      </c>
      <c r="N320">
        <v>0</v>
      </c>
      <c r="O320">
        <v>1.90934E-2</v>
      </c>
      <c r="P320">
        <v>0.99541999999999997</v>
      </c>
      <c r="Q320">
        <v>6.4189399999999994E-2</v>
      </c>
      <c r="R320">
        <v>7.0846000000000006E-2</v>
      </c>
      <c r="S320">
        <v>3.0152890000000001</v>
      </c>
      <c r="T320">
        <v>-0.1794702</v>
      </c>
      <c r="U320">
        <v>0.13977049999999999</v>
      </c>
      <c r="V320">
        <v>-5.184805E-2</v>
      </c>
      <c r="W320">
        <v>7.8913869999999997E-2</v>
      </c>
      <c r="X320">
        <v>0.99553219999999998</v>
      </c>
      <c r="Y320">
        <v>-2.7206439999999998E-2</v>
      </c>
      <c r="Z320">
        <v>-3.262591E-4</v>
      </c>
      <c r="AA320">
        <v>0.99962980000000001</v>
      </c>
      <c r="AB320">
        <v>38</v>
      </c>
      <c r="AC320">
        <v>18.244900000000001</v>
      </c>
      <c r="AD320">
        <v>-1.10470128779999</v>
      </c>
      <c r="AE320">
        <v>0.85410000000001596</v>
      </c>
      <c r="AF320">
        <v>-0.50370637428727705</v>
      </c>
      <c r="AG320">
        <v>-1.10470128779999</v>
      </c>
      <c r="AH320">
        <v>18.191336962370201</v>
      </c>
      <c r="AI320">
        <v>93.473792352600597</v>
      </c>
      <c r="AJ320">
        <v>91.586077872687</v>
      </c>
      <c r="AK320">
        <v>18.231808070656601</v>
      </c>
    </row>
    <row r="321" spans="1:37" x14ac:dyDescent="0.2">
      <c r="A321" t="str">
        <f>"20200111153617257"</f>
        <v>20200111153617257</v>
      </c>
      <c r="B321" t="str">
        <f>"1578728177253377"</f>
        <v>1578728177253377</v>
      </c>
      <c r="C321" t="s">
        <v>37</v>
      </c>
      <c r="D321">
        <v>5.659986</v>
      </c>
      <c r="E321">
        <v>0.50889220000000002</v>
      </c>
      <c r="F321" t="s">
        <v>39</v>
      </c>
      <c r="G321">
        <v>-364.42099999999999</v>
      </c>
      <c r="H321" s="1">
        <v>-2.589488E-6</v>
      </c>
      <c r="I321">
        <v>368.41109999999998</v>
      </c>
      <c r="J321">
        <v>-383.1567</v>
      </c>
      <c r="K321">
        <v>1.104711</v>
      </c>
      <c r="L321">
        <v>367.53449999999998</v>
      </c>
      <c r="M321">
        <v>0.999706599999999</v>
      </c>
      <c r="N321">
        <v>0</v>
      </c>
      <c r="O321">
        <v>1.91723E-2</v>
      </c>
      <c r="P321">
        <v>0.99544669999999902</v>
      </c>
      <c r="Q321">
        <v>6.3868309999999998E-2</v>
      </c>
      <c r="R321">
        <v>7.0761340000000006E-2</v>
      </c>
      <c r="S321">
        <v>3.01513699999999</v>
      </c>
      <c r="T321">
        <v>-0.1756827</v>
      </c>
      <c r="U321">
        <v>0.14010619999999999</v>
      </c>
      <c r="V321">
        <v>-5.1684609999999999E-2</v>
      </c>
      <c r="W321">
        <v>7.8603939999999997E-2</v>
      </c>
      <c r="X321">
        <v>0.99556520000000004</v>
      </c>
      <c r="Y321">
        <v>-2.7241600000000001E-2</v>
      </c>
      <c r="Z321">
        <v>-3.2296780000000001E-4</v>
      </c>
      <c r="AA321">
        <v>0.99962879999999998</v>
      </c>
      <c r="AB321">
        <v>38</v>
      </c>
      <c r="AC321">
        <v>18.735700000000001</v>
      </c>
      <c r="AD321">
        <v>-1.104713589488</v>
      </c>
      <c r="AE321">
        <v>0.87659999999999605</v>
      </c>
      <c r="AF321">
        <v>-0.51540505249032897</v>
      </c>
      <c r="AG321">
        <v>-1.104713589488</v>
      </c>
      <c r="AH321">
        <v>18.684247315416499</v>
      </c>
      <c r="AI321">
        <v>93.382412946646596</v>
      </c>
      <c r="AJ321">
        <v>91.580103651982398</v>
      </c>
      <c r="AK321">
        <v>18.723972127371301</v>
      </c>
    </row>
    <row r="322" spans="1:37" x14ac:dyDescent="0.2">
      <c r="A322" t="str">
        <f>"20200111153617277"</f>
        <v>20200111153617277</v>
      </c>
      <c r="B322" t="str">
        <f>"1578728177272896"</f>
        <v>1578728177272896</v>
      </c>
      <c r="C322" t="s">
        <v>37</v>
      </c>
      <c r="D322">
        <v>5.8345149999999997</v>
      </c>
      <c r="E322">
        <v>0.50830790000000003</v>
      </c>
      <c r="F322" t="s">
        <v>39</v>
      </c>
      <c r="G322">
        <v>-363.79270000000002</v>
      </c>
      <c r="H322" s="1">
        <v>-2.8543450000000001E-6</v>
      </c>
      <c r="I322">
        <v>368.4375</v>
      </c>
      <c r="J322">
        <v>-382.81760000000003</v>
      </c>
      <c r="K322">
        <v>1.104727</v>
      </c>
      <c r="L322">
        <v>367.54109999999997</v>
      </c>
      <c r="M322">
        <v>0.99970400000000004</v>
      </c>
      <c r="N322">
        <v>0</v>
      </c>
      <c r="O322">
        <v>1.9292070000000001E-2</v>
      </c>
      <c r="P322">
        <v>0.99535929999999995</v>
      </c>
      <c r="Q322">
        <v>6.392668E-2</v>
      </c>
      <c r="R322">
        <v>7.1928779999999998E-2</v>
      </c>
      <c r="S322">
        <v>3.0147400000000002</v>
      </c>
      <c r="T322">
        <v>-0.17198929999999901</v>
      </c>
      <c r="U322">
        <v>0.14059449999999901</v>
      </c>
      <c r="V322">
        <v>-5.2734360000000001E-2</v>
      </c>
      <c r="W322">
        <v>7.8676209999999996E-2</v>
      </c>
      <c r="X322">
        <v>0.99550439999999996</v>
      </c>
      <c r="Y322">
        <v>-2.7290180000000001E-2</v>
      </c>
      <c r="Z322">
        <v>-3.2166740000000001E-4</v>
      </c>
      <c r="AA322">
        <v>0.9996275</v>
      </c>
      <c r="AB322">
        <v>38</v>
      </c>
      <c r="AC322">
        <v>19.024899999999999</v>
      </c>
      <c r="AD322">
        <v>-1.1047298543449999</v>
      </c>
      <c r="AE322">
        <v>0.89640000000002795</v>
      </c>
      <c r="AF322">
        <v>-0.52738876899100895</v>
      </c>
      <c r="AG322">
        <v>-1.1047298543449999</v>
      </c>
      <c r="AH322">
        <v>18.9748154368</v>
      </c>
      <c r="AI322">
        <v>93.3307640645031</v>
      </c>
      <c r="AJ322">
        <v>91.592077312624397</v>
      </c>
      <c r="AK322">
        <v>19.0142627473526</v>
      </c>
    </row>
    <row r="323" spans="1:37" x14ac:dyDescent="0.2">
      <c r="A323" t="str">
        <f>"20200111153617290"</f>
        <v>20200111153617290</v>
      </c>
      <c r="B323" t="str">
        <f>"1578728177283164"</f>
        <v>1578728177283164</v>
      </c>
      <c r="C323" t="s">
        <v>37</v>
      </c>
      <c r="D323">
        <v>6.0599930000000004</v>
      </c>
      <c r="E323">
        <v>0.50822879999999904</v>
      </c>
      <c r="F323" t="s">
        <v>39</v>
      </c>
      <c r="G323">
        <v>-363.33949999999999</v>
      </c>
      <c r="H323" s="1">
        <v>-3.0377749999999999E-6</v>
      </c>
      <c r="I323">
        <v>368.49950000000001</v>
      </c>
      <c r="J323">
        <v>-382.57490000000001</v>
      </c>
      <c r="K323">
        <v>1.104738</v>
      </c>
      <c r="L323">
        <v>367.54590000000002</v>
      </c>
      <c r="M323">
        <v>0.99970219999999899</v>
      </c>
      <c r="N323">
        <v>0</v>
      </c>
      <c r="O323">
        <v>1.937645E-2</v>
      </c>
      <c r="P323">
        <v>0.99529899999999905</v>
      </c>
      <c r="Q323">
        <v>6.4131540000000001E-2</v>
      </c>
      <c r="R323">
        <v>7.2573479999999996E-2</v>
      </c>
      <c r="S323">
        <v>3.0142519999999999</v>
      </c>
      <c r="T323">
        <v>-0.17095629999999901</v>
      </c>
      <c r="U323">
        <v>0.14831539999999999</v>
      </c>
      <c r="V323">
        <v>-5.3295960000000003E-2</v>
      </c>
      <c r="W323">
        <v>7.8889150000000005E-2</v>
      </c>
      <c r="X323">
        <v>0.995457699999999</v>
      </c>
      <c r="Y323">
        <v>-2.9764220000000001E-2</v>
      </c>
      <c r="Z323">
        <v>-2.5448149999999999E-4</v>
      </c>
      <c r="AA323">
        <v>0.99955689999999997</v>
      </c>
      <c r="AB323">
        <v>38</v>
      </c>
      <c r="AC323">
        <v>19.235399999999998</v>
      </c>
      <c r="AD323">
        <v>-1.104741037775</v>
      </c>
      <c r="AE323">
        <v>0.95359999999999401</v>
      </c>
      <c r="AF323">
        <v>-0.578761772818433</v>
      </c>
      <c r="AG323">
        <v>-1.104741037775</v>
      </c>
      <c r="AH323">
        <v>19.187133454708601</v>
      </c>
      <c r="AI323">
        <v>93.293796363679505</v>
      </c>
      <c r="AJ323">
        <v>91.727749234011995</v>
      </c>
      <c r="AK323">
        <v>19.2276235702444</v>
      </c>
    </row>
    <row r="324" spans="1:37" x14ac:dyDescent="0.2">
      <c r="A324" t="str">
        <f>"20200111153617305"</f>
        <v>20200111153617305</v>
      </c>
      <c r="B324" t="str">
        <f>"1578728177292924"</f>
        <v>1578728177292924</v>
      </c>
      <c r="C324" t="s">
        <v>37</v>
      </c>
      <c r="D324">
        <v>6.058459</v>
      </c>
      <c r="E324">
        <v>0.50815319999999997</v>
      </c>
      <c r="F324" t="s">
        <v>39</v>
      </c>
      <c r="G324">
        <v>-362.88299999999998</v>
      </c>
      <c r="H324" s="1">
        <v>-3.2282869999999999E-6</v>
      </c>
      <c r="I324">
        <v>368.52940000000001</v>
      </c>
      <c r="J324">
        <v>-382.33260000000001</v>
      </c>
      <c r="K324">
        <v>1.104746</v>
      </c>
      <c r="L324">
        <v>367.55070000000001</v>
      </c>
      <c r="M324">
        <v>0.99970059999999905</v>
      </c>
      <c r="N324">
        <v>0</v>
      </c>
      <c r="O324">
        <v>1.9458860000000001E-2</v>
      </c>
      <c r="P324">
        <v>0.99521269999999995</v>
      </c>
      <c r="Q324">
        <v>6.4406190000000002E-2</v>
      </c>
      <c r="R324">
        <v>7.3510649999999997E-2</v>
      </c>
      <c r="S324">
        <v>3.0140989999999999</v>
      </c>
      <c r="T324">
        <v>-0.16909370000000001</v>
      </c>
      <c r="U324">
        <v>0.15054319999999999</v>
      </c>
      <c r="V324">
        <v>-5.4152459999999999E-2</v>
      </c>
      <c r="W324">
        <v>7.9171039999999998E-2</v>
      </c>
      <c r="X324">
        <v>0.99538909999999903</v>
      </c>
      <c r="Y324">
        <v>-3.0420740000000002E-2</v>
      </c>
      <c r="Z324">
        <v>-2.379452E-4</v>
      </c>
      <c r="AA324">
        <v>0.99953719999999902</v>
      </c>
      <c r="AB324">
        <v>38</v>
      </c>
      <c r="AC324">
        <v>19.449599999999901</v>
      </c>
      <c r="AD324">
        <v>-1.104749228287</v>
      </c>
      <c r="AE324">
        <v>0.97870000000000301</v>
      </c>
      <c r="AF324">
        <v>-0.59808123520155998</v>
      </c>
      <c r="AG324">
        <v>-1.104749228287</v>
      </c>
      <c r="AH324">
        <v>19.4025226099604</v>
      </c>
      <c r="AI324">
        <v>93.257269463684494</v>
      </c>
      <c r="AJ324">
        <v>91.765578840570996</v>
      </c>
      <c r="AK324">
        <v>19.443149324410498</v>
      </c>
    </row>
    <row r="325" spans="1:37" x14ac:dyDescent="0.2">
      <c r="A325" t="str">
        <f>"20200111153617337"</f>
        <v>20200111153617337</v>
      </c>
      <c r="B325" t="str">
        <f>"1578728177332940"</f>
        <v>1578728177332940</v>
      </c>
      <c r="C325" t="s">
        <v>37</v>
      </c>
      <c r="D325">
        <v>5.9592830000000001</v>
      </c>
      <c r="E325">
        <v>0.53991899999999904</v>
      </c>
      <c r="F325" t="s">
        <v>39</v>
      </c>
      <c r="G325">
        <v>-362.43599999999998</v>
      </c>
      <c r="H325" s="1">
        <v>-3.4138860000000001E-6</v>
      </c>
      <c r="I325">
        <v>368.56420000000003</v>
      </c>
      <c r="J325">
        <v>-381.78370000000001</v>
      </c>
      <c r="K325">
        <v>1.104754</v>
      </c>
      <c r="L325">
        <v>367.5616</v>
      </c>
      <c r="M325">
        <v>0.9996969</v>
      </c>
      <c r="N325">
        <v>0</v>
      </c>
      <c r="O325">
        <v>1.9635059999999999E-2</v>
      </c>
      <c r="P325">
        <v>0.99501689999999998</v>
      </c>
      <c r="Q325">
        <v>6.5089149999999998E-2</v>
      </c>
      <c r="R325">
        <v>7.5531650000000006E-2</v>
      </c>
      <c r="S325">
        <v>3.013916</v>
      </c>
      <c r="T325">
        <v>-0.1673452</v>
      </c>
      <c r="U325">
        <v>0.1535339</v>
      </c>
      <c r="V325">
        <v>-5.6000330000000001E-2</v>
      </c>
      <c r="W325">
        <v>7.9867880000000002E-2</v>
      </c>
      <c r="X325">
        <v>0.99523119999999998</v>
      </c>
      <c r="Y325">
        <v>-3.123629E-2</v>
      </c>
      <c r="Z325">
        <v>-2.2265229999999999E-4</v>
      </c>
      <c r="AA325">
        <v>0.99951199999999996</v>
      </c>
      <c r="AB325">
        <v>38</v>
      </c>
      <c r="AC325">
        <v>19.3477</v>
      </c>
      <c r="AD325">
        <v>-1.1047574138859999</v>
      </c>
      <c r="AE325">
        <v>1.0026000000000199</v>
      </c>
      <c r="AF325">
        <v>-0.620453985062979</v>
      </c>
      <c r="AG325">
        <v>-1.1047574138859999</v>
      </c>
      <c r="AH325">
        <v>19.300896756297401</v>
      </c>
      <c r="AI325">
        <v>93.274271290254703</v>
      </c>
      <c r="AJ325">
        <v>91.841217913392896</v>
      </c>
      <c r="AK325">
        <v>19.342442133514801</v>
      </c>
    </row>
    <row r="326" spans="1:37" x14ac:dyDescent="0.2">
      <c r="A326" t="str">
        <f>"20200111153617355"</f>
        <v>20200111153617355</v>
      </c>
      <c r="B326" t="str">
        <f>"1578728177342700"</f>
        <v>1578728177342700</v>
      </c>
      <c r="C326" t="s">
        <v>37</v>
      </c>
      <c r="D326">
        <v>5.8776539999999997</v>
      </c>
      <c r="E326">
        <v>0.54006299999999996</v>
      </c>
      <c r="F326" t="s">
        <v>38</v>
      </c>
      <c r="G326">
        <v>-381.03160000000003</v>
      </c>
      <c r="H326">
        <v>1.0347819999999901</v>
      </c>
      <c r="I326">
        <v>367.53840000000002</v>
      </c>
      <c r="J326">
        <v>-381.48439999999999</v>
      </c>
      <c r="K326">
        <v>1.1047530000000001</v>
      </c>
      <c r="L326">
        <v>367.56760000000003</v>
      </c>
      <c r="M326">
        <v>0.99969509999999995</v>
      </c>
      <c r="N326">
        <v>0</v>
      </c>
      <c r="O326">
        <v>1.972289E-2</v>
      </c>
      <c r="P326">
        <v>0.99491749999999901</v>
      </c>
      <c r="Q326">
        <v>6.5328709999999998E-2</v>
      </c>
      <c r="R326">
        <v>7.6626130000000001E-2</v>
      </c>
      <c r="S326">
        <v>3.0406490000000002</v>
      </c>
      <c r="T326">
        <v>-0.28301859999999901</v>
      </c>
      <c r="U326">
        <v>-9.3261720000000006E-2</v>
      </c>
      <c r="V326">
        <v>-5.7007620000000002E-2</v>
      </c>
      <c r="W326">
        <v>8.0113599999999993E-2</v>
      </c>
      <c r="X326">
        <v>0.99515419999999999</v>
      </c>
      <c r="Y326">
        <v>5.0065650000000003E-2</v>
      </c>
      <c r="Z326">
        <v>-4.156084E-3</v>
      </c>
      <c r="AA326">
        <v>0.99873729999999905</v>
      </c>
      <c r="AB326">
        <v>38</v>
      </c>
      <c r="AC326">
        <v>0.45279999999996701</v>
      </c>
      <c r="AD326">
        <v>-6.99710000000002E-2</v>
      </c>
      <c r="AE326">
        <v>-2.9200000000003001E-2</v>
      </c>
      <c r="AF326">
        <v>3.72402377199198E-2</v>
      </c>
      <c r="AG326">
        <v>-6.99710000000002E-2</v>
      </c>
      <c r="AH326">
        <v>0.44163366265655102</v>
      </c>
      <c r="AI326">
        <v>98.9716042539021</v>
      </c>
      <c r="AJ326">
        <v>85.180003593979905</v>
      </c>
      <c r="AK326">
        <v>0.44869039229503999</v>
      </c>
    </row>
    <row r="327" spans="1:37" x14ac:dyDescent="0.2">
      <c r="A327" t="str">
        <f>"20200111153617371"</f>
        <v>20200111153617371</v>
      </c>
      <c r="B327" t="str">
        <f>"1578728177363196"</f>
        <v>1578728177363196</v>
      </c>
      <c r="C327" t="s">
        <v>37</v>
      </c>
      <c r="D327">
        <v>5.8886149999999997</v>
      </c>
      <c r="E327">
        <v>0.53861729999999997</v>
      </c>
      <c r="F327" t="s">
        <v>38</v>
      </c>
      <c r="G327">
        <v>-380.6918</v>
      </c>
      <c r="H327">
        <v>1.0331699999999999</v>
      </c>
      <c r="I327">
        <v>367.54349999999999</v>
      </c>
      <c r="J327">
        <v>-381.2371</v>
      </c>
      <c r="K327">
        <v>1.1047450000000001</v>
      </c>
      <c r="L327">
        <v>367.57249999999999</v>
      </c>
      <c r="M327">
        <v>0.99969379999999997</v>
      </c>
      <c r="N327">
        <v>0</v>
      </c>
      <c r="O327">
        <v>1.9788969999999999E-2</v>
      </c>
      <c r="P327">
        <v>0.99490789999999996</v>
      </c>
      <c r="Q327">
        <v>6.5032229999999996E-2</v>
      </c>
      <c r="R327">
        <v>7.7002580000000001E-2</v>
      </c>
      <c r="S327">
        <v>3.040375</v>
      </c>
      <c r="T327">
        <v>-0.27495890000000001</v>
      </c>
      <c r="U327">
        <v>-9.088135E-2</v>
      </c>
      <c r="V327">
        <v>-5.7317390000000003E-2</v>
      </c>
      <c r="W327">
        <v>7.9822699999999996E-2</v>
      </c>
      <c r="X327">
        <v>0.99515980000000004</v>
      </c>
      <c r="Y327">
        <v>4.9372579999999999E-2</v>
      </c>
      <c r="Z327">
        <v>-4.0133189999999996E-3</v>
      </c>
      <c r="AA327">
        <v>0.9987724</v>
      </c>
      <c r="AB327">
        <v>38</v>
      </c>
      <c r="AC327">
        <v>0.54529999999999701</v>
      </c>
      <c r="AD327">
        <v>-7.1574999999999903E-2</v>
      </c>
      <c r="AE327">
        <v>-2.89999999999963E-2</v>
      </c>
      <c r="AF327">
        <v>3.9114447013287298E-2</v>
      </c>
      <c r="AG327">
        <v>-7.1574999999999903E-2</v>
      </c>
      <c r="AH327">
        <v>0.53542068261930098</v>
      </c>
      <c r="AI327">
        <v>97.5941538930593</v>
      </c>
      <c r="AJ327">
        <v>85.821755232117596</v>
      </c>
      <c r="AK327">
        <v>0.54159784708459902</v>
      </c>
    </row>
    <row r="328" spans="1:37" x14ac:dyDescent="0.2">
      <c r="A328" t="str">
        <f>"20200111153617385"</f>
        <v>20200111153617385</v>
      </c>
      <c r="B328" t="str">
        <f>"1578728177372956"</f>
        <v>1578728177372956</v>
      </c>
      <c r="C328" t="s">
        <v>37</v>
      </c>
      <c r="D328">
        <v>5.8713280000000001</v>
      </c>
      <c r="E328">
        <v>0.53799799999999998</v>
      </c>
      <c r="F328" t="s">
        <v>38</v>
      </c>
      <c r="G328">
        <v>-380.35469999999998</v>
      </c>
      <c r="H328">
        <v>1.0268569999999999</v>
      </c>
      <c r="I328">
        <v>367.5496</v>
      </c>
      <c r="J328">
        <v>-380.98070000000001</v>
      </c>
      <c r="K328">
        <v>1.1047389999999999</v>
      </c>
      <c r="L328">
        <v>367.57769999999999</v>
      </c>
      <c r="M328">
        <v>0.99969229999999998</v>
      </c>
      <c r="N328">
        <v>0</v>
      </c>
      <c r="O328">
        <v>1.985222E-2</v>
      </c>
      <c r="P328">
        <v>0.99490449999999997</v>
      </c>
      <c r="Q328">
        <v>6.4747499999999999E-2</v>
      </c>
      <c r="R328">
        <v>7.7285729999999997E-2</v>
      </c>
      <c r="S328">
        <v>3.0389710000000001</v>
      </c>
      <c r="T328">
        <v>-0.2684493</v>
      </c>
      <c r="U328">
        <v>-7.8430180000000002E-2</v>
      </c>
      <c r="V328">
        <v>-5.7536030000000002E-2</v>
      </c>
      <c r="W328">
        <v>7.9543219999999998E-2</v>
      </c>
      <c r="X328">
        <v>0.99516959999999999</v>
      </c>
      <c r="Y328">
        <v>4.5388360000000003E-2</v>
      </c>
      <c r="Z328">
        <v>-3.7506570000000001E-3</v>
      </c>
      <c r="AA328">
        <v>0.99896240000000003</v>
      </c>
      <c r="AB328">
        <v>38</v>
      </c>
      <c r="AC328">
        <v>0.62600000000003297</v>
      </c>
      <c r="AD328">
        <v>-7.7882000000000007E-2</v>
      </c>
      <c r="AE328">
        <v>-2.80999999999949E-2</v>
      </c>
      <c r="AF328">
        <v>3.99068737036853E-2</v>
      </c>
      <c r="AG328">
        <v>-7.7882000000000007E-2</v>
      </c>
      <c r="AH328">
        <v>0.61580617955861505</v>
      </c>
      <c r="AI328">
        <v>97.193091529123095</v>
      </c>
      <c r="AJ328">
        <v>86.292173139325399</v>
      </c>
      <c r="AK328">
        <v>0.62199309905768196</v>
      </c>
    </row>
    <row r="329" spans="1:37" x14ac:dyDescent="0.2">
      <c r="A329" t="str">
        <f>"20200111153617400"</f>
        <v>20200111153617400</v>
      </c>
      <c r="B329" t="str">
        <f>"1578728177392983"</f>
        <v>1578728177392983</v>
      </c>
      <c r="C329" t="s">
        <v>37</v>
      </c>
      <c r="D329">
        <v>5.8885769999999997</v>
      </c>
      <c r="E329">
        <v>0.53714469999999903</v>
      </c>
      <c r="F329" t="s">
        <v>38</v>
      </c>
      <c r="G329">
        <v>-380.01799999999997</v>
      </c>
      <c r="H329">
        <v>1.020535</v>
      </c>
      <c r="I329">
        <v>367.55430000000001</v>
      </c>
      <c r="J329">
        <v>-380.70429999999999</v>
      </c>
      <c r="K329">
        <v>1.104727</v>
      </c>
      <c r="L329">
        <v>367.58319999999998</v>
      </c>
      <c r="M329">
        <v>0.9996912</v>
      </c>
      <c r="N329">
        <v>0</v>
      </c>
      <c r="O329">
        <v>1.9912940000000001E-2</v>
      </c>
      <c r="P329">
        <v>0.99502819999999903</v>
      </c>
      <c r="Q329">
        <v>6.3371170000000004E-2</v>
      </c>
      <c r="R329">
        <v>7.6832330000000004E-2</v>
      </c>
      <c r="S329">
        <v>3.0383610000000001</v>
      </c>
      <c r="T329">
        <v>-0.26607179999999903</v>
      </c>
      <c r="U329">
        <v>-7.2631840000000003E-2</v>
      </c>
      <c r="V329">
        <v>-5.701784E-2</v>
      </c>
      <c r="W329">
        <v>7.8174670000000002E-2</v>
      </c>
      <c r="X329">
        <v>0.99530790000000002</v>
      </c>
      <c r="Y329">
        <v>4.3560019999999998E-2</v>
      </c>
      <c r="Z329">
        <v>-3.643805E-3</v>
      </c>
      <c r="AA329">
        <v>0.99904419999999905</v>
      </c>
      <c r="AB329">
        <v>38</v>
      </c>
      <c r="AC329">
        <v>0.68629999999996005</v>
      </c>
      <c r="AD329">
        <v>-8.4192000000000003E-2</v>
      </c>
      <c r="AE329">
        <v>-2.88999999999646E-2</v>
      </c>
      <c r="AF329">
        <v>4.1932101411854501E-2</v>
      </c>
      <c r="AG329">
        <v>-8.4192000000000003E-2</v>
      </c>
      <c r="AH329">
        <v>0.67544147460434001</v>
      </c>
      <c r="AI329">
        <v>97.0916086496768</v>
      </c>
      <c r="AJ329">
        <v>86.447578142154299</v>
      </c>
      <c r="AK329">
        <v>0.681958781458601</v>
      </c>
    </row>
    <row r="330" spans="1:37" x14ac:dyDescent="0.2">
      <c r="A330" t="str">
        <f>"20200111153617423"</f>
        <v>20200111153617423</v>
      </c>
      <c r="B330" t="str">
        <f>"1578728177413478"</f>
        <v>1578728177413478</v>
      </c>
      <c r="C330" t="s">
        <v>37</v>
      </c>
      <c r="D330">
        <v>5.8691769999999996</v>
      </c>
      <c r="E330">
        <v>0.53696809999999995</v>
      </c>
      <c r="F330" t="s">
        <v>38</v>
      </c>
      <c r="G330">
        <v>-379.68150000000003</v>
      </c>
      <c r="H330">
        <v>1.0145569999999999</v>
      </c>
      <c r="I330">
        <v>367.56049999999999</v>
      </c>
      <c r="J330">
        <v>-380.33440000000002</v>
      </c>
      <c r="K330">
        <v>1.1047009999999999</v>
      </c>
      <c r="L330">
        <v>367.59059999999999</v>
      </c>
      <c r="M330">
        <v>0.99968959999999996</v>
      </c>
      <c r="N330">
        <v>0</v>
      </c>
      <c r="O330">
        <v>1.9978940000000001E-2</v>
      </c>
      <c r="P330">
        <v>0.99521000000000004</v>
      </c>
      <c r="Q330">
        <v>6.0877229999999997E-2</v>
      </c>
      <c r="R330">
        <v>7.6491429999999999E-2</v>
      </c>
      <c r="S330">
        <v>3.0372309999999998</v>
      </c>
      <c r="T330">
        <v>-0.26783459999999998</v>
      </c>
      <c r="U330">
        <v>-6.7230219999999993E-2</v>
      </c>
      <c r="V330">
        <v>-5.6604429999999997E-2</v>
      </c>
      <c r="W330">
        <v>7.5689640000000002E-2</v>
      </c>
      <c r="X330">
        <v>0.99552350000000001</v>
      </c>
      <c r="Y330">
        <v>4.1861889999999999E-2</v>
      </c>
      <c r="Z330">
        <v>-3.6003680000000001E-3</v>
      </c>
      <c r="AA330">
        <v>0.99911689999999997</v>
      </c>
      <c r="AB330">
        <v>38</v>
      </c>
      <c r="AC330">
        <v>0.65289999999998805</v>
      </c>
      <c r="AD330">
        <v>-9.0144000000000002E-2</v>
      </c>
      <c r="AE330">
        <v>-3.0100000000004401E-2</v>
      </c>
      <c r="AF330">
        <v>4.23343971176246E-2</v>
      </c>
      <c r="AG330">
        <v>-9.0144000000000002E-2</v>
      </c>
      <c r="AH330">
        <v>0.63999419273868896</v>
      </c>
      <c r="AI330">
        <v>98.000185334555894</v>
      </c>
      <c r="AJ330">
        <v>86.215506639496695</v>
      </c>
      <c r="AK330">
        <v>0.64769646336425102</v>
      </c>
    </row>
    <row r="331" spans="1:37" x14ac:dyDescent="0.2">
      <c r="A331" t="str">
        <f>"20200111153617436"</f>
        <v>20200111153617436</v>
      </c>
      <c r="B331" t="str">
        <f>"1578728177423239"</f>
        <v>1578728177423239</v>
      </c>
      <c r="C331" t="s">
        <v>37</v>
      </c>
      <c r="D331">
        <v>5.895594</v>
      </c>
      <c r="E331">
        <v>0.53704569999999996</v>
      </c>
      <c r="F331" t="s">
        <v>38</v>
      </c>
      <c r="G331">
        <v>-379.34219999999999</v>
      </c>
      <c r="H331">
        <v>1.015158</v>
      </c>
      <c r="I331">
        <v>367.56830000000002</v>
      </c>
      <c r="J331">
        <v>-380.10120000000001</v>
      </c>
      <c r="K331">
        <v>1.1046860000000001</v>
      </c>
      <c r="L331">
        <v>367.59539999999998</v>
      </c>
      <c r="M331">
        <v>0.99968899999999905</v>
      </c>
      <c r="N331">
        <v>0</v>
      </c>
      <c r="O331">
        <v>2.0011959999999999E-2</v>
      </c>
      <c r="P331">
        <v>0.99528930000000004</v>
      </c>
      <c r="Q331">
        <v>5.966395E-2</v>
      </c>
      <c r="R331">
        <v>7.641531E-2</v>
      </c>
      <c r="S331">
        <v>3.0364070000000001</v>
      </c>
      <c r="T331">
        <v>-0.27415349999999999</v>
      </c>
      <c r="U331">
        <v>-6.7657469999999997E-2</v>
      </c>
      <c r="V331">
        <v>-5.6491859999999998E-2</v>
      </c>
      <c r="W331">
        <v>7.4480950000000004E-2</v>
      </c>
      <c r="X331">
        <v>0.99562099999999898</v>
      </c>
      <c r="Y331">
        <v>4.202902E-2</v>
      </c>
      <c r="Z331">
        <v>-3.696464E-3</v>
      </c>
      <c r="AA331">
        <v>0.99910959999999904</v>
      </c>
      <c r="AB331">
        <v>38</v>
      </c>
      <c r="AC331">
        <v>0.759000000000014</v>
      </c>
      <c r="AD331">
        <v>-8.9527999999999996E-2</v>
      </c>
      <c r="AE331">
        <v>-2.70999999999617E-2</v>
      </c>
      <c r="AF331">
        <v>4.1705799388863402E-2</v>
      </c>
      <c r="AG331">
        <v>-8.9527999999999996E-2</v>
      </c>
      <c r="AH331">
        <v>0.74791280188905995</v>
      </c>
      <c r="AI331">
        <v>96.815553956320102</v>
      </c>
      <c r="AJ331">
        <v>86.808325645559705</v>
      </c>
      <c r="AK331">
        <v>0.75440585609883004</v>
      </c>
    </row>
    <row r="332" spans="1:37" x14ac:dyDescent="0.2">
      <c r="A332" t="str">
        <f>"20200111153617451"</f>
        <v>20200111153617451</v>
      </c>
      <c r="B332" t="str">
        <f>"1578728177442759"</f>
        <v>1578728177442759</v>
      </c>
      <c r="C332" t="s">
        <v>37</v>
      </c>
      <c r="D332">
        <v>5.8994080000000002</v>
      </c>
      <c r="E332">
        <v>0.53688100000000005</v>
      </c>
      <c r="F332" t="s">
        <v>38</v>
      </c>
      <c r="G332">
        <v>-379.3329</v>
      </c>
      <c r="H332">
        <v>1.034095</v>
      </c>
      <c r="I332">
        <v>367.57769999999999</v>
      </c>
      <c r="J332">
        <v>-379.86130000000003</v>
      </c>
      <c r="K332">
        <v>1.1046750000000001</v>
      </c>
      <c r="L332">
        <v>367.6003</v>
      </c>
      <c r="M332">
        <v>0.99968849999999998</v>
      </c>
      <c r="N332">
        <v>0</v>
      </c>
      <c r="O332">
        <v>2.0037989999999999E-2</v>
      </c>
      <c r="P332">
        <v>0.99530819999999998</v>
      </c>
      <c r="Q332">
        <v>5.9069139999999999E-2</v>
      </c>
      <c r="R332">
        <v>7.6635309999999998E-2</v>
      </c>
      <c r="S332">
        <v>3.0362239999999998</v>
      </c>
      <c r="T332">
        <v>-0.27916370000000001</v>
      </c>
      <c r="U332">
        <v>-6.8878170000000002E-2</v>
      </c>
      <c r="V332">
        <v>-5.6683789999999998E-2</v>
      </c>
      <c r="W332">
        <v>7.3889869999999996E-2</v>
      </c>
      <c r="X332">
        <v>0.99565419999999905</v>
      </c>
      <c r="Y332">
        <v>4.2446680000000001E-2</v>
      </c>
      <c r="Z332">
        <v>-3.785493E-3</v>
      </c>
      <c r="AA332">
        <v>0.99909159999999997</v>
      </c>
      <c r="AB332">
        <v>38</v>
      </c>
      <c r="AC332">
        <v>0.52840000000003295</v>
      </c>
      <c r="AD332">
        <v>-7.0580000000000004E-2</v>
      </c>
      <c r="AE332">
        <v>-2.2600000000011201E-2</v>
      </c>
      <c r="AF332">
        <v>3.26040559308787E-2</v>
      </c>
      <c r="AG332">
        <v>-7.0580000000000004E-2</v>
      </c>
      <c r="AH332">
        <v>0.51860504415099296</v>
      </c>
      <c r="AI332">
        <v>97.735017398792394</v>
      </c>
      <c r="AJ332">
        <v>86.402619942815903</v>
      </c>
      <c r="AK332">
        <v>0.52440037441061904</v>
      </c>
    </row>
    <row r="333" spans="1:37" x14ac:dyDescent="0.2">
      <c r="A333" t="str">
        <f>"20200111153617467"</f>
        <v>20200111153617467</v>
      </c>
      <c r="B333" t="str">
        <f>"1578728177453496"</f>
        <v>1578728177453496</v>
      </c>
      <c r="C333" t="s">
        <v>37</v>
      </c>
      <c r="D333">
        <v>5.9159819999999996</v>
      </c>
      <c r="E333">
        <v>0.53691269999999902</v>
      </c>
      <c r="F333" t="s">
        <v>38</v>
      </c>
      <c r="G333">
        <v>-378.99869999999999</v>
      </c>
      <c r="H333">
        <v>1.0250159999999999</v>
      </c>
      <c r="I333">
        <v>367.58099999999899</v>
      </c>
      <c r="J333">
        <v>-379.59300000000002</v>
      </c>
      <c r="K333">
        <v>1.104665</v>
      </c>
      <c r="L333">
        <v>367.60559999999998</v>
      </c>
      <c r="M333">
        <v>0.99968799999999902</v>
      </c>
      <c r="N333">
        <v>0</v>
      </c>
      <c r="O333">
        <v>2.00608E-2</v>
      </c>
      <c r="P333">
        <v>0.9953206</v>
      </c>
      <c r="Q333">
        <v>5.8522980000000002E-2</v>
      </c>
      <c r="R333">
        <v>7.68895E-2</v>
      </c>
      <c r="S333">
        <v>3.0359799999999999</v>
      </c>
      <c r="T333">
        <v>-0.28050359999999902</v>
      </c>
      <c r="U333">
        <v>-6.7016599999999996E-2</v>
      </c>
      <c r="V333">
        <v>-5.691301E-2</v>
      </c>
      <c r="W333">
        <v>7.3346320000000007E-2</v>
      </c>
      <c r="X333">
        <v>0.99568129999999999</v>
      </c>
      <c r="Y333">
        <v>4.1858810000000003E-2</v>
      </c>
      <c r="Z333">
        <v>-3.7789189999999999E-3</v>
      </c>
      <c r="AA333">
        <v>0.99911640000000002</v>
      </c>
      <c r="AB333">
        <v>38</v>
      </c>
      <c r="AC333">
        <v>0.59430000000003202</v>
      </c>
      <c r="AD333">
        <v>-7.9648999999999998E-2</v>
      </c>
      <c r="AE333">
        <v>-2.46000000000208E-2</v>
      </c>
      <c r="AF333">
        <v>3.5875221902392E-2</v>
      </c>
      <c r="AG333">
        <v>-7.9648999999999998E-2</v>
      </c>
      <c r="AH333">
        <v>0.58322892067936205</v>
      </c>
      <c r="AI333">
        <v>97.762034195227599</v>
      </c>
      <c r="AJ333">
        <v>86.480091829095997</v>
      </c>
      <c r="AK333">
        <v>0.58973465954135695</v>
      </c>
    </row>
    <row r="334" spans="1:37" x14ac:dyDescent="0.2">
      <c r="A334" t="str">
        <f>"20200111153617481"</f>
        <v>20200111153617481</v>
      </c>
      <c r="B334" t="str">
        <f>"1578728177473014"</f>
        <v>1578728177473014</v>
      </c>
      <c r="C334" t="s">
        <v>37</v>
      </c>
      <c r="D334">
        <v>5.9432309999999999</v>
      </c>
      <c r="E334">
        <v>0.5370144</v>
      </c>
      <c r="F334" t="s">
        <v>38</v>
      </c>
      <c r="G334">
        <v>-378.6635</v>
      </c>
      <c r="H334">
        <v>1.0186309999999901</v>
      </c>
      <c r="I334">
        <v>367.58510000000001</v>
      </c>
      <c r="J334">
        <v>-379.34589999999997</v>
      </c>
      <c r="K334">
        <v>1.104657</v>
      </c>
      <c r="L334">
        <v>367.61059999999998</v>
      </c>
      <c r="M334">
        <v>0.99968760000000001</v>
      </c>
      <c r="N334">
        <v>0</v>
      </c>
      <c r="O334">
        <v>2.0076299999999998E-2</v>
      </c>
      <c r="P334">
        <v>0.99532259999999995</v>
      </c>
      <c r="Q334">
        <v>5.8516640000000002E-2</v>
      </c>
      <c r="R334">
        <v>7.6870270000000004E-2</v>
      </c>
      <c r="S334">
        <v>3.0357970000000001</v>
      </c>
      <c r="T334">
        <v>-0.2810165</v>
      </c>
      <c r="U334">
        <v>-6.6864010000000001E-2</v>
      </c>
      <c r="V334">
        <v>-5.6876469999999998E-2</v>
      </c>
      <c r="W334">
        <v>7.3342519999999994E-2</v>
      </c>
      <c r="X334">
        <v>0.99568369999999995</v>
      </c>
      <c r="Y334">
        <v>4.1824519999999997E-2</v>
      </c>
      <c r="Z334">
        <v>-3.785877E-3</v>
      </c>
      <c r="AA334">
        <v>0.99911779999999994</v>
      </c>
      <c r="AB334">
        <v>38</v>
      </c>
      <c r="AC334">
        <v>0.68239999999997203</v>
      </c>
      <c r="AD334">
        <v>-8.6026000000000102E-2</v>
      </c>
      <c r="AE334">
        <v>-2.5499999999965401E-2</v>
      </c>
      <c r="AF334">
        <v>3.8584117202153399E-2</v>
      </c>
      <c r="AG334">
        <v>-8.6026000000000102E-2</v>
      </c>
      <c r="AH334">
        <v>0.67110010845007095</v>
      </c>
      <c r="AI334">
        <v>97.292798248721297</v>
      </c>
      <c r="AJ334">
        <v>86.709468523317994</v>
      </c>
      <c r="AK334">
        <v>0.67769060959848504</v>
      </c>
    </row>
    <row r="335" spans="1:37" x14ac:dyDescent="0.2">
      <c r="A335" t="str">
        <f>"20200111153617500"</f>
        <v>20200111153617500</v>
      </c>
      <c r="B335" t="str">
        <f>"1578728177493043"</f>
        <v>1578728177493043</v>
      </c>
      <c r="C335" t="s">
        <v>37</v>
      </c>
      <c r="D335">
        <v>5.9425109999999997</v>
      </c>
      <c r="E335">
        <v>0.53953260000000003</v>
      </c>
      <c r="F335" t="s">
        <v>38</v>
      </c>
      <c r="G335">
        <v>-378.32929999999999</v>
      </c>
      <c r="H335">
        <v>1.0111479999999999</v>
      </c>
      <c r="I335">
        <v>367.58780000000002</v>
      </c>
      <c r="J335">
        <v>-379.02019999999999</v>
      </c>
      <c r="K335">
        <v>1.104652</v>
      </c>
      <c r="L335">
        <v>367.61720000000003</v>
      </c>
      <c r="M335">
        <v>0.99968729999999995</v>
      </c>
      <c r="N335">
        <v>0</v>
      </c>
      <c r="O335">
        <v>2.0089159999999998E-2</v>
      </c>
      <c r="P335">
        <v>0.9953014</v>
      </c>
      <c r="Q335">
        <v>5.8544310000000002E-2</v>
      </c>
      <c r="R335">
        <v>7.7123399999999995E-2</v>
      </c>
      <c r="S335">
        <v>3.0357669999999999</v>
      </c>
      <c r="T335">
        <v>-0.27912779999999998</v>
      </c>
      <c r="U335">
        <v>-6.7962649999999999E-2</v>
      </c>
      <c r="V335">
        <v>-5.7115630000000001E-2</v>
      </c>
      <c r="W335">
        <v>7.3372000000000007E-2</v>
      </c>
      <c r="X335">
        <v>0.99566779999999999</v>
      </c>
      <c r="Y335">
        <v>4.2200889999999998E-2</v>
      </c>
      <c r="Z335">
        <v>-3.7790100000000002E-3</v>
      </c>
      <c r="AA335">
        <v>0.99910200000000005</v>
      </c>
      <c r="AB335">
        <v>38</v>
      </c>
      <c r="AC335">
        <v>0.69089999999999896</v>
      </c>
      <c r="AD335">
        <v>-9.3504000000000004E-2</v>
      </c>
      <c r="AE335">
        <v>-2.9400000000009599E-2</v>
      </c>
      <c r="AF335">
        <v>4.2498215965623198E-2</v>
      </c>
      <c r="AG335">
        <v>-9.3504000000000004E-2</v>
      </c>
      <c r="AH335">
        <v>0.67777812621761402</v>
      </c>
      <c r="AI335">
        <v>97.839549807443603</v>
      </c>
      <c r="AJ335">
        <v>86.412122582482496</v>
      </c>
      <c r="AK335">
        <v>0.68551607184319197</v>
      </c>
    </row>
    <row r="336" spans="1:37" x14ac:dyDescent="0.2">
      <c r="A336" t="str">
        <f>"20200111153617513"</f>
        <v>20200111153617513</v>
      </c>
      <c r="B336" t="str">
        <f>"1578728177502804"</f>
        <v>1578728177502804</v>
      </c>
      <c r="C336" t="s">
        <v>37</v>
      </c>
      <c r="D336">
        <v>5.970961</v>
      </c>
      <c r="E336">
        <v>0.53932500000000005</v>
      </c>
      <c r="F336" t="s">
        <v>38</v>
      </c>
      <c r="G336">
        <v>-377.9769</v>
      </c>
      <c r="H336">
        <v>1.0406899999999999</v>
      </c>
      <c r="I336">
        <v>367.5872</v>
      </c>
      <c r="J336">
        <v>-378.78949999999998</v>
      </c>
      <c r="K336">
        <v>1.104649</v>
      </c>
      <c r="L336">
        <v>367.62180000000001</v>
      </c>
      <c r="M336">
        <v>0.99968729999999995</v>
      </c>
      <c r="N336">
        <v>0</v>
      </c>
      <c r="O336">
        <v>2.0094230000000001E-2</v>
      </c>
      <c r="P336">
        <v>0.99527790000000005</v>
      </c>
      <c r="Q336">
        <v>5.8118370000000003E-2</v>
      </c>
      <c r="R336">
        <v>7.7744499999999994E-2</v>
      </c>
      <c r="S336">
        <v>3.0317689999999899</v>
      </c>
      <c r="T336">
        <v>-0.1860781</v>
      </c>
      <c r="U336">
        <v>-8.612061E-2</v>
      </c>
      <c r="V336">
        <v>-5.7730360000000001E-2</v>
      </c>
      <c r="W336">
        <v>7.2946849999999994E-2</v>
      </c>
      <c r="X336">
        <v>0.99566359999999998</v>
      </c>
      <c r="Y336">
        <v>4.8348519999999999E-2</v>
      </c>
      <c r="Z336">
        <v>-2.7140879999999999E-3</v>
      </c>
      <c r="AA336">
        <v>0.99882689999999996</v>
      </c>
      <c r="AB336">
        <v>38</v>
      </c>
      <c r="AC336">
        <v>0.81259999999997401</v>
      </c>
      <c r="AD336">
        <v>-6.3959000000000099E-2</v>
      </c>
      <c r="AE336">
        <v>-3.4600000000011698E-2</v>
      </c>
      <c r="AF336">
        <v>5.0610422368032301E-2</v>
      </c>
      <c r="AG336">
        <v>-6.3959000000000099E-2</v>
      </c>
      <c r="AH336">
        <v>0.80675167640877699</v>
      </c>
      <c r="AI336">
        <v>94.524052597682001</v>
      </c>
      <c r="AJ336">
        <v>86.410334636774806</v>
      </c>
      <c r="AK336">
        <v>0.81086400581209805</v>
      </c>
    </row>
    <row r="337" spans="1:37" x14ac:dyDescent="0.2">
      <c r="A337" t="str">
        <f>"20200111153617527"</f>
        <v>20200111153617527</v>
      </c>
      <c r="B337" t="str">
        <f>"1578728177523300"</f>
        <v>1578728177523300</v>
      </c>
      <c r="C337" t="s">
        <v>37</v>
      </c>
      <c r="D337">
        <v>5.9710510000000001</v>
      </c>
      <c r="E337">
        <v>0.53849259999999999</v>
      </c>
      <c r="F337" t="s">
        <v>39</v>
      </c>
      <c r="G337">
        <v>-361.05689999999998</v>
      </c>
      <c r="H337" s="1">
        <v>-4.2586799999999999E-6</v>
      </c>
      <c r="I337">
        <v>367.13699999999898</v>
      </c>
      <c r="J337">
        <v>-378.56650000000002</v>
      </c>
      <c r="K337">
        <v>1.1046419999999999</v>
      </c>
      <c r="L337">
        <v>367.62630000000001</v>
      </c>
      <c r="M337">
        <v>0.99968729999999995</v>
      </c>
      <c r="N337">
        <v>0</v>
      </c>
      <c r="O337">
        <v>2.0095439999999999E-2</v>
      </c>
      <c r="P337">
        <v>0.99524769999999896</v>
      </c>
      <c r="Q337">
        <v>5.8088880000000002E-2</v>
      </c>
      <c r="R337">
        <v>7.8152159999999998E-2</v>
      </c>
      <c r="S337">
        <v>3.0317689999999899</v>
      </c>
      <c r="T337">
        <v>-0.18886329999999901</v>
      </c>
      <c r="U337">
        <v>-8.2885739999999999E-2</v>
      </c>
      <c r="V337">
        <v>-5.8136409999999999E-2</v>
      </c>
      <c r="W337">
        <v>7.2917830000000003E-2</v>
      </c>
      <c r="X337">
        <v>0.99564209999999997</v>
      </c>
      <c r="Y337">
        <v>4.7282970000000001E-2</v>
      </c>
      <c r="Z337">
        <v>-2.7215970000000001E-3</v>
      </c>
      <c r="AA337">
        <v>0.99887780000000004</v>
      </c>
      <c r="AB337">
        <v>38</v>
      </c>
      <c r="AC337">
        <v>17.509599999999999</v>
      </c>
      <c r="AD337">
        <v>-1.1046462586799899</v>
      </c>
      <c r="AE337">
        <v>-0.48930000000007101</v>
      </c>
      <c r="AF337">
        <v>0.83777144671054804</v>
      </c>
      <c r="AG337">
        <v>-1.1046462586799899</v>
      </c>
      <c r="AH337">
        <v>17.426922873099699</v>
      </c>
      <c r="AI337">
        <v>93.622801825886796</v>
      </c>
      <c r="AJ337">
        <v>87.247715950171795</v>
      </c>
      <c r="AK337">
        <v>17.4819834452131</v>
      </c>
    </row>
    <row r="338" spans="1:37" x14ac:dyDescent="0.2">
      <c r="A338" t="str">
        <f>"20200111153617545"</f>
        <v>20200111153617545</v>
      </c>
      <c r="B338" t="str">
        <f>"1578728177533060"</f>
        <v>1578728177533060</v>
      </c>
      <c r="C338" t="s">
        <v>37</v>
      </c>
      <c r="D338">
        <v>5.9589610000000004</v>
      </c>
      <c r="E338">
        <v>0.53835549999999999</v>
      </c>
      <c r="F338" t="s">
        <v>38</v>
      </c>
      <c r="G338">
        <v>-377.63729999999998</v>
      </c>
      <c r="H338">
        <v>1.0438940000000001</v>
      </c>
      <c r="I338">
        <v>367.60309999999998</v>
      </c>
      <c r="J338">
        <v>-378.25959999999998</v>
      </c>
      <c r="K338">
        <v>1.104635</v>
      </c>
      <c r="L338">
        <v>367.63249999999999</v>
      </c>
      <c r="M338">
        <v>0.99968749999999995</v>
      </c>
      <c r="N338">
        <v>0</v>
      </c>
      <c r="O338">
        <v>2.0087580000000001E-2</v>
      </c>
      <c r="P338">
        <v>0.99525599999999903</v>
      </c>
      <c r="Q338">
        <v>5.6846689999999998E-2</v>
      </c>
      <c r="R338">
        <v>7.8955189999999995E-2</v>
      </c>
      <c r="S338">
        <v>3.0317689999999899</v>
      </c>
      <c r="T338">
        <v>-0.198365299999999</v>
      </c>
      <c r="U338">
        <v>-7.4981690000000004E-2</v>
      </c>
      <c r="V338">
        <v>-5.894547E-2</v>
      </c>
      <c r="W338">
        <v>7.1677030000000003E-2</v>
      </c>
      <c r="X338">
        <v>0.99568459999999903</v>
      </c>
      <c r="Y338">
        <v>4.466473E-2</v>
      </c>
      <c r="Z338">
        <v>-2.7722659999999998E-3</v>
      </c>
      <c r="AA338">
        <v>0.99899819999999995</v>
      </c>
      <c r="AB338">
        <v>38</v>
      </c>
      <c r="AC338">
        <v>0.62229999999999497</v>
      </c>
      <c r="AD338">
        <v>-6.0740999999999899E-2</v>
      </c>
      <c r="AE338">
        <v>-2.9400000000009599E-2</v>
      </c>
      <c r="AF338">
        <v>4.1501440439691097E-2</v>
      </c>
      <c r="AG338">
        <v>-6.0740999999999899E-2</v>
      </c>
      <c r="AH338">
        <v>0.61573065557822304</v>
      </c>
      <c r="AI338">
        <v>95.621250764194798</v>
      </c>
      <c r="AJ338">
        <v>86.143985592891795</v>
      </c>
      <c r="AK338">
        <v>0.62010973130435398</v>
      </c>
    </row>
    <row r="339" spans="1:37" x14ac:dyDescent="0.2">
      <c r="A339" t="str">
        <f>"20200111153617569"</f>
        <v>20200111153617569</v>
      </c>
      <c r="B339" t="str">
        <f>"1578728177563315"</f>
        <v>1578728177563315</v>
      </c>
      <c r="C339" t="s">
        <v>37</v>
      </c>
      <c r="D339">
        <v>6.1447609999999999</v>
      </c>
      <c r="E339">
        <v>0.53836919999999899</v>
      </c>
      <c r="F339" t="s">
        <v>38</v>
      </c>
      <c r="G339">
        <v>-377.30450000000002</v>
      </c>
      <c r="H339">
        <v>1.0378799999999999</v>
      </c>
      <c r="I339">
        <v>367.6096</v>
      </c>
      <c r="J339">
        <v>-377.87709999999998</v>
      </c>
      <c r="K339">
        <v>1.1046129999999901</v>
      </c>
      <c r="L339">
        <v>367.64019999999999</v>
      </c>
      <c r="M339">
        <v>0.99968819999999903</v>
      </c>
      <c r="N339">
        <v>0</v>
      </c>
      <c r="O339">
        <v>2.0051349999999999E-2</v>
      </c>
      <c r="P339">
        <v>0.99524000000000001</v>
      </c>
      <c r="Q339">
        <v>5.6172329999999999E-2</v>
      </c>
      <c r="R339">
        <v>7.9638559999999997E-2</v>
      </c>
      <c r="S339">
        <v>3.0321039999999999</v>
      </c>
      <c r="T339">
        <v>-0.21208379999999899</v>
      </c>
      <c r="U339">
        <v>-7.1807860000000001E-2</v>
      </c>
      <c r="V339">
        <v>-5.9661449999999998E-2</v>
      </c>
      <c r="W339">
        <v>7.1004510000000007E-2</v>
      </c>
      <c r="X339">
        <v>0.99569019999999997</v>
      </c>
      <c r="Y339">
        <v>4.356372E-2</v>
      </c>
      <c r="Z339">
        <v>-2.922259E-3</v>
      </c>
      <c r="AA339">
        <v>0.9990464</v>
      </c>
      <c r="AB339">
        <v>38</v>
      </c>
      <c r="AC339">
        <v>0.57259999999996503</v>
      </c>
      <c r="AD339">
        <v>-6.6732999999999904E-2</v>
      </c>
      <c r="AE339">
        <v>-3.0599999999992598E-2</v>
      </c>
      <c r="AF339">
        <v>4.1514260763299698E-2</v>
      </c>
      <c r="AG339">
        <v>-6.6732999999999904E-2</v>
      </c>
      <c r="AH339">
        <v>0.56422941240192903</v>
      </c>
      <c r="AI339">
        <v>96.727180767911605</v>
      </c>
      <c r="AJ339">
        <v>85.791935783036394</v>
      </c>
      <c r="AK339">
        <v>0.56967671266706099</v>
      </c>
    </row>
    <row r="340" spans="1:37" x14ac:dyDescent="0.2">
      <c r="A340" t="str">
        <f>"20200111153617590"</f>
        <v>20200111153617590</v>
      </c>
      <c r="B340" t="str">
        <f>"1578728177582835"</f>
        <v>1578728177582835</v>
      </c>
      <c r="C340" t="s">
        <v>37</v>
      </c>
      <c r="D340">
        <v>5.5793119999999998</v>
      </c>
      <c r="E340">
        <v>0.51101009999999902</v>
      </c>
      <c r="F340" t="s">
        <v>38</v>
      </c>
      <c r="G340">
        <v>-376.96910000000003</v>
      </c>
      <c r="H340">
        <v>1.0358719999999999</v>
      </c>
      <c r="I340">
        <v>367.6189</v>
      </c>
      <c r="J340">
        <v>-377.51119999999997</v>
      </c>
      <c r="K340">
        <v>1.104587</v>
      </c>
      <c r="L340">
        <v>367.64749999999998</v>
      </c>
      <c r="M340">
        <v>0.99968950000000001</v>
      </c>
      <c r="N340">
        <v>0</v>
      </c>
      <c r="O340">
        <v>1.9984660000000001E-2</v>
      </c>
      <c r="P340">
        <v>0.99518109999999904</v>
      </c>
      <c r="Q340">
        <v>5.5792519999999998E-2</v>
      </c>
      <c r="R340">
        <v>8.0635059999999995E-2</v>
      </c>
      <c r="S340">
        <v>3.0329899999999999</v>
      </c>
      <c r="T340">
        <v>-0.22976540000000001</v>
      </c>
      <c r="U340">
        <v>-7.0678710000000006E-2</v>
      </c>
      <c r="V340">
        <v>-6.0721339999999999E-2</v>
      </c>
      <c r="W340">
        <v>7.0627319999999993E-2</v>
      </c>
      <c r="X340">
        <v>0.99565289999999995</v>
      </c>
      <c r="Y340">
        <v>4.309313E-2</v>
      </c>
      <c r="Z340">
        <v>-3.141469E-3</v>
      </c>
      <c r="AA340">
        <v>0.99906609999999996</v>
      </c>
      <c r="AB340">
        <v>38</v>
      </c>
      <c r="AC340">
        <v>0.54209999999994796</v>
      </c>
      <c r="AD340">
        <v>-6.8714999999999998E-2</v>
      </c>
      <c r="AE340">
        <v>-2.8599999999983E-2</v>
      </c>
      <c r="AF340">
        <v>3.8807370305521498E-2</v>
      </c>
      <c r="AG340">
        <v>-6.8714999999999998E-2</v>
      </c>
      <c r="AH340">
        <v>0.53288185217520301</v>
      </c>
      <c r="AI340">
        <v>97.328535201525298</v>
      </c>
      <c r="AJ340">
        <v>85.834761169636096</v>
      </c>
      <c r="AK340">
        <v>0.53869363426042505</v>
      </c>
    </row>
    <row r="341" spans="1:37" x14ac:dyDescent="0.2">
      <c r="A341" t="str">
        <f>"20200111153617612"</f>
        <v>20200111153617612</v>
      </c>
      <c r="B341" t="str">
        <f>"1578728177603334"</f>
        <v>1578728177603334</v>
      </c>
      <c r="C341" t="s">
        <v>37</v>
      </c>
      <c r="D341">
        <v>5.8330479999999998</v>
      </c>
      <c r="E341">
        <v>0.49414989999999998</v>
      </c>
      <c r="F341" t="s">
        <v>39</v>
      </c>
      <c r="G341">
        <v>-357.99900000000002</v>
      </c>
      <c r="H341" s="1">
        <v>-1.0172969999999999E-6</v>
      </c>
      <c r="I341">
        <v>368.62110000000001</v>
      </c>
      <c r="J341">
        <v>-377.13780000000003</v>
      </c>
      <c r="K341">
        <v>1.1045529999999999</v>
      </c>
      <c r="L341">
        <v>367.65480000000002</v>
      </c>
      <c r="M341">
        <v>0.99969169999999996</v>
      </c>
      <c r="N341">
        <v>0</v>
      </c>
      <c r="O341">
        <v>1.9877869999999999E-2</v>
      </c>
      <c r="P341">
        <v>0.9951757</v>
      </c>
      <c r="Q341">
        <v>5.5320639999999997E-2</v>
      </c>
      <c r="R341">
        <v>8.1025440000000004E-2</v>
      </c>
      <c r="S341">
        <v>3.0119319999999998</v>
      </c>
      <c r="T341">
        <v>-0.17050479999999901</v>
      </c>
      <c r="U341">
        <v>0.15029909999999999</v>
      </c>
      <c r="V341">
        <v>-6.1211880000000003E-2</v>
      </c>
      <c r="W341">
        <v>7.0158810000000002E-2</v>
      </c>
      <c r="X341">
        <v>0.99565599999999999</v>
      </c>
      <c r="Y341">
        <v>-2.9957890000000001E-2</v>
      </c>
      <c r="Z341">
        <v>-2.768634E-4</v>
      </c>
      <c r="AA341">
        <v>0.99955110000000003</v>
      </c>
      <c r="AB341">
        <v>38</v>
      </c>
      <c r="AC341">
        <v>19.1388</v>
      </c>
      <c r="AD341">
        <v>-1.1045540172970001</v>
      </c>
      <c r="AE341">
        <v>0.96629999999998895</v>
      </c>
      <c r="AF341">
        <v>-0.58368914632453195</v>
      </c>
      <c r="AG341">
        <v>-1.1045540172970001</v>
      </c>
      <c r="AH341">
        <v>19.090802375114801</v>
      </c>
      <c r="AI341">
        <v>93.309779520438397</v>
      </c>
      <c r="AJ341">
        <v>91.7512364903546</v>
      </c>
      <c r="AK341">
        <v>19.1316352652447</v>
      </c>
    </row>
    <row r="342" spans="1:37" x14ac:dyDescent="0.2">
      <c r="A342" t="str">
        <f>"20200111153617625"</f>
        <v>20200111153617625</v>
      </c>
      <c r="B342" t="str">
        <f>"1578728177622852"</f>
        <v>1578728177622852</v>
      </c>
      <c r="C342" t="s">
        <v>37</v>
      </c>
      <c r="D342">
        <v>5.7566480000000002</v>
      </c>
      <c r="E342">
        <v>0.49061979999999999</v>
      </c>
      <c r="F342" t="s">
        <v>39</v>
      </c>
      <c r="G342">
        <v>-362.13060000000002</v>
      </c>
      <c r="H342" s="1">
        <v>-3.4538720000000002E-6</v>
      </c>
      <c r="I342">
        <v>369.0772</v>
      </c>
      <c r="J342">
        <v>-376.9092</v>
      </c>
      <c r="K342">
        <v>1.104527</v>
      </c>
      <c r="L342">
        <v>367.65940000000001</v>
      </c>
      <c r="M342">
        <v>0.99969349999999901</v>
      </c>
      <c r="N342">
        <v>0</v>
      </c>
      <c r="O342">
        <v>1.9788799999999999E-2</v>
      </c>
      <c r="P342">
        <v>0.9951894</v>
      </c>
      <c r="Q342">
        <v>5.4993760000000003E-2</v>
      </c>
      <c r="R342">
        <v>8.1079109999999996E-2</v>
      </c>
      <c r="S342">
        <v>3.0036930000000002</v>
      </c>
      <c r="T342">
        <v>-0.22107579999999999</v>
      </c>
      <c r="U342">
        <v>0.28469850000000002</v>
      </c>
      <c r="V342">
        <v>-6.1350019999999998E-2</v>
      </c>
      <c r="W342">
        <v>6.9834399999999894E-2</v>
      </c>
      <c r="X342">
        <v>0.99567030000000001</v>
      </c>
      <c r="Y342">
        <v>-7.4492180000000005E-2</v>
      </c>
      <c r="Z342">
        <v>1.280537E-3</v>
      </c>
      <c r="AA342">
        <v>0.99722080000000002</v>
      </c>
      <c r="AB342">
        <v>38</v>
      </c>
      <c r="AC342">
        <v>14.7785999999999</v>
      </c>
      <c r="AD342">
        <v>-1.104530453872</v>
      </c>
      <c r="AE342">
        <v>1.41779999999999</v>
      </c>
      <c r="AF342">
        <v>-1.11884647649651</v>
      </c>
      <c r="AG342">
        <v>-1.104530453872</v>
      </c>
      <c r="AH342">
        <v>14.7222787427651</v>
      </c>
      <c r="AI342">
        <v>94.278254003218507</v>
      </c>
      <c r="AJ342">
        <v>94.345943621679396</v>
      </c>
      <c r="AK342">
        <v>14.805988529685299</v>
      </c>
    </row>
    <row r="343" spans="1:37" x14ac:dyDescent="0.2">
      <c r="A343" t="str">
        <f>"20200111153617638"</f>
        <v>20200111153617638</v>
      </c>
      <c r="B343" t="str">
        <f>"1578728177633588"</f>
        <v>1578728177633588</v>
      </c>
      <c r="C343" t="s">
        <v>37</v>
      </c>
      <c r="D343">
        <v>5.7967329999999997</v>
      </c>
      <c r="E343">
        <v>0.4901991</v>
      </c>
      <c r="F343" t="s">
        <v>39</v>
      </c>
      <c r="G343">
        <v>-362.90499999999997</v>
      </c>
      <c r="H343" s="1">
        <v>-3.1146229999999998E-6</v>
      </c>
      <c r="I343">
        <v>369.11689999999999</v>
      </c>
      <c r="J343">
        <v>-376.69260000000003</v>
      </c>
      <c r="K343">
        <v>1.104498</v>
      </c>
      <c r="L343">
        <v>367.6635</v>
      </c>
      <c r="M343">
        <v>0.99969540000000001</v>
      </c>
      <c r="N343">
        <v>0</v>
      </c>
      <c r="O343">
        <v>1.9690360000000001E-2</v>
      </c>
      <c r="P343">
        <v>0.99522509999999997</v>
      </c>
      <c r="Q343">
        <v>5.4419790000000003E-2</v>
      </c>
      <c r="R343">
        <v>8.1028669999999997E-2</v>
      </c>
      <c r="S343">
        <v>3.0021360000000001</v>
      </c>
      <c r="T343">
        <v>-0.23678109999999999</v>
      </c>
      <c r="U343">
        <v>0.31246950000000001</v>
      </c>
      <c r="V343">
        <v>-6.1393290000000003E-2</v>
      </c>
      <c r="W343">
        <v>6.9264039999999999E-2</v>
      </c>
      <c r="X343">
        <v>0.99570749999999997</v>
      </c>
      <c r="Y343">
        <v>-8.3719719999999997E-2</v>
      </c>
      <c r="Z343">
        <v>1.741434E-3</v>
      </c>
      <c r="AA343">
        <v>0.99648780000000003</v>
      </c>
      <c r="AB343">
        <v>38</v>
      </c>
      <c r="AC343">
        <v>13.787599999999999</v>
      </c>
      <c r="AD343">
        <v>-1.1045011146229999</v>
      </c>
      <c r="AE343">
        <v>1.45339999999998</v>
      </c>
      <c r="AF343">
        <v>-1.1741531655441899</v>
      </c>
      <c r="AG343">
        <v>-1.1045011146229999</v>
      </c>
      <c r="AH343">
        <v>13.726428416988901</v>
      </c>
      <c r="AI343">
        <v>94.583742803613603</v>
      </c>
      <c r="AJ343">
        <v>94.889156422322799</v>
      </c>
      <c r="AK343">
        <v>13.8207595831445</v>
      </c>
    </row>
    <row r="344" spans="1:37" x14ac:dyDescent="0.2">
      <c r="A344" t="str">
        <f>"20200111153617656"</f>
        <v>20200111153617656</v>
      </c>
      <c r="B344" t="str">
        <f>"1578728177653108"</f>
        <v>1578728177653108</v>
      </c>
      <c r="C344" t="s">
        <v>37</v>
      </c>
      <c r="D344">
        <v>5.7323469999999999</v>
      </c>
      <c r="E344">
        <v>0.48886540000000001</v>
      </c>
      <c r="F344" t="s">
        <v>39</v>
      </c>
      <c r="G344">
        <v>-363.0822</v>
      </c>
      <c r="H344" s="1">
        <v>-3.0426529999999999E-6</v>
      </c>
      <c r="I344">
        <v>369.09429999999998</v>
      </c>
      <c r="J344">
        <v>-376.4042</v>
      </c>
      <c r="K344">
        <v>1.1044559999999899</v>
      </c>
      <c r="L344">
        <v>367.66910000000001</v>
      </c>
      <c r="M344">
        <v>0.9996988</v>
      </c>
      <c r="N344">
        <v>0</v>
      </c>
      <c r="O344">
        <v>1.952096E-2</v>
      </c>
      <c r="P344">
        <v>0.99527999999999905</v>
      </c>
      <c r="Q344">
        <v>5.2999350000000001E-2</v>
      </c>
      <c r="R344">
        <v>8.1295220000000001E-2</v>
      </c>
      <c r="S344">
        <v>3.002014</v>
      </c>
      <c r="T344">
        <v>-0.24361439999999901</v>
      </c>
      <c r="U344">
        <v>0.31558229999999998</v>
      </c>
      <c r="V344">
        <v>-6.1821880000000003E-2</v>
      </c>
      <c r="W344">
        <v>6.7848320000000004E-2</v>
      </c>
      <c r="X344">
        <v>0.99577839999999995</v>
      </c>
      <c r="Y344">
        <v>-8.4898909999999994E-2</v>
      </c>
      <c r="Z344">
        <v>1.8528259999999999E-3</v>
      </c>
      <c r="AA344">
        <v>0.99638780000000005</v>
      </c>
      <c r="AB344">
        <v>38</v>
      </c>
      <c r="AC344">
        <v>13.321999999999999</v>
      </c>
      <c r="AD344">
        <v>-1.1044590426530001</v>
      </c>
      <c r="AE344">
        <v>1.4251999999999601</v>
      </c>
      <c r="AF344">
        <v>-1.1569791708025501</v>
      </c>
      <c r="AG344">
        <v>-1.1044590426530001</v>
      </c>
      <c r="AH344">
        <v>13.2571966545332</v>
      </c>
      <c r="AI344">
        <v>94.744372170224594</v>
      </c>
      <c r="AJ344">
        <v>94.987667740456402</v>
      </c>
      <c r="AK344">
        <v>13.3533401707413</v>
      </c>
    </row>
    <row r="345" spans="1:37" x14ac:dyDescent="0.2">
      <c r="A345" t="str">
        <f>"20200111153617678"</f>
        <v>20200111153617678</v>
      </c>
      <c r="B345" t="str">
        <f>"1578728177673604"</f>
        <v>1578728177673604</v>
      </c>
      <c r="C345" t="s">
        <v>37</v>
      </c>
      <c r="D345">
        <v>5.755986</v>
      </c>
      <c r="E345">
        <v>0.48844860000000001</v>
      </c>
      <c r="F345" t="s">
        <v>39</v>
      </c>
      <c r="G345">
        <v>-362.5335</v>
      </c>
      <c r="H345" s="1">
        <v>-3.2627870000000002E-6</v>
      </c>
      <c r="I345">
        <v>369.18009999999998</v>
      </c>
      <c r="J345">
        <v>-376.03489999999999</v>
      </c>
      <c r="K345">
        <v>1.104403</v>
      </c>
      <c r="L345">
        <v>367.67610000000002</v>
      </c>
      <c r="M345">
        <v>0.99970389999999998</v>
      </c>
      <c r="N345">
        <v>0</v>
      </c>
      <c r="O345">
        <v>1.9255299999999999E-2</v>
      </c>
      <c r="P345">
        <v>0.99532350000000003</v>
      </c>
      <c r="Q345">
        <v>5.2494039999999999E-2</v>
      </c>
      <c r="R345">
        <v>8.1088549999999995E-2</v>
      </c>
      <c r="S345">
        <v>3.0002140000000002</v>
      </c>
      <c r="T345">
        <v>-0.23889169999999901</v>
      </c>
      <c r="U345">
        <v>0.3268433</v>
      </c>
      <c r="V345">
        <v>-6.1870990000000001E-2</v>
      </c>
      <c r="W345">
        <v>6.7348779999999997E-2</v>
      </c>
      <c r="X345">
        <v>0.99580930000000001</v>
      </c>
      <c r="Y345">
        <v>-8.891723E-2</v>
      </c>
      <c r="Z345">
        <v>1.9980589999999999E-3</v>
      </c>
      <c r="AA345">
        <v>0.99603699999999995</v>
      </c>
      <c r="AB345">
        <v>38</v>
      </c>
      <c r="AC345">
        <v>13.501399999999901</v>
      </c>
      <c r="AD345">
        <v>-1.1044062627869999</v>
      </c>
      <c r="AE345">
        <v>1.50399999999996</v>
      </c>
      <c r="AF345">
        <v>-1.23555288573781</v>
      </c>
      <c r="AG345">
        <v>-1.1044062627869999</v>
      </c>
      <c r="AH345">
        <v>13.439039139538901</v>
      </c>
      <c r="AI345">
        <v>94.678308861752498</v>
      </c>
      <c r="AJ345">
        <v>95.252869168286097</v>
      </c>
      <c r="AK345">
        <v>13.540830001177801</v>
      </c>
    </row>
    <row r="346" spans="1:37" x14ac:dyDescent="0.2">
      <c r="A346" t="str">
        <f>"20200111153617692"</f>
        <v>20200111153617692</v>
      </c>
      <c r="B346" t="str">
        <f>"1578728177683364"</f>
        <v>1578728177683364</v>
      </c>
      <c r="C346" t="s">
        <v>37</v>
      </c>
      <c r="D346">
        <v>6.0164790000000004</v>
      </c>
      <c r="E346">
        <v>0.48831000000000002</v>
      </c>
      <c r="F346" t="s">
        <v>39</v>
      </c>
      <c r="G346">
        <v>-362.69639999999998</v>
      </c>
      <c r="H346" s="1">
        <v>-3.200006E-6</v>
      </c>
      <c r="I346">
        <v>369.14</v>
      </c>
      <c r="J346">
        <v>-375.80279999999999</v>
      </c>
      <c r="K346">
        <v>1.1043689999999999</v>
      </c>
      <c r="L346">
        <v>367.68040000000002</v>
      </c>
      <c r="M346">
        <v>0.99970789999999998</v>
      </c>
      <c r="N346">
        <v>0</v>
      </c>
      <c r="O346">
        <v>1.9051990000000001E-2</v>
      </c>
      <c r="P346">
        <v>0.99534219999999896</v>
      </c>
      <c r="Q346">
        <v>5.1978610000000001E-2</v>
      </c>
      <c r="R346">
        <v>8.119266E-2</v>
      </c>
      <c r="S346">
        <v>3.000397</v>
      </c>
      <c r="T346">
        <v>-0.248425799999999</v>
      </c>
      <c r="U346">
        <v>0.32931519999999997</v>
      </c>
      <c r="V346">
        <v>-6.2172289999999998E-2</v>
      </c>
      <c r="W346">
        <v>6.6836859999999998E-2</v>
      </c>
      <c r="X346">
        <v>0.99582499999999996</v>
      </c>
      <c r="Y346">
        <v>-8.990244E-2</v>
      </c>
      <c r="Z346">
        <v>2.1346629999999902E-3</v>
      </c>
      <c r="AA346">
        <v>0.99594830000000001</v>
      </c>
      <c r="AB346">
        <v>37</v>
      </c>
      <c r="AC346">
        <v>13.106400000000001</v>
      </c>
      <c r="AD346">
        <v>-1.1043722000059999</v>
      </c>
      <c r="AE346">
        <v>1.45959999999996</v>
      </c>
      <c r="AF346">
        <v>-1.2011803835421599</v>
      </c>
      <c r="AG346">
        <v>-1.1043722000059999</v>
      </c>
      <c r="AH346">
        <v>13.0403782698024</v>
      </c>
      <c r="AI346">
        <v>94.820442092575206</v>
      </c>
      <c r="AJ346">
        <v>95.262800191726498</v>
      </c>
      <c r="AK346">
        <v>13.1420674815451</v>
      </c>
    </row>
    <row r="347" spans="1:37" x14ac:dyDescent="0.2">
      <c r="A347" t="str">
        <f>"20200111153617713"</f>
        <v>20200111153617713</v>
      </c>
      <c r="B347" t="str">
        <f>"1578728177702886"</f>
        <v>1578728177702886</v>
      </c>
      <c r="C347" t="s">
        <v>37</v>
      </c>
      <c r="D347">
        <v>6.0203110000000004</v>
      </c>
      <c r="E347">
        <v>0.48804510000000001</v>
      </c>
      <c r="F347" t="s">
        <v>39</v>
      </c>
      <c r="G347">
        <v>-362.37139999999999</v>
      </c>
      <c r="H347" s="1">
        <v>-3.3362759999999999E-6</v>
      </c>
      <c r="I347">
        <v>369.15800000000002</v>
      </c>
      <c r="J347">
        <v>-375.45069999999998</v>
      </c>
      <c r="K347">
        <v>1.104317</v>
      </c>
      <c r="L347">
        <v>367.68669999999997</v>
      </c>
      <c r="M347">
        <v>0.9997144</v>
      </c>
      <c r="N347">
        <v>0</v>
      </c>
      <c r="O347">
        <v>1.8706939999999998E-2</v>
      </c>
      <c r="P347">
        <v>0.99531819999999904</v>
      </c>
      <c r="Q347">
        <v>5.2613269999999997E-2</v>
      </c>
      <c r="R347">
        <v>8.1080280000000005E-2</v>
      </c>
      <c r="S347">
        <v>3.0000309999999999</v>
      </c>
      <c r="T347">
        <v>-0.24666959999999999</v>
      </c>
      <c r="U347">
        <v>0.330047599999999</v>
      </c>
      <c r="V347">
        <v>-6.2396090000000001E-2</v>
      </c>
      <c r="W347">
        <v>6.7476289999999994E-2</v>
      </c>
      <c r="X347">
        <v>0.99576790000000004</v>
      </c>
      <c r="Y347">
        <v>-9.0499780000000002E-2</v>
      </c>
      <c r="Z347">
        <v>2.172518E-3</v>
      </c>
      <c r="AA347">
        <v>0.99589409999999901</v>
      </c>
      <c r="AB347">
        <v>37</v>
      </c>
      <c r="AC347">
        <v>13.0792999999999</v>
      </c>
      <c r="AD347">
        <v>-1.1043203362759999</v>
      </c>
      <c r="AE347">
        <v>1.47130000000004</v>
      </c>
      <c r="AF347">
        <v>-1.2177688953412</v>
      </c>
      <c r="AG347">
        <v>-1.1043203362759999</v>
      </c>
      <c r="AH347">
        <v>13.0129289642052</v>
      </c>
      <c r="AI347">
        <v>94.829686339043505</v>
      </c>
      <c r="AJ347">
        <v>95.346252413042393</v>
      </c>
      <c r="AK347">
        <v>13.116356381061999</v>
      </c>
    </row>
    <row r="348" spans="1:37" x14ac:dyDescent="0.2">
      <c r="A348" t="str">
        <f>"20200111153617735"</f>
        <v>20200111153617735</v>
      </c>
      <c r="B348" t="str">
        <f>"1578728177723382"</f>
        <v>1578728177723382</v>
      </c>
      <c r="C348" t="s">
        <v>37</v>
      </c>
      <c r="D348">
        <v>5.7828140000000001</v>
      </c>
      <c r="E348">
        <v>0.48782029999999899</v>
      </c>
      <c r="F348" t="s">
        <v>39</v>
      </c>
      <c r="G348">
        <v>-361.31729999999999</v>
      </c>
      <c r="H348" s="1">
        <v>-3.7716750000000002E-6</v>
      </c>
      <c r="I348">
        <v>369.2527</v>
      </c>
      <c r="J348">
        <v>-375.09690000000001</v>
      </c>
      <c r="K348">
        <v>1.104266</v>
      </c>
      <c r="L348">
        <v>367.69299999999998</v>
      </c>
      <c r="M348">
        <v>0.99972169999999905</v>
      </c>
      <c r="N348">
        <v>0</v>
      </c>
      <c r="O348">
        <v>1.831112E-2</v>
      </c>
      <c r="P348">
        <v>0.995314899999999</v>
      </c>
      <c r="Q348">
        <v>5.2616499999999997E-2</v>
      </c>
      <c r="R348">
        <v>8.1114839999999994E-2</v>
      </c>
      <c r="S348">
        <v>2.99939</v>
      </c>
      <c r="T348">
        <v>-0.2343566</v>
      </c>
      <c r="U348">
        <v>0.33233639999999998</v>
      </c>
      <c r="V348">
        <v>-6.2817220000000007E-2</v>
      </c>
      <c r="W348">
        <v>6.7484390000000005E-2</v>
      </c>
      <c r="X348">
        <v>0.99574079999999998</v>
      </c>
      <c r="Y348">
        <v>-9.1686359999999995E-2</v>
      </c>
      <c r="Z348">
        <v>2.1416779999999902E-3</v>
      </c>
      <c r="AA348">
        <v>0.9957857</v>
      </c>
      <c r="AB348">
        <v>37</v>
      </c>
      <c r="AC348">
        <v>13.7796</v>
      </c>
      <c r="AD348">
        <v>-1.1042697716750001</v>
      </c>
      <c r="AE348">
        <v>1.5596999999999599</v>
      </c>
      <c r="AF348">
        <v>-1.29885475438244</v>
      </c>
      <c r="AG348">
        <v>-1.1042697716750001</v>
      </c>
      <c r="AH348">
        <v>13.7188627414696</v>
      </c>
      <c r="AI348">
        <v>94.581576154472401</v>
      </c>
      <c r="AJ348">
        <v>95.408446040895996</v>
      </c>
      <c r="AK348">
        <v>13.8243853505644</v>
      </c>
    </row>
    <row r="349" spans="1:37" x14ac:dyDescent="0.2">
      <c r="A349" t="str">
        <f>"20200111153617756"</f>
        <v>20200111153617756</v>
      </c>
      <c r="B349" t="str">
        <f>"1578728177752660"</f>
        <v>1578728177752660</v>
      </c>
      <c r="C349" t="s">
        <v>37</v>
      </c>
      <c r="D349">
        <v>5.7602789999999997</v>
      </c>
      <c r="E349">
        <v>0.48748720000000001</v>
      </c>
      <c r="F349" t="s">
        <v>39</v>
      </c>
      <c r="G349">
        <v>-360.65050000000002</v>
      </c>
      <c r="H349" s="1">
        <v>-4.048881E-6</v>
      </c>
      <c r="I349">
        <v>369.30259999999998</v>
      </c>
      <c r="J349">
        <v>-374.72770000000003</v>
      </c>
      <c r="K349">
        <v>1.10422</v>
      </c>
      <c r="L349">
        <v>367.69929999999999</v>
      </c>
      <c r="M349">
        <v>0.99973029999999996</v>
      </c>
      <c r="N349">
        <v>0</v>
      </c>
      <c r="O349">
        <v>1.7850999999999999E-2</v>
      </c>
      <c r="P349">
        <v>0.99532160000000003</v>
      </c>
      <c r="Q349">
        <v>5.2465280000000003E-2</v>
      </c>
      <c r="R349">
        <v>8.1133919999999998E-2</v>
      </c>
      <c r="S349">
        <v>2.998993</v>
      </c>
      <c r="T349">
        <v>-0.2292373</v>
      </c>
      <c r="U349">
        <v>0.33416750000000001</v>
      </c>
      <c r="V349">
        <v>-6.3287399999999994E-2</v>
      </c>
      <c r="W349">
        <v>6.7337839999999996E-2</v>
      </c>
      <c r="X349">
        <v>0.99572099999999997</v>
      </c>
      <c r="Y349">
        <v>-9.2764669999999994E-2</v>
      </c>
      <c r="Z349">
        <v>2.1712559999999999E-3</v>
      </c>
      <c r="AA349">
        <v>0.99568570000000001</v>
      </c>
      <c r="AB349">
        <v>37</v>
      </c>
      <c r="AC349">
        <v>14.077199999999999</v>
      </c>
      <c r="AD349">
        <v>-1.104224048881</v>
      </c>
      <c r="AE349">
        <v>1.60329999999999</v>
      </c>
      <c r="AF349">
        <v>-1.3435636542693301</v>
      </c>
      <c r="AG349">
        <v>-1.104224048881</v>
      </c>
      <c r="AH349">
        <v>14.018430230425301</v>
      </c>
      <c r="AI349">
        <v>94.483397102455797</v>
      </c>
      <c r="AJ349">
        <v>95.474657764133099</v>
      </c>
      <c r="AK349">
        <v>14.1258932520568</v>
      </c>
    </row>
    <row r="350" spans="1:37" x14ac:dyDescent="0.2">
      <c r="A350" t="str">
        <f>"20200111153617779"</f>
        <v>20200111153617779</v>
      </c>
      <c r="B350" t="str">
        <f>"1578728177773156"</f>
        <v>1578728177773156</v>
      </c>
      <c r="C350" t="s">
        <v>37</v>
      </c>
      <c r="D350">
        <v>6.0821189999999996</v>
      </c>
      <c r="E350">
        <v>0.48733189999999998</v>
      </c>
      <c r="F350" t="s">
        <v>39</v>
      </c>
      <c r="G350">
        <v>-359.952</v>
      </c>
      <c r="H350" s="1">
        <v>-7.0628049999999998E-8</v>
      </c>
      <c r="I350">
        <v>369.36</v>
      </c>
      <c r="J350">
        <v>-374.35930000000002</v>
      </c>
      <c r="K350">
        <v>1.104169</v>
      </c>
      <c r="L350">
        <v>367.7054</v>
      </c>
      <c r="M350">
        <v>0.99973899999999905</v>
      </c>
      <c r="N350">
        <v>0</v>
      </c>
      <c r="O350">
        <v>1.734743E-2</v>
      </c>
      <c r="P350">
        <v>0.99531389999999997</v>
      </c>
      <c r="Q350">
        <v>5.244799E-2</v>
      </c>
      <c r="R350">
        <v>8.1237139999999999E-2</v>
      </c>
      <c r="S350">
        <v>2.9984739999999999</v>
      </c>
      <c r="T350">
        <v>-0.22408</v>
      </c>
      <c r="U350">
        <v>0.33700559999999902</v>
      </c>
      <c r="V350">
        <v>-6.3885700000000004E-2</v>
      </c>
      <c r="W350">
        <v>6.7324049999999996E-2</v>
      </c>
      <c r="X350">
        <v>0.99568369999999995</v>
      </c>
      <c r="Y350">
        <v>-9.4219960000000005E-2</v>
      </c>
      <c r="Z350">
        <v>2.2143760000000001E-3</v>
      </c>
      <c r="AA350">
        <v>0.99554900000000002</v>
      </c>
      <c r="AB350">
        <v>37</v>
      </c>
      <c r="AC350">
        <v>14.407299999999999</v>
      </c>
      <c r="AD350">
        <v>-1.10416907062805</v>
      </c>
      <c r="AE350">
        <v>1.6546000000000101</v>
      </c>
      <c r="AF350">
        <v>-1.3962991430676599</v>
      </c>
      <c r="AG350">
        <v>-1.10416907062805</v>
      </c>
      <c r="AH350">
        <v>14.3506447686882</v>
      </c>
      <c r="AI350">
        <v>94.379191035757501</v>
      </c>
      <c r="AJ350">
        <v>95.557312073612195</v>
      </c>
      <c r="AK350">
        <v>14.460630896006601</v>
      </c>
    </row>
    <row r="351" spans="1:37" x14ac:dyDescent="0.2">
      <c r="A351" t="str">
        <f>"20200111153617802"</f>
        <v>20200111153617802</v>
      </c>
      <c r="B351" t="str">
        <f>"1578728177792675"</f>
        <v>1578728177792675</v>
      </c>
      <c r="C351" t="s">
        <v>37</v>
      </c>
      <c r="D351">
        <v>5.7319800000000001</v>
      </c>
      <c r="E351">
        <v>0.48694599999999999</v>
      </c>
      <c r="F351" t="s">
        <v>39</v>
      </c>
      <c r="G351">
        <v>-359.32080000000002</v>
      </c>
      <c r="H351" s="1">
        <v>-3.1128480000000001E-7</v>
      </c>
      <c r="I351">
        <v>369.40449999999998</v>
      </c>
      <c r="J351">
        <v>-373.97070000000002</v>
      </c>
      <c r="K351">
        <v>1.1041289999999999</v>
      </c>
      <c r="L351">
        <v>367.71159999999998</v>
      </c>
      <c r="M351">
        <v>0.99974889999999905</v>
      </c>
      <c r="N351">
        <v>0</v>
      </c>
      <c r="O351">
        <v>1.6772840000000001E-2</v>
      </c>
      <c r="P351">
        <v>0.99541630000000003</v>
      </c>
      <c r="Q351">
        <v>5.2057150000000003E-2</v>
      </c>
      <c r="R351">
        <v>8.0229540000000002E-2</v>
      </c>
      <c r="S351">
        <v>2.9980159999999998</v>
      </c>
      <c r="T351">
        <v>-0.22012119999999999</v>
      </c>
      <c r="U351">
        <v>0.33874509999999902</v>
      </c>
      <c r="V351">
        <v>-6.3442970000000001E-2</v>
      </c>
      <c r="W351">
        <v>6.6936789999999996E-2</v>
      </c>
      <c r="X351">
        <v>0.99573809999999996</v>
      </c>
      <c r="Y351">
        <v>-9.5382069999999999E-2</v>
      </c>
      <c r="Z351">
        <v>2.260069E-3</v>
      </c>
      <c r="AA351">
        <v>0.99543819999999905</v>
      </c>
      <c r="AB351">
        <v>37</v>
      </c>
      <c r="AC351">
        <v>14.649900000000001</v>
      </c>
      <c r="AD351">
        <v>-1.1041293112848001</v>
      </c>
      <c r="AE351">
        <v>1.6929000000000001</v>
      </c>
      <c r="AF351">
        <v>-1.43884885947302</v>
      </c>
      <c r="AG351">
        <v>-1.1041293112848001</v>
      </c>
      <c r="AH351">
        <v>14.594428387215499</v>
      </c>
      <c r="AI351">
        <v>94.305627621855706</v>
      </c>
      <c r="AJ351">
        <v>95.630533275525295</v>
      </c>
      <c r="AK351">
        <v>14.706689890182901</v>
      </c>
    </row>
    <row r="352" spans="1:37" x14ac:dyDescent="0.2">
      <c r="A352" t="str">
        <f>"20200111153617823"</f>
        <v>20200111153617823</v>
      </c>
      <c r="B352" t="str">
        <f>"1578728177813188"</f>
        <v>1578728177813188</v>
      </c>
      <c r="C352" t="s">
        <v>37</v>
      </c>
      <c r="D352">
        <v>5.7925019999999998</v>
      </c>
      <c r="E352">
        <v>0.48686809999999903</v>
      </c>
      <c r="F352" t="s">
        <v>39</v>
      </c>
      <c r="G352">
        <v>-359.26749999999998</v>
      </c>
      <c r="H352" s="1">
        <v>-3.3991789999999999E-7</v>
      </c>
      <c r="I352">
        <v>369.37199999999899</v>
      </c>
      <c r="J352">
        <v>-373.6112</v>
      </c>
      <c r="K352">
        <v>1.104095</v>
      </c>
      <c r="L352">
        <v>367.71710000000002</v>
      </c>
      <c r="M352">
        <v>0.99975820000000004</v>
      </c>
      <c r="N352">
        <v>0</v>
      </c>
      <c r="O352">
        <v>1.6210680000000002E-2</v>
      </c>
      <c r="P352">
        <v>0.99557689999999999</v>
      </c>
      <c r="Q352">
        <v>5.1397230000000002E-2</v>
      </c>
      <c r="R352">
        <v>7.8645839999999995E-2</v>
      </c>
      <c r="S352">
        <v>2.998291</v>
      </c>
      <c r="T352">
        <v>-0.22515299999999999</v>
      </c>
      <c r="U352">
        <v>0.33859250000000002</v>
      </c>
      <c r="V352">
        <v>-6.241203E-2</v>
      </c>
      <c r="W352">
        <v>6.6279729999999995E-2</v>
      </c>
      <c r="X352">
        <v>0.99584719999999904</v>
      </c>
      <c r="Y352">
        <v>-9.5869060000000006E-2</v>
      </c>
      <c r="Z352">
        <v>2.371593E-3</v>
      </c>
      <c r="AA352">
        <v>0.99539109999999997</v>
      </c>
      <c r="AB352">
        <v>37</v>
      </c>
      <c r="AC352">
        <v>14.3437</v>
      </c>
      <c r="AD352">
        <v>-1.1040953399179001</v>
      </c>
      <c r="AE352">
        <v>1.6548999999999401</v>
      </c>
      <c r="AF352">
        <v>-1.4138685245987801</v>
      </c>
      <c r="AG352">
        <v>-1.1040953399179001</v>
      </c>
      <c r="AH352">
        <v>14.2851168922403</v>
      </c>
      <c r="AI352">
        <v>94.398193885373203</v>
      </c>
      <c r="AJ352">
        <v>95.652436895456304</v>
      </c>
      <c r="AK352">
        <v>14.397312782233</v>
      </c>
    </row>
    <row r="353" spans="1:37" x14ac:dyDescent="0.2">
      <c r="A353" t="str">
        <f>"20200111153617845"</f>
        <v>20200111153617845</v>
      </c>
      <c r="B353" t="str">
        <f>"1578728177832691"</f>
        <v>1578728177832691</v>
      </c>
      <c r="C353" t="s">
        <v>37</v>
      </c>
      <c r="D353">
        <v>5.9985460000000002</v>
      </c>
      <c r="E353">
        <v>0.48720289999999999</v>
      </c>
      <c r="F353" t="s">
        <v>39</v>
      </c>
      <c r="G353">
        <v>-359.22199999999998</v>
      </c>
      <c r="H353" s="1">
        <v>-3.6815199999999997E-7</v>
      </c>
      <c r="I353">
        <v>369.3229</v>
      </c>
      <c r="J353">
        <v>-373.24900000000002</v>
      </c>
      <c r="K353">
        <v>1.1040669999999999</v>
      </c>
      <c r="L353">
        <v>367.72239999999999</v>
      </c>
      <c r="M353">
        <v>0.99976769999999904</v>
      </c>
      <c r="N353">
        <v>0</v>
      </c>
      <c r="O353">
        <v>1.562232E-2</v>
      </c>
      <c r="P353">
        <v>0.99574789999999902</v>
      </c>
      <c r="Q353">
        <v>5.1215429999999999E-2</v>
      </c>
      <c r="R353">
        <v>7.6571669999999994E-2</v>
      </c>
      <c r="S353">
        <v>2.9987490000000001</v>
      </c>
      <c r="T353">
        <v>-0.23009369999999901</v>
      </c>
      <c r="U353">
        <v>0.3346558</v>
      </c>
      <c r="V353">
        <v>-6.0917369999999998E-2</v>
      </c>
      <c r="W353">
        <v>6.6098450000000003E-2</v>
      </c>
      <c r="X353">
        <v>0.99595180000000005</v>
      </c>
      <c r="Y353">
        <v>-9.5138009999999995E-2</v>
      </c>
      <c r="Z353">
        <v>2.4402909999999998E-3</v>
      </c>
      <c r="AA353">
        <v>0.99546109999999899</v>
      </c>
      <c r="AB353">
        <v>37</v>
      </c>
      <c r="AC353">
        <v>14.026999999999999</v>
      </c>
      <c r="AD353">
        <v>-1.1040673681519999</v>
      </c>
      <c r="AE353">
        <v>1.60050000000001</v>
      </c>
      <c r="AF353">
        <v>-1.3727509045285</v>
      </c>
      <c r="AG353">
        <v>-1.1040673681519999</v>
      </c>
      <c r="AH353">
        <v>13.964889475715699</v>
      </c>
      <c r="AI353">
        <v>94.498820849546803</v>
      </c>
      <c r="AJ353">
        <v>95.614147773435207</v>
      </c>
      <c r="AK353">
        <v>14.075565632267001</v>
      </c>
    </row>
    <row r="354" spans="1:37" x14ac:dyDescent="0.2">
      <c r="A354" t="str">
        <f>"20200111153617868"</f>
        <v>20200111153617868</v>
      </c>
      <c r="B354" t="str">
        <f>"1578728177862948"</f>
        <v>1578728177862948</v>
      </c>
      <c r="C354" t="s">
        <v>37</v>
      </c>
      <c r="D354">
        <v>6.0640890000000001</v>
      </c>
      <c r="E354">
        <v>0.52650929999999996</v>
      </c>
      <c r="F354" t="s">
        <v>39</v>
      </c>
      <c r="G354">
        <v>-358.99189999999999</v>
      </c>
      <c r="H354" s="1">
        <v>-4.759753E-7</v>
      </c>
      <c r="I354">
        <v>369.2715</v>
      </c>
      <c r="J354">
        <v>-372.8657</v>
      </c>
      <c r="K354">
        <v>1.1040430000000001</v>
      </c>
      <c r="L354">
        <v>367.72770000000003</v>
      </c>
      <c r="M354">
        <v>0.99977759999999904</v>
      </c>
      <c r="N354">
        <v>0</v>
      </c>
      <c r="O354">
        <v>1.4983639999999999E-2</v>
      </c>
      <c r="P354">
        <v>0.99591960000000002</v>
      </c>
      <c r="Q354">
        <v>5.0517399999999997E-2</v>
      </c>
      <c r="R354">
        <v>7.4782039999999994E-2</v>
      </c>
      <c r="S354">
        <v>2.9997250000000002</v>
      </c>
      <c r="T354">
        <v>-0.23229629999999901</v>
      </c>
      <c r="U354">
        <v>0.32595829999999998</v>
      </c>
      <c r="V354">
        <v>-5.9758940000000003E-2</v>
      </c>
      <c r="W354">
        <v>6.5400440000000004E-2</v>
      </c>
      <c r="X354">
        <v>0.99606810000000001</v>
      </c>
      <c r="Y354">
        <v>-9.2886659999999996E-2</v>
      </c>
      <c r="Z354">
        <v>2.425604E-3</v>
      </c>
      <c r="AA354">
        <v>0.995673699999999</v>
      </c>
      <c r="AB354">
        <v>37</v>
      </c>
      <c r="AC354">
        <v>13.873799999999999</v>
      </c>
      <c r="AD354">
        <v>-1.1040434759752999</v>
      </c>
      <c r="AE354">
        <v>1.5437999999999701</v>
      </c>
      <c r="AF354">
        <v>-1.32742053097169</v>
      </c>
      <c r="AG354">
        <v>-1.1040434759752999</v>
      </c>
      <c r="AH354">
        <v>13.8089992298466</v>
      </c>
      <c r="AI354">
        <v>94.550246237770295</v>
      </c>
      <c r="AJ354">
        <v>95.490812239093003</v>
      </c>
      <c r="AK354">
        <v>13.916515978965201</v>
      </c>
    </row>
    <row r="355" spans="1:37" x14ac:dyDescent="0.2">
      <c r="A355" t="str">
        <f>"20200111153617892"</f>
        <v>20200111153617892</v>
      </c>
      <c r="B355" t="str">
        <f>"1578728177883443"</f>
        <v>1578728177883443</v>
      </c>
      <c r="C355" t="s">
        <v>37</v>
      </c>
      <c r="D355">
        <v>5.8946440000000004</v>
      </c>
      <c r="E355">
        <v>0.52561740000000001</v>
      </c>
      <c r="F355" t="s">
        <v>39</v>
      </c>
      <c r="G355">
        <v>-352.65010000000001</v>
      </c>
      <c r="H355" s="1">
        <v>-3.4597129999999998E-6</v>
      </c>
      <c r="I355">
        <v>367.78789999999998</v>
      </c>
      <c r="J355">
        <v>-372.48059999999998</v>
      </c>
      <c r="K355">
        <v>1.1040219999999901</v>
      </c>
      <c r="L355">
        <v>367.7328</v>
      </c>
      <c r="M355">
        <v>0.99978719999999999</v>
      </c>
      <c r="N355">
        <v>0</v>
      </c>
      <c r="O355">
        <v>1.432987E-2</v>
      </c>
      <c r="P355">
        <v>0.99604059999999905</v>
      </c>
      <c r="Q355">
        <v>5.071473E-2</v>
      </c>
      <c r="R355">
        <v>7.3016449999999997E-2</v>
      </c>
      <c r="S355">
        <v>3.0199889999999998</v>
      </c>
      <c r="T355">
        <v>-0.16493169999999999</v>
      </c>
      <c r="U355">
        <v>9.0026859999999993E-3</v>
      </c>
      <c r="V355">
        <v>-5.8640070000000002E-2</v>
      </c>
      <c r="W355">
        <v>6.5596479999999999E-2</v>
      </c>
      <c r="X355">
        <v>0.996121699999999</v>
      </c>
      <c r="Y355">
        <v>1.131246E-2</v>
      </c>
      <c r="Z355">
        <v>-1.090754E-3</v>
      </c>
      <c r="AA355">
        <v>0.99993539999999903</v>
      </c>
      <c r="AB355">
        <v>37</v>
      </c>
      <c r="AC355">
        <v>19.830499999999901</v>
      </c>
      <c r="AD355">
        <v>-1.1040254597129999</v>
      </c>
      <c r="AE355">
        <v>5.5099999999981698E-2</v>
      </c>
      <c r="AF355">
        <v>0.22839752792485599</v>
      </c>
      <c r="AG355">
        <v>-1.1040254597129999</v>
      </c>
      <c r="AH355">
        <v>19.767982783185499</v>
      </c>
      <c r="AI355">
        <v>93.196388137391295</v>
      </c>
      <c r="AJ355">
        <v>89.338039076317997</v>
      </c>
      <c r="AK355">
        <v>19.800105579586599</v>
      </c>
    </row>
    <row r="356" spans="1:37" x14ac:dyDescent="0.2">
      <c r="A356" t="str">
        <f>"20200111153617913"</f>
        <v>20200111153617913</v>
      </c>
      <c r="B356" t="str">
        <f>"1578728177902972"</f>
        <v>1578728177902972</v>
      </c>
      <c r="C356" t="s">
        <v>37</v>
      </c>
      <c r="D356">
        <v>5.801628</v>
      </c>
      <c r="E356">
        <v>0.52398029999999995</v>
      </c>
      <c r="F356" t="s">
        <v>39</v>
      </c>
      <c r="G356">
        <v>-353.20830000000001</v>
      </c>
      <c r="H356" s="1">
        <v>-3.21803099999999E-6</v>
      </c>
      <c r="I356">
        <v>367.80059999999997</v>
      </c>
      <c r="J356">
        <v>-372.12520000000001</v>
      </c>
      <c r="K356">
        <v>1.104007</v>
      </c>
      <c r="L356">
        <v>367.73739999999998</v>
      </c>
      <c r="M356">
        <v>0.99979560000000001</v>
      </c>
      <c r="N356">
        <v>0</v>
      </c>
      <c r="O356">
        <v>1.3720990000000001E-2</v>
      </c>
      <c r="P356">
        <v>0.99613379999999996</v>
      </c>
      <c r="Q356">
        <v>5.0744379999999999E-2</v>
      </c>
      <c r="R356">
        <v>7.1711230000000001E-2</v>
      </c>
      <c r="S356">
        <v>3.0199579999999999</v>
      </c>
      <c r="T356">
        <v>-0.17299900000000001</v>
      </c>
      <c r="U356">
        <v>1.062012E-2</v>
      </c>
      <c r="V356">
        <v>-5.7938400000000001E-2</v>
      </c>
      <c r="W356">
        <v>6.5624080000000001E-2</v>
      </c>
      <c r="X356">
        <v>0.99616090000000002</v>
      </c>
      <c r="Y356">
        <v>1.0166959999999999E-2</v>
      </c>
      <c r="Z356">
        <v>-1.0763960000000001E-3</v>
      </c>
      <c r="AA356">
        <v>0.999947699999999</v>
      </c>
      <c r="AB356">
        <v>37</v>
      </c>
      <c r="AC356">
        <v>18.916899999999998</v>
      </c>
      <c r="AD356">
        <v>-1.1040102180310001</v>
      </c>
      <c r="AE356">
        <v>6.3199999999994802E-2</v>
      </c>
      <c r="AF356">
        <v>0.19572652705411001</v>
      </c>
      <c r="AG356">
        <v>-1.1040102180310001</v>
      </c>
      <c r="AH356">
        <v>18.8517774105127</v>
      </c>
      <c r="AI356">
        <v>93.351385008077997</v>
      </c>
      <c r="AJ356">
        <v>89.405154178528804</v>
      </c>
      <c r="AK356">
        <v>18.885090917716699</v>
      </c>
    </row>
    <row r="357" spans="1:37" x14ac:dyDescent="0.2">
      <c r="A357" t="str">
        <f>"20200111153617935"</f>
        <v>20200111153617935</v>
      </c>
      <c r="B357" t="str">
        <f>"1578728177923459"</f>
        <v>1578728177923459</v>
      </c>
      <c r="C357" t="s">
        <v>37</v>
      </c>
      <c r="D357">
        <v>5.7898120000000004</v>
      </c>
      <c r="E357">
        <v>0.52168479999999995</v>
      </c>
      <c r="F357" t="s">
        <v>39</v>
      </c>
      <c r="G357">
        <v>-354.06110000000001</v>
      </c>
      <c r="H357" s="1">
        <v>-2.8428370000000001E-6</v>
      </c>
      <c r="I357">
        <v>367.85320000000002</v>
      </c>
      <c r="J357">
        <v>-371.76889999999997</v>
      </c>
      <c r="K357">
        <v>1.1040030000000001</v>
      </c>
      <c r="L357">
        <v>367.74169999999998</v>
      </c>
      <c r="M357">
        <v>0.99980400000000003</v>
      </c>
      <c r="N357">
        <v>0</v>
      </c>
      <c r="O357">
        <v>1.310734E-2</v>
      </c>
      <c r="P357">
        <v>0.99621219999999999</v>
      </c>
      <c r="Q357">
        <v>5.0573050000000001E-2</v>
      </c>
      <c r="R357">
        <v>7.0736569999999999E-2</v>
      </c>
      <c r="S357">
        <v>3.0196529999999999</v>
      </c>
      <c r="T357">
        <v>-0.18454870000000001</v>
      </c>
      <c r="U357">
        <v>1.9378659999999999E-2</v>
      </c>
      <c r="V357">
        <v>-5.7573770000000003E-2</v>
      </c>
      <c r="W357">
        <v>6.5450419999999995E-2</v>
      </c>
      <c r="X357">
        <v>0.99619349999999995</v>
      </c>
      <c r="Y357">
        <v>6.654816E-3</v>
      </c>
      <c r="Z357">
        <v>-1.00354E-3</v>
      </c>
      <c r="AA357">
        <v>0.99997739999999902</v>
      </c>
      <c r="AB357">
        <v>37</v>
      </c>
      <c r="AC357">
        <v>17.707799999999899</v>
      </c>
      <c r="AD357">
        <v>-1.1040058428370001</v>
      </c>
      <c r="AE357">
        <v>0.111500000000035</v>
      </c>
      <c r="AF357">
        <v>0.120170207700279</v>
      </c>
      <c r="AG357">
        <v>-1.1040058428370001</v>
      </c>
      <c r="AH357">
        <v>17.639179495619</v>
      </c>
      <c r="AI357">
        <v>93.581289644181993</v>
      </c>
      <c r="AJ357">
        <v>89.609667830175596</v>
      </c>
      <c r="AK357">
        <v>17.674103175508002</v>
      </c>
    </row>
    <row r="358" spans="1:37" x14ac:dyDescent="0.2">
      <c r="A358" t="str">
        <f>"20200111153617957"</f>
        <v>20200111153617957</v>
      </c>
      <c r="B358" t="str">
        <f>"1578728177952740"</f>
        <v>1578728177952740</v>
      </c>
      <c r="C358" t="s">
        <v>37</v>
      </c>
      <c r="D358">
        <v>5.76614</v>
      </c>
      <c r="E358">
        <v>0.51934209999999903</v>
      </c>
      <c r="F358" t="s">
        <v>39</v>
      </c>
      <c r="G358">
        <v>-352.60120000000001</v>
      </c>
      <c r="H358" s="1">
        <v>-3.4495370000000001E-6</v>
      </c>
      <c r="I358">
        <v>367.96370000000002</v>
      </c>
      <c r="J358">
        <v>-371.40170000000001</v>
      </c>
      <c r="K358">
        <v>1.1040000000000001</v>
      </c>
      <c r="L358">
        <v>367.74590000000001</v>
      </c>
      <c r="M358">
        <v>0.99981219999999904</v>
      </c>
      <c r="N358">
        <v>0</v>
      </c>
      <c r="O358">
        <v>1.2473959999999999E-2</v>
      </c>
      <c r="P358">
        <v>0.99621680000000001</v>
      </c>
      <c r="Q358">
        <v>5.0559569999999998E-2</v>
      </c>
      <c r="R358">
        <v>7.0683499999999996E-2</v>
      </c>
      <c r="S358">
        <v>3.017792</v>
      </c>
      <c r="T358">
        <v>-0.173815</v>
      </c>
      <c r="U358">
        <v>3.497314E-2</v>
      </c>
      <c r="V358">
        <v>-5.8150979999999998E-2</v>
      </c>
      <c r="W358">
        <v>6.5434699999999998E-2</v>
      </c>
      <c r="X358">
        <v>0.99616099999999996</v>
      </c>
      <c r="Y358">
        <v>8.6508419999999997E-4</v>
      </c>
      <c r="Z358">
        <v>-7.4278419999999998E-4</v>
      </c>
      <c r="AA358">
        <v>0.99999930000000004</v>
      </c>
      <c r="AB358">
        <v>37</v>
      </c>
      <c r="AC358">
        <v>18.8005</v>
      </c>
      <c r="AD358">
        <v>-1.1040034495369999</v>
      </c>
      <c r="AE358">
        <v>0.21780000000001101</v>
      </c>
      <c r="AF358">
        <v>1.6701846312862301E-2</v>
      </c>
      <c r="AG358">
        <v>-1.1040034495369999</v>
      </c>
      <c r="AH358">
        <v>18.737151865456902</v>
      </c>
      <c r="AI358">
        <v>93.371999473057002</v>
      </c>
      <c r="AJ358">
        <v>89.948927934339807</v>
      </c>
      <c r="AK358">
        <v>18.769655367040102</v>
      </c>
    </row>
    <row r="359" spans="1:37" x14ac:dyDescent="0.2">
      <c r="A359" t="str">
        <f>"20200111153617981"</f>
        <v>20200111153617981</v>
      </c>
      <c r="B359" t="str">
        <f>"1578728177973238"</f>
        <v>1578728177973238</v>
      </c>
      <c r="C359" t="s">
        <v>37</v>
      </c>
      <c r="D359">
        <v>6.0731609999999998</v>
      </c>
      <c r="E359">
        <v>0.51849920000000005</v>
      </c>
      <c r="F359" t="s">
        <v>39</v>
      </c>
      <c r="G359">
        <v>-351.30889999999999</v>
      </c>
      <c r="H359" s="1">
        <v>-3.9791559999999996E-6</v>
      </c>
      <c r="I359">
        <v>368.10320000000002</v>
      </c>
      <c r="J359">
        <v>-371.02269999999999</v>
      </c>
      <c r="K359">
        <v>1.1039939999999999</v>
      </c>
      <c r="L359">
        <v>367.75</v>
      </c>
      <c r="M359">
        <v>0.99982009999999899</v>
      </c>
      <c r="N359">
        <v>0</v>
      </c>
      <c r="O359">
        <v>1.1819929999999999E-2</v>
      </c>
      <c r="P359">
        <v>0.99618739999999995</v>
      </c>
      <c r="Q359">
        <v>5.1351699999999903E-2</v>
      </c>
      <c r="R359">
        <v>7.0524530000000002E-2</v>
      </c>
      <c r="S359">
        <v>3.0159609999999999</v>
      </c>
      <c r="T359">
        <v>-0.16571179999999999</v>
      </c>
      <c r="U359">
        <v>5.36499E-2</v>
      </c>
      <c r="V359">
        <v>-5.8642399999999997E-2</v>
      </c>
      <c r="W359">
        <v>6.6223110000000002E-2</v>
      </c>
      <c r="X359">
        <v>0.99608009999999902</v>
      </c>
      <c r="Y359">
        <v>-5.9740590000000003E-3</v>
      </c>
      <c r="Z359">
        <v>-4.8496219999999998E-4</v>
      </c>
      <c r="AA359">
        <v>0.99998209999999998</v>
      </c>
      <c r="AB359">
        <v>37</v>
      </c>
      <c r="AC359">
        <v>19.7137999999999</v>
      </c>
      <c r="AD359">
        <v>-1.103997979156</v>
      </c>
      <c r="AE359">
        <v>0.353200000000015</v>
      </c>
      <c r="AF359">
        <v>-0.119758482951161</v>
      </c>
      <c r="AG359">
        <v>-1.103997979156</v>
      </c>
      <c r="AH359">
        <v>19.654976753992301</v>
      </c>
      <c r="AI359">
        <v>93.2148020028486</v>
      </c>
      <c r="AJ359">
        <v>90.349100932988705</v>
      </c>
      <c r="AK359">
        <v>19.686321770005598</v>
      </c>
    </row>
    <row r="360" spans="1:37" x14ac:dyDescent="0.2">
      <c r="A360" t="str">
        <f>"20200111153618002"</f>
        <v>20200111153618002</v>
      </c>
      <c r="B360" t="str">
        <f>"1578728177992755"</f>
        <v>1578728177992755</v>
      </c>
      <c r="C360" t="s">
        <v>37</v>
      </c>
      <c r="D360">
        <v>6.0740819999999998</v>
      </c>
      <c r="E360">
        <v>0.51798440000000001</v>
      </c>
      <c r="F360" t="s">
        <v>39</v>
      </c>
      <c r="G360">
        <v>-350.20940000000002</v>
      </c>
      <c r="H360" s="1">
        <v>-4.4405780000000001E-6</v>
      </c>
      <c r="I360">
        <v>368.16129999999998</v>
      </c>
      <c r="J360">
        <v>-370.65449999999998</v>
      </c>
      <c r="K360">
        <v>1.103998</v>
      </c>
      <c r="L360">
        <v>367.75369999999998</v>
      </c>
      <c r="M360">
        <v>0.99982739999999903</v>
      </c>
      <c r="N360">
        <v>0</v>
      </c>
      <c r="O360">
        <v>1.1185540000000001E-2</v>
      </c>
      <c r="P360">
        <v>0.99617129999999998</v>
      </c>
      <c r="Q360">
        <v>5.2303309999999999E-2</v>
      </c>
      <c r="R360">
        <v>7.0052409999999996E-2</v>
      </c>
      <c r="S360">
        <v>3.015533</v>
      </c>
      <c r="T360">
        <v>-0.1599517</v>
      </c>
      <c r="U360">
        <v>5.960083E-2</v>
      </c>
      <c r="V360">
        <v>-5.8801099999999898E-2</v>
      </c>
      <c r="W360">
        <v>6.7171330000000001E-2</v>
      </c>
      <c r="X360">
        <v>0.99600730000000004</v>
      </c>
      <c r="Y360">
        <v>-8.5785859999999992E-3</v>
      </c>
      <c r="Z360">
        <v>-3.6554199999999897E-4</v>
      </c>
      <c r="AA360">
        <v>0.99996319999999905</v>
      </c>
      <c r="AB360">
        <v>37</v>
      </c>
      <c r="AC360">
        <v>20.445099999999901</v>
      </c>
      <c r="AD360">
        <v>-1.104002440578</v>
      </c>
      <c r="AE360">
        <v>0.40760000000000202</v>
      </c>
      <c r="AF360">
        <v>-0.178340042955488</v>
      </c>
      <c r="AG360">
        <v>-1.104002440578</v>
      </c>
      <c r="AH360">
        <v>20.3889533800034</v>
      </c>
      <c r="AI360">
        <v>93.099254595080296</v>
      </c>
      <c r="AJ360">
        <v>90.501147411092404</v>
      </c>
      <c r="AK360">
        <v>20.4195995673685</v>
      </c>
    </row>
    <row r="361" spans="1:37" x14ac:dyDescent="0.2">
      <c r="A361" t="str">
        <f>"20200111153618024"</f>
        <v>20200111153618024</v>
      </c>
      <c r="B361" t="str">
        <f>"1578728178013251"</f>
        <v>1578728178013251</v>
      </c>
      <c r="C361" t="s">
        <v>37</v>
      </c>
      <c r="D361">
        <v>5.7882860000000003</v>
      </c>
      <c r="E361">
        <v>0.51691239999999905</v>
      </c>
      <c r="F361" t="s">
        <v>39</v>
      </c>
      <c r="G361">
        <v>-349.33280000000002</v>
      </c>
      <c r="H361" s="1">
        <v>-6.1810539999999996E-7</v>
      </c>
      <c r="I361">
        <v>368.19690000000003</v>
      </c>
      <c r="J361">
        <v>-370.2912</v>
      </c>
      <c r="K361">
        <v>1.103998</v>
      </c>
      <c r="L361">
        <v>367.75709999999998</v>
      </c>
      <c r="M361">
        <v>0.99983440000000001</v>
      </c>
      <c r="N361">
        <v>0</v>
      </c>
      <c r="O361">
        <v>1.055965E-2</v>
      </c>
      <c r="P361">
        <v>0.99618689999999999</v>
      </c>
      <c r="Q361">
        <v>5.3044040000000001E-2</v>
      </c>
      <c r="R361">
        <v>6.9268700000000002E-2</v>
      </c>
      <c r="S361">
        <v>3.01532</v>
      </c>
      <c r="T361">
        <v>-0.15612789999999999</v>
      </c>
      <c r="U361">
        <v>6.268311E-2</v>
      </c>
      <c r="V361">
        <v>-5.8639530000000002E-2</v>
      </c>
      <c r="W361">
        <v>6.7907780000000001E-2</v>
      </c>
      <c r="X361">
        <v>0.99596689999999999</v>
      </c>
      <c r="Y361">
        <v>-1.0224489999999999E-2</v>
      </c>
      <c r="Z361">
        <v>-2.818753E-4</v>
      </c>
      <c r="AA361">
        <v>0.999947699999999</v>
      </c>
      <c r="AB361">
        <v>37</v>
      </c>
      <c r="AC361">
        <v>20.958399999999902</v>
      </c>
      <c r="AD361">
        <v>-1.1039986181054</v>
      </c>
      <c r="AE361">
        <v>0.43980000000004699</v>
      </c>
      <c r="AF361">
        <v>-0.21783363001737499</v>
      </c>
      <c r="AG361">
        <v>-1.1039986181054</v>
      </c>
      <c r="AH361">
        <v>20.9038987035029</v>
      </c>
      <c r="AI361">
        <v>93.0229923016378</v>
      </c>
      <c r="AJ361">
        <v>90.597041540819902</v>
      </c>
      <c r="AK361">
        <v>20.934164550931001</v>
      </c>
    </row>
    <row r="362" spans="1:37" x14ac:dyDescent="0.2">
      <c r="A362" t="str">
        <f>"20200111153618047"</f>
        <v>20200111153618047</v>
      </c>
      <c r="B362" t="str">
        <f>"1578728178032774"</f>
        <v>1578728178032774</v>
      </c>
      <c r="C362" t="s">
        <v>37</v>
      </c>
      <c r="D362">
        <v>5.8415179999999998</v>
      </c>
      <c r="E362">
        <v>0.51606969999999996</v>
      </c>
      <c r="F362" t="s">
        <v>39</v>
      </c>
      <c r="G362">
        <v>-348.53179999999998</v>
      </c>
      <c r="H362" s="1">
        <v>-9.1581269999999904E-7</v>
      </c>
      <c r="I362">
        <v>368.25599999999997</v>
      </c>
      <c r="J362">
        <v>-369.9307</v>
      </c>
      <c r="K362">
        <v>1.103999</v>
      </c>
      <c r="L362">
        <v>367.76029999999997</v>
      </c>
      <c r="M362">
        <v>0.99984089999999903</v>
      </c>
      <c r="N362">
        <v>0</v>
      </c>
      <c r="O362">
        <v>9.938779E-3</v>
      </c>
      <c r="P362">
        <v>0.99618320000000005</v>
      </c>
      <c r="Q362">
        <v>5.3330170000000003E-2</v>
      </c>
      <c r="R362">
        <v>6.9103899999999996E-2</v>
      </c>
      <c r="S362">
        <v>3.0148320000000002</v>
      </c>
      <c r="T362">
        <v>-0.15296270000000001</v>
      </c>
      <c r="U362">
        <v>6.9122310000000006E-2</v>
      </c>
      <c r="V362">
        <v>-5.9093359999999998E-2</v>
      </c>
      <c r="W362">
        <v>6.8189899999999901E-2</v>
      </c>
      <c r="X362">
        <v>0.99592069999999999</v>
      </c>
      <c r="Y362">
        <v>-1.29791E-2</v>
      </c>
      <c r="Z362">
        <v>-1.74902E-4</v>
      </c>
      <c r="AA362">
        <v>0.99991580000000002</v>
      </c>
      <c r="AB362">
        <v>37</v>
      </c>
      <c r="AC362">
        <v>21.398900000000001</v>
      </c>
      <c r="AD362">
        <v>-1.1039999158126901</v>
      </c>
      <c r="AE362">
        <v>0.49569999999999897</v>
      </c>
      <c r="AF362">
        <v>-0.28222245754035002</v>
      </c>
      <c r="AG362">
        <v>-1.1039999158126901</v>
      </c>
      <c r="AH362">
        <v>21.345984428632001</v>
      </c>
      <c r="AI362">
        <v>92.960402862070694</v>
      </c>
      <c r="AJ362">
        <v>90.757482684971393</v>
      </c>
      <c r="AK362">
        <v>21.376377535893599</v>
      </c>
    </row>
    <row r="363" spans="1:37" x14ac:dyDescent="0.2">
      <c r="A363" t="str">
        <f>"20200111153618070"</f>
        <v>20200111153618070</v>
      </c>
      <c r="B363" t="str">
        <f>"1578728178063027"</f>
        <v>1578728178063027</v>
      </c>
      <c r="C363" t="s">
        <v>37</v>
      </c>
      <c r="D363">
        <v>6.0704890000000002</v>
      </c>
      <c r="E363">
        <v>0.51540390000000003</v>
      </c>
      <c r="F363" t="s">
        <v>39</v>
      </c>
      <c r="G363">
        <v>-347.93459999999999</v>
      </c>
      <c r="H363" s="1">
        <v>-1.1883549999999999E-6</v>
      </c>
      <c r="I363">
        <v>368.31099999999998</v>
      </c>
      <c r="J363">
        <v>-369.55360000000002</v>
      </c>
      <c r="K363">
        <v>1.103998</v>
      </c>
      <c r="L363">
        <v>367.76339999999999</v>
      </c>
      <c r="M363">
        <v>0.99984709999999999</v>
      </c>
      <c r="N363">
        <v>0</v>
      </c>
      <c r="O363">
        <v>9.2897339999999991E-3</v>
      </c>
      <c r="P363">
        <v>0.99619500000000005</v>
      </c>
      <c r="Q363">
        <v>5.3757609999999997E-2</v>
      </c>
      <c r="R363">
        <v>6.8598190000000003E-2</v>
      </c>
      <c r="S363">
        <v>3.0143430000000002</v>
      </c>
      <c r="T363">
        <v>-0.15129210000000001</v>
      </c>
      <c r="U363">
        <v>7.5469969999999997E-2</v>
      </c>
      <c r="V363">
        <v>-5.923316E-2</v>
      </c>
      <c r="W363">
        <v>6.8612809999999996E-2</v>
      </c>
      <c r="X363">
        <v>0.99588339999999997</v>
      </c>
      <c r="Y363">
        <v>-1.5732090000000001E-2</v>
      </c>
      <c r="Z363" s="1">
        <v>-7.1432649999999994E-5</v>
      </c>
      <c r="AA363">
        <v>0.99987630000000005</v>
      </c>
      <c r="AB363">
        <v>37</v>
      </c>
      <c r="AC363">
        <v>21.619</v>
      </c>
      <c r="AD363">
        <v>-1.103999188355</v>
      </c>
      <c r="AE363">
        <v>0.54759999999998799</v>
      </c>
      <c r="AF363">
        <v>-0.34581833299800202</v>
      </c>
      <c r="AG363">
        <v>-1.103999188355</v>
      </c>
      <c r="AH363">
        <v>21.5669493439277</v>
      </c>
      <c r="AI363">
        <v>92.930002810139896</v>
      </c>
      <c r="AJ363">
        <v>90.9186386440917</v>
      </c>
      <c r="AK363">
        <v>21.597956119292199</v>
      </c>
    </row>
    <row r="364" spans="1:37" x14ac:dyDescent="0.2">
      <c r="A364" t="str">
        <f>"20200111153618092"</f>
        <v>20200111153618092</v>
      </c>
      <c r="B364" t="str">
        <f>"1578728178083523"</f>
        <v>1578728178083523</v>
      </c>
      <c r="C364" t="s">
        <v>37</v>
      </c>
      <c r="D364">
        <v>5.7294269999999896</v>
      </c>
      <c r="E364">
        <v>0.5151114</v>
      </c>
      <c r="F364" t="s">
        <v>39</v>
      </c>
      <c r="G364">
        <v>-346.95859999999999</v>
      </c>
      <c r="H364" s="1">
        <v>-1.641759E-6</v>
      </c>
      <c r="I364">
        <v>368.35599999999999</v>
      </c>
      <c r="J364">
        <v>-369.18720000000002</v>
      </c>
      <c r="K364">
        <v>1.1040000000000001</v>
      </c>
      <c r="L364">
        <v>367.76620000000003</v>
      </c>
      <c r="M364">
        <v>0.99985290000000004</v>
      </c>
      <c r="N364">
        <v>0</v>
      </c>
      <c r="O364">
        <v>8.6578079999999995E-3</v>
      </c>
      <c r="P364">
        <v>0.99622369999999905</v>
      </c>
      <c r="Q364">
        <v>5.4080899999999897E-2</v>
      </c>
      <c r="R364">
        <v>6.7924860000000004E-2</v>
      </c>
      <c r="S364">
        <v>3.0139469999999999</v>
      </c>
      <c r="T364">
        <v>-0.1472619</v>
      </c>
      <c r="U364">
        <v>7.9040529999999998E-2</v>
      </c>
      <c r="V364">
        <v>-5.918959E-2</v>
      </c>
      <c r="W364">
        <v>6.8932489999999999E-2</v>
      </c>
      <c r="X364">
        <v>0.99586390000000002</v>
      </c>
      <c r="Y364">
        <v>-1.754855E-2</v>
      </c>
      <c r="Z364" s="1">
        <v>5.6558640000000002E-6</v>
      </c>
      <c r="AA364">
        <v>0.99984599999999901</v>
      </c>
      <c r="AB364">
        <v>37</v>
      </c>
      <c r="AC364">
        <v>22.2286</v>
      </c>
      <c r="AD364">
        <v>-1.104001641759</v>
      </c>
      <c r="AE364">
        <v>0.58979999999996802</v>
      </c>
      <c r="AF364">
        <v>-0.39632890651741798</v>
      </c>
      <c r="AG364">
        <v>-1.104001641759</v>
      </c>
      <c r="AH364">
        <v>22.178205284357901</v>
      </c>
      <c r="AI364">
        <v>92.849301473900596</v>
      </c>
      <c r="AJ364">
        <v>91.023777920547303</v>
      </c>
      <c r="AK364">
        <v>22.209202729100099</v>
      </c>
    </row>
    <row r="365" spans="1:37" x14ac:dyDescent="0.2">
      <c r="A365" t="str">
        <f>"20200111153618114"</f>
        <v>20200111153618114</v>
      </c>
      <c r="B365" t="str">
        <f>"1578728178103043"</f>
        <v>1578728178103043</v>
      </c>
      <c r="C365" t="s">
        <v>37</v>
      </c>
      <c r="D365">
        <v>6.0641759999999998</v>
      </c>
      <c r="E365">
        <v>0.51490519999999995</v>
      </c>
      <c r="F365" t="s">
        <v>39</v>
      </c>
      <c r="G365">
        <v>-346.34059999999999</v>
      </c>
      <c r="H365" s="1">
        <v>-1.9318470000000001E-6</v>
      </c>
      <c r="I365">
        <v>368.36750000000001</v>
      </c>
      <c r="J365">
        <v>-368.82900000000001</v>
      </c>
      <c r="K365">
        <v>1.104006</v>
      </c>
      <c r="L365">
        <v>367.76870000000002</v>
      </c>
      <c r="M365">
        <v>0.99985809999999997</v>
      </c>
      <c r="N365">
        <v>0</v>
      </c>
      <c r="O365">
        <v>8.0409250000000008E-3</v>
      </c>
      <c r="P365">
        <v>0.99629909999999999</v>
      </c>
      <c r="Q365">
        <v>5.3708880000000001E-2</v>
      </c>
      <c r="R365">
        <v>6.7108029999999999E-2</v>
      </c>
      <c r="S365">
        <v>3.013855</v>
      </c>
      <c r="T365">
        <v>-0.14563670000000001</v>
      </c>
      <c r="U365">
        <v>7.9315189999999994E-2</v>
      </c>
      <c r="V365">
        <v>-5.8987390000000001E-2</v>
      </c>
      <c r="W365">
        <v>6.855667E-2</v>
      </c>
      <c r="X365">
        <v>0.99590179999999995</v>
      </c>
      <c r="Y365">
        <v>-1.825597E-2</v>
      </c>
      <c r="Z365" s="1">
        <v>5.246035E-5</v>
      </c>
      <c r="AA365">
        <v>0.99983330000000004</v>
      </c>
      <c r="AB365">
        <v>37</v>
      </c>
      <c r="AC365">
        <v>22.488399999999999</v>
      </c>
      <c r="AD365">
        <v>-1.104007931847</v>
      </c>
      <c r="AE365">
        <v>0.59879999999998201</v>
      </c>
      <c r="AF365">
        <v>-0.41692917343640401</v>
      </c>
      <c r="AG365">
        <v>-1.104007931847</v>
      </c>
      <c r="AH365">
        <v>22.438448631193999</v>
      </c>
      <c r="AI365">
        <v>92.816288113768394</v>
      </c>
      <c r="AJ365">
        <v>91.064491301494002</v>
      </c>
      <c r="AK365">
        <v>22.4694601720641</v>
      </c>
    </row>
    <row r="366" spans="1:37" x14ac:dyDescent="0.2">
      <c r="A366" t="str">
        <f>"20200111153618136"</f>
        <v>20200111153618136</v>
      </c>
      <c r="B366" t="str">
        <f>"1578728178123540"</f>
        <v>1578728178123540</v>
      </c>
      <c r="C366" t="s">
        <v>37</v>
      </c>
      <c r="D366">
        <v>5.9833769999999999</v>
      </c>
      <c r="E366">
        <v>0.51443760000000005</v>
      </c>
      <c r="F366" t="s">
        <v>39</v>
      </c>
      <c r="G366">
        <v>-346.04469999999998</v>
      </c>
      <c r="H366" s="1">
        <v>-2.0726970000000002E-6</v>
      </c>
      <c r="I366">
        <v>368.36180000000002</v>
      </c>
      <c r="J366">
        <v>-368.46940000000001</v>
      </c>
      <c r="K366">
        <v>1.1040110000000001</v>
      </c>
      <c r="L366">
        <v>367.77089999999998</v>
      </c>
      <c r="M366">
        <v>0.9998629</v>
      </c>
      <c r="N366">
        <v>0</v>
      </c>
      <c r="O366">
        <v>7.4267669999999999E-3</v>
      </c>
      <c r="P366">
        <v>0.99635269999999998</v>
      </c>
      <c r="Q366">
        <v>5.3971690000000003E-2</v>
      </c>
      <c r="R366">
        <v>6.6093760000000001E-2</v>
      </c>
      <c r="S366">
        <v>3.0137019999999999</v>
      </c>
      <c r="T366">
        <v>-0.14602799999999999</v>
      </c>
      <c r="U366">
        <v>7.846069E-2</v>
      </c>
      <c r="V366">
        <v>-5.858555E-2</v>
      </c>
      <c r="W366">
        <v>6.8814509999999995E-2</v>
      </c>
      <c r="X366">
        <v>0.99590780000000001</v>
      </c>
      <c r="Y366">
        <v>-1.8586970000000001E-2</v>
      </c>
      <c r="Z366" s="1">
        <v>9.0354680000000003E-5</v>
      </c>
      <c r="AA366">
        <v>0.99982729999999997</v>
      </c>
      <c r="AB366">
        <v>37</v>
      </c>
      <c r="AC366">
        <v>22.424700000000001</v>
      </c>
      <c r="AD366">
        <v>-1.1040130726970001</v>
      </c>
      <c r="AE366">
        <v>0.59090000000003295</v>
      </c>
      <c r="AF366">
        <v>-0.42329716476031498</v>
      </c>
      <c r="AG366">
        <v>-1.1040130726970001</v>
      </c>
      <c r="AH366">
        <v>22.374277433943501</v>
      </c>
      <c r="AI366">
        <v>92.824347662362399</v>
      </c>
      <c r="AJ366">
        <v>91.083844969175999</v>
      </c>
      <c r="AK366">
        <v>22.405497451416998</v>
      </c>
    </row>
    <row r="367" spans="1:37" x14ac:dyDescent="0.2">
      <c r="A367" t="str">
        <f>"20200111153618159"</f>
        <v>20200111153618159</v>
      </c>
      <c r="B367" t="str">
        <f>"1578728178152819"</f>
        <v>1578728178152819</v>
      </c>
      <c r="C367" t="s">
        <v>37</v>
      </c>
      <c r="D367">
        <v>5.993843</v>
      </c>
      <c r="E367">
        <v>0.51392609999999905</v>
      </c>
      <c r="F367" t="s">
        <v>39</v>
      </c>
      <c r="G367">
        <v>-345.65210000000002</v>
      </c>
      <c r="H367" s="1">
        <v>-2.2573060000000001E-6</v>
      </c>
      <c r="I367">
        <v>368.3673</v>
      </c>
      <c r="J367">
        <v>-368.09399999999999</v>
      </c>
      <c r="K367">
        <v>1.1040190000000001</v>
      </c>
      <c r="L367">
        <v>367.7731</v>
      </c>
      <c r="M367">
        <v>0.99986749999999902</v>
      </c>
      <c r="N367">
        <v>0</v>
      </c>
      <c r="O367">
        <v>6.7985719999999897E-3</v>
      </c>
      <c r="P367">
        <v>0.99635649999999998</v>
      </c>
      <c r="Q367">
        <v>5.4925399999999999E-2</v>
      </c>
      <c r="R367">
        <v>6.5246780000000004E-2</v>
      </c>
      <c r="S367">
        <v>3.0136720000000001</v>
      </c>
      <c r="T367">
        <v>-0.1458168</v>
      </c>
      <c r="U367">
        <v>7.8765870000000002E-2</v>
      </c>
      <c r="V367">
        <v>-5.836467E-2</v>
      </c>
      <c r="W367">
        <v>6.9762569999999996E-2</v>
      </c>
      <c r="X367">
        <v>0.99585480000000004</v>
      </c>
      <c r="Y367">
        <v>-1.931503E-2</v>
      </c>
      <c r="Z367">
        <v>1.3819900000000001E-4</v>
      </c>
      <c r="AA367">
        <v>0.99981339999999996</v>
      </c>
      <c r="AB367">
        <v>36</v>
      </c>
      <c r="AC367">
        <v>22.441899999999901</v>
      </c>
      <c r="AD367">
        <v>-1.104021257306</v>
      </c>
      <c r="AE367">
        <v>0.59419999999999995</v>
      </c>
      <c r="AF367">
        <v>-0.440531311811374</v>
      </c>
      <c r="AG367">
        <v>-1.104021257306</v>
      </c>
      <c r="AH367">
        <v>22.391269956594801</v>
      </c>
      <c r="AI367">
        <v>92.822187594437594</v>
      </c>
      <c r="AJ367">
        <v>91.127105744395905</v>
      </c>
      <c r="AK367">
        <v>22.422798688887401</v>
      </c>
    </row>
    <row r="368" spans="1:37" x14ac:dyDescent="0.2">
      <c r="A368" t="str">
        <f>"20200111153618183"</f>
        <v>20200111153618183</v>
      </c>
      <c r="B368" t="str">
        <f>"1578728178173316"</f>
        <v>1578728178173316</v>
      </c>
      <c r="C368" t="s">
        <v>37</v>
      </c>
      <c r="D368">
        <v>6.0830970000000004</v>
      </c>
      <c r="E368">
        <v>0.51383559999999995</v>
      </c>
      <c r="F368" t="s">
        <v>39</v>
      </c>
      <c r="G368">
        <v>-344.77099999999899</v>
      </c>
      <c r="H368" s="1">
        <v>-2.6690030000000001E-6</v>
      </c>
      <c r="I368">
        <v>368.39449999999999</v>
      </c>
      <c r="J368">
        <v>-367.72570000000002</v>
      </c>
      <c r="K368">
        <v>1.104044</v>
      </c>
      <c r="L368">
        <v>367.77499999999998</v>
      </c>
      <c r="M368">
        <v>0.99987130000000002</v>
      </c>
      <c r="N368">
        <v>0</v>
      </c>
      <c r="O368">
        <v>6.2030549999999999E-3</v>
      </c>
      <c r="P368">
        <v>0.99642679999999995</v>
      </c>
      <c r="Q368">
        <v>5.4753179999999999E-2</v>
      </c>
      <c r="R368">
        <v>6.4311569999999998E-2</v>
      </c>
      <c r="S368">
        <v>3.0135800000000001</v>
      </c>
      <c r="T368">
        <v>-0.14265139999999901</v>
      </c>
      <c r="U368">
        <v>8.0291749999999995E-2</v>
      </c>
      <c r="V368">
        <v>-5.8025390000000003E-2</v>
      </c>
      <c r="W368">
        <v>6.9583729999999996E-2</v>
      </c>
      <c r="X368">
        <v>0.99588709999999903</v>
      </c>
      <c r="Y368">
        <v>-2.0415909999999999E-2</v>
      </c>
      <c r="Z368">
        <v>1.8941229999999999E-4</v>
      </c>
      <c r="AA368">
        <v>0.999791599999999</v>
      </c>
      <c r="AB368">
        <v>36</v>
      </c>
      <c r="AC368">
        <v>22.954699999999999</v>
      </c>
      <c r="AD368">
        <v>-1.104046669003</v>
      </c>
      <c r="AE368">
        <v>0.61950000000001604</v>
      </c>
      <c r="AF368">
        <v>-0.47598293560427601</v>
      </c>
      <c r="AG368">
        <v>-1.104046669003</v>
      </c>
      <c r="AH368">
        <v>22.905153601862899</v>
      </c>
      <c r="AI368">
        <v>92.758971745594906</v>
      </c>
      <c r="AJ368">
        <v>91.190469585729602</v>
      </c>
      <c r="AK368">
        <v>22.9366854695105</v>
      </c>
    </row>
    <row r="369" spans="1:37" x14ac:dyDescent="0.2">
      <c r="A369" t="str">
        <f>"20200111153618205"</f>
        <v>20200111153618205</v>
      </c>
      <c r="B369" t="str">
        <f>"1578728178192835"</f>
        <v>1578728178192835</v>
      </c>
      <c r="C369" t="s">
        <v>37</v>
      </c>
      <c r="D369">
        <v>5.9384589999999999</v>
      </c>
      <c r="E369">
        <v>0.54569049999999997</v>
      </c>
      <c r="F369" t="s">
        <v>39</v>
      </c>
      <c r="G369">
        <v>-344.8759</v>
      </c>
      <c r="H369" s="1">
        <v>-2.6237029999999998E-6</v>
      </c>
      <c r="I369">
        <v>368.37029999999999</v>
      </c>
      <c r="J369">
        <v>-367.36380000000003</v>
      </c>
      <c r="K369">
        <v>1.1040669999999999</v>
      </c>
      <c r="L369">
        <v>367.77670000000001</v>
      </c>
      <c r="M369">
        <v>0.99987469999999901</v>
      </c>
      <c r="N369">
        <v>0</v>
      </c>
      <c r="O369">
        <v>5.6404769999999996E-3</v>
      </c>
      <c r="P369">
        <v>0.99648869999999901</v>
      </c>
      <c r="Q369">
        <v>5.5117529999999998E-2</v>
      </c>
      <c r="R369">
        <v>6.3026250000000006E-2</v>
      </c>
      <c r="S369">
        <v>3.0137019999999999</v>
      </c>
      <c r="T369">
        <v>-0.14561450000000001</v>
      </c>
      <c r="U369">
        <v>7.8521729999999998E-2</v>
      </c>
      <c r="V369">
        <v>-5.7303560000000003E-2</v>
      </c>
      <c r="W369">
        <v>6.9940950000000002E-2</v>
      </c>
      <c r="X369">
        <v>0.99590389999999995</v>
      </c>
      <c r="Y369">
        <v>-2.0389279999999999E-2</v>
      </c>
      <c r="Z369">
        <v>2.1985639999999999E-4</v>
      </c>
      <c r="AA369">
        <v>0.99979209999999996</v>
      </c>
      <c r="AB369">
        <v>36</v>
      </c>
      <c r="AC369">
        <v>22.4879</v>
      </c>
      <c r="AD369">
        <v>-1.1040696237029901</v>
      </c>
      <c r="AE369">
        <v>0.59359999999998003</v>
      </c>
      <c r="AF369">
        <v>-0.46561264876935898</v>
      </c>
      <c r="AG369">
        <v>-1.1040696237029901</v>
      </c>
      <c r="AH369">
        <v>22.436845882523301</v>
      </c>
      <c r="AI369">
        <v>92.816526075428897</v>
      </c>
      <c r="AJ369">
        <v>91.188839607985301</v>
      </c>
      <c r="AK369">
        <v>22.4688187946937</v>
      </c>
    </row>
    <row r="370" spans="1:37" x14ac:dyDescent="0.2">
      <c r="A370" t="str">
        <f>"20200111153618218"</f>
        <v>20200111153618218</v>
      </c>
      <c r="B370" t="str">
        <f>"1578728178213331"</f>
        <v>1578728178213331</v>
      </c>
      <c r="C370" t="s">
        <v>37</v>
      </c>
      <c r="D370">
        <v>5.8924989999999999</v>
      </c>
      <c r="E370">
        <v>0.55562800000000001</v>
      </c>
      <c r="F370" t="s">
        <v>38</v>
      </c>
      <c r="G370">
        <v>-366.39640000000003</v>
      </c>
      <c r="H370">
        <v>1.0360290000000001</v>
      </c>
      <c r="I370">
        <v>367.71910000000003</v>
      </c>
      <c r="J370">
        <v>-367.1395</v>
      </c>
      <c r="K370">
        <v>1.104079</v>
      </c>
      <c r="L370">
        <v>367.77760000000001</v>
      </c>
      <c r="M370">
        <v>0.9998766</v>
      </c>
      <c r="N370">
        <v>0</v>
      </c>
      <c r="O370">
        <v>5.3011419999999896E-3</v>
      </c>
      <c r="P370">
        <v>0.99652339999999995</v>
      </c>
      <c r="Q370">
        <v>5.5081520000000002E-2</v>
      </c>
      <c r="R370">
        <v>6.2510560000000007E-2</v>
      </c>
      <c r="S370">
        <v>3.0337519999999998</v>
      </c>
      <c r="T370">
        <v>-0.21348499999999901</v>
      </c>
      <c r="U370">
        <v>-0.18011469999999999</v>
      </c>
      <c r="V370">
        <v>-5.712801E-2</v>
      </c>
      <c r="W370">
        <v>6.9900530000000002E-2</v>
      </c>
      <c r="X370">
        <v>0.99591679999999905</v>
      </c>
      <c r="Y370">
        <v>6.438576E-2</v>
      </c>
      <c r="Z370">
        <v>-2.632938E-3</v>
      </c>
      <c r="AA370">
        <v>0.99792159999999996</v>
      </c>
      <c r="AB370">
        <v>36</v>
      </c>
      <c r="AC370">
        <v>0.74309999999996901</v>
      </c>
      <c r="AD370">
        <v>-6.8049999999999902E-2</v>
      </c>
      <c r="AE370">
        <v>-5.8499999999980901E-2</v>
      </c>
      <c r="AF370">
        <v>6.1922792977358199E-2</v>
      </c>
      <c r="AG370">
        <v>-6.8049999999999902E-2</v>
      </c>
      <c r="AH370">
        <v>0.73663989525656604</v>
      </c>
      <c r="AI370">
        <v>95.259497414385507</v>
      </c>
      <c r="AJ370">
        <v>85.194947869327507</v>
      </c>
      <c r="AK370">
        <v>0.74236350265467799</v>
      </c>
    </row>
    <row r="371" spans="1:37" x14ac:dyDescent="0.2">
      <c r="A371" t="str">
        <f>"20200111153618229"</f>
        <v>20200111153618229</v>
      </c>
      <c r="B371" t="str">
        <f>"1578728178223092"</f>
        <v>1578728178223092</v>
      </c>
      <c r="C371" t="s">
        <v>37</v>
      </c>
      <c r="D371">
        <v>5.8544999999999998</v>
      </c>
      <c r="E371">
        <v>0.55792609999999998</v>
      </c>
      <c r="F371" t="s">
        <v>39</v>
      </c>
      <c r="G371">
        <v>-350.57850000000002</v>
      </c>
      <c r="H371" s="1">
        <v>-4.6021810000000003E-6</v>
      </c>
      <c r="I371">
        <v>366.35750000000002</v>
      </c>
      <c r="J371">
        <v>-366.9425</v>
      </c>
      <c r="K371">
        <v>1.104093</v>
      </c>
      <c r="L371">
        <v>367.77839999999998</v>
      </c>
      <c r="M371">
        <v>0.99987809999999899</v>
      </c>
      <c r="N371">
        <v>0</v>
      </c>
      <c r="O371">
        <v>5.014541E-3</v>
      </c>
      <c r="P371">
        <v>0.99657199999999901</v>
      </c>
      <c r="Q371">
        <v>5.4876309999999998E-2</v>
      </c>
      <c r="R371">
        <v>6.1913759999999998E-2</v>
      </c>
      <c r="S371">
        <v>3.0379330000000002</v>
      </c>
      <c r="T371">
        <v>-0.20253099999999999</v>
      </c>
      <c r="U371">
        <v>-0.26049800000000001</v>
      </c>
      <c r="V371">
        <v>-5.6819219999999997E-2</v>
      </c>
      <c r="W371">
        <v>6.9691699999999995E-2</v>
      </c>
      <c r="X371">
        <v>0.99594910000000003</v>
      </c>
      <c r="Y371">
        <v>9.0220720000000004E-2</v>
      </c>
      <c r="Z371">
        <v>-3.3319500000000002E-3</v>
      </c>
      <c r="AA371">
        <v>0.99591620000000003</v>
      </c>
      <c r="AB371">
        <v>36</v>
      </c>
      <c r="AC371">
        <v>16.363999999999901</v>
      </c>
      <c r="AD371">
        <v>-1.1040976021810001</v>
      </c>
      <c r="AE371">
        <v>-1.4208999999999601</v>
      </c>
      <c r="AF371">
        <v>1.4961888407767101</v>
      </c>
      <c r="AG371">
        <v>-1.1040976021810001</v>
      </c>
      <c r="AH371">
        <v>16.283096559031499</v>
      </c>
      <c r="AI371">
        <v>93.862857626252406</v>
      </c>
      <c r="AJ371">
        <v>84.750061220518802</v>
      </c>
      <c r="AK371">
        <v>16.388924495315401</v>
      </c>
    </row>
    <row r="372" spans="1:37" x14ac:dyDescent="0.2">
      <c r="A372" t="str">
        <f>"20200111153618243"</f>
        <v>20200111153618243</v>
      </c>
      <c r="B372" t="str">
        <f>"1578728178232851"</f>
        <v>1578728178232851</v>
      </c>
      <c r="C372" t="s">
        <v>37</v>
      </c>
      <c r="D372">
        <v>5.9015459999999997</v>
      </c>
      <c r="E372">
        <v>0.55923489999999998</v>
      </c>
      <c r="F372" t="s">
        <v>38</v>
      </c>
      <c r="G372">
        <v>-366.06470000000002</v>
      </c>
      <c r="H372">
        <v>1.0467979999999999</v>
      </c>
      <c r="I372">
        <v>367.69690000000003</v>
      </c>
      <c r="J372">
        <v>-366.73090000000002</v>
      </c>
      <c r="K372">
        <v>1.1041080000000001</v>
      </c>
      <c r="L372">
        <v>367.7792</v>
      </c>
      <c r="M372">
        <v>0.99987959999999998</v>
      </c>
      <c r="N372">
        <v>0</v>
      </c>
      <c r="O372">
        <v>4.7142080000000001E-3</v>
      </c>
      <c r="P372">
        <v>0.99659030000000004</v>
      </c>
      <c r="Q372">
        <v>5.5041180000000002E-2</v>
      </c>
      <c r="R372">
        <v>6.1469370000000002E-2</v>
      </c>
      <c r="S372">
        <v>3.0387270000000002</v>
      </c>
      <c r="T372">
        <v>-0.19858219999999999</v>
      </c>
      <c r="U372">
        <v>-0.2806091</v>
      </c>
      <c r="V372">
        <v>-5.6676579999999997E-2</v>
      </c>
      <c r="W372">
        <v>6.9851510000000006E-2</v>
      </c>
      <c r="X372">
        <v>0.995945999999999</v>
      </c>
      <c r="Y372">
        <v>9.6432859999999995E-2</v>
      </c>
      <c r="Z372">
        <v>-3.448095E-3</v>
      </c>
      <c r="AA372">
        <v>0.99533349999999898</v>
      </c>
      <c r="AB372">
        <v>36</v>
      </c>
      <c r="AC372">
        <v>0.66620000000000301</v>
      </c>
      <c r="AD372">
        <v>-5.7310000000000097E-2</v>
      </c>
      <c r="AE372">
        <v>-8.2299999999975101E-2</v>
      </c>
      <c r="AF372">
        <v>8.4821759864093405E-2</v>
      </c>
      <c r="AG372">
        <v>-5.7310000000000097E-2</v>
      </c>
      <c r="AH372">
        <v>0.660986578426628</v>
      </c>
      <c r="AI372">
        <v>94.915259032722005</v>
      </c>
      <c r="AJ372">
        <v>82.6874274405763</v>
      </c>
      <c r="AK372">
        <v>0.66886652174150696</v>
      </c>
    </row>
    <row r="373" spans="1:37" x14ac:dyDescent="0.2">
      <c r="A373" t="str">
        <f>"20200111153618260"</f>
        <v>20200111153618260</v>
      </c>
      <c r="B373" t="str">
        <f>"1578728178253348"</f>
        <v>1578728178253348</v>
      </c>
      <c r="C373" t="s">
        <v>37</v>
      </c>
      <c r="D373">
        <v>5.8756760000000003</v>
      </c>
      <c r="E373">
        <v>0.56015950000000003</v>
      </c>
      <c r="F373" t="s">
        <v>38</v>
      </c>
      <c r="G373">
        <v>-365.74590000000001</v>
      </c>
      <c r="H373">
        <v>1.04041299999999</v>
      </c>
      <c r="I373">
        <v>367.6841</v>
      </c>
      <c r="J373">
        <v>-366.46710000000002</v>
      </c>
      <c r="K373">
        <v>1.104123</v>
      </c>
      <c r="L373">
        <v>367.7801</v>
      </c>
      <c r="M373">
        <v>0.99988129999999997</v>
      </c>
      <c r="N373">
        <v>0</v>
      </c>
      <c r="O373">
        <v>4.3578480000000001E-3</v>
      </c>
      <c r="P373">
        <v>0.99662619999999902</v>
      </c>
      <c r="Q373">
        <v>5.5074949999999998E-2</v>
      </c>
      <c r="R373">
        <v>6.085256E-2</v>
      </c>
      <c r="S373">
        <v>3.0391849999999998</v>
      </c>
      <c r="T373">
        <v>-0.19668379999999999</v>
      </c>
      <c r="U373">
        <v>-0.2922363</v>
      </c>
      <c r="V373">
        <v>-5.6418129999999997E-2</v>
      </c>
      <c r="W373">
        <v>6.9879579999999997E-2</v>
      </c>
      <c r="X373">
        <v>0.99595869999999997</v>
      </c>
      <c r="Y373">
        <v>9.9836110000000006E-2</v>
      </c>
      <c r="Z373">
        <v>-3.5008439999999999E-3</v>
      </c>
      <c r="AA373">
        <v>0.99499769999999899</v>
      </c>
      <c r="AB373">
        <v>36</v>
      </c>
      <c r="AC373">
        <v>0.72120000000001006</v>
      </c>
      <c r="AD373">
        <v>-6.37100000000001E-2</v>
      </c>
      <c r="AE373">
        <v>-9.6000000000003596E-2</v>
      </c>
      <c r="AF373">
        <v>9.8387883717463098E-2</v>
      </c>
      <c r="AG373">
        <v>-6.37100000000001E-2</v>
      </c>
      <c r="AH373">
        <v>0.71528998433938495</v>
      </c>
      <c r="AI373">
        <v>95.042602389425795</v>
      </c>
      <c r="AJ373">
        <v>82.168131816116201</v>
      </c>
      <c r="AK373">
        <v>0.72483025699720804</v>
      </c>
    </row>
    <row r="374" spans="1:37" x14ac:dyDescent="0.2">
      <c r="A374" t="str">
        <f>"20200111153618271"</f>
        <v>20200111153618271</v>
      </c>
      <c r="B374" t="str">
        <f>"1578728178263107"</f>
        <v>1578728178263107</v>
      </c>
      <c r="C374" t="s">
        <v>37</v>
      </c>
      <c r="D374">
        <v>5.8927480000000001</v>
      </c>
      <c r="E374">
        <v>0.56030419999999903</v>
      </c>
      <c r="F374" t="s">
        <v>38</v>
      </c>
      <c r="G374">
        <v>-365.42360000000002</v>
      </c>
      <c r="H374">
        <v>1.0379700000000001</v>
      </c>
      <c r="I374">
        <v>367.67610000000002</v>
      </c>
      <c r="J374">
        <v>-366.25619999999998</v>
      </c>
      <c r="K374">
        <v>1.104141</v>
      </c>
      <c r="L374">
        <v>367.78070000000002</v>
      </c>
      <c r="M374">
        <v>0.9998823</v>
      </c>
      <c r="N374">
        <v>0</v>
      </c>
      <c r="O374">
        <v>4.0939499999999998E-3</v>
      </c>
      <c r="P374">
        <v>0.99665999999999999</v>
      </c>
      <c r="Q374">
        <v>5.5189139999999998E-2</v>
      </c>
      <c r="R374">
        <v>6.0191199999999903E-2</v>
      </c>
      <c r="S374">
        <v>3.0392459999999999</v>
      </c>
      <c r="T374">
        <v>-0.19290470000000001</v>
      </c>
      <c r="U374">
        <v>-0.30172729999999998</v>
      </c>
      <c r="V374">
        <v>-5.6023040000000003E-2</v>
      </c>
      <c r="W374">
        <v>6.9989469999999998E-2</v>
      </c>
      <c r="X374">
        <v>0.99597329999999995</v>
      </c>
      <c r="Y374">
        <v>0.1026522</v>
      </c>
      <c r="Z374">
        <v>-3.5054940000000001E-3</v>
      </c>
      <c r="AA374">
        <v>0.99471119999999902</v>
      </c>
      <c r="AB374">
        <v>36</v>
      </c>
      <c r="AC374">
        <v>0.83259999999995604</v>
      </c>
      <c r="AD374">
        <v>-6.6170999999999897E-2</v>
      </c>
      <c r="AE374">
        <v>-0.104600000000004</v>
      </c>
      <c r="AF374">
        <v>0.107340657696185</v>
      </c>
      <c r="AG374">
        <v>-6.6170999999999897E-2</v>
      </c>
      <c r="AH374">
        <v>0.82702219391297205</v>
      </c>
      <c r="AI374">
        <v>94.536664596508004</v>
      </c>
      <c r="AJ374">
        <v>82.604821742410707</v>
      </c>
      <c r="AK374">
        <v>0.83658013797858899</v>
      </c>
    </row>
    <row r="375" spans="1:37" x14ac:dyDescent="0.2">
      <c r="A375" t="str">
        <f>"20200111153618284"</f>
        <v>20200111153618284</v>
      </c>
      <c r="B375" t="str">
        <f>"1578728178272868"</f>
        <v>1578728178272868</v>
      </c>
      <c r="C375" t="s">
        <v>37</v>
      </c>
      <c r="D375">
        <v>5.8781349999999897</v>
      </c>
      <c r="E375">
        <v>0.56044769999999999</v>
      </c>
      <c r="F375" t="s">
        <v>38</v>
      </c>
      <c r="G375">
        <v>-365.41370000000001</v>
      </c>
      <c r="H375">
        <v>1.0508690000000001</v>
      </c>
      <c r="I375">
        <v>367.69580000000002</v>
      </c>
      <c r="J375">
        <v>-366.0668</v>
      </c>
      <c r="K375">
        <v>1.1041570000000001</v>
      </c>
      <c r="L375">
        <v>367.78129999999999</v>
      </c>
      <c r="M375">
        <v>0.99988349999999904</v>
      </c>
      <c r="N375">
        <v>0</v>
      </c>
      <c r="O375">
        <v>3.8641740000000002E-3</v>
      </c>
      <c r="P375">
        <v>0.99668819999999902</v>
      </c>
      <c r="Q375">
        <v>5.5045429999999999E-2</v>
      </c>
      <c r="R375">
        <v>5.9856060000000003E-2</v>
      </c>
      <c r="S375">
        <v>3.0391240000000002</v>
      </c>
      <c r="T375">
        <v>-0.19245079999999901</v>
      </c>
      <c r="U375">
        <v>-0.30508420000000003</v>
      </c>
      <c r="V375">
        <v>-5.5919610000000002E-2</v>
      </c>
      <c r="W375">
        <v>6.9841059999999996E-2</v>
      </c>
      <c r="X375">
        <v>0.99598960000000003</v>
      </c>
      <c r="Y375">
        <v>0.1035151</v>
      </c>
      <c r="Z375">
        <v>-3.5099350000000001E-3</v>
      </c>
      <c r="AA375">
        <v>0.99462169999999905</v>
      </c>
      <c r="AB375">
        <v>36</v>
      </c>
      <c r="AC375">
        <v>0.65309999999999402</v>
      </c>
      <c r="AD375">
        <v>-5.3288000000000002E-2</v>
      </c>
      <c r="AE375">
        <v>-8.5499999999967699E-2</v>
      </c>
      <c r="AF375">
        <v>8.7450949471694697E-2</v>
      </c>
      <c r="AG375">
        <v>-5.3288000000000002E-2</v>
      </c>
      <c r="AH375">
        <v>0.64852004126670604</v>
      </c>
      <c r="AI375">
        <v>94.655414745289704</v>
      </c>
      <c r="AJ375">
        <v>82.320164576471996</v>
      </c>
      <c r="AK375">
        <v>0.65655580374563105</v>
      </c>
    </row>
    <row r="376" spans="1:37" x14ac:dyDescent="0.2">
      <c r="A376" t="str">
        <f>"20200111153618296"</f>
        <v>20200111153618296</v>
      </c>
      <c r="B376" t="str">
        <f>"1578728178293363"</f>
        <v>1578728178293363</v>
      </c>
      <c r="C376" t="s">
        <v>37</v>
      </c>
      <c r="D376">
        <v>5.8850189999999998</v>
      </c>
      <c r="E376">
        <v>0.56064130000000001</v>
      </c>
      <c r="F376" t="s">
        <v>38</v>
      </c>
      <c r="G376">
        <v>-365.09690000000001</v>
      </c>
      <c r="H376">
        <v>1.04312</v>
      </c>
      <c r="I376">
        <v>367.68329999999997</v>
      </c>
      <c r="J376">
        <v>-365.8605</v>
      </c>
      <c r="K376">
        <v>1.104174</v>
      </c>
      <c r="L376">
        <v>367.78190000000001</v>
      </c>
      <c r="M376">
        <v>0.999884199999999</v>
      </c>
      <c r="N376">
        <v>0</v>
      </c>
      <c r="O376">
        <v>3.6254450000000001E-3</v>
      </c>
      <c r="P376">
        <v>0.99669409999999903</v>
      </c>
      <c r="Q376">
        <v>5.525563E-2</v>
      </c>
      <c r="R376">
        <v>5.9565630000000001E-2</v>
      </c>
      <c r="S376">
        <v>3.0389400000000002</v>
      </c>
      <c r="T376">
        <v>-0.1912787</v>
      </c>
      <c r="U376">
        <v>-0.30688480000000001</v>
      </c>
      <c r="V376">
        <v>-5.5870360000000001E-2</v>
      </c>
      <c r="W376">
        <v>7.0046070000000002E-2</v>
      </c>
      <c r="X376">
        <v>0.99597789999999997</v>
      </c>
      <c r="Y376">
        <v>0.1038694</v>
      </c>
      <c r="Z376">
        <v>-3.4848399999999999E-3</v>
      </c>
      <c r="AA376">
        <v>0.99458489999999999</v>
      </c>
      <c r="AB376">
        <v>36</v>
      </c>
      <c r="AC376">
        <v>0.76359999999999595</v>
      </c>
      <c r="AD376">
        <v>-6.10539999999999E-2</v>
      </c>
      <c r="AE376">
        <v>-9.8600000000033106E-2</v>
      </c>
      <c r="AF376">
        <v>0.10073462121610199</v>
      </c>
      <c r="AG376">
        <v>-6.10539999999999E-2</v>
      </c>
      <c r="AH376">
        <v>0.75846819773815599</v>
      </c>
      <c r="AI376">
        <v>94.562293227159799</v>
      </c>
      <c r="AJ376">
        <v>82.434637086668801</v>
      </c>
      <c r="AK376">
        <v>0.76756046133690203</v>
      </c>
    </row>
    <row r="377" spans="1:37" x14ac:dyDescent="0.2">
      <c r="A377" t="str">
        <f>"20200111153618314"</f>
        <v>20200111153618314</v>
      </c>
      <c r="B377" t="str">
        <f>"1578728178303123"</f>
        <v>1578728178303123</v>
      </c>
      <c r="C377" t="s">
        <v>37</v>
      </c>
      <c r="D377">
        <v>5.8809319999999996</v>
      </c>
      <c r="E377">
        <v>0.5607065</v>
      </c>
      <c r="F377" t="s">
        <v>39</v>
      </c>
      <c r="G377">
        <v>-348.13670000000002</v>
      </c>
      <c r="H377" s="1">
        <v>-1.667902E-6</v>
      </c>
      <c r="I377">
        <v>365.9776</v>
      </c>
      <c r="J377">
        <v>-365.57400000000001</v>
      </c>
      <c r="K377">
        <v>1.104206</v>
      </c>
      <c r="L377">
        <v>367.7826</v>
      </c>
      <c r="M377">
        <v>0.99988539999999904</v>
      </c>
      <c r="N377">
        <v>0</v>
      </c>
      <c r="O377">
        <v>3.3216500000000002E-3</v>
      </c>
      <c r="P377">
        <v>0.99675759999999902</v>
      </c>
      <c r="Q377">
        <v>5.5071589999999997E-2</v>
      </c>
      <c r="R377">
        <v>5.866362E-2</v>
      </c>
      <c r="S377">
        <v>3.0389710000000001</v>
      </c>
      <c r="T377">
        <v>-0.18932550000000001</v>
      </c>
      <c r="U377">
        <v>-0.30935669999999998</v>
      </c>
      <c r="V377">
        <v>-5.5276020000000002E-2</v>
      </c>
      <c r="W377">
        <v>6.9854849999999996E-2</v>
      </c>
      <c r="X377">
        <v>0.99602449999999998</v>
      </c>
      <c r="Y377">
        <v>0.104370899999999</v>
      </c>
      <c r="Z377">
        <v>-3.445853E-3</v>
      </c>
      <c r="AA377">
        <v>0.99453250000000004</v>
      </c>
      <c r="AB377">
        <v>36</v>
      </c>
      <c r="AC377">
        <v>17.437299999999901</v>
      </c>
      <c r="AD377">
        <v>-1.1042076679020001</v>
      </c>
      <c r="AE377">
        <v>-1.8049999999999999</v>
      </c>
      <c r="AF377">
        <v>1.8555550966041601</v>
      </c>
      <c r="AG377">
        <v>-1.1042076679020001</v>
      </c>
      <c r="AH377">
        <v>17.362322954088601</v>
      </c>
      <c r="AI377">
        <v>93.618441063155998</v>
      </c>
      <c r="AJ377">
        <v>83.899810618493603</v>
      </c>
      <c r="AK377">
        <v>17.496074349763699</v>
      </c>
    </row>
    <row r="378" spans="1:37" x14ac:dyDescent="0.2">
      <c r="A378" t="str">
        <f>"20200111153618329"</f>
        <v>20200111153618329</v>
      </c>
      <c r="B378" t="str">
        <f>"1578728178323620"</f>
        <v>1578728178323620</v>
      </c>
      <c r="C378" t="s">
        <v>37</v>
      </c>
      <c r="D378">
        <v>5.8955769999999896</v>
      </c>
      <c r="E378">
        <v>0.56089369999999905</v>
      </c>
      <c r="F378" t="s">
        <v>39</v>
      </c>
      <c r="G378">
        <v>-347.82130000000001</v>
      </c>
      <c r="H378" s="1">
        <v>-1.794596E-6</v>
      </c>
      <c r="I378">
        <v>365.95679999999999</v>
      </c>
      <c r="J378">
        <v>-365.35520000000002</v>
      </c>
      <c r="K378">
        <v>1.1042299999999901</v>
      </c>
      <c r="L378">
        <v>367.78309999999999</v>
      </c>
      <c r="M378">
        <v>0.99988619999999995</v>
      </c>
      <c r="N378">
        <v>0</v>
      </c>
      <c r="O378">
        <v>3.110912E-3</v>
      </c>
      <c r="P378">
        <v>0.9967937</v>
      </c>
      <c r="Q378">
        <v>5.4979889999999997E-2</v>
      </c>
      <c r="R378">
        <v>5.8138519999999999E-2</v>
      </c>
      <c r="S378">
        <v>3.03863499999999</v>
      </c>
      <c r="T378">
        <v>-0.189000799999999</v>
      </c>
      <c r="U378">
        <v>-0.3125</v>
      </c>
      <c r="V378">
        <v>-5.4965300000000002E-2</v>
      </c>
      <c r="W378">
        <v>6.9757799999999995E-2</v>
      </c>
      <c r="X378">
        <v>0.9960485</v>
      </c>
      <c r="Y378">
        <v>0.10519000000000001</v>
      </c>
      <c r="Z378">
        <v>-3.45247E-3</v>
      </c>
      <c r="AA378">
        <v>0.99444619999999995</v>
      </c>
      <c r="AB378">
        <v>36</v>
      </c>
      <c r="AC378">
        <v>17.533899999999999</v>
      </c>
      <c r="AD378">
        <v>-1.1042317945959901</v>
      </c>
      <c r="AE378">
        <v>-1.8263</v>
      </c>
      <c r="AF378">
        <v>1.87349281596938</v>
      </c>
      <c r="AG378">
        <v>-1.1042317945959901</v>
      </c>
      <c r="AH378">
        <v>17.459629645440799</v>
      </c>
      <c r="AI378">
        <v>93.598242120530401</v>
      </c>
      <c r="AJ378">
        <v>83.875353268390398</v>
      </c>
      <c r="AK378">
        <v>17.5945437719664</v>
      </c>
    </row>
    <row r="379" spans="1:37" x14ac:dyDescent="0.2">
      <c r="A379" t="str">
        <f>"20200111153618342"</f>
        <v>20200111153618342</v>
      </c>
      <c r="B379" t="str">
        <f>"1578728178333380"</f>
        <v>1578728178333380</v>
      </c>
      <c r="C379" t="s">
        <v>37</v>
      </c>
      <c r="D379">
        <v>5.8595899999999999</v>
      </c>
      <c r="E379">
        <v>0.56105640000000001</v>
      </c>
      <c r="F379" t="s">
        <v>38</v>
      </c>
      <c r="G379">
        <v>-364.44819999999999</v>
      </c>
      <c r="H379">
        <v>1.0474410000000001</v>
      </c>
      <c r="I379">
        <v>367.68889999999999</v>
      </c>
      <c r="J379">
        <v>-365.1284</v>
      </c>
      <c r="K379">
        <v>1.1042609999999999</v>
      </c>
      <c r="L379">
        <v>367.78359999999998</v>
      </c>
      <c r="M379">
        <v>0.99988679999999996</v>
      </c>
      <c r="N379">
        <v>0</v>
      </c>
      <c r="O379">
        <v>2.9088E-3</v>
      </c>
      <c r="P379">
        <v>0.99682150000000003</v>
      </c>
      <c r="Q379">
        <v>5.4937560000000003E-2</v>
      </c>
      <c r="R379">
        <v>5.76985E-2</v>
      </c>
      <c r="S379">
        <v>3.0385439999999999</v>
      </c>
      <c r="T379">
        <v>-0.19024959999999999</v>
      </c>
      <c r="U379">
        <v>-0.31515500000000002</v>
      </c>
      <c r="V379">
        <v>-5.4730859999999999E-2</v>
      </c>
      <c r="W379">
        <v>6.9709289999999993E-2</v>
      </c>
      <c r="X379">
        <v>0.99606479999999997</v>
      </c>
      <c r="Y379">
        <v>0.1058481</v>
      </c>
      <c r="Z379">
        <v>-3.4831039999999999E-3</v>
      </c>
      <c r="AA379">
        <v>0.99437619999999904</v>
      </c>
      <c r="AB379">
        <v>36</v>
      </c>
      <c r="AC379">
        <v>0.68020000000001302</v>
      </c>
      <c r="AD379">
        <v>-5.6820000000000002E-2</v>
      </c>
      <c r="AE379">
        <v>-9.4699999999988904E-2</v>
      </c>
      <c r="AF379">
        <v>9.6021088682450004E-2</v>
      </c>
      <c r="AG379">
        <v>-5.6820000000000002E-2</v>
      </c>
      <c r="AH379">
        <v>0.675299012310006</v>
      </c>
      <c r="AI379">
        <v>94.761893370009204</v>
      </c>
      <c r="AJ379">
        <v>81.907334331392903</v>
      </c>
      <c r="AK379">
        <v>0.68445402906158204</v>
      </c>
    </row>
    <row r="380" spans="1:37" x14ac:dyDescent="0.2">
      <c r="A380" t="str">
        <f>"20200111153618360"</f>
        <v>20200111153618360</v>
      </c>
      <c r="B380" t="str">
        <f>"1578728178352902"</f>
        <v>1578728178352902</v>
      </c>
      <c r="C380" t="s">
        <v>37</v>
      </c>
      <c r="D380">
        <v>5.875165</v>
      </c>
      <c r="E380">
        <v>0.56125550000000002</v>
      </c>
      <c r="F380" t="s">
        <v>38</v>
      </c>
      <c r="G380">
        <v>-364.13080000000002</v>
      </c>
      <c r="H380">
        <v>1.0417419999999999</v>
      </c>
      <c r="I380">
        <v>367.67869999999999</v>
      </c>
      <c r="J380">
        <v>-364.83679999999998</v>
      </c>
      <c r="K380">
        <v>1.104298</v>
      </c>
      <c r="L380">
        <v>367.7842</v>
      </c>
      <c r="M380">
        <v>0.99988750000000004</v>
      </c>
      <c r="N380">
        <v>0</v>
      </c>
      <c r="O380">
        <v>2.6807150000000002E-3</v>
      </c>
      <c r="P380">
        <v>0.99685119999999905</v>
      </c>
      <c r="Q380">
        <v>5.4743010000000002E-2</v>
      </c>
      <c r="R380">
        <v>5.7369179999999999E-2</v>
      </c>
      <c r="S380">
        <v>3.0384829999999998</v>
      </c>
      <c r="T380">
        <v>-0.1906621</v>
      </c>
      <c r="U380">
        <v>-0.3180847</v>
      </c>
      <c r="V380">
        <v>-5.4635219999999998E-2</v>
      </c>
      <c r="W380">
        <v>6.9506650000000003E-2</v>
      </c>
      <c r="X380">
        <v>0.99608430000000003</v>
      </c>
      <c r="Y380">
        <v>0.106569899999999</v>
      </c>
      <c r="Z380">
        <v>-3.4988390000000001E-3</v>
      </c>
      <c r="AA380">
        <v>0.99429909999999999</v>
      </c>
      <c r="AB380">
        <v>36</v>
      </c>
      <c r="AC380">
        <v>0.70599999999995999</v>
      </c>
      <c r="AD380">
        <v>-6.2556E-2</v>
      </c>
      <c r="AE380">
        <v>-0.10550000000000601</v>
      </c>
      <c r="AF380">
        <v>0.106573968795177</v>
      </c>
      <c r="AG380">
        <v>-6.2556E-2</v>
      </c>
      <c r="AH380">
        <v>0.70033632985669203</v>
      </c>
      <c r="AI380">
        <v>95.046481146654202</v>
      </c>
      <c r="AJ380">
        <v>81.347374327931007</v>
      </c>
      <c r="AK380">
        <v>0.71115556587704298</v>
      </c>
    </row>
    <row r="381" spans="1:37" x14ac:dyDescent="0.2">
      <c r="A381" t="str">
        <f>"20200111153618384"</f>
        <v>20200111153618384</v>
      </c>
      <c r="B381" t="str">
        <f>"1578728178373395"</f>
        <v>1578728178373395</v>
      </c>
      <c r="C381" t="s">
        <v>37</v>
      </c>
      <c r="D381">
        <v>5.8740230000000002</v>
      </c>
      <c r="E381">
        <v>0.56145749999999905</v>
      </c>
      <c r="F381" t="s">
        <v>38</v>
      </c>
      <c r="G381">
        <v>-363.81099999999998</v>
      </c>
      <c r="H381">
        <v>1.0392399999999999</v>
      </c>
      <c r="I381">
        <v>367.67599999999999</v>
      </c>
      <c r="J381">
        <v>-364.46899999999999</v>
      </c>
      <c r="K381">
        <v>1.104344</v>
      </c>
      <c r="L381">
        <v>367.78489999999999</v>
      </c>
      <c r="M381">
        <v>0.999887999999999</v>
      </c>
      <c r="N381">
        <v>0</v>
      </c>
      <c r="O381">
        <v>2.4417570000000001E-3</v>
      </c>
      <c r="P381">
        <v>0.99690259999999997</v>
      </c>
      <c r="Q381">
        <v>5.4605309999999997E-2</v>
      </c>
      <c r="R381">
        <v>5.6595569999999998E-2</v>
      </c>
      <c r="S381">
        <v>3.0385439999999999</v>
      </c>
      <c r="T381">
        <v>-0.19270399999999999</v>
      </c>
      <c r="U381">
        <v>-0.32064819999999999</v>
      </c>
      <c r="V381">
        <v>-5.4108080000000003E-2</v>
      </c>
      <c r="W381">
        <v>6.9358710000000004E-2</v>
      </c>
      <c r="X381">
        <v>0.99612330000000004</v>
      </c>
      <c r="Y381">
        <v>0.10715470000000001</v>
      </c>
      <c r="Z381">
        <v>-3.5393820000000002E-3</v>
      </c>
      <c r="AA381">
        <v>0.99423609999999896</v>
      </c>
      <c r="AB381">
        <v>36</v>
      </c>
      <c r="AC381">
        <v>0.65800000000001502</v>
      </c>
      <c r="AD381">
        <v>-6.5103999999999995E-2</v>
      </c>
      <c r="AE381">
        <v>-0.10890000000000501</v>
      </c>
      <c r="AF381">
        <v>0.109463495567138</v>
      </c>
      <c r="AG381">
        <v>-6.5103999999999995E-2</v>
      </c>
      <c r="AH381">
        <v>0.65152400705379998</v>
      </c>
      <c r="AI381">
        <v>95.6280152636445</v>
      </c>
      <c r="AJ381">
        <v>80.462726005767493</v>
      </c>
      <c r="AK381">
        <v>0.66385564654163898</v>
      </c>
    </row>
    <row r="382" spans="1:37" x14ac:dyDescent="0.2">
      <c r="A382" t="str">
        <f>"20200111153618396"</f>
        <v>20200111153618396</v>
      </c>
      <c r="B382" t="str">
        <f>"1578728178392916"</f>
        <v>1578728178392916</v>
      </c>
      <c r="C382" t="s">
        <v>37</v>
      </c>
      <c r="D382">
        <v>5.8800099999999897</v>
      </c>
      <c r="E382">
        <v>0.5613939</v>
      </c>
      <c r="F382" t="s">
        <v>38</v>
      </c>
      <c r="G382">
        <v>-363.48820000000001</v>
      </c>
      <c r="H382">
        <v>1.0416749999999999</v>
      </c>
      <c r="I382">
        <v>367.68009999999998</v>
      </c>
      <c r="J382">
        <v>-364.2561</v>
      </c>
      <c r="K382">
        <v>1.1043689999999999</v>
      </c>
      <c r="L382">
        <v>367.78530000000001</v>
      </c>
      <c r="M382">
        <v>0.99988849999999996</v>
      </c>
      <c r="N382">
        <v>0</v>
      </c>
      <c r="O382">
        <v>2.3236149999999998E-3</v>
      </c>
      <c r="P382">
        <v>0.99692930000000002</v>
      </c>
      <c r="Q382">
        <v>5.4561150000000003E-2</v>
      </c>
      <c r="R382">
        <v>5.6174679999999998E-2</v>
      </c>
      <c r="S382">
        <v>3.0383610000000001</v>
      </c>
      <c r="T382">
        <v>-0.19420709999999999</v>
      </c>
      <c r="U382">
        <v>-0.32440190000000002</v>
      </c>
      <c r="V382">
        <v>-5.3809969999999999E-2</v>
      </c>
      <c r="W382">
        <v>6.9308770000000006E-2</v>
      </c>
      <c r="X382">
        <v>0.99614290000000005</v>
      </c>
      <c r="Y382">
        <v>0.1082526</v>
      </c>
      <c r="Z382">
        <v>-3.5943469999999999E-3</v>
      </c>
      <c r="AA382">
        <v>0.99411689999999997</v>
      </c>
      <c r="AB382">
        <v>36</v>
      </c>
      <c r="AC382">
        <v>0.76789999999999703</v>
      </c>
      <c r="AD382">
        <v>-6.2694000000000194E-2</v>
      </c>
      <c r="AE382">
        <v>-0.105200000000024</v>
      </c>
      <c r="AF382">
        <v>0.106288782033165</v>
      </c>
      <c r="AG382">
        <v>-6.2694000000000194E-2</v>
      </c>
      <c r="AH382">
        <v>0.76266345969943605</v>
      </c>
      <c r="AI382">
        <v>94.654592482487502</v>
      </c>
      <c r="AJ382">
        <v>82.066062211254703</v>
      </c>
      <c r="AK382">
        <v>0.77258229049260996</v>
      </c>
    </row>
    <row r="383" spans="1:37" x14ac:dyDescent="0.2">
      <c r="A383" t="str">
        <f>"20200111153618409"</f>
        <v>20200111153618409</v>
      </c>
      <c r="B383" t="str">
        <f>"1578728178403652"</f>
        <v>1578728178403652</v>
      </c>
      <c r="C383" t="s">
        <v>37</v>
      </c>
      <c r="D383">
        <v>5.8856449999999896</v>
      </c>
      <c r="E383">
        <v>0.56148430000000005</v>
      </c>
      <c r="F383" t="s">
        <v>39</v>
      </c>
      <c r="G383">
        <v>-347.01889999999997</v>
      </c>
      <c r="H383" s="1">
        <v>-2.106705E-6</v>
      </c>
      <c r="I383">
        <v>365.94189999999998</v>
      </c>
      <c r="J383">
        <v>-364.05829999999997</v>
      </c>
      <c r="K383">
        <v>1.104392</v>
      </c>
      <c r="L383">
        <v>367.78570000000002</v>
      </c>
      <c r="M383">
        <v>0.99988869999999896</v>
      </c>
      <c r="N383">
        <v>0</v>
      </c>
      <c r="O383">
        <v>2.2321229999999999E-3</v>
      </c>
      <c r="P383">
        <v>0.99693199999999904</v>
      </c>
      <c r="Q383">
        <v>5.4404620000000001E-2</v>
      </c>
      <c r="R383">
        <v>5.6278469999999997E-2</v>
      </c>
      <c r="S383">
        <v>3.0382689999999899</v>
      </c>
      <c r="T383">
        <v>-0.194659</v>
      </c>
      <c r="U383">
        <v>-0.32492070000000001</v>
      </c>
      <c r="V383">
        <v>-5.4009120000000001E-2</v>
      </c>
      <c r="W383">
        <v>6.9147029999999998E-2</v>
      </c>
      <c r="X383">
        <v>0.99614340000000001</v>
      </c>
      <c r="Y383">
        <v>0.1083317</v>
      </c>
      <c r="Z383">
        <v>-3.5994509999999901E-3</v>
      </c>
      <c r="AA383">
        <v>0.99410829999999994</v>
      </c>
      <c r="AB383">
        <v>36</v>
      </c>
      <c r="AC383">
        <v>17.039400000000001</v>
      </c>
      <c r="AD383">
        <v>-1.104394106705</v>
      </c>
      <c r="AE383">
        <v>-1.8438000000000401</v>
      </c>
      <c r="AF383">
        <v>1.87405204032452</v>
      </c>
      <c r="AG383">
        <v>-1.104394106705</v>
      </c>
      <c r="AH383">
        <v>16.964799342385199</v>
      </c>
      <c r="AI383">
        <v>93.702194015594102</v>
      </c>
      <c r="AJ383">
        <v>83.696260439283094</v>
      </c>
      <c r="AK383">
        <v>17.1036889038641</v>
      </c>
    </row>
    <row r="384" spans="1:37" x14ac:dyDescent="0.2">
      <c r="A384" t="str">
        <f>"20200111153618428"</f>
        <v>20200111153618428</v>
      </c>
      <c r="B384" t="str">
        <f>"1578728178423172"</f>
        <v>1578728178423172</v>
      </c>
      <c r="C384" t="s">
        <v>37</v>
      </c>
      <c r="D384">
        <v>5.836309</v>
      </c>
      <c r="E384">
        <v>0.56147749999999996</v>
      </c>
      <c r="F384" t="s">
        <v>38</v>
      </c>
      <c r="G384">
        <v>-363.16340000000002</v>
      </c>
      <c r="H384">
        <v>1.046786</v>
      </c>
      <c r="I384">
        <v>367.68939999999998</v>
      </c>
      <c r="J384">
        <v>-363.76990000000001</v>
      </c>
      <c r="K384">
        <v>1.1044229999999999</v>
      </c>
      <c r="L384">
        <v>367.78620000000001</v>
      </c>
      <c r="M384">
        <v>0.99988899999999903</v>
      </c>
      <c r="N384">
        <v>0</v>
      </c>
      <c r="O384">
        <v>2.1215359999999998E-3</v>
      </c>
      <c r="P384">
        <v>0.9969732</v>
      </c>
      <c r="Q384">
        <v>5.4208329999999999E-2</v>
      </c>
      <c r="R384">
        <v>5.5734230000000003E-2</v>
      </c>
      <c r="S384">
        <v>3.0382689999999899</v>
      </c>
      <c r="T384">
        <v>-0.195748799999999</v>
      </c>
      <c r="U384">
        <v>-0.3257446</v>
      </c>
      <c r="V384">
        <v>-5.3580959999999997E-2</v>
      </c>
      <c r="W384">
        <v>6.8942950000000003E-2</v>
      </c>
      <c r="X384">
        <v>0.99618069999999903</v>
      </c>
      <c r="Y384">
        <v>0.1084856</v>
      </c>
      <c r="Z384">
        <v>-3.6173529999999998E-3</v>
      </c>
      <c r="AA384">
        <v>0.99409150000000002</v>
      </c>
      <c r="AB384">
        <v>36</v>
      </c>
      <c r="AC384">
        <v>0.60649999999998205</v>
      </c>
      <c r="AD384">
        <v>-5.7636999999999897E-2</v>
      </c>
      <c r="AE384">
        <v>-9.6800000000030195E-2</v>
      </c>
      <c r="AF384">
        <v>9.7230348288800297E-2</v>
      </c>
      <c r="AG384">
        <v>-5.7636999999999897E-2</v>
      </c>
      <c r="AH384">
        <v>0.60100037549700602</v>
      </c>
      <c r="AI384">
        <v>95.408122279683397</v>
      </c>
      <c r="AJ384">
        <v>80.810262830311302</v>
      </c>
      <c r="AK384">
        <v>0.61153676565265003</v>
      </c>
    </row>
    <row r="385" spans="1:37" x14ac:dyDescent="0.2">
      <c r="A385" t="str">
        <f>"20200111153618441"</f>
        <v>20200111153618441</v>
      </c>
      <c r="B385" t="str">
        <f>"1578728178432933"</f>
        <v>1578728178432933</v>
      </c>
      <c r="C385" t="s">
        <v>37</v>
      </c>
      <c r="D385">
        <v>5.8605710000000002</v>
      </c>
      <c r="E385">
        <v>0.56143959999999904</v>
      </c>
      <c r="F385" t="s">
        <v>38</v>
      </c>
      <c r="G385">
        <v>-362.84469999999999</v>
      </c>
      <c r="H385">
        <v>1.044727</v>
      </c>
      <c r="I385">
        <v>367.68599999999998</v>
      </c>
      <c r="J385">
        <v>-363.54059999999998</v>
      </c>
      <c r="K385">
        <v>1.104452</v>
      </c>
      <c r="L385">
        <v>367.78660000000002</v>
      </c>
      <c r="M385">
        <v>0.99988920000000003</v>
      </c>
      <c r="N385">
        <v>0</v>
      </c>
      <c r="O385">
        <v>2.0543789999999998E-3</v>
      </c>
      <c r="P385">
        <v>0.99700549999999999</v>
      </c>
      <c r="Q385">
        <v>5.3785380000000001E-2</v>
      </c>
      <c r="R385">
        <v>5.556552E-2</v>
      </c>
      <c r="S385">
        <v>3.0380859999999998</v>
      </c>
      <c r="T385">
        <v>-0.1964021</v>
      </c>
      <c r="U385">
        <v>-0.32714840000000001</v>
      </c>
      <c r="V385">
        <v>-5.348373E-2</v>
      </c>
      <c r="W385">
        <v>6.8514320000000004E-2</v>
      </c>
      <c r="X385">
        <v>0.99621550000000003</v>
      </c>
      <c r="Y385">
        <v>0.10887709999999901</v>
      </c>
      <c r="Z385">
        <v>-3.6378069999999998E-3</v>
      </c>
      <c r="AA385">
        <v>0.9940485</v>
      </c>
      <c r="AB385">
        <v>36</v>
      </c>
      <c r="AC385">
        <v>0.69589999999999397</v>
      </c>
      <c r="AD385">
        <v>-5.9725E-2</v>
      </c>
      <c r="AE385">
        <v>-0.100600000000042</v>
      </c>
      <c r="AF385">
        <v>0.101298715175124</v>
      </c>
      <c r="AG385">
        <v>-5.9725E-2</v>
      </c>
      <c r="AH385">
        <v>0.69070837717080602</v>
      </c>
      <c r="AI385">
        <v>94.889976016784999</v>
      </c>
      <c r="AJ385">
        <v>81.656529071932596</v>
      </c>
      <c r="AK385">
        <v>0.70064724905979603</v>
      </c>
    </row>
    <row r="386" spans="1:37" x14ac:dyDescent="0.2">
      <c r="A386" t="str">
        <f>"20200111153618453"</f>
        <v>20200111153618453</v>
      </c>
      <c r="B386" t="str">
        <f>"1578728178443668"</f>
        <v>1578728178443668</v>
      </c>
      <c r="C386" t="s">
        <v>37</v>
      </c>
      <c r="D386">
        <v>5.8317309999999898</v>
      </c>
      <c r="E386">
        <v>0.56145859999999903</v>
      </c>
      <c r="F386" t="s">
        <v>38</v>
      </c>
      <c r="G386">
        <v>-362.52910000000003</v>
      </c>
      <c r="H386">
        <v>1.0385629999999999</v>
      </c>
      <c r="I386">
        <v>367.6773</v>
      </c>
      <c r="J386">
        <v>-363.3381</v>
      </c>
      <c r="K386">
        <v>1.1044750000000001</v>
      </c>
      <c r="L386">
        <v>367.7869</v>
      </c>
      <c r="M386">
        <v>0.99988920000000003</v>
      </c>
      <c r="N386">
        <v>0</v>
      </c>
      <c r="O386">
        <v>2.013903E-3</v>
      </c>
      <c r="P386">
        <v>0.99701399999999996</v>
      </c>
      <c r="Q386">
        <v>5.3618440000000003E-2</v>
      </c>
      <c r="R386">
        <v>5.5570260000000003E-2</v>
      </c>
      <c r="S386">
        <v>3.0379330000000002</v>
      </c>
      <c r="T386">
        <v>-0.19814309999999999</v>
      </c>
      <c r="U386">
        <v>-0.327179</v>
      </c>
      <c r="V386">
        <v>-5.3533299999999999E-2</v>
      </c>
      <c r="W386">
        <v>6.8342130000000001E-2</v>
      </c>
      <c r="X386">
        <v>0.99622459999999902</v>
      </c>
      <c r="Y386">
        <v>0.1088481</v>
      </c>
      <c r="Z386">
        <v>-3.6665949999999999E-3</v>
      </c>
      <c r="AA386">
        <v>0.99405159999999904</v>
      </c>
      <c r="AB386">
        <v>36</v>
      </c>
      <c r="AC386">
        <v>0.80899999999996897</v>
      </c>
      <c r="AD386">
        <v>-6.5912000000000096E-2</v>
      </c>
      <c r="AE386">
        <v>-0.1096</v>
      </c>
      <c r="AF386">
        <v>0.110508874222032</v>
      </c>
      <c r="AG386">
        <v>-6.5912000000000096E-2</v>
      </c>
      <c r="AH386">
        <v>0.80353990989819002</v>
      </c>
      <c r="AI386">
        <v>94.645770019307193</v>
      </c>
      <c r="AJ386">
        <v>82.169374350633703</v>
      </c>
      <c r="AK386">
        <v>0.81377699022828898</v>
      </c>
    </row>
    <row r="387" spans="1:37" x14ac:dyDescent="0.2">
      <c r="A387" t="str">
        <f>"20200111153618471"</f>
        <v>20200111153618471</v>
      </c>
      <c r="B387" t="str">
        <f>"1578728178463187"</f>
        <v>1578728178463187</v>
      </c>
      <c r="C387" t="s">
        <v>37</v>
      </c>
      <c r="D387">
        <v>5.8653559999999896</v>
      </c>
      <c r="E387">
        <v>0.56140129999999999</v>
      </c>
      <c r="F387" t="s">
        <v>38</v>
      </c>
      <c r="G387">
        <v>-362.51679999999999</v>
      </c>
      <c r="H387">
        <v>1.0510090000000001</v>
      </c>
      <c r="I387">
        <v>367.69799999999998</v>
      </c>
      <c r="J387">
        <v>-363.048</v>
      </c>
      <c r="K387">
        <v>1.1045129999999901</v>
      </c>
      <c r="L387">
        <v>367.78750000000002</v>
      </c>
      <c r="M387">
        <v>0.99988960000000005</v>
      </c>
      <c r="N387">
        <v>0</v>
      </c>
      <c r="O387">
        <v>1.9716069999999998E-3</v>
      </c>
      <c r="P387">
        <v>0.99703209999999998</v>
      </c>
      <c r="Q387">
        <v>5.3450829999999998E-2</v>
      </c>
      <c r="R387">
        <v>5.5410109999999999E-2</v>
      </c>
      <c r="S387">
        <v>3.0378720000000001</v>
      </c>
      <c r="T387">
        <v>-0.19804539999999901</v>
      </c>
      <c r="U387">
        <v>-0.32751459999999999</v>
      </c>
      <c r="V387">
        <v>-5.3420410000000002E-2</v>
      </c>
      <c r="W387">
        <v>6.8167060000000002E-2</v>
      </c>
      <c r="X387">
        <v>0.99624269999999904</v>
      </c>
      <c r="Y387">
        <v>0.108917</v>
      </c>
      <c r="Z387">
        <v>-3.6643309999999998E-3</v>
      </c>
      <c r="AA387">
        <v>0.99404409999999899</v>
      </c>
      <c r="AB387">
        <v>36</v>
      </c>
      <c r="AC387">
        <v>0.531200000000012</v>
      </c>
      <c r="AD387">
        <v>-5.3503999999999698E-2</v>
      </c>
      <c r="AE387">
        <v>-8.9499999999986798E-2</v>
      </c>
      <c r="AF387">
        <v>8.9662729503329194E-2</v>
      </c>
      <c r="AG387">
        <v>-5.3503999999999698E-2</v>
      </c>
      <c r="AH387">
        <v>0.52583509728661104</v>
      </c>
      <c r="AI387">
        <v>95.727770527121194</v>
      </c>
      <c r="AJ387">
        <v>80.323283067851506</v>
      </c>
      <c r="AK387">
        <v>0.53610132681836098</v>
      </c>
    </row>
    <row r="388" spans="1:37" x14ac:dyDescent="0.2">
      <c r="A388" t="str">
        <f>"20200111153618485"</f>
        <v>20200111153618485</v>
      </c>
      <c r="B388" t="str">
        <f>"1578728178472948"</f>
        <v>1578728178472948</v>
      </c>
      <c r="C388" t="s">
        <v>37</v>
      </c>
      <c r="D388">
        <v>5.7943470000000001</v>
      </c>
      <c r="E388">
        <v>0.56138049999999995</v>
      </c>
      <c r="F388" t="s">
        <v>38</v>
      </c>
      <c r="G388">
        <v>-362.20159999999998</v>
      </c>
      <c r="H388">
        <v>1.048908</v>
      </c>
      <c r="I388">
        <v>367.69580000000002</v>
      </c>
      <c r="J388">
        <v>-362.84379999999999</v>
      </c>
      <c r="K388">
        <v>1.1045339999999999</v>
      </c>
      <c r="L388">
        <v>367.7878</v>
      </c>
      <c r="M388">
        <v>0.99988960000000005</v>
      </c>
      <c r="N388">
        <v>0</v>
      </c>
      <c r="O388">
        <v>1.951607E-3</v>
      </c>
      <c r="P388">
        <v>0.99702369999999996</v>
      </c>
      <c r="Q388">
        <v>5.3618319999999997E-2</v>
      </c>
      <c r="R388">
        <v>5.539753E-2</v>
      </c>
      <c r="S388">
        <v>3.0377809999999998</v>
      </c>
      <c r="T388">
        <v>-0.19987360000000001</v>
      </c>
      <c r="U388">
        <v>-0.3276367</v>
      </c>
      <c r="V388">
        <v>-5.343121E-2</v>
      </c>
      <c r="W388">
        <v>6.8329760000000003E-2</v>
      </c>
      <c r="X388">
        <v>0.99623099999999998</v>
      </c>
      <c r="Y388">
        <v>0.1089354</v>
      </c>
      <c r="Z388">
        <v>-3.6974829999999901E-3</v>
      </c>
      <c r="AA388">
        <v>0.99404199999999998</v>
      </c>
      <c r="AB388">
        <v>36</v>
      </c>
      <c r="AC388">
        <v>0.64220000000000199</v>
      </c>
      <c r="AD388">
        <v>-5.5625999999999898E-2</v>
      </c>
      <c r="AE388">
        <v>-9.1999999999984497E-2</v>
      </c>
      <c r="AF388">
        <v>9.2572708771342604E-2</v>
      </c>
      <c r="AG388">
        <v>-5.5625999999999898E-2</v>
      </c>
      <c r="AH388">
        <v>0.63733367377695704</v>
      </c>
      <c r="AI388">
        <v>94.936549203299606</v>
      </c>
      <c r="AJ388">
        <v>81.735584930622096</v>
      </c>
      <c r="AK388">
        <v>0.64641950002710802</v>
      </c>
    </row>
    <row r="389" spans="1:37" x14ac:dyDescent="0.2">
      <c r="A389" t="str">
        <f>"20200111153618498"</f>
        <v>20200111153618498</v>
      </c>
      <c r="B389" t="str">
        <f>"1578728178493443"</f>
        <v>1578728178493443</v>
      </c>
      <c r="C389" t="s">
        <v>37</v>
      </c>
      <c r="D389">
        <v>5.8547659999999997</v>
      </c>
      <c r="E389">
        <v>0.56153509999999995</v>
      </c>
      <c r="F389" t="s">
        <v>38</v>
      </c>
      <c r="G389">
        <v>-361.88810000000001</v>
      </c>
      <c r="H389">
        <v>1.04182</v>
      </c>
      <c r="I389">
        <v>367.68459999999999</v>
      </c>
      <c r="J389">
        <v>-362.6216</v>
      </c>
      <c r="K389">
        <v>1.104557</v>
      </c>
      <c r="L389">
        <v>367.78829999999999</v>
      </c>
      <c r="M389">
        <v>0.99988960000000005</v>
      </c>
      <c r="N389">
        <v>0</v>
      </c>
      <c r="O389">
        <v>1.936838E-3</v>
      </c>
      <c r="P389">
        <v>0.99700750000000005</v>
      </c>
      <c r="Q389">
        <v>5.3629690000000001E-2</v>
      </c>
      <c r="R389">
        <v>5.5679920000000001E-2</v>
      </c>
      <c r="S389">
        <v>3.037811</v>
      </c>
      <c r="T389">
        <v>-0.19942939999999901</v>
      </c>
      <c r="U389">
        <v>-0.32751459999999999</v>
      </c>
      <c r="V389">
        <v>-5.3731889999999997E-2</v>
      </c>
      <c r="W389">
        <v>6.8335469999999995E-2</v>
      </c>
      <c r="X389">
        <v>0.99621440000000006</v>
      </c>
      <c r="Y389">
        <v>0.108881399999999</v>
      </c>
      <c r="Z389">
        <v>-3.6865209999999999E-3</v>
      </c>
      <c r="AA389">
        <v>0.99404789999999998</v>
      </c>
      <c r="AB389">
        <v>36</v>
      </c>
      <c r="AC389">
        <v>0.73349999999999205</v>
      </c>
      <c r="AD389">
        <v>-6.2737000000000001E-2</v>
      </c>
      <c r="AE389">
        <v>-0.103700000000003</v>
      </c>
      <c r="AF389">
        <v>0.104372053007957</v>
      </c>
      <c r="AG389">
        <v>-6.2737000000000001E-2</v>
      </c>
      <c r="AH389">
        <v>0.72807584591969399</v>
      </c>
      <c r="AI389">
        <v>94.875314708903701</v>
      </c>
      <c r="AJ389">
        <v>81.8420421353714</v>
      </c>
      <c r="AK389">
        <v>0.73818960574487502</v>
      </c>
    </row>
    <row r="390" spans="1:37" x14ac:dyDescent="0.2">
      <c r="A390" t="str">
        <f>"20200111153618515"</f>
        <v>20200111153618515</v>
      </c>
      <c r="B390" t="str">
        <f>"1578728178503203"</f>
        <v>1578728178503203</v>
      </c>
      <c r="C390" t="s">
        <v>37</v>
      </c>
      <c r="D390">
        <v>5.8404199999999999</v>
      </c>
      <c r="E390">
        <v>0.56167180000000005</v>
      </c>
      <c r="F390" t="s">
        <v>39</v>
      </c>
      <c r="G390">
        <v>-345.8777</v>
      </c>
      <c r="H390" s="1">
        <v>-2.5737399999999999E-6</v>
      </c>
      <c r="I390">
        <v>365.98219999999998</v>
      </c>
      <c r="J390">
        <v>-362.35019999999997</v>
      </c>
      <c r="K390">
        <v>1.1045780000000001</v>
      </c>
      <c r="L390">
        <v>367.78879999999998</v>
      </c>
      <c r="M390">
        <v>0.99988969999999899</v>
      </c>
      <c r="N390">
        <v>0</v>
      </c>
      <c r="O390">
        <v>1.9290829999999901E-3</v>
      </c>
      <c r="P390">
        <v>0.99693619999999905</v>
      </c>
      <c r="Q390">
        <v>5.4238269999999998E-2</v>
      </c>
      <c r="R390">
        <v>5.6363330000000003E-2</v>
      </c>
      <c r="S390">
        <v>3.0380549999999999</v>
      </c>
      <c r="T390">
        <v>-0.20041500000000001</v>
      </c>
      <c r="U390">
        <v>-0.32769779999999998</v>
      </c>
      <c r="V390">
        <v>-5.442553E-2</v>
      </c>
      <c r="W390">
        <v>6.8938199999999894E-2</v>
      </c>
      <c r="X390">
        <v>0.996135199999999</v>
      </c>
      <c r="Y390">
        <v>0.10892209999999999</v>
      </c>
      <c r="Z390">
        <v>-3.7052209999999999E-3</v>
      </c>
      <c r="AA390">
        <v>0.99404340000000002</v>
      </c>
      <c r="AB390">
        <v>36</v>
      </c>
      <c r="AC390">
        <v>16.472499999999901</v>
      </c>
      <c r="AD390">
        <v>-1.1045805737400001</v>
      </c>
      <c r="AE390">
        <v>-1.8066</v>
      </c>
      <c r="AF390">
        <v>1.8302449980288999</v>
      </c>
      <c r="AG390">
        <v>-1.1045805737400001</v>
      </c>
      <c r="AH390">
        <v>16.3961347183489</v>
      </c>
      <c r="AI390">
        <v>93.830379809288701</v>
      </c>
      <c r="AJ390">
        <v>83.630633975528397</v>
      </c>
      <c r="AK390">
        <v>16.534906371036399</v>
      </c>
    </row>
    <row r="391" spans="1:37" x14ac:dyDescent="0.2">
      <c r="A391" t="str">
        <f>"20200111153618530"</f>
        <v>20200111153618530</v>
      </c>
      <c r="B391" t="str">
        <f>"1578728178523700"</f>
        <v>1578728178523700</v>
      </c>
      <c r="C391" t="s">
        <v>37</v>
      </c>
      <c r="D391">
        <v>5.8231539999999997</v>
      </c>
      <c r="E391">
        <v>0.56185640000000003</v>
      </c>
      <c r="F391" t="s">
        <v>39</v>
      </c>
      <c r="G391">
        <v>-345.43060000000003</v>
      </c>
      <c r="H391" s="1">
        <v>-2.7874990000000002E-6</v>
      </c>
      <c r="I391">
        <v>365.96859999999998</v>
      </c>
      <c r="J391">
        <v>-362.13189999999997</v>
      </c>
      <c r="K391">
        <v>1.104589</v>
      </c>
      <c r="L391">
        <v>367.78919999999999</v>
      </c>
      <c r="M391">
        <v>0.99988969999999899</v>
      </c>
      <c r="N391">
        <v>0</v>
      </c>
      <c r="O391">
        <v>1.927107E-3</v>
      </c>
      <c r="P391">
        <v>0.99691129999999994</v>
      </c>
      <c r="Q391">
        <v>5.4370700000000001E-2</v>
      </c>
      <c r="R391">
        <v>5.6676289999999997E-2</v>
      </c>
      <c r="S391">
        <v>3.0384829999999998</v>
      </c>
      <c r="T391">
        <v>-0.19836509999999999</v>
      </c>
      <c r="U391">
        <v>-0.32687379999999999</v>
      </c>
      <c r="V391">
        <v>-5.474234E-2</v>
      </c>
      <c r="W391">
        <v>6.9066150000000007E-2</v>
      </c>
      <c r="X391">
        <v>0.99610900000000002</v>
      </c>
      <c r="Y391">
        <v>0.1086442</v>
      </c>
      <c r="Z391">
        <v>-3.657782E-3</v>
      </c>
      <c r="AA391">
        <v>0.99407400000000001</v>
      </c>
      <c r="AB391">
        <v>36</v>
      </c>
      <c r="AC391">
        <v>16.7012999999999</v>
      </c>
      <c r="AD391">
        <v>-1.1045917874990001</v>
      </c>
      <c r="AE391">
        <v>-1.82060000000001</v>
      </c>
      <c r="AF391">
        <v>1.8448104154967799</v>
      </c>
      <c r="AG391">
        <v>-1.1045917874990001</v>
      </c>
      <c r="AH391">
        <v>16.625888462099599</v>
      </c>
      <c r="AI391">
        <v>93.777916221699599</v>
      </c>
      <c r="AJ391">
        <v>83.668354603324701</v>
      </c>
      <c r="AK391">
        <v>16.764355509243799</v>
      </c>
    </row>
    <row r="392" spans="1:37" x14ac:dyDescent="0.2">
      <c r="A392" t="str">
        <f>"20200111153618543"</f>
        <v>20200111153618543</v>
      </c>
      <c r="B392" t="str">
        <f>"1578728178533460"</f>
        <v>1578728178533460</v>
      </c>
      <c r="C392" t="s">
        <v>37</v>
      </c>
      <c r="D392">
        <v>5.8288949999999904</v>
      </c>
      <c r="E392">
        <v>0.56188319999999903</v>
      </c>
      <c r="F392" t="s">
        <v>38</v>
      </c>
      <c r="G392">
        <v>-361.2466</v>
      </c>
      <c r="H392">
        <v>1.0468230000000001</v>
      </c>
      <c r="I392">
        <v>367.6936</v>
      </c>
      <c r="J392">
        <v>-361.91559999999998</v>
      </c>
      <c r="K392">
        <v>1.1045989999999899</v>
      </c>
      <c r="L392">
        <v>367.78960000000001</v>
      </c>
      <c r="M392">
        <v>0.99988969999999899</v>
      </c>
      <c r="N392">
        <v>0</v>
      </c>
      <c r="O392">
        <v>1.9276579999999901E-3</v>
      </c>
      <c r="P392">
        <v>0.99687559999999997</v>
      </c>
      <c r="Q392">
        <v>5.4620370000000001E-2</v>
      </c>
      <c r="R392">
        <v>5.7060279999999998E-2</v>
      </c>
      <c r="S392">
        <v>3.0387569999999999</v>
      </c>
      <c r="T392">
        <v>-0.19834869999999999</v>
      </c>
      <c r="U392">
        <v>-0.32751459999999999</v>
      </c>
      <c r="V392">
        <v>-5.5128030000000001E-2</v>
      </c>
      <c r="W392">
        <v>6.9311620000000004E-2</v>
      </c>
      <c r="X392">
        <v>0.99607069999999998</v>
      </c>
      <c r="Y392">
        <v>0.1088421</v>
      </c>
      <c r="Z392">
        <v>-3.66358E-3</v>
      </c>
      <c r="AA392">
        <v>0.9940523</v>
      </c>
      <c r="AB392">
        <v>36</v>
      </c>
      <c r="AC392">
        <v>0.66899999999998205</v>
      </c>
      <c r="AD392">
        <v>-5.77759999999998E-2</v>
      </c>
      <c r="AE392">
        <v>-9.6000000000003596E-2</v>
      </c>
      <c r="AF392">
        <v>9.6583743383477999E-2</v>
      </c>
      <c r="AG392">
        <v>-5.77759999999998E-2</v>
      </c>
      <c r="AH392">
        <v>0.66396153803264701</v>
      </c>
      <c r="AI392">
        <v>94.921644135428906</v>
      </c>
      <c r="AJ392">
        <v>81.723471717280802</v>
      </c>
      <c r="AK392">
        <v>0.67343255760962695</v>
      </c>
    </row>
    <row r="393" spans="1:37" x14ac:dyDescent="0.2">
      <c r="A393" t="str">
        <f>"20200111153618564"</f>
        <v>20200111153618564</v>
      </c>
      <c r="B393" t="str">
        <f>"1578728178552979"</f>
        <v>1578728178552979</v>
      </c>
      <c r="C393" t="s">
        <v>37</v>
      </c>
      <c r="D393">
        <v>5.8170260000000003</v>
      </c>
      <c r="E393">
        <v>0.56200620000000001</v>
      </c>
      <c r="F393" t="s">
        <v>38</v>
      </c>
      <c r="G393">
        <v>-360.93299999999999</v>
      </c>
      <c r="H393">
        <v>1.0408059999999999</v>
      </c>
      <c r="I393">
        <v>367.68349999999998</v>
      </c>
      <c r="J393">
        <v>-361.57560000000001</v>
      </c>
      <c r="K393">
        <v>1.104617</v>
      </c>
      <c r="L393">
        <v>367.79020000000003</v>
      </c>
      <c r="M393">
        <v>0.99988969999999899</v>
      </c>
      <c r="N393">
        <v>0</v>
      </c>
      <c r="O393">
        <v>1.932416E-3</v>
      </c>
      <c r="P393">
        <v>0.99681409999999904</v>
      </c>
      <c r="Q393">
        <v>5.4918160000000001E-2</v>
      </c>
      <c r="R393">
        <v>5.7845599999999997E-2</v>
      </c>
      <c r="S393">
        <v>3.03891</v>
      </c>
      <c r="T393">
        <v>-0.1976224</v>
      </c>
      <c r="U393">
        <v>-0.32666020000000001</v>
      </c>
      <c r="V393">
        <v>-5.5910090000000003E-2</v>
      </c>
      <c r="W393">
        <v>6.9603689999999996E-2</v>
      </c>
      <c r="X393">
        <v>0.99600669999999902</v>
      </c>
      <c r="Y393">
        <v>0.1085675</v>
      </c>
      <c r="Z393">
        <v>-3.6414780000000001E-3</v>
      </c>
      <c r="AA393">
        <v>0.99408240000000003</v>
      </c>
      <c r="AB393">
        <v>36</v>
      </c>
      <c r="AC393">
        <v>0.64259999999995898</v>
      </c>
      <c r="AD393">
        <v>-6.3811000000000007E-2</v>
      </c>
      <c r="AE393">
        <v>-0.10670000000004599</v>
      </c>
      <c r="AF393">
        <v>0.106915724396361</v>
      </c>
      <c r="AG393">
        <v>-6.3811000000000007E-2</v>
      </c>
      <c r="AH393">
        <v>0.63628667335868705</v>
      </c>
      <c r="AI393">
        <v>95.6481899512616</v>
      </c>
      <c r="AJ393">
        <v>80.4616509890092</v>
      </c>
      <c r="AK393">
        <v>0.64835449141504597</v>
      </c>
    </row>
    <row r="394" spans="1:37" x14ac:dyDescent="0.2">
      <c r="A394" t="str">
        <f>"20200111153618579"</f>
        <v>20200111153618579</v>
      </c>
      <c r="B394" t="str">
        <f>"1578728178573478"</f>
        <v>1578728178573478</v>
      </c>
      <c r="C394" t="s">
        <v>37</v>
      </c>
      <c r="D394">
        <v>5.836157</v>
      </c>
      <c r="E394">
        <v>0.5622163</v>
      </c>
      <c r="F394" t="s">
        <v>38</v>
      </c>
      <c r="G394">
        <v>-360.61430000000001</v>
      </c>
      <c r="H394">
        <v>1.0421910000000001</v>
      </c>
      <c r="I394">
        <v>367.68720000000002</v>
      </c>
      <c r="J394">
        <v>-361.3433</v>
      </c>
      <c r="K394">
        <v>1.1046229999999999</v>
      </c>
      <c r="L394">
        <v>367.79059999999998</v>
      </c>
      <c r="M394">
        <v>0.99988969999999899</v>
      </c>
      <c r="N394">
        <v>0</v>
      </c>
      <c r="O394">
        <v>1.9362439999999999E-3</v>
      </c>
      <c r="P394">
        <v>0.99680049999999898</v>
      </c>
      <c r="Q394">
        <v>5.4775879999999999E-2</v>
      </c>
      <c r="R394">
        <v>5.8212390000000003E-2</v>
      </c>
      <c r="S394">
        <v>3.039307</v>
      </c>
      <c r="T394">
        <v>-0.19766589999999901</v>
      </c>
      <c r="U394">
        <v>-0.32482909999999998</v>
      </c>
      <c r="V394">
        <v>-5.6274459999999998E-2</v>
      </c>
      <c r="W394">
        <v>6.9457179999999993E-2</v>
      </c>
      <c r="X394">
        <v>0.9959964</v>
      </c>
      <c r="Y394">
        <v>0.1079666</v>
      </c>
      <c r="Z394">
        <v>-3.6227080000000001E-3</v>
      </c>
      <c r="AA394">
        <v>0.99414789999999997</v>
      </c>
      <c r="AB394">
        <v>36</v>
      </c>
      <c r="AC394">
        <v>0.72899999999998499</v>
      </c>
      <c r="AD394">
        <v>-6.24319999999998E-2</v>
      </c>
      <c r="AE394">
        <v>-0.10339999999996501</v>
      </c>
      <c r="AF394">
        <v>0.104063300201142</v>
      </c>
      <c r="AG394">
        <v>-6.24319999999998E-2</v>
      </c>
      <c r="AH394">
        <v>0.72359598691579397</v>
      </c>
      <c r="AI394">
        <v>94.881304366687701</v>
      </c>
      <c r="AJ394">
        <v>81.816172266630801</v>
      </c>
      <c r="AK394">
        <v>0.73370162692568297</v>
      </c>
    </row>
    <row r="395" spans="1:37" x14ac:dyDescent="0.2">
      <c r="A395" t="str">
        <f>"20200111153618596"</f>
        <v>20200111153618596</v>
      </c>
      <c r="B395" t="str">
        <f>"1578728178592996"</f>
        <v>1578728178592996</v>
      </c>
      <c r="C395" t="s">
        <v>37</v>
      </c>
      <c r="D395">
        <v>5.9099769999999996</v>
      </c>
      <c r="E395">
        <v>0.56211540000000004</v>
      </c>
      <c r="F395" t="s">
        <v>39</v>
      </c>
      <c r="G395">
        <v>-344.42689999999999</v>
      </c>
      <c r="H395" s="1">
        <v>-3.2599680000000001E-6</v>
      </c>
      <c r="I395">
        <v>365.97980000000001</v>
      </c>
      <c r="J395">
        <v>-361.06490000000002</v>
      </c>
      <c r="K395">
        <v>1.1046279999999999</v>
      </c>
      <c r="L395">
        <v>367.7912</v>
      </c>
      <c r="M395">
        <v>0.99988980000000005</v>
      </c>
      <c r="N395">
        <v>0</v>
      </c>
      <c r="O395">
        <v>1.939947E-3</v>
      </c>
      <c r="P395">
        <v>0.99681659999999905</v>
      </c>
      <c r="Q395">
        <v>5.4404050000000002E-2</v>
      </c>
      <c r="R395">
        <v>5.8283340000000003E-2</v>
      </c>
      <c r="S395">
        <v>3.0395509999999999</v>
      </c>
      <c r="T395">
        <v>-0.1984812</v>
      </c>
      <c r="U395">
        <v>-0.32537840000000001</v>
      </c>
      <c r="V395">
        <v>-5.6342419999999997E-2</v>
      </c>
      <c r="W395">
        <v>6.9082329999999997E-2</v>
      </c>
      <c r="X395">
        <v>0.99601859999999998</v>
      </c>
      <c r="Y395">
        <v>0.1081372</v>
      </c>
      <c r="Z395">
        <v>-3.643084E-3</v>
      </c>
      <c r="AA395">
        <v>0.99412929999999999</v>
      </c>
      <c r="AB395">
        <v>36</v>
      </c>
      <c r="AC395">
        <v>16.638000000000002</v>
      </c>
      <c r="AD395">
        <v>-1.1046312599679999</v>
      </c>
      <c r="AE395">
        <v>-1.8113999999999899</v>
      </c>
      <c r="AF395">
        <v>1.83568020271537</v>
      </c>
      <c r="AG395">
        <v>-1.1046312599679999</v>
      </c>
      <c r="AH395">
        <v>16.5623043775228</v>
      </c>
      <c r="AI395">
        <v>93.792564740673299</v>
      </c>
      <c r="AJ395">
        <v>83.675445380729499</v>
      </c>
      <c r="AK395">
        <v>16.700295156698601</v>
      </c>
    </row>
    <row r="396" spans="1:37" x14ac:dyDescent="0.2">
      <c r="A396" t="str">
        <f>"20200111153618618"</f>
        <v>20200111153618618</v>
      </c>
      <c r="B396" t="str">
        <f>"1578728178613493"</f>
        <v>1578728178613493</v>
      </c>
      <c r="C396" t="s">
        <v>37</v>
      </c>
      <c r="D396">
        <v>5.8022339999999897</v>
      </c>
      <c r="E396">
        <v>0.56223089999999998</v>
      </c>
      <c r="F396" t="s">
        <v>39</v>
      </c>
      <c r="G396">
        <v>-344.33390000000003</v>
      </c>
      <c r="H396" s="1">
        <v>-3.298791E-6</v>
      </c>
      <c r="I396">
        <v>366.00889999999998</v>
      </c>
      <c r="J396">
        <v>-360.73439999999999</v>
      </c>
      <c r="K396">
        <v>1.1046339999999999</v>
      </c>
      <c r="L396">
        <v>367.79180000000002</v>
      </c>
      <c r="M396">
        <v>0.99988980000000005</v>
      </c>
      <c r="N396">
        <v>0</v>
      </c>
      <c r="O396">
        <v>1.9429389999999901E-3</v>
      </c>
      <c r="P396">
        <v>0.99688619999999994</v>
      </c>
      <c r="Q396">
        <v>5.3833399999999997E-2</v>
      </c>
      <c r="R396">
        <v>5.7617229999999998E-2</v>
      </c>
      <c r="S396">
        <v>3.0394899999999998</v>
      </c>
      <c r="T396">
        <v>-0.20067639999999901</v>
      </c>
      <c r="U396">
        <v>-0.32379150000000001</v>
      </c>
      <c r="V396">
        <v>-5.5674000000000001E-2</v>
      </c>
      <c r="W396">
        <v>6.8508150000000004E-2</v>
      </c>
      <c r="X396">
        <v>0.99609590000000003</v>
      </c>
      <c r="Y396">
        <v>0.107625</v>
      </c>
      <c r="Z396">
        <v>-3.666819E-3</v>
      </c>
      <c r="AA396">
        <v>0.99418479999999998</v>
      </c>
      <c r="AB396">
        <v>36</v>
      </c>
      <c r="AC396">
        <v>16.400499999999901</v>
      </c>
      <c r="AD396">
        <v>-1.104637298791</v>
      </c>
      <c r="AE396">
        <v>-1.7829000000000399</v>
      </c>
      <c r="AF396">
        <v>1.80666496810466</v>
      </c>
      <c r="AG396">
        <v>-1.104637298791</v>
      </c>
      <c r="AH396">
        <v>16.323815806715299</v>
      </c>
      <c r="AI396">
        <v>93.847895678826006</v>
      </c>
      <c r="AJ396">
        <v>83.684399615583004</v>
      </c>
      <c r="AK396">
        <v>16.460596111940401</v>
      </c>
    </row>
    <row r="397" spans="1:37" x14ac:dyDescent="0.2">
      <c r="A397" t="str">
        <f>"20200111153618639"</f>
        <v>20200111153618639</v>
      </c>
      <c r="B397" t="str">
        <f>"1578728178633012"</f>
        <v>1578728178633012</v>
      </c>
      <c r="C397" t="s">
        <v>37</v>
      </c>
      <c r="D397">
        <v>5.8364050000000001</v>
      </c>
      <c r="E397">
        <v>0.5623899</v>
      </c>
      <c r="F397" t="s">
        <v>39</v>
      </c>
      <c r="G397">
        <v>-344.15769999999998</v>
      </c>
      <c r="H397" s="1">
        <v>-3.3819260000000001E-6</v>
      </c>
      <c r="I397">
        <v>366.00970000000001</v>
      </c>
      <c r="J397">
        <v>-360.38909999999998</v>
      </c>
      <c r="K397">
        <v>1.104635</v>
      </c>
      <c r="L397">
        <v>367.79239999999999</v>
      </c>
      <c r="M397">
        <v>0.99988999999999995</v>
      </c>
      <c r="N397">
        <v>0</v>
      </c>
      <c r="O397">
        <v>1.94407E-3</v>
      </c>
      <c r="P397">
        <v>0.99692999999999898</v>
      </c>
      <c r="Q397">
        <v>5.3711599999999998E-2</v>
      </c>
      <c r="R397">
        <v>5.6971559999999997E-2</v>
      </c>
      <c r="S397">
        <v>3.0391539999999999</v>
      </c>
      <c r="T397">
        <v>-0.2025226</v>
      </c>
      <c r="U397">
        <v>-0.32672119999999999</v>
      </c>
      <c r="V397">
        <v>-5.5028499999999897E-2</v>
      </c>
      <c r="W397">
        <v>6.8382559999999995E-2</v>
      </c>
      <c r="X397">
        <v>0.99614040000000004</v>
      </c>
      <c r="Y397">
        <v>0.1085787</v>
      </c>
      <c r="Z397">
        <v>-3.7324239999999998E-3</v>
      </c>
      <c r="AA397">
        <v>0.99408079999999999</v>
      </c>
      <c r="AB397">
        <v>36</v>
      </c>
      <c r="AC397">
        <v>16.231400000000001</v>
      </c>
      <c r="AD397">
        <v>-1.1046383819259999</v>
      </c>
      <c r="AE397">
        <v>-1.78269999999997</v>
      </c>
      <c r="AF397">
        <v>1.80599014574341</v>
      </c>
      <c r="AG397">
        <v>-1.1046383819259999</v>
      </c>
      <c r="AH397">
        <v>16.153976720937301</v>
      </c>
      <c r="AI397">
        <v>93.887754101646607</v>
      </c>
      <c r="AJ397">
        <v>83.620907784423395</v>
      </c>
      <c r="AK397">
        <v>16.2921082202989</v>
      </c>
    </row>
    <row r="398" spans="1:37" x14ac:dyDescent="0.2">
      <c r="A398" t="str">
        <f>"20200111153618653"</f>
        <v>20200111153618653</v>
      </c>
      <c r="B398" t="str">
        <f>"1578728178642771"</f>
        <v>1578728178642771</v>
      </c>
      <c r="C398" t="s">
        <v>37</v>
      </c>
      <c r="D398">
        <v>5.8181330000000004</v>
      </c>
      <c r="E398">
        <v>0.59605259999999904</v>
      </c>
      <c r="F398" t="s">
        <v>39</v>
      </c>
      <c r="G398">
        <v>-343.76159999999999</v>
      </c>
      <c r="H398" s="1">
        <v>-3.5732099999999998E-6</v>
      </c>
      <c r="I398">
        <v>365.98689999999999</v>
      </c>
      <c r="J398">
        <v>-360.17380000000003</v>
      </c>
      <c r="K398">
        <v>1.104636</v>
      </c>
      <c r="L398">
        <v>367.7928</v>
      </c>
      <c r="M398">
        <v>0.99988999999999995</v>
      </c>
      <c r="N398">
        <v>0</v>
      </c>
      <c r="O398">
        <v>1.9441300000000001E-3</v>
      </c>
      <c r="P398">
        <v>0.99694819999999995</v>
      </c>
      <c r="Q398">
        <v>5.3583150000000003E-2</v>
      </c>
      <c r="R398">
        <v>5.6775050000000001E-2</v>
      </c>
      <c r="S398">
        <v>3.0389710000000001</v>
      </c>
      <c r="T398">
        <v>-0.20189289999999999</v>
      </c>
      <c r="U398">
        <v>-0.32998660000000002</v>
      </c>
      <c r="V398">
        <v>-5.4831869999999998E-2</v>
      </c>
      <c r="W398">
        <v>6.8251270000000003E-2</v>
      </c>
      <c r="X398">
        <v>0.9961603</v>
      </c>
      <c r="Y398">
        <v>0.1096401</v>
      </c>
      <c r="Z398">
        <v>-3.7559679999999902E-3</v>
      </c>
      <c r="AA398">
        <v>0.99396430000000002</v>
      </c>
      <c r="AB398">
        <v>35</v>
      </c>
      <c r="AC398">
        <v>16.412199999999999</v>
      </c>
      <c r="AD398">
        <v>-1.1046395732100001</v>
      </c>
      <c r="AE398">
        <v>-1.8059000000000001</v>
      </c>
      <c r="AF398">
        <v>1.82961828720302</v>
      </c>
      <c r="AG398">
        <v>-1.1046395732100001</v>
      </c>
      <c r="AH398">
        <v>16.335541345372299</v>
      </c>
      <c r="AI398">
        <v>93.844590996561905</v>
      </c>
      <c r="AJ398">
        <v>83.609374244003305</v>
      </c>
      <c r="AK398">
        <v>16.4747577435887</v>
      </c>
    </row>
    <row r="399" spans="1:37" x14ac:dyDescent="0.2">
      <c r="A399" t="str">
        <f>"20200111153618667"</f>
        <v>20200111153618667</v>
      </c>
      <c r="B399" t="str">
        <f>"1578728178663267"</f>
        <v>1578728178663267</v>
      </c>
      <c r="C399" t="s">
        <v>37</v>
      </c>
      <c r="D399">
        <v>5.761768</v>
      </c>
      <c r="E399">
        <v>0.5981978</v>
      </c>
      <c r="F399" t="s">
        <v>39</v>
      </c>
      <c r="G399">
        <v>-341.08920000000001</v>
      </c>
      <c r="H399" s="1">
        <v>-5.1794799999999996E-6</v>
      </c>
      <c r="I399">
        <v>364.05329999999998</v>
      </c>
      <c r="J399">
        <v>-359.95370000000003</v>
      </c>
      <c r="K399">
        <v>1.104638</v>
      </c>
      <c r="L399">
        <v>367.79329999999999</v>
      </c>
      <c r="M399">
        <v>0.99988999999999995</v>
      </c>
      <c r="N399">
        <v>0</v>
      </c>
      <c r="O399">
        <v>1.944007E-3</v>
      </c>
      <c r="P399">
        <v>0.99699559999999998</v>
      </c>
      <c r="Q399">
        <v>5.3305720000000001E-2</v>
      </c>
      <c r="R399">
        <v>5.6201010000000003E-2</v>
      </c>
      <c r="S399">
        <v>3.0527340000000001</v>
      </c>
      <c r="T399">
        <v>-0.1766963</v>
      </c>
      <c r="U399">
        <v>-0.59817500000000001</v>
      </c>
      <c r="V399">
        <v>-5.4258609999999999E-2</v>
      </c>
      <c r="W399">
        <v>6.7971539999999997E-2</v>
      </c>
      <c r="X399">
        <v>0.99621079999999995</v>
      </c>
      <c r="Y399">
        <v>0.19388239999999901</v>
      </c>
      <c r="Z399">
        <v>-5.6651059999999996E-3</v>
      </c>
      <c r="AA399">
        <v>0.9810084</v>
      </c>
      <c r="AB399">
        <v>35</v>
      </c>
      <c r="AC399">
        <v>18.8645</v>
      </c>
      <c r="AD399">
        <v>-1.10464317948</v>
      </c>
      <c r="AE399">
        <v>-3.74</v>
      </c>
      <c r="AF399">
        <v>3.7642505556711998</v>
      </c>
      <c r="AG399">
        <v>-1.10464317948</v>
      </c>
      <c r="AH399">
        <v>18.7951836767791</v>
      </c>
      <c r="AI399">
        <v>93.298208791010495</v>
      </c>
      <c r="AJ399">
        <v>78.674785687644103</v>
      </c>
      <c r="AK399">
        <v>19.200227817494898</v>
      </c>
    </row>
    <row r="400" spans="1:37" x14ac:dyDescent="0.2">
      <c r="A400" t="str">
        <f>"20200111153618683"</f>
        <v>20200111153618683</v>
      </c>
      <c r="B400" t="str">
        <f>"1578728178673027"</f>
        <v>1578728178673027</v>
      </c>
      <c r="C400" t="s">
        <v>37</v>
      </c>
      <c r="D400">
        <v>5.755261</v>
      </c>
      <c r="E400">
        <v>0.59837280000000004</v>
      </c>
      <c r="F400" t="s">
        <v>39</v>
      </c>
      <c r="G400">
        <v>-340.4624</v>
      </c>
      <c r="H400" s="1">
        <v>-5.5109809999999999E-6</v>
      </c>
      <c r="I400">
        <v>363.85480000000001</v>
      </c>
      <c r="J400">
        <v>-359.68439999999998</v>
      </c>
      <c r="K400">
        <v>1.104636</v>
      </c>
      <c r="L400">
        <v>367.7937</v>
      </c>
      <c r="M400">
        <v>0.99988999999999995</v>
      </c>
      <c r="N400">
        <v>0</v>
      </c>
      <c r="O400">
        <v>1.9437079999999999E-3</v>
      </c>
      <c r="P400">
        <v>0.99704359999999903</v>
      </c>
      <c r="Q400">
        <v>5.2990269999999999E-2</v>
      </c>
      <c r="R400">
        <v>5.5644680000000002E-2</v>
      </c>
      <c r="S400">
        <v>3.05307</v>
      </c>
      <c r="T400">
        <v>-0.1730283</v>
      </c>
      <c r="U400">
        <v>-0.61691280000000004</v>
      </c>
      <c r="V400">
        <v>-5.370304E-2</v>
      </c>
      <c r="W400">
        <v>6.7653749999999999E-2</v>
      </c>
      <c r="X400">
        <v>0.99626250000000005</v>
      </c>
      <c r="Y400">
        <v>0.19965439999999901</v>
      </c>
      <c r="Z400">
        <v>-5.7055909999999899E-3</v>
      </c>
      <c r="AA400">
        <v>0.97984979999999999</v>
      </c>
      <c r="AB400">
        <v>35</v>
      </c>
      <c r="AC400">
        <v>19.221999999999898</v>
      </c>
      <c r="AD400">
        <v>-1.1046415109809999</v>
      </c>
      <c r="AE400">
        <v>-3.9388999999999799</v>
      </c>
      <c r="AF400">
        <v>3.9636958792383798</v>
      </c>
      <c r="AG400">
        <v>-1.1046415109809999</v>
      </c>
      <c r="AH400">
        <v>19.153600704771801</v>
      </c>
      <c r="AI400">
        <v>93.232411900146502</v>
      </c>
      <c r="AJ400">
        <v>78.308100921762104</v>
      </c>
      <c r="AK400">
        <v>19.5905982003794</v>
      </c>
    </row>
    <row r="401" spans="1:37" x14ac:dyDescent="0.2">
      <c r="A401" t="str">
        <f>"20200111153618697"</f>
        <v>20200111153618697</v>
      </c>
      <c r="B401" t="str">
        <f>"1578728178693056"</f>
        <v>1578728178693056</v>
      </c>
      <c r="C401" t="s">
        <v>37</v>
      </c>
      <c r="D401">
        <v>5.7474860000000003</v>
      </c>
      <c r="E401">
        <v>0.59814889999999998</v>
      </c>
      <c r="F401" t="s">
        <v>39</v>
      </c>
      <c r="G401">
        <v>-339.89460000000003</v>
      </c>
      <c r="H401" s="1">
        <v>-1.5762090000000001E-6</v>
      </c>
      <c r="I401">
        <v>363.7749</v>
      </c>
      <c r="J401">
        <v>-359.45949999999999</v>
      </c>
      <c r="K401">
        <v>1.104633</v>
      </c>
      <c r="L401">
        <v>367.79419999999999</v>
      </c>
      <c r="M401">
        <v>0.9998901</v>
      </c>
      <c r="N401">
        <v>0</v>
      </c>
      <c r="O401">
        <v>1.943391E-3</v>
      </c>
      <c r="P401">
        <v>0.9970483</v>
      </c>
      <c r="Q401">
        <v>5.3216760000000002E-2</v>
      </c>
      <c r="R401">
        <v>5.5344560000000001E-2</v>
      </c>
      <c r="S401">
        <v>3.052521</v>
      </c>
      <c r="T401">
        <v>-0.17038619999999999</v>
      </c>
      <c r="U401">
        <v>-0.61987300000000001</v>
      </c>
      <c r="V401">
        <v>-5.3402930000000001E-2</v>
      </c>
      <c r="W401">
        <v>6.7877820000000005E-2</v>
      </c>
      <c r="X401">
        <v>0.99626340000000002</v>
      </c>
      <c r="Y401">
        <v>0.20060890000000001</v>
      </c>
      <c r="Z401">
        <v>-5.6453889999999998E-3</v>
      </c>
      <c r="AA401">
        <v>0.9796551</v>
      </c>
      <c r="AB401">
        <v>35</v>
      </c>
      <c r="AC401">
        <v>19.564899999999898</v>
      </c>
      <c r="AD401">
        <v>-1.104634576209</v>
      </c>
      <c r="AE401">
        <v>-4.0192999999999799</v>
      </c>
      <c r="AF401">
        <v>4.0449466955166802</v>
      </c>
      <c r="AG401">
        <v>-1.104634576209</v>
      </c>
      <c r="AH401">
        <v>19.497415387648601</v>
      </c>
      <c r="AI401">
        <v>93.175183653217999</v>
      </c>
      <c r="AJ401">
        <v>78.279639932339194</v>
      </c>
      <c r="AK401">
        <v>19.943194782056501</v>
      </c>
    </row>
    <row r="402" spans="1:37" x14ac:dyDescent="0.2">
      <c r="A402" t="str">
        <f>"20200111153618717"</f>
        <v>20200111153618717</v>
      </c>
      <c r="B402" t="str">
        <f>"1578728178713551"</f>
        <v>1578728178713551</v>
      </c>
      <c r="C402" t="s">
        <v>37</v>
      </c>
      <c r="D402">
        <v>5.7626119999999998</v>
      </c>
      <c r="E402">
        <v>0.59791949999999905</v>
      </c>
      <c r="F402" t="s">
        <v>39</v>
      </c>
      <c r="G402">
        <v>-339.00069999999999</v>
      </c>
      <c r="H402" s="1">
        <v>-1.9144089999999999E-6</v>
      </c>
      <c r="I402">
        <v>363.64710000000002</v>
      </c>
      <c r="J402">
        <v>-359.15550000000002</v>
      </c>
      <c r="K402">
        <v>1.104635</v>
      </c>
      <c r="L402">
        <v>367.79480000000001</v>
      </c>
      <c r="M402">
        <v>0.9998901</v>
      </c>
      <c r="N402">
        <v>0</v>
      </c>
      <c r="O402">
        <v>1.943319E-3</v>
      </c>
      <c r="P402">
        <v>0.99709499999999995</v>
      </c>
      <c r="Q402">
        <v>5.293809E-2</v>
      </c>
      <c r="R402">
        <v>5.476338E-2</v>
      </c>
      <c r="S402">
        <v>3.052063</v>
      </c>
      <c r="T402">
        <v>-0.16478999999999999</v>
      </c>
      <c r="U402">
        <v>-0.61865230000000004</v>
      </c>
      <c r="V402">
        <v>-5.2821989999999999E-2</v>
      </c>
      <c r="W402">
        <v>6.7596169999999997E-2</v>
      </c>
      <c r="X402">
        <v>0.99631349999999996</v>
      </c>
      <c r="Y402">
        <v>0.20028109999999999</v>
      </c>
      <c r="Z402">
        <v>-5.4524959999999898E-3</v>
      </c>
      <c r="AA402">
        <v>0.97972329999999996</v>
      </c>
      <c r="AB402">
        <v>35</v>
      </c>
      <c r="AC402">
        <v>20.154800000000002</v>
      </c>
      <c r="AD402">
        <v>-1.104636914409</v>
      </c>
      <c r="AE402">
        <v>-4.14769999999998</v>
      </c>
      <c r="AF402">
        <v>4.1748324453422896</v>
      </c>
      <c r="AG402">
        <v>-1.104636914409</v>
      </c>
      <c r="AH402">
        <v>20.088808227259499</v>
      </c>
      <c r="AI402">
        <v>93.081679809622699</v>
      </c>
      <c r="AJ402">
        <v>78.259967078087101</v>
      </c>
      <c r="AK402">
        <v>20.547741108233001</v>
      </c>
    </row>
    <row r="403" spans="1:37" x14ac:dyDescent="0.2">
      <c r="A403" t="str">
        <f>"20200111153618732"</f>
        <v>20200111153618732</v>
      </c>
      <c r="B403" t="str">
        <f>"1578728178723312"</f>
        <v>1578728178723312</v>
      </c>
      <c r="C403" t="s">
        <v>37</v>
      </c>
      <c r="D403">
        <v>5.797396</v>
      </c>
      <c r="E403">
        <v>0.59785089999999996</v>
      </c>
      <c r="F403" t="s">
        <v>39</v>
      </c>
      <c r="G403">
        <v>-338.27249999999998</v>
      </c>
      <c r="H403" s="1">
        <v>-2.1851749999999998E-6</v>
      </c>
      <c r="I403">
        <v>363.56079999999997</v>
      </c>
      <c r="J403">
        <v>-358.9271</v>
      </c>
      <c r="K403">
        <v>1.104635</v>
      </c>
      <c r="L403">
        <v>367.79520000000002</v>
      </c>
      <c r="M403">
        <v>0.9998901</v>
      </c>
      <c r="N403">
        <v>0</v>
      </c>
      <c r="O403">
        <v>1.9433499999999999E-3</v>
      </c>
      <c r="P403">
        <v>0.99709099999999995</v>
      </c>
      <c r="Q403">
        <v>5.3165190000000001E-2</v>
      </c>
      <c r="R403">
        <v>5.4619229999999998E-2</v>
      </c>
      <c r="S403">
        <v>3.0512999999999999</v>
      </c>
      <c r="T403">
        <v>-0.1614022</v>
      </c>
      <c r="U403">
        <v>-0.6186218</v>
      </c>
      <c r="V403">
        <v>-5.267819E-2</v>
      </c>
      <c r="W403">
        <v>6.7820249999999999E-2</v>
      </c>
      <c r="X403">
        <v>0.99630589999999997</v>
      </c>
      <c r="Y403">
        <v>0.2003307</v>
      </c>
      <c r="Z403">
        <v>-5.3431659999999999E-3</v>
      </c>
      <c r="AA403">
        <v>0.97971369999999902</v>
      </c>
      <c r="AB403">
        <v>35</v>
      </c>
      <c r="AC403">
        <v>20.654599999999999</v>
      </c>
      <c r="AD403">
        <v>-1.1046371851750001</v>
      </c>
      <c r="AE403">
        <v>-4.2344000000000497</v>
      </c>
      <c r="AF403">
        <v>4.2628344183010496</v>
      </c>
      <c r="AG403">
        <v>-1.1046371851750001</v>
      </c>
      <c r="AH403">
        <v>20.589814281081502</v>
      </c>
      <c r="AI403">
        <v>93.0073014593398</v>
      </c>
      <c r="AJ403">
        <v>78.302964866149495</v>
      </c>
      <c r="AK403">
        <v>21.055460876412798</v>
      </c>
    </row>
    <row r="404" spans="1:37" x14ac:dyDescent="0.2">
      <c r="A404" t="str">
        <f>"20200111153618745"</f>
        <v>20200111153618745</v>
      </c>
      <c r="B404" t="str">
        <f>"1578728178733072"</f>
        <v>1578728178733072</v>
      </c>
      <c r="C404" t="s">
        <v>37</v>
      </c>
      <c r="D404">
        <v>5.7590500000000002</v>
      </c>
      <c r="E404">
        <v>0.59784199999999998</v>
      </c>
      <c r="F404" t="s">
        <v>39</v>
      </c>
      <c r="G404">
        <v>-337.4615</v>
      </c>
      <c r="H404" s="1">
        <v>-2.491729E-6</v>
      </c>
      <c r="I404">
        <v>363.445999999999</v>
      </c>
      <c r="J404">
        <v>-358.7201</v>
      </c>
      <c r="K404">
        <v>1.1046370000000001</v>
      </c>
      <c r="L404">
        <v>367.79559999999998</v>
      </c>
      <c r="M404">
        <v>0.9998901</v>
      </c>
      <c r="N404">
        <v>0</v>
      </c>
      <c r="O404">
        <v>1.9433779999999999E-3</v>
      </c>
      <c r="P404">
        <v>0.99708079999999999</v>
      </c>
      <c r="Q404">
        <v>5.3448009999999997E-2</v>
      </c>
      <c r="R404">
        <v>5.4529319999999999E-2</v>
      </c>
      <c r="S404">
        <v>3.0509949999999999</v>
      </c>
      <c r="T404">
        <v>-0.15700620000000001</v>
      </c>
      <c r="U404">
        <v>-0.61816409999999999</v>
      </c>
      <c r="V404">
        <v>-5.2588830000000003E-2</v>
      </c>
      <c r="W404">
        <v>6.8100469999999996E-2</v>
      </c>
      <c r="X404">
        <v>0.9962915</v>
      </c>
      <c r="Y404">
        <v>0.20022329999999999</v>
      </c>
      <c r="Z404">
        <v>-5.1956800000000003E-3</v>
      </c>
      <c r="AA404">
        <v>0.97973650000000001</v>
      </c>
      <c r="AB404">
        <v>35</v>
      </c>
      <c r="AC404">
        <v>21.258600000000001</v>
      </c>
      <c r="AD404">
        <v>-1.1046394917289999</v>
      </c>
      <c r="AE404">
        <v>-4.3495999999999997</v>
      </c>
      <c r="AF404">
        <v>4.37955985166845</v>
      </c>
      <c r="AG404">
        <v>-1.1046394917289999</v>
      </c>
      <c r="AH404">
        <v>21.1951774472812</v>
      </c>
      <c r="AI404">
        <v>92.921800817165405</v>
      </c>
      <c r="AJ404">
        <v>78.325276104546504</v>
      </c>
      <c r="AK404">
        <v>21.671094109960599</v>
      </c>
    </row>
    <row r="405" spans="1:37" x14ac:dyDescent="0.2">
      <c r="A405" t="str">
        <f>"20200111153618762"</f>
        <v>20200111153618762</v>
      </c>
      <c r="B405" t="str">
        <f>"1578728178753567"</f>
        <v>1578728178753567</v>
      </c>
      <c r="C405" t="s">
        <v>37</v>
      </c>
      <c r="D405">
        <v>5.7721809999999998</v>
      </c>
      <c r="E405">
        <v>0.59785290000000002</v>
      </c>
      <c r="F405" t="s">
        <v>39</v>
      </c>
      <c r="G405">
        <v>-337.0231</v>
      </c>
      <c r="H405" s="1">
        <v>-2.653843E-6</v>
      </c>
      <c r="I405">
        <v>363.3974</v>
      </c>
      <c r="J405">
        <v>-358.44170000000003</v>
      </c>
      <c r="K405">
        <v>1.104644</v>
      </c>
      <c r="L405">
        <v>367.7962</v>
      </c>
      <c r="M405">
        <v>0.99989019999999995</v>
      </c>
      <c r="N405">
        <v>0</v>
      </c>
      <c r="O405">
        <v>1.943714E-3</v>
      </c>
      <c r="P405">
        <v>0.99705429999999995</v>
      </c>
      <c r="Q405">
        <v>5.4129490000000002E-2</v>
      </c>
      <c r="R405">
        <v>5.4340869999999999E-2</v>
      </c>
      <c r="S405">
        <v>3.0509339999999998</v>
      </c>
      <c r="T405">
        <v>-0.15532839999999901</v>
      </c>
      <c r="U405">
        <v>-0.61843870000000001</v>
      </c>
      <c r="V405">
        <v>-5.2400160000000001E-2</v>
      </c>
      <c r="W405">
        <v>6.8777900000000003E-2</v>
      </c>
      <c r="X405">
        <v>0.99625490000000005</v>
      </c>
      <c r="Y405">
        <v>0.20031749999999901</v>
      </c>
      <c r="Z405">
        <v>-5.1426709999999997E-3</v>
      </c>
      <c r="AA405">
        <v>0.97971759999999997</v>
      </c>
      <c r="AB405">
        <v>35</v>
      </c>
      <c r="AC405">
        <v>21.418600000000001</v>
      </c>
      <c r="AD405">
        <v>-1.104646653843</v>
      </c>
      <c r="AE405">
        <v>-4.3987999999999898</v>
      </c>
      <c r="AF405">
        <v>4.42912359739812</v>
      </c>
      <c r="AG405">
        <v>-1.104646653843</v>
      </c>
      <c r="AH405">
        <v>21.355504079736502</v>
      </c>
      <c r="AI405">
        <v>92.899479482309999</v>
      </c>
      <c r="AJ405">
        <v>78.282992652818905</v>
      </c>
      <c r="AK405">
        <v>21.837924227602699</v>
      </c>
    </row>
    <row r="406" spans="1:37" x14ac:dyDescent="0.2">
      <c r="A406" t="str">
        <f>"20200111153618775"</f>
        <v>20200111153618775</v>
      </c>
      <c r="B406" t="str">
        <f>"1578728178763330"</f>
        <v>1578728178763330</v>
      </c>
      <c r="C406" t="s">
        <v>37</v>
      </c>
      <c r="D406">
        <v>5.7864690000000003</v>
      </c>
      <c r="E406">
        <v>0.59783819999999999</v>
      </c>
      <c r="F406" t="s">
        <v>39</v>
      </c>
      <c r="G406">
        <v>-336.21679999999998</v>
      </c>
      <c r="H406" s="1">
        <v>-2.9577219999999998E-6</v>
      </c>
      <c r="I406">
        <v>363.28660000000002</v>
      </c>
      <c r="J406">
        <v>-358.24459999999999</v>
      </c>
      <c r="K406">
        <v>1.1046479999999901</v>
      </c>
      <c r="L406">
        <v>367.79649999999998</v>
      </c>
      <c r="M406">
        <v>0.99989039999999996</v>
      </c>
      <c r="N406">
        <v>0</v>
      </c>
      <c r="O406">
        <v>1.9445789999999899E-3</v>
      </c>
      <c r="P406">
        <v>0.99706810000000001</v>
      </c>
      <c r="Q406">
        <v>5.4123919999999999E-2</v>
      </c>
      <c r="R406">
        <v>5.4095600000000001E-2</v>
      </c>
      <c r="S406">
        <v>3.0508419999999998</v>
      </c>
      <c r="T406">
        <v>-0.1516352</v>
      </c>
      <c r="U406">
        <v>-0.61901859999999997</v>
      </c>
      <c r="V406">
        <v>-5.2153629999999999E-2</v>
      </c>
      <c r="W406">
        <v>6.8770269999999994E-2</v>
      </c>
      <c r="X406">
        <v>0.99626840000000005</v>
      </c>
      <c r="Y406">
        <v>0.20051449999999901</v>
      </c>
      <c r="Z406">
        <v>-5.0254849999999997E-3</v>
      </c>
      <c r="AA406">
        <v>0.97967789999999999</v>
      </c>
      <c r="AB406">
        <v>35</v>
      </c>
      <c r="AC406">
        <v>22.027799999999999</v>
      </c>
      <c r="AD406">
        <v>-1.1046509577219901</v>
      </c>
      <c r="AE406">
        <v>-4.5098999999999503</v>
      </c>
      <c r="AF406">
        <v>4.5417686322464004</v>
      </c>
      <c r="AG406">
        <v>-1.1046509577219901</v>
      </c>
      <c r="AH406">
        <v>21.9659693280176</v>
      </c>
      <c r="AI406">
        <v>92.819396991169896</v>
      </c>
      <c r="AJ406">
        <v>78.317921546363706</v>
      </c>
      <c r="AK406">
        <v>22.4577764831397</v>
      </c>
    </row>
    <row r="407" spans="1:37" x14ac:dyDescent="0.2">
      <c r="A407" t="str">
        <f>"20200111153618789"</f>
        <v>20200111153618789</v>
      </c>
      <c r="B407" t="str">
        <f>"1578728178782848"</f>
        <v>1578728178782848</v>
      </c>
      <c r="C407" t="s">
        <v>37</v>
      </c>
      <c r="D407">
        <v>5.8203129999999996</v>
      </c>
      <c r="E407">
        <v>0.59795169999999997</v>
      </c>
      <c r="F407" t="s">
        <v>39</v>
      </c>
      <c r="G407">
        <v>-335.8449</v>
      </c>
      <c r="H407" s="1">
        <v>-3.0951280000000002E-6</v>
      </c>
      <c r="I407">
        <v>363.24579999999997</v>
      </c>
      <c r="J407">
        <v>-358.04680000000002</v>
      </c>
      <c r="K407">
        <v>1.1046469999999999</v>
      </c>
      <c r="L407">
        <v>367.79689999999999</v>
      </c>
      <c r="M407">
        <v>0.99989019999999995</v>
      </c>
      <c r="N407">
        <v>0</v>
      </c>
      <c r="O407">
        <v>1.94652E-3</v>
      </c>
      <c r="P407">
        <v>0.99705330000000003</v>
      </c>
      <c r="Q407">
        <v>5.4492529999999997E-2</v>
      </c>
      <c r="R407">
        <v>5.3995790000000002E-2</v>
      </c>
      <c r="S407">
        <v>3.0505979999999999</v>
      </c>
      <c r="T407">
        <v>-0.15044089999999999</v>
      </c>
      <c r="U407">
        <v>-0.61975100000000005</v>
      </c>
      <c r="V407">
        <v>-5.2052069999999999E-2</v>
      </c>
      <c r="W407">
        <v>6.913656E-2</v>
      </c>
      <c r="X407">
        <v>0.99624829999999998</v>
      </c>
      <c r="Y407">
        <v>0.200761</v>
      </c>
      <c r="Z407">
        <v>-4.992331E-3</v>
      </c>
      <c r="AA407">
        <v>0.97962749999999998</v>
      </c>
      <c r="AB407">
        <v>35</v>
      </c>
      <c r="AC407">
        <v>22.201899999999998</v>
      </c>
      <c r="AD407">
        <v>-1.1046500951279901</v>
      </c>
      <c r="AE407">
        <v>-4.5511000000000097</v>
      </c>
      <c r="AF407">
        <v>4.5834236009129201</v>
      </c>
      <c r="AG407">
        <v>-1.1046500951279901</v>
      </c>
      <c r="AH407">
        <v>22.140399017923301</v>
      </c>
      <c r="AI407">
        <v>92.797078176205801</v>
      </c>
      <c r="AJ407">
        <v>78.304051263293701</v>
      </c>
      <c r="AK407">
        <v>22.636812770594101</v>
      </c>
    </row>
    <row r="408" spans="1:37" x14ac:dyDescent="0.2">
      <c r="A408" t="str">
        <f>"20200111153618801"</f>
        <v>20200111153618801</v>
      </c>
      <c r="B408" t="str">
        <f>"1578728178793116"</f>
        <v>1578728178793116</v>
      </c>
      <c r="C408" t="s">
        <v>37</v>
      </c>
      <c r="D408">
        <v>5.7947410000000001</v>
      </c>
      <c r="E408">
        <v>0.5979816</v>
      </c>
      <c r="F408" t="s">
        <v>39</v>
      </c>
      <c r="G408">
        <v>-334.8922</v>
      </c>
      <c r="H408" s="1">
        <v>-3.4630390000000002E-6</v>
      </c>
      <c r="I408">
        <v>363.08150000000001</v>
      </c>
      <c r="J408">
        <v>-357.82389999999998</v>
      </c>
      <c r="K408">
        <v>1.1046530000000001</v>
      </c>
      <c r="L408">
        <v>367.79730000000001</v>
      </c>
      <c r="M408">
        <v>0.99989039999999996</v>
      </c>
      <c r="N408">
        <v>0</v>
      </c>
      <c r="O408">
        <v>1.948708E-3</v>
      </c>
      <c r="P408">
        <v>0.99705109999999997</v>
      </c>
      <c r="Q408">
        <v>5.4500880000000002E-2</v>
      </c>
      <c r="R408">
        <v>5.4030700000000001E-2</v>
      </c>
      <c r="S408">
        <v>3.0505070000000001</v>
      </c>
      <c r="T408">
        <v>-0.14553160000000001</v>
      </c>
      <c r="U408">
        <v>-0.62121579999999998</v>
      </c>
      <c r="V408">
        <v>-5.2084829999999999E-2</v>
      </c>
      <c r="W408">
        <v>6.9141809999999998E-2</v>
      </c>
      <c r="X408">
        <v>0.99624619999999997</v>
      </c>
      <c r="Y408">
        <v>0.2012352</v>
      </c>
      <c r="Z408">
        <v>-4.8408069999999999E-3</v>
      </c>
      <c r="AA408">
        <v>0.97953099999999904</v>
      </c>
      <c r="AB408">
        <v>35</v>
      </c>
      <c r="AC408">
        <v>22.9316999999999</v>
      </c>
      <c r="AD408">
        <v>-1.1046564630389999</v>
      </c>
      <c r="AE408">
        <v>-4.7157999999999998</v>
      </c>
      <c r="AF408">
        <v>4.74990808826864</v>
      </c>
      <c r="AG408">
        <v>-1.1046564630389999</v>
      </c>
      <c r="AH408">
        <v>22.871545683876601</v>
      </c>
      <c r="AI408">
        <v>92.707457934541196</v>
      </c>
      <c r="AJ408">
        <v>78.267722793305694</v>
      </c>
      <c r="AK408">
        <v>23.385668575390099</v>
      </c>
    </row>
    <row r="409" spans="1:37" x14ac:dyDescent="0.2">
      <c r="A409" t="str">
        <f>"20200111153618817"</f>
        <v>20200111153618817</v>
      </c>
      <c r="B409" t="str">
        <f>"1578728178813612"</f>
        <v>1578728178813612</v>
      </c>
      <c r="C409" t="s">
        <v>37</v>
      </c>
      <c r="D409">
        <v>5.7593649999999998</v>
      </c>
      <c r="E409">
        <v>0.59799049999999998</v>
      </c>
      <c r="F409" t="s">
        <v>39</v>
      </c>
      <c r="G409">
        <v>-334.64449999999999</v>
      </c>
      <c r="H409" s="1">
        <v>-3.548146E-6</v>
      </c>
      <c r="I409">
        <v>363.07850000000002</v>
      </c>
      <c r="J409">
        <v>-357.57569999999998</v>
      </c>
      <c r="K409">
        <v>1.1046579999999999</v>
      </c>
      <c r="L409">
        <v>367.7978</v>
      </c>
      <c r="M409">
        <v>0.99989030000000001</v>
      </c>
      <c r="N409">
        <v>0</v>
      </c>
      <c r="O409">
        <v>1.952631E-3</v>
      </c>
      <c r="P409">
        <v>0.99699179999999998</v>
      </c>
      <c r="Q409">
        <v>5.4982400000000001E-2</v>
      </c>
      <c r="R409">
        <v>5.4630369999999998E-2</v>
      </c>
      <c r="S409">
        <v>3.05047599999999</v>
      </c>
      <c r="T409">
        <v>-0.14537549999999999</v>
      </c>
      <c r="U409">
        <v>-0.62100219999999995</v>
      </c>
      <c r="V409">
        <v>-5.2681150000000003E-2</v>
      </c>
      <c r="W409">
        <v>6.9619390000000003E-2</v>
      </c>
      <c r="X409">
        <v>0.996181599999999</v>
      </c>
      <c r="Y409">
        <v>0.20117570000000001</v>
      </c>
      <c r="Z409">
        <v>-4.8344809999999998E-3</v>
      </c>
      <c r="AA409">
        <v>0.97954330000000001</v>
      </c>
      <c r="AB409">
        <v>35</v>
      </c>
      <c r="AC409">
        <v>22.931199999999901</v>
      </c>
      <c r="AD409">
        <v>-1.10466154814599</v>
      </c>
      <c r="AE409">
        <v>-4.7192999999999703</v>
      </c>
      <c r="AF409">
        <v>4.7534891686373202</v>
      </c>
      <c r="AG409">
        <v>-1.10466154814599</v>
      </c>
      <c r="AH409">
        <v>22.871021806454198</v>
      </c>
      <c r="AI409">
        <v>92.707445437130801</v>
      </c>
      <c r="AJ409">
        <v>78.258861508724294</v>
      </c>
      <c r="AK409">
        <v>23.3858840945474</v>
      </c>
    </row>
    <row r="410" spans="1:37" x14ac:dyDescent="0.2">
      <c r="A410" t="str">
        <f>"20200111153618832"</f>
        <v>20200111153618832</v>
      </c>
      <c r="B410" t="str">
        <f>"1578728178823372"</f>
        <v>1578728178823372</v>
      </c>
      <c r="C410" t="s">
        <v>37</v>
      </c>
      <c r="D410">
        <v>5.7512840000000001</v>
      </c>
      <c r="E410">
        <v>0.59806759999999903</v>
      </c>
      <c r="F410" t="s">
        <v>39</v>
      </c>
      <c r="G410">
        <v>-334.12619999999998</v>
      </c>
      <c r="H410" s="1">
        <v>-3.7352540000000001E-6</v>
      </c>
      <c r="I410">
        <v>363.03820000000002</v>
      </c>
      <c r="J410">
        <v>-357.3648</v>
      </c>
      <c r="K410">
        <v>1.1046579999999999</v>
      </c>
      <c r="L410">
        <v>367.79820000000001</v>
      </c>
      <c r="M410">
        <v>0.99989030000000001</v>
      </c>
      <c r="N410">
        <v>0</v>
      </c>
      <c r="O410">
        <v>1.956724E-3</v>
      </c>
      <c r="P410">
        <v>0.99698940000000003</v>
      </c>
      <c r="Q410">
        <v>5.5045780000000002E-2</v>
      </c>
      <c r="R410">
        <v>5.460694E-2</v>
      </c>
      <c r="S410">
        <v>3.0509029999999999</v>
      </c>
      <c r="T410">
        <v>-0.1437213</v>
      </c>
      <c r="U410">
        <v>-0.61923219999999901</v>
      </c>
      <c r="V410">
        <v>-5.2653369999999998E-2</v>
      </c>
      <c r="W410">
        <v>6.9680759999999994E-2</v>
      </c>
      <c r="X410">
        <v>0.99617880000000003</v>
      </c>
      <c r="Y410">
        <v>0.2006127</v>
      </c>
      <c r="Z410">
        <v>-4.7662199999999998E-3</v>
      </c>
      <c r="AA410">
        <v>0.97965899999999995</v>
      </c>
      <c r="AB410">
        <v>35</v>
      </c>
      <c r="AC410">
        <v>23.238600000000002</v>
      </c>
      <c r="AD410">
        <v>-1.104661735254</v>
      </c>
      <c r="AE410">
        <v>-4.75999999999999</v>
      </c>
      <c r="AF410">
        <v>4.7950684917311399</v>
      </c>
      <c r="AG410">
        <v>-1.104661735254</v>
      </c>
      <c r="AH410">
        <v>23.1789734282833</v>
      </c>
      <c r="AI410">
        <v>92.672040871946095</v>
      </c>
      <c r="AJ410">
        <v>78.312008477948098</v>
      </c>
      <c r="AK410">
        <v>23.695522120831001</v>
      </c>
    </row>
    <row r="411" spans="1:37" x14ac:dyDescent="0.2">
      <c r="A411" t="str">
        <f>"20200111153618844"</f>
        <v>20200111153618844</v>
      </c>
      <c r="B411" t="str">
        <f>"1578728178833132"</f>
        <v>1578728178833132</v>
      </c>
      <c r="C411" t="s">
        <v>37</v>
      </c>
      <c r="D411">
        <v>5.7523879999999998</v>
      </c>
      <c r="E411">
        <v>0.59818479999999996</v>
      </c>
      <c r="F411" t="s">
        <v>39</v>
      </c>
      <c r="G411">
        <v>-333.71769999999998</v>
      </c>
      <c r="H411" s="1">
        <v>-3.8864729999999901E-6</v>
      </c>
      <c r="I411">
        <v>362.9923</v>
      </c>
      <c r="J411">
        <v>-357.16199999999998</v>
      </c>
      <c r="K411">
        <v>1.1046590000000001</v>
      </c>
      <c r="L411">
        <v>367.79860000000002</v>
      </c>
      <c r="M411">
        <v>0.99989039999999996</v>
      </c>
      <c r="N411">
        <v>0</v>
      </c>
      <c r="O411">
        <v>1.9609939999999898E-3</v>
      </c>
      <c r="P411">
        <v>0.99696269999999998</v>
      </c>
      <c r="Q411">
        <v>5.541095E-2</v>
      </c>
      <c r="R411">
        <v>5.4728890000000002E-2</v>
      </c>
      <c r="S411">
        <v>3.0508730000000002</v>
      </c>
      <c r="T411">
        <v>-0.14251900000000001</v>
      </c>
      <c r="U411">
        <v>-0.62002559999999995</v>
      </c>
      <c r="V411">
        <v>-5.277126E-2</v>
      </c>
      <c r="W411">
        <v>7.0042270000000004E-2</v>
      </c>
      <c r="X411">
        <v>0.99614720000000001</v>
      </c>
      <c r="Y411">
        <v>0.20086689999999999</v>
      </c>
      <c r="Z411">
        <v>-4.7323879999999997E-3</v>
      </c>
      <c r="AA411">
        <v>0.97960709999999995</v>
      </c>
      <c r="AB411">
        <v>35</v>
      </c>
      <c r="AC411">
        <v>23.444299999999998</v>
      </c>
      <c r="AD411">
        <v>-1.1046628864729999</v>
      </c>
      <c r="AE411">
        <v>-4.8063000000000198</v>
      </c>
      <c r="AF411">
        <v>4.84195349394885</v>
      </c>
      <c r="AG411">
        <v>-1.1046628864729999</v>
      </c>
      <c r="AH411">
        <v>23.3850042998492</v>
      </c>
      <c r="AI411">
        <v>92.648439907099799</v>
      </c>
      <c r="AJ411">
        <v>78.301992466204098</v>
      </c>
      <c r="AK411">
        <v>23.906551818158199</v>
      </c>
    </row>
    <row r="412" spans="1:37" x14ac:dyDescent="0.2">
      <c r="A412" t="str">
        <f>"20200111153618858"</f>
        <v>20200111153618858</v>
      </c>
      <c r="B412" t="str">
        <f>"1578728178853628"</f>
        <v>1578728178853628</v>
      </c>
      <c r="C412" t="s">
        <v>37</v>
      </c>
      <c r="D412">
        <v>5.7357949999999898</v>
      </c>
      <c r="E412">
        <v>0.598307699999999</v>
      </c>
      <c r="F412" t="s">
        <v>39</v>
      </c>
      <c r="G412">
        <v>-333.18630000000002</v>
      </c>
      <c r="H412" s="1">
        <v>-4.0925709999999901E-6</v>
      </c>
      <c r="I412">
        <v>362.92349999999999</v>
      </c>
      <c r="J412">
        <v>-356.94659999999999</v>
      </c>
      <c r="K412">
        <v>1.10466</v>
      </c>
      <c r="L412">
        <v>367.79899999999998</v>
      </c>
      <c r="M412">
        <v>0.99989039999999996</v>
      </c>
      <c r="N412">
        <v>0</v>
      </c>
      <c r="O412">
        <v>1.9657389999999898E-3</v>
      </c>
      <c r="P412">
        <v>0.99696280000000004</v>
      </c>
      <c r="Q412">
        <v>5.5410910000000001E-2</v>
      </c>
      <c r="R412">
        <v>5.4724889999999998E-2</v>
      </c>
      <c r="S412">
        <v>3.0509339999999998</v>
      </c>
      <c r="T412">
        <v>-0.14056920000000001</v>
      </c>
      <c r="U412">
        <v>-0.6203613</v>
      </c>
      <c r="V412">
        <v>-5.2763199999999899E-2</v>
      </c>
      <c r="W412">
        <v>7.0039879999999999E-2</v>
      </c>
      <c r="X412">
        <v>0.99614780000000003</v>
      </c>
      <c r="Y412">
        <v>0.20097679999999901</v>
      </c>
      <c r="Z412">
        <v>-4.670291E-3</v>
      </c>
      <c r="AA412">
        <v>0.97958489999999998</v>
      </c>
      <c r="AB412">
        <v>35</v>
      </c>
      <c r="AC412">
        <v>23.760299999999901</v>
      </c>
      <c r="AD412">
        <v>-1.1046640925710001</v>
      </c>
      <c r="AE412">
        <v>-4.8755000000000397</v>
      </c>
      <c r="AF412">
        <v>4.9120137860718804</v>
      </c>
      <c r="AG412">
        <v>-1.1046640925710001</v>
      </c>
      <c r="AH412">
        <v>23.701508046546898</v>
      </c>
      <c r="AI412">
        <v>92.613026538531997</v>
      </c>
      <c r="AJ412">
        <v>78.291499227690593</v>
      </c>
      <c r="AK412">
        <v>24.2303455582562</v>
      </c>
    </row>
    <row r="413" spans="1:37" x14ac:dyDescent="0.2">
      <c r="A413" t="str">
        <f>"20200111153618873"</f>
        <v>20200111153618873</v>
      </c>
      <c r="B413" t="str">
        <f>"1578728178863388"</f>
        <v>1578728178863388</v>
      </c>
      <c r="C413" t="s">
        <v>37</v>
      </c>
      <c r="D413">
        <v>5.7454929999999997</v>
      </c>
      <c r="E413">
        <v>0.59837399999999996</v>
      </c>
      <c r="F413" t="s">
        <v>39</v>
      </c>
      <c r="G413">
        <v>-332.93450000000001</v>
      </c>
      <c r="H413" s="1">
        <v>-4.2031919999999996E-6</v>
      </c>
      <c r="I413">
        <v>362.90890000000002</v>
      </c>
      <c r="J413">
        <v>-356.71100000000001</v>
      </c>
      <c r="K413">
        <v>1.1046609999999999</v>
      </c>
      <c r="L413">
        <v>367.79950000000002</v>
      </c>
      <c r="M413">
        <v>0.99989059999999896</v>
      </c>
      <c r="N413">
        <v>0</v>
      </c>
      <c r="O413">
        <v>1.9718510000000002E-3</v>
      </c>
      <c r="P413">
        <v>0.99701830000000002</v>
      </c>
      <c r="Q413">
        <v>5.4878410000000002E-2</v>
      </c>
      <c r="R413">
        <v>5.425199E-2</v>
      </c>
      <c r="S413">
        <v>3.051056</v>
      </c>
      <c r="T413">
        <v>-0.1403615</v>
      </c>
      <c r="U413">
        <v>-0.6213379</v>
      </c>
      <c r="V413">
        <v>-5.2284459999999998E-2</v>
      </c>
      <c r="W413">
        <v>6.9505709999999998E-2</v>
      </c>
      <c r="X413">
        <v>0.9962105</v>
      </c>
      <c r="Y413">
        <v>0.2012766</v>
      </c>
      <c r="Z413">
        <v>-4.6701659999999999E-3</v>
      </c>
      <c r="AA413">
        <v>0.97952329999999999</v>
      </c>
      <c r="AB413">
        <v>35</v>
      </c>
      <c r="AC413">
        <v>23.776499999999999</v>
      </c>
      <c r="AD413">
        <v>-1.1046652031919999</v>
      </c>
      <c r="AE413">
        <v>-4.8906000000000001</v>
      </c>
      <c r="AF413">
        <v>4.9272751135639599</v>
      </c>
      <c r="AG413">
        <v>-1.1046652031919999</v>
      </c>
      <c r="AH413">
        <v>23.7176910913387</v>
      </c>
      <c r="AI413">
        <v>92.610988289507205</v>
      </c>
      <c r="AJ413">
        <v>78.263921217645503</v>
      </c>
      <c r="AK413">
        <v>24.249272070725201</v>
      </c>
    </row>
    <row r="414" spans="1:37" x14ac:dyDescent="0.2">
      <c r="A414" t="str">
        <f>"20200111153618896"</f>
        <v>20200111153618896</v>
      </c>
      <c r="B414" t="str">
        <f>"1578728178893175"</f>
        <v>1578728178893175</v>
      </c>
      <c r="C414" t="s">
        <v>37</v>
      </c>
      <c r="D414">
        <v>6.0658190000000003</v>
      </c>
      <c r="E414">
        <v>0.56410119999999997</v>
      </c>
      <c r="F414" t="s">
        <v>39</v>
      </c>
      <c r="G414">
        <v>-332.97579999999999</v>
      </c>
      <c r="H414" s="1">
        <v>-4.1779799999999999E-6</v>
      </c>
      <c r="I414">
        <v>362.95119999999997</v>
      </c>
      <c r="J414">
        <v>-356.3571</v>
      </c>
      <c r="K414">
        <v>1.104654</v>
      </c>
      <c r="L414">
        <v>367.80020000000002</v>
      </c>
      <c r="M414">
        <v>0.99989039999999996</v>
      </c>
      <c r="N414">
        <v>0</v>
      </c>
      <c r="O414">
        <v>1.98161E-3</v>
      </c>
      <c r="P414">
        <v>0.99706589999999995</v>
      </c>
      <c r="Q414">
        <v>5.4110529999999997E-2</v>
      </c>
      <c r="R414">
        <v>5.4146E-2</v>
      </c>
      <c r="S414">
        <v>3.0506899999999999</v>
      </c>
      <c r="T414">
        <v>-0.141982</v>
      </c>
      <c r="U414">
        <v>-0.62313839999999998</v>
      </c>
      <c r="V414">
        <v>-5.2168489999999998E-2</v>
      </c>
      <c r="W414">
        <v>6.8734589999999998E-2</v>
      </c>
      <c r="X414">
        <v>0.99627009999999905</v>
      </c>
      <c r="Y414">
        <v>0.2018587</v>
      </c>
      <c r="Z414">
        <v>-4.7381569999999998E-3</v>
      </c>
      <c r="AA414">
        <v>0.97940319999999903</v>
      </c>
      <c r="AB414">
        <v>35</v>
      </c>
      <c r="AC414">
        <v>23.3813</v>
      </c>
      <c r="AD414">
        <v>-1.10465817798</v>
      </c>
      <c r="AE414">
        <v>-4.8490000000000402</v>
      </c>
      <c r="AF414">
        <v>4.8848740584916701</v>
      </c>
      <c r="AG414">
        <v>-1.10465817798</v>
      </c>
      <c r="AH414">
        <v>23.3217338307762</v>
      </c>
      <c r="AI414">
        <v>92.654332281063702</v>
      </c>
      <c r="AJ414">
        <v>78.170083669750298</v>
      </c>
      <c r="AK414">
        <v>23.853417640478099</v>
      </c>
    </row>
    <row r="415" spans="1:37" x14ac:dyDescent="0.2">
      <c r="A415" t="str">
        <f>"20200111153618909"</f>
        <v>20200111153618909</v>
      </c>
      <c r="B415" t="str">
        <f>"1578728178902934"</f>
        <v>1578728178902934</v>
      </c>
      <c r="C415" t="s">
        <v>37</v>
      </c>
      <c r="D415">
        <v>5.9037389999999998</v>
      </c>
      <c r="E415">
        <v>0.56410119999999997</v>
      </c>
      <c r="F415" t="s">
        <v>38</v>
      </c>
      <c r="G415">
        <v>-355.57069999999999</v>
      </c>
      <c r="H415">
        <v>1.05084</v>
      </c>
      <c r="I415">
        <v>367.70909999999998</v>
      </c>
      <c r="J415">
        <v>-356.14780000000002</v>
      </c>
      <c r="K415">
        <v>1.104652</v>
      </c>
      <c r="L415">
        <v>367.80070000000001</v>
      </c>
      <c r="M415">
        <v>0.99989050000000002</v>
      </c>
      <c r="N415">
        <v>0</v>
      </c>
      <c r="O415">
        <v>1.9878890000000001E-3</v>
      </c>
      <c r="P415">
        <v>0.99708059999999998</v>
      </c>
      <c r="Q415">
        <v>5.3988139999999997E-2</v>
      </c>
      <c r="R415">
        <v>5.3996250000000003E-2</v>
      </c>
      <c r="S415">
        <v>3.039215</v>
      </c>
      <c r="T415">
        <v>-0.20804009999999901</v>
      </c>
      <c r="U415">
        <v>-0.35159299999999999</v>
      </c>
      <c r="V415">
        <v>-5.2012639999999999E-2</v>
      </c>
      <c r="W415">
        <v>6.8609970000000006E-2</v>
      </c>
      <c r="X415">
        <v>0.99628680000000003</v>
      </c>
      <c r="Y415">
        <v>0.1166198</v>
      </c>
      <c r="Z415">
        <v>-4.1090399999999996E-3</v>
      </c>
      <c r="AA415">
        <v>0.9931681</v>
      </c>
      <c r="AB415">
        <v>35</v>
      </c>
      <c r="AC415">
        <v>0.57710000000002903</v>
      </c>
      <c r="AD415">
        <v>-5.3811999999999902E-2</v>
      </c>
      <c r="AE415">
        <v>-9.1600000000028103E-2</v>
      </c>
      <c r="AF415">
        <v>9.1967173726002299E-2</v>
      </c>
      <c r="AG415">
        <v>-5.3811999999999902E-2</v>
      </c>
      <c r="AH415">
        <v>0.57206502996327202</v>
      </c>
      <c r="AI415">
        <v>95.306051767774704</v>
      </c>
      <c r="AJ415">
        <v>80.867075031740001</v>
      </c>
      <c r="AK415">
        <v>0.58190385021413005</v>
      </c>
    </row>
    <row r="416" spans="1:37" x14ac:dyDescent="0.2">
      <c r="A416" t="str">
        <f>"20200111153618922"</f>
        <v>20200111153618922</v>
      </c>
      <c r="B416" t="str">
        <f>"1578728178912694"</f>
        <v>1578728178912694</v>
      </c>
      <c r="C416" t="s">
        <v>37</v>
      </c>
      <c r="D416">
        <v>5.6258889999999999</v>
      </c>
      <c r="E416">
        <v>0.49555949999999999</v>
      </c>
      <c r="F416" t="s">
        <v>38</v>
      </c>
      <c r="G416">
        <v>-355.2645</v>
      </c>
      <c r="H416">
        <v>1.0441959999999999</v>
      </c>
      <c r="I416">
        <v>367.69799999999998</v>
      </c>
      <c r="J416">
        <v>-355.94690000000003</v>
      </c>
      <c r="K416">
        <v>1.1046499999999999</v>
      </c>
      <c r="L416">
        <v>367.80110000000002</v>
      </c>
      <c r="M416">
        <v>0.99989050000000002</v>
      </c>
      <c r="N416">
        <v>0</v>
      </c>
      <c r="O416">
        <v>1.9939860000000001E-3</v>
      </c>
      <c r="P416">
        <v>0.99710599999999905</v>
      </c>
      <c r="Q416">
        <v>5.3826599999999898E-2</v>
      </c>
      <c r="R416">
        <v>5.3686619999999997E-2</v>
      </c>
      <c r="S416">
        <v>3.0391240000000002</v>
      </c>
      <c r="T416">
        <v>-0.2082156</v>
      </c>
      <c r="U416">
        <v>-0.35208129999999999</v>
      </c>
      <c r="V416">
        <v>-5.1696350000000002E-2</v>
      </c>
      <c r="W416">
        <v>6.8446789999999993E-2</v>
      </c>
      <c r="X416">
        <v>0.99631449999999999</v>
      </c>
      <c r="Y416">
        <v>0.1167859</v>
      </c>
      <c r="Z416">
        <v>-4.1186629999999998E-3</v>
      </c>
      <c r="AA416">
        <v>0.99314859999999905</v>
      </c>
      <c r="AB416">
        <v>35</v>
      </c>
      <c r="AC416">
        <v>0.68240000000002898</v>
      </c>
      <c r="AD416">
        <v>-6.0454000000000001E-2</v>
      </c>
      <c r="AE416">
        <v>-0.103099999999983</v>
      </c>
      <c r="AF416">
        <v>0.103665205292304</v>
      </c>
      <c r="AG416">
        <v>-6.0454000000000001E-2</v>
      </c>
      <c r="AH416">
        <v>0.67699837416896502</v>
      </c>
      <c r="AI416">
        <v>95.044326800559205</v>
      </c>
      <c r="AJ416">
        <v>81.294219943471106</v>
      </c>
      <c r="AK416">
        <v>0.68755215040876605</v>
      </c>
    </row>
    <row r="417" spans="1:37" x14ac:dyDescent="0.2">
      <c r="A417" t="str">
        <f>"20200111153618941"</f>
        <v>20200111153618941</v>
      </c>
      <c r="B417" t="str">
        <f>"1578728178933189"</f>
        <v>1578728178933189</v>
      </c>
      <c r="C417" t="s">
        <v>37</v>
      </c>
      <c r="D417">
        <v>5.7634040000000004</v>
      </c>
      <c r="E417">
        <v>0.4826568</v>
      </c>
      <c r="F417" t="s">
        <v>39</v>
      </c>
      <c r="G417">
        <v>-321.47680000000003</v>
      </c>
      <c r="H417" s="1">
        <v>-3.7477469999999999E-6</v>
      </c>
      <c r="I417">
        <v>370.02609999999999</v>
      </c>
      <c r="J417">
        <v>-355.65019999999998</v>
      </c>
      <c r="K417">
        <v>1.104652</v>
      </c>
      <c r="L417">
        <v>367.80169999999998</v>
      </c>
      <c r="M417">
        <v>0.99989059999999896</v>
      </c>
      <c r="N417">
        <v>0</v>
      </c>
      <c r="O417">
        <v>2.0032499999999998E-3</v>
      </c>
      <c r="P417">
        <v>0.99712239999999996</v>
      </c>
      <c r="Q417">
        <v>5.3391870000000001E-2</v>
      </c>
      <c r="R417">
        <v>5.3817160000000003E-2</v>
      </c>
      <c r="S417">
        <v>3.0034480000000001</v>
      </c>
      <c r="T417">
        <v>-9.6250409999999995E-2</v>
      </c>
      <c r="U417">
        <v>0.1938782</v>
      </c>
      <c r="V417">
        <v>-5.1818099999999999E-2</v>
      </c>
      <c r="W417">
        <v>6.8008650000000004E-2</v>
      </c>
      <c r="X417">
        <v>0.99633809999999901</v>
      </c>
      <c r="Y417">
        <v>-6.2387480000000002E-2</v>
      </c>
      <c r="Z417">
        <v>9.3423970000000003E-4</v>
      </c>
      <c r="AA417">
        <v>0.99805159999999904</v>
      </c>
      <c r="AB417">
        <v>35</v>
      </c>
      <c r="AC417">
        <v>34.173399999999901</v>
      </c>
      <c r="AD417">
        <v>-1.104655747747</v>
      </c>
      <c r="AE417">
        <v>2.2244000000000002</v>
      </c>
      <c r="AF417">
        <v>-2.1536894094564798</v>
      </c>
      <c r="AG417">
        <v>-1.104655747747</v>
      </c>
      <c r="AH417">
        <v>34.142262959221704</v>
      </c>
      <c r="AI417">
        <v>91.849456340919303</v>
      </c>
      <c r="AJ417">
        <v>93.609427837264505</v>
      </c>
      <c r="AK417">
        <v>34.227952938644698</v>
      </c>
    </row>
    <row r="418" spans="1:37" x14ac:dyDescent="0.2">
      <c r="A418" t="str">
        <f>"20200111153618953"</f>
        <v>20200111153618953</v>
      </c>
      <c r="B418" t="str">
        <f>"1578728178942950"</f>
        <v>1578728178942950</v>
      </c>
      <c r="C418" t="s">
        <v>37</v>
      </c>
      <c r="D418">
        <v>5.9104660000000004</v>
      </c>
      <c r="E418">
        <v>0.48067470000000001</v>
      </c>
      <c r="F418" t="s">
        <v>39</v>
      </c>
      <c r="G418">
        <v>-331.57549999999998</v>
      </c>
      <c r="H418" s="1">
        <v>-3.7465929999999999E-6</v>
      </c>
      <c r="I418">
        <v>370.18079999999998</v>
      </c>
      <c r="J418">
        <v>-355.45580000000001</v>
      </c>
      <c r="K418">
        <v>1.104654</v>
      </c>
      <c r="L418">
        <v>367.8021</v>
      </c>
      <c r="M418">
        <v>0.99989069999999902</v>
      </c>
      <c r="N418">
        <v>0</v>
      </c>
      <c r="O418">
        <v>2.0091699999999998E-3</v>
      </c>
      <c r="P418">
        <v>0.99711349999999999</v>
      </c>
      <c r="Q418">
        <v>5.3449650000000001E-2</v>
      </c>
      <c r="R418">
        <v>5.3930190000000003E-2</v>
      </c>
      <c r="S418">
        <v>3</v>
      </c>
      <c r="T418">
        <v>-0.13765279999999999</v>
      </c>
      <c r="U418">
        <v>0.29647829999999997</v>
      </c>
      <c r="V418">
        <v>-5.1925270000000003E-2</v>
      </c>
      <c r="W418">
        <v>6.8064780000000005E-2</v>
      </c>
      <c r="X418">
        <v>0.99632869999999996</v>
      </c>
      <c r="Y418">
        <v>-9.6248970000000003E-2</v>
      </c>
      <c r="Z418">
        <v>2.1097160000000002E-3</v>
      </c>
      <c r="AA418">
        <v>0.99535509999999905</v>
      </c>
      <c r="AB418">
        <v>35</v>
      </c>
      <c r="AC418">
        <v>23.880299999999998</v>
      </c>
      <c r="AD418">
        <v>-1.1046577465930001</v>
      </c>
      <c r="AE418">
        <v>2.3786999999999798</v>
      </c>
      <c r="AF418">
        <v>-2.32578262067319</v>
      </c>
      <c r="AG418">
        <v>-1.1046577465930001</v>
      </c>
      <c r="AH418">
        <v>23.8345311289163</v>
      </c>
      <c r="AI418">
        <v>92.641059217834993</v>
      </c>
      <c r="AJ418">
        <v>95.573299147242196</v>
      </c>
      <c r="AK418">
        <v>23.973201865228901</v>
      </c>
    </row>
    <row r="419" spans="1:37" x14ac:dyDescent="0.2">
      <c r="A419" t="str">
        <f>"20200111153618965"</f>
        <v>20200111153618965</v>
      </c>
      <c r="B419" t="str">
        <f>"1578728178963446"</f>
        <v>1578728178963446</v>
      </c>
      <c r="C419" t="s">
        <v>37</v>
      </c>
      <c r="D419">
        <v>5.5143209999999998</v>
      </c>
      <c r="E419">
        <v>0.4794214</v>
      </c>
      <c r="F419" t="s">
        <v>39</v>
      </c>
      <c r="G419">
        <v>-333.02099999999899</v>
      </c>
      <c r="H419" s="1">
        <v>-3.1152240000000001E-6</v>
      </c>
      <c r="I419">
        <v>370.13850000000002</v>
      </c>
      <c r="J419">
        <v>-355.26949999999999</v>
      </c>
      <c r="K419">
        <v>1.1046559999999901</v>
      </c>
      <c r="L419">
        <v>367.80250000000001</v>
      </c>
      <c r="M419">
        <v>0.99989059999999896</v>
      </c>
      <c r="N419">
        <v>0</v>
      </c>
      <c r="O419">
        <v>2.014732E-3</v>
      </c>
      <c r="P419">
        <v>0.99710509999999997</v>
      </c>
      <c r="Q419">
        <v>5.3311499999999998E-2</v>
      </c>
      <c r="R419">
        <v>5.4216250000000001E-2</v>
      </c>
      <c r="S419">
        <v>2.999695</v>
      </c>
      <c r="T419">
        <v>-0.14769979999999999</v>
      </c>
      <c r="U419">
        <v>0.31240839999999998</v>
      </c>
      <c r="V419">
        <v>-5.2205590000000003E-2</v>
      </c>
      <c r="W419">
        <v>6.7924449999999997E-2</v>
      </c>
      <c r="X419">
        <v>0.99632359999999898</v>
      </c>
      <c r="Y419">
        <v>-0.101463</v>
      </c>
      <c r="Z419">
        <v>2.3908150000000001E-3</v>
      </c>
      <c r="AA419">
        <v>0.99483639999999995</v>
      </c>
      <c r="AB419">
        <v>35</v>
      </c>
      <c r="AC419">
        <v>22.2485</v>
      </c>
      <c r="AD419">
        <v>-1.104659115224</v>
      </c>
      <c r="AE419">
        <v>2.3360000000000101</v>
      </c>
      <c r="AF419">
        <v>-2.2855926365863199</v>
      </c>
      <c r="AG419">
        <v>-1.104659115224</v>
      </c>
      <c r="AH419">
        <v>22.1990330508726</v>
      </c>
      <c r="AI419">
        <v>92.833823198887004</v>
      </c>
      <c r="AJ419">
        <v>95.8784092204085</v>
      </c>
      <c r="AK419">
        <v>22.343707701610299</v>
      </c>
    </row>
    <row r="420" spans="1:37" x14ac:dyDescent="0.2">
      <c r="A420" t="str">
        <f>"20200111153618980"</f>
        <v>20200111153618980</v>
      </c>
      <c r="B420" t="str">
        <f>"1578728178973206"</f>
        <v>1578728178973206</v>
      </c>
      <c r="C420" t="s">
        <v>37</v>
      </c>
      <c r="D420">
        <v>5.7768169999999897</v>
      </c>
      <c r="E420">
        <v>0.47893549999999901</v>
      </c>
      <c r="F420" t="s">
        <v>39</v>
      </c>
      <c r="G420">
        <v>-333.67970000000003</v>
      </c>
      <c r="H420" s="1">
        <v>-2.8295939999999998E-6</v>
      </c>
      <c r="I420">
        <v>370.12699999999899</v>
      </c>
      <c r="J420">
        <v>-355.0521</v>
      </c>
      <c r="K420">
        <v>1.1046579999999999</v>
      </c>
      <c r="L420">
        <v>367.803</v>
      </c>
      <c r="M420">
        <v>0.99989059999999896</v>
      </c>
      <c r="N420">
        <v>0</v>
      </c>
      <c r="O420">
        <v>2.021012E-3</v>
      </c>
      <c r="P420">
        <v>0.99710209999999999</v>
      </c>
      <c r="Q420">
        <v>5.32725E-2</v>
      </c>
      <c r="R420">
        <v>5.43084E-2</v>
      </c>
      <c r="S420">
        <v>2.9993289999999999</v>
      </c>
      <c r="T420">
        <v>-0.15346179999999901</v>
      </c>
      <c r="U420">
        <v>0.32293699999999997</v>
      </c>
      <c r="V420">
        <v>-5.2291730000000002E-2</v>
      </c>
      <c r="W420">
        <v>6.788305E-2</v>
      </c>
      <c r="X420">
        <v>0.99632199999999904</v>
      </c>
      <c r="Y420">
        <v>-0.10490819999999999</v>
      </c>
      <c r="Z420">
        <v>2.5713160000000001E-3</v>
      </c>
      <c r="AA420">
        <v>0.99447859999999999</v>
      </c>
      <c r="AB420">
        <v>35</v>
      </c>
      <c r="AC420">
        <v>21.372399999999899</v>
      </c>
      <c r="AD420">
        <v>-1.1046608295939999</v>
      </c>
      <c r="AE420">
        <v>2.3239999999998902</v>
      </c>
      <c r="AF420">
        <v>-2.2747907043936202</v>
      </c>
      <c r="AG420">
        <v>-1.1046608295939999</v>
      </c>
      <c r="AH420">
        <v>21.3207613730447</v>
      </c>
      <c r="AI420">
        <v>92.949219792722403</v>
      </c>
      <c r="AJ420">
        <v>96.090059054205398</v>
      </c>
      <c r="AK420">
        <v>21.470207586876001</v>
      </c>
    </row>
    <row r="421" spans="1:37" x14ac:dyDescent="0.2">
      <c r="A421" t="str">
        <f>"20200111153618995"</f>
        <v>20200111153618995</v>
      </c>
      <c r="B421" t="str">
        <f>"1578728178982966"</f>
        <v>1578728178982966</v>
      </c>
      <c r="C421" t="s">
        <v>37</v>
      </c>
      <c r="D421">
        <v>5.5184369999999996</v>
      </c>
      <c r="E421">
        <v>0.47863149999999999</v>
      </c>
      <c r="F421" t="s">
        <v>39</v>
      </c>
      <c r="G421">
        <v>-333.98680000000002</v>
      </c>
      <c r="H421" s="1">
        <v>-2.6902219999999999E-6</v>
      </c>
      <c r="I421">
        <v>370.09840000000003</v>
      </c>
      <c r="J421">
        <v>-354.80509999999998</v>
      </c>
      <c r="K421">
        <v>1.1046609999999999</v>
      </c>
      <c r="L421">
        <v>367.80349999999999</v>
      </c>
      <c r="M421">
        <v>0.99989050000000002</v>
      </c>
      <c r="N421">
        <v>0</v>
      </c>
      <c r="O421">
        <v>2.028069E-3</v>
      </c>
      <c r="P421">
        <v>0.99708109999999905</v>
      </c>
      <c r="Q421">
        <v>5.3638579999999998E-2</v>
      </c>
      <c r="R421">
        <v>5.433466E-2</v>
      </c>
      <c r="S421">
        <v>2.9993289999999999</v>
      </c>
      <c r="T421">
        <v>-0.1572838</v>
      </c>
      <c r="U421">
        <v>0.3268433</v>
      </c>
      <c r="V421">
        <v>-5.2311339999999998E-2</v>
      </c>
      <c r="W421">
        <v>6.8246039999999994E-2</v>
      </c>
      <c r="X421">
        <v>0.99629619999999997</v>
      </c>
      <c r="Y421">
        <v>-0.1061729</v>
      </c>
      <c r="Z421">
        <v>2.6677570000000002E-3</v>
      </c>
      <c r="AA421">
        <v>0.99434409999999895</v>
      </c>
      <c r="AB421">
        <v>35</v>
      </c>
      <c r="AC421">
        <v>20.818299999999901</v>
      </c>
      <c r="AD421">
        <v>-1.1046636902219999</v>
      </c>
      <c r="AE421">
        <v>2.2949000000000401</v>
      </c>
      <c r="AF421">
        <v>-2.24642072758403</v>
      </c>
      <c r="AG421">
        <v>-1.1046636902219999</v>
      </c>
      <c r="AH421">
        <v>20.765147654977401</v>
      </c>
      <c r="AI421">
        <v>93.027517234066593</v>
      </c>
      <c r="AJ421">
        <v>96.174374912014002</v>
      </c>
      <c r="AK421">
        <v>20.915497725056099</v>
      </c>
    </row>
    <row r="422" spans="1:37" x14ac:dyDescent="0.2">
      <c r="A422" t="str">
        <f>"20200111153619008"</f>
        <v>20200111153619008</v>
      </c>
      <c r="B422" t="str">
        <f>"1578728179002967"</f>
        <v>1578728179002967</v>
      </c>
      <c r="C422" t="s">
        <v>37</v>
      </c>
      <c r="D422">
        <v>5.4989429999999997</v>
      </c>
      <c r="E422">
        <v>0.47839300000000001</v>
      </c>
      <c r="F422" t="s">
        <v>39</v>
      </c>
      <c r="G422">
        <v>-333.4151</v>
      </c>
      <c r="H422" s="1">
        <v>-2.9504050000000001E-6</v>
      </c>
      <c r="I422">
        <v>370.15449999999998</v>
      </c>
      <c r="J422">
        <v>-354.60180000000003</v>
      </c>
      <c r="K422">
        <v>1.1046639999999901</v>
      </c>
      <c r="L422">
        <v>367.8039</v>
      </c>
      <c r="M422">
        <v>0.99989069999999902</v>
      </c>
      <c r="N422">
        <v>0</v>
      </c>
      <c r="O422">
        <v>2.0336909999999998E-3</v>
      </c>
      <c r="P422">
        <v>0.99706299999999903</v>
      </c>
      <c r="Q422">
        <v>5.3819369999999998E-2</v>
      </c>
      <c r="R422">
        <v>5.4489589999999997E-2</v>
      </c>
      <c r="S422">
        <v>2.9991460000000001</v>
      </c>
      <c r="T422">
        <v>-0.154887</v>
      </c>
      <c r="U422">
        <v>0.32965090000000002</v>
      </c>
      <c r="V422">
        <v>-5.2460819999999998E-2</v>
      </c>
      <c r="W422">
        <v>6.8423960000000006E-2</v>
      </c>
      <c r="X422">
        <v>0.9962761</v>
      </c>
      <c r="Y422">
        <v>-0.1070966</v>
      </c>
      <c r="Z422">
        <v>2.65066E-3</v>
      </c>
      <c r="AA422">
        <v>0.99424509999999899</v>
      </c>
      <c r="AB422">
        <v>35</v>
      </c>
      <c r="AC422">
        <v>21.186699999999998</v>
      </c>
      <c r="AD422">
        <v>-1.104666950405</v>
      </c>
      <c r="AE422">
        <v>2.35059999999998</v>
      </c>
      <c r="AF422">
        <v>-2.3013231450321698</v>
      </c>
      <c r="AG422">
        <v>-1.104666950405</v>
      </c>
      <c r="AH422">
        <v>21.1346801966064</v>
      </c>
      <c r="AI422">
        <v>92.974461887188994</v>
      </c>
      <c r="AJ422">
        <v>96.214366735921899</v>
      </c>
      <c r="AK422">
        <v>21.288285142350102</v>
      </c>
    </row>
    <row r="423" spans="1:37" x14ac:dyDescent="0.2">
      <c r="A423" t="str">
        <f>"20200111153619021"</f>
        <v>20200111153619021</v>
      </c>
      <c r="B423" t="str">
        <f>"1578728179012727"</f>
        <v>1578728179012727</v>
      </c>
      <c r="C423" t="s">
        <v>37</v>
      </c>
      <c r="D423">
        <v>5.5349830000000004</v>
      </c>
      <c r="E423">
        <v>0.47829349999999998</v>
      </c>
      <c r="F423" t="s">
        <v>39</v>
      </c>
      <c r="G423">
        <v>-333.86020000000002</v>
      </c>
      <c r="H423" s="1">
        <v>-2.7448520000000001E-6</v>
      </c>
      <c r="I423">
        <v>370.09960000000001</v>
      </c>
      <c r="J423">
        <v>-354.40690000000001</v>
      </c>
      <c r="K423">
        <v>1.104668</v>
      </c>
      <c r="L423">
        <v>367.80430000000001</v>
      </c>
      <c r="M423">
        <v>0.99989069999999902</v>
      </c>
      <c r="N423">
        <v>0</v>
      </c>
      <c r="O423">
        <v>2.0390740000000001E-3</v>
      </c>
      <c r="P423">
        <v>0.99701909999999905</v>
      </c>
      <c r="Q423">
        <v>5.3761150000000001E-2</v>
      </c>
      <c r="R423">
        <v>5.5342330000000002E-2</v>
      </c>
      <c r="S423">
        <v>2.9993289999999999</v>
      </c>
      <c r="T423">
        <v>-0.15973850000000001</v>
      </c>
      <c r="U423">
        <v>0.33197019999999999</v>
      </c>
      <c r="V423">
        <v>-5.330758E-2</v>
      </c>
      <c r="W423">
        <v>6.8363060000000003E-2</v>
      </c>
      <c r="X423">
        <v>0.99623530000000005</v>
      </c>
      <c r="Y423">
        <v>-0.1078345</v>
      </c>
      <c r="Z423">
        <v>2.7525809999999901E-3</v>
      </c>
      <c r="AA423">
        <v>0.99416510000000002</v>
      </c>
      <c r="AB423">
        <v>35</v>
      </c>
      <c r="AC423">
        <v>20.546699999999898</v>
      </c>
      <c r="AD423">
        <v>-1.1046707448519999</v>
      </c>
      <c r="AE423">
        <v>2.2952999999999899</v>
      </c>
      <c r="AF423">
        <v>-2.2469795254823599</v>
      </c>
      <c r="AG423">
        <v>-1.1046707448519999</v>
      </c>
      <c r="AH423">
        <v>20.492832479384901</v>
      </c>
      <c r="AI423">
        <v>93.067208323042195</v>
      </c>
      <c r="AJ423">
        <v>96.257319426756197</v>
      </c>
      <c r="AK423">
        <v>20.645226990047899</v>
      </c>
    </row>
    <row r="424" spans="1:37" x14ac:dyDescent="0.2">
      <c r="A424" t="str">
        <f>"20200111153619045"</f>
        <v>20200111153619045</v>
      </c>
      <c r="B424" t="str">
        <f>"1578728179042983"</f>
        <v>1578728179042983</v>
      </c>
      <c r="C424" t="s">
        <v>37</v>
      </c>
      <c r="D424">
        <v>5.5852639999999996</v>
      </c>
      <c r="E424">
        <v>0.47803790000000002</v>
      </c>
      <c r="F424" t="s">
        <v>39</v>
      </c>
      <c r="G424">
        <v>-333.78769999999997</v>
      </c>
      <c r="H424" s="1">
        <v>-2.777956E-6</v>
      </c>
      <c r="I424">
        <v>370.1071</v>
      </c>
      <c r="J424">
        <v>-354.02229999999997</v>
      </c>
      <c r="K424">
        <v>1.1046799999999899</v>
      </c>
      <c r="L424">
        <v>367.80509999999998</v>
      </c>
      <c r="M424">
        <v>0.99989069999999902</v>
      </c>
      <c r="N424">
        <v>0</v>
      </c>
      <c r="O424">
        <v>2.049244E-3</v>
      </c>
      <c r="P424">
        <v>0.99692409999999998</v>
      </c>
      <c r="Q424">
        <v>5.3944100000000002E-2</v>
      </c>
      <c r="R424">
        <v>5.6853470000000003E-2</v>
      </c>
      <c r="S424">
        <v>2.9990839999999999</v>
      </c>
      <c r="T424">
        <v>-0.16067500000000001</v>
      </c>
      <c r="U424">
        <v>0.33496090000000001</v>
      </c>
      <c r="V424">
        <v>-5.4809400000000001E-2</v>
      </c>
      <c r="W424">
        <v>6.8540980000000001E-2</v>
      </c>
      <c r="X424">
        <v>0.99614159999999996</v>
      </c>
      <c r="Y424">
        <v>-0.1088093</v>
      </c>
      <c r="Z424">
        <v>2.794239E-3</v>
      </c>
      <c r="AA424">
        <v>0.99405869999999996</v>
      </c>
      <c r="AB424">
        <v>35</v>
      </c>
      <c r="AC424">
        <v>20.2346</v>
      </c>
      <c r="AD424">
        <v>-1.10468277795599</v>
      </c>
      <c r="AE424">
        <v>2.30200000000002</v>
      </c>
      <c r="AF424">
        <v>-2.2538932413064199</v>
      </c>
      <c r="AG424">
        <v>-1.10468277795599</v>
      </c>
      <c r="AH424">
        <v>20.179898123130201</v>
      </c>
      <c r="AI424">
        <v>93.114018925862794</v>
      </c>
      <c r="AJ424">
        <v>96.372954242079601</v>
      </c>
      <c r="AK424">
        <v>20.335403783624098</v>
      </c>
    </row>
    <row r="425" spans="1:37" x14ac:dyDescent="0.2">
      <c r="A425" t="str">
        <f>"20200111153619063"</f>
        <v>20200111153619063</v>
      </c>
      <c r="B425" t="str">
        <f>"1578728179052743"</f>
        <v>1578728179052743</v>
      </c>
      <c r="C425" t="s">
        <v>37</v>
      </c>
      <c r="D425">
        <v>5.5647989999999998</v>
      </c>
      <c r="E425">
        <v>0.47800890000000001</v>
      </c>
      <c r="F425" t="s">
        <v>39</v>
      </c>
      <c r="G425">
        <v>-333.14830000000001</v>
      </c>
      <c r="H425" s="1">
        <v>-3.0706409999999999E-6</v>
      </c>
      <c r="I425">
        <v>370.17619999999999</v>
      </c>
      <c r="J425">
        <v>-353.75909999999999</v>
      </c>
      <c r="K425">
        <v>1.1046849999999999</v>
      </c>
      <c r="L425">
        <v>367.8057</v>
      </c>
      <c r="M425">
        <v>0.99989079999999997</v>
      </c>
      <c r="N425">
        <v>0</v>
      </c>
      <c r="O425">
        <v>2.056296E-3</v>
      </c>
      <c r="P425">
        <v>0.99684010000000001</v>
      </c>
      <c r="Q425">
        <v>5.4459889999999997E-2</v>
      </c>
      <c r="R425">
        <v>5.7828850000000001E-2</v>
      </c>
      <c r="S425">
        <v>2.998383</v>
      </c>
      <c r="T425">
        <v>-0.15867829999999999</v>
      </c>
      <c r="U425">
        <v>0.34060669999999998</v>
      </c>
      <c r="V425">
        <v>-5.5777819999999999E-2</v>
      </c>
      <c r="W425">
        <v>6.9052370000000002E-2</v>
      </c>
      <c r="X425">
        <v>0.99605250000000001</v>
      </c>
      <c r="Y425">
        <v>-0.110677199999999</v>
      </c>
      <c r="Z425">
        <v>2.8087749999999999E-3</v>
      </c>
      <c r="AA425">
        <v>0.99385239999999997</v>
      </c>
      <c r="AB425">
        <v>35</v>
      </c>
      <c r="AC425">
        <v>20.610799999999902</v>
      </c>
      <c r="AD425">
        <v>-1.1046880706410001</v>
      </c>
      <c r="AE425">
        <v>2.3704999999999901</v>
      </c>
      <c r="AF425">
        <v>-2.3215265687660001</v>
      </c>
      <c r="AG425">
        <v>-1.1046880706410001</v>
      </c>
      <c r="AH425">
        <v>20.557347357414699</v>
      </c>
      <c r="AI425">
        <v>93.056547789764593</v>
      </c>
      <c r="AJ425">
        <v>96.443074466997103</v>
      </c>
      <c r="AK425">
        <v>20.717489030196401</v>
      </c>
    </row>
    <row r="426" spans="1:37" x14ac:dyDescent="0.2">
      <c r="A426" t="str">
        <f>"20200111153619085"</f>
        <v>20200111153619085</v>
      </c>
      <c r="B426" t="str">
        <f>"1578728179073239"</f>
        <v>1578728179073239</v>
      </c>
      <c r="C426" t="s">
        <v>37</v>
      </c>
      <c r="D426">
        <v>5.5733750000000004</v>
      </c>
      <c r="E426">
        <v>0.47803129999999999</v>
      </c>
      <c r="F426" t="s">
        <v>39</v>
      </c>
      <c r="G426">
        <v>-332.44779999999997</v>
      </c>
      <c r="H426" s="1">
        <v>-3.3893199999999899E-6</v>
      </c>
      <c r="I426">
        <v>370.24450000000002</v>
      </c>
      <c r="J426">
        <v>-353.41539999999998</v>
      </c>
      <c r="K426">
        <v>1.1046929999999999</v>
      </c>
      <c r="L426">
        <v>367.8064</v>
      </c>
      <c r="M426">
        <v>0.99989089999999903</v>
      </c>
      <c r="N426">
        <v>0</v>
      </c>
      <c r="O426">
        <v>2.0637569999999998E-3</v>
      </c>
      <c r="P426">
        <v>0.99684450000000002</v>
      </c>
      <c r="Q426">
        <v>5.5461179999999999E-2</v>
      </c>
      <c r="R426">
        <v>5.679203E-2</v>
      </c>
      <c r="S426">
        <v>2.9980769999999999</v>
      </c>
      <c r="T426">
        <v>-0.1554072</v>
      </c>
      <c r="U426">
        <v>0.3431091</v>
      </c>
      <c r="V426">
        <v>-5.473335E-2</v>
      </c>
      <c r="W426">
        <v>7.0049879999999995E-2</v>
      </c>
      <c r="X426">
        <v>0.99604079999999995</v>
      </c>
      <c r="Y426">
        <v>-0.11150499999999899</v>
      </c>
      <c r="Z426">
        <v>2.77208599999999E-3</v>
      </c>
      <c r="AA426">
        <v>0.99375999999999998</v>
      </c>
      <c r="AB426">
        <v>35</v>
      </c>
      <c r="AC426">
        <v>20.967600000000001</v>
      </c>
      <c r="AD426">
        <v>-1.1046963893199999</v>
      </c>
      <c r="AE426">
        <v>2.4381000000000199</v>
      </c>
      <c r="AF426">
        <v>-2.38827720199893</v>
      </c>
      <c r="AG426">
        <v>-1.1046963893199999</v>
      </c>
      <c r="AH426">
        <v>20.9153052923586</v>
      </c>
      <c r="AI426">
        <v>93.003932153450094</v>
      </c>
      <c r="AJ426">
        <v>96.514276125360297</v>
      </c>
      <c r="AK426">
        <v>21.080185425624901</v>
      </c>
    </row>
    <row r="427" spans="1:37" x14ac:dyDescent="0.2">
      <c r="A427" t="str">
        <f>"20200111153619097"</f>
        <v>20200111153619097</v>
      </c>
      <c r="B427" t="str">
        <f>"1578728179092760"</f>
        <v>1578728179092760</v>
      </c>
      <c r="C427" t="s">
        <v>37</v>
      </c>
      <c r="D427">
        <v>5.5765339999999997</v>
      </c>
      <c r="E427">
        <v>0.4778752</v>
      </c>
      <c r="F427" t="s">
        <v>39</v>
      </c>
      <c r="G427">
        <v>-331.93299999999999</v>
      </c>
      <c r="H427" s="1">
        <v>-3.6101119999999999E-6</v>
      </c>
      <c r="I427">
        <v>370.24419999999998</v>
      </c>
      <c r="J427">
        <v>-353.2226</v>
      </c>
      <c r="K427">
        <v>1.1047009999999999</v>
      </c>
      <c r="L427">
        <v>367.80680000000001</v>
      </c>
      <c r="M427">
        <v>0.99989089999999903</v>
      </c>
      <c r="N427">
        <v>0</v>
      </c>
      <c r="O427">
        <v>2.067452E-3</v>
      </c>
      <c r="P427">
        <v>0.99688619999999994</v>
      </c>
      <c r="Q427">
        <v>5.5239070000000001E-2</v>
      </c>
      <c r="R427">
        <v>5.6277790000000001E-2</v>
      </c>
      <c r="S427">
        <v>2.998688</v>
      </c>
      <c r="T427">
        <v>-0.15420139999999999</v>
      </c>
      <c r="U427">
        <v>0.34030149999999998</v>
      </c>
      <c r="V427">
        <v>-5.4215550000000001E-2</v>
      </c>
      <c r="W427">
        <v>6.9826780000000005E-2</v>
      </c>
      <c r="X427">
        <v>0.99608479999999999</v>
      </c>
      <c r="Y427">
        <v>-0.1105635</v>
      </c>
      <c r="Z427">
        <v>2.7258899999999999E-3</v>
      </c>
      <c r="AA427">
        <v>0.99386529999999995</v>
      </c>
      <c r="AB427">
        <v>35</v>
      </c>
      <c r="AC427">
        <v>21.289599999999901</v>
      </c>
      <c r="AD427">
        <v>-1.1047046101119999</v>
      </c>
      <c r="AE427">
        <v>2.4373999999999598</v>
      </c>
      <c r="AF427">
        <v>-2.38703090359681</v>
      </c>
      <c r="AG427">
        <v>-1.1047046101119999</v>
      </c>
      <c r="AH427">
        <v>21.2381501437048</v>
      </c>
      <c r="AI427">
        <v>92.9589653796167</v>
      </c>
      <c r="AJ427">
        <v>96.4127632539128</v>
      </c>
      <c r="AK427">
        <v>21.400404443301401</v>
      </c>
    </row>
    <row r="428" spans="1:37" x14ac:dyDescent="0.2">
      <c r="A428" t="str">
        <f>"20200111153619111"</f>
        <v>20200111153619111</v>
      </c>
      <c r="B428" t="str">
        <f>"1578728179103495"</f>
        <v>1578728179103495</v>
      </c>
      <c r="C428" t="s">
        <v>37</v>
      </c>
      <c r="D428">
        <v>5.8264940000000003</v>
      </c>
      <c r="E428">
        <v>0.47775800000000002</v>
      </c>
      <c r="F428" t="s">
        <v>39</v>
      </c>
      <c r="G428">
        <v>-332.43430000000001</v>
      </c>
      <c r="H428" s="1">
        <v>-3.3735579999999999E-6</v>
      </c>
      <c r="I428">
        <v>370.1635</v>
      </c>
      <c r="J428">
        <v>-353.03129999999999</v>
      </c>
      <c r="K428">
        <v>1.1046989999999901</v>
      </c>
      <c r="L428">
        <v>367.80720000000002</v>
      </c>
      <c r="M428">
        <v>0.99989079999999997</v>
      </c>
      <c r="N428">
        <v>0</v>
      </c>
      <c r="O428">
        <v>2.0701309999999998E-3</v>
      </c>
      <c r="P428">
        <v>0.99694879999999997</v>
      </c>
      <c r="Q428">
        <v>5.4625159999999999E-2</v>
      </c>
      <c r="R428">
        <v>5.5760499999999998E-2</v>
      </c>
      <c r="S428">
        <v>2.998993</v>
      </c>
      <c r="T428">
        <v>-0.1593675</v>
      </c>
      <c r="U428">
        <v>0.33999629999999997</v>
      </c>
      <c r="V428">
        <v>-5.3694440000000003E-2</v>
      </c>
      <c r="W428">
        <v>6.9211250000000002E-2</v>
      </c>
      <c r="X428">
        <v>0.99615599999999904</v>
      </c>
      <c r="Y428">
        <v>-0.1104402</v>
      </c>
      <c r="Z428">
        <v>2.81341599999999E-3</v>
      </c>
      <c r="AA428">
        <v>0.99387879999999995</v>
      </c>
      <c r="AB428">
        <v>35</v>
      </c>
      <c r="AC428">
        <v>20.596999999999898</v>
      </c>
      <c r="AD428">
        <v>-1.1047023735579999</v>
      </c>
      <c r="AE428">
        <v>2.3562999999999699</v>
      </c>
      <c r="AF428">
        <v>-2.30710097610093</v>
      </c>
      <c r="AG428">
        <v>-1.1047023735579999</v>
      </c>
      <c r="AH428">
        <v>20.543501781389399</v>
      </c>
      <c r="AI428">
        <v>93.058855967890196</v>
      </c>
      <c r="AJ428">
        <v>96.407651567158297</v>
      </c>
      <c r="AK428">
        <v>20.702138722605898</v>
      </c>
    </row>
    <row r="429" spans="1:37" x14ac:dyDescent="0.2">
      <c r="A429" t="str">
        <f>"20200111153619142"</f>
        <v>20200111153619142</v>
      </c>
      <c r="B429" t="str">
        <f>"1578728179132775"</f>
        <v>1578728179132775</v>
      </c>
      <c r="C429" t="s">
        <v>37</v>
      </c>
      <c r="D429">
        <v>5.5557619999999996</v>
      </c>
      <c r="E429">
        <v>0.47763800000000001</v>
      </c>
      <c r="F429" t="s">
        <v>39</v>
      </c>
      <c r="G429">
        <v>-332.57080000000002</v>
      </c>
      <c r="H429" s="1">
        <v>-3.3043019999999999E-6</v>
      </c>
      <c r="I429">
        <v>370.1234</v>
      </c>
      <c r="J429">
        <v>-352.53960000000001</v>
      </c>
      <c r="K429">
        <v>1.104681</v>
      </c>
      <c r="L429">
        <v>367.8082</v>
      </c>
      <c r="M429">
        <v>0.99989079999999997</v>
      </c>
      <c r="N429">
        <v>0</v>
      </c>
      <c r="O429">
        <v>2.0751900000000002E-3</v>
      </c>
      <c r="P429">
        <v>0.99719009999999997</v>
      </c>
      <c r="Q429">
        <v>5.0463590000000003E-2</v>
      </c>
      <c r="R429">
        <v>5.5369370000000001E-2</v>
      </c>
      <c r="S429">
        <v>2.9990540000000001</v>
      </c>
      <c r="T429">
        <v>-0.1619246</v>
      </c>
      <c r="U429">
        <v>0.33950809999999998</v>
      </c>
      <c r="V429">
        <v>-5.3298030000000003E-2</v>
      </c>
      <c r="W429">
        <v>6.5048809999999999E-2</v>
      </c>
      <c r="X429">
        <v>0.996457699999999</v>
      </c>
      <c r="Y429">
        <v>-0.11026849999999901</v>
      </c>
      <c r="Z429">
        <v>2.853572E-3</v>
      </c>
      <c r="AA429">
        <v>0.993897699999999</v>
      </c>
      <c r="AB429">
        <v>34</v>
      </c>
      <c r="AC429">
        <v>19.968799999999899</v>
      </c>
      <c r="AD429">
        <v>-1.104684304302</v>
      </c>
      <c r="AE429">
        <v>2.3151999999999999</v>
      </c>
      <c r="AF429">
        <v>-2.2669059958163702</v>
      </c>
      <c r="AG429">
        <v>-1.104684304302</v>
      </c>
      <c r="AH429">
        <v>19.913428078292601</v>
      </c>
      <c r="AI429">
        <v>93.154856484041005</v>
      </c>
      <c r="AJ429">
        <v>96.494482387930802</v>
      </c>
      <c r="AK429">
        <v>20.072463925372301</v>
      </c>
    </row>
    <row r="430" spans="1:37" x14ac:dyDescent="0.2">
      <c r="A430" t="str">
        <f>"20200111153619155"</f>
        <v>20200111153619155</v>
      </c>
      <c r="B430" t="str">
        <f>"1578728179143512"</f>
        <v>1578728179143512</v>
      </c>
      <c r="C430" t="s">
        <v>37</v>
      </c>
      <c r="D430">
        <v>5.560028</v>
      </c>
      <c r="E430">
        <v>0.4776147</v>
      </c>
      <c r="F430" t="s">
        <v>39</v>
      </c>
      <c r="G430">
        <v>-333.35570000000001</v>
      </c>
      <c r="H430" s="1">
        <v>-2.927532E-6</v>
      </c>
      <c r="I430">
        <v>369.97280000000001</v>
      </c>
      <c r="J430">
        <v>-352.34289999999999</v>
      </c>
      <c r="K430">
        <v>1.1046739999999999</v>
      </c>
      <c r="L430">
        <v>367.80869999999999</v>
      </c>
      <c r="M430">
        <v>0.99989089999999903</v>
      </c>
      <c r="N430">
        <v>0</v>
      </c>
      <c r="O430">
        <v>2.0763240000000001E-3</v>
      </c>
      <c r="P430">
        <v>0.99726099999999995</v>
      </c>
      <c r="Q430">
        <v>4.9229670000000003E-2</v>
      </c>
      <c r="R430">
        <v>5.5200819999999998E-2</v>
      </c>
      <c r="S430">
        <v>2.9983520000000001</v>
      </c>
      <c r="T430">
        <v>-0.17265629999999901</v>
      </c>
      <c r="U430">
        <v>0.3383179</v>
      </c>
      <c r="V430">
        <v>-5.3127899999999999E-2</v>
      </c>
      <c r="W430">
        <v>6.3813990000000001E-2</v>
      </c>
      <c r="X430">
        <v>0.99654659999999995</v>
      </c>
      <c r="Y430">
        <v>-0.1098831</v>
      </c>
      <c r="Z430">
        <v>3.0320519999999999E-3</v>
      </c>
      <c r="AA430">
        <v>0.99393989999999999</v>
      </c>
      <c r="AB430">
        <v>34</v>
      </c>
      <c r="AC430">
        <v>18.987199999999898</v>
      </c>
      <c r="AD430">
        <v>-1.1046769275319901</v>
      </c>
      <c r="AE430">
        <v>2.1641000000000101</v>
      </c>
      <c r="AF430">
        <v>-2.1175915771048301</v>
      </c>
      <c r="AG430">
        <v>-1.1046769275319901</v>
      </c>
      <c r="AH430">
        <v>18.9284033958881</v>
      </c>
      <c r="AI430">
        <v>93.3193785126184</v>
      </c>
      <c r="AJ430">
        <v>96.383351558773597</v>
      </c>
      <c r="AK430">
        <v>19.078494707893402</v>
      </c>
    </row>
    <row r="431" spans="1:37" x14ac:dyDescent="0.2">
      <c r="A431" t="str">
        <f>"20200111153619169"</f>
        <v>20200111153619169</v>
      </c>
      <c r="B431" t="str">
        <f>"1578728179163032"</f>
        <v>1578728179163032</v>
      </c>
      <c r="C431" t="s">
        <v>37</v>
      </c>
      <c r="D431">
        <v>5.663189</v>
      </c>
      <c r="E431">
        <v>0.47787849999999998</v>
      </c>
      <c r="F431" t="s">
        <v>39</v>
      </c>
      <c r="G431">
        <v>-333.50560000000002</v>
      </c>
      <c r="H431" s="1">
        <v>-2.8519569999999998E-6</v>
      </c>
      <c r="I431">
        <v>369.93040000000002</v>
      </c>
      <c r="J431">
        <v>-352.12529999999998</v>
      </c>
      <c r="K431">
        <v>1.1046659999999999</v>
      </c>
      <c r="L431">
        <v>367.8091</v>
      </c>
      <c r="M431">
        <v>0.99989099999999997</v>
      </c>
      <c r="N431">
        <v>0</v>
      </c>
      <c r="O431">
        <v>2.0770440000000001E-3</v>
      </c>
      <c r="P431">
        <v>0.99732019999999899</v>
      </c>
      <c r="Q431">
        <v>4.7943949999999999E-2</v>
      </c>
      <c r="R431">
        <v>5.5262539999999999E-2</v>
      </c>
      <c r="S431">
        <v>2.9981990000000001</v>
      </c>
      <c r="T431">
        <v>-0.17582239999999999</v>
      </c>
      <c r="U431">
        <v>0.33770749999999999</v>
      </c>
      <c r="V431">
        <v>-5.318879E-2</v>
      </c>
      <c r="W431">
        <v>6.2527189999999996E-2</v>
      </c>
      <c r="X431">
        <v>0.99662489999999904</v>
      </c>
      <c r="Y431">
        <v>-0.109681999999999</v>
      </c>
      <c r="Z431">
        <v>3.0818339999999999E-3</v>
      </c>
      <c r="AA431">
        <v>0.99396189999999995</v>
      </c>
      <c r="AB431">
        <v>34</v>
      </c>
      <c r="AC431">
        <v>18.619699999999899</v>
      </c>
      <c r="AD431">
        <v>-1.10466885195699</v>
      </c>
      <c r="AE431">
        <v>2.1213000000000202</v>
      </c>
      <c r="AF431">
        <v>-2.0754059270893301</v>
      </c>
      <c r="AG431">
        <v>-1.10466885195699</v>
      </c>
      <c r="AH431">
        <v>18.559577238698999</v>
      </c>
      <c r="AI431">
        <v>93.385184996789604</v>
      </c>
      <c r="AJ431">
        <v>96.380535265174402</v>
      </c>
      <c r="AK431">
        <v>18.7078996767119</v>
      </c>
    </row>
    <row r="432" spans="1:37" x14ac:dyDescent="0.2">
      <c r="A432" t="str">
        <f>"20200111153619185"</f>
        <v>20200111153619185</v>
      </c>
      <c r="B432" t="str">
        <f>"1578728179172791"</f>
        <v>1578728179172791</v>
      </c>
      <c r="C432" t="s">
        <v>37</v>
      </c>
      <c r="D432">
        <v>5.7566350000000002</v>
      </c>
      <c r="E432">
        <v>0.47787849999999998</v>
      </c>
      <c r="F432" t="s">
        <v>39</v>
      </c>
      <c r="G432">
        <v>-333.20479999999998</v>
      </c>
      <c r="H432" s="1">
        <v>-2.980089E-6</v>
      </c>
      <c r="I432">
        <v>369.926999999999</v>
      </c>
      <c r="J432">
        <v>-351.87869999999998</v>
      </c>
      <c r="K432">
        <v>1.104657</v>
      </c>
      <c r="L432">
        <v>367.80959999999999</v>
      </c>
      <c r="M432">
        <v>0.99989099999999997</v>
      </c>
      <c r="N432">
        <v>0</v>
      </c>
      <c r="O432">
        <v>2.0772329999999999E-3</v>
      </c>
      <c r="P432">
        <v>0.99741380000000002</v>
      </c>
      <c r="Q432">
        <v>4.578898E-2</v>
      </c>
      <c r="R432">
        <v>5.5402199999999902E-2</v>
      </c>
      <c r="S432">
        <v>2.9978940000000001</v>
      </c>
      <c r="T432">
        <v>-0.1750302</v>
      </c>
      <c r="U432">
        <v>0.33557129999999902</v>
      </c>
      <c r="V432">
        <v>-5.3327989999999999E-2</v>
      </c>
      <c r="W432">
        <v>6.0371210000000002E-2</v>
      </c>
      <c r="X432">
        <v>0.99675040000000004</v>
      </c>
      <c r="Y432">
        <v>-0.10899629999999901</v>
      </c>
      <c r="Z432">
        <v>3.0484549999999998E-3</v>
      </c>
      <c r="AA432">
        <v>0.99403739999999996</v>
      </c>
      <c r="AB432">
        <v>34</v>
      </c>
      <c r="AC432">
        <v>18.6739</v>
      </c>
      <c r="AD432">
        <v>-1.104659980089</v>
      </c>
      <c r="AE432">
        <v>2.1173999999999702</v>
      </c>
      <c r="AF432">
        <v>-2.0714445512670698</v>
      </c>
      <c r="AG432">
        <v>-1.104659980089</v>
      </c>
      <c r="AH432">
        <v>18.613948639687099</v>
      </c>
      <c r="AI432">
        <v>93.375492876427401</v>
      </c>
      <c r="AJ432">
        <v>96.350006634007997</v>
      </c>
      <c r="AK432">
        <v>18.7614029369206</v>
      </c>
    </row>
    <row r="433" spans="1:37" x14ac:dyDescent="0.2">
      <c r="A433" t="str">
        <f>"20200111153619198"</f>
        <v>20200111153619198</v>
      </c>
      <c r="B433" t="str">
        <f>"1578728179193287"</f>
        <v>1578728179193287</v>
      </c>
      <c r="C433" t="s">
        <v>37</v>
      </c>
      <c r="D433">
        <v>4.5985849999999999</v>
      </c>
      <c r="E433">
        <v>0.47883940000000003</v>
      </c>
      <c r="F433" t="s">
        <v>39</v>
      </c>
      <c r="G433">
        <v>-333.65100000000001</v>
      </c>
      <c r="H433" s="1">
        <v>-2.7683190000000001E-6</v>
      </c>
      <c r="I433">
        <v>369.85059999999999</v>
      </c>
      <c r="J433">
        <v>-351.67500000000001</v>
      </c>
      <c r="K433">
        <v>1.104654</v>
      </c>
      <c r="L433">
        <v>367.81009999999998</v>
      </c>
      <c r="M433">
        <v>0.99989110000000003</v>
      </c>
      <c r="N433">
        <v>0</v>
      </c>
      <c r="O433">
        <v>2.0773620000000001E-3</v>
      </c>
      <c r="P433">
        <v>0.99747569999999997</v>
      </c>
      <c r="Q433">
        <v>4.4669140000000003E-2</v>
      </c>
      <c r="R433">
        <v>5.5202210000000002E-2</v>
      </c>
      <c r="S433">
        <v>2.9974669999999999</v>
      </c>
      <c r="T433">
        <v>-0.18165629999999999</v>
      </c>
      <c r="U433">
        <v>0.33563229999999999</v>
      </c>
      <c r="V433">
        <v>-5.3127670000000002E-2</v>
      </c>
      <c r="W433">
        <v>5.9249799999999998E-2</v>
      </c>
      <c r="X433">
        <v>0.99682839999999995</v>
      </c>
      <c r="Y433">
        <v>-0.109017899999999</v>
      </c>
      <c r="Z433">
        <v>3.16474099999999E-3</v>
      </c>
      <c r="AA433">
        <v>0.9940348</v>
      </c>
      <c r="AB433">
        <v>34</v>
      </c>
      <c r="AC433">
        <v>18.024000000000001</v>
      </c>
      <c r="AD433">
        <v>-1.1046567683190001</v>
      </c>
      <c r="AE433">
        <v>2.0405000000000002</v>
      </c>
      <c r="AF433">
        <v>-1.9956479690646201</v>
      </c>
      <c r="AG433">
        <v>-1.1046567683190001</v>
      </c>
      <c r="AH433">
        <v>17.9615862957396</v>
      </c>
      <c r="AI433">
        <v>93.497849357236504</v>
      </c>
      <c r="AJ433">
        <v>96.339927560547807</v>
      </c>
      <c r="AK433">
        <v>18.105840484537801</v>
      </c>
    </row>
    <row r="434" spans="1:37" x14ac:dyDescent="0.2">
      <c r="A434" t="str">
        <f>"20200111153619210"</f>
        <v>20200111153619210</v>
      </c>
      <c r="B434" t="str">
        <f>"1578728179203047"</f>
        <v>1578728179203047</v>
      </c>
      <c r="C434" t="s">
        <v>37</v>
      </c>
      <c r="D434">
        <v>5.4625399999999997</v>
      </c>
      <c r="E434">
        <v>0.47883940000000003</v>
      </c>
      <c r="F434" t="s">
        <v>39</v>
      </c>
      <c r="G434">
        <v>-335.68380000000002</v>
      </c>
      <c r="H434" s="1">
        <v>-1.8451910000000001E-6</v>
      </c>
      <c r="I434">
        <v>369.55309999999997</v>
      </c>
      <c r="J434">
        <v>-351.49130000000002</v>
      </c>
      <c r="K434">
        <v>1.104649</v>
      </c>
      <c r="L434">
        <v>367.81049999999999</v>
      </c>
      <c r="M434">
        <v>0.99989099999999997</v>
      </c>
      <c r="N434">
        <v>0</v>
      </c>
      <c r="O434">
        <v>2.0772539999999902E-3</v>
      </c>
      <c r="P434">
        <v>0.99749650000000001</v>
      </c>
      <c r="Q434">
        <v>4.4027549999999999E-2</v>
      </c>
      <c r="R434">
        <v>5.5338039999999998E-2</v>
      </c>
      <c r="S434">
        <v>2.9987789999999999</v>
      </c>
      <c r="T434">
        <v>-0.2071518</v>
      </c>
      <c r="U434">
        <v>0.32687379999999999</v>
      </c>
      <c r="V434">
        <v>-5.3263730000000002E-2</v>
      </c>
      <c r="W434">
        <v>5.8607180000000002E-2</v>
      </c>
      <c r="X434">
        <v>0.9968591</v>
      </c>
      <c r="Y434">
        <v>-0.10605009999999999</v>
      </c>
      <c r="Z434">
        <v>3.5048639999999999E-3</v>
      </c>
      <c r="AA434">
        <v>0.99435459999999998</v>
      </c>
      <c r="AB434">
        <v>34</v>
      </c>
      <c r="AC434">
        <v>15.807499999999999</v>
      </c>
      <c r="AD434">
        <v>-1.104650845191</v>
      </c>
      <c r="AE434">
        <v>1.7425999999999799</v>
      </c>
      <c r="AF434">
        <v>-1.7015469454051799</v>
      </c>
      <c r="AG434">
        <v>-1.104650845191</v>
      </c>
      <c r="AH434">
        <v>15.7351673474521</v>
      </c>
      <c r="AI434">
        <v>93.992529019809695</v>
      </c>
      <c r="AJ434">
        <v>96.171786709801793</v>
      </c>
      <c r="AK434">
        <v>15.865402829727399</v>
      </c>
    </row>
    <row r="435" spans="1:37" x14ac:dyDescent="0.2">
      <c r="A435" t="str">
        <f>"20200111153619223"</f>
        <v>20200111153619223</v>
      </c>
      <c r="B435" t="str">
        <f>"1578728179212807"</f>
        <v>1578728179212807</v>
      </c>
      <c r="C435" t="s">
        <v>37</v>
      </c>
      <c r="D435">
        <v>4.7134900000000002</v>
      </c>
      <c r="E435">
        <v>0.57006619999999997</v>
      </c>
      <c r="F435" t="s">
        <v>39</v>
      </c>
      <c r="G435">
        <v>-335.64640000000003</v>
      </c>
      <c r="H435" s="1">
        <v>-1.8635010000000001E-6</v>
      </c>
      <c r="I435">
        <v>369.5403</v>
      </c>
      <c r="J435">
        <v>-351.30130000000003</v>
      </c>
      <c r="K435">
        <v>1.1046419999999999</v>
      </c>
      <c r="L435">
        <v>367.8109</v>
      </c>
      <c r="M435">
        <v>0.99989110000000003</v>
      </c>
      <c r="N435">
        <v>0</v>
      </c>
      <c r="O435">
        <v>2.0769079999999902E-3</v>
      </c>
      <c r="P435">
        <v>0.99756049999999996</v>
      </c>
      <c r="Q435">
        <v>4.2985420000000003E-2</v>
      </c>
      <c r="R435">
        <v>5.5005650000000003E-2</v>
      </c>
      <c r="S435">
        <v>2.998596</v>
      </c>
      <c r="T435">
        <v>-0.2090504</v>
      </c>
      <c r="U435">
        <v>0.32736209999999999</v>
      </c>
      <c r="V435">
        <v>-5.2931359999999997E-2</v>
      </c>
      <c r="W435">
        <v>5.7563719999999999E-2</v>
      </c>
      <c r="X435">
        <v>0.99693759999999998</v>
      </c>
      <c r="Y435">
        <v>-0.1062121</v>
      </c>
      <c r="Z435">
        <v>3.5427420000000002E-3</v>
      </c>
      <c r="AA435">
        <v>0.99433719999999903</v>
      </c>
      <c r="AB435">
        <v>34</v>
      </c>
      <c r="AC435">
        <v>15.6548999999999</v>
      </c>
      <c r="AD435">
        <v>-1.1046438635009901</v>
      </c>
      <c r="AE435">
        <v>1.7293999999999901</v>
      </c>
      <c r="AF435">
        <v>-1.6885729354152701</v>
      </c>
      <c r="AG435">
        <v>-1.1046438635009901</v>
      </c>
      <c r="AH435">
        <v>15.5818116187853</v>
      </c>
      <c r="AI435">
        <v>94.031569428592206</v>
      </c>
      <c r="AJ435">
        <v>96.184904907161894</v>
      </c>
      <c r="AK435">
        <v>15.711918086175899</v>
      </c>
    </row>
    <row r="436" spans="1:37" x14ac:dyDescent="0.2">
      <c r="A436" t="str">
        <f>"20200111153619235"</f>
        <v>20200111153619235</v>
      </c>
      <c r="B436" t="str">
        <f>"1578728179223544"</f>
        <v>1578728179223544</v>
      </c>
      <c r="C436" t="s">
        <v>37</v>
      </c>
      <c r="D436">
        <v>5.8470699999999898</v>
      </c>
      <c r="E436">
        <v>0.56726769999999904</v>
      </c>
      <c r="F436" t="s">
        <v>38</v>
      </c>
      <c r="G436">
        <v>-350.43810000000002</v>
      </c>
      <c r="H436">
        <v>0.79906860000000002</v>
      </c>
      <c r="I436">
        <v>367.69319999999999</v>
      </c>
      <c r="J436">
        <v>-351.11239999999998</v>
      </c>
      <c r="K436">
        <v>1.104633</v>
      </c>
      <c r="L436">
        <v>367.81119999999999</v>
      </c>
      <c r="M436">
        <v>0.99989110000000003</v>
      </c>
      <c r="N436">
        <v>0</v>
      </c>
      <c r="O436">
        <v>2.0767400000000001E-3</v>
      </c>
      <c r="P436">
        <v>0.99761</v>
      </c>
      <c r="Q436">
        <v>4.1814299999999999E-2</v>
      </c>
      <c r="R436">
        <v>5.5010009999999998E-2</v>
      </c>
      <c r="S436">
        <v>3.0773619999999999</v>
      </c>
      <c r="T436">
        <v>-1.089275</v>
      </c>
      <c r="U436">
        <v>-0.41864009999999902</v>
      </c>
      <c r="V436">
        <v>-5.2936339999999998E-2</v>
      </c>
      <c r="W436">
        <v>5.6391660000000003E-2</v>
      </c>
      <c r="X436">
        <v>0.99700440000000001</v>
      </c>
      <c r="Y436">
        <v>0.12902439999999901</v>
      </c>
      <c r="Z436">
        <v>-2.277879E-2</v>
      </c>
      <c r="AA436">
        <v>0.99137969999999898</v>
      </c>
      <c r="AB436">
        <v>34</v>
      </c>
      <c r="AC436">
        <v>0.67429999999995904</v>
      </c>
      <c r="AD436">
        <v>-0.30556440000000001</v>
      </c>
      <c r="AE436">
        <v>-0.117999999999994</v>
      </c>
      <c r="AF436">
        <v>9.9562399175604194E-2</v>
      </c>
      <c r="AG436">
        <v>-0.30556440000000001</v>
      </c>
      <c r="AH436">
        <v>0.56206235123689297</v>
      </c>
      <c r="AI436">
        <v>118.16080954403699</v>
      </c>
      <c r="AJ436">
        <v>79.954959382819894</v>
      </c>
      <c r="AK436">
        <v>0.64745375167258601</v>
      </c>
    </row>
    <row r="437" spans="1:37" x14ac:dyDescent="0.2">
      <c r="A437" t="str">
        <f>"20200111153619252"</f>
        <v>20200111153619252</v>
      </c>
      <c r="B437" t="str">
        <f>"1578728179243063"</f>
        <v>1578728179243063</v>
      </c>
      <c r="C437" t="s">
        <v>37</v>
      </c>
      <c r="D437">
        <v>5.7535509999999999</v>
      </c>
      <c r="E437">
        <v>0.56677529999999998</v>
      </c>
      <c r="F437" t="s">
        <v>38</v>
      </c>
      <c r="G437">
        <v>-350.40989999999999</v>
      </c>
      <c r="H437">
        <v>0.86976149999999997</v>
      </c>
      <c r="I437">
        <v>367.72059999999999</v>
      </c>
      <c r="J437">
        <v>-350.84300000000002</v>
      </c>
      <c r="K437">
        <v>1.1046129999999901</v>
      </c>
      <c r="L437">
        <v>367.81189999999998</v>
      </c>
      <c r="M437">
        <v>0.99989119999999998</v>
      </c>
      <c r="N437">
        <v>0</v>
      </c>
      <c r="O437">
        <v>2.0763999999999999E-3</v>
      </c>
      <c r="P437">
        <v>0.99774490000000005</v>
      </c>
      <c r="Q437">
        <v>3.8921860000000003E-2</v>
      </c>
      <c r="R437">
        <v>5.4681609999999999E-2</v>
      </c>
      <c r="S437">
        <v>3.0719599999999998</v>
      </c>
      <c r="T437">
        <v>-1.026934</v>
      </c>
      <c r="U437">
        <v>-0.39514159999999998</v>
      </c>
      <c r="V437">
        <v>-5.2607170000000002E-2</v>
      </c>
      <c r="W437">
        <v>5.3498770000000001E-2</v>
      </c>
      <c r="X437">
        <v>0.99718119999999999</v>
      </c>
      <c r="Y437">
        <v>0.1229436</v>
      </c>
      <c r="Z437">
        <v>-2.0602909999999999E-2</v>
      </c>
      <c r="AA437">
        <v>0.99219979999999997</v>
      </c>
      <c r="AB437">
        <v>34</v>
      </c>
      <c r="AC437">
        <v>0.43310000000002402</v>
      </c>
      <c r="AD437">
        <v>-0.23485149999999899</v>
      </c>
      <c r="AE437">
        <v>-9.1299999999989695E-2</v>
      </c>
      <c r="AF437">
        <v>7.19445278965503E-2</v>
      </c>
      <c r="AG437">
        <v>-0.23485149999999899</v>
      </c>
      <c r="AH437">
        <v>0.33780631041118397</v>
      </c>
      <c r="AI437">
        <v>124.214721295602</v>
      </c>
      <c r="AJ437">
        <v>77.977026420382899</v>
      </c>
      <c r="AK437">
        <v>0.41766535108879299</v>
      </c>
    </row>
    <row r="438" spans="1:37" x14ac:dyDescent="0.2">
      <c r="A438" t="str">
        <f>"20200111153619266"</f>
        <v>20200111153619266</v>
      </c>
      <c r="B438" t="str">
        <f>"1578728179263559"</f>
        <v>1578728179263559</v>
      </c>
      <c r="C438" t="s">
        <v>37</v>
      </c>
      <c r="D438">
        <v>5.6928109999999998</v>
      </c>
      <c r="E438">
        <v>0.56959850000000001</v>
      </c>
      <c r="F438" t="s">
        <v>38</v>
      </c>
      <c r="G438">
        <v>-350.10090000000002</v>
      </c>
      <c r="H438">
        <v>0.87742809999999904</v>
      </c>
      <c r="I438">
        <v>367.71690000000001</v>
      </c>
      <c r="J438">
        <v>-350.64429999999999</v>
      </c>
      <c r="K438">
        <v>1.1045969999999901</v>
      </c>
      <c r="L438">
        <v>367.81229999999999</v>
      </c>
      <c r="M438">
        <v>0.99989119999999998</v>
      </c>
      <c r="N438">
        <v>0</v>
      </c>
      <c r="O438">
        <v>2.0762939999999998E-3</v>
      </c>
      <c r="P438">
        <v>0.99782439999999994</v>
      </c>
      <c r="Q438">
        <v>3.6907219999999998E-2</v>
      </c>
      <c r="R438">
        <v>5.4630819999999997E-2</v>
      </c>
      <c r="S438">
        <v>3.06478899999999</v>
      </c>
      <c r="T438">
        <v>-0.9383222</v>
      </c>
      <c r="U438">
        <v>-0.39132689999999998</v>
      </c>
      <c r="V438">
        <v>-5.2557119999999999E-2</v>
      </c>
      <c r="W438">
        <v>5.1483580000000001E-2</v>
      </c>
      <c r="X438">
        <v>0.99728989999999995</v>
      </c>
      <c r="Y438">
        <v>0.1230716</v>
      </c>
      <c r="Z438">
        <v>-1.8967520000000002E-2</v>
      </c>
      <c r="AA438">
        <v>0.99221649999999995</v>
      </c>
      <c r="AB438">
        <v>34</v>
      </c>
      <c r="AC438">
        <v>0.54339999999996202</v>
      </c>
      <c r="AD438">
        <v>-0.22716889999999901</v>
      </c>
      <c r="AE438">
        <v>-9.5399999999983706E-2</v>
      </c>
      <c r="AF438">
        <v>8.2535086481847195E-2</v>
      </c>
      <c r="AG438">
        <v>-0.22716889999999901</v>
      </c>
      <c r="AH438">
        <v>0.46445631184091102</v>
      </c>
      <c r="AI438">
        <v>115.71373578388101</v>
      </c>
      <c r="AJ438">
        <v>79.923578395516003</v>
      </c>
      <c r="AK438">
        <v>0.52358133583679001</v>
      </c>
    </row>
    <row r="439" spans="1:37" x14ac:dyDescent="0.2">
      <c r="A439" t="str">
        <f>"20200111153619280"</f>
        <v>20200111153619280</v>
      </c>
      <c r="B439" t="str">
        <f>"1578728179273320"</f>
        <v>1578728179273320</v>
      </c>
      <c r="C439" t="s">
        <v>37</v>
      </c>
      <c r="D439">
        <v>5.7537589999999996</v>
      </c>
      <c r="E439">
        <v>0.56809679999999996</v>
      </c>
      <c r="F439" t="s">
        <v>38</v>
      </c>
      <c r="G439">
        <v>-349.72019999999998</v>
      </c>
      <c r="H439">
        <v>1.034856</v>
      </c>
      <c r="I439">
        <v>367.69060000000002</v>
      </c>
      <c r="J439">
        <v>-350.43079999999998</v>
      </c>
      <c r="K439">
        <v>1.1045860000000001</v>
      </c>
      <c r="L439">
        <v>367.81270000000001</v>
      </c>
      <c r="M439">
        <v>0.99989130000000004</v>
      </c>
      <c r="N439">
        <v>0</v>
      </c>
      <c r="O439">
        <v>2.0759509999999999E-3</v>
      </c>
      <c r="P439">
        <v>0.99788559999999904</v>
      </c>
      <c r="Q439">
        <v>3.4847839999999998E-2</v>
      </c>
      <c r="R439">
        <v>5.4866850000000002E-2</v>
      </c>
      <c r="S439">
        <v>3.036896</v>
      </c>
      <c r="T439">
        <v>-0.22942480000000001</v>
      </c>
      <c r="U439">
        <v>-0.39877319999999999</v>
      </c>
      <c r="V439">
        <v>-5.2793260000000002E-2</v>
      </c>
      <c r="W439">
        <v>4.942245E-2</v>
      </c>
      <c r="X439">
        <v>0.99738169999999904</v>
      </c>
      <c r="Y439">
        <v>0.13187479999999999</v>
      </c>
      <c r="Z439">
        <v>-5.109003E-3</v>
      </c>
      <c r="AA439">
        <v>0.99125319999999995</v>
      </c>
      <c r="AB439">
        <v>34</v>
      </c>
      <c r="AC439">
        <v>0.71059999999999901</v>
      </c>
      <c r="AD439">
        <v>-6.973E-2</v>
      </c>
      <c r="AE439">
        <v>-0.122099999999989</v>
      </c>
      <c r="AF439">
        <v>0.122429973709104</v>
      </c>
      <c r="AG439">
        <v>-6.973E-2</v>
      </c>
      <c r="AH439">
        <v>0.70376265527351101</v>
      </c>
      <c r="AI439">
        <v>95.575298089739107</v>
      </c>
      <c r="AJ439">
        <v>80.131311222518704</v>
      </c>
      <c r="AK439">
        <v>0.71772783582639099</v>
      </c>
    </row>
    <row r="440" spans="1:37" x14ac:dyDescent="0.2">
      <c r="A440" t="str">
        <f>"20200111153619291"</f>
        <v>20200111153619291</v>
      </c>
      <c r="B440" t="str">
        <f>"1578728179283082"</f>
        <v>1578728179283082</v>
      </c>
      <c r="C440" t="s">
        <v>37</v>
      </c>
      <c r="D440">
        <v>5.7181309999999996</v>
      </c>
      <c r="E440">
        <v>0.56735380000000002</v>
      </c>
      <c r="F440" t="s">
        <v>38</v>
      </c>
      <c r="G440">
        <v>-349.41969999999998</v>
      </c>
      <c r="H440">
        <v>1.02532</v>
      </c>
      <c r="I440">
        <v>367.68400000000003</v>
      </c>
      <c r="J440">
        <v>-350.2405</v>
      </c>
      <c r="K440">
        <v>1.1045739999999999</v>
      </c>
      <c r="L440">
        <v>367.81310000000002</v>
      </c>
      <c r="M440">
        <v>0.99989119999999998</v>
      </c>
      <c r="N440">
        <v>0</v>
      </c>
      <c r="O440">
        <v>2.0761439999999998E-3</v>
      </c>
      <c r="P440">
        <v>0.99793949999999998</v>
      </c>
      <c r="Q440">
        <v>3.3107909999999997E-2</v>
      </c>
      <c r="R440">
        <v>5.4959750000000002E-2</v>
      </c>
      <c r="S440">
        <v>3.0358890000000001</v>
      </c>
      <c r="T440">
        <v>-0.23817559999999999</v>
      </c>
      <c r="U440">
        <v>-0.38610840000000002</v>
      </c>
      <c r="V440">
        <v>-5.2885729999999999E-2</v>
      </c>
      <c r="W440">
        <v>4.7681189999999998E-2</v>
      </c>
      <c r="X440">
        <v>0.99746159999999995</v>
      </c>
      <c r="Y440">
        <v>0.12783169999999999</v>
      </c>
      <c r="Z440">
        <v>-5.148733E-3</v>
      </c>
      <c r="AA440">
        <v>0.99178250000000001</v>
      </c>
      <c r="AB440">
        <v>34</v>
      </c>
      <c r="AC440">
        <v>0.82080000000001896</v>
      </c>
      <c r="AD440">
        <v>-7.9253999999999894E-2</v>
      </c>
      <c r="AE440">
        <v>-0.129099999999994</v>
      </c>
      <c r="AF440">
        <v>0.12962465401635401</v>
      </c>
      <c r="AG440">
        <v>-7.9253999999999894E-2</v>
      </c>
      <c r="AH440">
        <v>0.81313214919505505</v>
      </c>
      <c r="AI440">
        <v>95.497908403721098</v>
      </c>
      <c r="AJ440">
        <v>80.942462938077298</v>
      </c>
      <c r="AK440">
        <v>0.82720471438418997</v>
      </c>
    </row>
    <row r="441" spans="1:37" x14ac:dyDescent="0.2">
      <c r="A441" t="str">
        <f>"20200111153619309"</f>
        <v>20200111153619309</v>
      </c>
      <c r="B441" t="str">
        <f>"1578728179303575"</f>
        <v>1578728179303575</v>
      </c>
      <c r="C441" t="s">
        <v>37</v>
      </c>
      <c r="D441">
        <v>5.7724589999999996</v>
      </c>
      <c r="E441">
        <v>0.5634536</v>
      </c>
      <c r="F441" t="s">
        <v>38</v>
      </c>
      <c r="G441">
        <v>-349.41340000000002</v>
      </c>
      <c r="H441">
        <v>1.039096</v>
      </c>
      <c r="I441">
        <v>367.70940000000002</v>
      </c>
      <c r="J441">
        <v>-349.98669999999998</v>
      </c>
      <c r="K441">
        <v>1.1045529999999999</v>
      </c>
      <c r="L441">
        <v>367.81369999999998</v>
      </c>
      <c r="M441">
        <v>0.99989130000000004</v>
      </c>
      <c r="N441">
        <v>0</v>
      </c>
      <c r="O441">
        <v>2.0761629999999998E-3</v>
      </c>
      <c r="P441">
        <v>0.99799680000000002</v>
      </c>
      <c r="Q441">
        <v>2.978712E-2</v>
      </c>
      <c r="R441">
        <v>5.5813809999999998E-2</v>
      </c>
      <c r="S441">
        <v>3.0350950000000001</v>
      </c>
      <c r="T441">
        <v>-0.24048849999999999</v>
      </c>
      <c r="U441">
        <v>-0.38012699999999999</v>
      </c>
      <c r="V441">
        <v>-5.3740080000000003E-2</v>
      </c>
      <c r="W441">
        <v>4.4359259999999998E-2</v>
      </c>
      <c r="X441">
        <v>0.99756919999999905</v>
      </c>
      <c r="Y441">
        <v>0.12593789999999999</v>
      </c>
      <c r="Z441">
        <v>-5.125938E-3</v>
      </c>
      <c r="AA441">
        <v>0.99202489999999999</v>
      </c>
      <c r="AB441">
        <v>34</v>
      </c>
      <c r="AC441">
        <v>0.57329999999995995</v>
      </c>
      <c r="AD441">
        <v>-6.5457000000000098E-2</v>
      </c>
      <c r="AE441">
        <v>-0.104299999999966</v>
      </c>
      <c r="AF441">
        <v>0.104175629203693</v>
      </c>
      <c r="AG441">
        <v>-6.5457000000000098E-2</v>
      </c>
      <c r="AH441">
        <v>0.56594088922493901</v>
      </c>
      <c r="AI441">
        <v>96.489468693634393</v>
      </c>
      <c r="AJ441">
        <v>79.570029190090494</v>
      </c>
      <c r="AK441">
        <v>0.57915996984054396</v>
      </c>
    </row>
    <row r="442" spans="1:37" x14ac:dyDescent="0.2">
      <c r="A442" t="str">
        <f>"20200111153619322"</f>
        <v>20200111153619322</v>
      </c>
      <c r="B442" t="str">
        <f>"1578728179313335"</f>
        <v>1578728179313335</v>
      </c>
      <c r="C442" t="s">
        <v>37</v>
      </c>
      <c r="D442">
        <v>5.7852639999999997</v>
      </c>
      <c r="E442">
        <v>0.56230040000000003</v>
      </c>
      <c r="F442" t="s">
        <v>38</v>
      </c>
      <c r="G442">
        <v>-349.1112</v>
      </c>
      <c r="H442">
        <v>1.0342799999999901</v>
      </c>
      <c r="I442">
        <v>367.7133</v>
      </c>
      <c r="J442">
        <v>-349.7869</v>
      </c>
      <c r="K442">
        <v>1.10454599999999</v>
      </c>
      <c r="L442">
        <v>367.81420000000003</v>
      </c>
      <c r="M442">
        <v>0.99989130000000004</v>
      </c>
      <c r="N442">
        <v>0</v>
      </c>
      <c r="O442">
        <v>2.0760000000000002E-3</v>
      </c>
      <c r="P442">
        <v>0.9980078</v>
      </c>
      <c r="Q442">
        <v>2.8428249999999999E-2</v>
      </c>
      <c r="R442">
        <v>5.6324109999999997E-2</v>
      </c>
      <c r="S442">
        <v>3.032654</v>
      </c>
      <c r="T442">
        <v>-0.24374209999999999</v>
      </c>
      <c r="U442">
        <v>-0.3469238</v>
      </c>
      <c r="V442">
        <v>-5.4250380000000001E-2</v>
      </c>
      <c r="W442">
        <v>4.2998229999999998E-2</v>
      </c>
      <c r="X442">
        <v>0.99760119999999897</v>
      </c>
      <c r="Y442">
        <v>0.1153436</v>
      </c>
      <c r="Z442">
        <v>-4.7788679999999899E-3</v>
      </c>
      <c r="AA442">
        <v>0.99331409999999998</v>
      </c>
      <c r="AB442">
        <v>34</v>
      </c>
      <c r="AC442">
        <v>0.67570000000000596</v>
      </c>
      <c r="AD442">
        <v>-7.0265999999999898E-2</v>
      </c>
      <c r="AE442">
        <v>-0.100900000000024</v>
      </c>
      <c r="AF442">
        <v>0.10123185131144399</v>
      </c>
      <c r="AG442">
        <v>-7.0265999999999898E-2</v>
      </c>
      <c r="AH442">
        <v>0.66841849981547696</v>
      </c>
      <c r="AI442">
        <v>95.933874093008598</v>
      </c>
      <c r="AJ442">
        <v>81.388011919518405</v>
      </c>
      <c r="AK442">
        <v>0.67968263871568502</v>
      </c>
    </row>
    <row r="443" spans="1:37" x14ac:dyDescent="0.2">
      <c r="A443" t="str">
        <f>"20200111153619334"</f>
        <v>20200111153619334</v>
      </c>
      <c r="B443" t="str">
        <f>"1578728179323095"</f>
        <v>1578728179323095</v>
      </c>
      <c r="C443" t="s">
        <v>37</v>
      </c>
      <c r="D443">
        <v>5.7971510000000004</v>
      </c>
      <c r="E443">
        <v>0.56134790000000001</v>
      </c>
      <c r="F443" t="s">
        <v>38</v>
      </c>
      <c r="G443">
        <v>-348.81139999999999</v>
      </c>
      <c r="H443">
        <v>1.0249889999999999</v>
      </c>
      <c r="I443">
        <v>367.70580000000001</v>
      </c>
      <c r="J443">
        <v>-349.59629999999999</v>
      </c>
      <c r="K443">
        <v>1.1045389999999999</v>
      </c>
      <c r="L443">
        <v>367.81459999999998</v>
      </c>
      <c r="M443">
        <v>0.99989130000000004</v>
      </c>
      <c r="N443">
        <v>0</v>
      </c>
      <c r="O443">
        <v>2.076194E-3</v>
      </c>
      <c r="P443">
        <v>0.99799689999999996</v>
      </c>
      <c r="Q443">
        <v>2.748132E-2</v>
      </c>
      <c r="R443">
        <v>5.6984050000000001E-2</v>
      </c>
      <c r="S443">
        <v>3.0320130000000001</v>
      </c>
      <c r="T443">
        <v>-0.2474527</v>
      </c>
      <c r="U443">
        <v>-0.3364258</v>
      </c>
      <c r="V443">
        <v>-5.4909989999999999E-2</v>
      </c>
      <c r="W443">
        <v>4.2049240000000002E-2</v>
      </c>
      <c r="X443">
        <v>0.99760550000000003</v>
      </c>
      <c r="Y443">
        <v>0.11197</v>
      </c>
      <c r="Z443">
        <v>-4.7163270000000002E-3</v>
      </c>
      <c r="AA443">
        <v>0.99370040000000004</v>
      </c>
      <c r="AB443">
        <v>34</v>
      </c>
      <c r="AC443">
        <v>0.78489999999999305</v>
      </c>
      <c r="AD443">
        <v>-7.9549999999999996E-2</v>
      </c>
      <c r="AE443">
        <v>-0.108799999999973</v>
      </c>
      <c r="AF443">
        <v>0.109327709275581</v>
      </c>
      <c r="AG443">
        <v>-7.9549999999999996E-2</v>
      </c>
      <c r="AH443">
        <v>0.77684315661582504</v>
      </c>
      <c r="AI443">
        <v>95.790136136489707</v>
      </c>
      <c r="AJ443">
        <v>81.989185832476096</v>
      </c>
      <c r="AK443">
        <v>0.78852142678324499</v>
      </c>
    </row>
    <row r="444" spans="1:37" x14ac:dyDescent="0.2">
      <c r="A444" t="str">
        <f>"20200111153619353"</f>
        <v>20200111153619353</v>
      </c>
      <c r="B444" t="str">
        <f>"1578728179343591"</f>
        <v>1578728179343591</v>
      </c>
      <c r="C444" t="s">
        <v>37</v>
      </c>
      <c r="D444">
        <v>5.7916530000000002</v>
      </c>
      <c r="E444">
        <v>0.56003619999999898</v>
      </c>
      <c r="F444" t="s">
        <v>38</v>
      </c>
      <c r="G444">
        <v>-348.80430000000001</v>
      </c>
      <c r="H444">
        <v>1.039779</v>
      </c>
      <c r="I444">
        <v>367.72899999999998</v>
      </c>
      <c r="J444">
        <v>-349.31830000000002</v>
      </c>
      <c r="K444">
        <v>1.10453</v>
      </c>
      <c r="L444">
        <v>367.8152</v>
      </c>
      <c r="M444">
        <v>0.99989150000000004</v>
      </c>
      <c r="N444">
        <v>0</v>
      </c>
      <c r="O444">
        <v>2.0762160000000001E-3</v>
      </c>
      <c r="P444">
        <v>0.99791289999999999</v>
      </c>
      <c r="Q444">
        <v>2.5677249999999999E-2</v>
      </c>
      <c r="R444">
        <v>5.9252199999999901E-2</v>
      </c>
      <c r="S444">
        <v>3.0315249999999998</v>
      </c>
      <c r="T444">
        <v>-0.2480869</v>
      </c>
      <c r="U444">
        <v>-0.3269958</v>
      </c>
      <c r="V444">
        <v>-5.7178899999999998E-2</v>
      </c>
      <c r="W444">
        <v>4.024117E-2</v>
      </c>
      <c r="X444">
        <v>0.99755260000000001</v>
      </c>
      <c r="Y444">
        <v>0.10894039999999899</v>
      </c>
      <c r="Z444">
        <v>-4.6065250000000002E-3</v>
      </c>
      <c r="AA444">
        <v>0.99403759999999997</v>
      </c>
      <c r="AB444">
        <v>34</v>
      </c>
      <c r="AC444">
        <v>0.51400000000001</v>
      </c>
      <c r="AD444">
        <v>-6.4751000000000003E-2</v>
      </c>
      <c r="AE444">
        <v>-8.6199999999962501E-2</v>
      </c>
      <c r="AF444">
        <v>8.5940566421320003E-2</v>
      </c>
      <c r="AG444">
        <v>-6.4751000000000003E-2</v>
      </c>
      <c r="AH444">
        <v>0.506009391221662</v>
      </c>
      <c r="AI444">
        <v>97.190302164973303</v>
      </c>
      <c r="AJ444">
        <v>80.360872298051007</v>
      </c>
      <c r="AK444">
        <v>0.51732386080900405</v>
      </c>
    </row>
    <row r="445" spans="1:37" x14ac:dyDescent="0.2">
      <c r="A445" t="str">
        <f>"20200111153619366"</f>
        <v>20200111153619366</v>
      </c>
      <c r="B445" t="str">
        <f>"1578728179363111"</f>
        <v>1578728179363111</v>
      </c>
      <c r="C445" t="s">
        <v>37</v>
      </c>
      <c r="D445">
        <v>5.8142559999999897</v>
      </c>
      <c r="E445">
        <v>0.55928650000000002</v>
      </c>
      <c r="F445" t="s">
        <v>38</v>
      </c>
      <c r="G445">
        <v>-348.50150000000002</v>
      </c>
      <c r="H445">
        <v>1.037593</v>
      </c>
      <c r="I445">
        <v>367.73110000000003</v>
      </c>
      <c r="J445">
        <v>-349.13119999999998</v>
      </c>
      <c r="K445">
        <v>1.1045209999999901</v>
      </c>
      <c r="L445">
        <v>367.81560000000002</v>
      </c>
      <c r="M445">
        <v>0.99989139999999999</v>
      </c>
      <c r="N445">
        <v>0</v>
      </c>
      <c r="O445">
        <v>2.076231E-3</v>
      </c>
      <c r="P445">
        <v>0.99784819999999996</v>
      </c>
      <c r="Q445">
        <v>2.5086810000000001E-2</v>
      </c>
      <c r="R445">
        <v>6.0579910000000001E-2</v>
      </c>
      <c r="S445">
        <v>3.031158</v>
      </c>
      <c r="T445">
        <v>-0.248667999999999</v>
      </c>
      <c r="U445">
        <v>-0.31066890000000003</v>
      </c>
      <c r="V445">
        <v>-5.8506399999999903E-2</v>
      </c>
      <c r="W445">
        <v>3.9647969999999998E-2</v>
      </c>
      <c r="X445">
        <v>0.99749940000000004</v>
      </c>
      <c r="Y445">
        <v>0.103671499999999</v>
      </c>
      <c r="Z445">
        <v>-4.4039229999999997E-3</v>
      </c>
      <c r="AA445">
        <v>0.99460179999999998</v>
      </c>
      <c r="AB445">
        <v>34</v>
      </c>
      <c r="AC445">
        <v>0.62969999999995696</v>
      </c>
      <c r="AD445">
        <v>-6.6927999999999793E-2</v>
      </c>
      <c r="AE445">
        <v>-8.4499999999991304E-2</v>
      </c>
      <c r="AF445">
        <v>8.4865623468696597E-2</v>
      </c>
      <c r="AG445">
        <v>-6.6927999999999793E-2</v>
      </c>
      <c r="AH445">
        <v>0.62261416217941001</v>
      </c>
      <c r="AI445">
        <v>96.079667634889802</v>
      </c>
      <c r="AJ445">
        <v>82.238114214304602</v>
      </c>
      <c r="AK445">
        <v>0.63192557012444095</v>
      </c>
    </row>
    <row r="446" spans="1:37" x14ac:dyDescent="0.2">
      <c r="A446" t="str">
        <f>"20200111153619377"</f>
        <v>20200111153619377</v>
      </c>
      <c r="B446" t="str">
        <f>"1578728179372872"</f>
        <v>1578728179372872</v>
      </c>
      <c r="C446" t="s">
        <v>37</v>
      </c>
      <c r="D446">
        <v>5.8245589999999998</v>
      </c>
      <c r="E446">
        <v>0.55904670000000001</v>
      </c>
      <c r="F446" t="s">
        <v>38</v>
      </c>
      <c r="G446">
        <v>-348.202</v>
      </c>
      <c r="H446">
        <v>1.029118</v>
      </c>
      <c r="I446">
        <v>367.72320000000002</v>
      </c>
      <c r="J446">
        <v>-348.950999999999</v>
      </c>
      <c r="K446">
        <v>1.1045160000000001</v>
      </c>
      <c r="L446">
        <v>367.81599999999997</v>
      </c>
      <c r="M446">
        <v>0.99989139999999999</v>
      </c>
      <c r="N446">
        <v>0</v>
      </c>
      <c r="O446">
        <v>2.0762459999999999E-3</v>
      </c>
      <c r="P446">
        <v>0.99773679999999998</v>
      </c>
      <c r="Q446">
        <v>2.4448230000000001E-2</v>
      </c>
      <c r="R446">
        <v>6.2638269999999996E-2</v>
      </c>
      <c r="S446">
        <v>3.030945</v>
      </c>
      <c r="T446">
        <v>-0.24599599999999999</v>
      </c>
      <c r="U446">
        <v>-0.30105589999999999</v>
      </c>
      <c r="V446">
        <v>-6.0564970000000003E-2</v>
      </c>
      <c r="W446">
        <v>3.9005699999999997E-2</v>
      </c>
      <c r="X446">
        <v>0.99740180000000001</v>
      </c>
      <c r="Y446">
        <v>0.10057289999999899</v>
      </c>
      <c r="Z446">
        <v>-4.2325169999999999E-3</v>
      </c>
      <c r="AA446">
        <v>0.99492069999999999</v>
      </c>
      <c r="AB446">
        <v>34</v>
      </c>
      <c r="AC446">
        <v>0.74899999999996603</v>
      </c>
      <c r="AD446">
        <v>-7.5398000000000007E-2</v>
      </c>
      <c r="AE446">
        <v>-9.2799999999954197E-2</v>
      </c>
      <c r="AF446">
        <v>9.3422695190189295E-2</v>
      </c>
      <c r="AG446">
        <v>-7.5398000000000007E-2</v>
      </c>
      <c r="AH446">
        <v>0.74140629516064005</v>
      </c>
      <c r="AI446">
        <v>95.761534065880596</v>
      </c>
      <c r="AJ446">
        <v>82.818157757231305</v>
      </c>
      <c r="AK446">
        <v>0.75106321497223205</v>
      </c>
    </row>
    <row r="447" spans="1:37" x14ac:dyDescent="0.2">
      <c r="A447" t="str">
        <f>"20200111153619389"</f>
        <v>20200111153619389</v>
      </c>
      <c r="B447" t="str">
        <f>"1578728179383607"</f>
        <v>1578728179383607</v>
      </c>
      <c r="C447" t="s">
        <v>37</v>
      </c>
      <c r="D447">
        <v>5.8029320000000002</v>
      </c>
      <c r="E447">
        <v>0.55872949999999999</v>
      </c>
      <c r="F447" t="s">
        <v>38</v>
      </c>
      <c r="G447">
        <v>-348.19510000000002</v>
      </c>
      <c r="H447">
        <v>1.0432889999999999</v>
      </c>
      <c r="I447">
        <v>367.74279999999999</v>
      </c>
      <c r="J447">
        <v>-348.76920000000001</v>
      </c>
      <c r="K447">
        <v>1.1045119999999999</v>
      </c>
      <c r="L447">
        <v>367.81639999999999</v>
      </c>
      <c r="M447">
        <v>0.99989150000000004</v>
      </c>
      <c r="N447">
        <v>0</v>
      </c>
      <c r="O447">
        <v>2.0762609999999998E-3</v>
      </c>
      <c r="P447">
        <v>0.99762479999999998</v>
      </c>
      <c r="Q447">
        <v>2.388295E-2</v>
      </c>
      <c r="R447">
        <v>6.460987E-2</v>
      </c>
      <c r="S447">
        <v>3.0311889999999999</v>
      </c>
      <c r="T447">
        <v>-0.24558849999999999</v>
      </c>
      <c r="U447">
        <v>-0.29290769999999999</v>
      </c>
      <c r="V447">
        <v>-6.2536629999999996E-2</v>
      </c>
      <c r="W447">
        <v>3.8437260000000001E-2</v>
      </c>
      <c r="X447">
        <v>0.99730219999999903</v>
      </c>
      <c r="Y447">
        <v>9.7925250000000005E-2</v>
      </c>
      <c r="Z447">
        <v>-4.1189080000000001E-3</v>
      </c>
      <c r="AA447">
        <v>0.99518530000000005</v>
      </c>
      <c r="AB447">
        <v>34</v>
      </c>
      <c r="AC447">
        <v>0.57409999999998695</v>
      </c>
      <c r="AD447">
        <v>-6.1223000000000201E-2</v>
      </c>
      <c r="AE447">
        <v>-7.3599999999999E-2</v>
      </c>
      <c r="AF447">
        <v>7.3964394214379794E-2</v>
      </c>
      <c r="AG447">
        <v>-6.1223000000000201E-2</v>
      </c>
      <c r="AH447">
        <v>0.56759535651615001</v>
      </c>
      <c r="AI447">
        <v>96.105116333155095</v>
      </c>
      <c r="AJ447">
        <v>82.575518498704994</v>
      </c>
      <c r="AK447">
        <v>0.57565916659008898</v>
      </c>
    </row>
    <row r="448" spans="1:37" x14ac:dyDescent="0.2">
      <c r="A448" t="str">
        <f>"20200111153619402"</f>
        <v>20200111153619402</v>
      </c>
      <c r="B448" t="str">
        <f>"1578728179393369"</f>
        <v>1578728179393369</v>
      </c>
      <c r="C448" t="s">
        <v>37</v>
      </c>
      <c r="D448">
        <v>5.8536729999999997</v>
      </c>
      <c r="E448">
        <v>0.55846409999999902</v>
      </c>
      <c r="F448" t="s">
        <v>38</v>
      </c>
      <c r="G448">
        <v>-347.8963</v>
      </c>
      <c r="H448">
        <v>1.034381</v>
      </c>
      <c r="I448">
        <v>367.73399999999998</v>
      </c>
      <c r="J448">
        <v>-348.57229999999998</v>
      </c>
      <c r="K448">
        <v>1.104508</v>
      </c>
      <c r="L448">
        <v>367.81689999999998</v>
      </c>
      <c r="M448">
        <v>0.99989159999999899</v>
      </c>
      <c r="N448">
        <v>0</v>
      </c>
      <c r="O448">
        <v>2.0760979999999902E-3</v>
      </c>
      <c r="P448">
        <v>0.99752750000000001</v>
      </c>
      <c r="Q448">
        <v>2.3159820000000001E-2</v>
      </c>
      <c r="R448">
        <v>6.6353019999999999E-2</v>
      </c>
      <c r="S448">
        <v>3.0314329999999998</v>
      </c>
      <c r="T448">
        <v>-0.2437522</v>
      </c>
      <c r="U448">
        <v>-0.28494259999999999</v>
      </c>
      <c r="V448">
        <v>-6.4280260000000006E-2</v>
      </c>
      <c r="W448">
        <v>3.7710609999999999E-2</v>
      </c>
      <c r="X448">
        <v>0.99721909999999903</v>
      </c>
      <c r="Y448">
        <v>9.5338850000000003E-2</v>
      </c>
      <c r="Z448">
        <v>-3.98478799999999E-3</v>
      </c>
      <c r="AA448">
        <v>0.99543689999999996</v>
      </c>
      <c r="AB448">
        <v>34</v>
      </c>
      <c r="AC448">
        <v>0.67599999999998694</v>
      </c>
      <c r="AD448">
        <v>-7.0126999999999995E-2</v>
      </c>
      <c r="AE448">
        <v>-8.2899999999938204E-2</v>
      </c>
      <c r="AF448">
        <v>8.3418990994734807E-2</v>
      </c>
      <c r="AG448">
        <v>-7.0126999999999995E-2</v>
      </c>
      <c r="AH448">
        <v>0.66873636455711205</v>
      </c>
      <c r="AI448">
        <v>95.940730470912698</v>
      </c>
      <c r="AJ448">
        <v>82.889582923691506</v>
      </c>
      <c r="AK448">
        <v>0.67755800450488501</v>
      </c>
    </row>
    <row r="449" spans="1:37" x14ac:dyDescent="0.2">
      <c r="A449" t="str">
        <f>"20200111153619413"</f>
        <v>20200111153619413</v>
      </c>
      <c r="B449" t="str">
        <f>"1578728179403129"</f>
        <v>1578728179403129</v>
      </c>
      <c r="C449" t="s">
        <v>37</v>
      </c>
      <c r="D449">
        <v>5.8472939999999998</v>
      </c>
      <c r="E449">
        <v>0.55835679999999999</v>
      </c>
      <c r="F449" t="s">
        <v>38</v>
      </c>
      <c r="G449">
        <v>-347.59710000000001</v>
      </c>
      <c r="H449">
        <v>1.026726</v>
      </c>
      <c r="I449">
        <v>367.72730000000001</v>
      </c>
      <c r="J449">
        <v>-348.3904</v>
      </c>
      <c r="K449">
        <v>1.104506</v>
      </c>
      <c r="L449">
        <v>367.81729999999999</v>
      </c>
      <c r="M449">
        <v>0.99989150000000004</v>
      </c>
      <c r="N449">
        <v>0</v>
      </c>
      <c r="O449">
        <v>2.0762910000000001E-3</v>
      </c>
      <c r="P449">
        <v>0.99739829999999996</v>
      </c>
      <c r="Q449">
        <v>2.3018239999999999E-2</v>
      </c>
      <c r="R449">
        <v>6.8316150000000006E-2</v>
      </c>
      <c r="S449">
        <v>3.031555</v>
      </c>
      <c r="T449">
        <v>-0.24194779999999999</v>
      </c>
      <c r="U449">
        <v>-0.27792359999999999</v>
      </c>
      <c r="V449">
        <v>-6.6243419999999997E-2</v>
      </c>
      <c r="W449">
        <v>3.756528E-2</v>
      </c>
      <c r="X449">
        <v>0.99709609999999904</v>
      </c>
      <c r="Y449">
        <v>9.3061699999999997E-2</v>
      </c>
      <c r="Z449">
        <v>-3.8651250000000001E-3</v>
      </c>
      <c r="AA449">
        <v>0.99565289999999995</v>
      </c>
      <c r="AB449">
        <v>34</v>
      </c>
      <c r="AC449">
        <v>0.79329999999998702</v>
      </c>
      <c r="AD449">
        <v>-7.7779999999999905E-2</v>
      </c>
      <c r="AE449">
        <v>-8.9999999999974906E-2</v>
      </c>
      <c r="AF449">
        <v>9.0785468062809002E-2</v>
      </c>
      <c r="AG449">
        <v>-7.7779999999999905E-2</v>
      </c>
      <c r="AH449">
        <v>0.78565484131468699</v>
      </c>
      <c r="AI449">
        <v>95.616737777045003</v>
      </c>
      <c r="AJ449">
        <v>83.408484600124197</v>
      </c>
      <c r="AK449">
        <v>0.79469821900680604</v>
      </c>
    </row>
    <row r="450" spans="1:37" x14ac:dyDescent="0.2">
      <c r="A450" t="str">
        <f>"20200111153619428"</f>
        <v>20200111153619428</v>
      </c>
      <c r="B450" t="str">
        <f>"1578728179423624"</f>
        <v>1578728179423624</v>
      </c>
      <c r="C450" t="s">
        <v>37</v>
      </c>
      <c r="D450">
        <v>5.8624790000000004</v>
      </c>
      <c r="E450">
        <v>0.558249199999999</v>
      </c>
      <c r="F450" t="s">
        <v>38</v>
      </c>
      <c r="G450">
        <v>-347.59</v>
      </c>
      <c r="H450">
        <v>1.041447</v>
      </c>
      <c r="I450">
        <v>367.74540000000002</v>
      </c>
      <c r="J450">
        <v>-348.18979999999999</v>
      </c>
      <c r="K450">
        <v>1.104503</v>
      </c>
      <c r="L450">
        <v>367.8177</v>
      </c>
      <c r="M450">
        <v>0.99989159999999899</v>
      </c>
      <c r="N450">
        <v>0</v>
      </c>
      <c r="O450">
        <v>2.076128E-3</v>
      </c>
      <c r="P450">
        <v>0.99727549999999898</v>
      </c>
      <c r="Q450">
        <v>2.2984669999999999E-2</v>
      </c>
      <c r="R450">
        <v>7.0097329999999999E-2</v>
      </c>
      <c r="S450">
        <v>3.031952</v>
      </c>
      <c r="T450">
        <v>-0.2390322</v>
      </c>
      <c r="U450">
        <v>-0.271698</v>
      </c>
      <c r="V450">
        <v>-6.8025390000000005E-2</v>
      </c>
      <c r="W450">
        <v>3.7527640000000001E-2</v>
      </c>
      <c r="X450">
        <v>0.99697760000000002</v>
      </c>
      <c r="Y450">
        <v>9.1035160000000004E-2</v>
      </c>
      <c r="Z450">
        <v>-3.7389319999999999E-3</v>
      </c>
      <c r="AA450">
        <v>0.99584069999999902</v>
      </c>
      <c r="AB450">
        <v>34</v>
      </c>
      <c r="AC450">
        <v>0.59980000000001599</v>
      </c>
      <c r="AD450">
        <v>-6.3056000000000001E-2</v>
      </c>
      <c r="AE450">
        <v>-7.2299999999984196E-2</v>
      </c>
      <c r="AF450">
        <v>7.2752692697367199E-2</v>
      </c>
      <c r="AG450">
        <v>-6.3056000000000001E-2</v>
      </c>
      <c r="AH450">
        <v>0.59318659567117205</v>
      </c>
      <c r="AI450">
        <v>96.022985165760502</v>
      </c>
      <c r="AJ450">
        <v>83.007751758927</v>
      </c>
      <c r="AK450">
        <v>0.60094870888843099</v>
      </c>
    </row>
    <row r="451" spans="1:37" x14ac:dyDescent="0.2">
      <c r="A451" t="str">
        <f>"20200111153619444"</f>
        <v>20200111153619444</v>
      </c>
      <c r="B451" t="str">
        <f>"1578728179433383"</f>
        <v>1578728179433383</v>
      </c>
      <c r="C451" t="s">
        <v>37</v>
      </c>
      <c r="D451">
        <v>5.7500679999999997</v>
      </c>
      <c r="E451">
        <v>0.55833659999999996</v>
      </c>
      <c r="F451" t="s">
        <v>38</v>
      </c>
      <c r="G451">
        <v>-347.29090000000002</v>
      </c>
      <c r="H451">
        <v>1.034438</v>
      </c>
      <c r="I451">
        <v>367.73849999999999</v>
      </c>
      <c r="J451">
        <v>-347.94670000000002</v>
      </c>
      <c r="K451">
        <v>1.1045069999999999</v>
      </c>
      <c r="L451">
        <v>367.81830000000002</v>
      </c>
      <c r="M451">
        <v>0.99989159999999899</v>
      </c>
      <c r="N451">
        <v>0</v>
      </c>
      <c r="O451">
        <v>2.075969E-3</v>
      </c>
      <c r="P451">
        <v>0.99700489999999997</v>
      </c>
      <c r="Q451">
        <v>2.325841E-2</v>
      </c>
      <c r="R451">
        <v>7.3760619999999999E-2</v>
      </c>
      <c r="S451">
        <v>3.0323180000000001</v>
      </c>
      <c r="T451">
        <v>-0.23659359999999999</v>
      </c>
      <c r="U451">
        <v>-0.26605220000000002</v>
      </c>
      <c r="V451">
        <v>-7.1689020000000006E-2</v>
      </c>
      <c r="W451">
        <v>3.7794950000000001E-2</v>
      </c>
      <c r="X451">
        <v>0.99671069999999995</v>
      </c>
      <c r="Y451">
        <v>8.9195880000000005E-2</v>
      </c>
      <c r="Z451">
        <v>-3.6292409999999901E-3</v>
      </c>
      <c r="AA451">
        <v>0.99600750000000005</v>
      </c>
      <c r="AB451">
        <v>34</v>
      </c>
      <c r="AC451">
        <v>0.65579999999999905</v>
      </c>
      <c r="AD451">
        <v>-7.0068999999999895E-2</v>
      </c>
      <c r="AE451">
        <v>-7.9800000000034205E-2</v>
      </c>
      <c r="AF451">
        <v>8.0258540486529195E-2</v>
      </c>
      <c r="AG451">
        <v>-7.0068999999999895E-2</v>
      </c>
      <c r="AH451">
        <v>0.64833953862864202</v>
      </c>
      <c r="AI451">
        <v>96.121904816400203</v>
      </c>
      <c r="AJ451">
        <v>82.943203830097303</v>
      </c>
      <c r="AK451">
        <v>0.65703520105944702</v>
      </c>
    </row>
    <row r="452" spans="1:37" x14ac:dyDescent="0.2">
      <c r="A452" t="str">
        <f>"20200111153619456"</f>
        <v>20200111153619456</v>
      </c>
      <c r="B452" t="str">
        <f>"1578728179452903"</f>
        <v>1578728179452903</v>
      </c>
      <c r="C452" t="s">
        <v>37</v>
      </c>
      <c r="D452">
        <v>5.8537509999999999</v>
      </c>
      <c r="E452">
        <v>0.55857440000000003</v>
      </c>
      <c r="F452" t="s">
        <v>38</v>
      </c>
      <c r="G452">
        <v>-346.99090000000001</v>
      </c>
      <c r="H452">
        <v>1.029882</v>
      </c>
      <c r="I452">
        <v>367.7373</v>
      </c>
      <c r="J452">
        <v>-347.75139999999999</v>
      </c>
      <c r="K452">
        <v>1.1045100000000001</v>
      </c>
      <c r="L452">
        <v>367.81869999999998</v>
      </c>
      <c r="M452">
        <v>0.99989159999999899</v>
      </c>
      <c r="N452">
        <v>0</v>
      </c>
      <c r="O452">
        <v>2.0761629999999998E-3</v>
      </c>
      <c r="P452">
        <v>0.99681799999999998</v>
      </c>
      <c r="Q452">
        <v>2.3666800000000002E-2</v>
      </c>
      <c r="R452">
        <v>7.6117439999999995E-2</v>
      </c>
      <c r="S452">
        <v>3.0335079999999999</v>
      </c>
      <c r="T452">
        <v>-0.23700979999999999</v>
      </c>
      <c r="U452">
        <v>-0.25631710000000002</v>
      </c>
      <c r="V452">
        <v>-7.4045970000000003E-2</v>
      </c>
      <c r="W452">
        <v>3.8198540000000003E-2</v>
      </c>
      <c r="X452">
        <v>0.99652299999999905</v>
      </c>
      <c r="Y452">
        <v>8.5997569999999995E-2</v>
      </c>
      <c r="Z452">
        <v>-3.510169E-3</v>
      </c>
      <c r="AA452">
        <v>0.99628909999999904</v>
      </c>
      <c r="AB452">
        <v>34</v>
      </c>
      <c r="AC452">
        <v>0.76049999999997897</v>
      </c>
      <c r="AD452">
        <v>-7.4628000000000097E-2</v>
      </c>
      <c r="AE452">
        <v>-8.1399999999973702E-2</v>
      </c>
      <c r="AF452">
        <v>8.2196366954252406E-2</v>
      </c>
      <c r="AG452">
        <v>-7.4628000000000097E-2</v>
      </c>
      <c r="AH452">
        <v>0.75315892284091102</v>
      </c>
      <c r="AI452">
        <v>95.625589284535906</v>
      </c>
      <c r="AJ452">
        <v>83.771646776059598</v>
      </c>
      <c r="AK452">
        <v>0.76129753984848703</v>
      </c>
    </row>
    <row r="453" spans="1:37" x14ac:dyDescent="0.2">
      <c r="A453" t="str">
        <f>"20200111153619469"</f>
        <v>20200111153619469</v>
      </c>
      <c r="B453" t="str">
        <f>"1578728179463639"</f>
        <v>1578728179463639</v>
      </c>
      <c r="C453" t="s">
        <v>37</v>
      </c>
      <c r="D453">
        <v>5.8981279999999998</v>
      </c>
      <c r="E453">
        <v>0.5587645</v>
      </c>
      <c r="F453" t="s">
        <v>38</v>
      </c>
      <c r="G453">
        <v>-346.98230000000001</v>
      </c>
      <c r="H453">
        <v>1.0458129999999899</v>
      </c>
      <c r="I453">
        <v>367.75490000000002</v>
      </c>
      <c r="J453">
        <v>-347.55270000000002</v>
      </c>
      <c r="K453">
        <v>1.104517</v>
      </c>
      <c r="L453">
        <v>367.81909999999999</v>
      </c>
      <c r="M453">
        <v>0.99989159999999899</v>
      </c>
      <c r="N453">
        <v>0</v>
      </c>
      <c r="O453">
        <v>2.0763579999999999E-3</v>
      </c>
      <c r="P453">
        <v>0.99665680000000001</v>
      </c>
      <c r="Q453">
        <v>2.3768629999999999E-2</v>
      </c>
      <c r="R453">
        <v>7.8168669999999996E-2</v>
      </c>
      <c r="S453">
        <v>3.0341800000000001</v>
      </c>
      <c r="T453">
        <v>-0.23172989999999999</v>
      </c>
      <c r="U453">
        <v>-0.25082399999999999</v>
      </c>
      <c r="V453">
        <v>-7.6097349999999994E-2</v>
      </c>
      <c r="W453">
        <v>3.8296219999999999E-2</v>
      </c>
      <c r="X453">
        <v>0.99636469999999899</v>
      </c>
      <c r="Y453">
        <v>8.4204909999999994E-2</v>
      </c>
      <c r="Z453">
        <v>-3.363478E-3</v>
      </c>
      <c r="AA453">
        <v>0.99644279999999996</v>
      </c>
      <c r="AB453">
        <v>34</v>
      </c>
      <c r="AC453">
        <v>0.57040000000000601</v>
      </c>
      <c r="AD453">
        <v>-5.8703999999999999E-2</v>
      </c>
      <c r="AE453">
        <v>-6.41999999999711E-2</v>
      </c>
      <c r="AF453">
        <v>6.4707536189594503E-2</v>
      </c>
      <c r="AG453">
        <v>-5.8703999999999999E-2</v>
      </c>
      <c r="AH453">
        <v>0.56436252697625999</v>
      </c>
      <c r="AI453">
        <v>95.900071135650506</v>
      </c>
      <c r="AJ453">
        <v>83.459258220351003</v>
      </c>
      <c r="AK453">
        <v>0.57108518341028403</v>
      </c>
    </row>
    <row r="454" spans="1:37" x14ac:dyDescent="0.2">
      <c r="A454" t="str">
        <f>"20200111153619482"</f>
        <v>20200111153619482</v>
      </c>
      <c r="B454" t="str">
        <f>"1578728179473401"</f>
        <v>1578728179473401</v>
      </c>
      <c r="C454" t="s">
        <v>37</v>
      </c>
      <c r="D454">
        <v>5.8697480000000004</v>
      </c>
      <c r="E454">
        <v>0.55899019999999899</v>
      </c>
      <c r="F454" t="s">
        <v>38</v>
      </c>
      <c r="G454">
        <v>-346.68459999999999</v>
      </c>
      <c r="H454">
        <v>1.039218</v>
      </c>
      <c r="I454">
        <v>367.74829999999997</v>
      </c>
      <c r="J454">
        <v>-347.36430000000001</v>
      </c>
      <c r="K454">
        <v>1.1045209999999901</v>
      </c>
      <c r="L454">
        <v>367.81950000000001</v>
      </c>
      <c r="M454">
        <v>0.9998918</v>
      </c>
      <c r="N454">
        <v>0</v>
      </c>
      <c r="O454">
        <v>2.076016E-3</v>
      </c>
      <c r="P454">
        <v>0.99648969999999903</v>
      </c>
      <c r="Q454">
        <v>2.4524879999999999E-2</v>
      </c>
      <c r="R454">
        <v>8.0045099999999994E-2</v>
      </c>
      <c r="S454">
        <v>3.034821</v>
      </c>
      <c r="T454">
        <v>-0.22860649999999999</v>
      </c>
      <c r="U454">
        <v>-0.24630740000000001</v>
      </c>
      <c r="V454">
        <v>-7.7974470000000004E-2</v>
      </c>
      <c r="W454">
        <v>3.9047640000000002E-2</v>
      </c>
      <c r="X454">
        <v>0.99619040000000003</v>
      </c>
      <c r="Y454">
        <v>8.272504E-2</v>
      </c>
      <c r="Z454">
        <v>-3.2621820000000002E-3</v>
      </c>
      <c r="AA454">
        <v>0.99656710000000004</v>
      </c>
      <c r="AB454">
        <v>34</v>
      </c>
      <c r="AC454">
        <v>0.67970000000002495</v>
      </c>
      <c r="AD454">
        <v>-6.5302999999999806E-2</v>
      </c>
      <c r="AE454">
        <v>-7.1200000000033001E-2</v>
      </c>
      <c r="AF454">
        <v>7.19540910550234E-2</v>
      </c>
      <c r="AG454">
        <v>-6.5302999999999806E-2</v>
      </c>
      <c r="AH454">
        <v>0.67340224167308804</v>
      </c>
      <c r="AI454">
        <v>95.507765041954201</v>
      </c>
      <c r="AJ454">
        <v>83.900996690826304</v>
      </c>
      <c r="AK454">
        <v>0.680376698688965</v>
      </c>
    </row>
    <row r="455" spans="1:37" x14ac:dyDescent="0.2">
      <c r="A455" t="str">
        <f>"20200111153619498"</f>
        <v>20200111153619498</v>
      </c>
      <c r="B455" t="str">
        <f>"1578728179492919"</f>
        <v>1578728179492919</v>
      </c>
      <c r="C455" t="s">
        <v>37</v>
      </c>
      <c r="D455">
        <v>5.9027519999999898</v>
      </c>
      <c r="E455">
        <v>0.55893269999999995</v>
      </c>
      <c r="F455" t="s">
        <v>38</v>
      </c>
      <c r="G455">
        <v>-346.38650000000001</v>
      </c>
      <c r="H455">
        <v>1.0322789999999999</v>
      </c>
      <c r="I455">
        <v>367.74099999999999</v>
      </c>
      <c r="J455">
        <v>-347.1114</v>
      </c>
      <c r="K455">
        <v>1.1045339999999999</v>
      </c>
      <c r="L455">
        <v>367.82010000000002</v>
      </c>
      <c r="M455">
        <v>0.9998918</v>
      </c>
      <c r="N455">
        <v>0</v>
      </c>
      <c r="O455">
        <v>2.0760370000000002E-3</v>
      </c>
      <c r="P455">
        <v>0.99618790000000002</v>
      </c>
      <c r="Q455">
        <v>2.591779E-2</v>
      </c>
      <c r="R455">
        <v>8.3294320000000005E-2</v>
      </c>
      <c r="S455">
        <v>3.0356139999999998</v>
      </c>
      <c r="T455">
        <v>-0.2244987</v>
      </c>
      <c r="U455">
        <v>-0.2427368</v>
      </c>
      <c r="V455">
        <v>-8.122393E-2</v>
      </c>
      <c r="W455">
        <v>4.0433169999999997E-2</v>
      </c>
      <c r="X455">
        <v>0.99587539999999997</v>
      </c>
      <c r="Y455">
        <v>8.1551120000000005E-2</v>
      </c>
      <c r="Z455">
        <v>-3.1597639999999998E-3</v>
      </c>
      <c r="AA455">
        <v>0.9966642</v>
      </c>
      <c r="AB455">
        <v>34</v>
      </c>
      <c r="AC455">
        <v>0.72489999999999</v>
      </c>
      <c r="AD455">
        <v>-7.2254999999999694E-2</v>
      </c>
      <c r="AE455">
        <v>-7.9100000000039403E-2</v>
      </c>
      <c r="AF455">
        <v>7.9821194880781904E-2</v>
      </c>
      <c r="AG455">
        <v>-7.2254999999999694E-2</v>
      </c>
      <c r="AH455">
        <v>0.71768768748115996</v>
      </c>
      <c r="AI455">
        <v>95.714026934808203</v>
      </c>
      <c r="AJ455">
        <v>83.653647881563302</v>
      </c>
      <c r="AK455">
        <v>0.72571883325379605</v>
      </c>
    </row>
    <row r="456" spans="1:37" x14ac:dyDescent="0.2">
      <c r="A456" t="str">
        <f>"20200111153619512"</f>
        <v>20200111153619512</v>
      </c>
      <c r="B456" t="str">
        <f>"1578728179503655"</f>
        <v>1578728179503655</v>
      </c>
      <c r="C456" t="s">
        <v>37</v>
      </c>
      <c r="D456">
        <v>5.9681959999999998</v>
      </c>
      <c r="E456">
        <v>0.55880649999999998</v>
      </c>
      <c r="F456" t="s">
        <v>38</v>
      </c>
      <c r="G456">
        <v>-346.3734</v>
      </c>
      <c r="H456">
        <v>1.051725</v>
      </c>
      <c r="I456">
        <v>367.76319999999998</v>
      </c>
      <c r="J456">
        <v>-346.91079999999999</v>
      </c>
      <c r="K456">
        <v>1.1045419999999999</v>
      </c>
      <c r="L456">
        <v>367.82049999999998</v>
      </c>
      <c r="M456">
        <v>0.99989189999999994</v>
      </c>
      <c r="N456">
        <v>0</v>
      </c>
      <c r="O456">
        <v>2.0755729999999998E-3</v>
      </c>
      <c r="P456">
        <v>0.99605140000000003</v>
      </c>
      <c r="Q456">
        <v>2.65510999999999E-2</v>
      </c>
      <c r="R456">
        <v>8.4716990000000006E-2</v>
      </c>
      <c r="S456">
        <v>3.036591</v>
      </c>
      <c r="T456">
        <v>-0.21761449999999999</v>
      </c>
      <c r="U456">
        <v>-0.2326355</v>
      </c>
      <c r="V456">
        <v>-8.2647760000000001E-2</v>
      </c>
      <c r="W456">
        <v>4.1062550000000003E-2</v>
      </c>
      <c r="X456">
        <v>0.99573250000000002</v>
      </c>
      <c r="Y456">
        <v>7.8251680000000004E-2</v>
      </c>
      <c r="Z456">
        <v>-2.9446020000000002E-3</v>
      </c>
      <c r="AA456">
        <v>0.99692930000000002</v>
      </c>
      <c r="AB456">
        <v>34</v>
      </c>
      <c r="AC456">
        <v>0.537399999999991</v>
      </c>
      <c r="AD456">
        <v>-5.2816999999999802E-2</v>
      </c>
      <c r="AE456">
        <v>-5.7299999999997901E-2</v>
      </c>
      <c r="AF456">
        <v>5.7862768323127298E-2</v>
      </c>
      <c r="AG456">
        <v>-5.2816999999999802E-2</v>
      </c>
      <c r="AH456">
        <v>0.532196959294295</v>
      </c>
      <c r="AI456">
        <v>95.634675048592698</v>
      </c>
      <c r="AJ456">
        <v>83.794927054486195</v>
      </c>
      <c r="AK456">
        <v>0.53793246688511898</v>
      </c>
    </row>
    <row r="457" spans="1:37" x14ac:dyDescent="0.2">
      <c r="A457" t="str">
        <f>"20200111153619525"</f>
        <v>20200111153619525</v>
      </c>
      <c r="B457" t="str">
        <f>"1578728179513415"</f>
        <v>1578728179513415</v>
      </c>
      <c r="C457" t="s">
        <v>37</v>
      </c>
      <c r="D457">
        <v>5.994205</v>
      </c>
      <c r="E457">
        <v>0.55876789999999998</v>
      </c>
      <c r="F457" t="s">
        <v>38</v>
      </c>
      <c r="G457">
        <v>-346.07819999999998</v>
      </c>
      <c r="H457">
        <v>1.045342</v>
      </c>
      <c r="I457">
        <v>367.75810000000001</v>
      </c>
      <c r="J457">
        <v>-346.71879999999999</v>
      </c>
      <c r="K457">
        <v>1.1045479999999901</v>
      </c>
      <c r="L457">
        <v>367.82080000000002</v>
      </c>
      <c r="M457">
        <v>0.99989189999999994</v>
      </c>
      <c r="N457">
        <v>0</v>
      </c>
      <c r="O457">
        <v>2.0745669999999998E-3</v>
      </c>
      <c r="P457">
        <v>0.99595009999999995</v>
      </c>
      <c r="Q457">
        <v>2.707033E-2</v>
      </c>
      <c r="R457">
        <v>8.5738389999999998E-2</v>
      </c>
      <c r="S457">
        <v>3.0370180000000002</v>
      </c>
      <c r="T457">
        <v>-0.2160484</v>
      </c>
      <c r="U457">
        <v>-0.22741700000000001</v>
      </c>
      <c r="V457">
        <v>-8.3670069999999999E-2</v>
      </c>
      <c r="W457">
        <v>4.1578530000000002E-2</v>
      </c>
      <c r="X457">
        <v>0.99562569999999995</v>
      </c>
      <c r="Y457">
        <v>7.6543890000000003E-2</v>
      </c>
      <c r="Z457">
        <v>-2.8625879999999901E-3</v>
      </c>
      <c r="AA457">
        <v>0.99706209999999995</v>
      </c>
      <c r="AB457">
        <v>34</v>
      </c>
      <c r="AC457">
        <v>0.64060000000000605</v>
      </c>
      <c r="AD457">
        <v>-5.92059999999998E-2</v>
      </c>
      <c r="AE457">
        <v>-6.2700000000006598E-2</v>
      </c>
      <c r="AF457">
        <v>6.3491775531730604E-2</v>
      </c>
      <c r="AG457">
        <v>-5.92059999999998E-2</v>
      </c>
      <c r="AH457">
        <v>0.63509505245311104</v>
      </c>
      <c r="AI457">
        <v>95.299673341134806</v>
      </c>
      <c r="AJ457">
        <v>84.290990535269302</v>
      </c>
      <c r="AK457">
        <v>0.64100099972355096</v>
      </c>
    </row>
    <row r="458" spans="1:37" x14ac:dyDescent="0.2">
      <c r="A458" t="str">
        <f>"20200111153619538"</f>
        <v>20200111153619538</v>
      </c>
      <c r="B458" t="str">
        <f>"1578728179532935"</f>
        <v>1578728179532935</v>
      </c>
      <c r="C458" t="s">
        <v>37</v>
      </c>
      <c r="D458">
        <v>5.9981470000000003</v>
      </c>
      <c r="E458">
        <v>0.55864569999999902</v>
      </c>
      <c r="F458" t="s">
        <v>38</v>
      </c>
      <c r="G458">
        <v>-345.78160000000003</v>
      </c>
      <c r="H458">
        <v>1.0383450000000001</v>
      </c>
      <c r="I458">
        <v>367.75139999999999</v>
      </c>
      <c r="J458">
        <v>-346.51519999999999</v>
      </c>
      <c r="K458">
        <v>1.104555</v>
      </c>
      <c r="L458">
        <v>367.82130000000001</v>
      </c>
      <c r="M458">
        <v>0.99989189999999994</v>
      </c>
      <c r="N458">
        <v>0</v>
      </c>
      <c r="O458">
        <v>2.0728999999999999E-3</v>
      </c>
      <c r="P458">
        <v>0.99588940000000004</v>
      </c>
      <c r="Q458">
        <v>2.7599140000000001E-2</v>
      </c>
      <c r="R458">
        <v>8.6274020000000007E-2</v>
      </c>
      <c r="S458">
        <v>3.0373540000000001</v>
      </c>
      <c r="T458">
        <v>-0.21481430000000001</v>
      </c>
      <c r="U458">
        <v>-0.2242432</v>
      </c>
      <c r="V458">
        <v>-8.4207530000000003E-2</v>
      </c>
      <c r="W458">
        <v>4.2104500000000003E-2</v>
      </c>
      <c r="X458">
        <v>0.99555830000000001</v>
      </c>
      <c r="Y458">
        <v>7.5502680000000003E-2</v>
      </c>
      <c r="Z458">
        <v>-2.809233E-3</v>
      </c>
      <c r="AA458">
        <v>0.99714169999999902</v>
      </c>
      <c r="AB458">
        <v>34</v>
      </c>
      <c r="AC458">
        <v>0.73359999999996695</v>
      </c>
      <c r="AD458">
        <v>-6.6209999999999797E-2</v>
      </c>
      <c r="AE458">
        <v>-6.9900000000018198E-2</v>
      </c>
      <c r="AF458">
        <v>7.0848769822272298E-2</v>
      </c>
      <c r="AG458">
        <v>-6.6209999999999797E-2</v>
      </c>
      <c r="AH458">
        <v>0.72758018461707696</v>
      </c>
      <c r="AI458">
        <v>95.175266394212997</v>
      </c>
      <c r="AJ458">
        <v>84.438306883108893</v>
      </c>
      <c r="AK458">
        <v>0.73401378551955698</v>
      </c>
    </row>
    <row r="459" spans="1:37" x14ac:dyDescent="0.2">
      <c r="A459" t="str">
        <f>"20200111153619555"</f>
        <v>20200111153619555</v>
      </c>
      <c r="B459" t="str">
        <f>"1578728179543672"</f>
        <v>1578728179543672</v>
      </c>
      <c r="C459" t="s">
        <v>37</v>
      </c>
      <c r="D459">
        <v>5.9753410000000002</v>
      </c>
      <c r="E459">
        <v>0.55862769999999995</v>
      </c>
      <c r="F459" t="s">
        <v>38</v>
      </c>
      <c r="G459">
        <v>-345.77109999999999</v>
      </c>
      <c r="H459">
        <v>1.0519510000000001</v>
      </c>
      <c r="I459">
        <v>367.76670000000001</v>
      </c>
      <c r="J459">
        <v>-346.27249999999998</v>
      </c>
      <c r="K459">
        <v>1.104568</v>
      </c>
      <c r="L459">
        <v>367.8218</v>
      </c>
      <c r="M459">
        <v>0.99989189999999994</v>
      </c>
      <c r="N459">
        <v>0</v>
      </c>
      <c r="O459">
        <v>2.0684779999999999E-3</v>
      </c>
      <c r="P459">
        <v>0.9958593</v>
      </c>
      <c r="Q459">
        <v>2.739691E-2</v>
      </c>
      <c r="R459">
        <v>8.6683979999999994E-2</v>
      </c>
      <c r="S459">
        <v>3.0375669999999899</v>
      </c>
      <c r="T459">
        <v>-0.2150879</v>
      </c>
      <c r="U459">
        <v>-0.22198490000000001</v>
      </c>
      <c r="V459">
        <v>-8.4621730000000006E-2</v>
      </c>
      <c r="W459">
        <v>4.1899640000000002E-2</v>
      </c>
      <c r="X459">
        <v>0.99553179999999997</v>
      </c>
      <c r="Y459">
        <v>7.475714E-2</v>
      </c>
      <c r="Z459">
        <v>-2.7860419999999999E-3</v>
      </c>
      <c r="AA459">
        <v>0.99719789999999997</v>
      </c>
      <c r="AB459">
        <v>34</v>
      </c>
      <c r="AC459">
        <v>0.50139999999998897</v>
      </c>
      <c r="AD459">
        <v>-5.26169999999999E-2</v>
      </c>
      <c r="AE459">
        <v>-5.5099999999981698E-2</v>
      </c>
      <c r="AF459">
        <v>5.5532871704229603E-2</v>
      </c>
      <c r="AG459">
        <v>-5.26169999999999E-2</v>
      </c>
      <c r="AH459">
        <v>0.49588915421494301</v>
      </c>
      <c r="AI459">
        <v>96.019436670142596</v>
      </c>
      <c r="AJ459">
        <v>83.610270772454896</v>
      </c>
      <c r="AK459">
        <v>0.50175542029631404</v>
      </c>
    </row>
    <row r="460" spans="1:37" x14ac:dyDescent="0.2">
      <c r="A460" t="str">
        <f>"20200111153619577"</f>
        <v>20200111153619577</v>
      </c>
      <c r="B460" t="str">
        <f>"1578728179572952"</f>
        <v>1578728179572952</v>
      </c>
      <c r="C460" t="s">
        <v>37</v>
      </c>
      <c r="D460">
        <v>6.0569550000000003</v>
      </c>
      <c r="E460">
        <v>0.55865889999999996</v>
      </c>
      <c r="F460" t="s">
        <v>38</v>
      </c>
      <c r="G460">
        <v>-345.47480000000002</v>
      </c>
      <c r="H460">
        <v>1.0475410000000001</v>
      </c>
      <c r="I460">
        <v>367.76369999999997</v>
      </c>
      <c r="J460">
        <v>-345.93509999999998</v>
      </c>
      <c r="K460">
        <v>1.1045689999999999</v>
      </c>
      <c r="L460">
        <v>367.82240000000002</v>
      </c>
      <c r="M460">
        <v>0.999892</v>
      </c>
      <c r="N460">
        <v>0</v>
      </c>
      <c r="O460">
        <v>2.0588479999999998E-3</v>
      </c>
      <c r="P460">
        <v>0.99583559999999904</v>
      </c>
      <c r="Q460">
        <v>3.2814349999999999E-2</v>
      </c>
      <c r="R460">
        <v>8.5057850000000004E-2</v>
      </c>
      <c r="S460">
        <v>3.0376889999999999</v>
      </c>
      <c r="T460">
        <v>-0.21740370000000001</v>
      </c>
      <c r="U460">
        <v>-0.22061159999999999</v>
      </c>
      <c r="V460">
        <v>-8.3004620000000001E-2</v>
      </c>
      <c r="W460">
        <v>4.731254E-2</v>
      </c>
      <c r="X460">
        <v>0.99542540000000002</v>
      </c>
      <c r="Y460">
        <v>7.4293269999999995E-2</v>
      </c>
      <c r="Z460">
        <v>-2.798652E-3</v>
      </c>
      <c r="AA460">
        <v>0.99723249999999997</v>
      </c>
      <c r="AB460">
        <v>34</v>
      </c>
      <c r="AC460">
        <v>0.46029999999996102</v>
      </c>
      <c r="AD460">
        <v>-5.7028000000000002E-2</v>
      </c>
      <c r="AE460">
        <v>-5.87000000000443E-2</v>
      </c>
      <c r="AF460">
        <v>5.8760157699956801E-2</v>
      </c>
      <c r="AG460">
        <v>-5.7028000000000002E-2</v>
      </c>
      <c r="AH460">
        <v>0.45333110173146801</v>
      </c>
      <c r="AI460">
        <v>97.111140693793402</v>
      </c>
      <c r="AJ460">
        <v>82.614576497957103</v>
      </c>
      <c r="AK460">
        <v>0.46066694771167399</v>
      </c>
    </row>
    <row r="461" spans="1:37" x14ac:dyDescent="0.2">
      <c r="A461" t="str">
        <f>"20200111153619592"</f>
        <v>20200111153619592</v>
      </c>
      <c r="B461" t="str">
        <f>"1578728179583690"</f>
        <v>1578728179583690</v>
      </c>
      <c r="C461" t="s">
        <v>37</v>
      </c>
      <c r="D461">
        <v>6.2115169999999997</v>
      </c>
      <c r="E461">
        <v>0.55877200000000005</v>
      </c>
      <c r="F461" t="s">
        <v>38</v>
      </c>
      <c r="G461">
        <v>-345.16860000000003</v>
      </c>
      <c r="H461">
        <v>1.0523</v>
      </c>
      <c r="I461">
        <v>367.76560000000001</v>
      </c>
      <c r="J461">
        <v>-345.71699999999998</v>
      </c>
      <c r="K461">
        <v>1.1045780000000001</v>
      </c>
      <c r="L461">
        <v>367.8229</v>
      </c>
      <c r="M461">
        <v>0.99989209999999995</v>
      </c>
      <c r="N461">
        <v>0</v>
      </c>
      <c r="O461">
        <v>2.0488569999999998E-3</v>
      </c>
      <c r="P461">
        <v>0.99594869999999902</v>
      </c>
      <c r="Q461">
        <v>3.1301229999999999E-2</v>
      </c>
      <c r="R461">
        <v>8.4302240000000001E-2</v>
      </c>
      <c r="S461">
        <v>3.0385439999999999</v>
      </c>
      <c r="T461">
        <v>-0.20734569999999999</v>
      </c>
      <c r="U461">
        <v>-0.22476199999999999</v>
      </c>
      <c r="V461">
        <v>-8.2258540000000005E-2</v>
      </c>
      <c r="W461">
        <v>4.5799270000000003E-2</v>
      </c>
      <c r="X461">
        <v>0.9955581</v>
      </c>
      <c r="Y461">
        <v>7.5632409999999997E-2</v>
      </c>
      <c r="Z461">
        <v>-2.713497E-3</v>
      </c>
      <c r="AA461">
        <v>0.99713209999999997</v>
      </c>
      <c r="AB461">
        <v>34</v>
      </c>
      <c r="AC461">
        <v>0.54839999999995803</v>
      </c>
      <c r="AD461">
        <v>-5.2277999999999998E-2</v>
      </c>
      <c r="AE461">
        <v>-5.7299999999997901E-2</v>
      </c>
      <c r="AF461">
        <v>5.7903081753300001E-2</v>
      </c>
      <c r="AG461">
        <v>-5.2277999999999998E-2</v>
      </c>
      <c r="AH461">
        <v>0.54339666379988605</v>
      </c>
      <c r="AI461">
        <v>95.464536104272</v>
      </c>
      <c r="AJ461">
        <v>83.917646775683906</v>
      </c>
      <c r="AK461">
        <v>0.54896784094277895</v>
      </c>
    </row>
    <row r="462" spans="1:37" x14ac:dyDescent="0.2">
      <c r="A462" t="str">
        <f>"20200111153619611"</f>
        <v>20200111153619611</v>
      </c>
      <c r="B462" t="str">
        <f>"1578728179603207"</f>
        <v>1578728179603207</v>
      </c>
      <c r="C462" t="s">
        <v>37</v>
      </c>
      <c r="D462">
        <v>6.1634969999999996</v>
      </c>
      <c r="E462">
        <v>0.55903419999999904</v>
      </c>
      <c r="F462" t="s">
        <v>38</v>
      </c>
      <c r="G462">
        <v>-344.87630000000001</v>
      </c>
      <c r="H462">
        <v>1.046311</v>
      </c>
      <c r="I462">
        <v>367.75940000000003</v>
      </c>
      <c r="J462">
        <v>-345.4135</v>
      </c>
      <c r="K462">
        <v>1.104576</v>
      </c>
      <c r="L462">
        <v>367.82350000000002</v>
      </c>
      <c r="M462">
        <v>0.99989209999999995</v>
      </c>
      <c r="N462">
        <v>0</v>
      </c>
      <c r="O462">
        <v>2.0302530000000001E-3</v>
      </c>
      <c r="P462">
        <v>0.99602080000000004</v>
      </c>
      <c r="Q462">
        <v>3.1672730000000003E-2</v>
      </c>
      <c r="R462">
        <v>8.3304329999999996E-2</v>
      </c>
      <c r="S462">
        <v>3.038116</v>
      </c>
      <c r="T462">
        <v>-0.210951</v>
      </c>
      <c r="U462">
        <v>-0.22781370000000001</v>
      </c>
      <c r="V462">
        <v>-8.1278249999999996E-2</v>
      </c>
      <c r="W462">
        <v>4.6169849999999998E-2</v>
      </c>
      <c r="X462">
        <v>0.99562150000000005</v>
      </c>
      <c r="Y462">
        <v>7.6611600000000002E-2</v>
      </c>
      <c r="Z462">
        <v>-2.7934679999999999E-3</v>
      </c>
      <c r="AA462">
        <v>0.99705710000000003</v>
      </c>
      <c r="AB462">
        <v>34</v>
      </c>
      <c r="AC462">
        <v>0.53719999999998402</v>
      </c>
      <c r="AD462">
        <v>-5.8264999999999997E-2</v>
      </c>
      <c r="AE462">
        <v>-6.4099999999996202E-2</v>
      </c>
      <c r="AF462">
        <v>6.4443187710789704E-2</v>
      </c>
      <c r="AG462">
        <v>-5.8264999999999997E-2</v>
      </c>
      <c r="AH462">
        <v>0.53091094270841899</v>
      </c>
      <c r="AI462">
        <v>96.217606160489694</v>
      </c>
      <c r="AJ462">
        <v>83.0791641181617</v>
      </c>
      <c r="AK462">
        <v>0.53797227043303097</v>
      </c>
    </row>
    <row r="463" spans="1:37" x14ac:dyDescent="0.2">
      <c r="A463" t="str">
        <f>"20200111153619626"</f>
        <v>20200111153619626</v>
      </c>
      <c r="B463" t="str">
        <f>"1578728179612968"</f>
        <v>1578728179612968</v>
      </c>
      <c r="C463" t="s">
        <v>37</v>
      </c>
      <c r="D463">
        <v>5.9913299999999996</v>
      </c>
      <c r="E463">
        <v>0.55903419999999904</v>
      </c>
      <c r="F463" t="s">
        <v>38</v>
      </c>
      <c r="G463">
        <v>-344.57639999999998</v>
      </c>
      <c r="H463">
        <v>1.046859</v>
      </c>
      <c r="I463">
        <v>367.75920000000002</v>
      </c>
      <c r="J463">
        <v>-345.20490000000001</v>
      </c>
      <c r="K463">
        <v>1.104568</v>
      </c>
      <c r="L463">
        <v>367.82389999999998</v>
      </c>
      <c r="M463">
        <v>0.99989219999999901</v>
      </c>
      <c r="N463">
        <v>0</v>
      </c>
      <c r="O463">
        <v>2.0133880000000001E-3</v>
      </c>
      <c r="P463">
        <v>0.99605719999999998</v>
      </c>
      <c r="Q463">
        <v>3.0777479999999999E-2</v>
      </c>
      <c r="R463">
        <v>8.3203280000000004E-2</v>
      </c>
      <c r="S463">
        <v>3.0381469999999999</v>
      </c>
      <c r="T463">
        <v>-0.20960500000000001</v>
      </c>
      <c r="U463">
        <v>-0.23272709999999999</v>
      </c>
      <c r="V463">
        <v>-8.1193280000000007E-2</v>
      </c>
      <c r="W463">
        <v>4.5273859999999999E-2</v>
      </c>
      <c r="X463">
        <v>0.99566960000000004</v>
      </c>
      <c r="Y463">
        <v>7.8195890000000004E-2</v>
      </c>
      <c r="Z463">
        <v>-2.8288359999999999E-3</v>
      </c>
      <c r="AA463">
        <v>0.99693399999999999</v>
      </c>
      <c r="AB463">
        <v>34</v>
      </c>
      <c r="AC463">
        <v>0.62850000000003003</v>
      </c>
      <c r="AD463">
        <v>-5.7709000000000003E-2</v>
      </c>
      <c r="AE463">
        <v>-6.4699999999959304E-2</v>
      </c>
      <c r="AF463">
        <v>6.5419650906096097E-2</v>
      </c>
      <c r="AG463">
        <v>-5.7709000000000003E-2</v>
      </c>
      <c r="AH463">
        <v>0.62316962744005899</v>
      </c>
      <c r="AI463">
        <v>95.262068011050502</v>
      </c>
      <c r="AJ463">
        <v>84.007103820301396</v>
      </c>
      <c r="AK463">
        <v>0.62924593281916197</v>
      </c>
    </row>
    <row r="464" spans="1:37" x14ac:dyDescent="0.2">
      <c r="A464" t="str">
        <f>"20200111153619640"</f>
        <v>20200111153619640</v>
      </c>
      <c r="B464" t="str">
        <f>"1578728179633463"</f>
        <v>1578728179633463</v>
      </c>
      <c r="C464" t="s">
        <v>37</v>
      </c>
      <c r="D464">
        <v>6.2199970000000002</v>
      </c>
      <c r="E464">
        <v>0.59142810000000001</v>
      </c>
      <c r="F464" t="s">
        <v>38</v>
      </c>
      <c r="G464">
        <v>-344.28199999999998</v>
      </c>
      <c r="H464">
        <v>1.0401100000000001</v>
      </c>
      <c r="I464">
        <v>367.75279999999998</v>
      </c>
      <c r="J464">
        <v>-345.00110000000001</v>
      </c>
      <c r="K464">
        <v>1.1045579999999999</v>
      </c>
      <c r="L464">
        <v>367.82420000000002</v>
      </c>
      <c r="M464">
        <v>0.99989240000000001</v>
      </c>
      <c r="N464">
        <v>0</v>
      </c>
      <c r="O464">
        <v>1.9935970000000002E-3</v>
      </c>
      <c r="P464">
        <v>0.99609449999999999</v>
      </c>
      <c r="Q464">
        <v>2.9814839999999999E-2</v>
      </c>
      <c r="R464">
        <v>8.3111899999999905E-2</v>
      </c>
      <c r="S464">
        <v>3.0379330000000002</v>
      </c>
      <c r="T464">
        <v>-0.21243699999999999</v>
      </c>
      <c r="U464">
        <v>-0.2332458</v>
      </c>
      <c r="V464">
        <v>-8.1121780000000004E-2</v>
      </c>
      <c r="W464">
        <v>4.4310189999999999E-2</v>
      </c>
      <c r="X464">
        <v>0.99571880000000001</v>
      </c>
      <c r="Y464">
        <v>7.834526E-2</v>
      </c>
      <c r="Z464">
        <v>-2.8709740000000001E-3</v>
      </c>
      <c r="AA464">
        <v>0.99692209999999903</v>
      </c>
      <c r="AB464">
        <v>33</v>
      </c>
      <c r="AC464">
        <v>0.71910000000002505</v>
      </c>
      <c r="AD464">
        <v>-6.4447999999999797E-2</v>
      </c>
      <c r="AE464">
        <v>-7.1400000000039598E-2</v>
      </c>
      <c r="AF464">
        <v>7.2258865854902807E-2</v>
      </c>
      <c r="AG464">
        <v>-6.4447999999999797E-2</v>
      </c>
      <c r="AH464">
        <v>0.71328283780496904</v>
      </c>
      <c r="AI464">
        <v>95.136737826016798</v>
      </c>
      <c r="AJ464">
        <v>84.215405821428007</v>
      </c>
      <c r="AK464">
        <v>0.71982448909838204</v>
      </c>
    </row>
    <row r="465" spans="1:37" x14ac:dyDescent="0.2">
      <c r="A465" t="str">
        <f>"20200111153619654"</f>
        <v>20200111153619654</v>
      </c>
      <c r="B465" t="str">
        <f>"1578728179643223"</f>
        <v>1578728179643223</v>
      </c>
      <c r="C465" t="s">
        <v>37</v>
      </c>
      <c r="D465">
        <v>6.1854829999999996</v>
      </c>
      <c r="E465">
        <v>0.59163589999999999</v>
      </c>
      <c r="F465" t="s">
        <v>38</v>
      </c>
      <c r="G465">
        <v>-344.0043</v>
      </c>
      <c r="H465">
        <v>0.99372530000000003</v>
      </c>
      <c r="I465">
        <v>367.66250000000002</v>
      </c>
      <c r="J465">
        <v>-344.77159999999998</v>
      </c>
      <c r="K465">
        <v>1.1045469999999999</v>
      </c>
      <c r="L465">
        <v>367.82470000000001</v>
      </c>
      <c r="M465">
        <v>0.99989240000000001</v>
      </c>
      <c r="N465">
        <v>0</v>
      </c>
      <c r="O465">
        <v>1.9659249999999999E-3</v>
      </c>
      <c r="P465">
        <v>0.99608549999999996</v>
      </c>
      <c r="Q465">
        <v>3.0026489999999999E-2</v>
      </c>
      <c r="R465">
        <v>8.3139610000000003E-2</v>
      </c>
      <c r="S465">
        <v>3.0634160000000001</v>
      </c>
      <c r="T465">
        <v>-0.34071390000000001</v>
      </c>
      <c r="U465">
        <v>-0.49642939999999902</v>
      </c>
      <c r="V465">
        <v>-8.1176079999999998E-2</v>
      </c>
      <c r="W465">
        <v>4.4520270000000001E-2</v>
      </c>
      <c r="X465">
        <v>0.9957049</v>
      </c>
      <c r="Y465">
        <v>0.16092590000000001</v>
      </c>
      <c r="Z465">
        <v>-9.080922E-3</v>
      </c>
      <c r="AA465">
        <v>0.98692469999999999</v>
      </c>
      <c r="AB465">
        <v>33</v>
      </c>
      <c r="AC465">
        <v>0.767299999999977</v>
      </c>
      <c r="AD465">
        <v>-0.110821699999999</v>
      </c>
      <c r="AE465">
        <v>-0.162199999999984</v>
      </c>
      <c r="AF465">
        <v>0.160503376958712</v>
      </c>
      <c r="AG465">
        <v>-0.110821699999999</v>
      </c>
      <c r="AH465">
        <v>0.751964423167781</v>
      </c>
      <c r="AI465">
        <v>98.201539183705407</v>
      </c>
      <c r="AJ465">
        <v>77.951281377687195</v>
      </c>
      <c r="AK465">
        <v>0.77684829723446902</v>
      </c>
    </row>
    <row r="466" spans="1:37" x14ac:dyDescent="0.2">
      <c r="A466" t="str">
        <f>"20200111153619669"</f>
        <v>20200111153619669</v>
      </c>
      <c r="B466" t="str">
        <f>"1578728179663720"</f>
        <v>1578728179663720</v>
      </c>
      <c r="C466" t="s">
        <v>37</v>
      </c>
      <c r="D466">
        <v>6.2598050000000001</v>
      </c>
      <c r="E466">
        <v>0.5906865</v>
      </c>
      <c r="F466" t="s">
        <v>38</v>
      </c>
      <c r="G466">
        <v>-343.99529999999999</v>
      </c>
      <c r="H466">
        <v>1.014195</v>
      </c>
      <c r="I466">
        <v>367.6979</v>
      </c>
      <c r="J466">
        <v>-344.56199999999899</v>
      </c>
      <c r="K466">
        <v>1.1045430000000001</v>
      </c>
      <c r="L466">
        <v>367.82510000000002</v>
      </c>
      <c r="M466">
        <v>0.99989249999999996</v>
      </c>
      <c r="N466">
        <v>0</v>
      </c>
      <c r="O466">
        <v>1.936051E-3</v>
      </c>
      <c r="P466">
        <v>0.99609789999999998</v>
      </c>
      <c r="Q466">
        <v>2.912698E-2</v>
      </c>
      <c r="R466">
        <v>8.3311189999999993E-2</v>
      </c>
      <c r="S466">
        <v>3.064209</v>
      </c>
      <c r="T466">
        <v>-0.35676970000000002</v>
      </c>
      <c r="U466">
        <v>-0.49948120000000001</v>
      </c>
      <c r="V466">
        <v>-8.1377320000000003E-2</v>
      </c>
      <c r="W466">
        <v>4.3619930000000001E-2</v>
      </c>
      <c r="X466">
        <v>0.99572839999999996</v>
      </c>
      <c r="Y466">
        <v>0.1617152</v>
      </c>
      <c r="Z466">
        <v>-9.54499199999999E-3</v>
      </c>
      <c r="AA466">
        <v>0.98679130000000004</v>
      </c>
      <c r="AB466">
        <v>33</v>
      </c>
      <c r="AC466">
        <v>0.56669999999996801</v>
      </c>
      <c r="AD466">
        <v>-9.0347999999999803E-2</v>
      </c>
      <c r="AE466">
        <v>-0.12720000000001599</v>
      </c>
      <c r="AF466">
        <v>0.12526582522954599</v>
      </c>
      <c r="AG466">
        <v>-9.0347999999999803E-2</v>
      </c>
      <c r="AH466">
        <v>0.55306934207729197</v>
      </c>
      <c r="AI466">
        <v>99.052399158071793</v>
      </c>
      <c r="AJ466">
        <v>77.238272094405204</v>
      </c>
      <c r="AK466">
        <v>0.57422990623986803</v>
      </c>
    </row>
    <row r="467" spans="1:37" x14ac:dyDescent="0.2">
      <c r="A467" t="str">
        <f>"20200111153619683"</f>
        <v>20200111153619683</v>
      </c>
      <c r="B467" t="str">
        <f>"1578728179673479"</f>
        <v>1578728179673479</v>
      </c>
      <c r="C467" t="s">
        <v>37</v>
      </c>
      <c r="D467">
        <v>6.2621669999999998</v>
      </c>
      <c r="E467">
        <v>0.59034679999999995</v>
      </c>
      <c r="F467" t="s">
        <v>38</v>
      </c>
      <c r="G467">
        <v>-343.70429999999999</v>
      </c>
      <c r="H467">
        <v>0.99862329999999999</v>
      </c>
      <c r="I467">
        <v>367.68699999999899</v>
      </c>
      <c r="J467">
        <v>-344.34739999999999</v>
      </c>
      <c r="K467">
        <v>1.104544</v>
      </c>
      <c r="L467">
        <v>367.82549999999998</v>
      </c>
      <c r="M467">
        <v>0.99989269999999997</v>
      </c>
      <c r="N467">
        <v>0</v>
      </c>
      <c r="O467">
        <v>1.9017610000000001E-3</v>
      </c>
      <c r="P467">
        <v>0.99612149999999999</v>
      </c>
      <c r="Q467">
        <v>2.8996959999999999E-2</v>
      </c>
      <c r="R467">
        <v>8.3072869999999993E-2</v>
      </c>
      <c r="S467">
        <v>3.0639949999999998</v>
      </c>
      <c r="T467">
        <v>-0.37853239999999999</v>
      </c>
      <c r="U467">
        <v>-0.49221799999999999</v>
      </c>
      <c r="V467">
        <v>-8.1172179999999997E-2</v>
      </c>
      <c r="W467">
        <v>4.348892E-2</v>
      </c>
      <c r="X467">
        <v>0.99575079999999905</v>
      </c>
      <c r="Y467">
        <v>0.15929489999999999</v>
      </c>
      <c r="Z467">
        <v>-9.9734260000000005E-3</v>
      </c>
      <c r="AA467">
        <v>0.98718069999999902</v>
      </c>
      <c r="AB467">
        <v>33</v>
      </c>
      <c r="AC467">
        <v>0.643100000000004</v>
      </c>
      <c r="AD467">
        <v>-0.10592069999999899</v>
      </c>
      <c r="AE467">
        <v>-0.138500000000021</v>
      </c>
      <c r="AF467">
        <v>0.136192152414677</v>
      </c>
      <c r="AG467">
        <v>-0.10592069999999899</v>
      </c>
      <c r="AH467">
        <v>0.62659119008378905</v>
      </c>
      <c r="AI467">
        <v>99.379751508056103</v>
      </c>
      <c r="AJ467">
        <v>77.737262774293498</v>
      </c>
      <c r="AK467">
        <v>0.64991077584423196</v>
      </c>
    </row>
    <row r="468" spans="1:37" x14ac:dyDescent="0.2">
      <c r="A468" t="str">
        <f>"20200111153619700"</f>
        <v>20200111153619700</v>
      </c>
      <c r="B468" t="str">
        <f>"1578728179693507"</f>
        <v>1578728179693507</v>
      </c>
      <c r="C468" t="s">
        <v>37</v>
      </c>
      <c r="D468">
        <v>6.207052</v>
      </c>
      <c r="E468">
        <v>0.58958080000000002</v>
      </c>
      <c r="F468" t="s">
        <v>38</v>
      </c>
      <c r="G468">
        <v>-343.41129999999998</v>
      </c>
      <c r="H468">
        <v>0.98761829999999995</v>
      </c>
      <c r="I468">
        <v>367.67579999999998</v>
      </c>
      <c r="J468">
        <v>-344.0949</v>
      </c>
      <c r="K468">
        <v>1.104533</v>
      </c>
      <c r="L468">
        <v>367.82589999999999</v>
      </c>
      <c r="M468">
        <v>0.99989280000000003</v>
      </c>
      <c r="N468">
        <v>0</v>
      </c>
      <c r="O468">
        <v>1.855174E-3</v>
      </c>
      <c r="P468">
        <v>0.99600109999999997</v>
      </c>
      <c r="Q468">
        <v>3.0086829999999998E-2</v>
      </c>
      <c r="R468">
        <v>8.4123950000000003E-2</v>
      </c>
      <c r="S468">
        <v>3.0636290000000002</v>
      </c>
      <c r="T468">
        <v>-0.38269589999999998</v>
      </c>
      <c r="U468">
        <v>-0.48944090000000001</v>
      </c>
      <c r="V468">
        <v>-8.226928E-2</v>
      </c>
      <c r="W468">
        <v>4.457552E-2</v>
      </c>
      <c r="X468">
        <v>0.99561279999999996</v>
      </c>
      <c r="Y468">
        <v>0.1583754</v>
      </c>
      <c r="Z468">
        <v>-1.002157E-2</v>
      </c>
      <c r="AA468">
        <v>0.98732809999999904</v>
      </c>
      <c r="AB468">
        <v>33</v>
      </c>
      <c r="AC468">
        <v>0.68360000000001198</v>
      </c>
      <c r="AD468">
        <v>-0.116914699999999</v>
      </c>
      <c r="AE468">
        <v>-0.150100000000009</v>
      </c>
      <c r="AF468">
        <v>0.14725878863733699</v>
      </c>
      <c r="AG468">
        <v>-0.116914699999999</v>
      </c>
      <c r="AH468">
        <v>0.66476980792554696</v>
      </c>
      <c r="AI468">
        <v>99.743240419980495</v>
      </c>
      <c r="AJ468">
        <v>77.509622710990101</v>
      </c>
      <c r="AK468">
        <v>0.69084954616500605</v>
      </c>
    </row>
    <row r="469" spans="1:37" x14ac:dyDescent="0.2">
      <c r="A469" t="str">
        <f>"20200111153619713"</f>
        <v>20200111153619713</v>
      </c>
      <c r="B469" t="str">
        <f>"1578728179703267"</f>
        <v>1578728179703267</v>
      </c>
      <c r="C469" t="s">
        <v>37</v>
      </c>
      <c r="D469">
        <v>6.2396399999999996</v>
      </c>
      <c r="E469">
        <v>0.58947150000000004</v>
      </c>
      <c r="F469" t="s">
        <v>38</v>
      </c>
      <c r="G469">
        <v>-343.11610000000002</v>
      </c>
      <c r="H469">
        <v>0.98194169999999903</v>
      </c>
      <c r="I469">
        <v>367.67270000000002</v>
      </c>
      <c r="J469">
        <v>-343.8999</v>
      </c>
      <c r="K469">
        <v>1.104525</v>
      </c>
      <c r="L469">
        <v>367.82619999999997</v>
      </c>
      <c r="M469">
        <v>0.99989280000000003</v>
      </c>
      <c r="N469">
        <v>0</v>
      </c>
      <c r="O469">
        <v>1.8138529999999901E-3</v>
      </c>
      <c r="P469">
        <v>0.99602099999999905</v>
      </c>
      <c r="Q469">
        <v>2.9277029999999999E-2</v>
      </c>
      <c r="R469">
        <v>8.4174540000000006E-2</v>
      </c>
      <c r="S469">
        <v>3.064117</v>
      </c>
      <c r="T469">
        <v>-0.3838435</v>
      </c>
      <c r="U469">
        <v>-0.47909550000000001</v>
      </c>
      <c r="V469">
        <v>-8.2360539999999996E-2</v>
      </c>
      <c r="W469">
        <v>4.3765220000000001E-2</v>
      </c>
      <c r="X469">
        <v>0.9956412</v>
      </c>
      <c r="Y469">
        <v>0.15507470000000001</v>
      </c>
      <c r="Z469">
        <v>-9.8425979999999993E-3</v>
      </c>
      <c r="AA469">
        <v>0.98785369999999995</v>
      </c>
      <c r="AB469">
        <v>33</v>
      </c>
      <c r="AC469">
        <v>0.78379999999998495</v>
      </c>
      <c r="AD469">
        <v>-0.12258330000000001</v>
      </c>
      <c r="AE469">
        <v>-0.15349999999995101</v>
      </c>
      <c r="AF469">
        <v>0.15135620540734901</v>
      </c>
      <c r="AG469">
        <v>-0.12258330000000001</v>
      </c>
      <c r="AH469">
        <v>0.76548819551546099</v>
      </c>
      <c r="AI469">
        <v>98.927970341391102</v>
      </c>
      <c r="AJ469">
        <v>78.815452959316303</v>
      </c>
      <c r="AK469">
        <v>0.78987818290399603</v>
      </c>
    </row>
    <row r="470" spans="1:37" x14ac:dyDescent="0.2">
      <c r="A470" t="str">
        <f>"20200111153619725"</f>
        <v>20200111153619725</v>
      </c>
      <c r="B470" t="str">
        <f>"1578728179723763"</f>
        <v>1578728179723763</v>
      </c>
      <c r="C470" t="s">
        <v>37</v>
      </c>
      <c r="D470">
        <v>6.2586779999999997</v>
      </c>
      <c r="E470">
        <v>0.589132199999999</v>
      </c>
      <c r="F470" t="s">
        <v>38</v>
      </c>
      <c r="G470">
        <v>-343.10559999999998</v>
      </c>
      <c r="H470">
        <v>1.005423</v>
      </c>
      <c r="I470">
        <v>367.702</v>
      </c>
      <c r="J470">
        <v>-343.71510000000001</v>
      </c>
      <c r="K470">
        <v>1.104514</v>
      </c>
      <c r="L470">
        <v>367.82650000000001</v>
      </c>
      <c r="M470">
        <v>0.99989280000000003</v>
      </c>
      <c r="N470">
        <v>0</v>
      </c>
      <c r="O470">
        <v>1.7717010000000001E-3</v>
      </c>
      <c r="P470">
        <v>0.99606130000000004</v>
      </c>
      <c r="Q470">
        <v>2.7171730000000002E-2</v>
      </c>
      <c r="R470">
        <v>8.4402199999999997E-2</v>
      </c>
      <c r="S470">
        <v>3.063599</v>
      </c>
      <c r="T470">
        <v>-0.38230920000000002</v>
      </c>
      <c r="U470">
        <v>-0.47827150000000002</v>
      </c>
      <c r="V470">
        <v>-8.2629579999999994E-2</v>
      </c>
      <c r="W470">
        <v>4.165953E-2</v>
      </c>
      <c r="X470">
        <v>0.99570919999999896</v>
      </c>
      <c r="Y470">
        <v>0.15481059999999999</v>
      </c>
      <c r="Z470">
        <v>-9.7838560000000005E-3</v>
      </c>
      <c r="AA470">
        <v>0.98789570000000004</v>
      </c>
      <c r="AB470">
        <v>33</v>
      </c>
      <c r="AC470">
        <v>0.60950000000002502</v>
      </c>
      <c r="AD470">
        <v>-9.9090999999999999E-2</v>
      </c>
      <c r="AE470">
        <v>-0.124500000000011</v>
      </c>
      <c r="AF470">
        <v>0.122472307031988</v>
      </c>
      <c r="AG470">
        <v>-9.9090999999999999E-2</v>
      </c>
      <c r="AH470">
        <v>0.59420188713017896</v>
      </c>
      <c r="AI470">
        <v>99.276209733774195</v>
      </c>
      <c r="AJ470">
        <v>78.353728305427396</v>
      </c>
      <c r="AK470">
        <v>0.61473114036935095</v>
      </c>
    </row>
    <row r="471" spans="1:37" x14ac:dyDescent="0.2">
      <c r="A471" t="str">
        <f>"20200111153619738"</f>
        <v>20200111153619738</v>
      </c>
      <c r="B471" t="str">
        <f>"1578728179733524"</f>
        <v>1578728179733524</v>
      </c>
      <c r="C471" t="s">
        <v>37</v>
      </c>
      <c r="D471">
        <v>6.2406920000000001</v>
      </c>
      <c r="E471">
        <v>0.589001</v>
      </c>
      <c r="F471" t="s">
        <v>38</v>
      </c>
      <c r="G471">
        <v>-342.81599999999997</v>
      </c>
      <c r="H471">
        <v>0.98879019999999995</v>
      </c>
      <c r="I471">
        <v>367.68680000000001</v>
      </c>
      <c r="J471">
        <v>-343.5292</v>
      </c>
      <c r="K471">
        <v>1.104509</v>
      </c>
      <c r="L471">
        <v>367.82679999999999</v>
      </c>
      <c r="M471">
        <v>0.99989309999999998</v>
      </c>
      <c r="N471">
        <v>0</v>
      </c>
      <c r="O471">
        <v>1.7268069999999999E-3</v>
      </c>
      <c r="P471">
        <v>0.99609059999999905</v>
      </c>
      <c r="Q471">
        <v>2.5523359999999998E-2</v>
      </c>
      <c r="R471">
        <v>8.4572019999999998E-2</v>
      </c>
      <c r="S471">
        <v>3.062897</v>
      </c>
      <c r="T471">
        <v>-0.39439679999999999</v>
      </c>
      <c r="U471">
        <v>-0.47503659999999998</v>
      </c>
      <c r="V471">
        <v>-8.284453E-2</v>
      </c>
      <c r="W471">
        <v>4.0011049999999999E-2</v>
      </c>
      <c r="X471">
        <v>0.99575899999999995</v>
      </c>
      <c r="Y471">
        <v>0.1537145</v>
      </c>
      <c r="Z471">
        <v>-1.001822E-2</v>
      </c>
      <c r="AA471">
        <v>0.98806450000000001</v>
      </c>
      <c r="AB471">
        <v>33</v>
      </c>
      <c r="AC471">
        <v>0.71320000000002803</v>
      </c>
      <c r="AD471">
        <v>-0.1157188</v>
      </c>
      <c r="AE471">
        <v>-0.139999999999986</v>
      </c>
      <c r="AF471">
        <v>0.137739879290909</v>
      </c>
      <c r="AG471">
        <v>-0.1157188</v>
      </c>
      <c r="AH471">
        <v>0.69533104809442603</v>
      </c>
      <c r="AI471">
        <v>99.271769537156501</v>
      </c>
      <c r="AJ471">
        <v>78.795193061843605</v>
      </c>
      <c r="AK471">
        <v>0.71822585686161999</v>
      </c>
    </row>
    <row r="472" spans="1:37" x14ac:dyDescent="0.2">
      <c r="A472" t="str">
        <f>"20200111153619755"</f>
        <v>20200111153619755</v>
      </c>
      <c r="B472" t="str">
        <f>"1578728179743283"</f>
        <v>1578728179743283</v>
      </c>
      <c r="C472" t="s">
        <v>37</v>
      </c>
      <c r="D472">
        <v>6.2892609999999998</v>
      </c>
      <c r="E472">
        <v>0.58898459999999997</v>
      </c>
      <c r="F472" t="s">
        <v>38</v>
      </c>
      <c r="G472">
        <v>-342.80610000000001</v>
      </c>
      <c r="H472">
        <v>1.0103770000000001</v>
      </c>
      <c r="I472">
        <v>367.71460000000002</v>
      </c>
      <c r="J472">
        <v>-343.27589999999998</v>
      </c>
      <c r="K472">
        <v>1.1044929999999999</v>
      </c>
      <c r="L472">
        <v>367.82709999999997</v>
      </c>
      <c r="M472">
        <v>0.99989319999999904</v>
      </c>
      <c r="N472">
        <v>0</v>
      </c>
      <c r="O472">
        <v>1.6584589999999999E-3</v>
      </c>
      <c r="P472">
        <v>0.99610529999999997</v>
      </c>
      <c r="Q472">
        <v>2.4272579999999998E-2</v>
      </c>
      <c r="R472">
        <v>8.476707E-2</v>
      </c>
      <c r="S472">
        <v>3.0622250000000002</v>
      </c>
      <c r="T472">
        <v>-0.39880599999999999</v>
      </c>
      <c r="U472">
        <v>-0.47387699999999999</v>
      </c>
      <c r="V472">
        <v>-8.3107399999999998E-2</v>
      </c>
      <c r="W472">
        <v>3.8758880000000002E-2</v>
      </c>
      <c r="X472">
        <v>0.99578659999999997</v>
      </c>
      <c r="Y472">
        <v>0.1532897</v>
      </c>
      <c r="Z472">
        <v>-1.009557E-2</v>
      </c>
      <c r="AA472">
        <v>0.988129699999999</v>
      </c>
      <c r="AB472">
        <v>33</v>
      </c>
      <c r="AC472">
        <v>0.46979999999996302</v>
      </c>
      <c r="AD472">
        <v>-9.4115999999999797E-2</v>
      </c>
      <c r="AE472">
        <v>-0.112499999999954</v>
      </c>
      <c r="AF472">
        <v>0.109136636987157</v>
      </c>
      <c r="AG472">
        <v>-9.4115999999999797E-2</v>
      </c>
      <c r="AH472">
        <v>0.452439770068429</v>
      </c>
      <c r="AI472">
        <v>101.432121662957</v>
      </c>
      <c r="AJ472">
        <v>76.438297029723699</v>
      </c>
      <c r="AK472">
        <v>0.47483720634385801</v>
      </c>
    </row>
    <row r="473" spans="1:37" x14ac:dyDescent="0.2">
      <c r="A473" t="str">
        <f>"20200111153619768"</f>
        <v>20200111153619768</v>
      </c>
      <c r="B473" t="str">
        <f>"1578728179762804"</f>
        <v>1578728179762804</v>
      </c>
      <c r="C473" t="s">
        <v>37</v>
      </c>
      <c r="D473">
        <v>6.3049869999999997</v>
      </c>
      <c r="E473">
        <v>0.58879479999999995</v>
      </c>
      <c r="F473" t="s">
        <v>38</v>
      </c>
      <c r="G473">
        <v>-342.51229999999998</v>
      </c>
      <c r="H473">
        <v>1.003649</v>
      </c>
      <c r="I473">
        <v>367.7088</v>
      </c>
      <c r="J473">
        <v>-343.09219999999999</v>
      </c>
      <c r="K473">
        <v>1.104492</v>
      </c>
      <c r="L473">
        <v>367.82740000000001</v>
      </c>
      <c r="M473">
        <v>0.99989319999999904</v>
      </c>
      <c r="N473">
        <v>0</v>
      </c>
      <c r="O473">
        <v>1.6053389999999999E-3</v>
      </c>
      <c r="P473">
        <v>0.99613779999999996</v>
      </c>
      <c r="Q473">
        <v>2.3782060000000001E-2</v>
      </c>
      <c r="R473">
        <v>8.4521449999999998E-2</v>
      </c>
      <c r="S473">
        <v>3.0618289999999999</v>
      </c>
      <c r="T473">
        <v>-0.40460780000000002</v>
      </c>
      <c r="U473">
        <v>-0.47317500000000001</v>
      </c>
      <c r="V473">
        <v>-8.2913819999999999E-2</v>
      </c>
      <c r="W473">
        <v>3.8267629999999997E-2</v>
      </c>
      <c r="X473">
        <v>0.99582169999999903</v>
      </c>
      <c r="Y473">
        <v>0.15300059999999999</v>
      </c>
      <c r="Z473">
        <v>-1.021683E-2</v>
      </c>
      <c r="AA473">
        <v>0.98817330000000003</v>
      </c>
      <c r="AB473">
        <v>33</v>
      </c>
      <c r="AC473">
        <v>0.57990000000000896</v>
      </c>
      <c r="AD473">
        <v>-0.100843</v>
      </c>
      <c r="AE473">
        <v>-0.118600000000014</v>
      </c>
      <c r="AF473">
        <v>0.11615922638078</v>
      </c>
      <c r="AG473">
        <v>-0.100843</v>
      </c>
      <c r="AH473">
        <v>0.56335676165767601</v>
      </c>
      <c r="AI473">
        <v>99.943802438757601</v>
      </c>
      <c r="AJ473">
        <v>78.349389058918007</v>
      </c>
      <c r="AK473">
        <v>0.58398040842806098</v>
      </c>
    </row>
    <row r="474" spans="1:37" x14ac:dyDescent="0.2">
      <c r="A474" t="str">
        <f>"20200111153619781"</f>
        <v>20200111153619781</v>
      </c>
      <c r="B474" t="str">
        <f>"1578728179773539"</f>
        <v>1578728179773539</v>
      </c>
      <c r="C474" t="s">
        <v>37</v>
      </c>
      <c r="D474">
        <v>6.2197440000000004</v>
      </c>
      <c r="E474">
        <v>0.58867080000000005</v>
      </c>
      <c r="F474" t="s">
        <v>38</v>
      </c>
      <c r="G474">
        <v>-342.22269999999997</v>
      </c>
      <c r="H474">
        <v>0.98839929999999998</v>
      </c>
      <c r="I474">
        <v>367.69330000000002</v>
      </c>
      <c r="J474">
        <v>-342.8922</v>
      </c>
      <c r="K474">
        <v>1.1044929999999999</v>
      </c>
      <c r="L474">
        <v>367.82760000000002</v>
      </c>
      <c r="M474">
        <v>0.99989340000000004</v>
      </c>
      <c r="N474">
        <v>0</v>
      </c>
      <c r="O474">
        <v>1.544941E-3</v>
      </c>
      <c r="P474">
        <v>0.99611559999999899</v>
      </c>
      <c r="Q474">
        <v>2.4389339999999999E-2</v>
      </c>
      <c r="R474">
        <v>8.4610939999999996E-2</v>
      </c>
      <c r="S474">
        <v>3.0614619999999899</v>
      </c>
      <c r="T474">
        <v>-0.40878009999999998</v>
      </c>
      <c r="U474">
        <v>-0.47201539999999997</v>
      </c>
      <c r="V474">
        <v>-8.3062869999999997E-2</v>
      </c>
      <c r="W474">
        <v>3.8874190000000003E-2</v>
      </c>
      <c r="X474">
        <v>0.99578580000000005</v>
      </c>
      <c r="Y474">
        <v>0.15256989999999901</v>
      </c>
      <c r="Z474">
        <v>-1.028633E-2</v>
      </c>
      <c r="AA474">
        <v>0.98823919999999998</v>
      </c>
      <c r="AB474">
        <v>33</v>
      </c>
      <c r="AC474">
        <v>0.66950000000002696</v>
      </c>
      <c r="AD474">
        <v>-0.11609369999999899</v>
      </c>
      <c r="AE474">
        <v>-0.13429999999999601</v>
      </c>
      <c r="AF474">
        <v>0.13153226012696401</v>
      </c>
      <c r="AG474">
        <v>-0.11609369999999899</v>
      </c>
      <c r="AH474">
        <v>0.65048888382025305</v>
      </c>
      <c r="AI474">
        <v>99.922414252843794</v>
      </c>
      <c r="AJ474">
        <v>78.568627978382395</v>
      </c>
      <c r="AK474">
        <v>0.67373160131280396</v>
      </c>
    </row>
    <row r="475" spans="1:37" x14ac:dyDescent="0.2">
      <c r="A475" t="str">
        <f>"20200111153619793"</f>
        <v>20200111153619793</v>
      </c>
      <c r="B475" t="str">
        <f>"1578728179783299"</f>
        <v>1578728179783299</v>
      </c>
      <c r="C475" t="s">
        <v>37</v>
      </c>
      <c r="D475">
        <v>6.2176830000000001</v>
      </c>
      <c r="E475">
        <v>0.58847389999999999</v>
      </c>
      <c r="F475" t="s">
        <v>38</v>
      </c>
      <c r="G475">
        <v>-341.93150000000003</v>
      </c>
      <c r="H475">
        <v>0.97672130000000001</v>
      </c>
      <c r="I475">
        <v>367.67970000000003</v>
      </c>
      <c r="J475">
        <v>-342.70119999999997</v>
      </c>
      <c r="K475">
        <v>1.104492</v>
      </c>
      <c r="L475">
        <v>367.8279</v>
      </c>
      <c r="M475">
        <v>0.99989359999999905</v>
      </c>
      <c r="N475">
        <v>0</v>
      </c>
      <c r="O475">
        <v>1.4830620000000001E-3</v>
      </c>
      <c r="P475">
        <v>0.99616039999999995</v>
      </c>
      <c r="Q475">
        <v>2.485186E-2</v>
      </c>
      <c r="R475">
        <v>8.3947240000000006E-2</v>
      </c>
      <c r="S475">
        <v>3.0616150000000002</v>
      </c>
      <c r="T475">
        <v>-0.4073387</v>
      </c>
      <c r="U475">
        <v>-0.47039789999999998</v>
      </c>
      <c r="V475">
        <v>-8.2460249999999999E-2</v>
      </c>
      <c r="W475">
        <v>3.9335410000000001E-2</v>
      </c>
      <c r="X475">
        <v>0.99581779999999998</v>
      </c>
      <c r="Y475">
        <v>0.152006</v>
      </c>
      <c r="Z475">
        <v>-1.0205000000000001E-2</v>
      </c>
      <c r="AA475">
        <v>0.98832690000000001</v>
      </c>
      <c r="AB475">
        <v>33</v>
      </c>
      <c r="AC475">
        <v>0.76969999999994299</v>
      </c>
      <c r="AD475">
        <v>-0.12777069999999999</v>
      </c>
      <c r="AE475">
        <v>-0.14819999999997399</v>
      </c>
      <c r="AF475">
        <v>0.14547600482954201</v>
      </c>
      <c r="AG475">
        <v>-0.12777069999999999</v>
      </c>
      <c r="AH475">
        <v>0.74956259790382096</v>
      </c>
      <c r="AI475">
        <v>99.499736300262398</v>
      </c>
      <c r="AJ475">
        <v>79.016514934294705</v>
      </c>
      <c r="AK475">
        <v>0.77416581423877195</v>
      </c>
    </row>
    <row r="476" spans="1:37" x14ac:dyDescent="0.2">
      <c r="A476" t="str">
        <f>"20200111153619806"</f>
        <v>20200111153619806</v>
      </c>
      <c r="B476" t="str">
        <f>"1578728179803327"</f>
        <v>1578728179803327</v>
      </c>
      <c r="C476" t="s">
        <v>37</v>
      </c>
      <c r="D476">
        <v>6.2369589999999997</v>
      </c>
      <c r="E476">
        <v>0.58835859999999995</v>
      </c>
      <c r="F476" t="s">
        <v>38</v>
      </c>
      <c r="G476">
        <v>-341.92070000000001</v>
      </c>
      <c r="H476">
        <v>1.0008030000000001</v>
      </c>
      <c r="I476">
        <v>367.70769999999999</v>
      </c>
      <c r="J476">
        <v>-342.51929999999999</v>
      </c>
      <c r="K476">
        <v>1.10449</v>
      </c>
      <c r="L476">
        <v>367.82810000000001</v>
      </c>
      <c r="M476">
        <v>0.9998937</v>
      </c>
      <c r="N476">
        <v>0</v>
      </c>
      <c r="O476">
        <v>1.421844E-3</v>
      </c>
      <c r="P476">
        <v>0.9961392</v>
      </c>
      <c r="Q476">
        <v>2.594277E-2</v>
      </c>
      <c r="R476">
        <v>8.3868029999999996E-2</v>
      </c>
      <c r="S476">
        <v>3.0613709999999998</v>
      </c>
      <c r="T476">
        <v>-0.40679579999999999</v>
      </c>
      <c r="U476">
        <v>-0.4704895</v>
      </c>
      <c r="V476">
        <v>-8.2441459999999994E-2</v>
      </c>
      <c r="W476">
        <v>4.0425080000000002E-2</v>
      </c>
      <c r="X476">
        <v>0.99577569999999904</v>
      </c>
      <c r="Y476">
        <v>0.15199019999999999</v>
      </c>
      <c r="Z476">
        <v>-1.018319E-2</v>
      </c>
      <c r="AA476">
        <v>0.98832949999999997</v>
      </c>
      <c r="AB476">
        <v>33</v>
      </c>
      <c r="AC476">
        <v>0.59859999999997604</v>
      </c>
      <c r="AD476">
        <v>-0.103686999999999</v>
      </c>
      <c r="AE476">
        <v>-0.12040000000001699</v>
      </c>
      <c r="AF476">
        <v>0.117852557548076</v>
      </c>
      <c r="AG476">
        <v>-0.103686999999999</v>
      </c>
      <c r="AH476">
        <v>0.58165494408831298</v>
      </c>
      <c r="AI476">
        <v>99.910226825933904</v>
      </c>
      <c r="AJ476">
        <v>78.546023216516701</v>
      </c>
      <c r="AK476">
        <v>0.60246385225339505</v>
      </c>
    </row>
    <row r="477" spans="1:37" x14ac:dyDescent="0.2">
      <c r="A477" t="str">
        <f>"20200111153619822"</f>
        <v>20200111153619822</v>
      </c>
      <c r="B477" t="str">
        <f>"1578728179813087"</f>
        <v>1578728179813087</v>
      </c>
      <c r="C477" t="s">
        <v>37</v>
      </c>
      <c r="D477">
        <v>6.3145210000000001</v>
      </c>
      <c r="E477">
        <v>0.58846969999999899</v>
      </c>
      <c r="F477" t="s">
        <v>38</v>
      </c>
      <c r="G477">
        <v>-341.6311</v>
      </c>
      <c r="H477">
        <v>0.98679709999999998</v>
      </c>
      <c r="I477">
        <v>367.69209999999998</v>
      </c>
      <c r="J477">
        <v>-342.2724</v>
      </c>
      <c r="K477">
        <v>1.104479</v>
      </c>
      <c r="L477">
        <v>367.82830000000001</v>
      </c>
      <c r="M477">
        <v>0.99989399999999995</v>
      </c>
      <c r="N477">
        <v>0</v>
      </c>
      <c r="O477">
        <v>1.3352150000000001E-3</v>
      </c>
      <c r="P477">
        <v>0.99612869999999998</v>
      </c>
      <c r="Q477">
        <v>2.6294689999999999E-2</v>
      </c>
      <c r="R477">
        <v>8.3884429999999996E-2</v>
      </c>
      <c r="S477">
        <v>3.0616460000000001</v>
      </c>
      <c r="T477">
        <v>-0.40573599999999999</v>
      </c>
      <c r="U477">
        <v>-0.46865839999999998</v>
      </c>
      <c r="V477">
        <v>-8.2543320000000003E-2</v>
      </c>
      <c r="W477">
        <v>4.0775270000000002E-2</v>
      </c>
      <c r="X477">
        <v>0.995753</v>
      </c>
      <c r="Y477">
        <v>0.15132709999999999</v>
      </c>
      <c r="Z477">
        <v>-1.0101580000000001E-2</v>
      </c>
      <c r="AA477">
        <v>0.98843210000000004</v>
      </c>
      <c r="AB477">
        <v>33</v>
      </c>
      <c r="AC477">
        <v>0.64130000000000098</v>
      </c>
      <c r="AD477">
        <v>-0.11768190000000001</v>
      </c>
      <c r="AE477">
        <v>-0.13620000000002999</v>
      </c>
      <c r="AF477">
        <v>0.13277802468150399</v>
      </c>
      <c r="AG477">
        <v>-0.11768190000000001</v>
      </c>
      <c r="AH477">
        <v>0.62110503715597198</v>
      </c>
      <c r="AI477">
        <v>100.497022116536</v>
      </c>
      <c r="AJ477">
        <v>77.9331086857473</v>
      </c>
      <c r="AK477">
        <v>0.64594930188556898</v>
      </c>
    </row>
    <row r="478" spans="1:37" x14ac:dyDescent="0.2">
      <c r="A478" t="str">
        <f>"20200111153619836"</f>
        <v>20200111153619836</v>
      </c>
      <c r="B478" t="str">
        <f>"1578728179833583"</f>
        <v>1578728179833583</v>
      </c>
      <c r="C478" t="s">
        <v>37</v>
      </c>
      <c r="D478">
        <v>6.2320310000000001</v>
      </c>
      <c r="E478">
        <v>0.58821279999999998</v>
      </c>
      <c r="F478" t="s">
        <v>38</v>
      </c>
      <c r="G478">
        <v>-341.33819999999997</v>
      </c>
      <c r="H478">
        <v>0.98068739999999999</v>
      </c>
      <c r="I478">
        <v>367.68509999999998</v>
      </c>
      <c r="J478">
        <v>-342.07139999999998</v>
      </c>
      <c r="K478">
        <v>1.1044659999999999</v>
      </c>
      <c r="L478">
        <v>367.82859999999999</v>
      </c>
      <c r="M478">
        <v>0.9998939</v>
      </c>
      <c r="N478">
        <v>0</v>
      </c>
      <c r="O478">
        <v>1.260824E-3</v>
      </c>
      <c r="P478">
        <v>0.99618009999999901</v>
      </c>
      <c r="Q478">
        <v>2.523239E-2</v>
      </c>
      <c r="R478">
        <v>8.3598930000000002E-2</v>
      </c>
      <c r="S478">
        <v>3.061798</v>
      </c>
      <c r="T478">
        <v>-0.405914099999999</v>
      </c>
      <c r="U478">
        <v>-0.46871949999999901</v>
      </c>
      <c r="V478">
        <v>-8.2331749999999995E-2</v>
      </c>
      <c r="W478">
        <v>3.9712289999999997E-2</v>
      </c>
      <c r="X478">
        <v>0.99581339999999996</v>
      </c>
      <c r="Y478">
        <v>0.1512656</v>
      </c>
      <c r="Z478">
        <v>-1.0091670000000001E-2</v>
      </c>
      <c r="AA478">
        <v>0.98844159999999903</v>
      </c>
      <c r="AB478">
        <v>33</v>
      </c>
      <c r="AC478">
        <v>0.73320000000000995</v>
      </c>
      <c r="AD478">
        <v>-0.123778599999999</v>
      </c>
      <c r="AE478">
        <v>-0.143500000000017</v>
      </c>
      <c r="AF478">
        <v>0.14056606918551501</v>
      </c>
      <c r="AG478">
        <v>-0.123778599999999</v>
      </c>
      <c r="AH478">
        <v>0.71343561806339895</v>
      </c>
      <c r="AI478">
        <v>99.660516712132704</v>
      </c>
      <c r="AJ478">
        <v>78.853950375158107</v>
      </c>
      <c r="AK478">
        <v>0.73761124092961805</v>
      </c>
    </row>
    <row r="479" spans="1:37" x14ac:dyDescent="0.2">
      <c r="A479" t="str">
        <f>"20200111153619857"</f>
        <v>20200111153619857</v>
      </c>
      <c r="B479" t="str">
        <f>"1578728179853103"</f>
        <v>1578728179853103</v>
      </c>
      <c r="C479" t="s">
        <v>37</v>
      </c>
      <c r="D479">
        <v>6.3413620000000002</v>
      </c>
      <c r="E479">
        <v>0.58785399999999999</v>
      </c>
      <c r="F479" t="s">
        <v>38</v>
      </c>
      <c r="G479">
        <v>-341.32709999999997</v>
      </c>
      <c r="H479">
        <v>1.0048629999999901</v>
      </c>
      <c r="I479">
        <v>367.71469999999999</v>
      </c>
      <c r="J479">
        <v>-341.78179999999998</v>
      </c>
      <c r="K479">
        <v>1.104447</v>
      </c>
      <c r="L479">
        <v>367.8288</v>
      </c>
      <c r="M479">
        <v>0.99989409999999901</v>
      </c>
      <c r="N479">
        <v>0</v>
      </c>
      <c r="O479">
        <v>1.147005E-3</v>
      </c>
      <c r="P479">
        <v>0.99636279999999999</v>
      </c>
      <c r="Q479">
        <v>2.269119E-2</v>
      </c>
      <c r="R479">
        <v>8.2136619999999994E-2</v>
      </c>
      <c r="S479">
        <v>3.0611269999999999</v>
      </c>
      <c r="T479">
        <v>-0.40990159999999998</v>
      </c>
      <c r="U479">
        <v>-0.46749879999999999</v>
      </c>
      <c r="V479">
        <v>-8.0982509999999994E-2</v>
      </c>
      <c r="W479">
        <v>3.7171679999999999E-2</v>
      </c>
      <c r="X479">
        <v>0.99602219999999997</v>
      </c>
      <c r="Y479">
        <v>0.15077929999999901</v>
      </c>
      <c r="Z479">
        <v>-1.0145120000000001E-2</v>
      </c>
      <c r="AA479">
        <v>0.98851540000000004</v>
      </c>
      <c r="AB479">
        <v>33</v>
      </c>
      <c r="AC479">
        <v>0.45470000000000199</v>
      </c>
      <c r="AD479">
        <v>-9.9584000000000103E-2</v>
      </c>
      <c r="AE479">
        <v>-0.114100000000007</v>
      </c>
      <c r="AF479">
        <v>0.109672639364711</v>
      </c>
      <c r="AG479">
        <v>-9.9584000000000103E-2</v>
      </c>
      <c r="AH479">
        <v>0.43494241114405502</v>
      </c>
      <c r="AI479">
        <v>102.517214821129</v>
      </c>
      <c r="AJ479">
        <v>75.847639001569505</v>
      </c>
      <c r="AK479">
        <v>0.459477923183504</v>
      </c>
    </row>
    <row r="480" spans="1:37" x14ac:dyDescent="0.2">
      <c r="A480" t="str">
        <f>"20200111153619879"</f>
        <v>20200111153619879</v>
      </c>
      <c r="B480" t="str">
        <f>"1578728179873599"</f>
        <v>1578728179873599</v>
      </c>
      <c r="C480" t="s">
        <v>37</v>
      </c>
      <c r="D480">
        <v>5.989344</v>
      </c>
      <c r="E480">
        <v>0.55405979999999999</v>
      </c>
      <c r="F480" t="s">
        <v>38</v>
      </c>
      <c r="G480">
        <v>-341.0333</v>
      </c>
      <c r="H480">
        <v>1.0021389999999999</v>
      </c>
      <c r="I480">
        <v>367.714</v>
      </c>
      <c r="J480">
        <v>-341.45170000000002</v>
      </c>
      <c r="K480">
        <v>1.1044240000000001</v>
      </c>
      <c r="L480">
        <v>367.82900000000001</v>
      </c>
      <c r="M480">
        <v>0.99989439999999996</v>
      </c>
      <c r="N480">
        <v>0</v>
      </c>
      <c r="O480">
        <v>1.008547E-3</v>
      </c>
      <c r="P480">
        <v>0.99655130000000003</v>
      </c>
      <c r="Q480">
        <v>2.0127619999999999E-2</v>
      </c>
      <c r="R480">
        <v>8.0503530000000004E-2</v>
      </c>
      <c r="S480">
        <v>3.0591430000000002</v>
      </c>
      <c r="T480">
        <v>-0.41815829999999998</v>
      </c>
      <c r="U480">
        <v>-0.46878049999999999</v>
      </c>
      <c r="V480">
        <v>-7.9487020000000005E-2</v>
      </c>
      <c r="W480">
        <v>3.4608430000000003E-2</v>
      </c>
      <c r="X480">
        <v>0.99623499999999998</v>
      </c>
      <c r="Y480">
        <v>0.1510859</v>
      </c>
      <c r="Z480">
        <v>-1.0355899999999999E-2</v>
      </c>
      <c r="AA480">
        <v>0.98846639999999997</v>
      </c>
      <c r="AB480">
        <v>33</v>
      </c>
      <c r="AC480">
        <v>0.41840000000001898</v>
      </c>
      <c r="AD480">
        <v>-0.102285</v>
      </c>
      <c r="AE480">
        <v>-0.115000000000009</v>
      </c>
      <c r="AF480">
        <v>0.10934600854316399</v>
      </c>
      <c r="AG480">
        <v>-0.102285</v>
      </c>
      <c r="AH480">
        <v>0.39626482119816597</v>
      </c>
      <c r="AI480">
        <v>103.972778680608</v>
      </c>
      <c r="AJ480">
        <v>74.573596194273094</v>
      </c>
      <c r="AK480">
        <v>0.42360899344623998</v>
      </c>
    </row>
    <row r="481" spans="1:37" x14ac:dyDescent="0.2">
      <c r="A481" t="str">
        <f>"20200111153619892"</f>
        <v>20200111153619892</v>
      </c>
      <c r="B481" t="str">
        <f>"1578728179883359"</f>
        <v>1578728179883359</v>
      </c>
      <c r="C481" t="s">
        <v>37</v>
      </c>
      <c r="D481">
        <v>5.9696249999999997</v>
      </c>
      <c r="E481">
        <v>0.49247370000000001</v>
      </c>
      <c r="F481" t="s">
        <v>38</v>
      </c>
      <c r="G481">
        <v>-340.71719999999999</v>
      </c>
      <c r="H481">
        <v>1.044076</v>
      </c>
      <c r="I481">
        <v>367.7808</v>
      </c>
      <c r="J481">
        <v>-341.24470000000002</v>
      </c>
      <c r="K481">
        <v>1.1044119999999999</v>
      </c>
      <c r="L481">
        <v>367.82909999999998</v>
      </c>
      <c r="M481">
        <v>0.99989450000000002</v>
      </c>
      <c r="N481">
        <v>0</v>
      </c>
      <c r="O481">
        <v>9.1548319999999999E-4</v>
      </c>
      <c r="P481">
        <v>0.99666849999999996</v>
      </c>
      <c r="Q481">
        <v>1.8068029999999999E-2</v>
      </c>
      <c r="R481">
        <v>7.9534450000000007E-2</v>
      </c>
      <c r="S481">
        <v>3.0314030000000001</v>
      </c>
      <c r="T481">
        <v>-0.24933930000000001</v>
      </c>
      <c r="U481">
        <v>-0.19790650000000001</v>
      </c>
      <c r="V481">
        <v>-7.8611230000000004E-2</v>
      </c>
      <c r="W481">
        <v>3.2549179999999997E-2</v>
      </c>
      <c r="X481">
        <v>0.99637379999999998</v>
      </c>
      <c r="Y481">
        <v>6.5835909999999997E-2</v>
      </c>
      <c r="Z481">
        <v>-2.7752509999999998E-3</v>
      </c>
      <c r="AA481">
        <v>0.99782660000000001</v>
      </c>
      <c r="AB481">
        <v>33</v>
      </c>
      <c r="AC481">
        <v>0.52750000000003106</v>
      </c>
      <c r="AD481">
        <v>-6.0336000000000098E-2</v>
      </c>
      <c r="AE481">
        <v>-4.8299999999983301E-2</v>
      </c>
      <c r="AF481">
        <v>4.81581323744978E-2</v>
      </c>
      <c r="AG481">
        <v>-6.0336000000000098E-2</v>
      </c>
      <c r="AH481">
        <v>0.52069986755854203</v>
      </c>
      <c r="AI481">
        <v>96.581818224429696</v>
      </c>
      <c r="AJ481">
        <v>84.715899571779801</v>
      </c>
      <c r="AK481">
        <v>0.52639148044519402</v>
      </c>
    </row>
    <row r="482" spans="1:37" x14ac:dyDescent="0.2">
      <c r="A482" t="str">
        <f>"20200111153619919"</f>
        <v>20200111153619919</v>
      </c>
      <c r="B482" t="str">
        <f>"1578728179913148"</f>
        <v>1578728179913148</v>
      </c>
      <c r="C482" t="s">
        <v>37</v>
      </c>
      <c r="D482">
        <v>5.8315650000000003</v>
      </c>
      <c r="E482">
        <v>0.49230410000000002</v>
      </c>
      <c r="F482" t="s">
        <v>39</v>
      </c>
      <c r="G482">
        <v>-322.09809999999999</v>
      </c>
      <c r="H482" s="1">
        <v>-3.3933869999999998E-6</v>
      </c>
      <c r="I482">
        <v>369.695999999999</v>
      </c>
      <c r="J482">
        <v>-340.86279999999999</v>
      </c>
      <c r="K482">
        <v>1.104387</v>
      </c>
      <c r="L482">
        <v>367.82929999999999</v>
      </c>
      <c r="M482">
        <v>0.99989459999999997</v>
      </c>
      <c r="N482">
        <v>0</v>
      </c>
      <c r="O482">
        <v>7.3411899999999998E-4</v>
      </c>
      <c r="P482">
        <v>0.99685419999999902</v>
      </c>
      <c r="Q482">
        <v>1.3915500000000001E-2</v>
      </c>
      <c r="R482">
        <v>7.8026159999999997E-2</v>
      </c>
      <c r="S482">
        <v>2.9899290000000001</v>
      </c>
      <c r="T482">
        <v>-0.17246429999999999</v>
      </c>
      <c r="U482">
        <v>0.29153440000000003</v>
      </c>
      <c r="V482">
        <v>-7.7284000000000005E-2</v>
      </c>
      <c r="W482">
        <v>2.839786E-2</v>
      </c>
      <c r="X482">
        <v>0.99660459999999995</v>
      </c>
      <c r="Y482">
        <v>-9.6157359999999997E-2</v>
      </c>
      <c r="Z482">
        <v>2.7222050000000001E-3</v>
      </c>
      <c r="AA482">
        <v>0.99536239999999998</v>
      </c>
      <c r="AB482">
        <v>33</v>
      </c>
      <c r="AC482">
        <v>18.764700000000001</v>
      </c>
      <c r="AD482">
        <v>-1.1043903933870001</v>
      </c>
      <c r="AE482">
        <v>1.86669999999998</v>
      </c>
      <c r="AF482">
        <v>-1.8465888548920599</v>
      </c>
      <c r="AG482">
        <v>-1.1043903933870001</v>
      </c>
      <c r="AH482">
        <v>18.701919189787699</v>
      </c>
      <c r="AI482">
        <v>93.363203322893696</v>
      </c>
      <c r="AJ482">
        <v>95.638989099631402</v>
      </c>
      <c r="AK482">
        <v>18.825284856314099</v>
      </c>
    </row>
    <row r="483" spans="1:37" x14ac:dyDescent="0.2">
      <c r="A483" t="str">
        <f>"20200111153619934"</f>
        <v>20200111153619934</v>
      </c>
      <c r="B483" t="str">
        <f>"1578728179922906"</f>
        <v>1578728179922906</v>
      </c>
      <c r="C483" t="s">
        <v>37</v>
      </c>
      <c r="D483">
        <v>5.7940870000000002</v>
      </c>
      <c r="E483">
        <v>0.49323420000000001</v>
      </c>
      <c r="F483" t="s">
        <v>39</v>
      </c>
      <c r="G483">
        <v>-323.91419999999999</v>
      </c>
      <c r="H483" s="1">
        <v>-2.6206829999999999E-6</v>
      </c>
      <c r="I483">
        <v>369.46109999999999</v>
      </c>
      <c r="J483">
        <v>-340.63619999999997</v>
      </c>
      <c r="K483">
        <v>1.1043609999999999</v>
      </c>
      <c r="L483">
        <v>367.82929999999999</v>
      </c>
      <c r="M483">
        <v>0.99989470000000003</v>
      </c>
      <c r="N483">
        <v>0</v>
      </c>
      <c r="O483">
        <v>6.1862419999999998E-4</v>
      </c>
      <c r="P483">
        <v>0.99693869999999896</v>
      </c>
      <c r="Q483">
        <v>7.9748939999999997E-3</v>
      </c>
      <c r="R483">
        <v>7.7778730000000004E-2</v>
      </c>
      <c r="S483">
        <v>2.9896240000000001</v>
      </c>
      <c r="T483">
        <v>-0.19480629999999999</v>
      </c>
      <c r="U483">
        <v>0.28784179999999998</v>
      </c>
      <c r="V483">
        <v>-7.7153559999999996E-2</v>
      </c>
      <c r="W483">
        <v>2.245745E-2</v>
      </c>
      <c r="X483">
        <v>0.99676629999999999</v>
      </c>
      <c r="Y483">
        <v>-9.5022860000000001E-2</v>
      </c>
      <c r="Z483">
        <v>3.045313E-3</v>
      </c>
      <c r="AA483">
        <v>0.99547039999999998</v>
      </c>
      <c r="AB483">
        <v>33</v>
      </c>
      <c r="AC483">
        <v>16.721999999999898</v>
      </c>
      <c r="AD483">
        <v>-1.1043636206830001</v>
      </c>
      <c r="AE483">
        <v>1.6317999999999899</v>
      </c>
      <c r="AF483">
        <v>-1.6144786487746301</v>
      </c>
      <c r="AG483">
        <v>-1.1043636206830001</v>
      </c>
      <c r="AH483">
        <v>16.651065832294499</v>
      </c>
      <c r="AI483">
        <v>93.776861940083904</v>
      </c>
      <c r="AJ483">
        <v>95.538057474249101</v>
      </c>
      <c r="AK483">
        <v>16.765564519736301</v>
      </c>
    </row>
    <row r="484" spans="1:37" x14ac:dyDescent="0.2">
      <c r="A484" t="str">
        <f>"20200111153619948"</f>
        <v>20200111153619948</v>
      </c>
      <c r="B484" t="str">
        <f>"1578728179943403"</f>
        <v>1578728179943403</v>
      </c>
      <c r="C484" t="s">
        <v>37</v>
      </c>
      <c r="D484">
        <v>5.7898959999999997</v>
      </c>
      <c r="E484">
        <v>0.49463289999999999</v>
      </c>
      <c r="F484" t="s">
        <v>39</v>
      </c>
      <c r="G484">
        <v>-325.69650000000001</v>
      </c>
      <c r="H484" s="1">
        <v>-1.8978620000000001E-6</v>
      </c>
      <c r="I484">
        <v>369.22550000000001</v>
      </c>
      <c r="J484">
        <v>-340.43549999999999</v>
      </c>
      <c r="K484">
        <v>1.1043399999999901</v>
      </c>
      <c r="L484">
        <v>367.82940000000002</v>
      </c>
      <c r="M484">
        <v>0.99989490000000003</v>
      </c>
      <c r="N484">
        <v>0</v>
      </c>
      <c r="O484">
        <v>5.1220409999999997E-4</v>
      </c>
      <c r="P484">
        <v>0.996942199999999</v>
      </c>
      <c r="Q484">
        <v>5.53607699999999E-3</v>
      </c>
      <c r="R484">
        <v>7.7947500000000003E-2</v>
      </c>
      <c r="S484">
        <v>2.989166</v>
      </c>
      <c r="T484">
        <v>-0.22096199999999999</v>
      </c>
      <c r="U484">
        <v>0.27935789999999999</v>
      </c>
      <c r="V484">
        <v>-7.7429440000000002E-2</v>
      </c>
      <c r="W484">
        <v>2.0017549999999999E-2</v>
      </c>
      <c r="X484">
        <v>0.99679680000000004</v>
      </c>
      <c r="Y484">
        <v>-9.2293040000000007E-2</v>
      </c>
      <c r="Z484">
        <v>3.3614399999999998E-3</v>
      </c>
      <c r="AA484">
        <v>0.99572619999999901</v>
      </c>
      <c r="AB484">
        <v>33</v>
      </c>
      <c r="AC484">
        <v>14.7389999999999</v>
      </c>
      <c r="AD484">
        <v>-1.1043418978620001</v>
      </c>
      <c r="AE484">
        <v>1.3960999999999899</v>
      </c>
      <c r="AF484">
        <v>-1.3808664231410901</v>
      </c>
      <c r="AG484">
        <v>-1.1043418978620001</v>
      </c>
      <c r="AH484">
        <v>14.6581543652999</v>
      </c>
      <c r="AI484">
        <v>94.289590398125895</v>
      </c>
      <c r="AJ484">
        <v>95.381646990858101</v>
      </c>
      <c r="AK484">
        <v>14.764411688343399</v>
      </c>
    </row>
    <row r="485" spans="1:37" x14ac:dyDescent="0.2">
      <c r="A485" t="str">
        <f>"20200111153619960"</f>
        <v>20200111153619960</v>
      </c>
      <c r="B485" t="str">
        <f>"1578728179953162"</f>
        <v>1578728179953162</v>
      </c>
      <c r="C485" t="s">
        <v>37</v>
      </c>
      <c r="D485">
        <v>5.8241239999999896</v>
      </c>
      <c r="E485">
        <v>0.49514330000000001</v>
      </c>
      <c r="F485" t="s">
        <v>39</v>
      </c>
      <c r="G485">
        <v>-325.75689999999997</v>
      </c>
      <c r="H485" s="1">
        <v>-1.8852289999999999E-6</v>
      </c>
      <c r="I485">
        <v>369.15069999999997</v>
      </c>
      <c r="J485">
        <v>-340.24439999999998</v>
      </c>
      <c r="K485">
        <v>1.104322</v>
      </c>
      <c r="L485">
        <v>367.82929999999999</v>
      </c>
      <c r="M485">
        <v>0.99989499999999998</v>
      </c>
      <c r="N485">
        <v>0</v>
      </c>
      <c r="O485">
        <v>4.0811640000000001E-4</v>
      </c>
      <c r="P485">
        <v>0.99692389999999997</v>
      </c>
      <c r="Q485">
        <v>9.5866619999999904E-4</v>
      </c>
      <c r="R485">
        <v>7.8371700000000002E-2</v>
      </c>
      <c r="S485">
        <v>2.9894409999999998</v>
      </c>
      <c r="T485">
        <v>-0.224908</v>
      </c>
      <c r="U485">
        <v>0.26910400000000001</v>
      </c>
      <c r="V485">
        <v>-7.7958600000000003E-2</v>
      </c>
      <c r="W485">
        <v>1.5439670000000001E-2</v>
      </c>
      <c r="X485">
        <v>0.99683699999999997</v>
      </c>
      <c r="Y485">
        <v>-8.9000770000000007E-2</v>
      </c>
      <c r="Z485">
        <v>3.3059040000000001E-3</v>
      </c>
      <c r="AA485">
        <v>0.99602610000000003</v>
      </c>
      <c r="AB485">
        <v>33</v>
      </c>
      <c r="AC485">
        <v>14.487500000000001</v>
      </c>
      <c r="AD485">
        <v>-1.104323885229</v>
      </c>
      <c r="AE485">
        <v>1.3213999999999799</v>
      </c>
      <c r="AF485">
        <v>-1.30794967427482</v>
      </c>
      <c r="AG485">
        <v>-1.104323885229</v>
      </c>
      <c r="AH485">
        <v>14.405029713680999</v>
      </c>
      <c r="AI485">
        <v>94.365965829545601</v>
      </c>
      <c r="AJ485">
        <v>95.188123023765201</v>
      </c>
      <c r="AK485">
        <v>14.506382893263099</v>
      </c>
    </row>
    <row r="486" spans="1:37" x14ac:dyDescent="0.2">
      <c r="A486" t="str">
        <f>"20200111153619974"</f>
        <v>20200111153619974</v>
      </c>
      <c r="B486" t="str">
        <f>"1578728179962923"</f>
        <v>1578728179962923</v>
      </c>
      <c r="C486" t="s">
        <v>37</v>
      </c>
      <c r="D486">
        <v>5.8866559999999897</v>
      </c>
      <c r="E486">
        <v>0.49579240000000002</v>
      </c>
      <c r="F486" t="s">
        <v>39</v>
      </c>
      <c r="G486">
        <v>-326.22609999999997</v>
      </c>
      <c r="H486" s="1">
        <v>-1.6969790000000001E-6</v>
      </c>
      <c r="I486">
        <v>369.07709999999997</v>
      </c>
      <c r="J486">
        <v>-340.03800000000001</v>
      </c>
      <c r="K486">
        <v>1.104298</v>
      </c>
      <c r="L486">
        <v>367.82929999999999</v>
      </c>
      <c r="M486">
        <v>0.99989499999999998</v>
      </c>
      <c r="N486">
        <v>0</v>
      </c>
      <c r="O486">
        <v>2.912217E-4</v>
      </c>
      <c r="P486">
        <v>0.99689409999999901</v>
      </c>
      <c r="Q486">
        <v>-3.6360959999999901E-3</v>
      </c>
      <c r="R486">
        <v>7.8669180000000005E-2</v>
      </c>
      <c r="S486">
        <v>2.988556</v>
      </c>
      <c r="T486">
        <v>-0.23542929999999901</v>
      </c>
      <c r="U486">
        <v>0.26602170000000003</v>
      </c>
      <c r="V486">
        <v>-7.83745E-2</v>
      </c>
      <c r="W486">
        <v>1.084384E-2</v>
      </c>
      <c r="X486">
        <v>0.996865</v>
      </c>
      <c r="Y486">
        <v>-8.8102899999999998E-2</v>
      </c>
      <c r="Z486">
        <v>3.435203E-3</v>
      </c>
      <c r="AA486">
        <v>0.99610540000000003</v>
      </c>
      <c r="AB486">
        <v>33</v>
      </c>
      <c r="AC486">
        <v>13.8119</v>
      </c>
      <c r="AD486">
        <v>-1.104299696979</v>
      </c>
      <c r="AE486">
        <v>1.24779999999998</v>
      </c>
      <c r="AF486">
        <v>-1.2359404786553601</v>
      </c>
      <c r="AG486">
        <v>-1.104299696979</v>
      </c>
      <c r="AH486">
        <v>13.725235312385999</v>
      </c>
      <c r="AI486">
        <v>94.5815146282104</v>
      </c>
      <c r="AJ486">
        <v>95.145536080989203</v>
      </c>
      <c r="AK486">
        <v>13.82494524647</v>
      </c>
    </row>
    <row r="487" spans="1:37" x14ac:dyDescent="0.2">
      <c r="A487" t="str">
        <f>"20200111153619992"</f>
        <v>20200111153619992</v>
      </c>
      <c r="B487" t="str">
        <f>"1578728179983418"</f>
        <v>1578728179983418</v>
      </c>
      <c r="C487" t="s">
        <v>37</v>
      </c>
      <c r="D487">
        <v>5.7831299999999999</v>
      </c>
      <c r="E487">
        <v>0.49624249999999998</v>
      </c>
      <c r="F487" t="s">
        <v>39</v>
      </c>
      <c r="G487">
        <v>-326.60640000000001</v>
      </c>
      <c r="H487" s="1">
        <v>-1.5468360000000001E-6</v>
      </c>
      <c r="I487">
        <v>369.00380000000001</v>
      </c>
      <c r="J487">
        <v>-339.77699999999999</v>
      </c>
      <c r="K487">
        <v>1.1042809999999901</v>
      </c>
      <c r="L487">
        <v>367.82929999999999</v>
      </c>
      <c r="M487">
        <v>0.99989499999999998</v>
      </c>
      <c r="N487">
        <v>0</v>
      </c>
      <c r="O487">
        <v>1.3962609999999999E-4</v>
      </c>
      <c r="P487">
        <v>0.99680949999999902</v>
      </c>
      <c r="Q487">
        <v>-1.9855699999999999E-3</v>
      </c>
      <c r="R487">
        <v>7.979261E-2</v>
      </c>
      <c r="S487">
        <v>2.987854</v>
      </c>
      <c r="T487">
        <v>-0.24564920000000001</v>
      </c>
      <c r="U487">
        <v>0.26126100000000002</v>
      </c>
      <c r="V487">
        <v>-7.964823E-2</v>
      </c>
      <c r="W487">
        <v>1.249168E-2</v>
      </c>
      <c r="X487">
        <v>0.99674479999999999</v>
      </c>
      <c r="Y487">
        <v>-8.6679759999999995E-2</v>
      </c>
      <c r="Z487">
        <v>3.5390489999999998E-3</v>
      </c>
      <c r="AA487">
        <v>0.9962299</v>
      </c>
      <c r="AB487">
        <v>33</v>
      </c>
      <c r="AC487">
        <v>13.170599999999901</v>
      </c>
      <c r="AD487">
        <v>-1.10428254683599</v>
      </c>
      <c r="AE487">
        <v>1.1745000000000201</v>
      </c>
      <c r="AF487">
        <v>-1.16453883055721</v>
      </c>
      <c r="AG487">
        <v>-1.10428254683599</v>
      </c>
      <c r="AH487">
        <v>13.0795414120164</v>
      </c>
      <c r="AI487">
        <v>94.807010450828699</v>
      </c>
      <c r="AJ487">
        <v>95.087921763736702</v>
      </c>
      <c r="AK487">
        <v>13.1776323434741</v>
      </c>
    </row>
    <row r="488" spans="1:37" x14ac:dyDescent="0.2">
      <c r="A488" t="str">
        <f>"20200111153620014"</f>
        <v>20200111153620014</v>
      </c>
      <c r="B488" t="str">
        <f>"1578728180003446"</f>
        <v>1578728180003446</v>
      </c>
      <c r="C488" t="s">
        <v>37</v>
      </c>
      <c r="D488">
        <v>5.8136559999999999</v>
      </c>
      <c r="E488">
        <v>0.49667119999999998</v>
      </c>
      <c r="F488" t="s">
        <v>39</v>
      </c>
      <c r="G488">
        <v>-325.72989999999999</v>
      </c>
      <c r="H488" s="1">
        <v>-1.9135049999999999E-6</v>
      </c>
      <c r="I488">
        <v>369.0564</v>
      </c>
      <c r="J488">
        <v>-339.47239999999999</v>
      </c>
      <c r="K488">
        <v>1.1043160000000001</v>
      </c>
      <c r="L488">
        <v>367.82909999999998</v>
      </c>
      <c r="M488">
        <v>0.99989519999999998</v>
      </c>
      <c r="N488">
        <v>0</v>
      </c>
      <c r="O488" s="1">
        <v>-4.2829759999999998E-5</v>
      </c>
      <c r="P488">
        <v>0.99671690000000002</v>
      </c>
      <c r="Q488">
        <v>3.7715840000000001E-3</v>
      </c>
      <c r="R488">
        <v>8.0879969999999995E-2</v>
      </c>
      <c r="S488">
        <v>2.9882200000000001</v>
      </c>
      <c r="T488">
        <v>-0.23491109999999901</v>
      </c>
      <c r="U488">
        <v>0.26104739999999999</v>
      </c>
      <c r="V488">
        <v>-8.091479E-2</v>
      </c>
      <c r="W488">
        <v>1.8244989999999999E-2</v>
      </c>
      <c r="X488">
        <v>0.99655400000000005</v>
      </c>
      <c r="Y488">
        <v>-8.6804129999999993E-2</v>
      </c>
      <c r="Z488">
        <v>3.4035959999999901E-3</v>
      </c>
      <c r="AA488">
        <v>0.99621959999999998</v>
      </c>
      <c r="AB488">
        <v>33</v>
      </c>
      <c r="AC488">
        <v>13.7425</v>
      </c>
      <c r="AD488">
        <v>-1.1043179135050001</v>
      </c>
      <c r="AE488">
        <v>1.22730000000001</v>
      </c>
      <c r="AF488">
        <v>-1.2200725088459601</v>
      </c>
      <c r="AG488">
        <v>-1.1043179135050001</v>
      </c>
      <c r="AH488">
        <v>13.6549697055745</v>
      </c>
      <c r="AI488">
        <v>94.605349723552806</v>
      </c>
      <c r="AJ488">
        <v>95.105823420597204</v>
      </c>
      <c r="AK488">
        <v>13.7537737599935</v>
      </c>
    </row>
    <row r="489" spans="1:37" x14ac:dyDescent="0.2">
      <c r="A489" t="str">
        <f>"20200111153620027"</f>
        <v>20200111153620027</v>
      </c>
      <c r="B489" t="str">
        <f>"1578728180022966"</f>
        <v>1578728180022966</v>
      </c>
      <c r="C489" t="s">
        <v>37</v>
      </c>
      <c r="D489">
        <v>5.7952529999999998</v>
      </c>
      <c r="E489">
        <v>0.49709110000000001</v>
      </c>
      <c r="F489" t="s">
        <v>39</v>
      </c>
      <c r="G489">
        <v>-324.40280000000001</v>
      </c>
      <c r="H489" s="1">
        <v>-2.46693E-6</v>
      </c>
      <c r="I489">
        <v>369.14599999999899</v>
      </c>
      <c r="J489">
        <v>-339.26659999999998</v>
      </c>
      <c r="K489">
        <v>1.1043259999999999</v>
      </c>
      <c r="L489">
        <v>367.82900000000001</v>
      </c>
      <c r="M489">
        <v>0.99989519999999998</v>
      </c>
      <c r="N489">
        <v>0</v>
      </c>
      <c r="O489">
        <v>-1.682656E-4</v>
      </c>
      <c r="P489">
        <v>0.99667859999999997</v>
      </c>
      <c r="Q489">
        <v>6.7295530000000001E-3</v>
      </c>
      <c r="R489">
        <v>8.1159549999999997E-2</v>
      </c>
      <c r="S489">
        <v>2.989471</v>
      </c>
      <c r="T489">
        <v>-0.2190714</v>
      </c>
      <c r="U489">
        <v>0.26126100000000002</v>
      </c>
      <c r="V489">
        <v>-8.1317749999999994E-2</v>
      </c>
      <c r="W489">
        <v>2.120033E-2</v>
      </c>
      <c r="X489">
        <v>0.99646270000000003</v>
      </c>
      <c r="Y489">
        <v>-8.6997539999999998E-2</v>
      </c>
      <c r="Z489">
        <v>3.1896250000000002E-3</v>
      </c>
      <c r="AA489">
        <v>0.99620339999999996</v>
      </c>
      <c r="AB489">
        <v>33</v>
      </c>
      <c r="AC489">
        <v>14.8637999999999</v>
      </c>
      <c r="AD489">
        <v>-1.10432846693</v>
      </c>
      <c r="AE489">
        <v>1.31699999999995</v>
      </c>
      <c r="AF489">
        <v>-1.3123138024181999</v>
      </c>
      <c r="AG489">
        <v>-1.10432846693</v>
      </c>
      <c r="AH489">
        <v>14.782614181781</v>
      </c>
      <c r="AI489">
        <v>94.255645036761393</v>
      </c>
      <c r="AJ489">
        <v>95.073084482380807</v>
      </c>
      <c r="AK489">
        <v>14.8817805025569</v>
      </c>
    </row>
    <row r="490" spans="1:37" x14ac:dyDescent="0.2">
      <c r="A490" t="str">
        <f>"20200111153620041"</f>
        <v>20200111153620041</v>
      </c>
      <c r="B490" t="str">
        <f>"1578728180033703"</f>
        <v>1578728180033703</v>
      </c>
      <c r="C490" t="s">
        <v>37</v>
      </c>
      <c r="D490">
        <v>5.7803449999999996</v>
      </c>
      <c r="E490">
        <v>0.49725749999999902</v>
      </c>
      <c r="F490" t="s">
        <v>39</v>
      </c>
      <c r="G490">
        <v>-323.37189999999998</v>
      </c>
      <c r="H490" s="1">
        <v>-2.8985309999999899E-6</v>
      </c>
      <c r="I490">
        <v>369.2063</v>
      </c>
      <c r="J490">
        <v>-339.06199999999899</v>
      </c>
      <c r="K490">
        <v>1.10433799999999</v>
      </c>
      <c r="L490">
        <v>367.8288</v>
      </c>
      <c r="M490">
        <v>0.99989519999999998</v>
      </c>
      <c r="N490">
        <v>0</v>
      </c>
      <c r="O490">
        <v>-2.9417000000000001E-4</v>
      </c>
      <c r="P490">
        <v>0.996613999999999</v>
      </c>
      <c r="Q490">
        <v>9.2387049999999998E-3</v>
      </c>
      <c r="R490">
        <v>8.1703360000000003E-2</v>
      </c>
      <c r="S490">
        <v>2.990265</v>
      </c>
      <c r="T490">
        <v>-0.20775560000000001</v>
      </c>
      <c r="U490">
        <v>0.25912479999999999</v>
      </c>
      <c r="V490">
        <v>-8.1985920000000004E-2</v>
      </c>
      <c r="W490">
        <v>2.37069E-2</v>
      </c>
      <c r="X490">
        <v>0.99635149999999995</v>
      </c>
      <c r="Y490">
        <v>-8.6418209999999995E-2</v>
      </c>
      <c r="Z490">
        <v>3.0132279999999902E-3</v>
      </c>
      <c r="AA490">
        <v>0.99625439999999998</v>
      </c>
      <c r="AB490">
        <v>33</v>
      </c>
      <c r="AC490">
        <v>15.6900999999999</v>
      </c>
      <c r="AD490">
        <v>-1.1043408985309999</v>
      </c>
      <c r="AE490">
        <v>1.37749999999999</v>
      </c>
      <c r="AF490">
        <v>-1.37535460687945</v>
      </c>
      <c r="AG490">
        <v>-1.1043408985309999</v>
      </c>
      <c r="AH490">
        <v>15.612939367568</v>
      </c>
      <c r="AI490">
        <v>94.030374599712999</v>
      </c>
      <c r="AJ490">
        <v>95.0342297838137</v>
      </c>
      <c r="AK490">
        <v>15.7122577884334</v>
      </c>
    </row>
    <row r="491" spans="1:37" x14ac:dyDescent="0.2">
      <c r="A491" t="str">
        <f>"20200111153620057"</f>
        <v>20200111153620057</v>
      </c>
      <c r="B491" t="str">
        <f>"1578728180053222"</f>
        <v>1578728180053222</v>
      </c>
      <c r="C491" t="s">
        <v>37</v>
      </c>
      <c r="D491">
        <v>6.0303389999999997</v>
      </c>
      <c r="E491">
        <v>0.49744430000000001</v>
      </c>
      <c r="F491" t="s">
        <v>39</v>
      </c>
      <c r="G491">
        <v>-322.42829999999998</v>
      </c>
      <c r="H491" s="1">
        <v>-3.2913990000000001E-6</v>
      </c>
      <c r="I491">
        <v>369.27350000000001</v>
      </c>
      <c r="J491">
        <v>-338.84070000000003</v>
      </c>
      <c r="K491">
        <v>1.1043419999999999</v>
      </c>
      <c r="L491">
        <v>367.82859999999999</v>
      </c>
      <c r="M491">
        <v>0.99989519999999998</v>
      </c>
      <c r="N491">
        <v>0</v>
      </c>
      <c r="O491">
        <v>-4.311497E-4</v>
      </c>
      <c r="P491">
        <v>0.99650030000000001</v>
      </c>
      <c r="Q491">
        <v>9.6051999999999995E-3</v>
      </c>
      <c r="R491">
        <v>8.3038609999999999E-2</v>
      </c>
      <c r="S491">
        <v>2.990723</v>
      </c>
      <c r="T491">
        <v>-0.19855809999999999</v>
      </c>
      <c r="U491">
        <v>0.25976559999999999</v>
      </c>
      <c r="V491">
        <v>-8.3457439999999994E-2</v>
      </c>
      <c r="W491">
        <v>2.4070149999999998E-2</v>
      </c>
      <c r="X491">
        <v>0.99622060000000001</v>
      </c>
      <c r="Y491">
        <v>-8.6770399999999998E-2</v>
      </c>
      <c r="Z491">
        <v>2.9003890000000002E-3</v>
      </c>
      <c r="AA491">
        <v>0.99622409999999995</v>
      </c>
      <c r="AB491">
        <v>33</v>
      </c>
      <c r="AC491">
        <v>16.412400000000002</v>
      </c>
      <c r="AD491">
        <v>-1.104345291399</v>
      </c>
      <c r="AE491">
        <v>1.4449000000000101</v>
      </c>
      <c r="AF491">
        <v>-1.4454826116233299</v>
      </c>
      <c r="AG491">
        <v>-1.104345291399</v>
      </c>
      <c r="AH491">
        <v>16.3383711740689</v>
      </c>
      <c r="AI491">
        <v>93.851862265074303</v>
      </c>
      <c r="AJ491">
        <v>95.055888212866705</v>
      </c>
      <c r="AK491">
        <v>16.439323925417</v>
      </c>
    </row>
    <row r="492" spans="1:37" x14ac:dyDescent="0.2">
      <c r="A492" t="str">
        <f>"20200111153620069"</f>
        <v>20200111153620069</v>
      </c>
      <c r="B492" t="str">
        <f>"1578728180062982"</f>
        <v>1578728180062982</v>
      </c>
      <c r="C492" t="s">
        <v>37</v>
      </c>
      <c r="D492">
        <v>5.8477959999999998</v>
      </c>
      <c r="E492">
        <v>0.49751210000000001</v>
      </c>
      <c r="F492" t="s">
        <v>39</v>
      </c>
      <c r="G492">
        <v>-321.8329</v>
      </c>
      <c r="H492" s="1">
        <v>-3.5385000000000001E-6</v>
      </c>
      <c r="I492">
        <v>369.32049999999998</v>
      </c>
      <c r="J492">
        <v>-338.6542</v>
      </c>
      <c r="K492">
        <v>1.1043369999999999</v>
      </c>
      <c r="L492">
        <v>367.82839999999999</v>
      </c>
      <c r="M492">
        <v>0.99989519999999998</v>
      </c>
      <c r="N492">
        <v>0</v>
      </c>
      <c r="O492">
        <v>-5.4725889999999999E-4</v>
      </c>
      <c r="P492">
        <v>0.99644730000000004</v>
      </c>
      <c r="Q492">
        <v>8.9253839999999997E-3</v>
      </c>
      <c r="R492">
        <v>8.3745929999999996E-2</v>
      </c>
      <c r="S492">
        <v>2.9905400000000002</v>
      </c>
      <c r="T492">
        <v>-0.19417889999999999</v>
      </c>
      <c r="U492">
        <v>0.26232909999999998</v>
      </c>
      <c r="V492">
        <v>-8.4280590000000002E-2</v>
      </c>
      <c r="W492">
        <v>2.3387990000000001E-2</v>
      </c>
      <c r="X492">
        <v>0.99616749999999898</v>
      </c>
      <c r="Y492">
        <v>-8.7744810000000006E-2</v>
      </c>
      <c r="Z492">
        <v>2.8756820000000001E-3</v>
      </c>
      <c r="AA492">
        <v>0.99613879999999999</v>
      </c>
      <c r="AB492">
        <v>33</v>
      </c>
      <c r="AC492">
        <v>16.821300000000001</v>
      </c>
      <c r="AD492">
        <v>-1.1043405385</v>
      </c>
      <c r="AE492">
        <v>1.49209999999999</v>
      </c>
      <c r="AF492">
        <v>-1.49491342705826</v>
      </c>
      <c r="AG492">
        <v>-1.1043405385</v>
      </c>
      <c r="AH492">
        <v>16.748855226934701</v>
      </c>
      <c r="AI492">
        <v>93.757459172114807</v>
      </c>
      <c r="AJ492">
        <v>95.100400204345505</v>
      </c>
      <c r="AK492">
        <v>16.851661211648899</v>
      </c>
    </row>
    <row r="493" spans="1:37" x14ac:dyDescent="0.2">
      <c r="A493" t="str">
        <f>"20200111153620083"</f>
        <v>20200111153620083</v>
      </c>
      <c r="B493" t="str">
        <f>"1578728180073717"</f>
        <v>1578728180073717</v>
      </c>
      <c r="C493" t="s">
        <v>37</v>
      </c>
      <c r="D493">
        <v>5.7979969999999996</v>
      </c>
      <c r="E493">
        <v>0.49760459999999901</v>
      </c>
      <c r="F493" t="s">
        <v>39</v>
      </c>
      <c r="G493">
        <v>-321.60789999999997</v>
      </c>
      <c r="H493" s="1">
        <v>-3.6328440000000001E-6</v>
      </c>
      <c r="I493">
        <v>369.33260000000001</v>
      </c>
      <c r="J493">
        <v>-338.459</v>
      </c>
      <c r="K493">
        <v>1.104333</v>
      </c>
      <c r="L493">
        <v>367.82819999999998</v>
      </c>
      <c r="M493">
        <v>0.99989499999999998</v>
      </c>
      <c r="N493">
        <v>0</v>
      </c>
      <c r="O493">
        <v>-6.6860970000000004E-4</v>
      </c>
      <c r="P493">
        <v>0.99642030000000004</v>
      </c>
      <c r="Q493">
        <v>7.140357E-3</v>
      </c>
      <c r="R493">
        <v>8.4236489999999997E-2</v>
      </c>
      <c r="S493">
        <v>2.990265</v>
      </c>
      <c r="T493">
        <v>-0.19372300000000001</v>
      </c>
      <c r="U493">
        <v>0.2638855</v>
      </c>
      <c r="V493">
        <v>-8.4892949999999995E-2</v>
      </c>
      <c r="W493">
        <v>2.160078E-2</v>
      </c>
      <c r="X493">
        <v>0.99615589999999998</v>
      </c>
      <c r="Y493">
        <v>-8.8387389999999996E-2</v>
      </c>
      <c r="Z493">
        <v>2.8977339999999999E-3</v>
      </c>
      <c r="AA493">
        <v>0.99608189999999996</v>
      </c>
      <c r="AB493">
        <v>33</v>
      </c>
      <c r="AC493">
        <v>16.851099999999999</v>
      </c>
      <c r="AD493">
        <v>-1.1043366328440001</v>
      </c>
      <c r="AE493">
        <v>1.5044000000000299</v>
      </c>
      <c r="AF493">
        <v>-1.50923698377653</v>
      </c>
      <c r="AG493">
        <v>-1.1043366328440001</v>
      </c>
      <c r="AH493">
        <v>16.778598766670299</v>
      </c>
      <c r="AI493">
        <v>93.750572901709106</v>
      </c>
      <c r="AJ493">
        <v>95.139929633097097</v>
      </c>
      <c r="AK493">
        <v>16.8824978082258</v>
      </c>
    </row>
    <row r="494" spans="1:37" x14ac:dyDescent="0.2">
      <c r="A494" t="str">
        <f>"20200111153620102"</f>
        <v>20200111153620102</v>
      </c>
      <c r="B494" t="str">
        <f>"1578728180093722"</f>
        <v>1578728180093722</v>
      </c>
      <c r="C494" t="s">
        <v>37</v>
      </c>
      <c r="D494">
        <v>5.9693740000000002</v>
      </c>
      <c r="E494">
        <v>0.497679599999999</v>
      </c>
      <c r="F494" t="s">
        <v>39</v>
      </c>
      <c r="G494">
        <v>-321.71460000000002</v>
      </c>
      <c r="H494" s="1">
        <v>-3.5913720000000001E-6</v>
      </c>
      <c r="I494">
        <v>369.30829999999997</v>
      </c>
      <c r="J494">
        <v>-338.17759999999998</v>
      </c>
      <c r="K494">
        <v>1.1043209999999899</v>
      </c>
      <c r="L494">
        <v>367.82780000000002</v>
      </c>
      <c r="M494">
        <v>0.99989499999999998</v>
      </c>
      <c r="N494">
        <v>0</v>
      </c>
      <c r="O494">
        <v>-8.4371479999999905E-4</v>
      </c>
      <c r="P494">
        <v>0.99641080000000004</v>
      </c>
      <c r="Q494">
        <v>4.8234580000000001E-3</v>
      </c>
      <c r="R494">
        <v>8.4512950000000003E-2</v>
      </c>
      <c r="S494">
        <v>2.989868</v>
      </c>
      <c r="T494">
        <v>-0.19718920000000001</v>
      </c>
      <c r="U494">
        <v>0.26431270000000001</v>
      </c>
      <c r="V494">
        <v>-8.5344929999999999E-2</v>
      </c>
      <c r="W494">
        <v>1.9281929999999999E-2</v>
      </c>
      <c r="X494">
        <v>0.99616489999999902</v>
      </c>
      <c r="Y494">
        <v>-8.870683E-2</v>
      </c>
      <c r="Z494">
        <v>2.971858E-3</v>
      </c>
      <c r="AA494">
        <v>0.99605330000000003</v>
      </c>
      <c r="AB494">
        <v>33</v>
      </c>
      <c r="AC494">
        <v>16.462999999999901</v>
      </c>
      <c r="AD494">
        <v>-1.1043245913719999</v>
      </c>
      <c r="AE494">
        <v>1.48049999999994</v>
      </c>
      <c r="AF494">
        <v>-1.4877504006195501</v>
      </c>
      <c r="AG494">
        <v>-1.1043245913719999</v>
      </c>
      <c r="AH494">
        <v>16.388594081447099</v>
      </c>
      <c r="AI494">
        <v>93.839236271215398</v>
      </c>
      <c r="AJ494">
        <v>95.187071689255205</v>
      </c>
      <c r="AK494">
        <v>16.492996999456899</v>
      </c>
    </row>
    <row r="495" spans="1:37" x14ac:dyDescent="0.2">
      <c r="A495" t="str">
        <f>"20200111153620115"</f>
        <v>20200111153620115</v>
      </c>
      <c r="B495" t="str">
        <f>"1578728180103470"</f>
        <v>1578728180103470</v>
      </c>
      <c r="C495" t="s">
        <v>37</v>
      </c>
      <c r="D495">
        <v>5.7949760000000001</v>
      </c>
      <c r="E495">
        <v>0.49767929999999999</v>
      </c>
      <c r="F495" t="s">
        <v>39</v>
      </c>
      <c r="G495">
        <v>-321.87369999999999</v>
      </c>
      <c r="H495" s="1">
        <v>-3.5299790000000001E-6</v>
      </c>
      <c r="I495">
        <v>369.26960000000003</v>
      </c>
      <c r="J495">
        <v>-337.98469999999998</v>
      </c>
      <c r="K495">
        <v>1.1043190000000001</v>
      </c>
      <c r="L495">
        <v>367.82749999999999</v>
      </c>
      <c r="M495">
        <v>0.99989499999999998</v>
      </c>
      <c r="N495">
        <v>0</v>
      </c>
      <c r="O495">
        <v>-9.6362550000000003E-4</v>
      </c>
      <c r="P495">
        <v>0.99641250000000003</v>
      </c>
      <c r="Q495">
        <v>3.31833E-3</v>
      </c>
      <c r="R495">
        <v>8.4565600000000005E-2</v>
      </c>
      <c r="S495">
        <v>2.9893190000000001</v>
      </c>
      <c r="T495">
        <v>-0.2024773</v>
      </c>
      <c r="U495">
        <v>0.26437379999999999</v>
      </c>
      <c r="V495">
        <v>-8.5517350000000006E-2</v>
      </c>
      <c r="W495">
        <v>1.7774430000000001E-2</v>
      </c>
      <c r="X495">
        <v>0.99617819999999901</v>
      </c>
      <c r="Y495">
        <v>-8.8851340000000001E-2</v>
      </c>
      <c r="Z495">
        <v>3.0649079999999999E-3</v>
      </c>
      <c r="AA495">
        <v>0.99604020000000004</v>
      </c>
      <c r="AB495">
        <v>33</v>
      </c>
      <c r="AC495">
        <v>16.110999999999901</v>
      </c>
      <c r="AD495">
        <v>-1.104322529979</v>
      </c>
      <c r="AE495">
        <v>1.4421000000000299</v>
      </c>
      <c r="AF495">
        <v>-1.45086341788109</v>
      </c>
      <c r="AG495">
        <v>-1.104322529979</v>
      </c>
      <c r="AH495">
        <v>16.034863879425799</v>
      </c>
      <c r="AI495">
        <v>93.923765803122606</v>
      </c>
      <c r="AJ495">
        <v>95.1701469325766</v>
      </c>
      <c r="AK495">
        <v>16.138196694156399</v>
      </c>
    </row>
    <row r="496" spans="1:37" x14ac:dyDescent="0.2">
      <c r="A496" t="str">
        <f>"20200111153620129"</f>
        <v>20200111153620129</v>
      </c>
      <c r="B496" t="str">
        <f>"1578728180122989"</f>
        <v>1578728180122989</v>
      </c>
      <c r="C496" t="s">
        <v>37</v>
      </c>
      <c r="D496">
        <v>5.9655569999999898</v>
      </c>
      <c r="E496">
        <v>0.49767899999999998</v>
      </c>
      <c r="F496" t="s">
        <v>39</v>
      </c>
      <c r="G496">
        <v>-322.03519999999997</v>
      </c>
      <c r="H496" s="1">
        <v>-3.466708E-6</v>
      </c>
      <c r="I496">
        <v>369.23570000000001</v>
      </c>
      <c r="J496">
        <v>-337.78109999999998</v>
      </c>
      <c r="K496">
        <v>1.1043160000000001</v>
      </c>
      <c r="L496">
        <v>367.8272</v>
      </c>
      <c r="M496">
        <v>0.99989490000000003</v>
      </c>
      <c r="N496">
        <v>0</v>
      </c>
      <c r="O496">
        <v>-1.089851E-3</v>
      </c>
      <c r="P496">
        <v>0.99642379999999997</v>
      </c>
      <c r="Q496">
        <v>2.2942370000000002E-3</v>
      </c>
      <c r="R496">
        <v>8.4466159999999998E-2</v>
      </c>
      <c r="S496">
        <v>2.9890750000000001</v>
      </c>
      <c r="T496">
        <v>-0.20695859999999999</v>
      </c>
      <c r="U496">
        <v>0.26391599999999998</v>
      </c>
      <c r="V496">
        <v>-8.5544529999999994E-2</v>
      </c>
      <c r="W496">
        <v>1.674842E-2</v>
      </c>
      <c r="X496">
        <v>0.99619360000000001</v>
      </c>
      <c r="Y496">
        <v>-8.8823490000000005E-2</v>
      </c>
      <c r="Z496">
        <v>3.1406099999999998E-3</v>
      </c>
      <c r="AA496">
        <v>0.99604239999999999</v>
      </c>
      <c r="AB496">
        <v>33</v>
      </c>
      <c r="AC496">
        <v>15.745900000000001</v>
      </c>
      <c r="AD496">
        <v>-1.1043194667080001</v>
      </c>
      <c r="AE496">
        <v>1.4085000000000001</v>
      </c>
      <c r="AF496">
        <v>-1.4187386210378501</v>
      </c>
      <c r="AG496">
        <v>-1.1043194667080001</v>
      </c>
      <c r="AH496">
        <v>15.6679007549773</v>
      </c>
      <c r="AI496">
        <v>94.015332602444801</v>
      </c>
      <c r="AJ496">
        <v>95.1740595216733</v>
      </c>
      <c r="AK496">
        <v>15.7707151019601</v>
      </c>
    </row>
    <row r="497" spans="1:37" x14ac:dyDescent="0.2">
      <c r="A497" t="str">
        <f>"20200111153620146"</f>
        <v>20200111153620146</v>
      </c>
      <c r="B497" t="str">
        <f>"1578728180143485"</f>
        <v>1578728180143485</v>
      </c>
      <c r="C497" t="s">
        <v>37</v>
      </c>
      <c r="D497">
        <v>5.6110169999999897</v>
      </c>
      <c r="E497">
        <v>0.49776009999999998</v>
      </c>
      <c r="F497" t="s">
        <v>39</v>
      </c>
      <c r="G497">
        <v>-321.94970000000001</v>
      </c>
      <c r="H497" s="1">
        <v>-3.5054419999999998E-6</v>
      </c>
      <c r="I497">
        <v>369.2242</v>
      </c>
      <c r="J497">
        <v>-337.53769999999997</v>
      </c>
      <c r="K497">
        <v>1.1043080000000001</v>
      </c>
      <c r="L497">
        <v>367.82679999999999</v>
      </c>
      <c r="M497">
        <v>0.99989459999999997</v>
      </c>
      <c r="N497">
        <v>0</v>
      </c>
      <c r="O497">
        <v>-1.2408650000000001E-3</v>
      </c>
      <c r="P497">
        <v>0.99641729999999995</v>
      </c>
      <c r="Q497">
        <v>1.0666549999999999E-3</v>
      </c>
      <c r="R497">
        <v>8.456756E-2</v>
      </c>
      <c r="S497">
        <v>2.988861</v>
      </c>
      <c r="T497">
        <v>-0.20848699999999901</v>
      </c>
      <c r="U497">
        <v>0.26376339999999998</v>
      </c>
      <c r="V497">
        <v>-8.5796559999999994E-2</v>
      </c>
      <c r="W497">
        <v>1.551834E-2</v>
      </c>
      <c r="X497">
        <v>0.99619179999999996</v>
      </c>
      <c r="Y497">
        <v>-8.8925879999999999E-2</v>
      </c>
      <c r="Z497">
        <v>3.1780419999999998E-3</v>
      </c>
      <c r="AA497">
        <v>0.99603319999999995</v>
      </c>
      <c r="AB497">
        <v>33</v>
      </c>
      <c r="AC497">
        <v>15.5879999999999</v>
      </c>
      <c r="AD497">
        <v>-1.1043115054420001</v>
      </c>
      <c r="AE497">
        <v>1.3974</v>
      </c>
      <c r="AF497">
        <v>-1.4097247894024401</v>
      </c>
      <c r="AG497">
        <v>-1.1043115054420001</v>
      </c>
      <c r="AH497">
        <v>15.5090371676087</v>
      </c>
      <c r="AI497">
        <v>94.056171087508503</v>
      </c>
      <c r="AJ497">
        <v>95.1937412336096</v>
      </c>
      <c r="AK497">
        <v>15.612080634853699</v>
      </c>
    </row>
    <row r="498" spans="1:37" x14ac:dyDescent="0.2">
      <c r="A498" t="str">
        <f>"20200111153620158"</f>
        <v>20200111153620158</v>
      </c>
      <c r="B498" t="str">
        <f>"1578728180153245"</f>
        <v>1578728180153245</v>
      </c>
      <c r="C498" t="s">
        <v>37</v>
      </c>
      <c r="D498">
        <v>5.807728</v>
      </c>
      <c r="E498">
        <v>0.49776189999999998</v>
      </c>
      <c r="F498" t="s">
        <v>39</v>
      </c>
      <c r="G498">
        <v>-321.8467</v>
      </c>
      <c r="H498" s="1">
        <v>-3.5520719999999999E-6</v>
      </c>
      <c r="I498">
        <v>369.21039999999999</v>
      </c>
      <c r="J498">
        <v>-337.35730000000001</v>
      </c>
      <c r="K498">
        <v>1.1043000000000001</v>
      </c>
      <c r="L498">
        <v>367.82639999999998</v>
      </c>
      <c r="M498">
        <v>0.99989459999999997</v>
      </c>
      <c r="N498">
        <v>0</v>
      </c>
      <c r="O498">
        <v>-1.352783E-3</v>
      </c>
      <c r="P498">
        <v>0.99640249999999997</v>
      </c>
      <c r="Q498">
        <v>3.7244889999999998E-4</v>
      </c>
      <c r="R498">
        <v>8.4749279999999996E-2</v>
      </c>
      <c r="S498">
        <v>2.9886469999999998</v>
      </c>
      <c r="T498">
        <v>-0.21033659999999901</v>
      </c>
      <c r="U498">
        <v>0.2635498</v>
      </c>
      <c r="V498">
        <v>-8.6090550000000002E-2</v>
      </c>
      <c r="W498">
        <v>1.482225E-2</v>
      </c>
      <c r="X498">
        <v>0.99617710000000004</v>
      </c>
      <c r="Y498">
        <v>-8.896867E-2</v>
      </c>
      <c r="Z498">
        <v>3.215758E-3</v>
      </c>
      <c r="AA498">
        <v>0.99602930000000001</v>
      </c>
      <c r="AB498">
        <v>32</v>
      </c>
      <c r="AC498">
        <v>15.5106</v>
      </c>
      <c r="AD498">
        <v>-1.1043035520719999</v>
      </c>
      <c r="AE498">
        <v>1.3840000000000101</v>
      </c>
      <c r="AF498">
        <v>-1.39795319240247</v>
      </c>
      <c r="AG498">
        <v>-1.1043035520719999</v>
      </c>
      <c r="AH498">
        <v>15.431111369724</v>
      </c>
      <c r="AI498">
        <v>94.076667360360801</v>
      </c>
      <c r="AJ498">
        <v>95.176475450424505</v>
      </c>
      <c r="AK498">
        <v>15.5336073585015</v>
      </c>
    </row>
    <row r="499" spans="1:37" x14ac:dyDescent="0.2">
      <c r="A499" t="str">
        <f>"20200111153620171"</f>
        <v>20200111153620171</v>
      </c>
      <c r="B499" t="str">
        <f>"1578728180163005"</f>
        <v>1578728180163005</v>
      </c>
      <c r="C499" t="s">
        <v>37</v>
      </c>
      <c r="D499">
        <v>5.8495290000000004</v>
      </c>
      <c r="E499">
        <v>0.49782320000000002</v>
      </c>
      <c r="F499" t="s">
        <v>39</v>
      </c>
      <c r="G499">
        <v>-321.73169999999999</v>
      </c>
      <c r="H499" s="1">
        <v>-3.6015749999999999E-6</v>
      </c>
      <c r="I499">
        <v>369.20949999999999</v>
      </c>
      <c r="J499">
        <v>-337.17489999999998</v>
      </c>
      <c r="K499">
        <v>1.1042889999999901</v>
      </c>
      <c r="L499">
        <v>367.825999999999</v>
      </c>
      <c r="M499">
        <v>0.99989439999999996</v>
      </c>
      <c r="N499">
        <v>0</v>
      </c>
      <c r="O499">
        <v>-1.4656529999999999E-3</v>
      </c>
      <c r="P499">
        <v>0.99634149999999999</v>
      </c>
      <c r="Q499">
        <v>-4.8249029999999899E-4</v>
      </c>
      <c r="R499">
        <v>8.5461239999999994E-2</v>
      </c>
      <c r="S499">
        <v>2.9884029999999999</v>
      </c>
      <c r="T499">
        <v>-0.211196999999999</v>
      </c>
      <c r="U499">
        <v>0.26452639999999999</v>
      </c>
      <c r="V499">
        <v>-8.6915259999999994E-2</v>
      </c>
      <c r="W499">
        <v>1.3964499999999999E-2</v>
      </c>
      <c r="X499">
        <v>0.99611779999999905</v>
      </c>
      <c r="Y499">
        <v>-8.9407970000000003E-2</v>
      </c>
      <c r="Z499">
        <v>3.2525219999999999E-3</v>
      </c>
      <c r="AA499">
        <v>0.99598980000000004</v>
      </c>
      <c r="AB499">
        <v>32</v>
      </c>
      <c r="AC499">
        <v>15.4431999999999</v>
      </c>
      <c r="AD499">
        <v>-1.1042926015750001</v>
      </c>
      <c r="AE499">
        <v>1.3835000000000199</v>
      </c>
      <c r="AF499">
        <v>-1.3990386277234701</v>
      </c>
      <c r="AG499">
        <v>-1.1042926015750001</v>
      </c>
      <c r="AH499">
        <v>15.3632254933365</v>
      </c>
      <c r="AI499">
        <v>94.094406309311594</v>
      </c>
      <c r="AJ499">
        <v>95.203238555534199</v>
      </c>
      <c r="AK499">
        <v>15.466268741712</v>
      </c>
    </row>
    <row r="500" spans="1:37" x14ac:dyDescent="0.2">
      <c r="A500" t="str">
        <f>"20200111153620184"</f>
        <v>20200111153620184</v>
      </c>
      <c r="B500" t="str">
        <f>"1578728180173741"</f>
        <v>1578728180173741</v>
      </c>
      <c r="C500" t="s">
        <v>37</v>
      </c>
      <c r="D500">
        <v>5.8217639999999999</v>
      </c>
      <c r="E500">
        <v>0.49794189999999999</v>
      </c>
      <c r="F500" t="s">
        <v>39</v>
      </c>
      <c r="G500">
        <v>-321.57389999999998</v>
      </c>
      <c r="H500" s="1">
        <v>-3.66834999999999E-6</v>
      </c>
      <c r="I500">
        <v>369.21460000000002</v>
      </c>
      <c r="J500">
        <v>-336.98930000000001</v>
      </c>
      <c r="K500">
        <v>1.1042809999999901</v>
      </c>
      <c r="L500">
        <v>367.82569999999998</v>
      </c>
      <c r="M500">
        <v>0.99989430000000001</v>
      </c>
      <c r="N500">
        <v>0</v>
      </c>
      <c r="O500">
        <v>-1.580311E-3</v>
      </c>
      <c r="P500">
        <v>0.99623919999999999</v>
      </c>
      <c r="Q500">
        <v>-1.122493E-3</v>
      </c>
      <c r="R500">
        <v>8.66392E-2</v>
      </c>
      <c r="S500">
        <v>2.9880680000000002</v>
      </c>
      <c r="T500">
        <v>-0.21150569999999999</v>
      </c>
      <c r="U500">
        <v>0.26596069999999999</v>
      </c>
      <c r="V500">
        <v>-8.8207450000000007E-2</v>
      </c>
      <c r="W500">
        <v>1.332178E-2</v>
      </c>
      <c r="X500">
        <v>0.99601299999999904</v>
      </c>
      <c r="Y500">
        <v>-9.0003890000000003E-2</v>
      </c>
      <c r="Z500">
        <v>3.286672E-3</v>
      </c>
      <c r="AA500">
        <v>0.99593600000000004</v>
      </c>
      <c r="AB500">
        <v>32</v>
      </c>
      <c r="AC500">
        <v>15.4154</v>
      </c>
      <c r="AD500">
        <v>-1.1042846683499901</v>
      </c>
      <c r="AE500">
        <v>1.38890000000003</v>
      </c>
      <c r="AF500">
        <v>-1.4061044777279299</v>
      </c>
      <c r="AG500">
        <v>-1.1042846683499901</v>
      </c>
      <c r="AH500">
        <v>15.3351256156494</v>
      </c>
      <c r="AI500">
        <v>94.101621395668104</v>
      </c>
      <c r="AJ500">
        <v>95.238901159148298</v>
      </c>
      <c r="AK500">
        <v>15.438997767950699</v>
      </c>
    </row>
    <row r="501" spans="1:37" x14ac:dyDescent="0.2">
      <c r="A501" t="str">
        <f>"20200111153620195"</f>
        <v>20200111153620195</v>
      </c>
      <c r="B501" t="str">
        <f>"1578728180192794"</f>
        <v>1578728180192794</v>
      </c>
      <c r="C501" t="s">
        <v>37</v>
      </c>
      <c r="D501">
        <v>5.8808619999999996</v>
      </c>
      <c r="E501">
        <v>0.49780390000000002</v>
      </c>
      <c r="F501" t="s">
        <v>39</v>
      </c>
      <c r="G501">
        <v>-321.41210000000001</v>
      </c>
      <c r="H501" s="1">
        <v>-3.7356139999999998E-6</v>
      </c>
      <c r="I501">
        <v>369.22669999999999</v>
      </c>
      <c r="J501">
        <v>-336.81180000000001</v>
      </c>
      <c r="K501">
        <v>1.104274</v>
      </c>
      <c r="L501">
        <v>367.82530000000003</v>
      </c>
      <c r="M501">
        <v>0.99989419999999996</v>
      </c>
      <c r="N501">
        <v>0</v>
      </c>
      <c r="O501">
        <v>-1.6903199999999999E-3</v>
      </c>
      <c r="P501">
        <v>0.99618759999999995</v>
      </c>
      <c r="Q501">
        <v>-1.6391070000000001E-3</v>
      </c>
      <c r="R501">
        <v>8.7222069999999999E-2</v>
      </c>
      <c r="S501">
        <v>2.9877009999999999</v>
      </c>
      <c r="T501">
        <v>-0.21179980000000001</v>
      </c>
      <c r="U501">
        <v>0.26873779999999903</v>
      </c>
      <c r="V501">
        <v>-8.8900010000000002E-2</v>
      </c>
      <c r="W501">
        <v>1.2802549999999999E-2</v>
      </c>
      <c r="X501">
        <v>0.99595829999999996</v>
      </c>
      <c r="Y501">
        <v>-9.1039060000000005E-2</v>
      </c>
      <c r="Z501">
        <v>3.3358440000000001E-3</v>
      </c>
      <c r="AA501">
        <v>0.99584169999999905</v>
      </c>
      <c r="AB501">
        <v>32</v>
      </c>
      <c r="AC501">
        <v>15.3996999999999</v>
      </c>
      <c r="AD501">
        <v>-1.1042777356140001</v>
      </c>
      <c r="AE501">
        <v>1.40139999999996</v>
      </c>
      <c r="AF501">
        <v>-1.42018850419468</v>
      </c>
      <c r="AG501">
        <v>-1.1042777356140001</v>
      </c>
      <c r="AH501">
        <v>15.319184651678199</v>
      </c>
      <c r="AI501">
        <v>94.105469622201994</v>
      </c>
      <c r="AJ501">
        <v>95.296553973213094</v>
      </c>
      <c r="AK501">
        <v>15.4244540615554</v>
      </c>
    </row>
    <row r="502" spans="1:37" x14ac:dyDescent="0.2">
      <c r="A502" t="str">
        <f>"20200111153620214"</f>
        <v>20200111153620214</v>
      </c>
      <c r="B502" t="str">
        <f>"1578728180203529"</f>
        <v>1578728180203529</v>
      </c>
      <c r="C502" t="s">
        <v>37</v>
      </c>
      <c r="D502">
        <v>5.8533429999999997</v>
      </c>
      <c r="E502">
        <v>0.49777389999999999</v>
      </c>
      <c r="F502" t="s">
        <v>39</v>
      </c>
      <c r="G502">
        <v>-321.33580000000001</v>
      </c>
      <c r="H502" s="1">
        <v>-3.7674729999999998E-6</v>
      </c>
      <c r="I502">
        <v>369.23160000000001</v>
      </c>
      <c r="J502">
        <v>-336.56319999999999</v>
      </c>
      <c r="K502">
        <v>1.10425</v>
      </c>
      <c r="L502">
        <v>367.82470000000001</v>
      </c>
      <c r="M502">
        <v>0.9998939</v>
      </c>
      <c r="N502">
        <v>0</v>
      </c>
      <c r="O502">
        <v>-1.8437149999999999E-3</v>
      </c>
      <c r="P502">
        <v>0.9960097</v>
      </c>
      <c r="Q502">
        <v>-4.8987120000000004E-3</v>
      </c>
      <c r="R502">
        <v>8.9111750000000003E-2</v>
      </c>
      <c r="S502">
        <v>2.9873660000000002</v>
      </c>
      <c r="T502">
        <v>-0.21315990000000001</v>
      </c>
      <c r="U502">
        <v>0.27148440000000001</v>
      </c>
      <c r="V502">
        <v>-9.0943839999999998E-2</v>
      </c>
      <c r="W502">
        <v>9.5392849999999998E-3</v>
      </c>
      <c r="X502">
        <v>0.99581030000000004</v>
      </c>
      <c r="Y502">
        <v>-9.2103829999999998E-2</v>
      </c>
      <c r="Z502">
        <v>3.406222E-3</v>
      </c>
      <c r="AA502">
        <v>0.99574359999999995</v>
      </c>
      <c r="AB502">
        <v>32</v>
      </c>
      <c r="AC502">
        <v>15.2273999999999</v>
      </c>
      <c r="AD502">
        <v>-1.104253767473</v>
      </c>
      <c r="AE502">
        <v>1.4069</v>
      </c>
      <c r="AF502">
        <v>-1.4275319681905201</v>
      </c>
      <c r="AG502">
        <v>-1.104253767473</v>
      </c>
      <c r="AH502">
        <v>15.145805388095701</v>
      </c>
      <c r="AI502">
        <v>94.151620293648094</v>
      </c>
      <c r="AJ502">
        <v>95.384371290824205</v>
      </c>
      <c r="AK502">
        <v>15.252955279461499</v>
      </c>
    </row>
    <row r="503" spans="1:37" x14ac:dyDescent="0.2">
      <c r="A503" t="str">
        <f>"20200111153620227"</f>
        <v>20200111153620227</v>
      </c>
      <c r="B503" t="str">
        <f>"1578728180223049"</f>
        <v>1578728180223049</v>
      </c>
      <c r="C503" t="s">
        <v>37</v>
      </c>
      <c r="D503">
        <v>5.7995570000000001</v>
      </c>
      <c r="E503">
        <v>0.49783840000000001</v>
      </c>
      <c r="F503" t="s">
        <v>39</v>
      </c>
      <c r="G503">
        <v>-321.7937</v>
      </c>
      <c r="H503" s="1">
        <v>-3.5774179999999999E-6</v>
      </c>
      <c r="I503">
        <v>369.19580000000002</v>
      </c>
      <c r="J503">
        <v>-336.3698</v>
      </c>
      <c r="K503">
        <v>1.1042459999999901</v>
      </c>
      <c r="L503">
        <v>367.82420000000002</v>
      </c>
      <c r="M503">
        <v>0.9998937</v>
      </c>
      <c r="N503">
        <v>0</v>
      </c>
      <c r="O503">
        <v>-1.9630200000000002E-3</v>
      </c>
      <c r="P503">
        <v>0.99596419999999997</v>
      </c>
      <c r="Q503">
        <v>-7.3311169999999998E-3</v>
      </c>
      <c r="R503">
        <v>8.945148E-2</v>
      </c>
      <c r="S503">
        <v>2.9861149999999999</v>
      </c>
      <c r="T503">
        <v>-0.22325780000000001</v>
      </c>
      <c r="U503">
        <v>0.27722170000000002</v>
      </c>
      <c r="V503">
        <v>-9.1403419999999999E-2</v>
      </c>
      <c r="W503">
        <v>7.1041639999999996E-3</v>
      </c>
      <c r="X503">
        <v>0.99578860000000002</v>
      </c>
      <c r="Y503">
        <v>-9.4128130000000004E-2</v>
      </c>
      <c r="Z503">
        <v>3.6526150000000001E-3</v>
      </c>
      <c r="AA503">
        <v>0.99555339999999903</v>
      </c>
      <c r="AB503">
        <v>32</v>
      </c>
      <c r="AC503">
        <v>14.576099999999901</v>
      </c>
      <c r="AD503">
        <v>-1.1042495774179999</v>
      </c>
      <c r="AE503">
        <v>1.3715999999999999</v>
      </c>
      <c r="AF503">
        <v>-1.39229299675637</v>
      </c>
      <c r="AG503">
        <v>-1.1042495774179999</v>
      </c>
      <c r="AH503">
        <v>14.4909425958916</v>
      </c>
      <c r="AI503">
        <v>94.337774674722993</v>
      </c>
      <c r="AJ503">
        <v>95.4881448776638</v>
      </c>
      <c r="AK503">
        <v>14.599495341807801</v>
      </c>
    </row>
    <row r="504" spans="1:37" x14ac:dyDescent="0.2">
      <c r="A504" t="str">
        <f>"20200111153620242"</f>
        <v>20200111153620242</v>
      </c>
      <c r="B504" t="str">
        <f>"1578728180232810"</f>
        <v>1578728180232810</v>
      </c>
      <c r="C504" t="s">
        <v>37</v>
      </c>
      <c r="D504">
        <v>5.8159869999999998</v>
      </c>
      <c r="E504">
        <v>0.49802799999999903</v>
      </c>
      <c r="F504" t="s">
        <v>39</v>
      </c>
      <c r="G504">
        <v>-322.04309999999998</v>
      </c>
      <c r="H504" s="1">
        <v>-3.4772770000000001E-6</v>
      </c>
      <c r="I504">
        <v>369.15710000000001</v>
      </c>
      <c r="J504">
        <v>-336.15120000000002</v>
      </c>
      <c r="K504">
        <v>1.1042459999999901</v>
      </c>
      <c r="L504">
        <v>367.82369999999997</v>
      </c>
      <c r="M504">
        <v>0.99989340000000004</v>
      </c>
      <c r="N504">
        <v>0</v>
      </c>
      <c r="O504">
        <v>-2.0981749999999999E-3</v>
      </c>
      <c r="P504">
        <v>0.99593369999999903</v>
      </c>
      <c r="Q504">
        <v>-8.5611030000000005E-3</v>
      </c>
      <c r="R504">
        <v>8.9682509999999993E-2</v>
      </c>
      <c r="S504">
        <v>2.985474</v>
      </c>
      <c r="T504">
        <v>-0.23010849999999999</v>
      </c>
      <c r="U504">
        <v>0.27777099999999999</v>
      </c>
      <c r="V504">
        <v>-9.1769290000000003E-2</v>
      </c>
      <c r="W504">
        <v>5.8715640000000001E-3</v>
      </c>
      <c r="X504">
        <v>0.99576299999999995</v>
      </c>
      <c r="Y504">
        <v>-9.4446000000000002E-2</v>
      </c>
      <c r="Z504">
        <v>3.7877290000000001E-3</v>
      </c>
      <c r="AA504">
        <v>0.99552280000000004</v>
      </c>
      <c r="AB504">
        <v>32</v>
      </c>
      <c r="AC504">
        <v>14.1081</v>
      </c>
      <c r="AD504">
        <v>-1.10424947727699</v>
      </c>
      <c r="AE504">
        <v>1.3334000000000401</v>
      </c>
      <c r="AF504">
        <v>-1.35477515901296</v>
      </c>
      <c r="AG504">
        <v>-1.10424947727699</v>
      </c>
      <c r="AH504">
        <v>14.020139988838601</v>
      </c>
      <c r="AI504">
        <v>94.482619941515196</v>
      </c>
      <c r="AJ504">
        <v>95.519391580538795</v>
      </c>
      <c r="AK504">
        <v>14.1286626382746</v>
      </c>
    </row>
    <row r="505" spans="1:37" x14ac:dyDescent="0.2">
      <c r="A505" t="str">
        <f>"20200111153620260"</f>
        <v>20200111153620260</v>
      </c>
      <c r="B505" t="str">
        <f>"1578728180253306"</f>
        <v>1578728180253306</v>
      </c>
      <c r="C505" t="s">
        <v>37</v>
      </c>
      <c r="D505">
        <v>5.8377369999999997</v>
      </c>
      <c r="E505">
        <v>0.498179599999999</v>
      </c>
      <c r="F505" t="s">
        <v>39</v>
      </c>
      <c r="G505">
        <v>-322.09019999999998</v>
      </c>
      <c r="H505" s="1">
        <v>-3.4621839999999899E-6</v>
      </c>
      <c r="I505">
        <v>369.12819999999999</v>
      </c>
      <c r="J505">
        <v>-335.90039999999999</v>
      </c>
      <c r="K505">
        <v>1.1042459999999901</v>
      </c>
      <c r="L505">
        <v>367.82299999999998</v>
      </c>
      <c r="M505">
        <v>0.99989309999999998</v>
      </c>
      <c r="N505">
        <v>0</v>
      </c>
      <c r="O505">
        <v>-2.2529960000000002E-3</v>
      </c>
      <c r="P505">
        <v>0.99591219999999903</v>
      </c>
      <c r="Q505">
        <v>-7.6474680000000001E-3</v>
      </c>
      <c r="R505">
        <v>9.0002650000000003E-2</v>
      </c>
      <c r="S505">
        <v>2.9853209999999999</v>
      </c>
      <c r="T505">
        <v>-0.2344446</v>
      </c>
      <c r="U505">
        <v>0.27697749999999999</v>
      </c>
      <c r="V505">
        <v>-9.2243099999999995E-2</v>
      </c>
      <c r="W505">
        <v>6.7818289999999996E-3</v>
      </c>
      <c r="X505">
        <v>0.99571339999999997</v>
      </c>
      <c r="Y505">
        <v>-9.4331570000000003E-2</v>
      </c>
      <c r="Z505">
        <v>3.8667709999999902E-3</v>
      </c>
      <c r="AA505">
        <v>0.99553329999999995</v>
      </c>
      <c r="AB505">
        <v>32</v>
      </c>
      <c r="AC505">
        <v>13.8102</v>
      </c>
      <c r="AD505">
        <v>-1.10424946218399</v>
      </c>
      <c r="AE505">
        <v>1.30519999999995</v>
      </c>
      <c r="AF505">
        <v>-1.32789957686154</v>
      </c>
      <c r="AG505">
        <v>-1.10424946218399</v>
      </c>
      <c r="AH505">
        <v>13.7202808467217</v>
      </c>
      <c r="AI505">
        <v>94.580109040873396</v>
      </c>
      <c r="AJ505">
        <v>95.528079907218498</v>
      </c>
      <c r="AK505">
        <v>13.828549839874</v>
      </c>
    </row>
    <row r="506" spans="1:37" x14ac:dyDescent="0.2">
      <c r="A506" t="str">
        <f>"20200111153620286"</f>
        <v>20200111153620286</v>
      </c>
      <c r="B506" t="str">
        <f>"1578728180283561"</f>
        <v>1578728180283561</v>
      </c>
      <c r="C506" t="s">
        <v>37</v>
      </c>
      <c r="D506">
        <v>5.863772</v>
      </c>
      <c r="E506">
        <v>0.49829649999999998</v>
      </c>
      <c r="F506" t="s">
        <v>39</v>
      </c>
      <c r="G506">
        <v>-321.6268</v>
      </c>
      <c r="H506" s="1">
        <v>-3.657457E-6</v>
      </c>
      <c r="I506">
        <v>369.1481</v>
      </c>
      <c r="J506">
        <v>-335.52440000000001</v>
      </c>
      <c r="K506">
        <v>1.1042510000000001</v>
      </c>
      <c r="L506">
        <v>367.82190000000003</v>
      </c>
      <c r="M506">
        <v>0.99989269999999997</v>
      </c>
      <c r="N506">
        <v>0</v>
      </c>
      <c r="O506">
        <v>-2.485527E-3</v>
      </c>
      <c r="P506">
        <v>0.99586699999999995</v>
      </c>
      <c r="Q506">
        <v>-9.2037309999999997E-3</v>
      </c>
      <c r="R506">
        <v>9.0357220000000002E-2</v>
      </c>
      <c r="S506">
        <v>2.9855040000000002</v>
      </c>
      <c r="T506">
        <v>-0.230966799999999</v>
      </c>
      <c r="U506">
        <v>0.27716059999999998</v>
      </c>
      <c r="V506">
        <v>-9.2829850000000005E-2</v>
      </c>
      <c r="W506">
        <v>5.2216459999999999E-3</v>
      </c>
      <c r="X506">
        <v>0.99566829999999995</v>
      </c>
      <c r="Y506">
        <v>-9.4625130000000002E-2</v>
      </c>
      <c r="Z506">
        <v>3.8385799999999999E-3</v>
      </c>
      <c r="AA506">
        <v>0.99550559999999999</v>
      </c>
      <c r="AB506">
        <v>32</v>
      </c>
      <c r="AC506">
        <v>13.897600000000001</v>
      </c>
      <c r="AD506">
        <v>-1.104254657457</v>
      </c>
      <c r="AE506">
        <v>1.3261999999999701</v>
      </c>
      <c r="AF506">
        <v>-1.35228199495503</v>
      </c>
      <c r="AG506">
        <v>-1.104254657457</v>
      </c>
      <c r="AH506">
        <v>13.807873337258799</v>
      </c>
      <c r="AI506">
        <v>94.550694691941004</v>
      </c>
      <c r="AJ506">
        <v>95.593457554326605</v>
      </c>
      <c r="AK506">
        <v>13.9178091321939</v>
      </c>
    </row>
    <row r="507" spans="1:37" x14ac:dyDescent="0.2">
      <c r="A507" t="str">
        <f>"20200111153620303"</f>
        <v>20200111153620303</v>
      </c>
      <c r="B507" t="str">
        <f>"1578728180293324"</f>
        <v>1578728180293324</v>
      </c>
      <c r="C507" t="s">
        <v>37</v>
      </c>
      <c r="D507">
        <v>5.9687289999999997</v>
      </c>
      <c r="E507">
        <v>0.4983882</v>
      </c>
      <c r="F507" t="s">
        <v>39</v>
      </c>
      <c r="G507">
        <v>-321.51960000000003</v>
      </c>
      <c r="H507" s="1">
        <v>-3.7079690000000001E-6</v>
      </c>
      <c r="I507">
        <v>369.12270000000001</v>
      </c>
      <c r="J507">
        <v>-335.27080000000001</v>
      </c>
      <c r="K507">
        <v>1.10426</v>
      </c>
      <c r="L507">
        <v>367.8211</v>
      </c>
      <c r="M507">
        <v>0.99989229999999996</v>
      </c>
      <c r="N507">
        <v>0</v>
      </c>
      <c r="O507">
        <v>-2.6424909999999999E-3</v>
      </c>
      <c r="P507">
        <v>0.99609959999999997</v>
      </c>
      <c r="Q507">
        <v>-7.1325310000000001E-3</v>
      </c>
      <c r="R507">
        <v>8.7947780000000003E-2</v>
      </c>
      <c r="S507">
        <v>2.9851380000000001</v>
      </c>
      <c r="T507">
        <v>-0.235371</v>
      </c>
      <c r="U507">
        <v>0.27728269999999999</v>
      </c>
      <c r="V507">
        <v>-9.0577069999999996E-2</v>
      </c>
      <c r="W507">
        <v>7.2915539999999996E-3</v>
      </c>
      <c r="X507">
        <v>0.99586280000000005</v>
      </c>
      <c r="Y507">
        <v>-9.4820779999999993E-2</v>
      </c>
      <c r="Z507">
        <v>3.932039E-3</v>
      </c>
      <c r="AA507">
        <v>0.9954866</v>
      </c>
      <c r="AB507">
        <v>32</v>
      </c>
      <c r="AC507">
        <v>13.7511999999999</v>
      </c>
      <c r="AD507">
        <v>-1.1042637079690001</v>
      </c>
      <c r="AE507">
        <v>1.3016000000000001</v>
      </c>
      <c r="AF507">
        <v>-1.32943978509852</v>
      </c>
      <c r="AG507">
        <v>-1.1042637079690001</v>
      </c>
      <c r="AH507">
        <v>13.660404101799701</v>
      </c>
      <c r="AI507">
        <v>94.599921373223793</v>
      </c>
      <c r="AJ507">
        <v>95.558559243286396</v>
      </c>
      <c r="AK507">
        <v>13.7692936893439</v>
      </c>
    </row>
    <row r="508" spans="1:37" x14ac:dyDescent="0.2">
      <c r="A508" t="str">
        <f>"20200111153620315"</f>
        <v>20200111153620315</v>
      </c>
      <c r="B508" t="str">
        <f>"1578728180312842"</f>
        <v>1578728180312842</v>
      </c>
      <c r="C508" t="s">
        <v>37</v>
      </c>
      <c r="D508">
        <v>5.9713459999999996</v>
      </c>
      <c r="E508">
        <v>0.4985251</v>
      </c>
      <c r="F508" t="s">
        <v>39</v>
      </c>
      <c r="G508">
        <v>-320.77960000000002</v>
      </c>
      <c r="H508" s="1">
        <v>-4.0244409999999996E-6</v>
      </c>
      <c r="I508">
        <v>369.12819999999999</v>
      </c>
      <c r="J508">
        <v>-335.08179999999999</v>
      </c>
      <c r="K508">
        <v>1.1042650000000001</v>
      </c>
      <c r="L508">
        <v>367.82049999999998</v>
      </c>
      <c r="M508">
        <v>0.99989189999999994</v>
      </c>
      <c r="N508">
        <v>0</v>
      </c>
      <c r="O508">
        <v>-2.759409E-3</v>
      </c>
      <c r="P508">
        <v>0.99628619999999901</v>
      </c>
      <c r="Q508">
        <v>-6.7254289999999998E-3</v>
      </c>
      <c r="R508">
        <v>8.5841059999999997E-2</v>
      </c>
      <c r="S508">
        <v>2.9863279999999999</v>
      </c>
      <c r="T508">
        <v>-0.2275634</v>
      </c>
      <c r="U508">
        <v>0.26937870000000003</v>
      </c>
      <c r="V508">
        <v>-8.8586929999999994E-2</v>
      </c>
      <c r="W508">
        <v>7.698285E-3</v>
      </c>
      <c r="X508">
        <v>0.99603869999999906</v>
      </c>
      <c r="Y508">
        <v>-9.2313980000000004E-2</v>
      </c>
      <c r="Z508">
        <v>3.7146379999999902E-3</v>
      </c>
      <c r="AA508">
        <v>0.99572299999999903</v>
      </c>
      <c r="AB508">
        <v>32</v>
      </c>
      <c r="AC508">
        <v>14.3021999999999</v>
      </c>
      <c r="AD508">
        <v>-1.1042690244410001</v>
      </c>
      <c r="AE508">
        <v>1.3077000000000101</v>
      </c>
      <c r="AF508">
        <v>-1.3392472355491101</v>
      </c>
      <c r="AG508">
        <v>-1.1042690244410001</v>
      </c>
      <c r="AH508">
        <v>14.2145017059389</v>
      </c>
      <c r="AI508">
        <v>94.422654939572794</v>
      </c>
      <c r="AJ508">
        <v>95.382346013228101</v>
      </c>
      <c r="AK508">
        <v>14.3200925969215</v>
      </c>
    </row>
    <row r="509" spans="1:37" x14ac:dyDescent="0.2">
      <c r="A509" t="str">
        <f>"20200111153620329"</f>
        <v>20200111153620329</v>
      </c>
      <c r="B509" t="str">
        <f>"1578728180323578"</f>
        <v>1578728180323578</v>
      </c>
      <c r="C509" t="s">
        <v>37</v>
      </c>
      <c r="D509">
        <v>5.8581430000000001</v>
      </c>
      <c r="E509">
        <v>0.49855899999999997</v>
      </c>
      <c r="F509" t="s">
        <v>39</v>
      </c>
      <c r="G509">
        <v>-320.37419999999997</v>
      </c>
      <c r="H509" s="1">
        <v>-4.2016349999999996E-6</v>
      </c>
      <c r="I509">
        <v>369.1096</v>
      </c>
      <c r="J509">
        <v>-334.89949999999999</v>
      </c>
      <c r="K509">
        <v>1.104268</v>
      </c>
      <c r="L509">
        <v>367.81990000000002</v>
      </c>
      <c r="M509">
        <v>0.9998918</v>
      </c>
      <c r="N509">
        <v>0</v>
      </c>
      <c r="O509">
        <v>-2.8725140000000001E-3</v>
      </c>
      <c r="P509">
        <v>0.99640509999999904</v>
      </c>
      <c r="Q509">
        <v>-6.364766E-3</v>
      </c>
      <c r="R509">
        <v>8.4480490000000005E-2</v>
      </c>
      <c r="S509">
        <v>2.9870909999999999</v>
      </c>
      <c r="T509">
        <v>-0.22427429999999901</v>
      </c>
      <c r="U509">
        <v>0.26184079999999998</v>
      </c>
      <c r="V509">
        <v>-8.7339410000000006E-2</v>
      </c>
      <c r="W509">
        <v>8.0582859999999996E-3</v>
      </c>
      <c r="X509">
        <v>0.99614599999999898</v>
      </c>
      <c r="Y509">
        <v>-8.9924889999999993E-2</v>
      </c>
      <c r="Z509">
        <v>3.5796529999999999E-3</v>
      </c>
      <c r="AA509">
        <v>0.99594210000000005</v>
      </c>
      <c r="AB509">
        <v>32</v>
      </c>
      <c r="AC509">
        <v>14.5253</v>
      </c>
      <c r="AD509">
        <v>-1.104272201635</v>
      </c>
      <c r="AE509">
        <v>1.2896999999999801</v>
      </c>
      <c r="AF509">
        <v>-1.3238317036971099</v>
      </c>
      <c r="AG509">
        <v>-1.104272201635</v>
      </c>
      <c r="AH509">
        <v>14.4387368009975</v>
      </c>
      <c r="AI509">
        <v>94.355261097679005</v>
      </c>
      <c r="AJ509">
        <v>95.238581169289702</v>
      </c>
      <c r="AK509">
        <v>14.541288384579101</v>
      </c>
    </row>
    <row r="510" spans="1:37" x14ac:dyDescent="0.2">
      <c r="A510" t="str">
        <f>"20200111153620342"</f>
        <v>20200111153620342</v>
      </c>
      <c r="B510" t="str">
        <f>"1578728180333340"</f>
        <v>1578728180333340</v>
      </c>
      <c r="C510" t="s">
        <v>37</v>
      </c>
      <c r="D510">
        <v>5.8663239999999996</v>
      </c>
      <c r="E510">
        <v>0.49855450000000001</v>
      </c>
      <c r="F510" t="s">
        <v>39</v>
      </c>
      <c r="G510">
        <v>-320.03089999999997</v>
      </c>
      <c r="H510" s="1">
        <v>-4.350464E-6</v>
      </c>
      <c r="I510">
        <v>369.10090000000002</v>
      </c>
      <c r="J510">
        <v>-334.71120000000002</v>
      </c>
      <c r="K510">
        <v>1.104271</v>
      </c>
      <c r="L510">
        <v>367.81920000000002</v>
      </c>
      <c r="M510">
        <v>0.99989139999999999</v>
      </c>
      <c r="N510">
        <v>0</v>
      </c>
      <c r="O510">
        <v>-2.9891929999999998E-3</v>
      </c>
      <c r="P510">
        <v>0.9965155</v>
      </c>
      <c r="Q510">
        <v>-6.0044249999999999E-3</v>
      </c>
      <c r="R510">
        <v>8.3193320000000001E-2</v>
      </c>
      <c r="S510">
        <v>2.9876099999999899</v>
      </c>
      <c r="T510">
        <v>-0.22188469999999999</v>
      </c>
      <c r="U510">
        <v>0.25741579999999997</v>
      </c>
      <c r="V510">
        <v>-8.6168209999999995E-2</v>
      </c>
      <c r="W510">
        <v>8.4173330000000008E-3</v>
      </c>
      <c r="X510">
        <v>0.99624500000000005</v>
      </c>
      <c r="Y510">
        <v>-8.8570830000000003E-2</v>
      </c>
      <c r="Z510">
        <v>3.4997489999999999E-3</v>
      </c>
      <c r="AA510">
        <v>0.996063699999999</v>
      </c>
      <c r="AB510">
        <v>32</v>
      </c>
      <c r="AC510">
        <v>14.680300000000001</v>
      </c>
      <c r="AD510">
        <v>-1.1042753504639999</v>
      </c>
      <c r="AE510">
        <v>1.2817000000000001</v>
      </c>
      <c r="AF510">
        <v>-1.3181788835780801</v>
      </c>
      <c r="AG510">
        <v>-1.1042753504639999</v>
      </c>
      <c r="AH510">
        <v>14.5944479008946</v>
      </c>
      <c r="AI510">
        <v>94.309511237688994</v>
      </c>
      <c r="AJ510">
        <v>95.160983882208996</v>
      </c>
      <c r="AK510">
        <v>14.695405035271399</v>
      </c>
    </row>
    <row r="511" spans="1:37" x14ac:dyDescent="0.2">
      <c r="A511" t="str">
        <f>"20200111153620359"</f>
        <v>20200111153620359</v>
      </c>
      <c r="B511" t="str">
        <f>"1578728180352857"</f>
        <v>1578728180352857</v>
      </c>
      <c r="C511" t="s">
        <v>37</v>
      </c>
      <c r="D511">
        <v>5.8789980000000002</v>
      </c>
      <c r="E511">
        <v>0.49857010000000002</v>
      </c>
      <c r="F511" t="s">
        <v>40</v>
      </c>
      <c r="G511">
        <v>-319.02050000000003</v>
      </c>
      <c r="H511">
        <v>-0.05</v>
      </c>
      <c r="I511">
        <v>369.1497</v>
      </c>
      <c r="J511">
        <v>-334.45800000000003</v>
      </c>
      <c r="K511">
        <v>1.104268</v>
      </c>
      <c r="L511">
        <v>367.81830000000002</v>
      </c>
      <c r="M511">
        <v>0.99989089999999903</v>
      </c>
      <c r="N511">
        <v>0</v>
      </c>
      <c r="O511">
        <v>-3.1465109999999998E-3</v>
      </c>
      <c r="P511">
        <v>0.9965965</v>
      </c>
      <c r="Q511">
        <v>-6.9033609999999898E-3</v>
      </c>
      <c r="R511">
        <v>8.2145449999999995E-2</v>
      </c>
      <c r="S511">
        <v>2.9880070000000001</v>
      </c>
      <c r="T511">
        <v>-0.21980949999999999</v>
      </c>
      <c r="U511">
        <v>0.2533569</v>
      </c>
      <c r="V511">
        <v>-8.527759E-2</v>
      </c>
      <c r="W511">
        <v>7.5161389999999998E-3</v>
      </c>
      <c r="X511">
        <v>0.99632889999999996</v>
      </c>
      <c r="Y511">
        <v>-8.7380410000000006E-2</v>
      </c>
      <c r="Z511">
        <v>3.4347379999999901E-3</v>
      </c>
      <c r="AA511">
        <v>0.99616909999999903</v>
      </c>
      <c r="AB511">
        <v>32</v>
      </c>
      <c r="AC511">
        <v>15.4375</v>
      </c>
      <c r="AD511">
        <v>-1.1542680000000001</v>
      </c>
      <c r="AE511">
        <v>1.3313999999999699</v>
      </c>
      <c r="AF511">
        <v>-1.3723570609801801</v>
      </c>
      <c r="AG511">
        <v>-1.1542680000000001</v>
      </c>
      <c r="AH511">
        <v>15.3480623143301</v>
      </c>
      <c r="AI511">
        <v>94.283869081217205</v>
      </c>
      <c r="AJ511">
        <v>95.109551399565404</v>
      </c>
      <c r="AK511">
        <v>15.452466318462101</v>
      </c>
    </row>
    <row r="512" spans="1:37" x14ac:dyDescent="0.2">
      <c r="A512" t="str">
        <f>"20200111153620383"</f>
        <v>20200111153620383</v>
      </c>
      <c r="B512" t="str">
        <f>"1578728180373353"</f>
        <v>1578728180373353</v>
      </c>
      <c r="C512" t="s">
        <v>37</v>
      </c>
      <c r="D512">
        <v>5.8887700000000001</v>
      </c>
      <c r="E512">
        <v>0.4984344</v>
      </c>
      <c r="F512" t="s">
        <v>40</v>
      </c>
      <c r="G512">
        <v>-318.77370000000002</v>
      </c>
      <c r="H512">
        <v>-0.05</v>
      </c>
      <c r="I512">
        <v>369.1318</v>
      </c>
      <c r="J512">
        <v>-334.1345</v>
      </c>
      <c r="K512">
        <v>1.10425</v>
      </c>
      <c r="L512">
        <v>367.81709999999998</v>
      </c>
      <c r="M512">
        <v>0.99989030000000001</v>
      </c>
      <c r="N512">
        <v>0</v>
      </c>
      <c r="O512">
        <v>-3.347095E-3</v>
      </c>
      <c r="P512">
        <v>0.99667669999999997</v>
      </c>
      <c r="Q512">
        <v>-9.2202589999999997E-3</v>
      </c>
      <c r="R512">
        <v>8.0935080000000006E-2</v>
      </c>
      <c r="S512">
        <v>2.9880680000000002</v>
      </c>
      <c r="T512">
        <v>-0.2199024</v>
      </c>
      <c r="U512">
        <v>0.25024410000000002</v>
      </c>
      <c r="V512">
        <v>-8.4268300000000004E-2</v>
      </c>
      <c r="W512">
        <v>5.1963729999999998E-3</v>
      </c>
      <c r="X512">
        <v>0.99642960000000003</v>
      </c>
      <c r="Y512">
        <v>-8.6549520000000005E-2</v>
      </c>
      <c r="Z512">
        <v>3.420504E-3</v>
      </c>
      <c r="AA512">
        <v>0.99624169999999901</v>
      </c>
      <c r="AB512">
        <v>32</v>
      </c>
      <c r="AC512">
        <v>15.3607999999999</v>
      </c>
      <c r="AD512">
        <v>-1.15425</v>
      </c>
      <c r="AE512">
        <v>1.31470000000001</v>
      </c>
      <c r="AF512">
        <v>-1.35849719807418</v>
      </c>
      <c r="AG512">
        <v>-1.15425</v>
      </c>
      <c r="AH512">
        <v>15.2707154245712</v>
      </c>
      <c r="AI512">
        <v>94.305591386669406</v>
      </c>
      <c r="AJ512">
        <v>95.083703694074003</v>
      </c>
      <c r="AK512">
        <v>15.3744124205744</v>
      </c>
    </row>
    <row r="513" spans="1:37" x14ac:dyDescent="0.2">
      <c r="A513" t="str">
        <f>"20200111153620409"</f>
        <v>20200111153620409</v>
      </c>
      <c r="B513" t="str">
        <f>"1578728180403143"</f>
        <v>1578728180403143</v>
      </c>
      <c r="C513" t="s">
        <v>37</v>
      </c>
      <c r="D513">
        <v>5.8359559999999897</v>
      </c>
      <c r="E513">
        <v>0.49836350000000001</v>
      </c>
      <c r="F513" t="s">
        <v>40</v>
      </c>
      <c r="G513">
        <v>-318.88479999999998</v>
      </c>
      <c r="H513">
        <v>-0.05</v>
      </c>
      <c r="I513">
        <v>369.08</v>
      </c>
      <c r="J513">
        <v>-333.75400000000002</v>
      </c>
      <c r="K513">
        <v>1.104233</v>
      </c>
      <c r="L513">
        <v>367.81560000000002</v>
      </c>
      <c r="M513">
        <v>0.99988969999999899</v>
      </c>
      <c r="N513">
        <v>0</v>
      </c>
      <c r="O513">
        <v>-3.5833169999999999E-3</v>
      </c>
      <c r="P513">
        <v>0.99670890000000001</v>
      </c>
      <c r="Q513">
        <v>-1.2475750000000001E-2</v>
      </c>
      <c r="R513">
        <v>8.0100039999999997E-2</v>
      </c>
      <c r="S513">
        <v>2.987854</v>
      </c>
      <c r="T513">
        <v>-0.22614989999999999</v>
      </c>
      <c r="U513">
        <v>0.247436499999999</v>
      </c>
      <c r="V513">
        <v>-8.3670579999999994E-2</v>
      </c>
      <c r="W513">
        <v>1.9372129999999999E-3</v>
      </c>
      <c r="X513">
        <v>0.99649159999999903</v>
      </c>
      <c r="Y513">
        <v>-8.5848450000000007E-2</v>
      </c>
      <c r="Z513">
        <v>3.5091739999999999E-3</v>
      </c>
      <c r="AA513">
        <v>0.99630200000000002</v>
      </c>
      <c r="AB513">
        <v>32</v>
      </c>
      <c r="AC513">
        <v>14.869199999999999</v>
      </c>
      <c r="AD513">
        <v>-1.1542330000000001</v>
      </c>
      <c r="AE513">
        <v>1.26439999999996</v>
      </c>
      <c r="AF513">
        <v>-1.30984234126663</v>
      </c>
      <c r="AG513">
        <v>-1.1542330000000001</v>
      </c>
      <c r="AH513">
        <v>14.7761748338123</v>
      </c>
      <c r="AI513">
        <v>94.449182892144407</v>
      </c>
      <c r="AJ513">
        <v>95.065775324769504</v>
      </c>
      <c r="AK513">
        <v>14.8789543818325</v>
      </c>
    </row>
    <row r="514" spans="1:37" x14ac:dyDescent="0.2">
      <c r="A514" t="str">
        <f>"20200111153620421"</f>
        <v>20200111153620421</v>
      </c>
      <c r="B514" t="str">
        <f>"1578728180412903"</f>
        <v>1578728180412903</v>
      </c>
      <c r="C514" t="s">
        <v>37</v>
      </c>
      <c r="D514">
        <v>6.1088959999999997</v>
      </c>
      <c r="E514">
        <v>0.4982896</v>
      </c>
      <c r="F514" t="s">
        <v>40</v>
      </c>
      <c r="G514">
        <v>-319.15800000000002</v>
      </c>
      <c r="H514">
        <v>-0.05</v>
      </c>
      <c r="I514">
        <v>369.01249999999999</v>
      </c>
      <c r="J514">
        <v>-333.5684</v>
      </c>
      <c r="K514">
        <v>1.104231</v>
      </c>
      <c r="L514">
        <v>367.81479999999999</v>
      </c>
      <c r="M514">
        <v>0.99988920000000003</v>
      </c>
      <c r="N514">
        <v>0</v>
      </c>
      <c r="O514">
        <v>-3.69821E-3</v>
      </c>
      <c r="P514">
        <v>0.99665419999999905</v>
      </c>
      <c r="Q514">
        <v>-1.35152E-2</v>
      </c>
      <c r="R514">
        <v>8.0610600000000004E-2</v>
      </c>
      <c r="S514">
        <v>2.9872740000000002</v>
      </c>
      <c r="T514">
        <v>-0.23622969999999999</v>
      </c>
      <c r="U514">
        <v>0.2449646</v>
      </c>
      <c r="V514">
        <v>-8.4296019999999999E-2</v>
      </c>
      <c r="W514">
        <v>8.9484829999999995E-4</v>
      </c>
      <c r="X514">
        <v>0.9964404</v>
      </c>
      <c r="Y514">
        <v>-8.5138539999999999E-2</v>
      </c>
      <c r="Z514">
        <v>3.6470179999999902E-3</v>
      </c>
      <c r="AA514">
        <v>0.99636239999999998</v>
      </c>
      <c r="AB514">
        <v>32</v>
      </c>
      <c r="AC514">
        <v>14.4103999999999</v>
      </c>
      <c r="AD514">
        <v>-1.154231</v>
      </c>
      <c r="AE514">
        <v>1.19769999999999</v>
      </c>
      <c r="AF514">
        <v>-1.2430697791476799</v>
      </c>
      <c r="AG514">
        <v>-1.154231</v>
      </c>
      <c r="AH514">
        <v>14.3146653239443</v>
      </c>
      <c r="AI514">
        <v>94.592733467724202</v>
      </c>
      <c r="AJ514">
        <v>94.963051961346196</v>
      </c>
      <c r="AK514">
        <v>14.414822753461999</v>
      </c>
    </row>
    <row r="515" spans="1:37" x14ac:dyDescent="0.2">
      <c r="A515" t="str">
        <f>"20200111153620437"</f>
        <v>20200111153620437</v>
      </c>
      <c r="B515" t="str">
        <f>"1578728180433400"</f>
        <v>1578728180433400</v>
      </c>
      <c r="C515" t="s">
        <v>37</v>
      </c>
      <c r="D515">
        <v>6.0499939999999999</v>
      </c>
      <c r="E515">
        <v>0.49809959999999998</v>
      </c>
      <c r="F515" t="s">
        <v>40</v>
      </c>
      <c r="G515">
        <v>-319.08850000000001</v>
      </c>
      <c r="H515">
        <v>-0.05</v>
      </c>
      <c r="I515">
        <v>369.01010000000002</v>
      </c>
      <c r="J515">
        <v>-333.35750000000002</v>
      </c>
      <c r="K515">
        <v>1.1042339999999999</v>
      </c>
      <c r="L515">
        <v>367.81389999999999</v>
      </c>
      <c r="M515">
        <v>0.99988860000000002</v>
      </c>
      <c r="N515">
        <v>0</v>
      </c>
      <c r="O515">
        <v>-3.8289550000000002E-3</v>
      </c>
      <c r="P515">
        <v>0.99642219999999904</v>
      </c>
      <c r="Q515">
        <v>-1.373833E-2</v>
      </c>
      <c r="R515">
        <v>8.3391259999999995E-2</v>
      </c>
      <c r="S515">
        <v>2.9869080000000001</v>
      </c>
      <c r="T515">
        <v>-0.23809439999999901</v>
      </c>
      <c r="U515">
        <v>0.246582</v>
      </c>
      <c r="V515">
        <v>-8.7206359999999997E-2</v>
      </c>
      <c r="W515">
        <v>6.6739719999999998E-4</v>
      </c>
      <c r="X515">
        <v>0.99619009999999997</v>
      </c>
      <c r="Y515">
        <v>-8.5807739999999993E-2</v>
      </c>
      <c r="Z515">
        <v>3.7130570000000001E-3</v>
      </c>
      <c r="AA515">
        <v>0.99630479999999999</v>
      </c>
      <c r="AB515">
        <v>32</v>
      </c>
      <c r="AC515">
        <v>14.269</v>
      </c>
      <c r="AD515">
        <v>-1.154234</v>
      </c>
      <c r="AE515">
        <v>1.1962000000000299</v>
      </c>
      <c r="AF515">
        <v>-1.2427572199969099</v>
      </c>
      <c r="AG515">
        <v>-1.154234</v>
      </c>
      <c r="AH515">
        <v>14.172227922031301</v>
      </c>
      <c r="AI515">
        <v>94.638363852229602</v>
      </c>
      <c r="AJ515">
        <v>95.011426051980493</v>
      </c>
      <c r="AK515">
        <v>14.273357905854301</v>
      </c>
    </row>
    <row r="516" spans="1:37" x14ac:dyDescent="0.2">
      <c r="A516" t="str">
        <f>"20200111153620449"</f>
        <v>20200111153620449</v>
      </c>
      <c r="B516" t="str">
        <f>"1578728180443161"</f>
        <v>1578728180443161</v>
      </c>
      <c r="C516" t="s">
        <v>37</v>
      </c>
      <c r="D516">
        <v>5.9501520000000001</v>
      </c>
      <c r="E516">
        <v>0.49803639999999999</v>
      </c>
      <c r="F516" t="s">
        <v>40</v>
      </c>
      <c r="G516">
        <v>-318.80459999999999</v>
      </c>
      <c r="H516">
        <v>-0.05</v>
      </c>
      <c r="I516">
        <v>369.06319999999999</v>
      </c>
      <c r="J516">
        <v>-333.16669999999999</v>
      </c>
      <c r="K516">
        <v>1.104239</v>
      </c>
      <c r="L516">
        <v>367.81299999999999</v>
      </c>
      <c r="M516">
        <v>0.99988829999999995</v>
      </c>
      <c r="N516">
        <v>0</v>
      </c>
      <c r="O516">
        <v>-3.9473039999999996E-3</v>
      </c>
      <c r="P516">
        <v>0.99635169999999995</v>
      </c>
      <c r="Q516">
        <v>-1.3411299999999999E-2</v>
      </c>
      <c r="R516">
        <v>8.4282889999999999E-2</v>
      </c>
      <c r="S516">
        <v>2.9860229999999999</v>
      </c>
      <c r="T516">
        <v>-0.236830499999999</v>
      </c>
      <c r="U516">
        <v>0.25634770000000001</v>
      </c>
      <c r="V516">
        <v>-8.8215249999999995E-2</v>
      </c>
      <c r="W516">
        <v>9.9116979999999992E-4</v>
      </c>
      <c r="X516">
        <v>0.99610100000000001</v>
      </c>
      <c r="Y516">
        <v>-8.9176829999999999E-2</v>
      </c>
      <c r="Z516">
        <v>3.8365029999999998E-3</v>
      </c>
      <c r="AA516">
        <v>0.99600840000000002</v>
      </c>
      <c r="AB516">
        <v>32</v>
      </c>
      <c r="AC516">
        <v>14.3620999999999</v>
      </c>
      <c r="AD516">
        <v>-1.154239</v>
      </c>
      <c r="AE516">
        <v>1.25019999999994</v>
      </c>
      <c r="AF516">
        <v>-1.2985635651952101</v>
      </c>
      <c r="AG516">
        <v>-1.154239</v>
      </c>
      <c r="AH516">
        <v>14.265606092105999</v>
      </c>
      <c r="AI516">
        <v>94.606796107658596</v>
      </c>
      <c r="AJ516">
        <v>95.201161975838801</v>
      </c>
      <c r="AK516">
        <v>14.3710143057859</v>
      </c>
    </row>
    <row r="517" spans="1:37" x14ac:dyDescent="0.2">
      <c r="A517" t="str">
        <f>"20200111153620471"</f>
        <v>20200111153620471</v>
      </c>
      <c r="B517" t="str">
        <f>"1578728180463657"</f>
        <v>1578728180463657</v>
      </c>
      <c r="C517" t="s">
        <v>37</v>
      </c>
      <c r="D517">
        <v>5.8930930000000004</v>
      </c>
      <c r="E517">
        <v>0.49786609999999998</v>
      </c>
      <c r="F517" t="s">
        <v>40</v>
      </c>
      <c r="G517">
        <v>-318.483</v>
      </c>
      <c r="H517">
        <v>-0.05</v>
      </c>
      <c r="I517">
        <v>369.08850000000001</v>
      </c>
      <c r="J517">
        <v>-332.86829999999998</v>
      </c>
      <c r="K517">
        <v>1.1042529999999999</v>
      </c>
      <c r="L517">
        <v>367.81169999999997</v>
      </c>
      <c r="M517">
        <v>0.99988770000000005</v>
      </c>
      <c r="N517">
        <v>0</v>
      </c>
      <c r="O517">
        <v>-4.132396E-3</v>
      </c>
      <c r="P517">
        <v>0.99627679999999996</v>
      </c>
      <c r="Q517">
        <v>-1.282267E-2</v>
      </c>
      <c r="R517">
        <v>8.5256139999999994E-2</v>
      </c>
      <c r="S517">
        <v>2.9859009999999899</v>
      </c>
      <c r="T517">
        <v>-0.2347119</v>
      </c>
      <c r="U517">
        <v>0.25936889999999901</v>
      </c>
      <c r="V517">
        <v>-8.9372160000000006E-2</v>
      </c>
      <c r="W517">
        <v>1.5762479999999999E-3</v>
      </c>
      <c r="X517">
        <v>0.99599709999999997</v>
      </c>
      <c r="Y517">
        <v>-9.0365890000000004E-2</v>
      </c>
      <c r="Z517">
        <v>3.8633559999999901E-3</v>
      </c>
      <c r="AA517">
        <v>0.99590119999999904</v>
      </c>
      <c r="AB517">
        <v>32</v>
      </c>
      <c r="AC517">
        <v>14.3852999999999</v>
      </c>
      <c r="AD517">
        <v>-1.154253</v>
      </c>
      <c r="AE517">
        <v>1.2768000000000299</v>
      </c>
      <c r="AF517">
        <v>-1.3277594620303299</v>
      </c>
      <c r="AG517">
        <v>-1.154253</v>
      </c>
      <c r="AH517">
        <v>14.288626425237601</v>
      </c>
      <c r="AI517">
        <v>94.598669397126002</v>
      </c>
      <c r="AJ517">
        <v>95.308919951492697</v>
      </c>
      <c r="AK517">
        <v>14.3965304951234</v>
      </c>
    </row>
    <row r="518" spans="1:37" x14ac:dyDescent="0.2">
      <c r="A518" t="str">
        <f>"20200111153620484"</f>
        <v>20200111153620484</v>
      </c>
      <c r="B518" t="str">
        <f>"1578728180473415"</f>
        <v>1578728180473415</v>
      </c>
      <c r="C518" t="s">
        <v>37</v>
      </c>
      <c r="D518">
        <v>5.9715449999999999</v>
      </c>
      <c r="E518">
        <v>0.49775079999999999</v>
      </c>
      <c r="F518" t="s">
        <v>40</v>
      </c>
      <c r="G518">
        <v>-318.01339999999999</v>
      </c>
      <c r="H518">
        <v>-0.05</v>
      </c>
      <c r="I518">
        <v>369.12479999999999</v>
      </c>
      <c r="J518">
        <v>-332.68709999999999</v>
      </c>
      <c r="K518">
        <v>1.1042559999999999</v>
      </c>
      <c r="L518">
        <v>367.81079999999997</v>
      </c>
      <c r="M518">
        <v>0.99988719999999998</v>
      </c>
      <c r="N518">
        <v>0</v>
      </c>
      <c r="O518">
        <v>-4.2447869999999999E-3</v>
      </c>
      <c r="P518">
        <v>0.99628989999999995</v>
      </c>
      <c r="Q518">
        <v>-1.201789E-2</v>
      </c>
      <c r="R518">
        <v>8.5218989999999994E-2</v>
      </c>
      <c r="S518">
        <v>2.985687</v>
      </c>
      <c r="T518">
        <v>-0.23199299999999901</v>
      </c>
      <c r="U518">
        <v>0.26391599999999998</v>
      </c>
      <c r="V518">
        <v>-8.9446570000000003E-2</v>
      </c>
      <c r="W518">
        <v>2.3787639999999998E-3</v>
      </c>
      <c r="X518">
        <v>0.99598880000000001</v>
      </c>
      <c r="Y518">
        <v>-9.1990500000000003E-2</v>
      </c>
      <c r="Z518">
        <v>3.8903609999999902E-3</v>
      </c>
      <c r="AA518">
        <v>0.99575230000000003</v>
      </c>
      <c r="AB518">
        <v>32</v>
      </c>
      <c r="AC518">
        <v>14.673699999999901</v>
      </c>
      <c r="AD518">
        <v>-1.1542559999999999</v>
      </c>
      <c r="AE518">
        <v>1.31400000000002</v>
      </c>
      <c r="AF518">
        <v>-1.36788470968467</v>
      </c>
      <c r="AG518">
        <v>-1.1542559999999999</v>
      </c>
      <c r="AH518">
        <v>14.578500635251901</v>
      </c>
      <c r="AI518">
        <v>94.507247308626603</v>
      </c>
      <c r="AJ518">
        <v>95.360306383441795</v>
      </c>
      <c r="AK518">
        <v>14.687957525284601</v>
      </c>
    </row>
    <row r="519" spans="1:37" x14ac:dyDescent="0.2">
      <c r="A519" t="str">
        <f>"20200111153620495"</f>
        <v>20200111153620495</v>
      </c>
      <c r="B519" t="str">
        <f>"1578728180492935"</f>
        <v>1578728180492935</v>
      </c>
      <c r="C519" t="s">
        <v>37</v>
      </c>
      <c r="D519">
        <v>5.8814500000000001</v>
      </c>
      <c r="E519">
        <v>0.49762650000000003</v>
      </c>
      <c r="F519" t="s">
        <v>40</v>
      </c>
      <c r="G519">
        <v>-317.64580000000001</v>
      </c>
      <c r="H519">
        <v>-0.05</v>
      </c>
      <c r="I519">
        <v>369.1429</v>
      </c>
      <c r="J519">
        <v>-332.50659999999999</v>
      </c>
      <c r="K519">
        <v>1.104255</v>
      </c>
      <c r="L519">
        <v>367.80990000000003</v>
      </c>
      <c r="M519">
        <v>0.99988679999999996</v>
      </c>
      <c r="N519">
        <v>0</v>
      </c>
      <c r="O519">
        <v>-4.3563459999999997E-3</v>
      </c>
      <c r="P519">
        <v>0.99629319999999899</v>
      </c>
      <c r="Q519">
        <v>-1.1651949999999999E-2</v>
      </c>
      <c r="R519">
        <v>8.5232649999999993E-2</v>
      </c>
      <c r="S519">
        <v>2.9858090000000002</v>
      </c>
      <c r="T519">
        <v>-0.22912849999999901</v>
      </c>
      <c r="U519">
        <v>0.26443479999999903</v>
      </c>
      <c r="V519">
        <v>-8.9571410000000004E-2</v>
      </c>
      <c r="W519">
        <v>2.7425890000000001E-3</v>
      </c>
      <c r="X519">
        <v>0.99597659999999999</v>
      </c>
      <c r="Y519">
        <v>-9.2275609999999994E-2</v>
      </c>
      <c r="Z519">
        <v>3.8617170000000002E-3</v>
      </c>
      <c r="AA519">
        <v>0.995726</v>
      </c>
      <c r="AB519">
        <v>32</v>
      </c>
      <c r="AC519">
        <v>14.8607999999999</v>
      </c>
      <c r="AD519">
        <v>-1.154255</v>
      </c>
      <c r="AE519">
        <v>1.33299999999997</v>
      </c>
      <c r="AF519">
        <v>-1.3894176701350101</v>
      </c>
      <c r="AG519">
        <v>-1.154255</v>
      </c>
      <c r="AH519">
        <v>14.7664791215931</v>
      </c>
      <c r="AI519">
        <v>94.449988901177903</v>
      </c>
      <c r="AJ519">
        <v>95.375287768081407</v>
      </c>
      <c r="AK519">
        <v>14.876548380439401</v>
      </c>
    </row>
    <row r="520" spans="1:37" x14ac:dyDescent="0.2">
      <c r="A520" t="str">
        <f>"20200111153620509"</f>
        <v>20200111153620509</v>
      </c>
      <c r="B520" t="str">
        <f>"1578728180503670"</f>
        <v>1578728180503670</v>
      </c>
      <c r="C520" t="s">
        <v>37</v>
      </c>
      <c r="D520">
        <v>5.9153659999999997</v>
      </c>
      <c r="E520">
        <v>0.49756220000000001</v>
      </c>
      <c r="F520" t="s">
        <v>40</v>
      </c>
      <c r="G520">
        <v>-317.32490000000001</v>
      </c>
      <c r="H520">
        <v>-0.05</v>
      </c>
      <c r="I520">
        <v>369.16059999999999</v>
      </c>
      <c r="J520">
        <v>-332.32819999999998</v>
      </c>
      <c r="K520">
        <v>1.1042620000000001</v>
      </c>
      <c r="L520">
        <v>367.8091</v>
      </c>
      <c r="M520">
        <v>0.99988630000000001</v>
      </c>
      <c r="N520">
        <v>0</v>
      </c>
      <c r="O520">
        <v>-4.4668299999999998E-3</v>
      </c>
      <c r="P520">
        <v>0.99631119999999995</v>
      </c>
      <c r="Q520">
        <v>-1.1369219999999999E-2</v>
      </c>
      <c r="R520">
        <v>8.5058330000000001E-2</v>
      </c>
      <c r="S520">
        <v>2.985779</v>
      </c>
      <c r="T520">
        <v>-0.22700609999999999</v>
      </c>
      <c r="U520">
        <v>0.265625</v>
      </c>
      <c r="V520">
        <v>-8.9507210000000004E-2</v>
      </c>
      <c r="W520">
        <v>3.0239220000000001E-3</v>
      </c>
      <c r="X520">
        <v>0.99598159999999902</v>
      </c>
      <c r="Y520">
        <v>-9.2783770000000002E-2</v>
      </c>
      <c r="Z520">
        <v>3.8536450000000002E-3</v>
      </c>
      <c r="AA520">
        <v>0.99567879999999997</v>
      </c>
      <c r="AB520">
        <v>32</v>
      </c>
      <c r="AC520">
        <v>15.0032999999999</v>
      </c>
      <c r="AD520">
        <v>-1.1542619999999999</v>
      </c>
      <c r="AE520">
        <v>1.3514999999999799</v>
      </c>
      <c r="AF520">
        <v>-1.41023093736292</v>
      </c>
      <c r="AG520">
        <v>-1.1542619999999999</v>
      </c>
      <c r="AH520">
        <v>14.9095759440824</v>
      </c>
      <c r="AI520">
        <v>94.407272872780794</v>
      </c>
      <c r="AJ520">
        <v>95.4032796294577</v>
      </c>
      <c r="AK520">
        <v>15.0205368377332</v>
      </c>
    </row>
    <row r="521" spans="1:37" x14ac:dyDescent="0.2">
      <c r="A521" t="str">
        <f>"20200111153620527"</f>
        <v>20200111153620527</v>
      </c>
      <c r="B521" t="str">
        <f>"1578728180523191"</f>
        <v>1578728180523191</v>
      </c>
      <c r="C521" t="s">
        <v>37</v>
      </c>
      <c r="D521">
        <v>6.1106579999999999</v>
      </c>
      <c r="E521">
        <v>0.49751299999999998</v>
      </c>
      <c r="F521" t="s">
        <v>40</v>
      </c>
      <c r="G521">
        <v>-317.0933</v>
      </c>
      <c r="H521">
        <v>-0.05</v>
      </c>
      <c r="I521">
        <v>369.16559999999998</v>
      </c>
      <c r="J521">
        <v>-332.08300000000003</v>
      </c>
      <c r="K521">
        <v>1.1042700000000001</v>
      </c>
      <c r="L521">
        <v>367.80779999999999</v>
      </c>
      <c r="M521">
        <v>0.99988569999999999</v>
      </c>
      <c r="N521">
        <v>0</v>
      </c>
      <c r="O521">
        <v>-4.619265E-3</v>
      </c>
      <c r="P521">
        <v>0.99637690000000001</v>
      </c>
      <c r="Q521">
        <v>-1.009179E-2</v>
      </c>
      <c r="R521">
        <v>8.4447649999999999E-2</v>
      </c>
      <c r="S521">
        <v>2.9858699999999998</v>
      </c>
      <c r="T521">
        <v>-0.2262228</v>
      </c>
      <c r="U521">
        <v>0.26586909999999903</v>
      </c>
      <c r="V521">
        <v>-8.9047520000000005E-2</v>
      </c>
      <c r="W521">
        <v>4.298975E-3</v>
      </c>
      <c r="X521">
        <v>0.99601810000000002</v>
      </c>
      <c r="Y521">
        <v>-9.3014479999999997E-2</v>
      </c>
      <c r="Z521">
        <v>3.8604770000000002E-3</v>
      </c>
      <c r="AA521">
        <v>0.99565729999999997</v>
      </c>
      <c r="AB521">
        <v>32</v>
      </c>
      <c r="AC521">
        <v>14.989699999999999</v>
      </c>
      <c r="AD521">
        <v>-1.1542699999999999</v>
      </c>
      <c r="AE521">
        <v>1.3577999999999899</v>
      </c>
      <c r="AF521">
        <v>-1.4186902122196501</v>
      </c>
      <c r="AG521">
        <v>-1.1542699999999999</v>
      </c>
      <c r="AH521">
        <v>14.8956601588481</v>
      </c>
      <c r="AI521">
        <v>94.411133189328396</v>
      </c>
      <c r="AJ521">
        <v>95.440545159486504</v>
      </c>
      <c r="AK521">
        <v>15.0075218713498</v>
      </c>
    </row>
    <row r="522" spans="1:37" x14ac:dyDescent="0.2">
      <c r="A522" t="str">
        <f>"20200111153620540"</f>
        <v>20200111153620540</v>
      </c>
      <c r="B522" t="str">
        <f>"1578728180532952"</f>
        <v>1578728180532952</v>
      </c>
      <c r="C522" t="s">
        <v>37</v>
      </c>
      <c r="D522">
        <v>6.1614040000000001</v>
      </c>
      <c r="E522">
        <v>0.49747079999999899</v>
      </c>
      <c r="F522" t="s">
        <v>40</v>
      </c>
      <c r="G522">
        <v>-316.43770000000001</v>
      </c>
      <c r="H522">
        <v>-0.05</v>
      </c>
      <c r="I522">
        <v>369.19529999999997</v>
      </c>
      <c r="J522">
        <v>-331.88470000000001</v>
      </c>
      <c r="K522">
        <v>1.104274</v>
      </c>
      <c r="L522">
        <v>367.80680000000001</v>
      </c>
      <c r="M522">
        <v>0.99988500000000002</v>
      </c>
      <c r="N522">
        <v>0</v>
      </c>
      <c r="O522">
        <v>-4.74238099999999E-3</v>
      </c>
      <c r="P522">
        <v>0.9964615</v>
      </c>
      <c r="Q522">
        <v>-9.7356200000000004E-3</v>
      </c>
      <c r="R522">
        <v>8.3485749999999997E-2</v>
      </c>
      <c r="S522">
        <v>2.986237</v>
      </c>
      <c r="T522">
        <v>-0.2203174</v>
      </c>
      <c r="U522">
        <v>0.2648315</v>
      </c>
      <c r="V522">
        <v>-8.8209090000000004E-2</v>
      </c>
      <c r="W522">
        <v>4.65374E-3</v>
      </c>
      <c r="X522">
        <v>0.99609110000000001</v>
      </c>
      <c r="Y522">
        <v>-9.2797610000000003E-2</v>
      </c>
      <c r="Z522">
        <v>3.7606580000000001E-3</v>
      </c>
      <c r="AA522">
        <v>0.9956779</v>
      </c>
      <c r="AB522">
        <v>32</v>
      </c>
      <c r="AC522">
        <v>15.446999999999999</v>
      </c>
      <c r="AD522">
        <v>-1.154274</v>
      </c>
      <c r="AE522">
        <v>1.3884999999999601</v>
      </c>
      <c r="AF522">
        <v>-1.45369546437688</v>
      </c>
      <c r="AG522">
        <v>-1.154274</v>
      </c>
      <c r="AH522">
        <v>15.355187762629701</v>
      </c>
      <c r="AI522">
        <v>94.2798649350256</v>
      </c>
      <c r="AJ522">
        <v>95.408146793207194</v>
      </c>
      <c r="AK522">
        <v>15.4669767632799</v>
      </c>
    </row>
    <row r="523" spans="1:37" x14ac:dyDescent="0.2">
      <c r="A523" t="str">
        <f>"20200111153620553"</f>
        <v>20200111153620553</v>
      </c>
      <c r="B523" t="str">
        <f>"1578728180543687"</f>
        <v>1578728180543687</v>
      </c>
      <c r="C523" t="s">
        <v>37</v>
      </c>
      <c r="D523">
        <v>5.9530640000000004</v>
      </c>
      <c r="E523">
        <v>0.49741160000000001</v>
      </c>
      <c r="F523" t="s">
        <v>40</v>
      </c>
      <c r="G523">
        <v>-316.06639999999999</v>
      </c>
      <c r="H523">
        <v>-0.05</v>
      </c>
      <c r="I523">
        <v>369.19619999999998</v>
      </c>
      <c r="J523">
        <v>-331.68880000000001</v>
      </c>
      <c r="K523">
        <v>1.1042749999999999</v>
      </c>
      <c r="L523">
        <v>367.8057</v>
      </c>
      <c r="M523">
        <v>0.99988449999999995</v>
      </c>
      <c r="N523">
        <v>0</v>
      </c>
      <c r="O523">
        <v>-4.8640669999999997E-3</v>
      </c>
      <c r="P523">
        <v>0.99657969999999896</v>
      </c>
      <c r="Q523">
        <v>-9.719498E-3</v>
      </c>
      <c r="R523">
        <v>8.2064449999999997E-2</v>
      </c>
      <c r="S523">
        <v>2.9865719999999998</v>
      </c>
      <c r="T523">
        <v>-0.21793270000000001</v>
      </c>
      <c r="U523">
        <v>0.26232909999999998</v>
      </c>
      <c r="V523">
        <v>-8.6909020000000003E-2</v>
      </c>
      <c r="W523">
        <v>4.6685210000000001E-3</v>
      </c>
      <c r="X523">
        <v>0.99620529999999996</v>
      </c>
      <c r="Y523">
        <v>-9.2088329999999996E-2</v>
      </c>
      <c r="Z523">
        <v>3.7028400000000002E-3</v>
      </c>
      <c r="AA523">
        <v>0.99574390000000002</v>
      </c>
      <c r="AB523">
        <v>32</v>
      </c>
      <c r="AC523">
        <v>15.622400000000001</v>
      </c>
      <c r="AD523">
        <v>-1.1542749999999999</v>
      </c>
      <c r="AE523">
        <v>1.3904999999999701</v>
      </c>
      <c r="AF523">
        <v>-1.4585798413034801</v>
      </c>
      <c r="AG523">
        <v>-1.1542749999999999</v>
      </c>
      <c r="AH523">
        <v>15.531329914707401</v>
      </c>
      <c r="AI523">
        <v>94.231806744463199</v>
      </c>
      <c r="AJ523">
        <v>95.365031752920899</v>
      </c>
      <c r="AK523">
        <v>15.6423148813903</v>
      </c>
    </row>
    <row r="524" spans="1:37" x14ac:dyDescent="0.2">
      <c r="A524" t="str">
        <f>"20200111153620572"</f>
        <v>20200111153620572</v>
      </c>
      <c r="B524" t="str">
        <f>"1578728180563206"</f>
        <v>1578728180563206</v>
      </c>
      <c r="C524" t="s">
        <v>37</v>
      </c>
      <c r="D524">
        <v>5.9696689999999997</v>
      </c>
      <c r="E524">
        <v>0.49737920000000002</v>
      </c>
      <c r="F524" t="s">
        <v>40</v>
      </c>
      <c r="G524">
        <v>-315.81819999999999</v>
      </c>
      <c r="H524">
        <v>-0.05</v>
      </c>
      <c r="I524">
        <v>369.17809999999997</v>
      </c>
      <c r="J524">
        <v>-331.4325</v>
      </c>
      <c r="K524">
        <v>1.104271</v>
      </c>
      <c r="L524">
        <v>367.80430000000001</v>
      </c>
      <c r="M524">
        <v>0.99988379999999999</v>
      </c>
      <c r="N524">
        <v>0</v>
      </c>
      <c r="O524">
        <v>-5.0234149999999998E-3</v>
      </c>
      <c r="P524">
        <v>0.99675729999999996</v>
      </c>
      <c r="Q524">
        <v>-1.0439789999999999E-2</v>
      </c>
      <c r="R524">
        <v>7.9788680000000001E-2</v>
      </c>
      <c r="S524">
        <v>2.9869080000000001</v>
      </c>
      <c r="T524">
        <v>-0.21723879999999901</v>
      </c>
      <c r="U524">
        <v>0.2583008</v>
      </c>
      <c r="V524">
        <v>-8.4793789999999994E-2</v>
      </c>
      <c r="W524">
        <v>3.9475500000000002E-3</v>
      </c>
      <c r="X524">
        <v>0.99639069999999996</v>
      </c>
      <c r="Y524">
        <v>-9.0908740000000002E-2</v>
      </c>
      <c r="Z524">
        <v>3.6596789999999999E-3</v>
      </c>
      <c r="AA524">
        <v>0.99585249999999903</v>
      </c>
      <c r="AB524">
        <v>32</v>
      </c>
      <c r="AC524">
        <v>15.6143</v>
      </c>
      <c r="AD524">
        <v>-1.1542709999999901</v>
      </c>
      <c r="AE524">
        <v>1.3737999999999599</v>
      </c>
      <c r="AF524">
        <v>-1.4443952667061599</v>
      </c>
      <c r="AG524">
        <v>-1.1542709999999901</v>
      </c>
      <c r="AH524">
        <v>15.5230232062674</v>
      </c>
      <c r="AI524">
        <v>94.234386026777202</v>
      </c>
      <c r="AJ524">
        <v>95.315984187778199</v>
      </c>
      <c r="AK524">
        <v>15.6327498761491</v>
      </c>
    </row>
    <row r="525" spans="1:37" x14ac:dyDescent="0.2">
      <c r="A525" t="str">
        <f>"20200111153620586"</f>
        <v>20200111153620586</v>
      </c>
      <c r="B525" t="str">
        <f>"1578728180583703"</f>
        <v>1578728180583703</v>
      </c>
      <c r="C525" t="s">
        <v>37</v>
      </c>
      <c r="D525">
        <v>6.0062809999999898</v>
      </c>
      <c r="E525">
        <v>0.49727079999999901</v>
      </c>
      <c r="F525" t="s">
        <v>40</v>
      </c>
      <c r="G525">
        <v>-315.63510000000002</v>
      </c>
      <c r="H525">
        <v>-0.05</v>
      </c>
      <c r="I525">
        <v>369.13389999999998</v>
      </c>
      <c r="J525">
        <v>-331.23410000000001</v>
      </c>
      <c r="K525">
        <v>1.104268</v>
      </c>
      <c r="L525">
        <v>367.80309999999997</v>
      </c>
      <c r="M525">
        <v>0.99988319999999997</v>
      </c>
      <c r="N525">
        <v>0</v>
      </c>
      <c r="O525">
        <v>-5.1468870000000002E-3</v>
      </c>
      <c r="P525">
        <v>0.9968574</v>
      </c>
      <c r="Q525">
        <v>-1.102741E-2</v>
      </c>
      <c r="R525">
        <v>7.8446890000000005E-2</v>
      </c>
      <c r="S525">
        <v>2.9873349999999999</v>
      </c>
      <c r="T525">
        <v>-0.218277</v>
      </c>
      <c r="U525">
        <v>0.2514343</v>
      </c>
      <c r="V525">
        <v>-8.3575709999999998E-2</v>
      </c>
      <c r="W525">
        <v>3.3581829999999998E-3</v>
      </c>
      <c r="X525">
        <v>0.99649580000000004</v>
      </c>
      <c r="Y525">
        <v>-8.8749800000000004E-2</v>
      </c>
      <c r="Z525">
        <v>3.607322E-3</v>
      </c>
      <c r="AA525">
        <v>0.99604740000000003</v>
      </c>
      <c r="AB525">
        <v>32</v>
      </c>
      <c r="AC525">
        <v>15.598999999999901</v>
      </c>
      <c r="AD525">
        <v>-1.1542680000000001</v>
      </c>
      <c r="AE525">
        <v>1.33080000000001</v>
      </c>
      <c r="AF525">
        <v>-1.4034479919523</v>
      </c>
      <c r="AG525">
        <v>-1.1542680000000001</v>
      </c>
      <c r="AH525">
        <v>15.507645372036601</v>
      </c>
      <c r="AI525">
        <v>94.239538169542101</v>
      </c>
      <c r="AJ525">
        <v>95.171203295779407</v>
      </c>
      <c r="AK525">
        <v>15.6137460548962</v>
      </c>
    </row>
    <row r="526" spans="1:37" x14ac:dyDescent="0.2">
      <c r="A526" t="str">
        <f>"20200111153620601"</f>
        <v>20200111153620601</v>
      </c>
      <c r="B526" t="str">
        <f>"1578728180593463"</f>
        <v>1578728180593463</v>
      </c>
      <c r="C526" t="s">
        <v>37</v>
      </c>
      <c r="D526">
        <v>6.2750199999999996</v>
      </c>
      <c r="E526">
        <v>0.49727079999999901</v>
      </c>
      <c r="F526" t="s">
        <v>40</v>
      </c>
      <c r="G526">
        <v>-315.5573</v>
      </c>
      <c r="H526">
        <v>-0.05</v>
      </c>
      <c r="I526">
        <v>369.10599999999999</v>
      </c>
      <c r="J526">
        <v>-331.0206</v>
      </c>
      <c r="K526">
        <v>1.1042620000000001</v>
      </c>
      <c r="L526">
        <v>367.80189999999999</v>
      </c>
      <c r="M526">
        <v>0.99988250000000001</v>
      </c>
      <c r="N526">
        <v>0</v>
      </c>
      <c r="O526">
        <v>-5.2798929999999999E-3</v>
      </c>
      <c r="P526">
        <v>0.99695610000000001</v>
      </c>
      <c r="Q526">
        <v>-1.1041240000000001E-2</v>
      </c>
      <c r="R526">
        <v>7.718129E-2</v>
      </c>
      <c r="S526">
        <v>2.9874879999999999</v>
      </c>
      <c r="T526">
        <v>-0.21996569999999999</v>
      </c>
      <c r="U526">
        <v>0.24829099999999901</v>
      </c>
      <c r="V526">
        <v>-8.2443340000000004E-2</v>
      </c>
      <c r="W526">
        <v>3.3429240000000002E-3</v>
      </c>
      <c r="X526">
        <v>0.99659010000000003</v>
      </c>
      <c r="Y526">
        <v>-8.7835540000000004E-2</v>
      </c>
      <c r="Z526">
        <v>3.611338E-3</v>
      </c>
      <c r="AA526">
        <v>0.99612839999999903</v>
      </c>
      <c r="AB526">
        <v>32</v>
      </c>
      <c r="AC526">
        <v>15.4633</v>
      </c>
      <c r="AD526">
        <v>-1.1542619999999999</v>
      </c>
      <c r="AE526">
        <v>1.3041</v>
      </c>
      <c r="AF526">
        <v>-1.37811035975888</v>
      </c>
      <c r="AG526">
        <v>-1.1542619999999999</v>
      </c>
      <c r="AH526">
        <v>15.3711562822622</v>
      </c>
      <c r="AI526">
        <v>94.277343827237402</v>
      </c>
      <c r="AJ526">
        <v>95.123190286531496</v>
      </c>
      <c r="AK526">
        <v>15.475915300299601</v>
      </c>
    </row>
    <row r="527" spans="1:37" x14ac:dyDescent="0.2">
      <c r="A527" t="str">
        <f>"20200111153620615"</f>
        <v>20200111153620615</v>
      </c>
      <c r="B527" t="str">
        <f>"1578728180603222"</f>
        <v>1578728180603222</v>
      </c>
      <c r="C527" t="s">
        <v>37</v>
      </c>
      <c r="D527">
        <v>6.2436020000000001</v>
      </c>
      <c r="E527">
        <v>0.52765490000000004</v>
      </c>
      <c r="F527" t="s">
        <v>40</v>
      </c>
      <c r="G527">
        <v>-315.34230000000002</v>
      </c>
      <c r="H527">
        <v>-0.05</v>
      </c>
      <c r="I527">
        <v>369.08449999999999</v>
      </c>
      <c r="J527">
        <v>-330.81869999999998</v>
      </c>
      <c r="K527">
        <v>1.104257</v>
      </c>
      <c r="L527">
        <v>367.80070000000001</v>
      </c>
      <c r="M527">
        <v>0.99988189999999999</v>
      </c>
      <c r="N527">
        <v>0</v>
      </c>
      <c r="O527">
        <v>-5.4055129999999998E-3</v>
      </c>
      <c r="P527">
        <v>0.99695599999999995</v>
      </c>
      <c r="Q527">
        <v>-1.1858169999999999E-2</v>
      </c>
      <c r="R527">
        <v>7.7060089999999998E-2</v>
      </c>
      <c r="S527">
        <v>2.9878230000000001</v>
      </c>
      <c r="T527">
        <v>-0.21996879999999999</v>
      </c>
      <c r="U527">
        <v>0.244415299999999</v>
      </c>
      <c r="V527">
        <v>-8.2447809999999996E-2</v>
      </c>
      <c r="W527">
        <v>2.5241980000000001E-3</v>
      </c>
      <c r="X527">
        <v>0.99659219999999904</v>
      </c>
      <c r="Y527">
        <v>-8.6670750000000005E-2</v>
      </c>
      <c r="Z527">
        <v>3.5776499999999999E-3</v>
      </c>
      <c r="AA527">
        <v>0.99623059999999997</v>
      </c>
      <c r="AB527">
        <v>32</v>
      </c>
      <c r="AC527">
        <v>15.4763999999999</v>
      </c>
      <c r="AD527">
        <v>-1.1542570000000001</v>
      </c>
      <c r="AE527">
        <v>1.2837999999999801</v>
      </c>
      <c r="AF527">
        <v>-1.35993492324214</v>
      </c>
      <c r="AG527">
        <v>-1.1542570000000001</v>
      </c>
      <c r="AH527">
        <v>15.384244445324001</v>
      </c>
      <c r="AI527">
        <v>94.274172944301199</v>
      </c>
      <c r="AJ527">
        <v>95.051695672591904</v>
      </c>
      <c r="AK527">
        <v>15.4873080091727</v>
      </c>
    </row>
    <row r="528" spans="1:37" x14ac:dyDescent="0.2">
      <c r="A528" t="str">
        <f>"20200111153620629"</f>
        <v>20200111153620629</v>
      </c>
      <c r="B528" t="str">
        <f>"1578728180623719"</f>
        <v>1578728180623719</v>
      </c>
      <c r="C528" t="s">
        <v>37</v>
      </c>
      <c r="D528">
        <v>6.0653169999999896</v>
      </c>
      <c r="E528">
        <v>0.54762529999999998</v>
      </c>
      <c r="F528" t="s">
        <v>40</v>
      </c>
      <c r="G528">
        <v>-314.0598</v>
      </c>
      <c r="H528">
        <v>-0.05</v>
      </c>
      <c r="I528">
        <v>367.82040000000001</v>
      </c>
      <c r="J528">
        <v>-330.63380000000001</v>
      </c>
      <c r="K528">
        <v>1.1042529999999999</v>
      </c>
      <c r="L528">
        <v>367.7996</v>
      </c>
      <c r="M528">
        <v>0.99988129999999997</v>
      </c>
      <c r="N528">
        <v>0</v>
      </c>
      <c r="O528">
        <v>-5.5205239999999997E-3</v>
      </c>
      <c r="P528">
        <v>0.9968823</v>
      </c>
      <c r="Q528">
        <v>-1.189988E-2</v>
      </c>
      <c r="R528">
        <v>7.8002269999999999E-2</v>
      </c>
      <c r="S528">
        <v>3.0064389999999999</v>
      </c>
      <c r="T528">
        <v>-0.2070661</v>
      </c>
      <c r="U528">
        <v>3.540039E-3</v>
      </c>
      <c r="V528">
        <v>-8.3503690000000005E-2</v>
      </c>
      <c r="W528">
        <v>2.4793760000000001E-3</v>
      </c>
      <c r="X528">
        <v>0.99650439999999996</v>
      </c>
      <c r="Y528">
        <v>-6.6696790000000004E-3</v>
      </c>
      <c r="Z528">
        <v>6.092224E-4</v>
      </c>
      <c r="AA528">
        <v>0.99997760000000002</v>
      </c>
      <c r="AB528">
        <v>32</v>
      </c>
      <c r="AC528">
        <v>16.574000000000002</v>
      </c>
      <c r="AD528">
        <v>-1.154253</v>
      </c>
      <c r="AE528">
        <v>2.0800000000008301E-2</v>
      </c>
      <c r="AF528">
        <v>-0.11176425227166301</v>
      </c>
      <c r="AG528">
        <v>-1.154253</v>
      </c>
      <c r="AH528">
        <v>16.493637500488699</v>
      </c>
      <c r="AI528">
        <v>94.003038656343307</v>
      </c>
      <c r="AJ528">
        <v>90.388241947633801</v>
      </c>
      <c r="AK528">
        <v>16.5343542127783</v>
      </c>
    </row>
    <row r="529" spans="1:37" x14ac:dyDescent="0.2">
      <c r="A529" t="str">
        <f>"20200111153620642"</f>
        <v>20200111153620642</v>
      </c>
      <c r="B529" t="str">
        <f>"1578728180633478"</f>
        <v>1578728180633478</v>
      </c>
      <c r="C529" t="s">
        <v>37</v>
      </c>
      <c r="D529">
        <v>6.0370099999999898</v>
      </c>
      <c r="E529">
        <v>0.55251819999999996</v>
      </c>
      <c r="F529" t="s">
        <v>40</v>
      </c>
      <c r="G529">
        <v>-310.34449999999998</v>
      </c>
      <c r="H529">
        <v>-0.05</v>
      </c>
      <c r="I529">
        <v>366.78399999999999</v>
      </c>
      <c r="J529">
        <v>-330.44690000000003</v>
      </c>
      <c r="K529">
        <v>1.1042479999999999</v>
      </c>
      <c r="L529">
        <v>367.79840000000002</v>
      </c>
      <c r="M529">
        <v>0.99988069999999896</v>
      </c>
      <c r="N529">
        <v>0</v>
      </c>
      <c r="O529">
        <v>-5.6369660000000002E-3</v>
      </c>
      <c r="P529">
        <v>0.99676219999999904</v>
      </c>
      <c r="Q529">
        <v>-1.2555820000000001E-2</v>
      </c>
      <c r="R529">
        <v>7.9421279999999997E-2</v>
      </c>
      <c r="S529">
        <v>3.0191650000000001</v>
      </c>
      <c r="T529">
        <v>-0.17175960000000001</v>
      </c>
      <c r="U529">
        <v>-0.15112300000000001</v>
      </c>
      <c r="V529">
        <v>-8.5038989999999995E-2</v>
      </c>
      <c r="W529">
        <v>1.819911E-3</v>
      </c>
      <c r="X529">
        <v>0.99637600000000004</v>
      </c>
      <c r="Y529">
        <v>4.4298360000000002E-2</v>
      </c>
      <c r="Z529">
        <v>-9.3801089999999995E-4</v>
      </c>
      <c r="AA529">
        <v>0.99901790000000001</v>
      </c>
      <c r="AB529">
        <v>32</v>
      </c>
      <c r="AC529">
        <v>20.102399999999999</v>
      </c>
      <c r="AD529">
        <v>-1.1542479999999999</v>
      </c>
      <c r="AE529">
        <v>-1.01440000000002</v>
      </c>
      <c r="AF529">
        <v>0.89810220547034003</v>
      </c>
      <c r="AG529">
        <v>-1.1542479999999999</v>
      </c>
      <c r="AH529">
        <v>20.041891501505599</v>
      </c>
      <c r="AI529">
        <v>93.2928272112798</v>
      </c>
      <c r="AJ529">
        <v>87.434220998692098</v>
      </c>
      <c r="AK529">
        <v>20.095180789808701</v>
      </c>
    </row>
    <row r="530" spans="1:37" x14ac:dyDescent="0.2">
      <c r="A530" t="str">
        <f>"20200111153620654"</f>
        <v>20200111153620654</v>
      </c>
      <c r="B530" t="str">
        <f>"1578728180643239"</f>
        <v>1578728180643239</v>
      </c>
      <c r="C530" t="s">
        <v>37</v>
      </c>
      <c r="D530">
        <v>6.0122029999999897</v>
      </c>
      <c r="E530">
        <v>0.55546410000000002</v>
      </c>
      <c r="F530" t="s">
        <v>38</v>
      </c>
      <c r="G530">
        <v>-329.47230000000002</v>
      </c>
      <c r="H530">
        <v>1.049453</v>
      </c>
      <c r="I530">
        <v>367.73849999999999</v>
      </c>
      <c r="J530">
        <v>-330.2627</v>
      </c>
      <c r="K530">
        <v>1.1042459999999901</v>
      </c>
      <c r="L530">
        <v>367.79730000000001</v>
      </c>
      <c r="M530">
        <v>0.99987999999999899</v>
      </c>
      <c r="N530">
        <v>0</v>
      </c>
      <c r="O530">
        <v>-5.7513819999999898E-3</v>
      </c>
      <c r="P530">
        <v>0.99662619999999902</v>
      </c>
      <c r="Q530">
        <v>-1.319801E-2</v>
      </c>
      <c r="R530">
        <v>8.1006839999999997E-2</v>
      </c>
      <c r="S530">
        <v>3.0223689999999999</v>
      </c>
      <c r="T530">
        <v>-0.16998160000000001</v>
      </c>
      <c r="U530">
        <v>-0.1857605</v>
      </c>
      <c r="V530">
        <v>-8.6737480000000006E-2</v>
      </c>
      <c r="W530">
        <v>1.174275E-3</v>
      </c>
      <c r="X530">
        <v>0.99623050000000002</v>
      </c>
      <c r="Y530">
        <v>5.5525619999999998E-2</v>
      </c>
      <c r="Z530">
        <v>-1.2357900000000001E-3</v>
      </c>
      <c r="AA530">
        <v>0.99845649999999997</v>
      </c>
      <c r="AB530">
        <v>32</v>
      </c>
      <c r="AC530">
        <v>0.79039999999997601</v>
      </c>
      <c r="AD530">
        <v>-5.47929999999998E-2</v>
      </c>
      <c r="AE530">
        <v>-5.8800000000019198E-2</v>
      </c>
      <c r="AF530">
        <v>5.3994611043757898E-2</v>
      </c>
      <c r="AG530">
        <v>-5.47929999999998E-2</v>
      </c>
      <c r="AH530">
        <v>0.78696404581921797</v>
      </c>
      <c r="AI530">
        <v>93.973525068059999</v>
      </c>
      <c r="AJ530">
        <v>86.075014443444005</v>
      </c>
      <c r="AK530">
        <v>0.79071492984698299</v>
      </c>
    </row>
    <row r="531" spans="1:37" x14ac:dyDescent="0.2">
      <c r="A531" t="str">
        <f>"20200111153620672"</f>
        <v>20200111153620672</v>
      </c>
      <c r="B531" t="str">
        <f>"1578728180663737"</f>
        <v>1578728180663737</v>
      </c>
      <c r="C531" t="s">
        <v>37</v>
      </c>
      <c r="D531">
        <v>6.0179640000000001</v>
      </c>
      <c r="E531">
        <v>0.55823900000000004</v>
      </c>
      <c r="F531" t="s">
        <v>40</v>
      </c>
      <c r="G531">
        <v>-308.99470000000002</v>
      </c>
      <c r="H531">
        <v>-0.05</v>
      </c>
      <c r="I531">
        <v>366.35910000000001</v>
      </c>
      <c r="J531">
        <v>-330.02319999999997</v>
      </c>
      <c r="K531">
        <v>1.104249</v>
      </c>
      <c r="L531">
        <v>367.79570000000001</v>
      </c>
      <c r="M531">
        <v>0.99987919999999997</v>
      </c>
      <c r="N531">
        <v>0</v>
      </c>
      <c r="O531">
        <v>-5.9003609999999998E-3</v>
      </c>
      <c r="P531">
        <v>0.99642459999999899</v>
      </c>
      <c r="Q531">
        <v>-1.3357310000000001E-2</v>
      </c>
      <c r="R531">
        <v>8.3427799999999996E-2</v>
      </c>
      <c r="S531">
        <v>3.024597</v>
      </c>
      <c r="T531">
        <v>-0.16414889999999999</v>
      </c>
      <c r="U531">
        <v>-0.20452879999999901</v>
      </c>
      <c r="V531">
        <v>-8.9306209999999997E-2</v>
      </c>
      <c r="W531">
        <v>1.009766E-3</v>
      </c>
      <c r="X531">
        <v>0.99600370000000005</v>
      </c>
      <c r="Y531">
        <v>6.1497620000000003E-2</v>
      </c>
      <c r="Z531">
        <v>-1.3460169999999999E-3</v>
      </c>
      <c r="AA531">
        <v>0.9981063</v>
      </c>
      <c r="AB531">
        <v>32</v>
      </c>
      <c r="AC531">
        <v>21.028499999999902</v>
      </c>
      <c r="AD531">
        <v>-1.1542490000000001</v>
      </c>
      <c r="AE531">
        <v>-1.4365999999999901</v>
      </c>
      <c r="AF531">
        <v>1.30856218553305</v>
      </c>
      <c r="AG531">
        <v>-1.1542490000000001</v>
      </c>
      <c r="AH531">
        <v>20.973713398725</v>
      </c>
      <c r="AI531">
        <v>93.143887635968397</v>
      </c>
      <c r="AJ531">
        <v>86.429910463698505</v>
      </c>
      <c r="AK531">
        <v>21.046170185553098</v>
      </c>
    </row>
    <row r="532" spans="1:37" x14ac:dyDescent="0.2">
      <c r="A532" t="str">
        <f>"20200111153620686"</f>
        <v>20200111153620686</v>
      </c>
      <c r="B532" t="str">
        <f>"1578728180673495"</f>
        <v>1578728180673495</v>
      </c>
      <c r="C532" t="s">
        <v>37</v>
      </c>
      <c r="D532">
        <v>6.0349729999999999</v>
      </c>
      <c r="E532">
        <v>0.55862049999999996</v>
      </c>
      <c r="F532" t="s">
        <v>40</v>
      </c>
      <c r="G532">
        <v>-307.33499999999998</v>
      </c>
      <c r="H532">
        <v>-0.05</v>
      </c>
      <c r="I532">
        <v>366.15570000000002</v>
      </c>
      <c r="J532">
        <v>-329.83449999999999</v>
      </c>
      <c r="K532">
        <v>1.104257</v>
      </c>
      <c r="L532">
        <v>367.79450000000003</v>
      </c>
      <c r="M532">
        <v>0.9998785</v>
      </c>
      <c r="N532">
        <v>0</v>
      </c>
      <c r="O532">
        <v>-6.0176369999999898E-3</v>
      </c>
      <c r="P532">
        <v>0.99639869999999997</v>
      </c>
      <c r="Q532">
        <v>-1.2890820000000001E-2</v>
      </c>
      <c r="R532">
        <v>8.3806580000000006E-2</v>
      </c>
      <c r="S532">
        <v>3.0270079999999999</v>
      </c>
      <c r="T532">
        <v>-0.153997</v>
      </c>
      <c r="U532">
        <v>-0.21881100000000001</v>
      </c>
      <c r="V532">
        <v>-8.9801019999999995E-2</v>
      </c>
      <c r="W532">
        <v>1.4737279999999899E-3</v>
      </c>
      <c r="X532">
        <v>0.99595859999999903</v>
      </c>
      <c r="Y532">
        <v>6.6017030000000004E-2</v>
      </c>
      <c r="Z532">
        <v>-1.370458E-3</v>
      </c>
      <c r="AA532">
        <v>0.99781759999999997</v>
      </c>
      <c r="AB532">
        <v>32</v>
      </c>
      <c r="AC532">
        <v>22.499500000000001</v>
      </c>
      <c r="AD532">
        <v>-1.1542570000000001</v>
      </c>
      <c r="AE532">
        <v>-1.6388</v>
      </c>
      <c r="AF532">
        <v>1.49943704653748</v>
      </c>
      <c r="AG532">
        <v>-1.1542570000000001</v>
      </c>
      <c r="AH532">
        <v>22.450181806402298</v>
      </c>
      <c r="AI532">
        <v>92.936690927866707</v>
      </c>
      <c r="AJ532">
        <v>86.178916934532893</v>
      </c>
      <c r="AK532">
        <v>22.529786590624699</v>
      </c>
    </row>
    <row r="533" spans="1:37" x14ac:dyDescent="0.2">
      <c r="A533" t="str">
        <f>"20200111153620700"</f>
        <v>20200111153620700</v>
      </c>
      <c r="B533" t="str">
        <f>"1578728180693015"</f>
        <v>1578728180693015</v>
      </c>
      <c r="C533" t="s">
        <v>37</v>
      </c>
      <c r="D533">
        <v>6.0137</v>
      </c>
      <c r="E533">
        <v>0.559600599999999</v>
      </c>
      <c r="F533" t="s">
        <v>40</v>
      </c>
      <c r="G533">
        <v>-307.67840000000001</v>
      </c>
      <c r="H533">
        <v>-0.05</v>
      </c>
      <c r="I533">
        <v>366.17809999999997</v>
      </c>
      <c r="J533">
        <v>-329.62389999999999</v>
      </c>
      <c r="K533">
        <v>1.10426</v>
      </c>
      <c r="L533">
        <v>367.79309999999998</v>
      </c>
      <c r="M533">
        <v>0.99987780000000004</v>
      </c>
      <c r="N533">
        <v>0</v>
      </c>
      <c r="O533">
        <v>-6.1488580000000001E-3</v>
      </c>
      <c r="P533">
        <v>0.99643479999999995</v>
      </c>
      <c r="Q533">
        <v>-1.263298E-2</v>
      </c>
      <c r="R533">
        <v>8.3416779999999996E-2</v>
      </c>
      <c r="S533">
        <v>3.0273439999999998</v>
      </c>
      <c r="T533">
        <v>-0.15771370000000001</v>
      </c>
      <c r="U533">
        <v>-0.22085569999999999</v>
      </c>
      <c r="V533">
        <v>-8.9542170000000004E-2</v>
      </c>
      <c r="W533">
        <v>1.7293129999999999E-3</v>
      </c>
      <c r="X533">
        <v>0.99598149999999996</v>
      </c>
      <c r="Y533">
        <v>6.6544249999999999E-2</v>
      </c>
      <c r="Z533">
        <v>-1.410183E-3</v>
      </c>
      <c r="AA533">
        <v>0.99778250000000002</v>
      </c>
      <c r="AB533">
        <v>31</v>
      </c>
      <c r="AC533">
        <v>21.9454999999999</v>
      </c>
      <c r="AD533">
        <v>-1.1542600000000001</v>
      </c>
      <c r="AE533">
        <v>-1.615</v>
      </c>
      <c r="AF533">
        <v>1.47595465993769</v>
      </c>
      <c r="AG533">
        <v>-1.1542600000000001</v>
      </c>
      <c r="AH533">
        <v>21.894772851551298</v>
      </c>
      <c r="AI533">
        <v>93.010934129153597</v>
      </c>
      <c r="AJ533">
        <v>86.143452854964906</v>
      </c>
      <c r="AK533">
        <v>21.9748000338301</v>
      </c>
    </row>
    <row r="534" spans="1:37" x14ac:dyDescent="0.2">
      <c r="A534" t="str">
        <f>"20200111153620715"</f>
        <v>20200111153620715</v>
      </c>
      <c r="B534" t="str">
        <f>"1578728180703751"</f>
        <v>1578728180703751</v>
      </c>
      <c r="C534" t="s">
        <v>37</v>
      </c>
      <c r="D534">
        <v>6.0168850000000003</v>
      </c>
      <c r="E534">
        <v>0.560245199999999</v>
      </c>
      <c r="F534" t="s">
        <v>38</v>
      </c>
      <c r="G534">
        <v>-328.62400000000002</v>
      </c>
      <c r="H534">
        <v>1.0532349999999999</v>
      </c>
      <c r="I534">
        <v>367.71710000000002</v>
      </c>
      <c r="J534">
        <v>-329.4067</v>
      </c>
      <c r="K534">
        <v>1.1042749999999999</v>
      </c>
      <c r="L534">
        <v>367.79160000000002</v>
      </c>
      <c r="M534">
        <v>0.99987700000000002</v>
      </c>
      <c r="N534">
        <v>0</v>
      </c>
      <c r="O534">
        <v>-6.2838909999999998E-3</v>
      </c>
      <c r="P534">
        <v>0.99663169999999901</v>
      </c>
      <c r="Q534">
        <v>-1.112171E-2</v>
      </c>
      <c r="R534">
        <v>8.1250390000000006E-2</v>
      </c>
      <c r="S534">
        <v>3.0279849999999899</v>
      </c>
      <c r="T534">
        <v>-0.15463840000000001</v>
      </c>
      <c r="U534">
        <v>-0.2294312</v>
      </c>
      <c r="V534">
        <v>-8.7510879999999999E-2</v>
      </c>
      <c r="W534">
        <v>3.239928E-3</v>
      </c>
      <c r="X534">
        <v>0.99615830000000005</v>
      </c>
      <c r="Y534">
        <v>6.9204089999999996E-2</v>
      </c>
      <c r="Z534">
        <v>-1.4431820000000001E-3</v>
      </c>
      <c r="AA534">
        <v>0.99760139999999997</v>
      </c>
      <c r="AB534">
        <v>31</v>
      </c>
      <c r="AC534">
        <v>0.78269999999997697</v>
      </c>
      <c r="AD534">
        <v>-5.1039999999999697E-2</v>
      </c>
      <c r="AE534">
        <v>-7.4500000000000399E-2</v>
      </c>
      <c r="AF534">
        <v>6.9287628423164202E-2</v>
      </c>
      <c r="AG534">
        <v>-5.1039999999999697E-2</v>
      </c>
      <c r="AH534">
        <v>0.77986623991328397</v>
      </c>
      <c r="AI534">
        <v>93.729853387392097</v>
      </c>
      <c r="AJ534">
        <v>84.922857027974004</v>
      </c>
      <c r="AK534">
        <v>0.78460003135928402</v>
      </c>
    </row>
    <row r="535" spans="1:37" x14ac:dyDescent="0.2">
      <c r="A535" t="str">
        <f>"20200111153620729"</f>
        <v>20200111153620729</v>
      </c>
      <c r="B535" t="str">
        <f>"1578728180723271"</f>
        <v>1578728180723271</v>
      </c>
      <c r="C535" t="s">
        <v>37</v>
      </c>
      <c r="D535">
        <v>6.0863750000000003</v>
      </c>
      <c r="E535">
        <v>0.56026940000000003</v>
      </c>
      <c r="F535" t="s">
        <v>40</v>
      </c>
      <c r="G535">
        <v>-305.73140000000001</v>
      </c>
      <c r="H535">
        <v>-0.05</v>
      </c>
      <c r="I535">
        <v>365.91180000000003</v>
      </c>
      <c r="J535">
        <v>-329.22949999999997</v>
      </c>
      <c r="K535">
        <v>1.1042809999999901</v>
      </c>
      <c r="L535">
        <v>367.7903</v>
      </c>
      <c r="M535">
        <v>0.99987630000000005</v>
      </c>
      <c r="N535">
        <v>0</v>
      </c>
      <c r="O535">
        <v>-6.3943730000000001E-3</v>
      </c>
      <c r="P535">
        <v>0.9968051</v>
      </c>
      <c r="Q535">
        <v>-1.0212769999999999E-2</v>
      </c>
      <c r="R535">
        <v>7.9217889999999999E-2</v>
      </c>
      <c r="S535">
        <v>3.0281069999999999</v>
      </c>
      <c r="T535">
        <v>-0.14763280000000001</v>
      </c>
      <c r="U535">
        <v>-0.24041750000000001</v>
      </c>
      <c r="V535">
        <v>-8.5589040000000005E-2</v>
      </c>
      <c r="W535">
        <v>4.148774E-3</v>
      </c>
      <c r="X535">
        <v>0.99632189999999998</v>
      </c>
      <c r="Y535">
        <v>7.2691430000000001E-2</v>
      </c>
      <c r="Z535">
        <v>-1.4570869999999999E-3</v>
      </c>
      <c r="AA535">
        <v>0.99735339999999995</v>
      </c>
      <c r="AB535">
        <v>31</v>
      </c>
      <c r="AC535">
        <v>23.498099999999901</v>
      </c>
      <c r="AD535">
        <v>-1.1542809999999999</v>
      </c>
      <c r="AE535">
        <v>-1.8784999999999701</v>
      </c>
      <c r="AF535">
        <v>1.7240567218226499</v>
      </c>
      <c r="AG535">
        <v>-1.1542809999999999</v>
      </c>
      <c r="AH535">
        <v>23.453398862955801</v>
      </c>
      <c r="AI535">
        <v>92.810022175519293</v>
      </c>
      <c r="AJ535">
        <v>85.795755618172194</v>
      </c>
      <c r="AK535">
        <v>23.544992130640502</v>
      </c>
    </row>
    <row r="536" spans="1:37" x14ac:dyDescent="0.2">
      <c r="A536" t="str">
        <f>"20200111153620741"</f>
        <v>20200111153620741</v>
      </c>
      <c r="B536" t="str">
        <f>"1578728180733031"</f>
        <v>1578728180733031</v>
      </c>
      <c r="C536" t="s">
        <v>37</v>
      </c>
      <c r="D536">
        <v>6.078837</v>
      </c>
      <c r="E536">
        <v>0.56000660000000002</v>
      </c>
      <c r="F536" t="s">
        <v>40</v>
      </c>
      <c r="G536">
        <v>-305.41899999999998</v>
      </c>
      <c r="H536">
        <v>-0.05</v>
      </c>
      <c r="I536">
        <v>365.84870000000001</v>
      </c>
      <c r="J536">
        <v>-329.04140000000001</v>
      </c>
      <c r="K536">
        <v>1.1042889999999901</v>
      </c>
      <c r="L536">
        <v>367.78899999999999</v>
      </c>
      <c r="M536">
        <v>0.99987549999999903</v>
      </c>
      <c r="N536">
        <v>0</v>
      </c>
      <c r="O536">
        <v>-6.5114099999999996E-3</v>
      </c>
      <c r="P536">
        <v>0.99696459999999998</v>
      </c>
      <c r="Q536">
        <v>-1.000496E-2</v>
      </c>
      <c r="R536">
        <v>7.7210749999999995E-2</v>
      </c>
      <c r="S536">
        <v>3.0277099999999999</v>
      </c>
      <c r="T536">
        <v>-0.1467773</v>
      </c>
      <c r="U536">
        <v>-0.2468872</v>
      </c>
      <c r="V536">
        <v>-8.3699880000000004E-2</v>
      </c>
      <c r="W536">
        <v>4.3557190000000001E-3</v>
      </c>
      <c r="X536">
        <v>0.99648150000000002</v>
      </c>
      <c r="Y536">
        <v>7.4701000000000004E-2</v>
      </c>
      <c r="Z536">
        <v>-1.4916579999999899E-3</v>
      </c>
      <c r="AA536">
        <v>0.9972048</v>
      </c>
      <c r="AB536">
        <v>31</v>
      </c>
      <c r="AC536">
        <v>23.622399999999899</v>
      </c>
      <c r="AD536">
        <v>-1.1542889999999999</v>
      </c>
      <c r="AE536">
        <v>-1.9402999999999799</v>
      </c>
      <c r="AF536">
        <v>1.78220097917437</v>
      </c>
      <c r="AG536">
        <v>-1.1542889999999999</v>
      </c>
      <c r="AH536">
        <v>23.578612968158701</v>
      </c>
      <c r="AI536">
        <v>92.794713246109495</v>
      </c>
      <c r="AJ536">
        <v>85.677489752818701</v>
      </c>
      <c r="AK536">
        <v>23.674028236189798</v>
      </c>
    </row>
    <row r="537" spans="1:37" x14ac:dyDescent="0.2">
      <c r="A537" t="str">
        <f>"20200111153620753"</f>
        <v>20200111153620753</v>
      </c>
      <c r="B537" t="str">
        <f>"1578728180743767"</f>
        <v>1578728180743767</v>
      </c>
      <c r="C537" t="s">
        <v>37</v>
      </c>
      <c r="D537">
        <v>6.1081289999999999</v>
      </c>
      <c r="E537">
        <v>0.55974230000000003</v>
      </c>
      <c r="F537" t="s">
        <v>40</v>
      </c>
      <c r="G537">
        <v>-305.81959999999998</v>
      </c>
      <c r="H537">
        <v>-0.05</v>
      </c>
      <c r="I537">
        <v>365.86610000000002</v>
      </c>
      <c r="J537">
        <v>-328.8716</v>
      </c>
      <c r="K537">
        <v>1.104293</v>
      </c>
      <c r="L537">
        <v>367.78769999999997</v>
      </c>
      <c r="M537">
        <v>0.99987490000000001</v>
      </c>
      <c r="N537">
        <v>0</v>
      </c>
      <c r="O537">
        <v>-6.6172440000000004E-3</v>
      </c>
      <c r="P537">
        <v>0.99720049999999905</v>
      </c>
      <c r="Q537">
        <v>-8.8635350000000005E-3</v>
      </c>
      <c r="R537">
        <v>7.4248679999999997E-2</v>
      </c>
      <c r="S537">
        <v>3.0270079999999999</v>
      </c>
      <c r="T537">
        <v>-0.15046389999999901</v>
      </c>
      <c r="U537">
        <v>-0.2506409</v>
      </c>
      <c r="V537">
        <v>-8.084384E-2</v>
      </c>
      <c r="W537">
        <v>5.4972529999999997E-3</v>
      </c>
      <c r="X537">
        <v>0.99671160000000003</v>
      </c>
      <c r="Y537">
        <v>7.5837089999999996E-2</v>
      </c>
      <c r="Z537">
        <v>-1.5522769999999999E-3</v>
      </c>
      <c r="AA537">
        <v>0.99711899999999998</v>
      </c>
      <c r="AB537">
        <v>31</v>
      </c>
      <c r="AC537">
        <v>23.052</v>
      </c>
      <c r="AD537">
        <v>-1.154293</v>
      </c>
      <c r="AE537">
        <v>-1.92159999999995</v>
      </c>
      <c r="AF537">
        <v>1.76460751097038</v>
      </c>
      <c r="AG537">
        <v>-1.154293</v>
      </c>
      <c r="AH537">
        <v>23.0069238806059</v>
      </c>
      <c r="AI537">
        <v>92.863812536099402</v>
      </c>
      <c r="AJ537">
        <v>85.6140593501502</v>
      </c>
      <c r="AK537">
        <v>23.103349939903001</v>
      </c>
    </row>
    <row r="538" spans="1:37" x14ac:dyDescent="0.2">
      <c r="A538" t="str">
        <f>"20200111153620766"</f>
        <v>20200111153620766</v>
      </c>
      <c r="B538" t="str">
        <f>"1578728180763286"</f>
        <v>1578728180763286</v>
      </c>
      <c r="C538" t="s">
        <v>37</v>
      </c>
      <c r="D538">
        <v>6.1006220000000004</v>
      </c>
      <c r="E538">
        <v>0.55927910000000003</v>
      </c>
      <c r="F538" t="s">
        <v>40</v>
      </c>
      <c r="G538">
        <v>-305.7115</v>
      </c>
      <c r="H538">
        <v>-0.05</v>
      </c>
      <c r="I538">
        <v>365.81630000000001</v>
      </c>
      <c r="J538">
        <v>-328.7054</v>
      </c>
      <c r="K538">
        <v>1.1043019999999999</v>
      </c>
      <c r="L538">
        <v>367.78649999999999</v>
      </c>
      <c r="M538">
        <v>0.99987420000000005</v>
      </c>
      <c r="N538">
        <v>0</v>
      </c>
      <c r="O538">
        <v>-6.7209319999999998E-3</v>
      </c>
      <c r="P538">
        <v>0.99746809999999997</v>
      </c>
      <c r="Q538">
        <v>-7.6849850000000001E-3</v>
      </c>
      <c r="R538">
        <v>7.0698570000000002E-2</v>
      </c>
      <c r="S538">
        <v>3.0263059999999999</v>
      </c>
      <c r="T538">
        <v>-0.15082999999999999</v>
      </c>
      <c r="U538">
        <v>-0.25759890000000002</v>
      </c>
      <c r="V538">
        <v>-7.7398560000000005E-2</v>
      </c>
      <c r="W538">
        <v>6.6764499999999996E-3</v>
      </c>
      <c r="X538">
        <v>0.99697789999999997</v>
      </c>
      <c r="Y538">
        <v>7.8026040000000005E-2</v>
      </c>
      <c r="Z538">
        <v>-1.6055209999999999E-3</v>
      </c>
      <c r="AA538">
        <v>0.99695</v>
      </c>
      <c r="AB538">
        <v>31</v>
      </c>
      <c r="AC538">
        <v>22.9939</v>
      </c>
      <c r="AD538">
        <v>-1.1543019999999999</v>
      </c>
      <c r="AE538">
        <v>-1.97019999999997</v>
      </c>
      <c r="AF538">
        <v>1.8110683358258699</v>
      </c>
      <c r="AG538">
        <v>-1.1543019999999999</v>
      </c>
      <c r="AH538">
        <v>22.949211254351301</v>
      </c>
      <c r="AI538">
        <v>92.870533268650703</v>
      </c>
      <c r="AJ538">
        <v>85.487776898556106</v>
      </c>
      <c r="AK538">
        <v>23.0494832658148</v>
      </c>
    </row>
    <row r="539" spans="1:37" x14ac:dyDescent="0.2">
      <c r="A539" t="str">
        <f>"20200111153620783"</f>
        <v>20200111153620783</v>
      </c>
      <c r="B539" t="str">
        <f>"1578728180773051"</f>
        <v>1578728180773051</v>
      </c>
      <c r="C539" t="s">
        <v>37</v>
      </c>
      <c r="D539">
        <v>6.1308600000000002</v>
      </c>
      <c r="E539">
        <v>0.55904409999999904</v>
      </c>
      <c r="F539" t="s">
        <v>40</v>
      </c>
      <c r="G539">
        <v>-305.6277</v>
      </c>
      <c r="H539">
        <v>-0.05</v>
      </c>
      <c r="I539">
        <v>365.7681</v>
      </c>
      <c r="J539">
        <v>-328.46519999999998</v>
      </c>
      <c r="K539">
        <v>1.1043099999999999</v>
      </c>
      <c r="L539">
        <v>367.78469999999999</v>
      </c>
      <c r="M539">
        <v>0.99987329999999996</v>
      </c>
      <c r="N539">
        <v>0</v>
      </c>
      <c r="O539">
        <v>-6.8707430000000003E-3</v>
      </c>
      <c r="P539">
        <v>0.99788869999999896</v>
      </c>
      <c r="Q539">
        <v>-5.8477659999999999E-3</v>
      </c>
      <c r="R539">
        <v>6.4685010000000001E-2</v>
      </c>
      <c r="S539">
        <v>3.0252080000000001</v>
      </c>
      <c r="T539">
        <v>-0.15131520000000001</v>
      </c>
      <c r="U539">
        <v>-0.26458739999999997</v>
      </c>
      <c r="V539">
        <v>-7.153698E-2</v>
      </c>
      <c r="W539">
        <v>8.5146049999999997E-3</v>
      </c>
      <c r="X539">
        <v>0.9974016</v>
      </c>
      <c r="Y539">
        <v>8.0189990000000003E-2</v>
      </c>
      <c r="Z539">
        <v>-1.657611E-3</v>
      </c>
      <c r="AA539">
        <v>0.99677819999999995</v>
      </c>
      <c r="AB539">
        <v>31</v>
      </c>
      <c r="AC539">
        <v>22.837499999999899</v>
      </c>
      <c r="AD539">
        <v>-1.1543099999999999</v>
      </c>
      <c r="AE539">
        <v>-2.01659999999998</v>
      </c>
      <c r="AF539">
        <v>1.85492342459568</v>
      </c>
      <c r="AG539">
        <v>-1.1543099999999999</v>
      </c>
      <c r="AH539">
        <v>22.793037899093001</v>
      </c>
      <c r="AI539">
        <v>92.889622063019502</v>
      </c>
      <c r="AJ539">
        <v>85.347457121228103</v>
      </c>
      <c r="AK539">
        <v>22.8975053042182</v>
      </c>
    </row>
    <row r="540" spans="1:37" x14ac:dyDescent="0.2">
      <c r="A540" t="str">
        <f>"20200111153620796"</f>
        <v>20200111153620796</v>
      </c>
      <c r="B540" t="str">
        <f>"1578728180783784"</f>
        <v>1578728180783784</v>
      </c>
      <c r="C540" t="s">
        <v>37</v>
      </c>
      <c r="D540">
        <v>6.0946800000000003</v>
      </c>
      <c r="E540">
        <v>0.55877869999999996</v>
      </c>
      <c r="F540" t="s">
        <v>40</v>
      </c>
      <c r="G540">
        <v>-305.16699999999997</v>
      </c>
      <c r="H540">
        <v>-0.05</v>
      </c>
      <c r="I540">
        <v>365.62369999999999</v>
      </c>
      <c r="J540">
        <v>-328.28</v>
      </c>
      <c r="K540">
        <v>1.104312</v>
      </c>
      <c r="L540">
        <v>367.7833</v>
      </c>
      <c r="M540">
        <v>0.99987250000000005</v>
      </c>
      <c r="N540">
        <v>0</v>
      </c>
      <c r="O540">
        <v>-6.9869529999999997E-3</v>
      </c>
      <c r="P540">
        <v>0.99806070000000002</v>
      </c>
      <c r="Q540">
        <v>-5.6698690000000001E-3</v>
      </c>
      <c r="R540">
        <v>6.1989990000000002E-2</v>
      </c>
      <c r="S540">
        <v>3.023682</v>
      </c>
      <c r="T540">
        <v>-0.14980829999999901</v>
      </c>
      <c r="U540">
        <v>-0.2804565</v>
      </c>
      <c r="V540">
        <v>-6.8958899999999906E-2</v>
      </c>
      <c r="W540">
        <v>8.6919809999999997E-3</v>
      </c>
      <c r="X540">
        <v>0.99758169999999902</v>
      </c>
      <c r="Y540">
        <v>8.5301600000000005E-2</v>
      </c>
      <c r="Z540">
        <v>-1.762102E-3</v>
      </c>
      <c r="AA540">
        <v>0.99635359999999995</v>
      </c>
      <c r="AB540">
        <v>31</v>
      </c>
      <c r="AC540">
        <v>23.1129999999999</v>
      </c>
      <c r="AD540">
        <v>-1.154312</v>
      </c>
      <c r="AE540">
        <v>-2.15960000000001</v>
      </c>
      <c r="AF540">
        <v>1.99311295556831</v>
      </c>
      <c r="AG540">
        <v>-1.154312</v>
      </c>
      <c r="AH540">
        <v>23.070481592053198</v>
      </c>
      <c r="AI540">
        <v>92.8537449602821</v>
      </c>
      <c r="AJ540">
        <v>85.062343309958294</v>
      </c>
      <c r="AK540">
        <v>23.185168887378499</v>
      </c>
    </row>
    <row r="541" spans="1:37" x14ac:dyDescent="0.2">
      <c r="A541" t="str">
        <f>"20200111153620809"</f>
        <v>20200111153620809</v>
      </c>
      <c r="B541" t="str">
        <f>"1578728180803303"</f>
        <v>1578728180803303</v>
      </c>
      <c r="C541" t="s">
        <v>37</v>
      </c>
      <c r="D541">
        <v>6.1182879999999997</v>
      </c>
      <c r="E541">
        <v>0.55820899999999996</v>
      </c>
      <c r="F541" t="s">
        <v>40</v>
      </c>
      <c r="G541">
        <v>-305.3809</v>
      </c>
      <c r="H541">
        <v>-0.05</v>
      </c>
      <c r="I541">
        <v>365.61360000000002</v>
      </c>
      <c r="J541">
        <v>-328.10989999999998</v>
      </c>
      <c r="K541">
        <v>1.104311</v>
      </c>
      <c r="L541">
        <v>367.78199999999998</v>
      </c>
      <c r="M541">
        <v>0.99987179999999998</v>
      </c>
      <c r="N541">
        <v>0</v>
      </c>
      <c r="O541">
        <v>-7.0943509999999996E-3</v>
      </c>
      <c r="P541">
        <v>0.99820540000000002</v>
      </c>
      <c r="Q541">
        <v>-6.12334199999999E-3</v>
      </c>
      <c r="R541">
        <v>5.9572100000000003E-2</v>
      </c>
      <c r="S541">
        <v>3.0227360000000001</v>
      </c>
      <c r="T541">
        <v>-0.1523719</v>
      </c>
      <c r="U541">
        <v>-0.28640749999999998</v>
      </c>
      <c r="V541">
        <v>-6.6649529999999998E-2</v>
      </c>
      <c r="W541">
        <v>8.2380470000000001E-3</v>
      </c>
      <c r="X541">
        <v>0.99774240000000003</v>
      </c>
      <c r="Y541">
        <v>8.7162039999999996E-2</v>
      </c>
      <c r="Z541">
        <v>-1.8339719999999999E-3</v>
      </c>
      <c r="AA541">
        <v>0.99619249999999904</v>
      </c>
      <c r="AB541">
        <v>31</v>
      </c>
      <c r="AC541">
        <v>22.7289999999999</v>
      </c>
      <c r="AD541">
        <v>-1.1543110000000001</v>
      </c>
      <c r="AE541">
        <v>-2.1683999999999601</v>
      </c>
      <c r="AF541">
        <v>2.0019644066840101</v>
      </c>
      <c r="AG541">
        <v>-1.1543110000000001</v>
      </c>
      <c r="AH541">
        <v>22.685829331283198</v>
      </c>
      <c r="AI541">
        <v>92.901581754769097</v>
      </c>
      <c r="AJ541">
        <v>84.956863302012906</v>
      </c>
      <c r="AK541">
        <v>22.8032266975193</v>
      </c>
    </row>
    <row r="542" spans="1:37" x14ac:dyDescent="0.2">
      <c r="A542" t="str">
        <f>"20200111153620821"</f>
        <v>20200111153620821</v>
      </c>
      <c r="B542" t="str">
        <f>"1578728180813063"</f>
        <v>1578728180813063</v>
      </c>
      <c r="C542" t="s">
        <v>37</v>
      </c>
      <c r="D542">
        <v>6.0695059999999996</v>
      </c>
      <c r="E542">
        <v>0.558069699999999</v>
      </c>
      <c r="F542" t="s">
        <v>40</v>
      </c>
      <c r="G542">
        <v>-306.09559999999999</v>
      </c>
      <c r="H542">
        <v>-0.05</v>
      </c>
      <c r="I542">
        <v>365.67329999999998</v>
      </c>
      <c r="J542">
        <v>-327.9194</v>
      </c>
      <c r="K542">
        <v>1.1043099999999999</v>
      </c>
      <c r="L542">
        <v>367.78050000000002</v>
      </c>
      <c r="M542">
        <v>0.99987090000000001</v>
      </c>
      <c r="N542">
        <v>0</v>
      </c>
      <c r="O542">
        <v>-7.2151029999999996E-3</v>
      </c>
      <c r="P542">
        <v>0.9983263</v>
      </c>
      <c r="Q542">
        <v>-6.3618269999999996E-3</v>
      </c>
      <c r="R542">
        <v>5.7485029999999999E-2</v>
      </c>
      <c r="S542">
        <v>3.0216669999999999</v>
      </c>
      <c r="T542">
        <v>-0.1584401</v>
      </c>
      <c r="U542">
        <v>-0.28942869999999998</v>
      </c>
      <c r="V542">
        <v>-6.4684169999999999E-2</v>
      </c>
      <c r="W542">
        <v>7.9986840000000007E-3</v>
      </c>
      <c r="X542">
        <v>0.99787369999999898</v>
      </c>
      <c r="Y542">
        <v>8.8052580000000005E-2</v>
      </c>
      <c r="Z542">
        <v>-1.9244570000000001E-3</v>
      </c>
      <c r="AA542">
        <v>0.99611399999999894</v>
      </c>
      <c r="AB542">
        <v>31</v>
      </c>
      <c r="AC542">
        <v>21.823799999999999</v>
      </c>
      <c r="AD542">
        <v>-1.1543099999999999</v>
      </c>
      <c r="AE542">
        <v>-2.1072000000000299</v>
      </c>
      <c r="AF542">
        <v>1.9442788893624301</v>
      </c>
      <c r="AG542">
        <v>-1.1543099999999999</v>
      </c>
      <c r="AH542">
        <v>21.7780736848975</v>
      </c>
      <c r="AI542">
        <v>93.022029871945605</v>
      </c>
      <c r="AJ542">
        <v>84.898335820130697</v>
      </c>
      <c r="AK542">
        <v>21.895139766636401</v>
      </c>
    </row>
    <row r="543" spans="1:37" x14ac:dyDescent="0.2">
      <c r="A543" t="str">
        <f>"20200111153620833"</f>
        <v>20200111153620833</v>
      </c>
      <c r="B543" t="str">
        <f>"1578728180823802"</f>
        <v>1578728180823802</v>
      </c>
      <c r="C543" t="s">
        <v>37</v>
      </c>
      <c r="D543">
        <v>6.0482949999999898</v>
      </c>
      <c r="E543">
        <v>0.55793009999999998</v>
      </c>
      <c r="F543" t="s">
        <v>40</v>
      </c>
      <c r="G543">
        <v>-306.0865</v>
      </c>
      <c r="H543">
        <v>-0.05</v>
      </c>
      <c r="I543">
        <v>365.65170000000001</v>
      </c>
      <c r="J543">
        <v>-327.75490000000002</v>
      </c>
      <c r="K543">
        <v>1.104309</v>
      </c>
      <c r="L543">
        <v>367.7792</v>
      </c>
      <c r="M543">
        <v>0.99987019999999904</v>
      </c>
      <c r="N543">
        <v>0</v>
      </c>
      <c r="O543">
        <v>-7.3204790000000004E-3</v>
      </c>
      <c r="P543">
        <v>0.99845709999999999</v>
      </c>
      <c r="Q543">
        <v>-6.1118980000000002E-3</v>
      </c>
      <c r="R543">
        <v>5.5193289999999999E-2</v>
      </c>
      <c r="S543">
        <v>3.0209349999999899</v>
      </c>
      <c r="T543">
        <v>-0.15971729999999901</v>
      </c>
      <c r="U543">
        <v>-0.29455569999999998</v>
      </c>
      <c r="V543">
        <v>-6.2498419999999999E-2</v>
      </c>
      <c r="W543">
        <v>8.2475840000000005E-3</v>
      </c>
      <c r="X543">
        <v>0.99801099999999998</v>
      </c>
      <c r="Y543">
        <v>8.9641429999999994E-2</v>
      </c>
      <c r="Z543">
        <v>-1.976579E-3</v>
      </c>
      <c r="AA543">
        <v>0.99597219999999997</v>
      </c>
      <c r="AB543">
        <v>31</v>
      </c>
      <c r="AC543">
        <v>21.668399999999998</v>
      </c>
      <c r="AD543">
        <v>-1.154309</v>
      </c>
      <c r="AE543">
        <v>-2.1274999999999902</v>
      </c>
      <c r="AF543">
        <v>1.9632852496889199</v>
      </c>
      <c r="AG543">
        <v>-1.154309</v>
      </c>
      <c r="AH543">
        <v>21.6226191929393</v>
      </c>
      <c r="AI543">
        <v>93.043300601130497</v>
      </c>
      <c r="AJ543">
        <v>84.8118980254294</v>
      </c>
      <c r="AK543">
        <v>21.7422303134245</v>
      </c>
    </row>
    <row r="544" spans="1:37" x14ac:dyDescent="0.2">
      <c r="A544" t="str">
        <f>"20200111153620852"</f>
        <v>20200111153620852</v>
      </c>
      <c r="B544" t="str">
        <f>"1578728180843319"</f>
        <v>1578728180843319</v>
      </c>
      <c r="C544" t="s">
        <v>37</v>
      </c>
      <c r="D544">
        <v>6.0856339999999998</v>
      </c>
      <c r="E544">
        <v>0.55747429999999998</v>
      </c>
      <c r="F544" t="s">
        <v>40</v>
      </c>
      <c r="G544">
        <v>-305.9135</v>
      </c>
      <c r="H544">
        <v>-0.05</v>
      </c>
      <c r="I544">
        <v>365.60950000000003</v>
      </c>
      <c r="J544">
        <v>-327.50319999999999</v>
      </c>
      <c r="K544">
        <v>1.104312</v>
      </c>
      <c r="L544">
        <v>367.77710000000002</v>
      </c>
      <c r="M544">
        <v>0.99986900000000001</v>
      </c>
      <c r="N544">
        <v>0</v>
      </c>
      <c r="O544">
        <v>-7.4841589999999998E-3</v>
      </c>
      <c r="P544">
        <v>0.99870099999999995</v>
      </c>
      <c r="Q544">
        <v>-5.069301E-3</v>
      </c>
      <c r="R544">
        <v>5.0702749999999998E-2</v>
      </c>
      <c r="S544">
        <v>3.0202330000000002</v>
      </c>
      <c r="T544">
        <v>-0.159617799999999</v>
      </c>
      <c r="U544">
        <v>-0.30001830000000002</v>
      </c>
      <c r="V544">
        <v>-5.8172439999999999E-2</v>
      </c>
      <c r="W544">
        <v>9.2894329999999997E-3</v>
      </c>
      <c r="X544">
        <v>0.99826329999999996</v>
      </c>
      <c r="Y544">
        <v>9.1282820000000001E-2</v>
      </c>
      <c r="Z544">
        <v>-2.0102470000000002E-3</v>
      </c>
      <c r="AA544">
        <v>0.99582299999999901</v>
      </c>
      <c r="AB544">
        <v>31</v>
      </c>
      <c r="AC544">
        <v>21.589700000000001</v>
      </c>
      <c r="AD544">
        <v>-1.154312</v>
      </c>
      <c r="AE544">
        <v>-2.16759999999999</v>
      </c>
      <c r="AF544">
        <v>2.0002809517437501</v>
      </c>
      <c r="AG544">
        <v>-1.154312</v>
      </c>
      <c r="AH544">
        <v>21.544347511793902</v>
      </c>
      <c r="AI544">
        <v>93.053775914077605</v>
      </c>
      <c r="AJ544">
        <v>84.695590709710203</v>
      </c>
      <c r="AK544">
        <v>21.667774915486699</v>
      </c>
    </row>
    <row r="545" spans="1:37" x14ac:dyDescent="0.2">
      <c r="A545" t="str">
        <f>"20200111153620864"</f>
        <v>20200111153620864</v>
      </c>
      <c r="B545" t="str">
        <f>"1578728180853079"</f>
        <v>1578728180853079</v>
      </c>
      <c r="C545" t="s">
        <v>37</v>
      </c>
      <c r="D545">
        <v>6.0445339999999996</v>
      </c>
      <c r="E545">
        <v>0.55719090000000004</v>
      </c>
      <c r="F545" t="s">
        <v>40</v>
      </c>
      <c r="G545">
        <v>-305.60809999999998</v>
      </c>
      <c r="H545">
        <v>-0.05</v>
      </c>
      <c r="I545">
        <v>365.53140000000002</v>
      </c>
      <c r="J545">
        <v>-327.32459999999998</v>
      </c>
      <c r="K545">
        <v>1.104314</v>
      </c>
      <c r="L545">
        <v>367.77569999999997</v>
      </c>
      <c r="M545">
        <v>0.99986799999999998</v>
      </c>
      <c r="N545">
        <v>0</v>
      </c>
      <c r="O545">
        <v>-7.6027880000000001E-3</v>
      </c>
      <c r="P545">
        <v>0.99880530000000001</v>
      </c>
      <c r="Q545">
        <v>-4.7619969999999996E-3</v>
      </c>
      <c r="R545">
        <v>4.8632999999999899E-2</v>
      </c>
      <c r="S545">
        <v>3.0188290000000002</v>
      </c>
      <c r="T545">
        <v>-0.15915270000000001</v>
      </c>
      <c r="U545">
        <v>-0.3096313</v>
      </c>
      <c r="V545">
        <v>-5.6221960000000001E-2</v>
      </c>
      <c r="W545">
        <v>9.5960249999999993E-3</v>
      </c>
      <c r="X545">
        <v>0.99837219999999904</v>
      </c>
      <c r="Y545">
        <v>9.4345399999999996E-2</v>
      </c>
      <c r="Z545">
        <v>-2.0792359999999999E-3</v>
      </c>
      <c r="AA545">
        <v>0.99553729999999996</v>
      </c>
      <c r="AB545">
        <v>31</v>
      </c>
      <c r="AC545">
        <v>21.7165</v>
      </c>
      <c r="AD545">
        <v>-1.1543139999999901</v>
      </c>
      <c r="AE545">
        <v>-2.2442999999999498</v>
      </c>
      <c r="AF545">
        <v>2.0733162651202699</v>
      </c>
      <c r="AG545">
        <v>-1.1543139999999901</v>
      </c>
      <c r="AH545">
        <v>21.6723525641336</v>
      </c>
      <c r="AI545">
        <v>93.034979597120397</v>
      </c>
      <c r="AJ545">
        <v>84.535348655813394</v>
      </c>
      <c r="AK545">
        <v>21.8018794329736</v>
      </c>
    </row>
    <row r="546" spans="1:37" x14ac:dyDescent="0.2">
      <c r="A546" t="str">
        <f>"20200111153620884"</f>
        <v>20200111153620884</v>
      </c>
      <c r="B546" t="str">
        <f>"1578728180873574"</f>
        <v>1578728180873574</v>
      </c>
      <c r="C546" t="s">
        <v>37</v>
      </c>
      <c r="D546">
        <v>6.0643320000000003</v>
      </c>
      <c r="E546">
        <v>0.55669380000000002</v>
      </c>
      <c r="F546" t="s">
        <v>40</v>
      </c>
      <c r="G546">
        <v>-305.49329999999998</v>
      </c>
      <c r="H546">
        <v>-0.05</v>
      </c>
      <c r="I546">
        <v>365.5095</v>
      </c>
      <c r="J546">
        <v>-327.06439999999998</v>
      </c>
      <c r="K546">
        <v>1.1043080000000001</v>
      </c>
      <c r="L546">
        <v>367.77350000000001</v>
      </c>
      <c r="M546">
        <v>0.9998667</v>
      </c>
      <c r="N546">
        <v>0</v>
      </c>
      <c r="O546">
        <v>-7.7811740000000001E-3</v>
      </c>
      <c r="P546">
        <v>0.99893180000000004</v>
      </c>
      <c r="Q546">
        <v>-5.6085479999999997E-3</v>
      </c>
      <c r="R546">
        <v>4.5869319999999998E-2</v>
      </c>
      <c r="S546">
        <v>3.0180660000000001</v>
      </c>
      <c r="T546">
        <v>-0.159578</v>
      </c>
      <c r="U546">
        <v>-0.3132935</v>
      </c>
      <c r="V546">
        <v>-5.3637659999999997E-2</v>
      </c>
      <c r="W546">
        <v>8.748245E-3</v>
      </c>
      <c r="X546">
        <v>0.99852220000000003</v>
      </c>
      <c r="Y546">
        <v>9.5386670000000007E-2</v>
      </c>
      <c r="Z546">
        <v>-2.1032160000000002E-3</v>
      </c>
      <c r="AA546">
        <v>0.99543809999999999</v>
      </c>
      <c r="AB546">
        <v>31</v>
      </c>
      <c r="AC546">
        <v>21.571100000000001</v>
      </c>
      <c r="AD546">
        <v>-1.1543079999999999</v>
      </c>
      <c r="AE546">
        <v>-2.26400000000001</v>
      </c>
      <c r="AF546">
        <v>2.09014572634725</v>
      </c>
      <c r="AG546">
        <v>-1.1543079999999999</v>
      </c>
      <c r="AH546">
        <v>21.527093790716101</v>
      </c>
      <c r="AI546">
        <v>93.0549886315397</v>
      </c>
      <c r="AJ546">
        <v>84.454322462517794</v>
      </c>
      <c r="AK546">
        <v>21.6591067034289</v>
      </c>
    </row>
    <row r="547" spans="1:37" x14ac:dyDescent="0.2">
      <c r="A547" t="str">
        <f>"20200111153620896"</f>
        <v>20200111153620896</v>
      </c>
      <c r="B547" t="str">
        <f>"1578728180893096"</f>
        <v>1578728180893096</v>
      </c>
      <c r="C547" t="s">
        <v>37</v>
      </c>
      <c r="D547">
        <v>6.0630870000000003</v>
      </c>
      <c r="E547">
        <v>0.55612669999999997</v>
      </c>
      <c r="F547" t="s">
        <v>40</v>
      </c>
      <c r="G547">
        <v>-305.96519999999998</v>
      </c>
      <c r="H547">
        <v>-0.05</v>
      </c>
      <c r="I547">
        <v>365.55169999999998</v>
      </c>
      <c r="J547">
        <v>-326.87909999999999</v>
      </c>
      <c r="K547">
        <v>1.1042969999999901</v>
      </c>
      <c r="L547">
        <v>367.77190000000002</v>
      </c>
      <c r="M547">
        <v>0.99986589999999997</v>
      </c>
      <c r="N547">
        <v>0</v>
      </c>
      <c r="O547">
        <v>-7.9134359999999994E-3</v>
      </c>
      <c r="P547">
        <v>0.99897739999999902</v>
      </c>
      <c r="Q547">
        <v>-5.8146819999999998E-3</v>
      </c>
      <c r="R547">
        <v>4.4838719999999999E-2</v>
      </c>
      <c r="S547">
        <v>3.0168759999999999</v>
      </c>
      <c r="T547">
        <v>-0.16504969999999999</v>
      </c>
      <c r="U547">
        <v>-0.31768800000000003</v>
      </c>
      <c r="V547">
        <v>-5.2739269999999998E-2</v>
      </c>
      <c r="W547">
        <v>8.5408289999999998E-3</v>
      </c>
      <c r="X547">
        <v>0.99857180000000001</v>
      </c>
      <c r="Y547">
        <v>9.6719250000000007E-2</v>
      </c>
      <c r="Z547">
        <v>-2.2050300000000002E-3</v>
      </c>
      <c r="AA547">
        <v>0.99530919999999901</v>
      </c>
      <c r="AB547">
        <v>31</v>
      </c>
      <c r="AC547">
        <v>20.913900000000002</v>
      </c>
      <c r="AD547">
        <v>-1.1542969999999999</v>
      </c>
      <c r="AE547">
        <v>-2.2202000000000299</v>
      </c>
      <c r="AF547">
        <v>2.04844212551227</v>
      </c>
      <c r="AG547">
        <v>-1.1542969999999999</v>
      </c>
      <c r="AH547">
        <v>20.8679557114787</v>
      </c>
      <c r="AI547">
        <v>93.150937523741305</v>
      </c>
      <c r="AJ547">
        <v>84.393687648451305</v>
      </c>
      <c r="AK547">
        <v>21.000002197190799</v>
      </c>
    </row>
    <row r="548" spans="1:37" x14ac:dyDescent="0.2">
      <c r="A548" t="str">
        <f>"20200111153620909"</f>
        <v>20200111153620909</v>
      </c>
      <c r="B548" t="str">
        <f>"1578728180902854"</f>
        <v>1578728180902854</v>
      </c>
      <c r="C548" t="s">
        <v>37</v>
      </c>
      <c r="D548">
        <v>6.0932570000000004</v>
      </c>
      <c r="E548">
        <v>0.55580529999999995</v>
      </c>
      <c r="F548" t="s">
        <v>40</v>
      </c>
      <c r="G548">
        <v>-306.13780000000003</v>
      </c>
      <c r="H548">
        <v>-0.05</v>
      </c>
      <c r="I548">
        <v>365.5976</v>
      </c>
      <c r="J548">
        <v>-326.70699999999999</v>
      </c>
      <c r="K548">
        <v>1.1042940000000001</v>
      </c>
      <c r="L548">
        <v>367.7704</v>
      </c>
      <c r="M548">
        <v>0.9998648</v>
      </c>
      <c r="N548">
        <v>0</v>
      </c>
      <c r="O548">
        <v>-8.0420209999999999E-3</v>
      </c>
      <c r="P548">
        <v>0.99903940000000002</v>
      </c>
      <c r="Q548">
        <v>-5.5739639999999998E-3</v>
      </c>
      <c r="R548">
        <v>4.3467829999999999E-2</v>
      </c>
      <c r="S548">
        <v>3.0162960000000001</v>
      </c>
      <c r="T548">
        <v>-0.16786319999999999</v>
      </c>
      <c r="U548">
        <v>-0.31619259999999999</v>
      </c>
      <c r="V548">
        <v>-5.1497300000000003E-2</v>
      </c>
      <c r="W548">
        <v>8.7811460000000001E-3</v>
      </c>
      <c r="X548">
        <v>0.99863449999999998</v>
      </c>
      <c r="Y548">
        <v>9.6119670000000004E-2</v>
      </c>
      <c r="Z548">
        <v>-2.219291E-3</v>
      </c>
      <c r="AA548">
        <v>0.99536729999999995</v>
      </c>
      <c r="AB548">
        <v>31</v>
      </c>
      <c r="AC548">
        <v>20.569199999999899</v>
      </c>
      <c r="AD548">
        <v>-1.1542939999999999</v>
      </c>
      <c r="AE548">
        <v>-2.1727999999999899</v>
      </c>
      <c r="AF548">
        <v>2.0010625942872502</v>
      </c>
      <c r="AG548">
        <v>-1.1542939999999999</v>
      </c>
      <c r="AH548">
        <v>20.5220955352891</v>
      </c>
      <c r="AI548">
        <v>93.204125202840999</v>
      </c>
      <c r="AJ548">
        <v>84.430825181728196</v>
      </c>
      <c r="AK548">
        <v>20.651708193372901</v>
      </c>
    </row>
    <row r="549" spans="1:37" x14ac:dyDescent="0.2">
      <c r="A549" t="str">
        <f>"20200111153620929"</f>
        <v>20200111153620929</v>
      </c>
      <c r="B549" t="str">
        <f>"1578728180923351"</f>
        <v>1578728180923351</v>
      </c>
      <c r="C549" t="s">
        <v>37</v>
      </c>
      <c r="D549">
        <v>6.1157909999999998</v>
      </c>
      <c r="E549">
        <v>0.55518940000000006</v>
      </c>
      <c r="F549" t="s">
        <v>40</v>
      </c>
      <c r="G549">
        <v>-306.06869999999998</v>
      </c>
      <c r="H549">
        <v>-0.05</v>
      </c>
      <c r="I549">
        <v>365.59519999999998</v>
      </c>
      <c r="J549">
        <v>-326.43349999999998</v>
      </c>
      <c r="K549">
        <v>1.104293</v>
      </c>
      <c r="L549">
        <v>367.76799999999997</v>
      </c>
      <c r="M549">
        <v>0.99986299999999995</v>
      </c>
      <c r="N549">
        <v>0</v>
      </c>
      <c r="O549">
        <v>-8.2572389999999996E-3</v>
      </c>
      <c r="P549">
        <v>0.99919659999999999</v>
      </c>
      <c r="Q549">
        <v>-3.4277299999999999E-3</v>
      </c>
      <c r="R549">
        <v>3.9929970000000002E-2</v>
      </c>
      <c r="S549">
        <v>3.0157780000000001</v>
      </c>
      <c r="T549">
        <v>-0.16867099999999999</v>
      </c>
      <c r="U549">
        <v>-0.31784059999999997</v>
      </c>
      <c r="V549">
        <v>-4.817461E-2</v>
      </c>
      <c r="W549">
        <v>1.092633E-2</v>
      </c>
      <c r="X549">
        <v>0.99877919999999998</v>
      </c>
      <c r="Y549">
        <v>9.6459600000000006E-2</v>
      </c>
      <c r="Z549">
        <v>-2.2277519999999999E-3</v>
      </c>
      <c r="AA549">
        <v>0.99533439999999995</v>
      </c>
      <c r="AB549">
        <v>31</v>
      </c>
      <c r="AC549">
        <v>20.364799999999999</v>
      </c>
      <c r="AD549">
        <v>-1.154293</v>
      </c>
      <c r="AE549">
        <v>-2.1728000000000498</v>
      </c>
      <c r="AF549">
        <v>1.9982041849915599</v>
      </c>
      <c r="AG549">
        <v>-1.154293</v>
      </c>
      <c r="AH549">
        <v>20.317509146777901</v>
      </c>
      <c r="AI549">
        <v>93.236054498740401</v>
      </c>
      <c r="AJ549">
        <v>84.383087880225403</v>
      </c>
      <c r="AK549">
        <v>20.448139040611299</v>
      </c>
    </row>
    <row r="550" spans="1:37" x14ac:dyDescent="0.2">
      <c r="A550" t="str">
        <f>"20200111153620941"</f>
        <v>20200111153620941</v>
      </c>
      <c r="B550" t="str">
        <f>"1578728180933110"</f>
        <v>1578728180933110</v>
      </c>
      <c r="C550" t="s">
        <v>37</v>
      </c>
      <c r="D550">
        <v>6.1214279999999999</v>
      </c>
      <c r="E550">
        <v>0.55518940000000006</v>
      </c>
      <c r="F550" t="s">
        <v>40</v>
      </c>
      <c r="G550">
        <v>-305.56990000000002</v>
      </c>
      <c r="H550">
        <v>-0.05</v>
      </c>
      <c r="I550">
        <v>365.5333</v>
      </c>
      <c r="J550">
        <v>-326.26089999999999</v>
      </c>
      <c r="K550">
        <v>1.1042920000000001</v>
      </c>
      <c r="L550">
        <v>367.76639999999998</v>
      </c>
      <c r="M550">
        <v>0.99986180000000002</v>
      </c>
      <c r="N550">
        <v>0</v>
      </c>
      <c r="O550">
        <v>-8.4011399999999996E-3</v>
      </c>
      <c r="P550">
        <v>0.99926599999999999</v>
      </c>
      <c r="Q550">
        <v>-2.7396829999999902E-3</v>
      </c>
      <c r="R550">
        <v>3.8211879999999997E-2</v>
      </c>
      <c r="S550">
        <v>3.0147400000000002</v>
      </c>
      <c r="T550">
        <v>-0.166793</v>
      </c>
      <c r="U550">
        <v>-0.32290649999999999</v>
      </c>
      <c r="V550">
        <v>-4.6600170000000003E-2</v>
      </c>
      <c r="W550">
        <v>1.1613409999999999E-2</v>
      </c>
      <c r="X550">
        <v>0.99884609999999996</v>
      </c>
      <c r="Y550">
        <v>9.8006650000000001E-2</v>
      </c>
      <c r="Z550">
        <v>-2.2382550000000002E-3</v>
      </c>
      <c r="AA550">
        <v>0.99518320000000005</v>
      </c>
      <c r="AB550">
        <v>31</v>
      </c>
      <c r="AC550">
        <v>20.690999999999899</v>
      </c>
      <c r="AD550">
        <v>-1.1542920000000001</v>
      </c>
      <c r="AE550">
        <v>-2.2330999999999701</v>
      </c>
      <c r="AF550">
        <v>2.0528599372560201</v>
      </c>
      <c r="AG550">
        <v>-1.1542920000000001</v>
      </c>
      <c r="AH550">
        <v>20.645518864503401</v>
      </c>
      <c r="AI550">
        <v>93.184407352305598</v>
      </c>
      <c r="AJ550">
        <v>84.321535083806793</v>
      </c>
      <c r="AK550">
        <v>20.779414648344201</v>
      </c>
    </row>
    <row r="551" spans="1:37" x14ac:dyDescent="0.2">
      <c r="A551" t="str">
        <f>"20200111153620952"</f>
        <v>20200111153620952</v>
      </c>
      <c r="B551" t="str">
        <f>"1578728180942871"</f>
        <v>1578728180942871</v>
      </c>
      <c r="C551" t="s">
        <v>37</v>
      </c>
      <c r="D551">
        <v>6.1205790000000002</v>
      </c>
      <c r="E551">
        <v>0.54304859999999999</v>
      </c>
      <c r="F551" t="s">
        <v>38</v>
      </c>
      <c r="G551">
        <v>-325.27870000000001</v>
      </c>
      <c r="H551">
        <v>1.0504560000000001</v>
      </c>
      <c r="I551">
        <v>367.65929999999997</v>
      </c>
      <c r="J551">
        <v>-326.09570000000002</v>
      </c>
      <c r="K551">
        <v>1.1042879999999999</v>
      </c>
      <c r="L551">
        <v>367.76490000000001</v>
      </c>
      <c r="M551">
        <v>0.99986070000000005</v>
      </c>
      <c r="N551">
        <v>0</v>
      </c>
      <c r="O551">
        <v>-8.5492390000000001E-3</v>
      </c>
      <c r="P551">
        <v>0.99929380000000001</v>
      </c>
      <c r="Q551">
        <v>-1.975648E-3</v>
      </c>
      <c r="R551">
        <v>3.7527900000000003E-2</v>
      </c>
      <c r="S551">
        <v>3.0142820000000001</v>
      </c>
      <c r="T551">
        <v>-0.16552</v>
      </c>
      <c r="U551">
        <v>-0.3276367</v>
      </c>
      <c r="V551">
        <v>-4.6063430000000002E-2</v>
      </c>
      <c r="W551">
        <v>1.2377249999999999E-2</v>
      </c>
      <c r="X551">
        <v>0.99886180000000002</v>
      </c>
      <c r="Y551">
        <v>9.941904E-2</v>
      </c>
      <c r="Z551">
        <v>-2.2518809999999998E-3</v>
      </c>
      <c r="AA551">
        <v>0.99504309999999996</v>
      </c>
      <c r="AB551">
        <v>31</v>
      </c>
      <c r="AC551">
        <v>0.81700000000000705</v>
      </c>
      <c r="AD551">
        <v>-5.3831999999999797E-2</v>
      </c>
      <c r="AE551">
        <v>-0.105600000000038</v>
      </c>
      <c r="AF551">
        <v>9.8191403688646497E-2</v>
      </c>
      <c r="AG551">
        <v>-5.3831999999999797E-2</v>
      </c>
      <c r="AH551">
        <v>0.814395452224558</v>
      </c>
      <c r="AI551">
        <v>93.754668136919804</v>
      </c>
      <c r="AJ551">
        <v>83.125051526496307</v>
      </c>
      <c r="AK551">
        <v>0.82205802020684005</v>
      </c>
    </row>
    <row r="552" spans="1:37" x14ac:dyDescent="0.2">
      <c r="A552" t="str">
        <f>"20200111153620965"</f>
        <v>20200111153620965</v>
      </c>
      <c r="B552" t="str">
        <f>"1578728180953607"</f>
        <v>1578728180953607</v>
      </c>
      <c r="C552" t="s">
        <v>37</v>
      </c>
      <c r="D552">
        <v>6.1126709999999997</v>
      </c>
      <c r="E552">
        <v>0.54296099999999903</v>
      </c>
      <c r="F552" t="s">
        <v>38</v>
      </c>
      <c r="G552">
        <v>-325.28960000000001</v>
      </c>
      <c r="H552">
        <v>1.043347</v>
      </c>
      <c r="I552">
        <v>367.70190000000002</v>
      </c>
      <c r="J552">
        <v>-325.93459999999999</v>
      </c>
      <c r="K552">
        <v>1.1042829999999999</v>
      </c>
      <c r="L552">
        <v>367.76330000000002</v>
      </c>
      <c r="M552">
        <v>0.99985939999999995</v>
      </c>
      <c r="N552">
        <v>0</v>
      </c>
      <c r="O552">
        <v>-8.6999680000000006E-3</v>
      </c>
      <c r="P552">
        <v>0.99930079999999999</v>
      </c>
      <c r="Q552">
        <v>-1.6091949999999999E-3</v>
      </c>
      <c r="R552">
        <v>3.7359530000000002E-2</v>
      </c>
      <c r="S552">
        <v>3.0104060000000001</v>
      </c>
      <c r="T552">
        <v>-0.22788269999999999</v>
      </c>
      <c r="U552">
        <v>-0.23367309999999999</v>
      </c>
      <c r="V552">
        <v>-4.6045129999999997E-2</v>
      </c>
      <c r="W552">
        <v>1.2742949999999999E-2</v>
      </c>
      <c r="X552">
        <v>0.99885809999999997</v>
      </c>
      <c r="Y552">
        <v>6.854114E-2</v>
      </c>
      <c r="Z552">
        <v>-1.929991E-3</v>
      </c>
      <c r="AA552">
        <v>0.99764649999999999</v>
      </c>
      <c r="AB552">
        <v>31</v>
      </c>
      <c r="AC552">
        <v>0.64499999999998103</v>
      </c>
      <c r="AD552">
        <v>-6.0935999999999803E-2</v>
      </c>
      <c r="AE552">
        <v>-6.1399999999991899E-2</v>
      </c>
      <c r="AF552">
        <v>5.5296507752250298E-2</v>
      </c>
      <c r="AG552">
        <v>-6.0935999999999803E-2</v>
      </c>
      <c r="AH552">
        <v>0.63985017563394098</v>
      </c>
      <c r="AI552">
        <v>95.420063118444503</v>
      </c>
      <c r="AJ552">
        <v>85.060712147044001</v>
      </c>
      <c r="AK552">
        <v>0.64511948282808795</v>
      </c>
    </row>
    <row r="553" spans="1:37" x14ac:dyDescent="0.2">
      <c r="A553" t="str">
        <f>"20200111153620978"</f>
        <v>20200111153620978</v>
      </c>
      <c r="B553" t="str">
        <f>"1578728180973127"</f>
        <v>1578728180973127</v>
      </c>
      <c r="C553" t="s">
        <v>37</v>
      </c>
      <c r="D553">
        <v>6.181781</v>
      </c>
      <c r="E553">
        <v>0.54509810000000003</v>
      </c>
      <c r="F553" t="s">
        <v>38</v>
      </c>
      <c r="G553">
        <v>-325.01490000000001</v>
      </c>
      <c r="H553">
        <v>1.0397749999999999</v>
      </c>
      <c r="I553">
        <v>367.69189999999998</v>
      </c>
      <c r="J553">
        <v>-325.7484</v>
      </c>
      <c r="K553">
        <v>1.104276</v>
      </c>
      <c r="L553">
        <v>367.76159999999999</v>
      </c>
      <c r="M553">
        <v>0.99985789999999997</v>
      </c>
      <c r="N553">
        <v>0</v>
      </c>
      <c r="O553">
        <v>-8.8814919999999995E-3</v>
      </c>
      <c r="P553">
        <v>0.99929239999999997</v>
      </c>
      <c r="Q553">
        <v>-1.6641360000000001E-3</v>
      </c>
      <c r="R553">
        <v>3.7578809999999997E-2</v>
      </c>
      <c r="S553">
        <v>3.0104679999999999</v>
      </c>
      <c r="T553">
        <v>-0.21138570000000001</v>
      </c>
      <c r="U553">
        <v>-0.23306269999999901</v>
      </c>
      <c r="V553">
        <v>-4.6445239999999999E-2</v>
      </c>
      <c r="W553">
        <v>1.268764E-2</v>
      </c>
      <c r="X553">
        <v>0.99884030000000001</v>
      </c>
      <c r="Y553">
        <v>6.8182450000000006E-2</v>
      </c>
      <c r="Z553">
        <v>-1.7653370000000001E-3</v>
      </c>
      <c r="AA553">
        <v>0.99767129999999904</v>
      </c>
      <c r="AB553">
        <v>31</v>
      </c>
      <c r="AC553">
        <v>0.73349999999999205</v>
      </c>
      <c r="AD553">
        <v>-6.45010000000001E-2</v>
      </c>
      <c r="AE553">
        <v>-6.97000000000116E-2</v>
      </c>
      <c r="AF553">
        <v>6.2701492499672301E-2</v>
      </c>
      <c r="AG553">
        <v>-6.45010000000001E-2</v>
      </c>
      <c r="AH553">
        <v>0.72850723147597796</v>
      </c>
      <c r="AI553">
        <v>95.041152842047197</v>
      </c>
      <c r="AJ553">
        <v>85.080763699304597</v>
      </c>
      <c r="AK553">
        <v>0.73403994610339895</v>
      </c>
    </row>
    <row r="554" spans="1:37" x14ac:dyDescent="0.2">
      <c r="A554" t="str">
        <f>"20200111153620995"</f>
        <v>20200111153620995</v>
      </c>
      <c r="B554" t="str">
        <f>"1578728180982886"</f>
        <v>1578728180982886</v>
      </c>
      <c r="C554" t="s">
        <v>37</v>
      </c>
      <c r="D554">
        <v>6.1453860000000002</v>
      </c>
      <c r="E554">
        <v>0.54509810000000003</v>
      </c>
      <c r="F554" t="s">
        <v>38</v>
      </c>
      <c r="G554">
        <v>-324.99799999999999</v>
      </c>
      <c r="H554">
        <v>1.052298</v>
      </c>
      <c r="I554">
        <v>367.69909999999999</v>
      </c>
      <c r="J554">
        <v>-325.52229999999997</v>
      </c>
      <c r="K554">
        <v>1.104266</v>
      </c>
      <c r="L554">
        <v>367.7593</v>
      </c>
      <c r="M554">
        <v>0.99985559999999996</v>
      </c>
      <c r="N554">
        <v>0</v>
      </c>
      <c r="O554">
        <v>-9.1213709999999996E-3</v>
      </c>
      <c r="P554">
        <v>0.9992704</v>
      </c>
      <c r="Q554">
        <v>4.2480369999999999E-4</v>
      </c>
      <c r="R554">
        <v>3.8189130000000002E-2</v>
      </c>
      <c r="S554">
        <v>3.01116899999999</v>
      </c>
      <c r="T554">
        <v>-0.208817999999999</v>
      </c>
      <c r="U554">
        <v>-0.249755899999999</v>
      </c>
      <c r="V554">
        <v>-4.7293559999999998E-2</v>
      </c>
      <c r="W554">
        <v>1.4775999999999999E-2</v>
      </c>
      <c r="X554">
        <v>0.99877169999999904</v>
      </c>
      <c r="Y554">
        <v>7.3411459999999998E-2</v>
      </c>
      <c r="Z554">
        <v>-1.907359E-3</v>
      </c>
      <c r="AA554">
        <v>0.99729990000000002</v>
      </c>
      <c r="AB554">
        <v>31</v>
      </c>
      <c r="AC554">
        <v>0.524299999999982</v>
      </c>
      <c r="AD554">
        <v>-5.1968E-2</v>
      </c>
      <c r="AE554">
        <v>-6.0200000000008899E-2</v>
      </c>
      <c r="AF554">
        <v>5.4882489396427002E-2</v>
      </c>
      <c r="AG554">
        <v>-5.1968E-2</v>
      </c>
      <c r="AH554">
        <v>0.519787125299915</v>
      </c>
      <c r="AI554">
        <v>95.678068693848303</v>
      </c>
      <c r="AJ554">
        <v>83.972673064400595</v>
      </c>
      <c r="AK554">
        <v>0.52525366852017197</v>
      </c>
    </row>
    <row r="555" spans="1:37" x14ac:dyDescent="0.2">
      <c r="A555" t="str">
        <f>"20200111153621009"</f>
        <v>20200111153621009</v>
      </c>
      <c r="B555" t="str">
        <f>"1578728181003382"</f>
        <v>1578728181003382</v>
      </c>
      <c r="C555" t="s">
        <v>37</v>
      </c>
      <c r="D555">
        <v>6.1142279999999998</v>
      </c>
      <c r="E555">
        <v>0.56165619999999905</v>
      </c>
      <c r="F555" t="s">
        <v>38</v>
      </c>
      <c r="G555">
        <v>-324.7296</v>
      </c>
      <c r="H555">
        <v>1.051121</v>
      </c>
      <c r="I555">
        <v>367.69380000000001</v>
      </c>
      <c r="J555">
        <v>-325.33620000000002</v>
      </c>
      <c r="K555">
        <v>1.1042609999999999</v>
      </c>
      <c r="L555">
        <v>367.75740000000002</v>
      </c>
      <c r="M555">
        <v>0.99985369999999996</v>
      </c>
      <c r="N555">
        <v>0</v>
      </c>
      <c r="O555">
        <v>-9.3305699999999998E-3</v>
      </c>
      <c r="P555">
        <v>0.99925839999999999</v>
      </c>
      <c r="Q555">
        <v>1.4719119999999999E-3</v>
      </c>
      <c r="R555">
        <v>3.8477650000000002E-2</v>
      </c>
      <c r="S555">
        <v>3.0117799999999999</v>
      </c>
      <c r="T555">
        <v>-0.20218</v>
      </c>
      <c r="U555">
        <v>-0.24819949999999999</v>
      </c>
      <c r="V555">
        <v>-4.7789520000000002E-2</v>
      </c>
      <c r="W555">
        <v>1.5822530000000001E-2</v>
      </c>
      <c r="X555">
        <v>0.99873210000000001</v>
      </c>
      <c r="Y555">
        <v>7.2685959999999994E-2</v>
      </c>
      <c r="Z555">
        <v>-1.8082459999999999E-3</v>
      </c>
      <c r="AA555">
        <v>0.9973533</v>
      </c>
      <c r="AB555">
        <v>31</v>
      </c>
      <c r="AC555">
        <v>0.60660000000001402</v>
      </c>
      <c r="AD555">
        <v>-5.3140000000000097E-2</v>
      </c>
      <c r="AE555">
        <v>-6.3600000000008095E-2</v>
      </c>
      <c r="AF555">
        <v>5.7500249840025199E-2</v>
      </c>
      <c r="AG555">
        <v>-5.3140000000000097E-2</v>
      </c>
      <c r="AH555">
        <v>0.60259288395173405</v>
      </c>
      <c r="AI555">
        <v>95.016952936779603</v>
      </c>
      <c r="AJ555">
        <v>84.549260603776503</v>
      </c>
      <c r="AK555">
        <v>0.60765806348713303</v>
      </c>
    </row>
    <row r="556" spans="1:37" x14ac:dyDescent="0.2">
      <c r="A556" t="str">
        <f>"20200111153621020"</f>
        <v>20200111153621020</v>
      </c>
      <c r="B556" t="str">
        <f>"1578728181013143"</f>
        <v>1578728181013143</v>
      </c>
      <c r="C556" t="s">
        <v>37</v>
      </c>
      <c r="D556">
        <v>6.0833360000000001</v>
      </c>
      <c r="E556">
        <v>0.56176910000000002</v>
      </c>
      <c r="F556" t="s">
        <v>38</v>
      </c>
      <c r="G556">
        <v>-324.45510000000002</v>
      </c>
      <c r="H556">
        <v>1.0485879999999901</v>
      </c>
      <c r="I556">
        <v>367.6465</v>
      </c>
      <c r="J556">
        <v>-325.15699999999998</v>
      </c>
      <c r="K556">
        <v>1.1042559999999999</v>
      </c>
      <c r="L556">
        <v>367.75549999999998</v>
      </c>
      <c r="M556">
        <v>0.99985179999999996</v>
      </c>
      <c r="N556">
        <v>0</v>
      </c>
      <c r="O556">
        <v>-9.5391650000000005E-3</v>
      </c>
      <c r="P556">
        <v>0.99925370000000002</v>
      </c>
      <c r="Q556">
        <v>2.9076229999999998E-3</v>
      </c>
      <c r="R556">
        <v>3.8519520000000002E-2</v>
      </c>
      <c r="S556">
        <v>3.01709</v>
      </c>
      <c r="T556">
        <v>-0.1907846</v>
      </c>
      <c r="U556">
        <v>-0.3789978</v>
      </c>
      <c r="V556">
        <v>-4.8038400000000002E-2</v>
      </c>
      <c r="W556">
        <v>1.725761E-2</v>
      </c>
      <c r="X556">
        <v>0.99869640000000004</v>
      </c>
      <c r="Y556">
        <v>0.1149588</v>
      </c>
      <c r="Z556">
        <v>-3.0166759999999998E-3</v>
      </c>
      <c r="AA556">
        <v>0.99336569999999902</v>
      </c>
      <c r="AB556">
        <v>31</v>
      </c>
      <c r="AC556">
        <v>0.701899999999966</v>
      </c>
      <c r="AD556">
        <v>-5.5668000000000002E-2</v>
      </c>
      <c r="AE556">
        <v>-0.10899999999998</v>
      </c>
      <c r="AF556">
        <v>0.10167432563803699</v>
      </c>
      <c r="AG556">
        <v>-5.5668000000000002E-2</v>
      </c>
      <c r="AH556">
        <v>0.69861700956867501</v>
      </c>
      <c r="AI556">
        <v>94.5085829662912</v>
      </c>
      <c r="AJ556">
        <v>81.719504750723004</v>
      </c>
      <c r="AK556">
        <v>0.70816828563317302</v>
      </c>
    </row>
    <row r="557" spans="1:37" x14ac:dyDescent="0.2">
      <c r="A557" t="str">
        <f>"20200111153621032"</f>
        <v>20200111153621032</v>
      </c>
      <c r="B557" t="str">
        <f>"1578728181022903"</f>
        <v>1578728181022903</v>
      </c>
      <c r="C557" t="s">
        <v>37</v>
      </c>
      <c r="D557">
        <v>6.0876720000000004</v>
      </c>
      <c r="E557">
        <v>0.56171070000000001</v>
      </c>
      <c r="F557" t="s">
        <v>38</v>
      </c>
      <c r="G557">
        <v>-324.18259999999998</v>
      </c>
      <c r="H557">
        <v>1.044233</v>
      </c>
      <c r="I557">
        <v>367.63249999999999</v>
      </c>
      <c r="J557">
        <v>-324.99189999999999</v>
      </c>
      <c r="K557">
        <v>1.1042559999999999</v>
      </c>
      <c r="L557">
        <v>367.75380000000001</v>
      </c>
      <c r="M557">
        <v>0.99984980000000001</v>
      </c>
      <c r="N557">
        <v>0</v>
      </c>
      <c r="O557">
        <v>-9.7422440000000006E-3</v>
      </c>
      <c r="P557">
        <v>0.999243199999999</v>
      </c>
      <c r="Q557">
        <v>4.5834170000000002E-3</v>
      </c>
      <c r="R557">
        <v>3.8627479999999999E-2</v>
      </c>
      <c r="S557">
        <v>3.017395</v>
      </c>
      <c r="T557">
        <v>-0.186027</v>
      </c>
      <c r="U557">
        <v>-0.37991329999999901</v>
      </c>
      <c r="V557">
        <v>-4.8347429999999997E-2</v>
      </c>
      <c r="W557">
        <v>1.893295E-2</v>
      </c>
      <c r="X557">
        <v>0.99865110000000001</v>
      </c>
      <c r="Y557">
        <v>0.1150519</v>
      </c>
      <c r="Z557">
        <v>-2.9316400000000001E-3</v>
      </c>
      <c r="AA557">
        <v>0.99335519999999999</v>
      </c>
      <c r="AB557">
        <v>31</v>
      </c>
      <c r="AC557">
        <v>0.80930000000000701</v>
      </c>
      <c r="AD557">
        <v>-6.0022999999999903E-2</v>
      </c>
      <c r="AE557">
        <v>-0.121300000000019</v>
      </c>
      <c r="AF557">
        <v>0.112802178424162</v>
      </c>
      <c r="AG557">
        <v>-6.0022999999999903E-2</v>
      </c>
      <c r="AH557">
        <v>0.80610672979272102</v>
      </c>
      <c r="AI557">
        <v>94.217464251151497</v>
      </c>
      <c r="AJ557">
        <v>82.034067843359793</v>
      </c>
      <c r="AK557">
        <v>0.81617103097534105</v>
      </c>
    </row>
    <row r="558" spans="1:37" x14ac:dyDescent="0.2">
      <c r="A558" t="str">
        <f>"20200111153621045"</f>
        <v>20200111153621045</v>
      </c>
      <c r="B558" t="str">
        <f>"1578728181033639"</f>
        <v>1578728181033639</v>
      </c>
      <c r="C558" t="s">
        <v>37</v>
      </c>
      <c r="D558">
        <v>6.1061940000000003</v>
      </c>
      <c r="E558">
        <v>0.56140769999999995</v>
      </c>
      <c r="F558" t="s">
        <v>40</v>
      </c>
      <c r="G558">
        <v>-305.57240000000002</v>
      </c>
      <c r="H558">
        <v>-0.05</v>
      </c>
      <c r="I558">
        <v>365.31199999999899</v>
      </c>
      <c r="J558">
        <v>-324.83350000000002</v>
      </c>
      <c r="K558">
        <v>1.1042559999999999</v>
      </c>
      <c r="L558">
        <v>367.75199999999899</v>
      </c>
      <c r="M558">
        <v>0.99984799999999996</v>
      </c>
      <c r="N558">
        <v>0</v>
      </c>
      <c r="O558">
        <v>-9.9414840000000004E-3</v>
      </c>
      <c r="P558">
        <v>0.99921439999999995</v>
      </c>
      <c r="Q558">
        <v>6.2583509999999997E-3</v>
      </c>
      <c r="R558">
        <v>3.91378E-2</v>
      </c>
      <c r="S558">
        <v>3.0177610000000001</v>
      </c>
      <c r="T558">
        <v>-0.17937049999999999</v>
      </c>
      <c r="U558">
        <v>-0.379455599999999</v>
      </c>
      <c r="V558">
        <v>-4.9054830000000001E-2</v>
      </c>
      <c r="W558">
        <v>2.060727E-2</v>
      </c>
      <c r="X558">
        <v>0.99858349999999996</v>
      </c>
      <c r="Y558">
        <v>0.114705399999999</v>
      </c>
      <c r="Z558">
        <v>-2.8045819999999999E-3</v>
      </c>
      <c r="AA558">
        <v>0.99339560000000005</v>
      </c>
      <c r="AB558">
        <v>31</v>
      </c>
      <c r="AC558">
        <v>19.261099999999999</v>
      </c>
      <c r="AD558">
        <v>-1.1542559999999999</v>
      </c>
      <c r="AE558">
        <v>-2.4399999999999902</v>
      </c>
      <c r="AF558">
        <v>2.2404569403405099</v>
      </c>
      <c r="AG558">
        <v>-1.1542559999999999</v>
      </c>
      <c r="AH558">
        <v>19.216487007586501</v>
      </c>
      <c r="AI558">
        <v>93.414321457255397</v>
      </c>
      <c r="AJ558">
        <v>83.349888914337498</v>
      </c>
      <c r="AK558">
        <v>19.381055882685999</v>
      </c>
    </row>
    <row r="559" spans="1:37" x14ac:dyDescent="0.2">
      <c r="A559" t="str">
        <f>"20200111153621062"</f>
        <v>20200111153621062</v>
      </c>
      <c r="B559" t="str">
        <f>"1578728181053158"</f>
        <v>1578728181053158</v>
      </c>
      <c r="C559" t="s">
        <v>37</v>
      </c>
      <c r="D559">
        <v>6.1612599999999897</v>
      </c>
      <c r="E559">
        <v>0.56100680000000003</v>
      </c>
      <c r="F559" t="s">
        <v>40</v>
      </c>
      <c r="G559">
        <v>-304.78609999999998</v>
      </c>
      <c r="H559">
        <v>-0.05</v>
      </c>
      <c r="I559">
        <v>365.25549999999998</v>
      </c>
      <c r="J559">
        <v>-324.58550000000002</v>
      </c>
      <c r="K559">
        <v>1.104263</v>
      </c>
      <c r="L559">
        <v>367.74930000000001</v>
      </c>
      <c r="M559">
        <v>0.99984470000000003</v>
      </c>
      <c r="N559">
        <v>0</v>
      </c>
      <c r="O559">
        <v>-1.026236E-2</v>
      </c>
      <c r="P559">
        <v>0.99915699999999996</v>
      </c>
      <c r="Q559">
        <v>9.6551199999999997E-3</v>
      </c>
      <c r="R559">
        <v>3.99044E-2</v>
      </c>
      <c r="S559">
        <v>3.0181580000000001</v>
      </c>
      <c r="T559">
        <v>-0.1737745</v>
      </c>
      <c r="U559">
        <v>-0.37585449999999998</v>
      </c>
      <c r="V559">
        <v>-5.0138090000000003E-2</v>
      </c>
      <c r="W559">
        <v>2.400246E-2</v>
      </c>
      <c r="X559">
        <v>0.99845390000000001</v>
      </c>
      <c r="Y559">
        <v>0.1132175</v>
      </c>
      <c r="Z559">
        <v>-2.656055E-3</v>
      </c>
      <c r="AA559">
        <v>0.99356669999999903</v>
      </c>
      <c r="AB559">
        <v>31</v>
      </c>
      <c r="AC559">
        <v>19.799399999999999</v>
      </c>
      <c r="AD559">
        <v>-1.15426299999999</v>
      </c>
      <c r="AE559">
        <v>-2.4938000000000198</v>
      </c>
      <c r="AF559">
        <v>2.2828218888930398</v>
      </c>
      <c r="AG559">
        <v>-1.15426299999999</v>
      </c>
      <c r="AH559">
        <v>19.7578508347157</v>
      </c>
      <c r="AI559">
        <v>93.321400308409906</v>
      </c>
      <c r="AJ559">
        <v>83.409270152325703</v>
      </c>
      <c r="AK559">
        <v>19.922757551515101</v>
      </c>
    </row>
    <row r="560" spans="1:37" x14ac:dyDescent="0.2">
      <c r="A560" t="str">
        <f>"20200111153621075"</f>
        <v>20200111153621075</v>
      </c>
      <c r="B560" t="str">
        <f>"1578728181062918"</f>
        <v>1578728181062918</v>
      </c>
      <c r="C560" t="s">
        <v>37</v>
      </c>
      <c r="D560">
        <v>6.1477319999999898</v>
      </c>
      <c r="E560">
        <v>0.5609248</v>
      </c>
      <c r="F560" t="s">
        <v>40</v>
      </c>
      <c r="G560">
        <v>-303.34179999999998</v>
      </c>
      <c r="H560">
        <v>-0.05</v>
      </c>
      <c r="I560">
        <v>365.142</v>
      </c>
      <c r="J560">
        <v>-324.41239999999999</v>
      </c>
      <c r="K560">
        <v>1.1042639999999999</v>
      </c>
      <c r="L560">
        <v>367.7473</v>
      </c>
      <c r="M560">
        <v>0.99984229999999996</v>
      </c>
      <c r="N560">
        <v>0</v>
      </c>
      <c r="O560">
        <v>-1.04923E-2</v>
      </c>
      <c r="P560">
        <v>0.99911559999999899</v>
      </c>
      <c r="Q560">
        <v>1.126632E-2</v>
      </c>
      <c r="R560">
        <v>4.0508519999999999E-2</v>
      </c>
      <c r="S560">
        <v>3.01892099999999</v>
      </c>
      <c r="T560">
        <v>-0.16403110000000001</v>
      </c>
      <c r="U560">
        <v>-0.37051390000000001</v>
      </c>
      <c r="V560">
        <v>-5.0969210000000001E-2</v>
      </c>
      <c r="W560">
        <v>2.5612240000000001E-2</v>
      </c>
      <c r="X560">
        <v>0.99837180000000003</v>
      </c>
      <c r="Y560">
        <v>0.11124829999999999</v>
      </c>
      <c r="Z560">
        <v>-2.4413029999999902E-3</v>
      </c>
      <c r="AA560">
        <v>0.993789699999999</v>
      </c>
      <c r="AB560">
        <v>31</v>
      </c>
      <c r="AC560">
        <v>21.070599999999999</v>
      </c>
      <c r="AD560">
        <v>-1.154264</v>
      </c>
      <c r="AE560">
        <v>-2.6053000000000002</v>
      </c>
      <c r="AF560">
        <v>2.37702891465453</v>
      </c>
      <c r="AG560">
        <v>-1.154264</v>
      </c>
      <c r="AH560">
        <v>21.034605365520498</v>
      </c>
      <c r="AI560">
        <v>93.121102806717502</v>
      </c>
      <c r="AJ560">
        <v>83.552606264355802</v>
      </c>
      <c r="AK560">
        <v>21.199934309473299</v>
      </c>
    </row>
    <row r="561" spans="1:37" x14ac:dyDescent="0.2">
      <c r="A561" t="str">
        <f>"20200111153621088"</f>
        <v>20200111153621088</v>
      </c>
      <c r="B561" t="str">
        <f>"1578728181083415"</f>
        <v>1578728181083415</v>
      </c>
      <c r="C561" t="s">
        <v>37</v>
      </c>
      <c r="D561">
        <v>6.1187399999999998</v>
      </c>
      <c r="E561">
        <v>0.56057579999999996</v>
      </c>
      <c r="F561" t="s">
        <v>40</v>
      </c>
      <c r="G561">
        <v>-302.63130000000001</v>
      </c>
      <c r="H561">
        <v>-0.05</v>
      </c>
      <c r="I561">
        <v>365.09089999999998</v>
      </c>
      <c r="J561">
        <v>-324.24430000000001</v>
      </c>
      <c r="K561">
        <v>1.1042650000000001</v>
      </c>
      <c r="L561">
        <v>367.74529999999999</v>
      </c>
      <c r="M561">
        <v>0.999839899999999</v>
      </c>
      <c r="N561">
        <v>0</v>
      </c>
      <c r="O561">
        <v>-1.0718159999999999E-2</v>
      </c>
      <c r="P561">
        <v>0.99910529999999997</v>
      </c>
      <c r="Q561">
        <v>1.27733999999999E-2</v>
      </c>
      <c r="R561">
        <v>4.0314059999999999E-2</v>
      </c>
      <c r="S561">
        <v>3.0193789999999998</v>
      </c>
      <c r="T561">
        <v>-0.1600087</v>
      </c>
      <c r="U561">
        <v>-0.36822509999999897</v>
      </c>
      <c r="V561">
        <v>-5.0998599999999998E-2</v>
      </c>
      <c r="W561">
        <v>2.7118050000000001E-2</v>
      </c>
      <c r="X561">
        <v>0.99833050000000001</v>
      </c>
      <c r="Y561">
        <v>0.110272</v>
      </c>
      <c r="Z561">
        <v>-2.3436059999999998E-3</v>
      </c>
      <c r="AA561">
        <v>0.99389869999999902</v>
      </c>
      <c r="AB561">
        <v>31</v>
      </c>
      <c r="AC561">
        <v>21.613</v>
      </c>
      <c r="AD561">
        <v>-1.1542650000000001</v>
      </c>
      <c r="AE561">
        <v>-2.6543999999999999</v>
      </c>
      <c r="AF561">
        <v>2.4157841934754001</v>
      </c>
      <c r="AG561">
        <v>-1.1542650000000001</v>
      </c>
      <c r="AH561">
        <v>21.579576654842398</v>
      </c>
      <c r="AI561">
        <v>93.042791856084605</v>
      </c>
      <c r="AJ561">
        <v>83.612463571579198</v>
      </c>
      <c r="AK561">
        <v>21.745033215929801</v>
      </c>
    </row>
    <row r="562" spans="1:37" x14ac:dyDescent="0.2">
      <c r="A562" t="str">
        <f>"20200111153621107"</f>
        <v>20200111153621107</v>
      </c>
      <c r="B562" t="str">
        <f>"1578728181102935"</f>
        <v>1578728181102935</v>
      </c>
      <c r="C562" t="s">
        <v>37</v>
      </c>
      <c r="D562">
        <v>6.157038</v>
      </c>
      <c r="E562">
        <v>0.56040419999999902</v>
      </c>
      <c r="F562" t="s">
        <v>40</v>
      </c>
      <c r="G562">
        <v>-302.18779999999998</v>
      </c>
      <c r="H562">
        <v>-0.05</v>
      </c>
      <c r="I562">
        <v>365.07130000000001</v>
      </c>
      <c r="J562">
        <v>-323.97539999999998</v>
      </c>
      <c r="K562">
        <v>1.1042700000000001</v>
      </c>
      <c r="L562">
        <v>367.741999999999</v>
      </c>
      <c r="M562">
        <v>0.99983609999999901</v>
      </c>
      <c r="N562">
        <v>0</v>
      </c>
      <c r="O562">
        <v>-1.1083239999999999E-2</v>
      </c>
      <c r="P562">
        <v>0.99907649999999903</v>
      </c>
      <c r="Q562">
        <v>1.525934E-2</v>
      </c>
      <c r="R562">
        <v>4.0169150000000001E-2</v>
      </c>
      <c r="S562">
        <v>3.0194700000000001</v>
      </c>
      <c r="T562">
        <v>-0.15801570000000001</v>
      </c>
      <c r="U562">
        <v>-0.3660583</v>
      </c>
      <c r="V562">
        <v>-5.1215879999999998E-2</v>
      </c>
      <c r="W562">
        <v>2.9600890000000001E-2</v>
      </c>
      <c r="X562">
        <v>0.99824880000000005</v>
      </c>
      <c r="Y562">
        <v>0.109208</v>
      </c>
      <c r="Z562">
        <v>-2.267743E-3</v>
      </c>
      <c r="AA562">
        <v>0.99401629999999996</v>
      </c>
      <c r="AB562">
        <v>31</v>
      </c>
      <c r="AC562">
        <v>21.787600000000001</v>
      </c>
      <c r="AD562">
        <v>-1.1542699999999999</v>
      </c>
      <c r="AE562">
        <v>-2.6706999999999499</v>
      </c>
      <c r="AF562">
        <v>2.4223358548477001</v>
      </c>
      <c r="AG562">
        <v>-1.1542699999999999</v>
      </c>
      <c r="AH562">
        <v>21.7557067121373</v>
      </c>
      <c r="AI562">
        <v>93.018417818533905</v>
      </c>
      <c r="AJ562">
        <v>83.646709848159404</v>
      </c>
      <c r="AK562">
        <v>21.920557127297599</v>
      </c>
    </row>
    <row r="563" spans="1:37" x14ac:dyDescent="0.2">
      <c r="A563" t="str">
        <f>"20200111153621122"</f>
        <v>20200111153621122</v>
      </c>
      <c r="B563" t="str">
        <f>"1578728181113671"</f>
        <v>1578728181113671</v>
      </c>
      <c r="C563" t="s">
        <v>37</v>
      </c>
      <c r="D563">
        <v>6.1274839999999999</v>
      </c>
      <c r="E563">
        <v>0.56033489999999997</v>
      </c>
      <c r="F563" t="s">
        <v>40</v>
      </c>
      <c r="G563">
        <v>-301.4753</v>
      </c>
      <c r="H563">
        <v>-0.05</v>
      </c>
      <c r="I563">
        <v>365.02089999999998</v>
      </c>
      <c r="J563">
        <v>-323.78320000000002</v>
      </c>
      <c r="K563">
        <v>1.104274</v>
      </c>
      <c r="L563">
        <v>367.73970000000003</v>
      </c>
      <c r="M563">
        <v>0.99983319999999998</v>
      </c>
      <c r="N563">
        <v>0</v>
      </c>
      <c r="O563">
        <v>-1.134576E-2</v>
      </c>
      <c r="P563">
        <v>0.99908999999999903</v>
      </c>
      <c r="Q563">
        <v>1.541089E-2</v>
      </c>
      <c r="R563">
        <v>3.9773629999999997E-2</v>
      </c>
      <c r="S563">
        <v>3.0198360000000002</v>
      </c>
      <c r="T563">
        <v>-0.15491920000000001</v>
      </c>
      <c r="U563">
        <v>-0.36520390000000003</v>
      </c>
      <c r="V563">
        <v>-5.1082370000000002E-2</v>
      </c>
      <c r="W563">
        <v>2.9750550000000001E-2</v>
      </c>
      <c r="X563">
        <v>0.99825119999999901</v>
      </c>
      <c r="Y563">
        <v>0.1086616</v>
      </c>
      <c r="Z563">
        <v>-2.195771E-3</v>
      </c>
      <c r="AA563">
        <v>0.99407639999999997</v>
      </c>
      <c r="AB563">
        <v>31</v>
      </c>
      <c r="AC563">
        <v>22.3079</v>
      </c>
      <c r="AD563">
        <v>-1.154274</v>
      </c>
      <c r="AE563">
        <v>-2.7188000000000399</v>
      </c>
      <c r="AF563">
        <v>2.45901175693841</v>
      </c>
      <c r="AG563">
        <v>-1.154274</v>
      </c>
      <c r="AH563">
        <v>22.278540074925498</v>
      </c>
      <c r="AI563">
        <v>92.948029676839496</v>
      </c>
      <c r="AJ563">
        <v>83.701427859439306</v>
      </c>
      <c r="AK563">
        <v>22.443538828756498</v>
      </c>
    </row>
    <row r="564" spans="1:37" x14ac:dyDescent="0.2">
      <c r="A564" t="str">
        <f>"20200111153621136"</f>
        <v>20200111153621136</v>
      </c>
      <c r="B564" t="str">
        <f>"1578728181123432"</f>
        <v>1578728181123432</v>
      </c>
      <c r="C564" t="s">
        <v>37</v>
      </c>
      <c r="D564">
        <v>6.1662309999999998</v>
      </c>
      <c r="E564">
        <v>0.56013329999999995</v>
      </c>
      <c r="F564" t="s">
        <v>40</v>
      </c>
      <c r="G564">
        <v>-301.54739999999998</v>
      </c>
      <c r="H564">
        <v>-0.05</v>
      </c>
      <c r="I564">
        <v>365.0444</v>
      </c>
      <c r="J564">
        <v>-323.57650000000001</v>
      </c>
      <c r="K564">
        <v>1.1042749999999999</v>
      </c>
      <c r="L564">
        <v>367.736999999999</v>
      </c>
      <c r="M564">
        <v>0.99982990000000005</v>
      </c>
      <c r="N564">
        <v>0</v>
      </c>
      <c r="O564">
        <v>-1.162876E-2</v>
      </c>
      <c r="P564">
        <v>0.999079099999999</v>
      </c>
      <c r="Q564">
        <v>1.6097179999999999E-2</v>
      </c>
      <c r="R564">
        <v>3.9772719999999998E-2</v>
      </c>
      <c r="S564">
        <v>3.0197449999999999</v>
      </c>
      <c r="T564">
        <v>-0.15675649999999999</v>
      </c>
      <c r="U564">
        <v>-0.36602779999999902</v>
      </c>
      <c r="V564">
        <v>-5.1363099999999898E-2</v>
      </c>
      <c r="W564">
        <v>3.043498E-2</v>
      </c>
      <c r="X564">
        <v>0.9982162</v>
      </c>
      <c r="Y564">
        <v>0.1086485</v>
      </c>
      <c r="Z564">
        <v>-2.206848E-3</v>
      </c>
      <c r="AA564">
        <v>0.99407780000000001</v>
      </c>
      <c r="AB564">
        <v>31</v>
      </c>
      <c r="AC564">
        <v>22.0291</v>
      </c>
      <c r="AD564">
        <v>-1.1542749999999999</v>
      </c>
      <c r="AE564">
        <v>-2.6925999999999699</v>
      </c>
      <c r="AF564">
        <v>2.4296480658797601</v>
      </c>
      <c r="AG564">
        <v>-1.1542749999999999</v>
      </c>
      <c r="AH564">
        <v>21.999414171480499</v>
      </c>
      <c r="AI564">
        <v>92.985347911624402</v>
      </c>
      <c r="AJ564">
        <v>83.697709650872298</v>
      </c>
      <c r="AK564">
        <v>22.163252567888001</v>
      </c>
    </row>
    <row r="565" spans="1:37" x14ac:dyDescent="0.2">
      <c r="A565" t="str">
        <f>"20200111153621152"</f>
        <v>20200111153621152</v>
      </c>
      <c r="B565" t="str">
        <f>"1578728181142951"</f>
        <v>1578728181142951</v>
      </c>
      <c r="C565" t="s">
        <v>37</v>
      </c>
      <c r="D565">
        <v>6.0787469999999999</v>
      </c>
      <c r="E565">
        <v>0.56022329999999998</v>
      </c>
      <c r="F565" t="s">
        <v>40</v>
      </c>
      <c r="G565">
        <v>-301.32010000000002</v>
      </c>
      <c r="H565">
        <v>-0.05</v>
      </c>
      <c r="I565">
        <v>365.04969999999997</v>
      </c>
      <c r="J565">
        <v>-323.35980000000001</v>
      </c>
      <c r="K565">
        <v>1.104276</v>
      </c>
      <c r="L565">
        <v>367.73419999999999</v>
      </c>
      <c r="M565">
        <v>0.99982660000000001</v>
      </c>
      <c r="N565">
        <v>0</v>
      </c>
      <c r="O565">
        <v>-1.192463E-2</v>
      </c>
      <c r="P565">
        <v>0.99907380000000001</v>
      </c>
      <c r="Q565">
        <v>1.6084009999999999E-2</v>
      </c>
      <c r="R565">
        <v>3.9915630000000001E-2</v>
      </c>
      <c r="S565">
        <v>3.019806</v>
      </c>
      <c r="T565">
        <v>-0.156615</v>
      </c>
      <c r="U565">
        <v>-0.364624</v>
      </c>
      <c r="V565">
        <v>-5.1801510000000002E-2</v>
      </c>
      <c r="W565">
        <v>3.0419729999999999E-2</v>
      </c>
      <c r="X565">
        <v>0.99819400000000003</v>
      </c>
      <c r="Y565">
        <v>0.1078981</v>
      </c>
      <c r="Z565">
        <v>-2.170225E-3</v>
      </c>
      <c r="AA565">
        <v>0.99415959999999903</v>
      </c>
      <c r="AB565">
        <v>31</v>
      </c>
      <c r="AC565">
        <v>22.0396999999999</v>
      </c>
      <c r="AD565">
        <v>-1.1542760000000001</v>
      </c>
      <c r="AE565">
        <v>-2.6845000000000101</v>
      </c>
      <c r="AF565">
        <v>2.4149398633983901</v>
      </c>
      <c r="AG565">
        <v>-1.1542760000000001</v>
      </c>
      <c r="AH565">
        <v>22.0106574194104</v>
      </c>
      <c r="AI565">
        <v>92.9840630546895</v>
      </c>
      <c r="AJ565">
        <v>83.738731695649506</v>
      </c>
      <c r="AK565">
        <v>22.172806039440601</v>
      </c>
    </row>
    <row r="566" spans="1:37" x14ac:dyDescent="0.2">
      <c r="A566" t="str">
        <f>"20200111153621165"</f>
        <v>20200111153621165</v>
      </c>
      <c r="B566" t="str">
        <f>"1578728181153687"</f>
        <v>1578728181153687</v>
      </c>
      <c r="C566" t="s">
        <v>37</v>
      </c>
      <c r="D566">
        <v>6.2453469999999998</v>
      </c>
      <c r="E566">
        <v>0.56022329999999998</v>
      </c>
      <c r="F566" t="s">
        <v>40</v>
      </c>
      <c r="G566">
        <v>-300.8664</v>
      </c>
      <c r="H566">
        <v>-0.05</v>
      </c>
      <c r="I566">
        <v>365.01199999999898</v>
      </c>
      <c r="J566">
        <v>-323.17590000000001</v>
      </c>
      <c r="K566">
        <v>1.1042730000000001</v>
      </c>
      <c r="L566">
        <v>367.73169999999999</v>
      </c>
      <c r="M566">
        <v>0.99982349999999998</v>
      </c>
      <c r="N566">
        <v>0</v>
      </c>
      <c r="O566">
        <v>-1.217507E-2</v>
      </c>
      <c r="P566">
        <v>0.99908850000000005</v>
      </c>
      <c r="Q566">
        <v>1.5960740000000001E-2</v>
      </c>
      <c r="R566">
        <v>3.9592170000000003E-2</v>
      </c>
      <c r="S566">
        <v>3.0198669999999899</v>
      </c>
      <c r="T566">
        <v>-0.1549682</v>
      </c>
      <c r="U566">
        <v>-0.36547849999999998</v>
      </c>
      <c r="V566">
        <v>-5.1728389999999999E-2</v>
      </c>
      <c r="W566">
        <v>3.0294850000000002E-2</v>
      </c>
      <c r="X566">
        <v>0.99820159999999902</v>
      </c>
      <c r="Y566">
        <v>0.10792690000000001</v>
      </c>
      <c r="Z566">
        <v>-2.1352979999999999E-3</v>
      </c>
      <c r="AA566">
        <v>0.9941565</v>
      </c>
      <c r="AB566">
        <v>31</v>
      </c>
      <c r="AC566">
        <v>22.3095</v>
      </c>
      <c r="AD566">
        <v>-1.1542730000000001</v>
      </c>
      <c r="AE566">
        <v>-2.71970000000004</v>
      </c>
      <c r="AF566">
        <v>2.4414110563760398</v>
      </c>
      <c r="AG566">
        <v>-1.1542730000000001</v>
      </c>
      <c r="AH566">
        <v>22.2821875998306</v>
      </c>
      <c r="AI566">
        <v>92.947803721317499</v>
      </c>
      <c r="AJ566">
        <v>83.747167854630405</v>
      </c>
      <c r="AK566">
        <v>22.445238210782399</v>
      </c>
    </row>
    <row r="567" spans="1:37" x14ac:dyDescent="0.2">
      <c r="A567" t="str">
        <f>"20200111153621179"</f>
        <v>20200111153621179</v>
      </c>
      <c r="B567" t="str">
        <f>"1578728181173207"</f>
        <v>1578728181173207</v>
      </c>
      <c r="C567" t="s">
        <v>37</v>
      </c>
      <c r="D567">
        <v>6.4543679999999997</v>
      </c>
      <c r="E567">
        <v>0.56173419999999996</v>
      </c>
      <c r="F567" t="s">
        <v>40</v>
      </c>
      <c r="G567">
        <v>-300.66879999999998</v>
      </c>
      <c r="H567">
        <v>-0.05</v>
      </c>
      <c r="I567">
        <v>364.99860000000001</v>
      </c>
      <c r="J567">
        <v>-322.99160000000001</v>
      </c>
      <c r="K567">
        <v>1.104274</v>
      </c>
      <c r="L567">
        <v>367.72930000000002</v>
      </c>
      <c r="M567">
        <v>0.9998205</v>
      </c>
      <c r="N567">
        <v>0</v>
      </c>
      <c r="O567">
        <v>-1.242539E-2</v>
      </c>
      <c r="P567">
        <v>0.99910599999999905</v>
      </c>
      <c r="Q567">
        <v>1.5556230000000001E-2</v>
      </c>
      <c r="R567">
        <v>3.9310129999999999E-2</v>
      </c>
      <c r="S567">
        <v>3.019714</v>
      </c>
      <c r="T567">
        <v>-0.15486539999999999</v>
      </c>
      <c r="U567">
        <v>-0.3666992</v>
      </c>
      <c r="V567">
        <v>-5.1697149999999997E-2</v>
      </c>
      <c r="W567">
        <v>2.9887819999999999E-2</v>
      </c>
      <c r="X567">
        <v>0.99821550000000003</v>
      </c>
      <c r="Y567">
        <v>0.1080803</v>
      </c>
      <c r="Z567">
        <v>-2.1250779999999999E-3</v>
      </c>
      <c r="AA567">
        <v>0.99413989999999997</v>
      </c>
      <c r="AB567">
        <v>31</v>
      </c>
      <c r="AC567">
        <v>22.322800000000001</v>
      </c>
      <c r="AD567">
        <v>-1.154274</v>
      </c>
      <c r="AE567">
        <v>-2.7307000000000099</v>
      </c>
      <c r="AF567">
        <v>2.44664601238062</v>
      </c>
      <c r="AG567">
        <v>-1.154274</v>
      </c>
      <c r="AH567">
        <v>22.2962741584935</v>
      </c>
      <c r="AI567">
        <v>92.945894405092702</v>
      </c>
      <c r="AJ567">
        <v>83.737794277990304</v>
      </c>
      <c r="AK567">
        <v>22.459792219156402</v>
      </c>
    </row>
    <row r="568" spans="1:37" x14ac:dyDescent="0.2">
      <c r="A568" t="str">
        <f>"20200111153621192"</f>
        <v>20200111153621192</v>
      </c>
      <c r="B568" t="str">
        <f>"1578728181182967"</f>
        <v>1578728181182967</v>
      </c>
      <c r="C568" t="s">
        <v>37</v>
      </c>
      <c r="D568">
        <v>6.5417670000000001</v>
      </c>
      <c r="E568">
        <v>0.58399959999999995</v>
      </c>
      <c r="F568" t="s">
        <v>40</v>
      </c>
      <c r="G568">
        <v>-299.69560000000001</v>
      </c>
      <c r="H568">
        <v>-0.05</v>
      </c>
      <c r="I568">
        <v>364.80279999999999</v>
      </c>
      <c r="J568">
        <v>-322.80790000000002</v>
      </c>
      <c r="K568">
        <v>1.1042719999999999</v>
      </c>
      <c r="L568">
        <v>367.72669999999999</v>
      </c>
      <c r="M568">
        <v>0.99981739999999997</v>
      </c>
      <c r="N568">
        <v>0</v>
      </c>
      <c r="O568">
        <v>-1.2674390000000001E-2</v>
      </c>
      <c r="P568">
        <v>0.99911919999999899</v>
      </c>
      <c r="Q568">
        <v>1.551928E-2</v>
      </c>
      <c r="R568">
        <v>3.8990940000000002E-2</v>
      </c>
      <c r="S568">
        <v>3.01992799999999</v>
      </c>
      <c r="T568">
        <v>-0.14963189999999901</v>
      </c>
      <c r="U568">
        <v>-0.37936399999999998</v>
      </c>
      <c r="V568">
        <v>-5.1626760000000001E-2</v>
      </c>
      <c r="W568">
        <v>2.9849690000000002E-2</v>
      </c>
      <c r="X568">
        <v>0.99822029999999995</v>
      </c>
      <c r="Y568">
        <v>0.11193399999999901</v>
      </c>
      <c r="Z568">
        <v>-2.1354500000000001E-3</v>
      </c>
      <c r="AA568">
        <v>0.99371339999999997</v>
      </c>
      <c r="AB568">
        <v>31</v>
      </c>
      <c r="AC568">
        <v>23.112300000000001</v>
      </c>
      <c r="AD568">
        <v>-1.154272</v>
      </c>
      <c r="AE568">
        <v>-2.9239000000000002</v>
      </c>
      <c r="AF568">
        <v>2.6242585283822901</v>
      </c>
      <c r="AG568">
        <v>-1.154272</v>
      </c>
      <c r="AH568">
        <v>23.090819870312099</v>
      </c>
      <c r="AI568">
        <v>92.843465303661702</v>
      </c>
      <c r="AJ568">
        <v>83.516187175778498</v>
      </c>
      <c r="AK568">
        <v>23.268112062584098</v>
      </c>
    </row>
    <row r="569" spans="1:37" x14ac:dyDescent="0.2">
      <c r="A569" t="str">
        <f>"20200111153621208"</f>
        <v>20200111153621208</v>
      </c>
      <c r="B569" t="str">
        <f>"1578728181203465"</f>
        <v>1578728181203465</v>
      </c>
      <c r="C569" t="s">
        <v>37</v>
      </c>
      <c r="D569">
        <v>6.3940830000000002</v>
      </c>
      <c r="E569">
        <v>0.58530609999999905</v>
      </c>
      <c r="F569" t="s">
        <v>38</v>
      </c>
      <c r="G569">
        <v>-322.02019999999999</v>
      </c>
      <c r="H569">
        <v>0.98484799999999995</v>
      </c>
      <c r="I569">
        <v>367.57909999999998</v>
      </c>
      <c r="J569">
        <v>-322.60210000000001</v>
      </c>
      <c r="K569">
        <v>1.1042809999999901</v>
      </c>
      <c r="L569">
        <v>367.72379999999998</v>
      </c>
      <c r="M569">
        <v>0.99981390000000003</v>
      </c>
      <c r="N569">
        <v>0</v>
      </c>
      <c r="O569">
        <v>-1.295283E-2</v>
      </c>
      <c r="P569">
        <v>0.99912849999999997</v>
      </c>
      <c r="Q569">
        <v>1.6133809999999998E-2</v>
      </c>
      <c r="R569">
        <v>3.8501489999999999E-2</v>
      </c>
      <c r="S569">
        <v>3.0318909999999999</v>
      </c>
      <c r="T569">
        <v>-0.45978340000000001</v>
      </c>
      <c r="U569">
        <v>-0.56689449999999997</v>
      </c>
      <c r="V569">
        <v>-5.1414939999999999E-2</v>
      </c>
      <c r="W569">
        <v>3.0461200000000001E-2</v>
      </c>
      <c r="X569">
        <v>0.99821269999999995</v>
      </c>
      <c r="Y569">
        <v>0.16931650000000001</v>
      </c>
      <c r="Z569">
        <v>-1.0721329999999999E-2</v>
      </c>
      <c r="AA569">
        <v>0.98550339999999903</v>
      </c>
      <c r="AB569">
        <v>31</v>
      </c>
      <c r="AC569">
        <v>0.58190000000001796</v>
      </c>
      <c r="AD569">
        <v>-0.119432999999999</v>
      </c>
      <c r="AE569">
        <v>-0.1447</v>
      </c>
      <c r="AF569">
        <v>0.13191632541654699</v>
      </c>
      <c r="AG569">
        <v>-0.119432999999999</v>
      </c>
      <c r="AH569">
        <v>0.56145120937204995</v>
      </c>
      <c r="AI569">
        <v>101.699602291053</v>
      </c>
      <c r="AJ569">
        <v>76.777838385731101</v>
      </c>
      <c r="AK569">
        <v>0.58897675582805598</v>
      </c>
    </row>
    <row r="570" spans="1:37" x14ac:dyDescent="0.2">
      <c r="A570" t="str">
        <f>"20200111153621220"</f>
        <v>20200111153621220</v>
      </c>
      <c r="B570" t="str">
        <f>"1578728181213222"</f>
        <v>1578728181213222</v>
      </c>
      <c r="C570" t="s">
        <v>37</v>
      </c>
      <c r="D570">
        <v>6.3873519999999999</v>
      </c>
      <c r="E570">
        <v>0.58541369999999904</v>
      </c>
      <c r="F570" t="s">
        <v>38</v>
      </c>
      <c r="G570">
        <v>-321.75139999999999</v>
      </c>
      <c r="H570">
        <v>0.97612239999999995</v>
      </c>
      <c r="I570">
        <v>367.56079999999997</v>
      </c>
      <c r="J570">
        <v>-322.43900000000002</v>
      </c>
      <c r="K570">
        <v>1.1042809999999901</v>
      </c>
      <c r="L570">
        <v>367.72149999999999</v>
      </c>
      <c r="M570">
        <v>0.99981109999999895</v>
      </c>
      <c r="N570">
        <v>0</v>
      </c>
      <c r="O570">
        <v>-1.317286E-2</v>
      </c>
      <c r="P570">
        <v>0.99913009999999902</v>
      </c>
      <c r="Q570">
        <v>1.644698E-2</v>
      </c>
      <c r="R570">
        <v>3.8327569999999998E-2</v>
      </c>
      <c r="S570">
        <v>3.032349</v>
      </c>
      <c r="T570">
        <v>-0.45700350000000001</v>
      </c>
      <c r="U570">
        <v>-0.5803528</v>
      </c>
      <c r="V570">
        <v>-5.1460619999999999E-2</v>
      </c>
      <c r="W570">
        <v>3.0772899999999999E-2</v>
      </c>
      <c r="X570">
        <v>0.9982008</v>
      </c>
      <c r="Y570">
        <v>0.1732765</v>
      </c>
      <c r="Z570">
        <v>-1.091281E-2</v>
      </c>
      <c r="AA570">
        <v>0.98481269999999999</v>
      </c>
      <c r="AB570">
        <v>31</v>
      </c>
      <c r="AC570">
        <v>0.68760000000003096</v>
      </c>
      <c r="AD570">
        <v>-0.12815859999999901</v>
      </c>
      <c r="AE570">
        <v>-0.16070000000001899</v>
      </c>
      <c r="AF570">
        <v>0.14679209687043199</v>
      </c>
      <c r="AG570">
        <v>-0.12815859999999901</v>
      </c>
      <c r="AH570">
        <v>0.66766436849726896</v>
      </c>
      <c r="AI570">
        <v>100.618164531996</v>
      </c>
      <c r="AJ570">
        <v>77.600281187042498</v>
      </c>
      <c r="AK570">
        <v>0.69552013300725901</v>
      </c>
    </row>
    <row r="571" spans="1:37" x14ac:dyDescent="0.2">
      <c r="A571" t="str">
        <f>"20200111153621232"</f>
        <v>20200111153621232</v>
      </c>
      <c r="B571" t="str">
        <f>"1578728181222984"</f>
        <v>1578728181222984</v>
      </c>
      <c r="C571" t="s">
        <v>37</v>
      </c>
      <c r="D571">
        <v>6.3748339999999999</v>
      </c>
      <c r="E571">
        <v>0.58515629999999996</v>
      </c>
      <c r="F571" t="s">
        <v>38</v>
      </c>
      <c r="G571">
        <v>-321.48559999999998</v>
      </c>
      <c r="H571">
        <v>0.96148690000000003</v>
      </c>
      <c r="I571">
        <v>367.53820000000002</v>
      </c>
      <c r="J571">
        <v>-322.26049999999998</v>
      </c>
      <c r="K571">
        <v>1.1042809999999901</v>
      </c>
      <c r="L571">
        <v>367.71890000000002</v>
      </c>
      <c r="M571">
        <v>0.99980789999999997</v>
      </c>
      <c r="N571">
        <v>0</v>
      </c>
      <c r="O571">
        <v>-1.341328E-2</v>
      </c>
      <c r="P571">
        <v>0.99911700000000003</v>
      </c>
      <c r="Q571">
        <v>1.7212129999999999E-2</v>
      </c>
      <c r="R571">
        <v>3.8332699999999997E-2</v>
      </c>
      <c r="S571">
        <v>3.0324399999999998</v>
      </c>
      <c r="T571">
        <v>-0.454242699999999</v>
      </c>
      <c r="U571">
        <v>-0.58203130000000003</v>
      </c>
      <c r="V571">
        <v>-5.1704999999999897E-2</v>
      </c>
      <c r="W571">
        <v>3.1535470000000003E-2</v>
      </c>
      <c r="X571">
        <v>0.99816439999999995</v>
      </c>
      <c r="Y571">
        <v>0.1735805</v>
      </c>
      <c r="Z571">
        <v>-1.08337E-2</v>
      </c>
      <c r="AA571">
        <v>0.98476010000000003</v>
      </c>
      <c r="AB571">
        <v>30</v>
      </c>
      <c r="AC571">
        <v>0.77490000000000203</v>
      </c>
      <c r="AD571">
        <v>-0.14279409999999901</v>
      </c>
      <c r="AE571">
        <v>-0.180700000000001</v>
      </c>
      <c r="AF571">
        <v>0.16497557394461601</v>
      </c>
      <c r="AG571">
        <v>-0.14279409999999901</v>
      </c>
      <c r="AH571">
        <v>0.75300330096804802</v>
      </c>
      <c r="AI571">
        <v>100.49446321335699</v>
      </c>
      <c r="AJ571">
        <v>77.642317221403104</v>
      </c>
      <c r="AK571">
        <v>0.78397772051375403</v>
      </c>
    </row>
    <row r="572" spans="1:37" x14ac:dyDescent="0.2">
      <c r="A572" t="str">
        <f>"20200111153621253"</f>
        <v>20200111153621253</v>
      </c>
      <c r="B572" t="str">
        <f>"1578728181243478"</f>
        <v>1578728181243478</v>
      </c>
      <c r="C572" t="s">
        <v>37</v>
      </c>
      <c r="D572">
        <v>6.3893959999999996</v>
      </c>
      <c r="E572">
        <v>0.58457329999999996</v>
      </c>
      <c r="F572" t="s">
        <v>38</v>
      </c>
      <c r="G572">
        <v>-321.47399999999999</v>
      </c>
      <c r="H572">
        <v>0.98685419999999902</v>
      </c>
      <c r="I572">
        <v>367.56819999999999</v>
      </c>
      <c r="J572">
        <v>-321.98059999999998</v>
      </c>
      <c r="K572">
        <v>1.1042860000000001</v>
      </c>
      <c r="L572">
        <v>367.71469999999999</v>
      </c>
      <c r="M572">
        <v>0.99980270000000004</v>
      </c>
      <c r="N572">
        <v>0</v>
      </c>
      <c r="O572">
        <v>-1.3790169999999999E-2</v>
      </c>
      <c r="P572">
        <v>0.99907309999999905</v>
      </c>
      <c r="Q572">
        <v>1.8853890000000002E-2</v>
      </c>
      <c r="R572">
        <v>3.8699490000000003E-2</v>
      </c>
      <c r="S572">
        <v>3.0326840000000002</v>
      </c>
      <c r="T572">
        <v>-0.45287939999999999</v>
      </c>
      <c r="U572">
        <v>-0.57998660000000002</v>
      </c>
      <c r="V572">
        <v>-5.2446130000000001E-2</v>
      </c>
      <c r="W572">
        <v>3.3173979999999999E-2</v>
      </c>
      <c r="X572">
        <v>0.99807259999999998</v>
      </c>
      <c r="Y572">
        <v>0.17257929999999999</v>
      </c>
      <c r="Z572">
        <v>-1.067223E-2</v>
      </c>
      <c r="AA572">
        <v>0.98493779999999997</v>
      </c>
      <c r="AB572">
        <v>30</v>
      </c>
      <c r="AC572">
        <v>0.50659999999999095</v>
      </c>
      <c r="AD572">
        <v>-0.1174318</v>
      </c>
      <c r="AE572">
        <v>-0.14650000000000299</v>
      </c>
      <c r="AF572">
        <v>0.13290880173275901</v>
      </c>
      <c r="AG572">
        <v>-0.1174318</v>
      </c>
      <c r="AH572">
        <v>0.484545484975753</v>
      </c>
      <c r="AI572">
        <v>103.155117133662</v>
      </c>
      <c r="AJ572">
        <v>74.661265292601101</v>
      </c>
      <c r="AK572">
        <v>0.515983821684039</v>
      </c>
    </row>
    <row r="573" spans="1:37" x14ac:dyDescent="0.2">
      <c r="A573" t="str">
        <f>"20200111153621267"</f>
        <v>20200111153621267</v>
      </c>
      <c r="B573" t="str">
        <f>"1578728181262998"</f>
        <v>1578728181262998</v>
      </c>
      <c r="C573" t="s">
        <v>37</v>
      </c>
      <c r="D573">
        <v>6.4006819999999998</v>
      </c>
      <c r="E573">
        <v>0.58454090000000003</v>
      </c>
      <c r="F573" t="s">
        <v>38</v>
      </c>
      <c r="G573">
        <v>-321.20069999999998</v>
      </c>
      <c r="H573">
        <v>0.98952419999999996</v>
      </c>
      <c r="I573">
        <v>367.56670000000003</v>
      </c>
      <c r="J573">
        <v>-321.79390000000001</v>
      </c>
      <c r="K573">
        <v>1.1042909999999999</v>
      </c>
      <c r="L573">
        <v>367.71190000000001</v>
      </c>
      <c r="M573">
        <v>0.9997992</v>
      </c>
      <c r="N573">
        <v>0</v>
      </c>
      <c r="O573">
        <v>-1.404154E-2</v>
      </c>
      <c r="P573">
        <v>0.99906299999999904</v>
      </c>
      <c r="Q573">
        <v>1.9217129999999999E-2</v>
      </c>
      <c r="R573">
        <v>3.8779359999999999E-2</v>
      </c>
      <c r="S573">
        <v>3.0334469999999998</v>
      </c>
      <c r="T573">
        <v>-0.44656279999999998</v>
      </c>
      <c r="U573">
        <v>-0.5744629</v>
      </c>
      <c r="V573">
        <v>-5.2776730000000001E-2</v>
      </c>
      <c r="W573">
        <v>3.3535219999999998E-2</v>
      </c>
      <c r="X573">
        <v>0.99804309999999996</v>
      </c>
      <c r="Y573">
        <v>0.17062469999999999</v>
      </c>
      <c r="Z573">
        <v>-1.0345770000000001E-2</v>
      </c>
      <c r="AA573">
        <v>0.98528179999999999</v>
      </c>
      <c r="AB573">
        <v>30</v>
      </c>
      <c r="AC573">
        <v>0.59320000000002404</v>
      </c>
      <c r="AD573">
        <v>-0.114766799999999</v>
      </c>
      <c r="AE573">
        <v>-0.14519999999998801</v>
      </c>
      <c r="AF573">
        <v>0.13218719555580599</v>
      </c>
      <c r="AG573">
        <v>-0.114766799999999</v>
      </c>
      <c r="AH573">
        <v>0.57487869232140498</v>
      </c>
      <c r="AI573">
        <v>101.00988818794301</v>
      </c>
      <c r="AJ573">
        <v>77.050539457795395</v>
      </c>
      <c r="AK573">
        <v>0.60094124832326001</v>
      </c>
    </row>
    <row r="574" spans="1:37" x14ac:dyDescent="0.2">
      <c r="A574" t="str">
        <f>"20200111153621281"</f>
        <v>20200111153621281</v>
      </c>
      <c r="B574" t="str">
        <f>"1578728181272759"</f>
        <v>1578728181272759</v>
      </c>
      <c r="C574" t="s">
        <v>37</v>
      </c>
      <c r="D574">
        <v>6.4487930000000002</v>
      </c>
      <c r="E574">
        <v>0.58453940000000004</v>
      </c>
      <c r="F574" t="s">
        <v>38</v>
      </c>
      <c r="G574">
        <v>-320.9341</v>
      </c>
      <c r="H574">
        <v>0.97836009999999995</v>
      </c>
      <c r="I574">
        <v>367.5487</v>
      </c>
      <c r="J574">
        <v>-321.59429999999998</v>
      </c>
      <c r="K574">
        <v>1.1042959999999999</v>
      </c>
      <c r="L574">
        <v>367.7088</v>
      </c>
      <c r="M574">
        <v>0.99979560000000001</v>
      </c>
      <c r="N574">
        <v>0</v>
      </c>
      <c r="O574">
        <v>-1.43102E-2</v>
      </c>
      <c r="P574">
        <v>0.99906740000000005</v>
      </c>
      <c r="Q574">
        <v>1.92947999999999E-2</v>
      </c>
      <c r="R574">
        <v>3.8630650000000002E-2</v>
      </c>
      <c r="S574">
        <v>3.0336609999999999</v>
      </c>
      <c r="T574">
        <v>-0.44453530000000002</v>
      </c>
      <c r="U574">
        <v>-0.57437130000000003</v>
      </c>
      <c r="V574">
        <v>-5.2896039999999998E-2</v>
      </c>
      <c r="W574">
        <v>3.3610040000000001E-2</v>
      </c>
      <c r="X574">
        <v>0.99803419999999898</v>
      </c>
      <c r="Y574">
        <v>0.1703392</v>
      </c>
      <c r="Z574">
        <v>-1.023919E-2</v>
      </c>
      <c r="AA574">
        <v>0.98533230000000005</v>
      </c>
      <c r="AB574">
        <v>30</v>
      </c>
      <c r="AC574">
        <v>0.66019999999997403</v>
      </c>
      <c r="AD574">
        <v>-0.12593589999999899</v>
      </c>
      <c r="AE574">
        <v>-0.16009999999999899</v>
      </c>
      <c r="AF574">
        <v>0.14563029024118601</v>
      </c>
      <c r="AG574">
        <v>-0.12593589999999899</v>
      </c>
      <c r="AH574">
        <v>0.64041506896256295</v>
      </c>
      <c r="AI574">
        <v>100.854819597271</v>
      </c>
      <c r="AJ574">
        <v>77.188808301928702</v>
      </c>
      <c r="AK574">
        <v>0.66872976073961798</v>
      </c>
    </row>
    <row r="575" spans="1:37" x14ac:dyDescent="0.2">
      <c r="A575" t="str">
        <f>"20200111153621297"</f>
        <v>20200111153621297</v>
      </c>
      <c r="B575" t="str">
        <f>"1578728181293255"</f>
        <v>1578728181293255</v>
      </c>
      <c r="C575" t="s">
        <v>37</v>
      </c>
      <c r="D575">
        <v>6.429411</v>
      </c>
      <c r="E575">
        <v>0.5842482</v>
      </c>
      <c r="F575" t="s">
        <v>38</v>
      </c>
      <c r="G575">
        <v>-320.66750000000002</v>
      </c>
      <c r="H575">
        <v>0.96774509999999903</v>
      </c>
      <c r="I575">
        <v>367.53309999999999</v>
      </c>
      <c r="J575">
        <v>-321.38869999999997</v>
      </c>
      <c r="K575">
        <v>1.1043049999999901</v>
      </c>
      <c r="L575">
        <v>367.7056</v>
      </c>
      <c r="M575">
        <v>0.999791599999999</v>
      </c>
      <c r="N575">
        <v>0</v>
      </c>
      <c r="O575">
        <v>-1.458661E-2</v>
      </c>
      <c r="P575">
        <v>0.99902489999999999</v>
      </c>
      <c r="Q575">
        <v>2.0602390000000002E-2</v>
      </c>
      <c r="R575">
        <v>3.9051379999999997E-2</v>
      </c>
      <c r="S575">
        <v>3.0336609999999999</v>
      </c>
      <c r="T575">
        <v>-0.44708439999999999</v>
      </c>
      <c r="U575">
        <v>-0.57482909999999998</v>
      </c>
      <c r="V575">
        <v>-5.3590829999999999E-2</v>
      </c>
      <c r="W575">
        <v>3.4915340000000003E-2</v>
      </c>
      <c r="X575">
        <v>0.99795239999999996</v>
      </c>
      <c r="Y575">
        <v>0.1701964</v>
      </c>
      <c r="Z575">
        <v>-1.024664E-2</v>
      </c>
      <c r="AA575">
        <v>0.98535689999999998</v>
      </c>
      <c r="AB575">
        <v>30</v>
      </c>
      <c r="AC575">
        <v>0.72119999999995299</v>
      </c>
      <c r="AD575">
        <v>-0.13655989999999901</v>
      </c>
      <c r="AE575">
        <v>-0.172500000000013</v>
      </c>
      <c r="AF575">
        <v>0.15664820236404101</v>
      </c>
      <c r="AG575">
        <v>-0.13655989999999901</v>
      </c>
      <c r="AH575">
        <v>0.69990345308852897</v>
      </c>
      <c r="AI575">
        <v>100.78018918007</v>
      </c>
      <c r="AJ575">
        <v>77.384310509851602</v>
      </c>
      <c r="AK575">
        <v>0.73010417697554797</v>
      </c>
    </row>
    <row r="576" spans="1:37" x14ac:dyDescent="0.2">
      <c r="A576" t="str">
        <f>"20200111153621310"</f>
        <v>20200111153621310</v>
      </c>
      <c r="B576" t="str">
        <f>"1578728181303016"</f>
        <v>1578728181303016</v>
      </c>
      <c r="C576" t="s">
        <v>37</v>
      </c>
      <c r="D576">
        <v>6.4563540000000001</v>
      </c>
      <c r="E576">
        <v>0.5842984</v>
      </c>
      <c r="F576" t="s">
        <v>38</v>
      </c>
      <c r="G576">
        <v>-320.65429999999998</v>
      </c>
      <c r="H576">
        <v>0.99616800000000005</v>
      </c>
      <c r="I576">
        <v>367.56709999999998</v>
      </c>
      <c r="J576">
        <v>-321.20530000000002</v>
      </c>
      <c r="K576">
        <v>1.1042909999999999</v>
      </c>
      <c r="L576">
        <v>367.70269999999999</v>
      </c>
      <c r="M576">
        <v>0.99978319999999998</v>
      </c>
      <c r="N576">
        <v>0</v>
      </c>
      <c r="O576">
        <v>-1.536232E-2</v>
      </c>
      <c r="P576">
        <v>0.99901649999999997</v>
      </c>
      <c r="Q576">
        <v>2.185517E-2</v>
      </c>
      <c r="R576">
        <v>3.8585319999999999E-2</v>
      </c>
      <c r="S576">
        <v>3.0344849999999899</v>
      </c>
      <c r="T576">
        <v>-0.44694600000000001</v>
      </c>
      <c r="U576">
        <v>-0.57171629999999996</v>
      </c>
      <c r="V576">
        <v>-5.3901989999999997E-2</v>
      </c>
      <c r="W576">
        <v>3.5939890000000002E-2</v>
      </c>
      <c r="X576">
        <v>0.99789919999999999</v>
      </c>
      <c r="Y576">
        <v>0.1684349</v>
      </c>
      <c r="Z576">
        <v>-1.000124E-2</v>
      </c>
      <c r="AA576">
        <v>0.98566200000000004</v>
      </c>
      <c r="AB576">
        <v>30</v>
      </c>
      <c r="AC576">
        <v>0.55100000000004401</v>
      </c>
      <c r="AD576">
        <v>-0.108122999999999</v>
      </c>
      <c r="AE576">
        <v>-0.13560000000000999</v>
      </c>
      <c r="AF576">
        <v>0.12266486927042999</v>
      </c>
      <c r="AG576">
        <v>-0.108122999999999</v>
      </c>
      <c r="AH576">
        <v>0.53364307099271902</v>
      </c>
      <c r="AI576">
        <v>101.17011843521701</v>
      </c>
      <c r="AJ576">
        <v>77.054683507486402</v>
      </c>
      <c r="AK576">
        <v>0.558132762432624</v>
      </c>
    </row>
    <row r="577" spans="1:37" x14ac:dyDescent="0.2">
      <c r="A577" t="str">
        <f>"20200111153621322"</f>
        <v>20200111153621322</v>
      </c>
      <c r="B577" t="str">
        <f>"1578728181312774"</f>
        <v>1578728181312774</v>
      </c>
      <c r="C577" t="s">
        <v>37</v>
      </c>
      <c r="D577">
        <v>6.4323329999999999</v>
      </c>
      <c r="E577">
        <v>0.58429180000000003</v>
      </c>
      <c r="F577" t="s">
        <v>38</v>
      </c>
      <c r="G577">
        <v>-320.387</v>
      </c>
      <c r="H577">
        <v>0.98467150000000003</v>
      </c>
      <c r="I577">
        <v>367.54790000000003</v>
      </c>
      <c r="J577">
        <v>-321.03449999999998</v>
      </c>
      <c r="K577">
        <v>1.104214</v>
      </c>
      <c r="L577">
        <v>367.70010000000002</v>
      </c>
      <c r="M577">
        <v>0.99977579999999999</v>
      </c>
      <c r="N577">
        <v>0</v>
      </c>
      <c r="O577">
        <v>-1.6094830000000001E-2</v>
      </c>
      <c r="P577">
        <v>0.99898560000000003</v>
      </c>
      <c r="Q577">
        <v>2.383861E-2</v>
      </c>
      <c r="R577">
        <v>3.8206160000000003E-2</v>
      </c>
      <c r="S577">
        <v>3.034821</v>
      </c>
      <c r="T577">
        <v>-0.44375130000000002</v>
      </c>
      <c r="U577">
        <v>-0.57351680000000005</v>
      </c>
      <c r="V577">
        <v>-5.4252639999999998E-2</v>
      </c>
      <c r="W577">
        <v>3.7621509999999997E-2</v>
      </c>
      <c r="X577">
        <v>0.99781819999999899</v>
      </c>
      <c r="Y577">
        <v>0.16829</v>
      </c>
      <c r="Z577">
        <v>-9.8129110000000005E-3</v>
      </c>
      <c r="AA577">
        <v>0.98568869999999897</v>
      </c>
      <c r="AB577">
        <v>30</v>
      </c>
      <c r="AC577">
        <v>0.64749999999997898</v>
      </c>
      <c r="AD577">
        <v>-0.1195425</v>
      </c>
      <c r="AE577">
        <v>-0.15219999999999301</v>
      </c>
      <c r="AF577">
        <v>0.13732231735077599</v>
      </c>
      <c r="AG577">
        <v>-0.1195425</v>
      </c>
      <c r="AH577">
        <v>0.62953180495141303</v>
      </c>
      <c r="AI577">
        <v>100.51049212226199</v>
      </c>
      <c r="AJ577">
        <v>77.694597180644095</v>
      </c>
      <c r="AK577">
        <v>0.65533054376720501</v>
      </c>
    </row>
    <row r="578" spans="1:37" x14ac:dyDescent="0.2">
      <c r="A578" t="str">
        <f>"20200111153621336"</f>
        <v>20200111153621336</v>
      </c>
      <c r="B578" t="str">
        <f>"1578728181323512"</f>
        <v>1578728181323512</v>
      </c>
      <c r="C578" t="s">
        <v>37</v>
      </c>
      <c r="D578">
        <v>6.4570179999999997</v>
      </c>
      <c r="E578">
        <v>0.58429969999999998</v>
      </c>
      <c r="F578" t="s">
        <v>38</v>
      </c>
      <c r="G578">
        <v>-320.1189</v>
      </c>
      <c r="H578">
        <v>0.97125219999999901</v>
      </c>
      <c r="I578">
        <v>367.52659999999997</v>
      </c>
      <c r="J578">
        <v>-320.85669999999999</v>
      </c>
      <c r="K578">
        <v>1.1039680000000001</v>
      </c>
      <c r="L578">
        <v>367.69720000000001</v>
      </c>
      <c r="M578">
        <v>0.99977389999999999</v>
      </c>
      <c r="N578">
        <v>0</v>
      </c>
      <c r="O578">
        <v>-1.6572759999999999E-2</v>
      </c>
      <c r="P578">
        <v>0.99895259999999997</v>
      </c>
      <c r="Q578">
        <v>2.537909E-2</v>
      </c>
      <c r="R578">
        <v>3.807381E-2</v>
      </c>
      <c r="S578">
        <v>3.03555299999999</v>
      </c>
      <c r="T578">
        <v>-0.44080019999999998</v>
      </c>
      <c r="U578">
        <v>-0.57479859999999905</v>
      </c>
      <c r="V578">
        <v>-5.4586699999999898E-2</v>
      </c>
      <c r="W578">
        <v>3.8735539999999999E-2</v>
      </c>
      <c r="X578">
        <v>0.99775740000000002</v>
      </c>
      <c r="Y578">
        <v>0.16820460000000001</v>
      </c>
      <c r="Z578">
        <v>-9.6711660000000001E-3</v>
      </c>
      <c r="AA578">
        <v>0.98570469999999899</v>
      </c>
      <c r="AB578">
        <v>31</v>
      </c>
      <c r="AC578">
        <v>0.73779999999999202</v>
      </c>
      <c r="AD578">
        <v>-0.13271579999999999</v>
      </c>
      <c r="AE578">
        <v>-0.170600000000035</v>
      </c>
      <c r="AF578">
        <v>0.15362940643789699</v>
      </c>
      <c r="AG578">
        <v>-0.13271579999999999</v>
      </c>
      <c r="AH578">
        <v>0.718458917189567</v>
      </c>
      <c r="AI578">
        <v>100.239447041105</v>
      </c>
      <c r="AJ578">
        <v>77.930107544443004</v>
      </c>
      <c r="AK578">
        <v>0.74659138340949605</v>
      </c>
    </row>
    <row r="579" spans="1:37" x14ac:dyDescent="0.2">
      <c r="A579" t="str">
        <f>"20200111153621353"</f>
        <v>20200111153621353</v>
      </c>
      <c r="B579" t="str">
        <f>"1578728181343030"</f>
        <v>1578728181343030</v>
      </c>
      <c r="C579" t="s">
        <v>37</v>
      </c>
      <c r="D579">
        <v>6.4571249999999996</v>
      </c>
      <c r="E579">
        <v>0.58461479999999999</v>
      </c>
      <c r="F579" t="s">
        <v>38</v>
      </c>
      <c r="G579">
        <v>-320.10739999999998</v>
      </c>
      <c r="H579">
        <v>0.99606609999999995</v>
      </c>
      <c r="I579">
        <v>367.55529999999999</v>
      </c>
      <c r="J579">
        <v>-320.61470000000003</v>
      </c>
      <c r="K579">
        <v>1.1035740000000001</v>
      </c>
      <c r="L579">
        <v>367.69310000000002</v>
      </c>
      <c r="M579">
        <v>0.99977389999999999</v>
      </c>
      <c r="N579">
        <v>0</v>
      </c>
      <c r="O579">
        <v>-1.6773929999999999E-2</v>
      </c>
      <c r="P579">
        <v>0.99888849999999996</v>
      </c>
      <c r="Q579">
        <v>2.738194E-2</v>
      </c>
      <c r="R579">
        <v>3.8371219999999998E-2</v>
      </c>
      <c r="S579">
        <v>3.0361630000000002</v>
      </c>
      <c r="T579">
        <v>-0.43725069999999999</v>
      </c>
      <c r="U579">
        <v>-0.57470699999999997</v>
      </c>
      <c r="V579">
        <v>-5.5061430000000001E-2</v>
      </c>
      <c r="W579">
        <v>4.051656E-2</v>
      </c>
      <c r="X579">
        <v>0.99766060000000001</v>
      </c>
      <c r="Y579">
        <v>0.16797089999999901</v>
      </c>
      <c r="Z579">
        <v>-9.5470759999999998E-3</v>
      </c>
      <c r="AA579">
        <v>0.98574569999999995</v>
      </c>
      <c r="AB579">
        <v>31</v>
      </c>
      <c r="AC579">
        <v>0.50730000000004305</v>
      </c>
      <c r="AD579">
        <v>-0.1075079</v>
      </c>
      <c r="AE579">
        <v>-0.13780000000002601</v>
      </c>
      <c r="AF579">
        <v>0.124080815181817</v>
      </c>
      <c r="AG579">
        <v>-0.1075079</v>
      </c>
      <c r="AH579">
        <v>0.48908441205305297</v>
      </c>
      <c r="AI579">
        <v>102.027852991039</v>
      </c>
      <c r="AJ579">
        <v>75.764395773140805</v>
      </c>
      <c r="AK579">
        <v>0.51590460297604901</v>
      </c>
    </row>
    <row r="580" spans="1:37" x14ac:dyDescent="0.2">
      <c r="A580" t="str">
        <f>"20200111153621367"</f>
        <v>20200111153621367</v>
      </c>
      <c r="B580" t="str">
        <f>"1578728181363527"</f>
        <v>1578728181363527</v>
      </c>
      <c r="C580" t="s">
        <v>37</v>
      </c>
      <c r="D580">
        <v>6.4880139999999997</v>
      </c>
      <c r="E580">
        <v>0.58487210000000001</v>
      </c>
      <c r="F580" t="s">
        <v>38</v>
      </c>
      <c r="G580">
        <v>-319.83519999999999</v>
      </c>
      <c r="H580">
        <v>0.99224460000000003</v>
      </c>
      <c r="I580">
        <v>367.54500000000002</v>
      </c>
      <c r="J580">
        <v>-320.423</v>
      </c>
      <c r="K580">
        <v>1.103235</v>
      </c>
      <c r="L580">
        <v>367.68979999999999</v>
      </c>
      <c r="M580">
        <v>0.99977289999999996</v>
      </c>
      <c r="N580">
        <v>0</v>
      </c>
      <c r="O580">
        <v>-1.6770670000000001E-2</v>
      </c>
      <c r="P580">
        <v>0.99886730000000001</v>
      </c>
      <c r="Q580">
        <v>2.8237979999999999E-2</v>
      </c>
      <c r="R580">
        <v>3.8300399999999998E-2</v>
      </c>
      <c r="S580">
        <v>3.0373540000000001</v>
      </c>
      <c r="T580">
        <v>-0.43401250000000002</v>
      </c>
      <c r="U580">
        <v>-0.57586669999999995</v>
      </c>
      <c r="V580">
        <v>-5.4968889999999999E-2</v>
      </c>
      <c r="W580">
        <v>4.1470380000000001E-2</v>
      </c>
      <c r="X580">
        <v>0.99762649999999997</v>
      </c>
      <c r="Y580">
        <v>0.1682871</v>
      </c>
      <c r="Z580">
        <v>-9.4958660000000004E-3</v>
      </c>
      <c r="AA580">
        <v>0.98569229999999997</v>
      </c>
      <c r="AB580">
        <v>31</v>
      </c>
      <c r="AC580">
        <v>0.58780000000001498</v>
      </c>
      <c r="AD580">
        <v>-0.110990399999999</v>
      </c>
      <c r="AE580">
        <v>-0.144799999999975</v>
      </c>
      <c r="AF580">
        <v>0.130533184629024</v>
      </c>
      <c r="AG580">
        <v>-0.110990399999999</v>
      </c>
      <c r="AH580">
        <v>0.57095365416655897</v>
      </c>
      <c r="AI580">
        <v>100.730605819978</v>
      </c>
      <c r="AJ580">
        <v>77.122185840518199</v>
      </c>
      <c r="AK580">
        <v>0.59610892996809095</v>
      </c>
    </row>
    <row r="581" spans="1:37" x14ac:dyDescent="0.2">
      <c r="A581" t="str">
        <f>"20200111153621386"</f>
        <v>20200111153621386</v>
      </c>
      <c r="B581" t="str">
        <f>"1578728181373287"</f>
        <v>1578728181373287</v>
      </c>
      <c r="C581" t="s">
        <v>37</v>
      </c>
      <c r="D581">
        <v>6.5004879999999998</v>
      </c>
      <c r="E581">
        <v>0.58499990000000002</v>
      </c>
      <c r="F581" t="s">
        <v>38</v>
      </c>
      <c r="G581">
        <v>-319.5668</v>
      </c>
      <c r="H581">
        <v>0.98141460000000003</v>
      </c>
      <c r="I581">
        <v>367.52670000000001</v>
      </c>
      <c r="J581">
        <v>-320.1651</v>
      </c>
      <c r="K581">
        <v>1.1027290000000001</v>
      </c>
      <c r="L581">
        <v>367.68520000000001</v>
      </c>
      <c r="M581">
        <v>0.99976790000000004</v>
      </c>
      <c r="N581">
        <v>0</v>
      </c>
      <c r="O581">
        <v>-1.673815E-2</v>
      </c>
      <c r="P581">
        <v>0.99887039999999905</v>
      </c>
      <c r="Q581">
        <v>2.8644349999999999E-2</v>
      </c>
      <c r="R581">
        <v>3.7909489999999997E-2</v>
      </c>
      <c r="S581">
        <v>3.0377809999999998</v>
      </c>
      <c r="T581">
        <v>-0.43229889999999999</v>
      </c>
      <c r="U581">
        <v>-0.57794190000000001</v>
      </c>
      <c r="V581">
        <v>-5.4526949999999998E-2</v>
      </c>
      <c r="W581">
        <v>4.2301739999999997E-2</v>
      </c>
      <c r="X581">
        <v>0.9976159</v>
      </c>
      <c r="Y581">
        <v>0.16894899999999999</v>
      </c>
      <c r="Z581">
        <v>-9.5078579999999992E-3</v>
      </c>
      <c r="AA581">
        <v>0.98557899999999998</v>
      </c>
      <c r="AB581">
        <v>31</v>
      </c>
      <c r="AC581">
        <v>0.59829999999999395</v>
      </c>
      <c r="AD581">
        <v>-0.1213144</v>
      </c>
      <c r="AE581">
        <v>-0.158500000000003</v>
      </c>
      <c r="AF581">
        <v>0.142969885320651</v>
      </c>
      <c r="AG581">
        <v>-0.1213144</v>
      </c>
      <c r="AH581">
        <v>0.57863950913199802</v>
      </c>
      <c r="AI581">
        <v>101.504488354031</v>
      </c>
      <c r="AJ581">
        <v>76.121360702956594</v>
      </c>
      <c r="AK581">
        <v>0.60826084312939299</v>
      </c>
    </row>
    <row r="582" spans="1:37" x14ac:dyDescent="0.2">
      <c r="A582" t="str">
        <f>"20200111153621398"</f>
        <v>20200111153621398</v>
      </c>
      <c r="B582" t="str">
        <f>"1578728181392807"</f>
        <v>1578728181392807</v>
      </c>
      <c r="C582" t="s">
        <v>37</v>
      </c>
      <c r="D582">
        <v>6.5025589999999998</v>
      </c>
      <c r="E582">
        <v>0.58524009999999904</v>
      </c>
      <c r="F582" t="s">
        <v>38</v>
      </c>
      <c r="G582">
        <v>-319.29480000000001</v>
      </c>
      <c r="H582">
        <v>0.97831729999999995</v>
      </c>
      <c r="I582">
        <v>367.51909999999998</v>
      </c>
      <c r="J582">
        <v>-319.99180000000001</v>
      </c>
      <c r="K582">
        <v>1.102352</v>
      </c>
      <c r="L582">
        <v>367.68199999999899</v>
      </c>
      <c r="M582">
        <v>0.99976229999999999</v>
      </c>
      <c r="N582">
        <v>0</v>
      </c>
      <c r="O582">
        <v>-1.676544E-2</v>
      </c>
      <c r="P582">
        <v>0.99890769999999995</v>
      </c>
      <c r="Q582">
        <v>2.8542629999999999E-2</v>
      </c>
      <c r="R582">
        <v>3.6998299999999998E-2</v>
      </c>
      <c r="S582">
        <v>3.037811</v>
      </c>
      <c r="T582">
        <v>-0.43441259999999998</v>
      </c>
      <c r="U582">
        <v>-0.57879639999999999</v>
      </c>
      <c r="V582">
        <v>-5.3635759999999998E-2</v>
      </c>
      <c r="W582">
        <v>4.2592820000000003E-2</v>
      </c>
      <c r="X582">
        <v>0.99765179999999998</v>
      </c>
      <c r="Y582">
        <v>0.1691715</v>
      </c>
      <c r="Z582">
        <v>-9.5653890000000005E-3</v>
      </c>
      <c r="AA582">
        <v>0.98554019999999998</v>
      </c>
      <c r="AB582">
        <v>31</v>
      </c>
      <c r="AC582">
        <v>0.69700000000000195</v>
      </c>
      <c r="AD582">
        <v>-0.124034699999999</v>
      </c>
      <c r="AE582">
        <v>-0.16289999999997901</v>
      </c>
      <c r="AF582">
        <v>0.14678288559314701</v>
      </c>
      <c r="AG582">
        <v>-0.124034699999999</v>
      </c>
      <c r="AH582">
        <v>0.679237367643857</v>
      </c>
      <c r="AI582">
        <v>100.12007799099101</v>
      </c>
      <c r="AJ582">
        <v>77.805917683104695</v>
      </c>
      <c r="AK582">
        <v>0.70589887654741101</v>
      </c>
    </row>
    <row r="583" spans="1:37" x14ac:dyDescent="0.2">
      <c r="A583" t="str">
        <f>"20200111153621412"</f>
        <v>20200111153621412</v>
      </c>
      <c r="B583" t="str">
        <f>"1578728181403543"</f>
        <v>1578728181403543</v>
      </c>
      <c r="C583" t="s">
        <v>37</v>
      </c>
      <c r="D583">
        <v>6.4570910000000001</v>
      </c>
      <c r="E583">
        <v>0.5853315</v>
      </c>
      <c r="F583" t="s">
        <v>38</v>
      </c>
      <c r="G583">
        <v>-319.28460000000001</v>
      </c>
      <c r="H583">
        <v>0.99991129999999995</v>
      </c>
      <c r="I583">
        <v>367.54610000000002</v>
      </c>
      <c r="J583">
        <v>-319.80790000000002</v>
      </c>
      <c r="K583">
        <v>1.101853</v>
      </c>
      <c r="L583">
        <v>367.67860000000002</v>
      </c>
      <c r="M583">
        <v>0.99975319999999901</v>
      </c>
      <c r="N583">
        <v>0</v>
      </c>
      <c r="O583">
        <v>-1.6800659999999999E-2</v>
      </c>
      <c r="P583">
        <v>0.99896640000000003</v>
      </c>
      <c r="Q583">
        <v>2.7588540000000002E-2</v>
      </c>
      <c r="R583">
        <v>3.6126690000000003E-2</v>
      </c>
      <c r="S583">
        <v>3.037445</v>
      </c>
      <c r="T583">
        <v>-0.44019459999999999</v>
      </c>
      <c r="U583">
        <v>-0.5827637</v>
      </c>
      <c r="V583">
        <v>-5.2797370000000003E-2</v>
      </c>
      <c r="W583">
        <v>4.223789E-2</v>
      </c>
      <c r="X583">
        <v>0.99771160000000003</v>
      </c>
      <c r="Y583">
        <v>0.170349</v>
      </c>
      <c r="Z583">
        <v>-9.7704850000000006E-3</v>
      </c>
      <c r="AA583">
        <v>0.98533539999999997</v>
      </c>
      <c r="AB583">
        <v>31</v>
      </c>
      <c r="AC583">
        <v>0.52330000000000598</v>
      </c>
      <c r="AD583">
        <v>-0.101941699999999</v>
      </c>
      <c r="AE583">
        <v>-0.13249999999999301</v>
      </c>
      <c r="AF583">
        <v>0.119429393615443</v>
      </c>
      <c r="AG583">
        <v>-0.101941699999999</v>
      </c>
      <c r="AH583">
        <v>0.50735861737596</v>
      </c>
      <c r="AI583">
        <v>101.066261363404</v>
      </c>
      <c r="AJ583">
        <v>76.754034124251007</v>
      </c>
      <c r="AK583">
        <v>0.53110098557984997</v>
      </c>
    </row>
    <row r="584" spans="1:37" x14ac:dyDescent="0.2">
      <c r="A584" t="str">
        <f>"20200111153621425"</f>
        <v>20200111153621425</v>
      </c>
      <c r="B584" t="str">
        <f>"1578728181413303"</f>
        <v>1578728181413303</v>
      </c>
      <c r="C584" t="s">
        <v>37</v>
      </c>
      <c r="D584">
        <v>6.4769059999999996</v>
      </c>
      <c r="E584">
        <v>0.58541999999999905</v>
      </c>
      <c r="F584" t="s">
        <v>38</v>
      </c>
      <c r="G584">
        <v>-319.0179</v>
      </c>
      <c r="H584">
        <v>0.98603259999999904</v>
      </c>
      <c r="I584">
        <v>367.52600000000001</v>
      </c>
      <c r="J584">
        <v>-319.64069999999998</v>
      </c>
      <c r="K584">
        <v>1.101362</v>
      </c>
      <c r="L584">
        <v>367.6755</v>
      </c>
      <c r="M584">
        <v>0.9997431</v>
      </c>
      <c r="N584">
        <v>0</v>
      </c>
      <c r="O584">
        <v>-1.6817160000000001E-2</v>
      </c>
      <c r="P584">
        <v>0.99902690000000005</v>
      </c>
      <c r="Q584">
        <v>2.7001509999999999E-2</v>
      </c>
      <c r="R584">
        <v>3.4870379999999999E-2</v>
      </c>
      <c r="S584">
        <v>3.0366209999999998</v>
      </c>
      <c r="T584">
        <v>-0.44535789999999997</v>
      </c>
      <c r="U584">
        <v>-0.58578490000000005</v>
      </c>
      <c r="V584">
        <v>-5.1556899999999899E-2</v>
      </c>
      <c r="W584">
        <v>4.2305540000000003E-2</v>
      </c>
      <c r="X584">
        <v>0.99777359999999904</v>
      </c>
      <c r="Y584">
        <v>0.17128109999999999</v>
      </c>
      <c r="Z584">
        <v>-9.9505889999999993E-3</v>
      </c>
      <c r="AA584">
        <v>0.98517199999999905</v>
      </c>
      <c r="AB584">
        <v>31</v>
      </c>
      <c r="AC584">
        <v>0.62279999999998303</v>
      </c>
      <c r="AD584">
        <v>-0.1153294</v>
      </c>
      <c r="AE584">
        <v>-0.149499999999989</v>
      </c>
      <c r="AF584">
        <v>0.13463853748730201</v>
      </c>
      <c r="AG584">
        <v>-0.1153294</v>
      </c>
      <c r="AH584">
        <v>0.60559130229936498</v>
      </c>
      <c r="AI584">
        <v>100.531177426262</v>
      </c>
      <c r="AJ584">
        <v>77.465540118658197</v>
      </c>
      <c r="AK584">
        <v>0.631006522709331</v>
      </c>
    </row>
    <row r="585" spans="1:37" x14ac:dyDescent="0.2">
      <c r="A585" t="str">
        <f>"20200111153621436"</f>
        <v>20200111153621436</v>
      </c>
      <c r="B585" t="str">
        <f>"1578728181432822"</f>
        <v>1578728181432822</v>
      </c>
      <c r="C585" t="s">
        <v>37</v>
      </c>
      <c r="D585">
        <v>6.4667260000000004</v>
      </c>
      <c r="E585">
        <v>0.58566989999999997</v>
      </c>
      <c r="F585" t="s">
        <v>38</v>
      </c>
      <c r="G585">
        <v>-318.75290000000001</v>
      </c>
      <c r="H585">
        <v>0.96981309999999998</v>
      </c>
      <c r="I585">
        <v>367.50279999999998</v>
      </c>
      <c r="J585">
        <v>-319.476</v>
      </c>
      <c r="K585">
        <v>1.100833</v>
      </c>
      <c r="L585">
        <v>367.67250000000001</v>
      </c>
      <c r="M585">
        <v>0.99973089999999998</v>
      </c>
      <c r="N585">
        <v>0</v>
      </c>
      <c r="O585">
        <v>-1.681378E-2</v>
      </c>
      <c r="P585">
        <v>0.99911249999999996</v>
      </c>
      <c r="Q585">
        <v>2.5891999999999998E-2</v>
      </c>
      <c r="R585">
        <v>3.3224629999999998E-2</v>
      </c>
      <c r="S585">
        <v>3.0357059999999998</v>
      </c>
      <c r="T585">
        <v>-0.44993149999999998</v>
      </c>
      <c r="U585">
        <v>-0.58996579999999998</v>
      </c>
      <c r="V585">
        <v>-4.9910870000000003E-2</v>
      </c>
      <c r="W585">
        <v>4.1973959999999998E-2</v>
      </c>
      <c r="X585">
        <v>0.99787130000000002</v>
      </c>
      <c r="Y585">
        <v>0.17260010000000001</v>
      </c>
      <c r="Z585">
        <v>-1.015017E-2</v>
      </c>
      <c r="AA585">
        <v>0.98493969999999897</v>
      </c>
      <c r="AB585">
        <v>30</v>
      </c>
      <c r="AC585">
        <v>0.72309999999998797</v>
      </c>
      <c r="AD585">
        <v>-0.131019899999999</v>
      </c>
      <c r="AE585">
        <v>-0.16970000000003399</v>
      </c>
      <c r="AF585">
        <v>0.152762926159142</v>
      </c>
      <c r="AG585">
        <v>-0.131019899999999</v>
      </c>
      <c r="AH585">
        <v>0.70394689921656195</v>
      </c>
      <c r="AI585">
        <v>100.308734786939</v>
      </c>
      <c r="AJ585">
        <v>77.756135066860793</v>
      </c>
      <c r="AK585">
        <v>0.73215023234396803</v>
      </c>
    </row>
    <row r="586" spans="1:37" x14ac:dyDescent="0.2">
      <c r="A586" t="str">
        <f>"20200111153621454"</f>
        <v>20200111153621454</v>
      </c>
      <c r="B586" t="str">
        <f>"1578728181443558"</f>
        <v>1578728181443558</v>
      </c>
      <c r="C586" t="s">
        <v>37</v>
      </c>
      <c r="D586">
        <v>6.4829840000000001</v>
      </c>
      <c r="E586">
        <v>0.58586479999999996</v>
      </c>
      <c r="F586" t="s">
        <v>38</v>
      </c>
      <c r="G586">
        <v>-318.7432</v>
      </c>
      <c r="H586">
        <v>0.99052659999999904</v>
      </c>
      <c r="I586">
        <v>367.52820000000003</v>
      </c>
      <c r="J586">
        <v>-319.25170000000003</v>
      </c>
      <c r="K586">
        <v>1.1000509999999999</v>
      </c>
      <c r="L586">
        <v>367.66820000000001</v>
      </c>
      <c r="M586">
        <v>0.99970729999999997</v>
      </c>
      <c r="N586">
        <v>0</v>
      </c>
      <c r="O586">
        <v>-1.6910310000000001E-2</v>
      </c>
      <c r="P586">
        <v>0.9992761</v>
      </c>
      <c r="Q586">
        <v>2.3684119999999999E-2</v>
      </c>
      <c r="R586">
        <v>2.9770669999999999E-2</v>
      </c>
      <c r="S586">
        <v>3.034332</v>
      </c>
      <c r="T586">
        <v>-0.45687640000000002</v>
      </c>
      <c r="U586">
        <v>-0.59667969999999904</v>
      </c>
      <c r="V586">
        <v>-4.6564460000000002E-2</v>
      </c>
      <c r="W586">
        <v>4.1068269999999997E-2</v>
      </c>
      <c r="X586">
        <v>0.99807069999999998</v>
      </c>
      <c r="Y586">
        <v>0.17461470000000001</v>
      </c>
      <c r="Z586">
        <v>-1.044262E-2</v>
      </c>
      <c r="AA586">
        <v>0.9845815</v>
      </c>
      <c r="AB586">
        <v>30</v>
      </c>
      <c r="AC586">
        <v>0.50850000000002604</v>
      </c>
      <c r="AD586">
        <v>-0.10952439999999999</v>
      </c>
      <c r="AE586">
        <v>-0.139999999999986</v>
      </c>
      <c r="AF586">
        <v>0.12594852960342401</v>
      </c>
      <c r="AG586">
        <v>-0.10952439999999999</v>
      </c>
      <c r="AH586">
        <v>0.48967870013903803</v>
      </c>
      <c r="AI586">
        <v>102.22232059112299</v>
      </c>
      <c r="AJ586">
        <v>75.575808261454299</v>
      </c>
      <c r="AK586">
        <v>0.51734307347685904</v>
      </c>
    </row>
    <row r="587" spans="1:37" x14ac:dyDescent="0.2">
      <c r="A587" t="str">
        <f>"20200111153621475"</f>
        <v>20200111153621475</v>
      </c>
      <c r="B587" t="str">
        <f>"1578728181463078"</f>
        <v>1578728181463078</v>
      </c>
      <c r="C587" t="s">
        <v>37</v>
      </c>
      <c r="D587">
        <v>6.4672150000000004</v>
      </c>
      <c r="E587">
        <v>0.58608879999999997</v>
      </c>
      <c r="F587" t="s">
        <v>38</v>
      </c>
      <c r="G587">
        <v>-318.476</v>
      </c>
      <c r="H587">
        <v>0.98100480000000001</v>
      </c>
      <c r="I587">
        <v>367.51260000000002</v>
      </c>
      <c r="J587">
        <v>-318.95030000000003</v>
      </c>
      <c r="K587">
        <v>1.098881</v>
      </c>
      <c r="L587">
        <v>367.66250000000002</v>
      </c>
      <c r="M587">
        <v>0.99966650000000001</v>
      </c>
      <c r="N587">
        <v>0</v>
      </c>
      <c r="O587">
        <v>-1.724643E-2</v>
      </c>
      <c r="P587">
        <v>0.99943409999999999</v>
      </c>
      <c r="Q587">
        <v>2.020187E-2</v>
      </c>
      <c r="R587">
        <v>2.6898060000000001E-2</v>
      </c>
      <c r="S587">
        <v>3.0312809999999999</v>
      </c>
      <c r="T587">
        <v>-0.46523819999999999</v>
      </c>
      <c r="U587">
        <v>-0.60821530000000001</v>
      </c>
      <c r="V587">
        <v>-4.4048110000000001E-2</v>
      </c>
      <c r="W587">
        <v>3.9489320000000001E-2</v>
      </c>
      <c r="X587">
        <v>0.99824859999999904</v>
      </c>
      <c r="Y587">
        <v>0.17797560000000001</v>
      </c>
      <c r="Z587">
        <v>-1.084125E-2</v>
      </c>
      <c r="AA587">
        <v>0.98397520000000005</v>
      </c>
      <c r="AB587">
        <v>30</v>
      </c>
      <c r="AC587">
        <v>0.47430000000002698</v>
      </c>
      <c r="AD587">
        <v>-0.117876199999999</v>
      </c>
      <c r="AE587">
        <v>-0.149900000000002</v>
      </c>
      <c r="AF587">
        <v>0.13416214486112299</v>
      </c>
      <c r="AG587">
        <v>-0.117876199999999</v>
      </c>
      <c r="AH587">
        <v>0.451462645456706</v>
      </c>
      <c r="AI587">
        <v>104.051390899819</v>
      </c>
      <c r="AJ587">
        <v>73.449514649662007</v>
      </c>
      <c r="AK587">
        <v>0.48550262603094602</v>
      </c>
    </row>
    <row r="588" spans="1:37" x14ac:dyDescent="0.2">
      <c r="A588" t="str">
        <f>"20200111153621489"</f>
        <v>20200111153621489</v>
      </c>
      <c r="B588" t="str">
        <f>"1578728181483576"</f>
        <v>1578728181483576</v>
      </c>
      <c r="C588" t="s">
        <v>37</v>
      </c>
      <c r="D588">
        <v>6.4689129999999997</v>
      </c>
      <c r="E588">
        <v>0.58634819999999999</v>
      </c>
      <c r="F588" t="s">
        <v>38</v>
      </c>
      <c r="G588">
        <v>-318.20499999999998</v>
      </c>
      <c r="H588">
        <v>0.98109040000000003</v>
      </c>
      <c r="I588">
        <v>367.51</v>
      </c>
      <c r="J588">
        <v>-318.7704</v>
      </c>
      <c r="K588">
        <v>1.0981019999999999</v>
      </c>
      <c r="L588">
        <v>367.65910000000002</v>
      </c>
      <c r="M588">
        <v>0.99963880000000005</v>
      </c>
      <c r="N588">
        <v>0</v>
      </c>
      <c r="O588">
        <v>-1.7560119999999999E-2</v>
      </c>
      <c r="P588">
        <v>0.99950049999999901</v>
      </c>
      <c r="Q588">
        <v>1.8036610000000002E-2</v>
      </c>
      <c r="R588">
        <v>2.5949369999999999E-2</v>
      </c>
      <c r="S588">
        <v>3.0279849999999899</v>
      </c>
      <c r="T588">
        <v>-0.47863529999999999</v>
      </c>
      <c r="U588">
        <v>-0.61871339999999997</v>
      </c>
      <c r="V588">
        <v>-4.3424409999999997E-2</v>
      </c>
      <c r="W588">
        <v>3.8440120000000001E-2</v>
      </c>
      <c r="X588">
        <v>0.99831689999999995</v>
      </c>
      <c r="Y588">
        <v>0.18100939999999999</v>
      </c>
      <c r="Z588">
        <v>-1.134493E-2</v>
      </c>
      <c r="AA588">
        <v>0.98341590000000001</v>
      </c>
      <c r="AB588">
        <v>30</v>
      </c>
      <c r="AC588">
        <v>0.565400000000011</v>
      </c>
      <c r="AD588">
        <v>-0.11701159999999999</v>
      </c>
      <c r="AE588">
        <v>-0.14910000000003201</v>
      </c>
      <c r="AF588">
        <v>0.13378887406026299</v>
      </c>
      <c r="AG588">
        <v>-0.11701159999999999</v>
      </c>
      <c r="AH588">
        <v>0.54606437660339402</v>
      </c>
      <c r="AI588">
        <v>101.756906195581</v>
      </c>
      <c r="AJ588">
        <v>76.233392288755596</v>
      </c>
      <c r="AK588">
        <v>0.574262553848086</v>
      </c>
    </row>
    <row r="589" spans="1:37" x14ac:dyDescent="0.2">
      <c r="A589" t="str">
        <f>"20200111153621503"</f>
        <v>20200111153621503</v>
      </c>
      <c r="B589" t="str">
        <f>"1578728181493336"</f>
        <v>1578728181493336</v>
      </c>
      <c r="C589" t="s">
        <v>37</v>
      </c>
      <c r="D589">
        <v>6.4375830000000001</v>
      </c>
      <c r="E589">
        <v>0.58650059999999904</v>
      </c>
      <c r="F589" t="s">
        <v>38</v>
      </c>
      <c r="G589">
        <v>-317.94229999999999</v>
      </c>
      <c r="H589">
        <v>0.96465590000000001</v>
      </c>
      <c r="I589">
        <v>367.48840000000001</v>
      </c>
      <c r="J589">
        <v>-318.5761</v>
      </c>
      <c r="K589">
        <v>1.0971919999999999</v>
      </c>
      <c r="L589">
        <v>367.65550000000002</v>
      </c>
      <c r="M589">
        <v>0.99960919999999898</v>
      </c>
      <c r="N589">
        <v>0</v>
      </c>
      <c r="O589">
        <v>-1.7932790000000001E-2</v>
      </c>
      <c r="P589">
        <v>0.99955190000000005</v>
      </c>
      <c r="Q589">
        <v>1.6215090000000001E-2</v>
      </c>
      <c r="R589">
        <v>2.5161119999999999E-2</v>
      </c>
      <c r="S589">
        <v>3.02648899999999</v>
      </c>
      <c r="T589">
        <v>-0.48776309999999901</v>
      </c>
      <c r="U589">
        <v>-0.62344359999999999</v>
      </c>
      <c r="V589">
        <v>-4.3019540000000002E-2</v>
      </c>
      <c r="W589">
        <v>3.7709659999999999E-2</v>
      </c>
      <c r="X589">
        <v>0.99836229999999904</v>
      </c>
      <c r="Y589">
        <v>0.18212779999999901</v>
      </c>
      <c r="Z589">
        <v>-1.159194E-2</v>
      </c>
      <c r="AA589">
        <v>0.98320659999999904</v>
      </c>
      <c r="AB589">
        <v>30</v>
      </c>
      <c r="AC589">
        <v>0.63380000000000702</v>
      </c>
      <c r="AD589">
        <v>-0.13253609999999899</v>
      </c>
      <c r="AE589">
        <v>-0.167100000000004</v>
      </c>
      <c r="AF589">
        <v>0.149588561237183</v>
      </c>
      <c r="AG589">
        <v>-0.13253609999999899</v>
      </c>
      <c r="AH589">
        <v>0.61168566225519005</v>
      </c>
      <c r="AI589">
        <v>101.885638150601</v>
      </c>
      <c r="AJ589">
        <v>76.257951367761805</v>
      </c>
      <c r="AK589">
        <v>0.64350750179371696</v>
      </c>
    </row>
    <row r="590" spans="1:37" x14ac:dyDescent="0.2">
      <c r="A590" t="str">
        <f>"20200111153621517"</f>
        <v>20200111153621517</v>
      </c>
      <c r="B590" t="str">
        <f>"1578728181512855"</f>
        <v>1578728181512855</v>
      </c>
      <c r="C590" t="s">
        <v>37</v>
      </c>
      <c r="D590">
        <v>6.540057</v>
      </c>
      <c r="E590">
        <v>0.58692489999999997</v>
      </c>
      <c r="F590" t="s">
        <v>38</v>
      </c>
      <c r="G590">
        <v>-317.67770000000002</v>
      </c>
      <c r="H590">
        <v>0.9504551</v>
      </c>
      <c r="I590">
        <v>367.46870000000001</v>
      </c>
      <c r="J590">
        <v>-318.3818</v>
      </c>
      <c r="K590">
        <v>1.0961799999999999</v>
      </c>
      <c r="L590">
        <v>367.65170000000001</v>
      </c>
      <c r="M590">
        <v>0.99958349999999996</v>
      </c>
      <c r="N590">
        <v>0</v>
      </c>
      <c r="O590">
        <v>-1.831638E-2</v>
      </c>
      <c r="P590">
        <v>0.99958119999999995</v>
      </c>
      <c r="Q590">
        <v>1.4916169999999999E-2</v>
      </c>
      <c r="R590">
        <v>2.4794009999999998E-2</v>
      </c>
      <c r="S590">
        <v>3.0251459999999999</v>
      </c>
      <c r="T590">
        <v>-0.49428559999999999</v>
      </c>
      <c r="U590">
        <v>-0.62738039999999995</v>
      </c>
      <c r="V590">
        <v>-4.304359E-2</v>
      </c>
      <c r="W590">
        <v>3.725697E-2</v>
      </c>
      <c r="X590">
        <v>0.99837830000000005</v>
      </c>
      <c r="Y590">
        <v>0.1830019</v>
      </c>
      <c r="Z590">
        <v>-1.1757129999999999E-2</v>
      </c>
      <c r="AA590">
        <v>0.98304219999999898</v>
      </c>
      <c r="AB590">
        <v>30</v>
      </c>
      <c r="AC590">
        <v>0.70409999999998196</v>
      </c>
      <c r="AD590">
        <v>-0.14572489999999899</v>
      </c>
      <c r="AE590">
        <v>-0.182999999999992</v>
      </c>
      <c r="AF590">
        <v>0.16350879766088</v>
      </c>
      <c r="AG590">
        <v>-0.14572489999999899</v>
      </c>
      <c r="AH590">
        <v>0.68004794039146499</v>
      </c>
      <c r="AI590">
        <v>101.769122242618</v>
      </c>
      <c r="AJ590">
        <v>76.480585627028802</v>
      </c>
      <c r="AK590">
        <v>0.71444809092276995</v>
      </c>
    </row>
    <row r="591" spans="1:37" x14ac:dyDescent="0.2">
      <c r="A591" t="str">
        <f>"20200111153621533"</f>
        <v>20200111153621533</v>
      </c>
      <c r="B591" t="str">
        <f>"1578728181523590"</f>
        <v>1578728181523590</v>
      </c>
      <c r="C591" t="s">
        <v>37</v>
      </c>
      <c r="D591">
        <v>6.4327430000000003</v>
      </c>
      <c r="E591">
        <v>0.58691700000000002</v>
      </c>
      <c r="F591" t="s">
        <v>38</v>
      </c>
      <c r="G591">
        <v>-317.66460000000001</v>
      </c>
      <c r="H591">
        <v>0.97797109999999998</v>
      </c>
      <c r="I591">
        <v>367.50139999999999</v>
      </c>
      <c r="J591">
        <v>-318.18040000000002</v>
      </c>
      <c r="K591">
        <v>1.095016</v>
      </c>
      <c r="L591">
        <v>367.64780000000002</v>
      </c>
      <c r="M591">
        <v>0.9995619</v>
      </c>
      <c r="N591">
        <v>0</v>
      </c>
      <c r="O591">
        <v>-1.8647830000000001E-2</v>
      </c>
      <c r="P591">
        <v>0.99957510000000005</v>
      </c>
      <c r="Q591">
        <v>1.394157E-2</v>
      </c>
      <c r="R591">
        <v>2.5597580000000002E-2</v>
      </c>
      <c r="S591">
        <v>3.0244140000000002</v>
      </c>
      <c r="T591">
        <v>-0.49876579999999898</v>
      </c>
      <c r="U591">
        <v>-0.63214110000000001</v>
      </c>
      <c r="V591">
        <v>-4.4182319999999997E-2</v>
      </c>
      <c r="W591">
        <v>3.6966310000000002E-2</v>
      </c>
      <c r="X591">
        <v>0.99833939999999999</v>
      </c>
      <c r="Y591">
        <v>0.184157399999999</v>
      </c>
      <c r="Z591">
        <v>-1.1903199999999999E-2</v>
      </c>
      <c r="AA591">
        <v>0.982824699999999</v>
      </c>
      <c r="AB591">
        <v>30</v>
      </c>
      <c r="AC591">
        <v>0.51580000000001203</v>
      </c>
      <c r="AD591">
        <v>-0.11704489999999899</v>
      </c>
      <c r="AE591">
        <v>-0.14640000000002801</v>
      </c>
      <c r="AF591">
        <v>0.130533098092567</v>
      </c>
      <c r="AG591">
        <v>-0.11704489999999899</v>
      </c>
      <c r="AH591">
        <v>0.49485932204813898</v>
      </c>
      <c r="AI591">
        <v>102.881949273386</v>
      </c>
      <c r="AJ591">
        <v>75.223203576281307</v>
      </c>
      <c r="AK591">
        <v>0.52499918755327302</v>
      </c>
    </row>
    <row r="592" spans="1:37" x14ac:dyDescent="0.2">
      <c r="A592" t="str">
        <f>"20200111153621550"</f>
        <v>20200111153621550</v>
      </c>
      <c r="B592" t="str">
        <f>"1578728181543110"</f>
        <v>1578728181543110</v>
      </c>
      <c r="C592" t="s">
        <v>37</v>
      </c>
      <c r="D592">
        <v>6.3414239999999999</v>
      </c>
      <c r="E592">
        <v>0.55479309999999904</v>
      </c>
      <c r="F592" t="s">
        <v>38</v>
      </c>
      <c r="G592">
        <v>-317.39920000000001</v>
      </c>
      <c r="H592">
        <v>0.9650069</v>
      </c>
      <c r="I592">
        <v>367.48509999999999</v>
      </c>
      <c r="J592">
        <v>-317.93920000000003</v>
      </c>
      <c r="K592">
        <v>1.09354</v>
      </c>
      <c r="L592">
        <v>367.6431</v>
      </c>
      <c r="M592">
        <v>0.99953899999999996</v>
      </c>
      <c r="N592">
        <v>0</v>
      </c>
      <c r="O592">
        <v>-1.896113E-2</v>
      </c>
      <c r="P592">
        <v>0.99956239999999996</v>
      </c>
      <c r="Q592">
        <v>1.346903E-2</v>
      </c>
      <c r="R592">
        <v>2.6338509999999999E-2</v>
      </c>
      <c r="S592">
        <v>3.0244140000000002</v>
      </c>
      <c r="T592">
        <v>-0.50340819999999997</v>
      </c>
      <c r="U592">
        <v>-0.62973020000000002</v>
      </c>
      <c r="V592">
        <v>-4.5239630000000003E-2</v>
      </c>
      <c r="W592">
        <v>3.7219809999999999E-2</v>
      </c>
      <c r="X592">
        <v>0.99828259999999902</v>
      </c>
      <c r="Y592">
        <v>0.1830764</v>
      </c>
      <c r="Z592">
        <v>-1.18738E-2</v>
      </c>
      <c r="AA592">
        <v>0.98302699999999998</v>
      </c>
      <c r="AB592">
        <v>30</v>
      </c>
      <c r="AC592">
        <v>0.54000000000002002</v>
      </c>
      <c r="AD592">
        <v>-0.12853309999999901</v>
      </c>
      <c r="AE592">
        <v>-0.15800000000001499</v>
      </c>
      <c r="AF592">
        <v>0.14040240572144799</v>
      </c>
      <c r="AG592">
        <v>-0.12853309999999901</v>
      </c>
      <c r="AH592">
        <v>0.51597214896499299</v>
      </c>
      <c r="AI592">
        <v>103.51569223407699</v>
      </c>
      <c r="AJ592">
        <v>74.777678505607994</v>
      </c>
      <c r="AK592">
        <v>0.54996440960805204</v>
      </c>
    </row>
    <row r="593" spans="1:37" x14ac:dyDescent="0.2">
      <c r="A593" t="str">
        <f>"20200111153621565"</f>
        <v>20200111153621565</v>
      </c>
      <c r="B593" t="str">
        <f>"1578728181552870"</f>
        <v>1578728181552870</v>
      </c>
      <c r="C593" t="s">
        <v>37</v>
      </c>
      <c r="D593">
        <v>6.0250969999999997</v>
      </c>
      <c r="E593">
        <v>0.55479309999999904</v>
      </c>
      <c r="F593" t="s">
        <v>38</v>
      </c>
      <c r="G593">
        <v>-317.11750000000001</v>
      </c>
      <c r="H593">
        <v>0.98562899999999998</v>
      </c>
      <c r="I593">
        <v>367.54239999999999</v>
      </c>
      <c r="J593">
        <v>-317.74180000000001</v>
      </c>
      <c r="K593">
        <v>1.092271</v>
      </c>
      <c r="L593">
        <v>367.63909999999998</v>
      </c>
      <c r="M593">
        <v>0.99952269999999899</v>
      </c>
      <c r="N593">
        <v>0</v>
      </c>
      <c r="O593">
        <v>-1.9154439999999998E-2</v>
      </c>
      <c r="P593">
        <v>0.99946349999999995</v>
      </c>
      <c r="Q593">
        <v>1.391478E-2</v>
      </c>
      <c r="R593">
        <v>2.9655520000000001E-2</v>
      </c>
      <c r="S593">
        <v>3.0163880000000001</v>
      </c>
      <c r="T593">
        <v>-0.396283</v>
      </c>
      <c r="U593">
        <v>-0.36822509999999897</v>
      </c>
      <c r="V593">
        <v>-4.8748680000000003E-2</v>
      </c>
      <c r="W593">
        <v>3.818854E-2</v>
      </c>
      <c r="X593">
        <v>0.99808069999999904</v>
      </c>
      <c r="Y593">
        <v>0.101437899999999</v>
      </c>
      <c r="Z593">
        <v>-4.1141279999999999E-3</v>
      </c>
      <c r="AA593">
        <v>0.99483339999999998</v>
      </c>
      <c r="AB593">
        <v>30</v>
      </c>
      <c r="AC593">
        <v>0.62430000000000496</v>
      </c>
      <c r="AD593">
        <v>-0.106641999999999</v>
      </c>
      <c r="AE593">
        <v>-9.6699999999998398E-2</v>
      </c>
      <c r="AF593">
        <v>8.2373363430143606E-2</v>
      </c>
      <c r="AG593">
        <v>-0.106641999999999</v>
      </c>
      <c r="AH593">
        <v>0.608693273878119</v>
      </c>
      <c r="AI593">
        <v>99.849269411119195</v>
      </c>
      <c r="AJ593">
        <v>82.293085291819907</v>
      </c>
      <c r="AK593">
        <v>0.623430339998991</v>
      </c>
    </row>
    <row r="594" spans="1:37" x14ac:dyDescent="0.2">
      <c r="A594" t="str">
        <f>"20200111153621580"</f>
        <v>20200111153621580</v>
      </c>
      <c r="B594" t="str">
        <f>"1578728181573367"</f>
        <v>1578728181573367</v>
      </c>
      <c r="C594" t="s">
        <v>37</v>
      </c>
      <c r="D594">
        <v>6.1002749999999999</v>
      </c>
      <c r="E594">
        <v>0.46771809999999903</v>
      </c>
      <c r="F594" t="s">
        <v>38</v>
      </c>
      <c r="G594">
        <v>-316.85169999999999</v>
      </c>
      <c r="H594">
        <v>0.9754775</v>
      </c>
      <c r="I594">
        <v>367.53359999999998</v>
      </c>
      <c r="J594">
        <v>-317.54320000000001</v>
      </c>
      <c r="K594">
        <v>1.0909329999999999</v>
      </c>
      <c r="L594">
        <v>367.63510000000002</v>
      </c>
      <c r="M594">
        <v>0.99950830000000002</v>
      </c>
      <c r="N594">
        <v>0</v>
      </c>
      <c r="O594">
        <v>-1.9305780000000002E-2</v>
      </c>
      <c r="P594">
        <v>0.99941809999999998</v>
      </c>
      <c r="Q594">
        <v>1.41125E-2</v>
      </c>
      <c r="R594">
        <v>3.105132E-2</v>
      </c>
      <c r="S594">
        <v>3.0177309999999999</v>
      </c>
      <c r="T594">
        <v>-0.39616409999999902</v>
      </c>
      <c r="U594">
        <v>-0.3569946</v>
      </c>
      <c r="V594">
        <v>-5.0295989999999999E-2</v>
      </c>
      <c r="W594">
        <v>3.8847510000000002E-2</v>
      </c>
      <c r="X594">
        <v>0.99797860000000005</v>
      </c>
      <c r="Y594">
        <v>9.7617700000000002E-2</v>
      </c>
      <c r="Z594">
        <v>-3.8434150000000002E-3</v>
      </c>
      <c r="AA594">
        <v>0.99521649999999995</v>
      </c>
      <c r="AB594">
        <v>30</v>
      </c>
      <c r="AC594">
        <v>0.69150000000001899</v>
      </c>
      <c r="AD594">
        <v>-0.115455499999999</v>
      </c>
      <c r="AE594">
        <v>-0.101500000000044</v>
      </c>
      <c r="AF594">
        <v>8.5786034387124996E-2</v>
      </c>
      <c r="AG594">
        <v>-0.115455499999999</v>
      </c>
      <c r="AH594">
        <v>0.67491347614286501</v>
      </c>
      <c r="AI594">
        <v>99.631435750735307</v>
      </c>
      <c r="AJ594">
        <v>82.756165804544807</v>
      </c>
      <c r="AK594">
        <v>0.69007058802369303</v>
      </c>
    </row>
    <row r="595" spans="1:37" x14ac:dyDescent="0.2">
      <c r="A595" t="str">
        <f>"20200111153621593"</f>
        <v>20200111153621593</v>
      </c>
      <c r="B595" t="str">
        <f>"1578728181583127"</f>
        <v>1578728181583127</v>
      </c>
      <c r="C595" t="s">
        <v>37</v>
      </c>
      <c r="D595">
        <v>6.1202969999999999</v>
      </c>
      <c r="E595">
        <v>0.45868700000000001</v>
      </c>
      <c r="F595" t="s">
        <v>40</v>
      </c>
      <c r="G595">
        <v>-300.4556</v>
      </c>
      <c r="H595">
        <v>-0.05</v>
      </c>
      <c r="I595">
        <v>369.60939999999999</v>
      </c>
      <c r="J595">
        <v>-317.34960000000001</v>
      </c>
      <c r="K595">
        <v>1.089542</v>
      </c>
      <c r="L595">
        <v>367.6311</v>
      </c>
      <c r="M595">
        <v>0.99949859999999902</v>
      </c>
      <c r="N595">
        <v>0</v>
      </c>
      <c r="O595">
        <v>-1.9417299999999998E-2</v>
      </c>
      <c r="P595">
        <v>0.9993744</v>
      </c>
      <c r="Q595">
        <v>1.422666E-2</v>
      </c>
      <c r="R595">
        <v>3.237835E-2</v>
      </c>
      <c r="S595">
        <v>2.9938349999999998</v>
      </c>
      <c r="T595">
        <v>-0.19989679999999899</v>
      </c>
      <c r="U595">
        <v>0.34591669999999902</v>
      </c>
      <c r="V595">
        <v>-5.1736049999999999E-2</v>
      </c>
      <c r="W595">
        <v>3.9260610000000001E-2</v>
      </c>
      <c r="X595">
        <v>0.99788869999999896</v>
      </c>
      <c r="Y595">
        <v>-0.1337161</v>
      </c>
      <c r="Z595">
        <v>5.7358399999999999E-3</v>
      </c>
      <c r="AA595">
        <v>0.99100309999999903</v>
      </c>
      <c r="AB595">
        <v>30</v>
      </c>
      <c r="AC595">
        <v>16.893999999999998</v>
      </c>
      <c r="AD595">
        <v>-1.1395420000000001</v>
      </c>
      <c r="AE595">
        <v>1.97829999999999</v>
      </c>
      <c r="AF595">
        <v>-2.2957612599858499</v>
      </c>
      <c r="AG595">
        <v>-1.1395420000000001</v>
      </c>
      <c r="AH595">
        <v>16.777087232900101</v>
      </c>
      <c r="AI595">
        <v>93.849937055396893</v>
      </c>
      <c r="AJ595">
        <v>97.791908190837304</v>
      </c>
      <c r="AK595">
        <v>16.9717333161041</v>
      </c>
    </row>
    <row r="596" spans="1:37" x14ac:dyDescent="0.2">
      <c r="A596" t="str">
        <f>"20200111153621611"</f>
        <v>20200111153621611</v>
      </c>
      <c r="B596" t="str">
        <f>"1578728181603622"</f>
        <v>1578728181603622</v>
      </c>
      <c r="C596" t="s">
        <v>37</v>
      </c>
      <c r="D596">
        <v>5.9422889999999997</v>
      </c>
      <c r="E596">
        <v>0.45059339999999998</v>
      </c>
      <c r="F596" t="s">
        <v>40</v>
      </c>
      <c r="G596">
        <v>-302.13869999999997</v>
      </c>
      <c r="H596">
        <v>-0.05</v>
      </c>
      <c r="I596">
        <v>369.77339999999998</v>
      </c>
      <c r="J596">
        <v>-317.12380000000002</v>
      </c>
      <c r="K596">
        <v>1.08785</v>
      </c>
      <c r="L596">
        <v>367.62650000000002</v>
      </c>
      <c r="M596">
        <v>0.99949100000000002</v>
      </c>
      <c r="N596">
        <v>0</v>
      </c>
      <c r="O596">
        <v>-1.9536660000000001E-2</v>
      </c>
      <c r="P596">
        <v>0.99929169999999901</v>
      </c>
      <c r="Q596">
        <v>1.477268E-2</v>
      </c>
      <c r="R596">
        <v>3.460684E-2</v>
      </c>
      <c r="S596">
        <v>2.991425</v>
      </c>
      <c r="T596">
        <v>-0.22410579999999999</v>
      </c>
      <c r="U596">
        <v>0.42132570000000003</v>
      </c>
      <c r="V596">
        <v>-5.4085849999999998E-2</v>
      </c>
      <c r="W596">
        <v>4.00077E-2</v>
      </c>
      <c r="X596">
        <v>0.99773449999999997</v>
      </c>
      <c r="Y596">
        <v>-0.15830420000000001</v>
      </c>
      <c r="Z596">
        <v>7.3478129999999999E-3</v>
      </c>
      <c r="AA596">
        <v>0.98736299999999899</v>
      </c>
      <c r="AB596">
        <v>30</v>
      </c>
      <c r="AC596">
        <v>14.985099999999999</v>
      </c>
      <c r="AD596">
        <v>-1.13785</v>
      </c>
      <c r="AE596">
        <v>2.1468999999999601</v>
      </c>
      <c r="AF596">
        <v>-2.42563777281284</v>
      </c>
      <c r="AG596">
        <v>-1.13785</v>
      </c>
      <c r="AH596">
        <v>14.856347388719399</v>
      </c>
      <c r="AI596">
        <v>94.322724844943096</v>
      </c>
      <c r="AJ596">
        <v>99.273021261886498</v>
      </c>
      <c r="AK596">
        <v>15.096008709645901</v>
      </c>
    </row>
    <row r="597" spans="1:37" x14ac:dyDescent="0.2">
      <c r="A597" t="str">
        <f>"20200111153621625"</f>
        <v>20200111153621625</v>
      </c>
      <c r="B597" t="str">
        <f>"1578728181613382"</f>
        <v>1578728181613382</v>
      </c>
      <c r="C597" t="s">
        <v>37</v>
      </c>
      <c r="D597">
        <v>5.9351949999999896</v>
      </c>
      <c r="E597">
        <v>0.449024799999999</v>
      </c>
      <c r="F597" t="s">
        <v>40</v>
      </c>
      <c r="G597">
        <v>-303.55720000000002</v>
      </c>
      <c r="H597">
        <v>-0.05</v>
      </c>
      <c r="I597">
        <v>369.85980000000001</v>
      </c>
      <c r="J597">
        <v>-316.94380000000001</v>
      </c>
      <c r="K597">
        <v>1.086443</v>
      </c>
      <c r="L597">
        <v>367.62279999999998</v>
      </c>
      <c r="M597">
        <v>0.99948799999999904</v>
      </c>
      <c r="N597">
        <v>0</v>
      </c>
      <c r="O597">
        <v>-1.96245E-2</v>
      </c>
      <c r="P597">
        <v>0.99925079999999999</v>
      </c>
      <c r="Q597">
        <v>1.533113E-2</v>
      </c>
      <c r="R597">
        <v>3.5536409999999997E-2</v>
      </c>
      <c r="S597">
        <v>2.9887999999999999</v>
      </c>
      <c r="T597">
        <v>-0.25067339999999999</v>
      </c>
      <c r="U597">
        <v>0.49200440000000001</v>
      </c>
      <c r="V597">
        <v>-5.510545E-2</v>
      </c>
      <c r="W597">
        <v>4.0613749999999997E-2</v>
      </c>
      <c r="X597">
        <v>0.99765419999999905</v>
      </c>
      <c r="Y597">
        <v>-0.18108199999999999</v>
      </c>
      <c r="Z597">
        <v>9.1632529999999997E-3</v>
      </c>
      <c r="AA597">
        <v>0.98342529999999995</v>
      </c>
      <c r="AB597">
        <v>30</v>
      </c>
      <c r="AC597">
        <v>13.3865999999999</v>
      </c>
      <c r="AD597">
        <v>-1.1364430000000001</v>
      </c>
      <c r="AE597">
        <v>2.2370000000000201</v>
      </c>
      <c r="AF597">
        <v>-2.48195664650925</v>
      </c>
      <c r="AG597">
        <v>-1.1364430000000001</v>
      </c>
      <c r="AH597">
        <v>13.247227168542899</v>
      </c>
      <c r="AI597">
        <v>94.819783371564796</v>
      </c>
      <c r="AJ597">
        <v>100.61172293062801</v>
      </c>
      <c r="AK597">
        <v>13.5255550400855</v>
      </c>
    </row>
    <row r="598" spans="1:37" x14ac:dyDescent="0.2">
      <c r="A598" t="str">
        <f>"20200111153621636"</f>
        <v>20200111153621636</v>
      </c>
      <c r="B598" t="str">
        <f>"1578728181632903"</f>
        <v>1578728181632903</v>
      </c>
      <c r="C598" t="s">
        <v>37</v>
      </c>
      <c r="D598">
        <v>5.8574849999999996</v>
      </c>
      <c r="E598">
        <v>0.44702069999999999</v>
      </c>
      <c r="F598" t="s">
        <v>40</v>
      </c>
      <c r="G598">
        <v>-303.3245</v>
      </c>
      <c r="H598">
        <v>-0.05</v>
      </c>
      <c r="I598">
        <v>369.935</v>
      </c>
      <c r="J598">
        <v>-316.77420000000001</v>
      </c>
      <c r="K598">
        <v>1.0850690000000001</v>
      </c>
      <c r="L598">
        <v>367.61930000000001</v>
      </c>
      <c r="M598">
        <v>0.99948749999999997</v>
      </c>
      <c r="N598">
        <v>0</v>
      </c>
      <c r="O598">
        <v>-1.9701059999999999E-2</v>
      </c>
      <c r="P598">
        <v>0.99921349999999998</v>
      </c>
      <c r="Q598">
        <v>1.554987E-2</v>
      </c>
      <c r="R598">
        <v>3.6477570000000001E-2</v>
      </c>
      <c r="S598">
        <v>2.9880680000000002</v>
      </c>
      <c r="T598">
        <v>-0.24933330000000001</v>
      </c>
      <c r="U598">
        <v>0.50729369999999996</v>
      </c>
      <c r="V598">
        <v>-5.6126879999999997E-2</v>
      </c>
      <c r="W598">
        <v>4.0781459999999999E-2</v>
      </c>
      <c r="X598">
        <v>0.99759039999999999</v>
      </c>
      <c r="Y598">
        <v>-0.1860792</v>
      </c>
      <c r="Z598">
        <v>9.3258430000000003E-3</v>
      </c>
      <c r="AA598">
        <v>0.98249050000000004</v>
      </c>
      <c r="AB598">
        <v>30</v>
      </c>
      <c r="AC598">
        <v>13.4497</v>
      </c>
      <c r="AD598">
        <v>-1.1350690000000001</v>
      </c>
      <c r="AE598">
        <v>2.3156999999999899</v>
      </c>
      <c r="AF598">
        <v>-2.5625820332768798</v>
      </c>
      <c r="AG598">
        <v>-1.1350690000000001</v>
      </c>
      <c r="AH598">
        <v>13.309387598778899</v>
      </c>
      <c r="AI598">
        <v>94.787075592536496</v>
      </c>
      <c r="AJ598">
        <v>100.898331117962</v>
      </c>
      <c r="AK598">
        <v>13.6012869452329</v>
      </c>
    </row>
    <row r="599" spans="1:37" x14ac:dyDescent="0.2">
      <c r="A599" t="str">
        <f>"20200111153621655"</f>
        <v>20200111153621655</v>
      </c>
      <c r="B599" t="str">
        <f>"1578728181643639"</f>
        <v>1578728181643639</v>
      </c>
      <c r="C599" t="s">
        <v>37</v>
      </c>
      <c r="D599">
        <v>5.8259019999999904</v>
      </c>
      <c r="E599">
        <v>0.44663389999999997</v>
      </c>
      <c r="F599" t="s">
        <v>40</v>
      </c>
      <c r="G599">
        <v>-303.8229</v>
      </c>
      <c r="H599">
        <v>-0.05</v>
      </c>
      <c r="I599">
        <v>369.899</v>
      </c>
      <c r="J599">
        <v>-316.53719999999998</v>
      </c>
      <c r="K599">
        <v>1.0830770000000001</v>
      </c>
      <c r="L599">
        <v>367.61450000000002</v>
      </c>
      <c r="M599">
        <v>0.99949059999999901</v>
      </c>
      <c r="N599">
        <v>0</v>
      </c>
      <c r="O599">
        <v>-1.976549E-2</v>
      </c>
      <c r="P599">
        <v>0.99914269999999905</v>
      </c>
      <c r="Q599">
        <v>1.5757150000000001E-2</v>
      </c>
      <c r="R599">
        <v>3.8286439999999998E-2</v>
      </c>
      <c r="S599">
        <v>2.987244</v>
      </c>
      <c r="T599">
        <v>-0.26180759999999997</v>
      </c>
      <c r="U599">
        <v>0.52581789999999995</v>
      </c>
      <c r="V599">
        <v>-5.8003770000000003E-2</v>
      </c>
      <c r="W599">
        <v>4.0811470000000002E-2</v>
      </c>
      <c r="X599">
        <v>0.99748179999999997</v>
      </c>
      <c r="Y599">
        <v>-0.19200629999999999</v>
      </c>
      <c r="Z599">
        <v>1.005115E-2</v>
      </c>
      <c r="AA599">
        <v>0.98134219999999905</v>
      </c>
      <c r="AB599">
        <v>30</v>
      </c>
      <c r="AC599">
        <v>12.7142999999999</v>
      </c>
      <c r="AD599">
        <v>-1.1330769999999999</v>
      </c>
      <c r="AE599">
        <v>2.28449999999998</v>
      </c>
      <c r="AF599">
        <v>-2.5160788083682402</v>
      </c>
      <c r="AG599">
        <v>-1.1330769999999999</v>
      </c>
      <c r="AH599">
        <v>12.5699370338361</v>
      </c>
      <c r="AI599">
        <v>95.051161041725194</v>
      </c>
      <c r="AJ599">
        <v>101.319098471378</v>
      </c>
      <c r="AK599">
        <v>12.869259228582401</v>
      </c>
    </row>
    <row r="600" spans="1:37" x14ac:dyDescent="0.2">
      <c r="A600" t="str">
        <f>"20200111153621677"</f>
        <v>20200111153621677</v>
      </c>
      <c r="B600" t="str">
        <f>"1578728181672919"</f>
        <v>1578728181672919</v>
      </c>
      <c r="C600" t="s">
        <v>37</v>
      </c>
      <c r="D600">
        <v>5.8653110000000002</v>
      </c>
      <c r="E600">
        <v>0.4459187</v>
      </c>
      <c r="F600" t="s">
        <v>40</v>
      </c>
      <c r="G600">
        <v>-303.75380000000001</v>
      </c>
      <c r="H600">
        <v>-0.05</v>
      </c>
      <c r="I600">
        <v>369.90120000000002</v>
      </c>
      <c r="J600">
        <v>-316.23719999999997</v>
      </c>
      <c r="K600">
        <v>1.0804929999999999</v>
      </c>
      <c r="L600">
        <v>367.60849999999999</v>
      </c>
      <c r="M600">
        <v>0.99949659999999996</v>
      </c>
      <c r="N600">
        <v>0</v>
      </c>
      <c r="O600">
        <v>-1.981631E-2</v>
      </c>
      <c r="P600">
        <v>0.99908129999999995</v>
      </c>
      <c r="Q600">
        <v>1.5906710000000001E-2</v>
      </c>
      <c r="R600">
        <v>3.9800519999999999E-2</v>
      </c>
      <c r="S600">
        <v>2.9862669999999998</v>
      </c>
      <c r="T600">
        <v>-0.26469189999999998</v>
      </c>
      <c r="U600">
        <v>0.53417969999999904</v>
      </c>
      <c r="V600">
        <v>-5.9573170000000002E-2</v>
      </c>
      <c r="W600">
        <v>4.0667590000000003E-2</v>
      </c>
      <c r="X600">
        <v>0.99739519999999904</v>
      </c>
      <c r="Y600">
        <v>-0.194745899999999</v>
      </c>
      <c r="Z600">
        <v>1.028696E-2</v>
      </c>
      <c r="AA600">
        <v>0.9807998</v>
      </c>
      <c r="AB600">
        <v>30</v>
      </c>
      <c r="AC600">
        <v>12.4833999999999</v>
      </c>
      <c r="AD600">
        <v>-1.130493</v>
      </c>
      <c r="AE600">
        <v>2.2927000000000199</v>
      </c>
      <c r="AF600">
        <v>-2.5197103960901801</v>
      </c>
      <c r="AG600">
        <v>-1.130493</v>
      </c>
      <c r="AH600">
        <v>12.337620441126401</v>
      </c>
      <c r="AI600">
        <v>95.130066529458901</v>
      </c>
      <c r="AJ600">
        <v>101.542773199145</v>
      </c>
      <c r="AK600">
        <v>12.642936093032899</v>
      </c>
    </row>
    <row r="601" spans="1:37" x14ac:dyDescent="0.2">
      <c r="A601" t="str">
        <f>"20200111153621690"</f>
        <v>20200111153621690</v>
      </c>
      <c r="B601" t="str">
        <f>"1578728181683654"</f>
        <v>1578728181683654</v>
      </c>
      <c r="C601" t="s">
        <v>37</v>
      </c>
      <c r="D601">
        <v>5.8665310000000002</v>
      </c>
      <c r="E601">
        <v>0.44579409999999903</v>
      </c>
      <c r="F601" t="s">
        <v>40</v>
      </c>
      <c r="G601">
        <v>-303.92129999999997</v>
      </c>
      <c r="H601">
        <v>-0.05</v>
      </c>
      <c r="I601">
        <v>369.8501</v>
      </c>
      <c r="J601">
        <v>-316.06380000000001</v>
      </c>
      <c r="K601">
        <v>1.078986</v>
      </c>
      <c r="L601">
        <v>367.60489999999999</v>
      </c>
      <c r="M601">
        <v>0.99950159999999999</v>
      </c>
      <c r="N601">
        <v>0</v>
      </c>
      <c r="O601">
        <v>-1.9838149999999999E-2</v>
      </c>
      <c r="P601">
        <v>0.99907400000000002</v>
      </c>
      <c r="Q601">
        <v>1.605972E-2</v>
      </c>
      <c r="R601">
        <v>3.991281E-2</v>
      </c>
      <c r="S601">
        <v>2.985474</v>
      </c>
      <c r="T601">
        <v>-0.2740417</v>
      </c>
      <c r="U601">
        <v>0.54339599999999999</v>
      </c>
      <c r="V601">
        <v>-5.971079E-2</v>
      </c>
      <c r="W601">
        <v>4.0596599999999997E-2</v>
      </c>
      <c r="X601">
        <v>0.99738989999999905</v>
      </c>
      <c r="Y601">
        <v>-0.1976734</v>
      </c>
      <c r="Z601">
        <v>1.078375E-2</v>
      </c>
      <c r="AA601">
        <v>0.98020859999999999</v>
      </c>
      <c r="AB601">
        <v>30</v>
      </c>
      <c r="AC601">
        <v>12.1425</v>
      </c>
      <c r="AD601">
        <v>-1.128986</v>
      </c>
      <c r="AE601">
        <v>2.2452000000000099</v>
      </c>
      <c r="AF601">
        <v>-2.4651091330665</v>
      </c>
      <c r="AG601">
        <v>-1.128986</v>
      </c>
      <c r="AH601">
        <v>11.9952848552681</v>
      </c>
      <c r="AI601">
        <v>95.267351667973301</v>
      </c>
      <c r="AJ601">
        <v>101.612973944553</v>
      </c>
      <c r="AK601">
        <v>12.297895396576999</v>
      </c>
    </row>
    <row r="602" spans="1:37" x14ac:dyDescent="0.2">
      <c r="A602" t="str">
        <f>"20200111153621703"</f>
        <v>20200111153621703</v>
      </c>
      <c r="B602" t="str">
        <f>"1578728181693415"</f>
        <v>1578728181693415</v>
      </c>
      <c r="C602" t="s">
        <v>37</v>
      </c>
      <c r="D602">
        <v>5.8370860000000002</v>
      </c>
      <c r="E602">
        <v>0.4457487</v>
      </c>
      <c r="F602" t="s">
        <v>40</v>
      </c>
      <c r="G602">
        <v>-303.84589999999997</v>
      </c>
      <c r="H602">
        <v>-0.05</v>
      </c>
      <c r="I602">
        <v>369.83280000000002</v>
      </c>
      <c r="J602">
        <v>-315.89170000000001</v>
      </c>
      <c r="K602">
        <v>1.077496</v>
      </c>
      <c r="L602">
        <v>367.60149999999999</v>
      </c>
      <c r="M602">
        <v>0.99950720000000004</v>
      </c>
      <c r="N602">
        <v>0</v>
      </c>
      <c r="O602">
        <v>-1.985783E-2</v>
      </c>
      <c r="P602">
        <v>0.9990462</v>
      </c>
      <c r="Q602">
        <v>1.6617369999999999E-2</v>
      </c>
      <c r="R602">
        <v>4.0381380000000001E-2</v>
      </c>
      <c r="S602">
        <v>2.985474</v>
      </c>
      <c r="T602">
        <v>-0.27587129999999999</v>
      </c>
      <c r="U602">
        <v>0.54437259999999998</v>
      </c>
      <c r="V602">
        <v>-6.0201320000000003E-2</v>
      </c>
      <c r="W602">
        <v>4.090009E-2</v>
      </c>
      <c r="X602">
        <v>0.99734799999999901</v>
      </c>
      <c r="Y602">
        <v>-0.19798969999999999</v>
      </c>
      <c r="Z602">
        <v>1.08714E-2</v>
      </c>
      <c r="AA602">
        <v>0.98014380000000001</v>
      </c>
      <c r="AB602">
        <v>30</v>
      </c>
      <c r="AC602">
        <v>12.0458</v>
      </c>
      <c r="AD602">
        <v>-1.1274959999999901</v>
      </c>
      <c r="AE602">
        <v>2.2313000000000298</v>
      </c>
      <c r="AF602">
        <v>-2.4493864854510901</v>
      </c>
      <c r="AG602">
        <v>-1.1274959999999901</v>
      </c>
      <c r="AH602">
        <v>11.8983171860299</v>
      </c>
      <c r="AI602">
        <v>95.302698845086795</v>
      </c>
      <c r="AJ602">
        <v>101.632400306173</v>
      </c>
      <c r="AK602">
        <v>12.2000284116268</v>
      </c>
    </row>
    <row r="603" spans="1:37" x14ac:dyDescent="0.2">
      <c r="A603" t="str">
        <f>"20200111153621714"</f>
        <v>20200111153621714</v>
      </c>
      <c r="B603" t="str">
        <f>"1578728181703174"</f>
        <v>1578728181703174</v>
      </c>
      <c r="C603" t="s">
        <v>37</v>
      </c>
      <c r="D603">
        <v>5.8651910000000003</v>
      </c>
      <c r="E603">
        <v>0.44575740000000003</v>
      </c>
      <c r="F603" t="s">
        <v>40</v>
      </c>
      <c r="G603">
        <v>-303.70280000000002</v>
      </c>
      <c r="H603">
        <v>-0.05</v>
      </c>
      <c r="I603">
        <v>369.83179999999999</v>
      </c>
      <c r="J603">
        <v>-315.73390000000001</v>
      </c>
      <c r="K603">
        <v>1.076136</v>
      </c>
      <c r="L603">
        <v>367.59829999999999</v>
      </c>
      <c r="M603">
        <v>0.9995136</v>
      </c>
      <c r="N603">
        <v>0</v>
      </c>
      <c r="O603">
        <v>-1.9873269999999998E-2</v>
      </c>
      <c r="P603">
        <v>0.99904289999999996</v>
      </c>
      <c r="Q603">
        <v>1.692041E-2</v>
      </c>
      <c r="R603">
        <v>4.0334330000000002E-2</v>
      </c>
      <c r="S603">
        <v>2.985382</v>
      </c>
      <c r="T603">
        <v>-0.27615220000000001</v>
      </c>
      <c r="U603">
        <v>0.54626459999999999</v>
      </c>
      <c r="V603">
        <v>-6.0171790000000003E-2</v>
      </c>
      <c r="W603">
        <v>4.0923910000000001E-2</v>
      </c>
      <c r="X603">
        <v>0.99734880000000004</v>
      </c>
      <c r="Y603">
        <v>-0.1986068</v>
      </c>
      <c r="Z603">
        <v>1.0911789999999999E-2</v>
      </c>
      <c r="AA603">
        <v>0.98001849999999902</v>
      </c>
      <c r="AB603">
        <v>30</v>
      </c>
      <c r="AC603">
        <v>12.031099999999901</v>
      </c>
      <c r="AD603">
        <v>-1.126136</v>
      </c>
      <c r="AE603">
        <v>2.23349999999999</v>
      </c>
      <c r="AF603">
        <v>-2.4514624605436</v>
      </c>
      <c r="AG603">
        <v>-1.126136</v>
      </c>
      <c r="AH603">
        <v>11.883674477321501</v>
      </c>
      <c r="AI603">
        <v>95.302381429402402</v>
      </c>
      <c r="AJ603">
        <v>101.65594293722999</v>
      </c>
      <c r="AK603">
        <v>12.1860399461389</v>
      </c>
    </row>
    <row r="604" spans="1:37" x14ac:dyDescent="0.2">
      <c r="A604" t="str">
        <f>"20200111153621729"</f>
        <v>20200111153621729</v>
      </c>
      <c r="B604" t="str">
        <f>"1578728181723671"</f>
        <v>1578728181723671</v>
      </c>
      <c r="C604" t="s">
        <v>37</v>
      </c>
      <c r="D604">
        <v>5.8026519999999904</v>
      </c>
      <c r="E604">
        <v>0.44557799999999997</v>
      </c>
      <c r="F604" t="s">
        <v>40</v>
      </c>
      <c r="G604">
        <v>-303.62349999999998</v>
      </c>
      <c r="H604">
        <v>-0.05</v>
      </c>
      <c r="I604">
        <v>369.81220000000002</v>
      </c>
      <c r="J604">
        <v>-315.55669999999998</v>
      </c>
      <c r="K604">
        <v>1.07464</v>
      </c>
      <c r="L604">
        <v>367.59480000000002</v>
      </c>
      <c r="M604">
        <v>0.99952180000000002</v>
      </c>
      <c r="N604">
        <v>0</v>
      </c>
      <c r="O604">
        <v>-1.988589E-2</v>
      </c>
      <c r="P604">
        <v>0.99904119999999996</v>
      </c>
      <c r="Q604">
        <v>1.7535220000000001E-2</v>
      </c>
      <c r="R604">
        <v>4.0115449999999997E-2</v>
      </c>
      <c r="S604">
        <v>2.985474</v>
      </c>
      <c r="T604">
        <v>-0.27761669999999999</v>
      </c>
      <c r="U604">
        <v>0.54577640000000005</v>
      </c>
      <c r="V604">
        <v>-5.996808E-2</v>
      </c>
      <c r="W604">
        <v>4.1181179999999998E-2</v>
      </c>
      <c r="X604">
        <v>0.99735049999999903</v>
      </c>
      <c r="Y604">
        <v>-0.1984496</v>
      </c>
      <c r="Z604">
        <v>1.096316E-2</v>
      </c>
      <c r="AA604">
        <v>0.98004979999999997</v>
      </c>
      <c r="AB604">
        <v>30</v>
      </c>
      <c r="AC604">
        <v>11.933199999999999</v>
      </c>
      <c r="AD604">
        <v>-1.1246400000000001</v>
      </c>
      <c r="AE604">
        <v>2.2173999999999898</v>
      </c>
      <c r="AF604">
        <v>-2.43343760526575</v>
      </c>
      <c r="AG604">
        <v>-1.1246400000000001</v>
      </c>
      <c r="AH604">
        <v>11.785545587667899</v>
      </c>
      <c r="AI604">
        <v>95.339016518323504</v>
      </c>
      <c r="AJ604">
        <v>101.666285207436</v>
      </c>
      <c r="AK604">
        <v>12.0865842365542</v>
      </c>
    </row>
    <row r="605" spans="1:37" x14ac:dyDescent="0.2">
      <c r="A605" t="str">
        <f>"20200111153621744"</f>
        <v>20200111153621744</v>
      </c>
      <c r="B605" t="str">
        <f>"1578728181733430"</f>
        <v>1578728181733430</v>
      </c>
      <c r="C605" t="s">
        <v>37</v>
      </c>
      <c r="D605">
        <v>5.8520199999999898</v>
      </c>
      <c r="E605">
        <v>0.44565389999999999</v>
      </c>
      <c r="F605" t="s">
        <v>40</v>
      </c>
      <c r="G605">
        <v>-303.55950000000001</v>
      </c>
      <c r="H605">
        <v>-0.05</v>
      </c>
      <c r="I605">
        <v>369.7894</v>
      </c>
      <c r="J605">
        <v>-315.35559999999998</v>
      </c>
      <c r="K605">
        <v>1.072981</v>
      </c>
      <c r="L605">
        <v>367.5908</v>
      </c>
      <c r="M605">
        <v>0.99953199999999998</v>
      </c>
      <c r="N605">
        <v>0</v>
      </c>
      <c r="O605">
        <v>-1.989411E-2</v>
      </c>
      <c r="P605">
        <v>0.9990464</v>
      </c>
      <c r="Q605">
        <v>1.806874E-2</v>
      </c>
      <c r="R605">
        <v>3.9750889999999997E-2</v>
      </c>
      <c r="S605">
        <v>2.9858699999999998</v>
      </c>
      <c r="T605">
        <v>-0.27990009999999999</v>
      </c>
      <c r="U605">
        <v>0.54620360000000001</v>
      </c>
      <c r="V605">
        <v>-5.9614019999999997E-2</v>
      </c>
      <c r="W605">
        <v>4.127314E-2</v>
      </c>
      <c r="X605">
        <v>0.99736789999999997</v>
      </c>
      <c r="Y605">
        <v>-0.19855490000000001</v>
      </c>
      <c r="Z605">
        <v>1.10569999999999E-2</v>
      </c>
      <c r="AA605">
        <v>0.98002739999999999</v>
      </c>
      <c r="AB605">
        <v>30</v>
      </c>
      <c r="AC605">
        <v>11.7960999999999</v>
      </c>
      <c r="AD605">
        <v>-1.122981</v>
      </c>
      <c r="AE605">
        <v>2.1985999999999901</v>
      </c>
      <c r="AF605">
        <v>-2.41177703401421</v>
      </c>
      <c r="AG605">
        <v>-1.122981</v>
      </c>
      <c r="AH605">
        <v>11.6479925101823</v>
      </c>
      <c r="AI605">
        <v>95.393158584415502</v>
      </c>
      <c r="AJ605">
        <v>101.69808383211399</v>
      </c>
      <c r="AK605">
        <v>11.947948958102501</v>
      </c>
    </row>
    <row r="606" spans="1:37" x14ac:dyDescent="0.2">
      <c r="A606" t="str">
        <f>"20200111153621765"</f>
        <v>20200111153621765</v>
      </c>
      <c r="B606" t="str">
        <f>"1578728181752951"</f>
        <v>1578728181752951</v>
      </c>
      <c r="C606" t="s">
        <v>37</v>
      </c>
      <c r="D606">
        <v>5.8705759999999998</v>
      </c>
      <c r="E606">
        <v>0.44562429999999997</v>
      </c>
      <c r="F606" t="s">
        <v>40</v>
      </c>
      <c r="G606">
        <v>-303.34500000000003</v>
      </c>
      <c r="H606">
        <v>-0.05</v>
      </c>
      <c r="I606">
        <v>369.78050000000002</v>
      </c>
      <c r="J606">
        <v>-315.07089999999999</v>
      </c>
      <c r="K606">
        <v>1.070756</v>
      </c>
      <c r="L606">
        <v>367.58510000000001</v>
      </c>
      <c r="M606">
        <v>0.99954759999999998</v>
      </c>
      <c r="N606">
        <v>0</v>
      </c>
      <c r="O606">
        <v>-1.9890890000000001E-2</v>
      </c>
      <c r="P606">
        <v>0.99903209999999998</v>
      </c>
      <c r="Q606">
        <v>1.928405E-2</v>
      </c>
      <c r="R606">
        <v>3.9535109999999998E-2</v>
      </c>
      <c r="S606">
        <v>2.9862669999999998</v>
      </c>
      <c r="T606">
        <v>-0.27921360000000001</v>
      </c>
      <c r="U606">
        <v>0.54443359999999996</v>
      </c>
      <c r="V606">
        <v>-5.9395839999999998E-2</v>
      </c>
      <c r="W606">
        <v>4.1806259999999998E-2</v>
      </c>
      <c r="X606">
        <v>0.99735869999999904</v>
      </c>
      <c r="Y606">
        <v>-0.19797329999999999</v>
      </c>
      <c r="Z606">
        <v>1.10018999999999E-2</v>
      </c>
      <c r="AA606">
        <v>0.98014559999999995</v>
      </c>
      <c r="AB606">
        <v>30</v>
      </c>
      <c r="AC606">
        <v>11.7258999999999</v>
      </c>
      <c r="AD606">
        <v>-1.1207560000000001</v>
      </c>
      <c r="AE606">
        <v>2.1953999999999998</v>
      </c>
      <c r="AF606">
        <v>-2.4070189042074102</v>
      </c>
      <c r="AG606">
        <v>-1.1207560000000001</v>
      </c>
      <c r="AH606">
        <v>11.5777137596644</v>
      </c>
      <c r="AI606">
        <v>95.4141094215735</v>
      </c>
      <c r="AJ606">
        <v>101.744549427349</v>
      </c>
      <c r="AK606">
        <v>11.8782696516567</v>
      </c>
    </row>
    <row r="607" spans="1:37" x14ac:dyDescent="0.2">
      <c r="A607" t="str">
        <f>"20200111153621778"</f>
        <v>20200111153621778</v>
      </c>
      <c r="B607" t="str">
        <f>"1578728181773447"</f>
        <v>1578728181773447</v>
      </c>
      <c r="C607" t="s">
        <v>37</v>
      </c>
      <c r="D607">
        <v>5.8298069999999997</v>
      </c>
      <c r="E607">
        <v>0.44561640000000002</v>
      </c>
      <c r="F607" t="s">
        <v>40</v>
      </c>
      <c r="G607">
        <v>-303.00259999999997</v>
      </c>
      <c r="H607">
        <v>-0.05</v>
      </c>
      <c r="I607">
        <v>369.78379999999999</v>
      </c>
      <c r="J607">
        <v>-314.90629999999999</v>
      </c>
      <c r="K607">
        <v>1.069529</v>
      </c>
      <c r="L607">
        <v>367.58179999999999</v>
      </c>
      <c r="M607">
        <v>0.99955680000000002</v>
      </c>
      <c r="N607">
        <v>0</v>
      </c>
      <c r="O607">
        <v>-1.9884039999999999E-2</v>
      </c>
      <c r="P607">
        <v>0.9990116</v>
      </c>
      <c r="Q607">
        <v>2.0187859999999998E-2</v>
      </c>
      <c r="R607">
        <v>3.9602859999999997E-2</v>
      </c>
      <c r="S607">
        <v>2.986694</v>
      </c>
      <c r="T607">
        <v>-0.2773679</v>
      </c>
      <c r="U607">
        <v>0.5441589</v>
      </c>
      <c r="V607">
        <v>-5.9456879999999997E-2</v>
      </c>
      <c r="W607">
        <v>4.2303630000000002E-2</v>
      </c>
      <c r="X607">
        <v>0.9973341</v>
      </c>
      <c r="Y607">
        <v>-0.197867299999999</v>
      </c>
      <c r="Z607">
        <v>1.092251E-2</v>
      </c>
      <c r="AA607">
        <v>0.98016800000000004</v>
      </c>
      <c r="AB607">
        <v>30</v>
      </c>
      <c r="AC607">
        <v>11.903700000000001</v>
      </c>
      <c r="AD607">
        <v>-1.119529</v>
      </c>
      <c r="AE607">
        <v>2.2019999999999902</v>
      </c>
      <c r="AF607">
        <v>-2.4176392819435599</v>
      </c>
      <c r="AG607">
        <v>-1.119529</v>
      </c>
      <c r="AH607">
        <v>11.756998026013299</v>
      </c>
      <c r="AI607">
        <v>95.328605446170798</v>
      </c>
      <c r="AJ607">
        <v>101.619985890306</v>
      </c>
      <c r="AK607">
        <v>12.055095497884601</v>
      </c>
    </row>
    <row r="608" spans="1:37" x14ac:dyDescent="0.2">
      <c r="A608" t="str">
        <f>"20200111153621791"</f>
        <v>20200111153621791</v>
      </c>
      <c r="B608" t="str">
        <f>"1578728181783207"</f>
        <v>1578728181783207</v>
      </c>
      <c r="C608" t="s">
        <v>37</v>
      </c>
      <c r="D608">
        <v>5.8594900000000001</v>
      </c>
      <c r="E608">
        <v>0.44555070000000002</v>
      </c>
      <c r="F608" t="s">
        <v>40</v>
      </c>
      <c r="G608">
        <v>-302.77429999999998</v>
      </c>
      <c r="H608">
        <v>-0.05</v>
      </c>
      <c r="I608">
        <v>369.7928</v>
      </c>
      <c r="J608">
        <v>-314.7396</v>
      </c>
      <c r="K608">
        <v>1.068378</v>
      </c>
      <c r="L608">
        <v>367.57850000000002</v>
      </c>
      <c r="M608">
        <v>0.99956610000000001</v>
      </c>
      <c r="N608">
        <v>0</v>
      </c>
      <c r="O608">
        <v>-1.9874510000000001E-2</v>
      </c>
      <c r="P608">
        <v>0.99898659999999995</v>
      </c>
      <c r="Q608">
        <v>2.07449E-2</v>
      </c>
      <c r="R608">
        <v>3.99481E-2</v>
      </c>
      <c r="S608">
        <v>2.9869080000000001</v>
      </c>
      <c r="T608">
        <v>-0.27562759999999997</v>
      </c>
      <c r="U608">
        <v>0.54434199999999999</v>
      </c>
      <c r="V608">
        <v>-5.979276E-2</v>
      </c>
      <c r="W608">
        <v>4.2445610000000002E-2</v>
      </c>
      <c r="X608">
        <v>0.99730799999999997</v>
      </c>
      <c r="Y608">
        <v>-0.19791489999999901</v>
      </c>
      <c r="Z608">
        <v>1.085473E-2</v>
      </c>
      <c r="AA608">
        <v>0.98015909999999995</v>
      </c>
      <c r="AB608">
        <v>30</v>
      </c>
      <c r="AC608">
        <v>11.965299999999999</v>
      </c>
      <c r="AD608">
        <v>-1.1183780000000001</v>
      </c>
      <c r="AE608">
        <v>2.2142999999999802</v>
      </c>
      <c r="AF608">
        <v>-2.431186734912</v>
      </c>
      <c r="AG608">
        <v>-1.1183780000000001</v>
      </c>
      <c r="AH608">
        <v>11.819080491469499</v>
      </c>
      <c r="AI608">
        <v>95.295288108249494</v>
      </c>
      <c r="AJ608">
        <v>101.62361917635801</v>
      </c>
      <c r="AK608">
        <v>12.118254905502299</v>
      </c>
    </row>
    <row r="609" spans="1:37" x14ac:dyDescent="0.2">
      <c r="A609" t="str">
        <f>"20200111153621803"</f>
        <v>20200111153621803</v>
      </c>
      <c r="B609" t="str">
        <f>"1578728181792967"</f>
        <v>1578728181792967</v>
      </c>
      <c r="C609" t="s">
        <v>37</v>
      </c>
      <c r="D609">
        <v>5.7623769999999999</v>
      </c>
      <c r="E609">
        <v>0.44540790000000002</v>
      </c>
      <c r="F609" t="s">
        <v>40</v>
      </c>
      <c r="G609">
        <v>-302.5899</v>
      </c>
      <c r="H609">
        <v>-0.05</v>
      </c>
      <c r="I609">
        <v>369.79910000000001</v>
      </c>
      <c r="J609">
        <v>-314.57279999999997</v>
      </c>
      <c r="K609">
        <v>1.0672709999999901</v>
      </c>
      <c r="L609">
        <v>367.57510000000002</v>
      </c>
      <c r="M609">
        <v>0.9995752</v>
      </c>
      <c r="N609">
        <v>0</v>
      </c>
      <c r="O609">
        <v>-1.986593E-2</v>
      </c>
      <c r="P609">
        <v>0.99896509999999905</v>
      </c>
      <c r="Q609">
        <v>2.167432E-2</v>
      </c>
      <c r="R609">
        <v>3.998898E-2</v>
      </c>
      <c r="S609">
        <v>2.9869379999999999</v>
      </c>
      <c r="T609">
        <v>-0.27494759999999902</v>
      </c>
      <c r="U609">
        <v>0.545929</v>
      </c>
      <c r="V609">
        <v>-5.9824719999999998E-2</v>
      </c>
      <c r="W609">
        <v>4.2962979999999998E-2</v>
      </c>
      <c r="X609">
        <v>0.9972839</v>
      </c>
      <c r="Y609">
        <v>-0.198410999999999</v>
      </c>
      <c r="Z609">
        <v>1.084925E-2</v>
      </c>
      <c r="AA609">
        <v>0.98005880000000001</v>
      </c>
      <c r="AB609">
        <v>29</v>
      </c>
      <c r="AC609">
        <v>11.9828999999999</v>
      </c>
      <c r="AD609">
        <v>-1.1172709999999999</v>
      </c>
      <c r="AE609">
        <v>2.2239999999999802</v>
      </c>
      <c r="AF609">
        <v>-2.4411511094801499</v>
      </c>
      <c r="AG609">
        <v>-1.1172709999999999</v>
      </c>
      <c r="AH609">
        <v>11.8368654484586</v>
      </c>
      <c r="AI609">
        <v>95.281620231047896</v>
      </c>
      <c r="AJ609">
        <v>101.652900900332</v>
      </c>
      <c r="AK609">
        <v>12.137499613663101</v>
      </c>
    </row>
    <row r="610" spans="1:37" x14ac:dyDescent="0.2">
      <c r="A610" t="str">
        <f>"20200111153621816"</f>
        <v>20200111153621816</v>
      </c>
      <c r="B610" t="str">
        <f>"1578728181813462"</f>
        <v>1578728181813462</v>
      </c>
      <c r="C610" t="s">
        <v>37</v>
      </c>
      <c r="D610">
        <v>5.8544429999999998</v>
      </c>
      <c r="E610">
        <v>0.44530639999999999</v>
      </c>
      <c r="F610" t="s">
        <v>40</v>
      </c>
      <c r="G610">
        <v>-302.34949999999998</v>
      </c>
      <c r="H610">
        <v>-0.05</v>
      </c>
      <c r="I610">
        <v>369.81450000000001</v>
      </c>
      <c r="J610">
        <v>-314.40230000000003</v>
      </c>
      <c r="K610">
        <v>1.0662129999999901</v>
      </c>
      <c r="L610">
        <v>367.57170000000002</v>
      </c>
      <c r="M610">
        <v>0.99958409999999998</v>
      </c>
      <c r="N610">
        <v>0</v>
      </c>
      <c r="O610">
        <v>-1.9859999999999999E-2</v>
      </c>
      <c r="P610">
        <v>0.99894609999999995</v>
      </c>
      <c r="Q610">
        <v>2.242075E-2</v>
      </c>
      <c r="R610">
        <v>4.005185E-2</v>
      </c>
      <c r="S610">
        <v>2.987152</v>
      </c>
      <c r="T610">
        <v>-0.27304119999999998</v>
      </c>
      <c r="U610">
        <v>0.54727169999999903</v>
      </c>
      <c r="V610">
        <v>-5.9881869999999997E-2</v>
      </c>
      <c r="W610">
        <v>4.3295019999999997E-2</v>
      </c>
      <c r="X610">
        <v>0.99726610000000004</v>
      </c>
      <c r="Y610">
        <v>-0.1988297</v>
      </c>
      <c r="Z610">
        <v>1.0791530000000001E-2</v>
      </c>
      <c r="AA610">
        <v>0.97997459999999903</v>
      </c>
      <c r="AB610">
        <v>29</v>
      </c>
      <c r="AC610">
        <v>12.0528</v>
      </c>
      <c r="AD610">
        <v>-1.1162129999999999</v>
      </c>
      <c r="AE610">
        <v>2.2427999999999799</v>
      </c>
      <c r="AF610">
        <v>-2.4613745462664398</v>
      </c>
      <c r="AG610">
        <v>-1.1162129999999999</v>
      </c>
      <c r="AH610">
        <v>11.9071641480474</v>
      </c>
      <c r="AI610">
        <v>95.245171859282806</v>
      </c>
      <c r="AJ610">
        <v>101.67932495131799</v>
      </c>
      <c r="AK610">
        <v>12.210030883127301</v>
      </c>
    </row>
    <row r="611" spans="1:37" x14ac:dyDescent="0.2">
      <c r="A611" t="str">
        <f>"20200111153621832"</f>
        <v>20200111153621832</v>
      </c>
      <c r="B611" t="str">
        <f>"1578728181823222"</f>
        <v>1578728181823222</v>
      </c>
      <c r="C611" t="s">
        <v>37</v>
      </c>
      <c r="D611">
        <v>5.8415470000000003</v>
      </c>
      <c r="E611">
        <v>0.44525609999999999</v>
      </c>
      <c r="F611" t="s">
        <v>40</v>
      </c>
      <c r="G611">
        <v>-302.1191</v>
      </c>
      <c r="H611">
        <v>-0.05</v>
      </c>
      <c r="I611">
        <v>369.8261</v>
      </c>
      <c r="J611">
        <v>-314.18540000000002</v>
      </c>
      <c r="K611">
        <v>1.0649759999999999</v>
      </c>
      <c r="L611">
        <v>367.56740000000002</v>
      </c>
      <c r="M611">
        <v>0.99959469999999995</v>
      </c>
      <c r="N611">
        <v>0</v>
      </c>
      <c r="O611">
        <v>-1.9857940000000001E-2</v>
      </c>
      <c r="P611">
        <v>0.99890859999999904</v>
      </c>
      <c r="Q611">
        <v>2.330204E-2</v>
      </c>
      <c r="R611">
        <v>4.048707E-2</v>
      </c>
      <c r="S611">
        <v>2.9873050000000001</v>
      </c>
      <c r="T611">
        <v>-0.27146520000000002</v>
      </c>
      <c r="U611">
        <v>0.54827879999999996</v>
      </c>
      <c r="V611">
        <v>-6.031458E-2</v>
      </c>
      <c r="W611">
        <v>4.3666610000000002E-2</v>
      </c>
      <c r="X611">
        <v>0.99722389999999905</v>
      </c>
      <c r="Y611">
        <v>-0.1991473</v>
      </c>
      <c r="Z611">
        <v>1.0742710000000001E-2</v>
      </c>
      <c r="AA611">
        <v>0.97991070000000002</v>
      </c>
      <c r="AB611">
        <v>29</v>
      </c>
      <c r="AC611">
        <v>12.0663</v>
      </c>
      <c r="AD611">
        <v>-1.114976</v>
      </c>
      <c r="AE611">
        <v>2.25869999999997</v>
      </c>
      <c r="AF611">
        <v>-2.4774782959046302</v>
      </c>
      <c r="AG611">
        <v>-1.114976</v>
      </c>
      <c r="AH611">
        <v>11.9207177316457</v>
      </c>
      <c r="AI611">
        <v>95.232313483030893</v>
      </c>
      <c r="AJ611">
        <v>101.74062630465799</v>
      </c>
      <c r="AK611">
        <v>12.226388731953</v>
      </c>
    </row>
    <row r="612" spans="1:37" x14ac:dyDescent="0.2">
      <c r="A612" t="str">
        <f>"20200111153621845"</f>
        <v>20200111153621845</v>
      </c>
      <c r="B612" t="str">
        <f>"1578728181832983"</f>
        <v>1578728181832983</v>
      </c>
      <c r="C612" t="s">
        <v>37</v>
      </c>
      <c r="D612">
        <v>5.8484119999999997</v>
      </c>
      <c r="E612">
        <v>0.44515739999999998</v>
      </c>
      <c r="F612" t="s">
        <v>40</v>
      </c>
      <c r="G612">
        <v>-301.8177</v>
      </c>
      <c r="H612">
        <v>-0.05</v>
      </c>
      <c r="I612">
        <v>369.84589999999997</v>
      </c>
      <c r="J612">
        <v>-314.02109999999999</v>
      </c>
      <c r="K612">
        <v>1.064106</v>
      </c>
      <c r="L612">
        <v>367.5641</v>
      </c>
      <c r="M612">
        <v>0.99960210000000005</v>
      </c>
      <c r="N612">
        <v>0</v>
      </c>
      <c r="O612">
        <v>-1.9857920000000001E-2</v>
      </c>
      <c r="P612">
        <v>0.99890069999999997</v>
      </c>
      <c r="Q612">
        <v>2.3790120000000001E-2</v>
      </c>
      <c r="R612">
        <v>4.0398009999999998E-2</v>
      </c>
      <c r="S612">
        <v>2.9872130000000001</v>
      </c>
      <c r="T612">
        <v>-0.26930329999999902</v>
      </c>
      <c r="U612">
        <v>0.55032349999999997</v>
      </c>
      <c r="V612">
        <v>-6.0226290000000002E-2</v>
      </c>
      <c r="W612">
        <v>4.378427E-2</v>
      </c>
      <c r="X612">
        <v>0.997224</v>
      </c>
      <c r="Y612">
        <v>-0.1998125</v>
      </c>
      <c r="Z612">
        <v>1.068683E-2</v>
      </c>
      <c r="AA612">
        <v>0.97977579999999997</v>
      </c>
      <c r="AB612">
        <v>29</v>
      </c>
      <c r="AC612">
        <v>12.203399999999901</v>
      </c>
      <c r="AD612">
        <v>-1.114106</v>
      </c>
      <c r="AE612">
        <v>2.2817999999999699</v>
      </c>
      <c r="AF612">
        <v>-2.5035709665368402</v>
      </c>
      <c r="AG612">
        <v>-1.114106</v>
      </c>
      <c r="AH612">
        <v>12.058562088653799</v>
      </c>
      <c r="AI612">
        <v>95.169030517977205</v>
      </c>
      <c r="AJ612">
        <v>101.7289863426</v>
      </c>
      <c r="AK612">
        <v>12.36600256387</v>
      </c>
    </row>
    <row r="613" spans="1:37" x14ac:dyDescent="0.2">
      <c r="A613" t="str">
        <f>"20200111153621872"</f>
        <v>20200111153621872</v>
      </c>
      <c r="B613" t="str">
        <f>"1578728181863240"</f>
        <v>1578728181863240</v>
      </c>
      <c r="C613" t="s">
        <v>37</v>
      </c>
      <c r="D613">
        <v>6.0158069999999997</v>
      </c>
      <c r="E613">
        <v>0.44540159999999901</v>
      </c>
      <c r="F613" t="s">
        <v>40</v>
      </c>
      <c r="G613">
        <v>-301.62529999999998</v>
      </c>
      <c r="H613">
        <v>-0.05</v>
      </c>
      <c r="I613">
        <v>369.84960000000001</v>
      </c>
      <c r="J613">
        <v>-313.66129999999998</v>
      </c>
      <c r="K613">
        <v>1.062419</v>
      </c>
      <c r="L613">
        <v>367.55699999999899</v>
      </c>
      <c r="M613">
        <v>0.99961699999999998</v>
      </c>
      <c r="N613">
        <v>0</v>
      </c>
      <c r="O613">
        <v>-1.985866E-2</v>
      </c>
      <c r="P613">
        <v>0.99886889999999995</v>
      </c>
      <c r="Q613">
        <v>2.496021E-2</v>
      </c>
      <c r="R613">
        <v>4.0474320000000001E-2</v>
      </c>
      <c r="S613">
        <v>2.9874269999999998</v>
      </c>
      <c r="T613">
        <v>-0.26850239999999997</v>
      </c>
      <c r="U613">
        <v>0.55081179999999996</v>
      </c>
      <c r="V613">
        <v>-6.030319E-2</v>
      </c>
      <c r="W613">
        <v>4.4195379999999999E-2</v>
      </c>
      <c r="X613">
        <v>0.99720119999999901</v>
      </c>
      <c r="Y613">
        <v>-0.19996</v>
      </c>
      <c r="Z613">
        <v>1.0660869999999999E-2</v>
      </c>
      <c r="AA613">
        <v>0.97974599999999901</v>
      </c>
      <c r="AB613">
        <v>29</v>
      </c>
      <c r="AC613">
        <v>12.036</v>
      </c>
      <c r="AD613">
        <v>-1.112419</v>
      </c>
      <c r="AE613">
        <v>2.2926000000000499</v>
      </c>
      <c r="AF613">
        <v>-2.5105163433898201</v>
      </c>
      <c r="AG613">
        <v>-1.112419</v>
      </c>
      <c r="AH613">
        <v>11.890077193275401</v>
      </c>
      <c r="AI613">
        <v>95.230298230735798</v>
      </c>
      <c r="AJ613">
        <v>101.922532763112</v>
      </c>
      <c r="AK613">
        <v>12.2030366714206</v>
      </c>
    </row>
    <row r="614" spans="1:37" x14ac:dyDescent="0.2">
      <c r="A614" t="str">
        <f>"20200111153621889"</f>
        <v>20200111153621889</v>
      </c>
      <c r="B614" t="str">
        <f>"1578728181883734"</f>
        <v>1578728181883734</v>
      </c>
      <c r="C614" t="s">
        <v>37</v>
      </c>
      <c r="D614">
        <v>5.9104890000000001</v>
      </c>
      <c r="E614">
        <v>0.4880932</v>
      </c>
      <c r="F614" t="s">
        <v>40</v>
      </c>
      <c r="G614">
        <v>-301.07</v>
      </c>
      <c r="H614">
        <v>-0.05</v>
      </c>
      <c r="I614">
        <v>369.87049999999999</v>
      </c>
      <c r="J614">
        <v>-313.44459999999998</v>
      </c>
      <c r="K614">
        <v>1.0615349999999999</v>
      </c>
      <c r="L614">
        <v>367.55270000000002</v>
      </c>
      <c r="M614">
        <v>0.99962499999999999</v>
      </c>
      <c r="N614">
        <v>0</v>
      </c>
      <c r="O614">
        <v>-1.985688E-2</v>
      </c>
      <c r="P614">
        <v>0.99887199999999998</v>
      </c>
      <c r="Q614">
        <v>2.5826479999999999E-2</v>
      </c>
      <c r="R614">
        <v>3.9846439999999997E-2</v>
      </c>
      <c r="S614">
        <v>2.9877929999999999</v>
      </c>
      <c r="T614">
        <v>-0.2639669</v>
      </c>
      <c r="U614">
        <v>0.54898069999999999</v>
      </c>
      <c r="V614">
        <v>-5.9674310000000001E-2</v>
      </c>
      <c r="W614">
        <v>4.4642210000000002E-2</v>
      </c>
      <c r="X614">
        <v>0.99721909999999903</v>
      </c>
      <c r="Y614">
        <v>-0.19938689999999901</v>
      </c>
      <c r="Z614">
        <v>1.0455559999999999E-2</v>
      </c>
      <c r="AA614">
        <v>0.97986509999999905</v>
      </c>
      <c r="AB614">
        <v>29</v>
      </c>
      <c r="AC614">
        <v>12.3745999999999</v>
      </c>
      <c r="AD614">
        <v>-1.1115349999999999</v>
      </c>
      <c r="AE614">
        <v>2.3177999999999699</v>
      </c>
      <c r="AF614">
        <v>-2.5432829208280401</v>
      </c>
      <c r="AG614">
        <v>-1.1115349999999999</v>
      </c>
      <c r="AH614">
        <v>12.2307893621839</v>
      </c>
      <c r="AI614">
        <v>95.084603730313503</v>
      </c>
      <c r="AJ614">
        <v>101.746744841397</v>
      </c>
      <c r="AK614">
        <v>12.5417704688657</v>
      </c>
    </row>
    <row r="615" spans="1:37" x14ac:dyDescent="0.2">
      <c r="A615" t="str">
        <f>"20200111153621902"</f>
        <v>20200111153621902</v>
      </c>
      <c r="B615" t="str">
        <f>"1578728181893495"</f>
        <v>1578728181893495</v>
      </c>
      <c r="C615" t="s">
        <v>37</v>
      </c>
      <c r="D615">
        <v>5.8545889999999998</v>
      </c>
      <c r="E615">
        <v>0.48857650000000002</v>
      </c>
      <c r="F615" t="s">
        <v>40</v>
      </c>
      <c r="G615">
        <v>-298.73309999999998</v>
      </c>
      <c r="H615">
        <v>-0.05</v>
      </c>
      <c r="I615">
        <v>368.56869999999998</v>
      </c>
      <c r="J615">
        <v>-313.27820000000003</v>
      </c>
      <c r="K615">
        <v>1.060907</v>
      </c>
      <c r="L615">
        <v>367.54939999999999</v>
      </c>
      <c r="M615">
        <v>0.99963080000000004</v>
      </c>
      <c r="N615">
        <v>0</v>
      </c>
      <c r="O615">
        <v>-1.9854119999999999E-2</v>
      </c>
      <c r="P615">
        <v>0.99885499999999905</v>
      </c>
      <c r="Q615">
        <v>2.6111329999999999E-2</v>
      </c>
      <c r="R615">
        <v>4.0087419999999999E-2</v>
      </c>
      <c r="S615">
        <v>3.0009769999999998</v>
      </c>
      <c r="T615">
        <v>-0.22673979999999899</v>
      </c>
      <c r="U615">
        <v>0.20724490000000001</v>
      </c>
      <c r="V615">
        <v>-5.9912140000000003E-2</v>
      </c>
      <c r="W615">
        <v>4.4620300000000002E-2</v>
      </c>
      <c r="X615">
        <v>0.99720589999999998</v>
      </c>
      <c r="Y615">
        <v>-8.8384679999999993E-2</v>
      </c>
      <c r="Z615">
        <v>4.8268829999999997E-3</v>
      </c>
      <c r="AA615">
        <v>0.99607469999999998</v>
      </c>
      <c r="AB615">
        <v>29</v>
      </c>
      <c r="AC615">
        <v>14.5451</v>
      </c>
      <c r="AD615">
        <v>-1.1109070000000001</v>
      </c>
      <c r="AE615">
        <v>1.0192999999999801</v>
      </c>
      <c r="AF615">
        <v>-1.30038029783814</v>
      </c>
      <c r="AG615">
        <v>-1.1109070000000001</v>
      </c>
      <c r="AH615">
        <v>14.438179089655</v>
      </c>
      <c r="AI615">
        <v>94.382133397906301</v>
      </c>
      <c r="AJ615">
        <v>95.1464812684967</v>
      </c>
      <c r="AK615">
        <v>14.539123725541501</v>
      </c>
    </row>
    <row r="616" spans="1:37" x14ac:dyDescent="0.2">
      <c r="A616" t="str">
        <f>"20200111153621927"</f>
        <v>20200111153621927</v>
      </c>
      <c r="B616" t="str">
        <f>"1578728181923750"</f>
        <v>1578728181923750</v>
      </c>
      <c r="C616" t="s">
        <v>37</v>
      </c>
      <c r="D616">
        <v>5.8573510000000004</v>
      </c>
      <c r="E616">
        <v>0.48755490000000001</v>
      </c>
      <c r="F616" t="s">
        <v>40</v>
      </c>
      <c r="G616">
        <v>-298.38339999999999</v>
      </c>
      <c r="H616">
        <v>-0.05</v>
      </c>
      <c r="I616">
        <v>368.56270000000001</v>
      </c>
      <c r="J616">
        <v>-312.95170000000002</v>
      </c>
      <c r="K616">
        <v>1.059841</v>
      </c>
      <c r="L616">
        <v>367.54289999999997</v>
      </c>
      <c r="M616">
        <v>0.999641</v>
      </c>
      <c r="N616">
        <v>0</v>
      </c>
      <c r="O616">
        <v>-1.984615E-2</v>
      </c>
      <c r="P616">
        <v>0.99884110000000004</v>
      </c>
      <c r="Q616">
        <v>2.71265999999999E-2</v>
      </c>
      <c r="R616">
        <v>3.9760669999999998E-2</v>
      </c>
      <c r="S616">
        <v>3.001099</v>
      </c>
      <c r="T616">
        <v>-0.22383239999999999</v>
      </c>
      <c r="U616">
        <v>0.2041626</v>
      </c>
      <c r="V616">
        <v>-5.957755E-2</v>
      </c>
      <c r="W616">
        <v>4.5089039999999997E-2</v>
      </c>
      <c r="X616">
        <v>0.9972048</v>
      </c>
      <c r="Y616">
        <v>-8.736613E-2</v>
      </c>
      <c r="Z616">
        <v>4.7266369999999997E-3</v>
      </c>
      <c r="AA616">
        <v>0.99616499999999997</v>
      </c>
      <c r="AB616">
        <v>29</v>
      </c>
      <c r="AC616">
        <v>14.568300000000001</v>
      </c>
      <c r="AD616">
        <v>-1.1098410000000001</v>
      </c>
      <c r="AE616">
        <v>1.01980000000003</v>
      </c>
      <c r="AF616">
        <v>-1.3012553487221801</v>
      </c>
      <c r="AG616">
        <v>-1.1098410000000001</v>
      </c>
      <c r="AH616">
        <v>14.461665728089001</v>
      </c>
      <c r="AI616">
        <v>94.370895629669306</v>
      </c>
      <c r="AJ616">
        <v>95.141606886511795</v>
      </c>
      <c r="AK616">
        <v>14.5624444431161</v>
      </c>
    </row>
    <row r="617" spans="1:37" x14ac:dyDescent="0.2">
      <c r="A617" t="str">
        <f>"20200111153621940"</f>
        <v>20200111153621940</v>
      </c>
      <c r="B617" t="str">
        <f>"1578728181933510"</f>
        <v>1578728181933510</v>
      </c>
      <c r="C617" t="s">
        <v>37</v>
      </c>
      <c r="D617">
        <v>5.8786940000000003</v>
      </c>
      <c r="E617">
        <v>0.48732740000000002</v>
      </c>
      <c r="F617" t="s">
        <v>40</v>
      </c>
      <c r="G617">
        <v>-298.22710000000001</v>
      </c>
      <c r="H617">
        <v>-0.05</v>
      </c>
      <c r="I617">
        <v>368.58</v>
      </c>
      <c r="J617">
        <v>-312.78609999999998</v>
      </c>
      <c r="K617">
        <v>1.0593520000000001</v>
      </c>
      <c r="L617">
        <v>367.53960000000001</v>
      </c>
      <c r="M617">
        <v>0.99964580000000003</v>
      </c>
      <c r="N617">
        <v>0</v>
      </c>
      <c r="O617">
        <v>-1.984122E-2</v>
      </c>
      <c r="P617">
        <v>0.99882530000000003</v>
      </c>
      <c r="Q617">
        <v>2.7534969999999999E-2</v>
      </c>
      <c r="R617">
        <v>3.9873499999999999E-2</v>
      </c>
      <c r="S617">
        <v>3.0012209999999899</v>
      </c>
      <c r="T617">
        <v>-0.22621239999999901</v>
      </c>
      <c r="U617">
        <v>0.21139530000000001</v>
      </c>
      <c r="V617">
        <v>-5.9685080000000001E-2</v>
      </c>
      <c r="W617">
        <v>4.5238130000000001E-2</v>
      </c>
      <c r="X617">
        <v>0.99719169999999901</v>
      </c>
      <c r="Y617">
        <v>-8.9734419999999995E-2</v>
      </c>
      <c r="Z617">
        <v>4.8648119999999996E-3</v>
      </c>
      <c r="AA617">
        <v>0.99595389999999995</v>
      </c>
      <c r="AB617">
        <v>29</v>
      </c>
      <c r="AC617">
        <v>14.5589999999999</v>
      </c>
      <c r="AD617">
        <v>-1.1093519999999999</v>
      </c>
      <c r="AE617">
        <v>1.04039999999997</v>
      </c>
      <c r="AF617">
        <v>-1.32147541771868</v>
      </c>
      <c r="AG617">
        <v>-1.1093519999999999</v>
      </c>
      <c r="AH617">
        <v>14.4520052509145</v>
      </c>
      <c r="AI617">
        <v>94.371314673263797</v>
      </c>
      <c r="AJ617">
        <v>95.224534295663901</v>
      </c>
      <c r="AK617">
        <v>14.554635512852901</v>
      </c>
    </row>
    <row r="618" spans="1:37" x14ac:dyDescent="0.2">
      <c r="A618" t="str">
        <f>"20200111153621955"</f>
        <v>20200111153621955</v>
      </c>
      <c r="B618" t="str">
        <f>"1578728181943270"</f>
        <v>1578728181943270</v>
      </c>
      <c r="C618" t="s">
        <v>37</v>
      </c>
      <c r="D618">
        <v>5.8705449999999999</v>
      </c>
      <c r="E618">
        <v>0.48729220000000001</v>
      </c>
      <c r="F618" t="s">
        <v>40</v>
      </c>
      <c r="G618">
        <v>-297.50810000000001</v>
      </c>
      <c r="H618">
        <v>-0.05</v>
      </c>
      <c r="I618">
        <v>368.62569999999999</v>
      </c>
      <c r="J618">
        <v>-312.57760000000002</v>
      </c>
      <c r="K618">
        <v>1.0588139999999999</v>
      </c>
      <c r="L618">
        <v>367.53550000000001</v>
      </c>
      <c r="M618">
        <v>0.99965110000000001</v>
      </c>
      <c r="N618">
        <v>0</v>
      </c>
      <c r="O618">
        <v>-1.9834919999999999E-2</v>
      </c>
      <c r="P618">
        <v>0.99878040000000001</v>
      </c>
      <c r="Q618">
        <v>2.831173E-2</v>
      </c>
      <c r="R618">
        <v>4.0455100000000001E-2</v>
      </c>
      <c r="S618">
        <v>3.001007</v>
      </c>
      <c r="T618">
        <v>-0.2179065</v>
      </c>
      <c r="U618">
        <v>0.21334839999999999</v>
      </c>
      <c r="V618">
        <v>-6.0259119999999999E-2</v>
      </c>
      <c r="W618">
        <v>4.5716390000000003E-2</v>
      </c>
      <c r="X618">
        <v>0.99713529999999995</v>
      </c>
      <c r="Y618">
        <v>-9.0398480000000003E-2</v>
      </c>
      <c r="Z618">
        <v>4.7104759999999999E-3</v>
      </c>
      <c r="AA618">
        <v>0.99589459999999996</v>
      </c>
      <c r="AB618">
        <v>29</v>
      </c>
      <c r="AC618">
        <v>15.0695</v>
      </c>
      <c r="AD618">
        <v>-1.108814</v>
      </c>
      <c r="AE618">
        <v>1.0901999999999801</v>
      </c>
      <c r="AF618">
        <v>-1.38149278129083</v>
      </c>
      <c r="AG618">
        <v>-1.108814</v>
      </c>
      <c r="AH618">
        <v>14.964311893223501</v>
      </c>
      <c r="AI618">
        <v>94.219834985487793</v>
      </c>
      <c r="AJ618">
        <v>95.274547749385405</v>
      </c>
      <c r="AK618">
        <v>15.0687962767112</v>
      </c>
    </row>
    <row r="619" spans="1:37" x14ac:dyDescent="0.2">
      <c r="A619" t="str">
        <f>"20200111153621968"</f>
        <v>20200111153621968</v>
      </c>
      <c r="B619" t="str">
        <f>"1578728181963767"</f>
        <v>1578728181963767</v>
      </c>
      <c r="C619" t="s">
        <v>37</v>
      </c>
      <c r="D619">
        <v>5.9748109999999999</v>
      </c>
      <c r="E619">
        <v>0.4870427</v>
      </c>
      <c r="F619" t="s">
        <v>40</v>
      </c>
      <c r="G619">
        <v>-297.029</v>
      </c>
      <c r="H619">
        <v>-0.05</v>
      </c>
      <c r="I619">
        <v>368.65269999999998</v>
      </c>
      <c r="J619">
        <v>-312.41890000000001</v>
      </c>
      <c r="K619">
        <v>1.058441</v>
      </c>
      <c r="L619">
        <v>367.53230000000002</v>
      </c>
      <c r="M619">
        <v>0.99965479999999995</v>
      </c>
      <c r="N619">
        <v>0</v>
      </c>
      <c r="O619">
        <v>-1.9830239999999999E-2</v>
      </c>
      <c r="P619">
        <v>0.99874850000000004</v>
      </c>
      <c r="Q619">
        <v>2.8585739999999998E-2</v>
      </c>
      <c r="R619">
        <v>4.1041170000000002E-2</v>
      </c>
      <c r="S619">
        <v>3.001007</v>
      </c>
      <c r="T619">
        <v>-0.21401010000000001</v>
      </c>
      <c r="U619">
        <v>0.2156372</v>
      </c>
      <c r="V619">
        <v>-6.0839949999999997E-2</v>
      </c>
      <c r="W619">
        <v>4.577879E-2</v>
      </c>
      <c r="X619">
        <v>0.99709720000000002</v>
      </c>
      <c r="Y619">
        <v>-9.1157740000000001E-2</v>
      </c>
      <c r="Z619">
        <v>4.653005E-3</v>
      </c>
      <c r="AA619">
        <v>0.99582559999999998</v>
      </c>
      <c r="AB619">
        <v>29</v>
      </c>
      <c r="AC619">
        <v>15.389900000000001</v>
      </c>
      <c r="AD619">
        <v>-1.108441</v>
      </c>
      <c r="AE619">
        <v>1.1203999999999601</v>
      </c>
      <c r="AF619">
        <v>-1.41809287069086</v>
      </c>
      <c r="AG619">
        <v>-1.108441</v>
      </c>
      <c r="AH619">
        <v>15.2857756619709</v>
      </c>
      <c r="AI619">
        <v>94.129845338091002</v>
      </c>
      <c r="AJ619">
        <v>95.300276256636096</v>
      </c>
      <c r="AK619">
        <v>15.391379614202499</v>
      </c>
    </row>
    <row r="620" spans="1:37" x14ac:dyDescent="0.2">
      <c r="A620" t="str">
        <f>"20200111153621982"</f>
        <v>20200111153621982</v>
      </c>
      <c r="B620" t="str">
        <f>"1578728181973527"</f>
        <v>1578728181973527</v>
      </c>
      <c r="C620" t="s">
        <v>37</v>
      </c>
      <c r="D620">
        <v>5.6556540000000002</v>
      </c>
      <c r="E620">
        <v>0.48695549999999999</v>
      </c>
      <c r="F620" t="s">
        <v>40</v>
      </c>
      <c r="G620">
        <v>-296.34890000000001</v>
      </c>
      <c r="H620">
        <v>-0.05</v>
      </c>
      <c r="I620">
        <v>368.7081</v>
      </c>
      <c r="J620">
        <v>-312.24189999999999</v>
      </c>
      <c r="K620">
        <v>1.0580559999999899</v>
      </c>
      <c r="L620">
        <v>367.52879999999999</v>
      </c>
      <c r="M620">
        <v>0.99965890000000002</v>
      </c>
      <c r="N620">
        <v>0</v>
      </c>
      <c r="O620">
        <v>-1.9825220000000001E-2</v>
      </c>
      <c r="P620">
        <v>0.99872119999999998</v>
      </c>
      <c r="Q620">
        <v>2.8712709999999999E-2</v>
      </c>
      <c r="R620">
        <v>4.1614020000000002E-2</v>
      </c>
      <c r="S620">
        <v>3.0007320000000002</v>
      </c>
      <c r="T620">
        <v>-0.20697739999999901</v>
      </c>
      <c r="U620">
        <v>0.2195435</v>
      </c>
      <c r="V620">
        <v>-6.1406969999999998E-2</v>
      </c>
      <c r="W620">
        <v>4.5679709999999998E-2</v>
      </c>
      <c r="X620">
        <v>0.99706700000000004</v>
      </c>
      <c r="Y620">
        <v>-9.2463649999999994E-2</v>
      </c>
      <c r="Z620">
        <v>4.545243E-3</v>
      </c>
      <c r="AA620">
        <v>0.99570569999999903</v>
      </c>
      <c r="AB620">
        <v>29</v>
      </c>
      <c r="AC620">
        <v>15.892999999999899</v>
      </c>
      <c r="AD620">
        <v>-1.1080559999999999</v>
      </c>
      <c r="AE620">
        <v>1.17930000000001</v>
      </c>
      <c r="AF620">
        <v>-1.4870073919029401</v>
      </c>
      <c r="AG620">
        <v>-1.1080559999999999</v>
      </c>
      <c r="AH620">
        <v>15.7901590378985</v>
      </c>
      <c r="AI620">
        <v>93.996459579760796</v>
      </c>
      <c r="AJ620">
        <v>95.379851733825603</v>
      </c>
      <c r="AK620">
        <v>15.898682383293201</v>
      </c>
    </row>
    <row r="621" spans="1:37" x14ac:dyDescent="0.2">
      <c r="A621" t="str">
        <f>"20200111153621994"</f>
        <v>20200111153621994</v>
      </c>
      <c r="B621" t="str">
        <f>"1578728181983287"</f>
        <v>1578728181983287</v>
      </c>
      <c r="C621" t="s">
        <v>37</v>
      </c>
      <c r="D621">
        <v>5.9129209999999999</v>
      </c>
      <c r="E621">
        <v>0.48670550000000001</v>
      </c>
      <c r="F621" t="s">
        <v>40</v>
      </c>
      <c r="G621">
        <v>-295.81420000000003</v>
      </c>
      <c r="H621">
        <v>-0.05</v>
      </c>
      <c r="I621">
        <v>368.7457</v>
      </c>
      <c r="J621">
        <v>-312.07130000000001</v>
      </c>
      <c r="K621">
        <v>1.0577259999999999</v>
      </c>
      <c r="L621">
        <v>367.52550000000002</v>
      </c>
      <c r="M621">
        <v>0.9996623</v>
      </c>
      <c r="N621">
        <v>0</v>
      </c>
      <c r="O621">
        <v>-1.982008E-2</v>
      </c>
      <c r="P621">
        <v>0.99868950000000001</v>
      </c>
      <c r="Q621">
        <v>2.9124400000000002E-2</v>
      </c>
      <c r="R621">
        <v>4.2086100000000001E-2</v>
      </c>
      <c r="S621">
        <v>3.0004270000000002</v>
      </c>
      <c r="T621">
        <v>-0.20237920000000001</v>
      </c>
      <c r="U621">
        <v>0.222259499999999</v>
      </c>
      <c r="V621">
        <v>-6.1873240000000003E-2</v>
      </c>
      <c r="W621">
        <v>4.5891210000000002E-2</v>
      </c>
      <c r="X621">
        <v>0.99702839999999904</v>
      </c>
      <c r="Y621">
        <v>-9.3371880000000004E-2</v>
      </c>
      <c r="Z621">
        <v>4.4750060000000001E-3</v>
      </c>
      <c r="AA621">
        <v>0.99562129999999904</v>
      </c>
      <c r="AB621">
        <v>29</v>
      </c>
      <c r="AC621">
        <v>16.257099999999902</v>
      </c>
      <c r="AD621">
        <v>-1.107726</v>
      </c>
      <c r="AE621">
        <v>1.22019999999997</v>
      </c>
      <c r="AF621">
        <v>-1.5351354004870701</v>
      </c>
      <c r="AG621">
        <v>-1.107726</v>
      </c>
      <c r="AH621">
        <v>16.1551330881145</v>
      </c>
      <c r="AI621">
        <v>93.904984346286298</v>
      </c>
      <c r="AJ621">
        <v>95.428210562779697</v>
      </c>
      <c r="AK621">
        <v>16.265670065619599</v>
      </c>
    </row>
    <row r="622" spans="1:37" x14ac:dyDescent="0.2">
      <c r="A622" t="str">
        <f>"20200111153622012"</f>
        <v>20200111153622012</v>
      </c>
      <c r="B622" t="str">
        <f>"1578728182003785"</f>
        <v>1578728182003785</v>
      </c>
      <c r="C622" t="s">
        <v>37</v>
      </c>
      <c r="D622">
        <v>5.8388200000000001</v>
      </c>
      <c r="E622">
        <v>0.48648009999999903</v>
      </c>
      <c r="F622" t="s">
        <v>40</v>
      </c>
      <c r="G622">
        <v>-295.27550000000002</v>
      </c>
      <c r="H622">
        <v>-0.05</v>
      </c>
      <c r="I622">
        <v>368.78879999999998</v>
      </c>
      <c r="J622">
        <v>-311.8476</v>
      </c>
      <c r="K622">
        <v>1.057342</v>
      </c>
      <c r="L622">
        <v>367.52109999999999</v>
      </c>
      <c r="M622">
        <v>0.99966659999999996</v>
      </c>
      <c r="N622">
        <v>0</v>
      </c>
      <c r="O622">
        <v>-1.9813899999999999E-2</v>
      </c>
      <c r="P622">
        <v>0.99862569999999995</v>
      </c>
      <c r="Q622">
        <v>2.9873380000000001E-2</v>
      </c>
      <c r="R622">
        <v>4.306306E-2</v>
      </c>
      <c r="S622">
        <v>3.0002140000000002</v>
      </c>
      <c r="T622">
        <v>-0.1978713</v>
      </c>
      <c r="U622">
        <v>0.2256775</v>
      </c>
      <c r="V622">
        <v>-6.2842560000000006E-2</v>
      </c>
      <c r="W622">
        <v>4.6395159999999998E-2</v>
      </c>
      <c r="X622">
        <v>0.99694450000000001</v>
      </c>
      <c r="Y622">
        <v>-9.4507579999999994E-2</v>
      </c>
      <c r="Z622">
        <v>4.4126219999999997E-3</v>
      </c>
      <c r="AA622">
        <v>0.99551440000000002</v>
      </c>
      <c r="AB622">
        <v>29</v>
      </c>
      <c r="AC622">
        <v>16.572099999999899</v>
      </c>
      <c r="AD622">
        <v>-1.107342</v>
      </c>
      <c r="AE622">
        <v>1.2676999999999901</v>
      </c>
      <c r="AF622">
        <v>-1.58880148902601</v>
      </c>
      <c r="AG622">
        <v>-1.107342</v>
      </c>
      <c r="AH622">
        <v>16.470612975796602</v>
      </c>
      <c r="AI622">
        <v>93.828567924025606</v>
      </c>
      <c r="AJ622">
        <v>95.509863778908496</v>
      </c>
      <c r="AK622">
        <v>16.584076346754301</v>
      </c>
    </row>
    <row r="623" spans="1:37" x14ac:dyDescent="0.2">
      <c r="A623" t="str">
        <f>"20200111153622024"</f>
        <v>20200111153622024</v>
      </c>
      <c r="B623" t="str">
        <f>"1578728182013543"</f>
        <v>1578728182013543</v>
      </c>
      <c r="C623" t="s">
        <v>37</v>
      </c>
      <c r="D623">
        <v>6.1444320000000001</v>
      </c>
      <c r="E623">
        <v>0.48645759999999999</v>
      </c>
      <c r="F623" t="s">
        <v>40</v>
      </c>
      <c r="G623">
        <v>-294.25510000000003</v>
      </c>
      <c r="H623">
        <v>-0.05</v>
      </c>
      <c r="I623">
        <v>368.87389999999999</v>
      </c>
      <c r="J623">
        <v>-311.68880000000001</v>
      </c>
      <c r="K623">
        <v>1.0570949999999999</v>
      </c>
      <c r="L623">
        <v>367.5179</v>
      </c>
      <c r="M623">
        <v>0.99966929999999998</v>
      </c>
      <c r="N623">
        <v>0</v>
      </c>
      <c r="O623">
        <v>-1.980912E-2</v>
      </c>
      <c r="P623">
        <v>0.99860289999999996</v>
      </c>
      <c r="Q623">
        <v>3.0159269999999998E-2</v>
      </c>
      <c r="R623">
        <v>4.339121E-2</v>
      </c>
      <c r="S623">
        <v>2.99981699999999</v>
      </c>
      <c r="T623">
        <v>-0.18882070000000001</v>
      </c>
      <c r="U623">
        <v>0.23068240000000001</v>
      </c>
      <c r="V623">
        <v>-6.3165440000000003E-2</v>
      </c>
      <c r="W623">
        <v>4.6519959999999999E-2</v>
      </c>
      <c r="X623">
        <v>0.99691830000000003</v>
      </c>
      <c r="Y623">
        <v>-9.6182589999999998E-2</v>
      </c>
      <c r="Z623">
        <v>4.2637719999999999E-3</v>
      </c>
      <c r="AA623">
        <v>0.99535459999999998</v>
      </c>
      <c r="AB623">
        <v>29</v>
      </c>
      <c r="AC623">
        <v>17.433699999999899</v>
      </c>
      <c r="AD623">
        <v>-1.1070949999999999</v>
      </c>
      <c r="AE623">
        <v>1.3559999999999901</v>
      </c>
      <c r="AF623">
        <v>-1.6943349748724199</v>
      </c>
      <c r="AG623">
        <v>-1.1070949999999999</v>
      </c>
      <c r="AH623">
        <v>17.333932110983501</v>
      </c>
      <c r="AI623">
        <v>93.637153648875199</v>
      </c>
      <c r="AJ623">
        <v>95.582739533422696</v>
      </c>
      <c r="AK623">
        <v>17.451694266583001</v>
      </c>
    </row>
    <row r="624" spans="1:37" x14ac:dyDescent="0.2">
      <c r="A624" t="str">
        <f>"20200111153622037"</f>
        <v>20200111153622037</v>
      </c>
      <c r="B624" t="str">
        <f>"1578728182033063"</f>
        <v>1578728182033063</v>
      </c>
      <c r="C624" t="s">
        <v>37</v>
      </c>
      <c r="D624">
        <v>5.8841549999999998</v>
      </c>
      <c r="E624">
        <v>0.4865486</v>
      </c>
      <c r="F624" t="s">
        <v>40</v>
      </c>
      <c r="G624">
        <v>-293.91489999999999</v>
      </c>
      <c r="H624">
        <v>-0.05</v>
      </c>
      <c r="I624">
        <v>368.89139999999998</v>
      </c>
      <c r="J624">
        <v>-311.517</v>
      </c>
      <c r="K624">
        <v>1.0568519999999999</v>
      </c>
      <c r="L624">
        <v>367.5145</v>
      </c>
      <c r="M624">
        <v>0.99967209999999995</v>
      </c>
      <c r="N624">
        <v>0</v>
      </c>
      <c r="O624">
        <v>-1.980351E-2</v>
      </c>
      <c r="P624">
        <v>0.99856610000000001</v>
      </c>
      <c r="Q624">
        <v>3.0632059999999999E-2</v>
      </c>
      <c r="R624">
        <v>4.3904850000000002E-2</v>
      </c>
      <c r="S624">
        <v>2.9997560000000001</v>
      </c>
      <c r="T624">
        <v>-0.18684729999999999</v>
      </c>
      <c r="U624">
        <v>0.231811499999999</v>
      </c>
      <c r="V624">
        <v>-6.3672679999999995E-2</v>
      </c>
      <c r="W624">
        <v>4.6828139999999997E-2</v>
      </c>
      <c r="X624">
        <v>0.99687159999999997</v>
      </c>
      <c r="Y624">
        <v>-9.6554970000000004E-2</v>
      </c>
      <c r="Z624">
        <v>4.2305390000000002E-3</v>
      </c>
      <c r="AA624">
        <v>0.9953187</v>
      </c>
      <c r="AB624">
        <v>29</v>
      </c>
      <c r="AC624">
        <v>17.6021</v>
      </c>
      <c r="AD624">
        <v>-1.1068519999999999</v>
      </c>
      <c r="AE624">
        <v>1.37689999999997</v>
      </c>
      <c r="AF624">
        <v>-1.7185053527535401</v>
      </c>
      <c r="AG624">
        <v>-1.1068519999999999</v>
      </c>
      <c r="AH624">
        <v>17.502589631484302</v>
      </c>
      <c r="AI624">
        <v>93.601256627785205</v>
      </c>
      <c r="AJ624">
        <v>95.607656587016294</v>
      </c>
      <c r="AK624">
        <v>17.621550039808799</v>
      </c>
    </row>
    <row r="625" spans="1:37" x14ac:dyDescent="0.2">
      <c r="A625" t="str">
        <f>"20200111153622051"</f>
        <v>20200111153622051</v>
      </c>
      <c r="B625" t="str">
        <f>"1578728182043799"</f>
        <v>1578728182043799</v>
      </c>
      <c r="C625" t="s">
        <v>37</v>
      </c>
      <c r="D625">
        <v>5.8681549999999998</v>
      </c>
      <c r="E625">
        <v>0.48653729999999901</v>
      </c>
      <c r="F625" t="s">
        <v>40</v>
      </c>
      <c r="G625">
        <v>-293.36799999999999</v>
      </c>
      <c r="H625">
        <v>-0.05</v>
      </c>
      <c r="I625">
        <v>368.92309999999998</v>
      </c>
      <c r="J625">
        <v>-311.33710000000002</v>
      </c>
      <c r="K625">
        <v>1.056629</v>
      </c>
      <c r="L625">
        <v>367.51089999999999</v>
      </c>
      <c r="M625">
        <v>0.99967469999999903</v>
      </c>
      <c r="N625">
        <v>0</v>
      </c>
      <c r="O625">
        <v>-1.9798090000000001E-2</v>
      </c>
      <c r="P625">
        <v>0.99854480000000001</v>
      </c>
      <c r="Q625">
        <v>3.0704929999999998E-2</v>
      </c>
      <c r="R625">
        <v>4.433732E-2</v>
      </c>
      <c r="S625">
        <v>2.999695</v>
      </c>
      <c r="T625">
        <v>-0.18294260000000001</v>
      </c>
      <c r="U625">
        <v>0.23281859999999999</v>
      </c>
      <c r="V625">
        <v>-6.4099320000000001E-2</v>
      </c>
      <c r="W625">
        <v>4.674383E-2</v>
      </c>
      <c r="X625">
        <v>0.99684819999999996</v>
      </c>
      <c r="Y625">
        <v>-9.6891900000000003E-2</v>
      </c>
      <c r="Z625">
        <v>4.1522420000000004E-3</v>
      </c>
      <c r="AA625">
        <v>0.99528619999999901</v>
      </c>
      <c r="AB625">
        <v>29</v>
      </c>
      <c r="AC625">
        <v>17.969100000000001</v>
      </c>
      <c r="AD625">
        <v>-1.1066290000000001</v>
      </c>
      <c r="AE625">
        <v>1.4121999999999799</v>
      </c>
      <c r="AF625">
        <v>-1.76108467969125</v>
      </c>
      <c r="AG625">
        <v>-1.1066290000000001</v>
      </c>
      <c r="AH625">
        <v>17.870253723311802</v>
      </c>
      <c r="AI625">
        <v>93.526519961478698</v>
      </c>
      <c r="AJ625">
        <v>95.628233536906606</v>
      </c>
      <c r="AK625">
        <v>17.990887002263801</v>
      </c>
    </row>
    <row r="626" spans="1:37" x14ac:dyDescent="0.2">
      <c r="A626" t="str">
        <f>"20200111153622068"</f>
        <v>20200111153622068</v>
      </c>
      <c r="B626" t="str">
        <f>"1578728182063319"</f>
        <v>1578728182063319</v>
      </c>
      <c r="C626" t="s">
        <v>37</v>
      </c>
      <c r="D626">
        <v>5.8412629999999996</v>
      </c>
      <c r="E626">
        <v>0.48648279999999899</v>
      </c>
      <c r="F626" t="s">
        <v>40</v>
      </c>
      <c r="G626">
        <v>-293.03960000000001</v>
      </c>
      <c r="H626">
        <v>-0.05</v>
      </c>
      <c r="I626">
        <v>368.9402</v>
      </c>
      <c r="J626">
        <v>-311.1259</v>
      </c>
      <c r="K626">
        <v>1.056395</v>
      </c>
      <c r="L626">
        <v>367.5068</v>
      </c>
      <c r="M626">
        <v>0.9996777</v>
      </c>
      <c r="N626">
        <v>0</v>
      </c>
      <c r="O626">
        <v>-1.979173E-2</v>
      </c>
      <c r="P626">
        <v>0.99850409999999901</v>
      </c>
      <c r="Q626">
        <v>3.11227E-2</v>
      </c>
      <c r="R626">
        <v>4.4957190000000001E-2</v>
      </c>
      <c r="S626">
        <v>2.9995419999999999</v>
      </c>
      <c r="T626">
        <v>-0.1814114</v>
      </c>
      <c r="U626">
        <v>0.23431399999999999</v>
      </c>
      <c r="V626">
        <v>-6.4711740000000004E-2</v>
      </c>
      <c r="W626">
        <v>4.6989120000000002E-2</v>
      </c>
      <c r="X626">
        <v>0.99679709999999999</v>
      </c>
      <c r="Y626">
        <v>-9.7385280000000005E-2</v>
      </c>
      <c r="Z626">
        <v>4.1321789999999997E-3</v>
      </c>
      <c r="AA626">
        <v>0.99523819999999996</v>
      </c>
      <c r="AB626">
        <v>29</v>
      </c>
      <c r="AC626">
        <v>18.086299999999898</v>
      </c>
      <c r="AD626">
        <v>-1.106395</v>
      </c>
      <c r="AE626">
        <v>1.4334</v>
      </c>
      <c r="AF626">
        <v>-1.7844874453055599</v>
      </c>
      <c r="AG626">
        <v>-1.106395</v>
      </c>
      <c r="AH626">
        <v>17.987491688291598</v>
      </c>
      <c r="AI626">
        <v>93.502628049177801</v>
      </c>
      <c r="AJ626">
        <v>95.665611354055699</v>
      </c>
      <c r="AK626">
        <v>18.109620718690898</v>
      </c>
    </row>
    <row r="627" spans="1:37" x14ac:dyDescent="0.2">
      <c r="A627" t="str">
        <f>"20200111153622081"</f>
        <v>20200111153622081</v>
      </c>
      <c r="B627" t="str">
        <f>"1578728182073078"</f>
        <v>1578728182073078</v>
      </c>
      <c r="C627" t="s">
        <v>37</v>
      </c>
      <c r="D627">
        <v>5.9086780000000001</v>
      </c>
      <c r="E627">
        <v>0.4864946</v>
      </c>
      <c r="F627" t="s">
        <v>40</v>
      </c>
      <c r="G627">
        <v>-292.7174</v>
      </c>
      <c r="H627">
        <v>-0.05</v>
      </c>
      <c r="I627">
        <v>368.959</v>
      </c>
      <c r="J627">
        <v>-310.95249999999999</v>
      </c>
      <c r="K627">
        <v>1.0562199999999999</v>
      </c>
      <c r="L627">
        <v>367.5034</v>
      </c>
      <c r="M627">
        <v>0.99967989999999995</v>
      </c>
      <c r="N627">
        <v>0</v>
      </c>
      <c r="O627">
        <v>-1.978628E-2</v>
      </c>
      <c r="P627">
        <v>0.99847919999999901</v>
      </c>
      <c r="Q627">
        <v>3.1514239999999999E-2</v>
      </c>
      <c r="R627">
        <v>4.5240639999999999E-2</v>
      </c>
      <c r="S627">
        <v>2.9994809999999998</v>
      </c>
      <c r="T627">
        <v>-0.1802764</v>
      </c>
      <c r="U627">
        <v>0.23663329999999999</v>
      </c>
      <c r="V627">
        <v>-6.4989480000000002E-2</v>
      </c>
      <c r="W627">
        <v>4.7248239999999997E-2</v>
      </c>
      <c r="X627">
        <v>0.99676669999999901</v>
      </c>
      <c r="Y627">
        <v>-9.8147529999999997E-2</v>
      </c>
      <c r="Z627">
        <v>4.1288560000000002E-3</v>
      </c>
      <c r="AA627">
        <v>0.99516329999999997</v>
      </c>
      <c r="AB627">
        <v>29</v>
      </c>
      <c r="AC627">
        <v>18.2350999999999</v>
      </c>
      <c r="AD627">
        <v>-1.10622</v>
      </c>
      <c r="AE627">
        <v>1.4556</v>
      </c>
      <c r="AF627">
        <v>-1.80954736115125</v>
      </c>
      <c r="AG627">
        <v>-1.10622</v>
      </c>
      <c r="AH627">
        <v>18.136402513327798</v>
      </c>
      <c r="AI627">
        <v>93.473198339592301</v>
      </c>
      <c r="AJ627">
        <v>95.6977907814438</v>
      </c>
      <c r="AK627">
        <v>18.2599912504385</v>
      </c>
    </row>
    <row r="628" spans="1:37" x14ac:dyDescent="0.2">
      <c r="A628" t="str">
        <f>"20200111153622094"</f>
        <v>20200111153622094</v>
      </c>
      <c r="B628" t="str">
        <f>"1578728182083814"</f>
        <v>1578728182083814</v>
      </c>
      <c r="C628" t="s">
        <v>37</v>
      </c>
      <c r="D628">
        <v>5.9062060000000001</v>
      </c>
      <c r="E628">
        <v>0.48654550000000002</v>
      </c>
      <c r="F628" t="s">
        <v>40</v>
      </c>
      <c r="G628">
        <v>-292.62240000000003</v>
      </c>
      <c r="H628">
        <v>-0.05</v>
      </c>
      <c r="I628">
        <v>368.95240000000001</v>
      </c>
      <c r="J628">
        <v>-310.77749999999997</v>
      </c>
      <c r="K628">
        <v>1.0560639999999999</v>
      </c>
      <c r="L628">
        <v>367.49990000000003</v>
      </c>
      <c r="M628">
        <v>0.99968189999999901</v>
      </c>
      <c r="N628">
        <v>0</v>
      </c>
      <c r="O628">
        <v>-1.9781050000000001E-2</v>
      </c>
      <c r="P628">
        <v>0.99846119999999905</v>
      </c>
      <c r="Q628">
        <v>3.2020439999999997E-2</v>
      </c>
      <c r="R628">
        <v>4.5282389999999999E-2</v>
      </c>
      <c r="S628">
        <v>2.99951199999999</v>
      </c>
      <c r="T628">
        <v>-0.1810203</v>
      </c>
      <c r="U628">
        <v>0.23712159999999999</v>
      </c>
      <c r="V628">
        <v>-6.5025819999999998E-2</v>
      </c>
      <c r="W628">
        <v>4.763212E-2</v>
      </c>
      <c r="X628">
        <v>0.99674609999999997</v>
      </c>
      <c r="Y628">
        <v>-9.8300460000000006E-2</v>
      </c>
      <c r="Z628">
        <v>4.1500799999999996E-3</v>
      </c>
      <c r="AA628">
        <v>0.99514809999999998</v>
      </c>
      <c r="AB628">
        <v>29</v>
      </c>
      <c r="AC628">
        <v>18.155099999999901</v>
      </c>
      <c r="AD628">
        <v>-1.1060639999999999</v>
      </c>
      <c r="AE628">
        <v>1.4524999999999799</v>
      </c>
      <c r="AF628">
        <v>-1.8047307684302201</v>
      </c>
      <c r="AG628">
        <v>-1.1060639999999999</v>
      </c>
      <c r="AH628">
        <v>18.0562197928319</v>
      </c>
      <c r="AI628">
        <v>93.488032446986594</v>
      </c>
      <c r="AJ628">
        <v>95.707793144054705</v>
      </c>
      <c r="AK628">
        <v>18.1798653439917</v>
      </c>
    </row>
    <row r="629" spans="1:37" x14ac:dyDescent="0.2">
      <c r="A629" t="str">
        <f>"20200111153622127"</f>
        <v>20200111153622127</v>
      </c>
      <c r="B629" t="str">
        <f>"1578728182123831"</f>
        <v>1578728182123831</v>
      </c>
      <c r="C629" t="s">
        <v>37</v>
      </c>
      <c r="D629">
        <v>5.8871409999999997</v>
      </c>
      <c r="E629">
        <v>0.4865814</v>
      </c>
      <c r="F629" t="s">
        <v>40</v>
      </c>
      <c r="G629">
        <v>-292.45740000000001</v>
      </c>
      <c r="H629">
        <v>-0.05</v>
      </c>
      <c r="I629">
        <v>368.94560000000001</v>
      </c>
      <c r="J629">
        <v>-310.3562</v>
      </c>
      <c r="K629">
        <v>1.0557459999999901</v>
      </c>
      <c r="L629">
        <v>367.49160000000001</v>
      </c>
      <c r="M629">
        <v>0.99968609999999902</v>
      </c>
      <c r="N629">
        <v>0</v>
      </c>
      <c r="O629">
        <v>-1.9768560000000001E-2</v>
      </c>
      <c r="P629">
        <v>0.99845300000000003</v>
      </c>
      <c r="Q629">
        <v>3.2499060000000003E-2</v>
      </c>
      <c r="R629">
        <v>4.5119079999999999E-2</v>
      </c>
      <c r="S629">
        <v>2.9997250000000002</v>
      </c>
      <c r="T629">
        <v>-0.18110699999999999</v>
      </c>
      <c r="U629">
        <v>0.23672489999999999</v>
      </c>
      <c r="V629">
        <v>-6.4849299999999999E-2</v>
      </c>
      <c r="W629">
        <v>4.7850280000000002E-2</v>
      </c>
      <c r="X629">
        <v>0.99674719999999895</v>
      </c>
      <c r="Y629">
        <v>-9.8151710000000003E-2</v>
      </c>
      <c r="Z629">
        <v>4.146556E-3</v>
      </c>
      <c r="AA629">
        <v>0.99516280000000001</v>
      </c>
      <c r="AB629">
        <v>29</v>
      </c>
      <c r="AC629">
        <v>17.898799999999898</v>
      </c>
      <c r="AD629">
        <v>-1.1057459999999999</v>
      </c>
      <c r="AE629">
        <v>1.454</v>
      </c>
      <c r="AF629">
        <v>-1.8007636955183299</v>
      </c>
      <c r="AG629">
        <v>-1.1057459999999999</v>
      </c>
      <c r="AH629">
        <v>17.799070096663701</v>
      </c>
      <c r="AI629">
        <v>93.536854606873703</v>
      </c>
      <c r="AJ629">
        <v>95.777059003393205</v>
      </c>
      <c r="AK629">
        <v>17.924070977586599</v>
      </c>
    </row>
    <row r="630" spans="1:37" x14ac:dyDescent="0.2">
      <c r="A630" t="str">
        <f>"20200111153622142"</f>
        <v>20200111153622142</v>
      </c>
      <c r="B630" t="str">
        <f>"1578728182133590"</f>
        <v>1578728182133590</v>
      </c>
      <c r="C630" t="s">
        <v>37</v>
      </c>
      <c r="D630">
        <v>5.9051229999999997</v>
      </c>
      <c r="E630">
        <v>0.48661969999999999</v>
      </c>
      <c r="F630" t="s">
        <v>40</v>
      </c>
      <c r="G630">
        <v>-292.55759999999998</v>
      </c>
      <c r="H630">
        <v>-0.05</v>
      </c>
      <c r="I630">
        <v>368.89109999999999</v>
      </c>
      <c r="J630">
        <v>-310.16059999999999</v>
      </c>
      <c r="K630">
        <v>1.0556270000000001</v>
      </c>
      <c r="L630">
        <v>367.48770000000002</v>
      </c>
      <c r="M630">
        <v>0.99968789999999996</v>
      </c>
      <c r="N630">
        <v>0</v>
      </c>
      <c r="O630">
        <v>-1.9762749999999999E-2</v>
      </c>
      <c r="P630">
        <v>0.99842039999999999</v>
      </c>
      <c r="Q630">
        <v>3.3316489999999997E-2</v>
      </c>
      <c r="R630">
        <v>4.5243970000000001E-2</v>
      </c>
      <c r="S630">
        <v>3.0000610000000001</v>
      </c>
      <c r="T630">
        <v>-0.186380399999999</v>
      </c>
      <c r="U630">
        <v>0.2359009</v>
      </c>
      <c r="V630">
        <v>-6.4968269999999995E-2</v>
      </c>
      <c r="W630">
        <v>4.8560890000000002E-2</v>
      </c>
      <c r="X630">
        <v>0.99670509999999901</v>
      </c>
      <c r="Y630">
        <v>-9.7853540000000003E-2</v>
      </c>
      <c r="Z630">
        <v>4.2570350000000002E-3</v>
      </c>
      <c r="AA630">
        <v>0.99519169999999901</v>
      </c>
      <c r="AB630">
        <v>29</v>
      </c>
      <c r="AC630">
        <v>17.603000000000002</v>
      </c>
      <c r="AD630">
        <v>-1.1056269999999999</v>
      </c>
      <c r="AE630">
        <v>1.40339999999997</v>
      </c>
      <c r="AF630">
        <v>-1.7442127551093001</v>
      </c>
      <c r="AG630">
        <v>-1.1056269999999999</v>
      </c>
      <c r="AH630">
        <v>17.503209456681098</v>
      </c>
      <c r="AI630">
        <v>93.596639456446795</v>
      </c>
      <c r="AJ630">
        <v>95.690795601797205</v>
      </c>
      <c r="AK630">
        <v>17.624614335714298</v>
      </c>
    </row>
    <row r="631" spans="1:37" x14ac:dyDescent="0.2">
      <c r="A631" t="str">
        <f>"20200111153622157"</f>
        <v>20200111153622157</v>
      </c>
      <c r="B631" t="str">
        <f>"1578728182153111"</f>
        <v>1578728182153111</v>
      </c>
      <c r="C631" t="s">
        <v>37</v>
      </c>
      <c r="D631">
        <v>5.908855</v>
      </c>
      <c r="E631">
        <v>0.48662729999999998</v>
      </c>
      <c r="F631" t="s">
        <v>40</v>
      </c>
      <c r="G631">
        <v>-292.30329999999998</v>
      </c>
      <c r="H631">
        <v>-0.05</v>
      </c>
      <c r="I631">
        <v>368.890999999999</v>
      </c>
      <c r="J631">
        <v>-309.97519999999997</v>
      </c>
      <c r="K631">
        <v>1.0555270000000001</v>
      </c>
      <c r="L631">
        <v>367.48399999999998</v>
      </c>
      <c r="M631">
        <v>0.99968950000000001</v>
      </c>
      <c r="N631">
        <v>0</v>
      </c>
      <c r="O631">
        <v>-1.9757520000000001E-2</v>
      </c>
      <c r="P631">
        <v>0.99840659999999903</v>
      </c>
      <c r="Q631">
        <v>3.371416E-2</v>
      </c>
      <c r="R631">
        <v>4.5253059999999998E-2</v>
      </c>
      <c r="S631">
        <v>3.0002749999999998</v>
      </c>
      <c r="T631">
        <v>-0.1857605</v>
      </c>
      <c r="U631">
        <v>0.23577880000000001</v>
      </c>
      <c r="V631">
        <v>-6.4971580000000001E-2</v>
      </c>
      <c r="W631">
        <v>4.8865220000000001E-2</v>
      </c>
      <c r="X631">
        <v>0.99668999999999996</v>
      </c>
      <c r="Y631">
        <v>-9.7804160000000001E-2</v>
      </c>
      <c r="Z631">
        <v>4.2407579999999999E-3</v>
      </c>
      <c r="AA631">
        <v>0.99519659999999999</v>
      </c>
      <c r="AB631">
        <v>29</v>
      </c>
      <c r="AC631">
        <v>17.671899999999901</v>
      </c>
      <c r="AD631">
        <v>-1.1055269999999999</v>
      </c>
      <c r="AE631">
        <v>1.4069999999999201</v>
      </c>
      <c r="AF631">
        <v>-1.74911630795509</v>
      </c>
      <c r="AG631">
        <v>-1.1055269999999999</v>
      </c>
      <c r="AH631">
        <v>17.572310498007202</v>
      </c>
      <c r="AI631">
        <v>93.582249569333797</v>
      </c>
      <c r="AJ631">
        <v>95.684395210645604</v>
      </c>
      <c r="AK631">
        <v>17.693719056344801</v>
      </c>
    </row>
    <row r="632" spans="1:37" x14ac:dyDescent="0.2">
      <c r="A632" t="str">
        <f>"20200111153622169"</f>
        <v>20200111153622169</v>
      </c>
      <c r="B632" t="str">
        <f>"1578728182163848"</f>
        <v>1578728182163848</v>
      </c>
      <c r="C632" t="s">
        <v>37</v>
      </c>
      <c r="D632">
        <v>5.8753769999999896</v>
      </c>
      <c r="E632">
        <v>0.48662259999999902</v>
      </c>
      <c r="F632" t="s">
        <v>40</v>
      </c>
      <c r="G632">
        <v>-292.13679999999999</v>
      </c>
      <c r="H632">
        <v>-0.05</v>
      </c>
      <c r="I632">
        <v>368.88490000000002</v>
      </c>
      <c r="J632">
        <v>-309.81540000000001</v>
      </c>
      <c r="K632">
        <v>1.055453</v>
      </c>
      <c r="L632">
        <v>367.48090000000002</v>
      </c>
      <c r="M632">
        <v>0.99969059999999899</v>
      </c>
      <c r="N632">
        <v>0</v>
      </c>
      <c r="O632">
        <v>-1.9752680000000002E-2</v>
      </c>
      <c r="P632">
        <v>0.99840499999999899</v>
      </c>
      <c r="Q632">
        <v>3.3836079999999998E-2</v>
      </c>
      <c r="R632">
        <v>4.5197969999999997E-2</v>
      </c>
      <c r="S632">
        <v>3.000397</v>
      </c>
      <c r="T632">
        <v>-0.18594869999999999</v>
      </c>
      <c r="U632">
        <v>0.23562620000000001</v>
      </c>
      <c r="V632">
        <v>-6.4912010000000006E-2</v>
      </c>
      <c r="W632">
        <v>4.891334E-2</v>
      </c>
      <c r="X632">
        <v>0.99669149999999995</v>
      </c>
      <c r="Y632">
        <v>-9.7745540000000006E-2</v>
      </c>
      <c r="Z632">
        <v>4.2427690000000004E-3</v>
      </c>
      <c r="AA632">
        <v>0.99520239999999904</v>
      </c>
      <c r="AB632">
        <v>29</v>
      </c>
      <c r="AC632">
        <v>17.678599999999999</v>
      </c>
      <c r="AD632">
        <v>-1.105453</v>
      </c>
      <c r="AE632">
        <v>1.4039999999999899</v>
      </c>
      <c r="AF632">
        <v>-1.7461807506053399</v>
      </c>
      <c r="AG632">
        <v>-1.105453</v>
      </c>
      <c r="AH632">
        <v>17.579109346719601</v>
      </c>
      <c r="AI632">
        <v>93.580700905331398</v>
      </c>
      <c r="AJ632">
        <v>95.672736865058198</v>
      </c>
      <c r="AK632">
        <v>17.700176806261599</v>
      </c>
    </row>
    <row r="633" spans="1:37" x14ac:dyDescent="0.2">
      <c r="A633" t="str">
        <f>"20200111153622183"</f>
        <v>20200111153622183</v>
      </c>
      <c r="B633" t="str">
        <f>"1578728182173606"</f>
        <v>1578728182173606</v>
      </c>
      <c r="C633" t="s">
        <v>37</v>
      </c>
      <c r="D633">
        <v>6.0798690000000004</v>
      </c>
      <c r="E633">
        <v>0.48670249999999998</v>
      </c>
      <c r="F633" t="s">
        <v>40</v>
      </c>
      <c r="G633">
        <v>-292.08659999999998</v>
      </c>
      <c r="H633">
        <v>-0.05</v>
      </c>
      <c r="I633">
        <v>368.87240000000003</v>
      </c>
      <c r="J633">
        <v>-309.63959999999997</v>
      </c>
      <c r="K633">
        <v>1.055377</v>
      </c>
      <c r="L633">
        <v>367.47739999999999</v>
      </c>
      <c r="M633">
        <v>0.99969189999999997</v>
      </c>
      <c r="N633">
        <v>0</v>
      </c>
      <c r="O633">
        <v>-1.9747580000000001E-2</v>
      </c>
      <c r="P633">
        <v>0.99838669999999996</v>
      </c>
      <c r="Q633">
        <v>3.3902679999999998E-2</v>
      </c>
      <c r="R633">
        <v>4.5546419999999997E-2</v>
      </c>
      <c r="S633">
        <v>3.0005189999999899</v>
      </c>
      <c r="T633">
        <v>-0.1870936</v>
      </c>
      <c r="U633">
        <v>0.2355042</v>
      </c>
      <c r="V633">
        <v>-6.5254229999999996E-2</v>
      </c>
      <c r="W633">
        <v>4.8902849999999998E-2</v>
      </c>
      <c r="X633">
        <v>0.99666969999999999</v>
      </c>
      <c r="Y633">
        <v>-9.7694390000000006E-2</v>
      </c>
      <c r="Z633">
        <v>4.266766E-3</v>
      </c>
      <c r="AA633">
        <v>0.99520730000000002</v>
      </c>
      <c r="AB633">
        <v>29</v>
      </c>
      <c r="AC633">
        <v>17.552999999999901</v>
      </c>
      <c r="AD633">
        <v>-1.1053770000000001</v>
      </c>
      <c r="AE633">
        <v>1.39500000000003</v>
      </c>
      <c r="AF633">
        <v>-1.73456083439845</v>
      </c>
      <c r="AG633">
        <v>-1.1053770000000001</v>
      </c>
      <c r="AH633">
        <v>17.4532457105974</v>
      </c>
      <c r="AI633">
        <v>93.606189948675393</v>
      </c>
      <c r="AJ633">
        <v>95.6756055026583</v>
      </c>
      <c r="AK633">
        <v>17.5740247363786</v>
      </c>
    </row>
    <row r="634" spans="1:37" x14ac:dyDescent="0.2">
      <c r="A634" t="str">
        <f>"20200111153622197"</f>
        <v>20200111153622197</v>
      </c>
      <c r="B634" t="str">
        <f>"1578728182193126"</f>
        <v>1578728182193126</v>
      </c>
      <c r="C634" t="s">
        <v>37</v>
      </c>
      <c r="D634">
        <v>5.8964809999999996</v>
      </c>
      <c r="E634">
        <v>0.48685469999999997</v>
      </c>
      <c r="F634" t="s">
        <v>40</v>
      </c>
      <c r="G634">
        <v>-291.89890000000003</v>
      </c>
      <c r="H634">
        <v>-0.05</v>
      </c>
      <c r="I634">
        <v>368.87299999999999</v>
      </c>
      <c r="J634">
        <v>-309.46370000000002</v>
      </c>
      <c r="K634">
        <v>1.05531</v>
      </c>
      <c r="L634">
        <v>367.47399999999999</v>
      </c>
      <c r="M634">
        <v>0.9996931</v>
      </c>
      <c r="N634">
        <v>0</v>
      </c>
      <c r="O634">
        <v>-1.9742280000000001E-2</v>
      </c>
      <c r="P634">
        <v>0.99838549999999904</v>
      </c>
      <c r="Q634">
        <v>3.3983359999999997E-2</v>
      </c>
      <c r="R634">
        <v>4.551496E-2</v>
      </c>
      <c r="S634">
        <v>3.0004580000000001</v>
      </c>
      <c r="T634">
        <v>-0.18695049999999999</v>
      </c>
      <c r="U634">
        <v>0.23602289999999901</v>
      </c>
      <c r="V634">
        <v>-6.5217609999999995E-2</v>
      </c>
      <c r="W634">
        <v>4.8912850000000001E-2</v>
      </c>
      <c r="X634">
        <v>0.99667159999999999</v>
      </c>
      <c r="Y634">
        <v>-9.7861729999999994E-2</v>
      </c>
      <c r="Z634">
        <v>4.2684380000000003E-3</v>
      </c>
      <c r="AA634">
        <v>0.99519089999999999</v>
      </c>
      <c r="AB634">
        <v>29</v>
      </c>
      <c r="AC634">
        <v>17.564799999999899</v>
      </c>
      <c r="AD634">
        <v>-1.10531</v>
      </c>
      <c r="AE634">
        <v>1.39900000000005</v>
      </c>
      <c r="AF634">
        <v>-1.7386936995815701</v>
      </c>
      <c r="AG634">
        <v>-1.10531</v>
      </c>
      <c r="AH634">
        <v>17.465029932715201</v>
      </c>
      <c r="AI634">
        <v>93.603485262110894</v>
      </c>
      <c r="AJ634">
        <v>95.685226501379105</v>
      </c>
      <c r="AK634">
        <v>17.586131937629201</v>
      </c>
    </row>
    <row r="635" spans="1:37" x14ac:dyDescent="0.2">
      <c r="A635" t="str">
        <f>"20200111153622213"</f>
        <v>20200111153622213</v>
      </c>
      <c r="B635" t="str">
        <f>"1578728182203865"</f>
        <v>1578728182203865</v>
      </c>
      <c r="C635" t="s">
        <v>37</v>
      </c>
      <c r="D635">
        <v>6.140854</v>
      </c>
      <c r="E635">
        <v>0.48686549999999901</v>
      </c>
      <c r="F635" t="s">
        <v>40</v>
      </c>
      <c r="G635">
        <v>-291.56380000000001</v>
      </c>
      <c r="H635">
        <v>-0.05</v>
      </c>
      <c r="I635">
        <v>368.87490000000003</v>
      </c>
      <c r="J635">
        <v>-309.24919999999997</v>
      </c>
      <c r="K635">
        <v>1.0552410000000001</v>
      </c>
      <c r="L635">
        <v>367.46969999999999</v>
      </c>
      <c r="M635">
        <v>0.99969449999999904</v>
      </c>
      <c r="N635">
        <v>0</v>
      </c>
      <c r="O635">
        <v>-1.973598E-2</v>
      </c>
      <c r="P635">
        <v>0.99836800000000003</v>
      </c>
      <c r="Q635">
        <v>3.4245970000000001E-2</v>
      </c>
      <c r="R635">
        <v>4.570229E-2</v>
      </c>
      <c r="S635">
        <v>3.0004879999999998</v>
      </c>
      <c r="T635">
        <v>-0.1852789</v>
      </c>
      <c r="U635">
        <v>0.23483280000000001</v>
      </c>
      <c r="V635">
        <v>-6.5398079999999997E-2</v>
      </c>
      <c r="W635">
        <v>4.9096220000000003E-2</v>
      </c>
      <c r="X635">
        <v>0.9966507</v>
      </c>
      <c r="Y635">
        <v>-9.7467079999999998E-2</v>
      </c>
      <c r="Z635">
        <v>4.2178210000000001E-3</v>
      </c>
      <c r="AA635">
        <v>0.99522980000000005</v>
      </c>
      <c r="AB635">
        <v>29</v>
      </c>
      <c r="AC635">
        <v>17.685399999999898</v>
      </c>
      <c r="AD635">
        <v>-1.1052409999999999</v>
      </c>
      <c r="AE635">
        <v>1.40520000000003</v>
      </c>
      <c r="AF635">
        <v>-1.7472225028858299</v>
      </c>
      <c r="AG635">
        <v>-1.1052409999999999</v>
      </c>
      <c r="AH635">
        <v>17.5859662226291</v>
      </c>
      <c r="AI635">
        <v>93.578616554270099</v>
      </c>
      <c r="AJ635">
        <v>95.673900362448293</v>
      </c>
      <c r="AK635">
        <v>17.707076329143799</v>
      </c>
    </row>
    <row r="636" spans="1:37" x14ac:dyDescent="0.2">
      <c r="A636" t="str">
        <f>"20200111153622227"</f>
        <v>20200111153622227</v>
      </c>
      <c r="B636" t="str">
        <f>"1578728182223383"</f>
        <v>1578728182223383</v>
      </c>
      <c r="C636" t="s">
        <v>37</v>
      </c>
      <c r="D636">
        <v>5.9035120000000001</v>
      </c>
      <c r="E636">
        <v>0.48692819999999998</v>
      </c>
      <c r="F636" t="s">
        <v>40</v>
      </c>
      <c r="G636">
        <v>-291.3218</v>
      </c>
      <c r="H636">
        <v>-0.05</v>
      </c>
      <c r="I636">
        <v>368.87619999999998</v>
      </c>
      <c r="J636">
        <v>-309.07220000000001</v>
      </c>
      <c r="K636">
        <v>1.0551870000000001</v>
      </c>
      <c r="L636">
        <v>367.46620000000001</v>
      </c>
      <c r="M636">
        <v>0.99969540000000001</v>
      </c>
      <c r="N636">
        <v>0</v>
      </c>
      <c r="O636">
        <v>-1.9730540000000001E-2</v>
      </c>
      <c r="P636">
        <v>0.99833850000000002</v>
      </c>
      <c r="Q636">
        <v>3.4685269999999997E-2</v>
      </c>
      <c r="R636">
        <v>4.6013459999999999E-2</v>
      </c>
      <c r="S636">
        <v>3.0005489999999999</v>
      </c>
      <c r="T636">
        <v>-0.18498629999999999</v>
      </c>
      <c r="U636">
        <v>0.2354126</v>
      </c>
      <c r="V636">
        <v>-6.570339E-2</v>
      </c>
      <c r="W636">
        <v>4.9475310000000002E-2</v>
      </c>
      <c r="X636">
        <v>0.9966119</v>
      </c>
      <c r="Y636">
        <v>-9.7651589999999996E-2</v>
      </c>
      <c r="Z636">
        <v>4.2163929999999997E-3</v>
      </c>
      <c r="AA636">
        <v>0.99521170000000003</v>
      </c>
      <c r="AB636">
        <v>29</v>
      </c>
      <c r="AC636">
        <v>17.750399999999999</v>
      </c>
      <c r="AD636">
        <v>-1.1051869999999999</v>
      </c>
      <c r="AE636">
        <v>1.40999999999996</v>
      </c>
      <c r="AF636">
        <v>-1.75323489634128</v>
      </c>
      <c r="AG636">
        <v>-1.1051869999999999</v>
      </c>
      <c r="AH636">
        <v>17.651122767124399</v>
      </c>
      <c r="AI636">
        <v>93.565276139722698</v>
      </c>
      <c r="AJ636">
        <v>95.672418189086699</v>
      </c>
      <c r="AK636">
        <v>17.772377608153999</v>
      </c>
    </row>
    <row r="637" spans="1:37" x14ac:dyDescent="0.2">
      <c r="A637" t="str">
        <f>"20200111153622240"</f>
        <v>20200111153622240</v>
      </c>
      <c r="B637" t="str">
        <f>"1578728182233143"</f>
        <v>1578728182233143</v>
      </c>
      <c r="C637" t="s">
        <v>37</v>
      </c>
      <c r="D637">
        <v>5.8712780000000002</v>
      </c>
      <c r="E637">
        <v>0.48697089999999998</v>
      </c>
      <c r="F637" t="s">
        <v>40</v>
      </c>
      <c r="G637">
        <v>-291.05439999999999</v>
      </c>
      <c r="H637">
        <v>-0.05</v>
      </c>
      <c r="I637">
        <v>368.88260000000002</v>
      </c>
      <c r="J637">
        <v>-308.88959999999997</v>
      </c>
      <c r="K637">
        <v>1.0551299999999999</v>
      </c>
      <c r="L637">
        <v>367.46260000000001</v>
      </c>
      <c r="M637">
        <v>0.99969629999999998</v>
      </c>
      <c r="N637">
        <v>0</v>
      </c>
      <c r="O637">
        <v>-1.9725110000000001E-2</v>
      </c>
      <c r="P637">
        <v>0.99834409999999896</v>
      </c>
      <c r="Q637">
        <v>3.4803380000000002E-2</v>
      </c>
      <c r="R637">
        <v>4.5803669999999998E-2</v>
      </c>
      <c r="S637">
        <v>3.0005489999999999</v>
      </c>
      <c r="T637">
        <v>-0.1840492</v>
      </c>
      <c r="U637">
        <v>0.23587039999999901</v>
      </c>
      <c r="V637">
        <v>-6.5487920000000005E-2</v>
      </c>
      <c r="W637">
        <v>4.9535330000000002E-2</v>
      </c>
      <c r="X637">
        <v>0.99662309999999998</v>
      </c>
      <c r="Y637">
        <v>-9.7799040000000004E-2</v>
      </c>
      <c r="Z637">
        <v>4.1992289999999996E-3</v>
      </c>
      <c r="AA637">
        <v>0.99519729999999995</v>
      </c>
      <c r="AB637">
        <v>29</v>
      </c>
      <c r="AC637">
        <v>17.835199999999901</v>
      </c>
      <c r="AD637">
        <v>-1.1051299999999999</v>
      </c>
      <c r="AE637">
        <v>1.4200000000000099</v>
      </c>
      <c r="AF637">
        <v>-1.7648300191577599</v>
      </c>
      <c r="AG637">
        <v>-1.1051299999999999</v>
      </c>
      <c r="AH637">
        <v>17.736048533502899</v>
      </c>
      <c r="AI637">
        <v>93.548003599103097</v>
      </c>
      <c r="AJ637">
        <v>95.682525584683404</v>
      </c>
      <c r="AK637">
        <v>17.8578653510489</v>
      </c>
    </row>
    <row r="638" spans="1:37" x14ac:dyDescent="0.2">
      <c r="A638" t="str">
        <f>"20200111153622257"</f>
        <v>20200111153622257</v>
      </c>
      <c r="B638" t="str">
        <f>"1578728182253639"</f>
        <v>1578728182253639</v>
      </c>
      <c r="C638" t="s">
        <v>37</v>
      </c>
      <c r="D638">
        <v>5.9326049999999997</v>
      </c>
      <c r="E638">
        <v>0.48711789999999999</v>
      </c>
      <c r="F638" t="s">
        <v>40</v>
      </c>
      <c r="G638">
        <v>-290.81849999999997</v>
      </c>
      <c r="H638">
        <v>-0.05</v>
      </c>
      <c r="I638">
        <v>368.87860000000001</v>
      </c>
      <c r="J638">
        <v>-308.67610000000002</v>
      </c>
      <c r="K638">
        <v>1.055078</v>
      </c>
      <c r="L638">
        <v>367.45839999999998</v>
      </c>
      <c r="M638">
        <v>0.99969730000000001</v>
      </c>
      <c r="N638">
        <v>0</v>
      </c>
      <c r="O638">
        <v>-1.9718699999999999E-2</v>
      </c>
      <c r="P638">
        <v>0.99835200000000002</v>
      </c>
      <c r="Q638">
        <v>3.4746239999999998E-2</v>
      </c>
      <c r="R638">
        <v>4.5673709999999999E-2</v>
      </c>
      <c r="S638">
        <v>3.0005799999999998</v>
      </c>
      <c r="T638">
        <v>-0.18349840000000001</v>
      </c>
      <c r="U638">
        <v>0.23510739999999999</v>
      </c>
      <c r="V638">
        <v>-6.5351900000000004E-2</v>
      </c>
      <c r="W638">
        <v>4.9417210000000003E-2</v>
      </c>
      <c r="X638">
        <v>0.99663789999999997</v>
      </c>
      <c r="Y638">
        <v>-9.7542139999999999E-2</v>
      </c>
      <c r="Z638">
        <v>4.1784559999999997E-3</v>
      </c>
      <c r="AA638">
        <v>0.99522259999999996</v>
      </c>
      <c r="AB638">
        <v>29</v>
      </c>
      <c r="AC638">
        <v>17.857600000000001</v>
      </c>
      <c r="AD638">
        <v>-1.105078</v>
      </c>
      <c r="AE638">
        <v>1.4202000000000199</v>
      </c>
      <c r="AF638">
        <v>-1.76537261828895</v>
      </c>
      <c r="AG638">
        <v>-1.105078</v>
      </c>
      <c r="AH638">
        <v>17.7585410891427</v>
      </c>
      <c r="AI638">
        <v>93.543388161159399</v>
      </c>
      <c r="AJ638">
        <v>95.677108750327406</v>
      </c>
      <c r="AK638">
        <v>17.880255017260101</v>
      </c>
    </row>
    <row r="639" spans="1:37" x14ac:dyDescent="0.2">
      <c r="A639" t="str">
        <f>"20200111153622272"</f>
        <v>20200111153622272</v>
      </c>
      <c r="B639" t="str">
        <f>"1578728182263398"</f>
        <v>1578728182263398</v>
      </c>
      <c r="C639" t="s">
        <v>37</v>
      </c>
      <c r="D639">
        <v>5.8850699999999998</v>
      </c>
      <c r="E639">
        <v>0.48715389999999997</v>
      </c>
      <c r="F639" t="s">
        <v>40</v>
      </c>
      <c r="G639">
        <v>-290.54739999999998</v>
      </c>
      <c r="H639">
        <v>-0.05</v>
      </c>
      <c r="I639">
        <v>368.86959999999999</v>
      </c>
      <c r="J639">
        <v>-308.49829999999997</v>
      </c>
      <c r="K639">
        <v>1.0550459999999999</v>
      </c>
      <c r="L639">
        <v>367.45490000000001</v>
      </c>
      <c r="M639">
        <v>0.99969819999999998</v>
      </c>
      <c r="N639">
        <v>0</v>
      </c>
      <c r="O639">
        <v>-1.9713830000000002E-2</v>
      </c>
      <c r="P639">
        <v>0.99835280000000004</v>
      </c>
      <c r="Q639">
        <v>3.4692319999999999E-2</v>
      </c>
      <c r="R639">
        <v>4.569811E-2</v>
      </c>
      <c r="S639">
        <v>3.0006409999999999</v>
      </c>
      <c r="T639">
        <v>-0.18291060000000001</v>
      </c>
      <c r="U639">
        <v>0.2335815</v>
      </c>
      <c r="V639">
        <v>-6.537171E-2</v>
      </c>
      <c r="W639">
        <v>4.9316730000000003E-2</v>
      </c>
      <c r="X639">
        <v>0.99664159999999902</v>
      </c>
      <c r="Y639">
        <v>-9.7035010000000005E-2</v>
      </c>
      <c r="Z639">
        <v>4.1493750000000003E-3</v>
      </c>
      <c r="AA639">
        <v>0.9952723</v>
      </c>
      <c r="AB639">
        <v>29</v>
      </c>
      <c r="AC639">
        <v>17.950899999999901</v>
      </c>
      <c r="AD639">
        <v>-1.105046</v>
      </c>
      <c r="AE639">
        <v>1.4146999999999801</v>
      </c>
      <c r="AF639">
        <v>-1.7617091445159101</v>
      </c>
      <c r="AG639">
        <v>-1.105046</v>
      </c>
      <c r="AH639">
        <v>17.852283954684701</v>
      </c>
      <c r="AI639">
        <v>93.524977735325905</v>
      </c>
      <c r="AJ639">
        <v>95.635847239295202</v>
      </c>
      <c r="AK639">
        <v>17.9730016460991</v>
      </c>
    </row>
    <row r="640" spans="1:37" x14ac:dyDescent="0.2">
      <c r="A640" t="str">
        <f>"20200111153622284"</f>
        <v>20200111153622284</v>
      </c>
      <c r="B640" t="str">
        <f>"1578728182273159"</f>
        <v>1578728182273159</v>
      </c>
      <c r="C640" t="s">
        <v>37</v>
      </c>
      <c r="D640">
        <v>5.8886349999999998</v>
      </c>
      <c r="E640">
        <v>0.4871624</v>
      </c>
      <c r="F640" t="s">
        <v>40</v>
      </c>
      <c r="G640">
        <v>-290.4015</v>
      </c>
      <c r="H640">
        <v>-0.05</v>
      </c>
      <c r="I640">
        <v>368.86290000000002</v>
      </c>
      <c r="J640">
        <v>-308.33030000000002</v>
      </c>
      <c r="K640">
        <v>1.0550139999999999</v>
      </c>
      <c r="L640">
        <v>367.45170000000002</v>
      </c>
      <c r="M640">
        <v>0.9996988</v>
      </c>
      <c r="N640">
        <v>0</v>
      </c>
      <c r="O640">
        <v>-1.970912E-2</v>
      </c>
      <c r="P640">
        <v>0.99833269999999996</v>
      </c>
      <c r="Q640">
        <v>3.4742199999999897E-2</v>
      </c>
      <c r="R640">
        <v>4.6097390000000002E-2</v>
      </c>
      <c r="S640">
        <v>3.0006409999999999</v>
      </c>
      <c r="T640">
        <v>-0.18322829999999901</v>
      </c>
      <c r="U640">
        <v>0.23345949999999999</v>
      </c>
      <c r="V640">
        <v>-6.5765660000000004E-2</v>
      </c>
      <c r="W640">
        <v>4.9325300000000002E-2</v>
      </c>
      <c r="X640">
        <v>0.99661520000000003</v>
      </c>
      <c r="Y640">
        <v>-9.6989430000000001E-2</v>
      </c>
      <c r="Z640">
        <v>4.15489999999999E-3</v>
      </c>
      <c r="AA640">
        <v>0.99527670000000001</v>
      </c>
      <c r="AB640">
        <v>29</v>
      </c>
      <c r="AC640">
        <v>17.928799999999999</v>
      </c>
      <c r="AD640">
        <v>-1.1050139999999999</v>
      </c>
      <c r="AE640">
        <v>1.4112</v>
      </c>
      <c r="AF640">
        <v>-1.75768869516652</v>
      </c>
      <c r="AG640">
        <v>-1.1050139999999999</v>
      </c>
      <c r="AH640">
        <v>17.8301860253397</v>
      </c>
      <c r="AI640">
        <v>93.529268935033897</v>
      </c>
      <c r="AJ640">
        <v>95.629992256361106</v>
      </c>
      <c r="AK640">
        <v>17.950656232782499</v>
      </c>
    </row>
    <row r="641" spans="1:37" x14ac:dyDescent="0.2">
      <c r="A641" t="str">
        <f>"20200111153622302"</f>
        <v>20200111153622302</v>
      </c>
      <c r="B641" t="str">
        <f>"1578728182293666"</f>
        <v>1578728182293666</v>
      </c>
      <c r="C641" t="s">
        <v>37</v>
      </c>
      <c r="D641">
        <v>5.8973230000000001</v>
      </c>
      <c r="E641">
        <v>0.4872745</v>
      </c>
      <c r="F641" t="s">
        <v>40</v>
      </c>
      <c r="G641">
        <v>-290.21850000000001</v>
      </c>
      <c r="H641">
        <v>-0.05</v>
      </c>
      <c r="I641">
        <v>368.86689999999999</v>
      </c>
      <c r="J641">
        <v>-308.10700000000003</v>
      </c>
      <c r="K641">
        <v>1.0549770000000001</v>
      </c>
      <c r="L641">
        <v>367.44720000000001</v>
      </c>
      <c r="M641">
        <v>0.99969979999999903</v>
      </c>
      <c r="N641">
        <v>0</v>
      </c>
      <c r="O641">
        <v>-1.9702560000000001E-2</v>
      </c>
      <c r="P641">
        <v>0.99833359999999904</v>
      </c>
      <c r="Q641">
        <v>3.475698E-2</v>
      </c>
      <c r="R641">
        <v>4.607083E-2</v>
      </c>
      <c r="S641">
        <v>3.0005489999999999</v>
      </c>
      <c r="T641">
        <v>-0.1830657</v>
      </c>
      <c r="U641">
        <v>0.2344666</v>
      </c>
      <c r="V641">
        <v>-6.5732979999999996E-2</v>
      </c>
      <c r="W641">
        <v>4.928958E-2</v>
      </c>
      <c r="X641">
        <v>0.99661919999999904</v>
      </c>
      <c r="Y641">
        <v>-9.7317009999999995E-2</v>
      </c>
      <c r="Z641">
        <v>4.1608590000000003E-3</v>
      </c>
      <c r="AA641">
        <v>0.99524469999999998</v>
      </c>
      <c r="AB641">
        <v>29</v>
      </c>
      <c r="AC641">
        <v>17.888500000000001</v>
      </c>
      <c r="AD641">
        <v>-1.1049770000000001</v>
      </c>
      <c r="AE641">
        <v>1.41969999999997</v>
      </c>
      <c r="AF641">
        <v>-1.76521784628037</v>
      </c>
      <c r="AG641">
        <v>-1.1049770000000001</v>
      </c>
      <c r="AH641">
        <v>17.789599677977801</v>
      </c>
      <c r="AI641">
        <v>93.536958304831799</v>
      </c>
      <c r="AJ641">
        <v>95.666768129826593</v>
      </c>
      <c r="AK641">
        <v>17.911081065029698</v>
      </c>
    </row>
    <row r="642" spans="1:37" x14ac:dyDescent="0.2">
      <c r="A642" t="str">
        <f>"20200111153622315"</f>
        <v>20200111153622315</v>
      </c>
      <c r="B642" t="str">
        <f>"1578728182302947"</f>
        <v>1578728182302947</v>
      </c>
      <c r="C642" t="s">
        <v>37</v>
      </c>
      <c r="D642">
        <v>6.0851089999999903</v>
      </c>
      <c r="E642">
        <v>0.48727280000000001</v>
      </c>
      <c r="F642" t="s">
        <v>40</v>
      </c>
      <c r="G642">
        <v>-289.9504</v>
      </c>
      <c r="H642">
        <v>-0.05</v>
      </c>
      <c r="I642">
        <v>368.86149999999998</v>
      </c>
      <c r="J642">
        <v>-307.94380000000001</v>
      </c>
      <c r="K642">
        <v>1.0549549999999901</v>
      </c>
      <c r="L642">
        <v>367.44400000000002</v>
      </c>
      <c r="M642">
        <v>0.99970040000000004</v>
      </c>
      <c r="N642">
        <v>0</v>
      </c>
      <c r="O642">
        <v>-1.9697909999999999E-2</v>
      </c>
      <c r="P642">
        <v>0.99834690000000004</v>
      </c>
      <c r="Q642">
        <v>3.4621190000000003E-2</v>
      </c>
      <c r="R642">
        <v>4.5885639999999998E-2</v>
      </c>
      <c r="S642">
        <v>3.0005799999999998</v>
      </c>
      <c r="T642">
        <v>-0.18260999999999999</v>
      </c>
      <c r="U642">
        <v>0.2337341</v>
      </c>
      <c r="V642">
        <v>-6.5542959999999997E-2</v>
      </c>
      <c r="W642">
        <v>4.9120509999999999E-2</v>
      </c>
      <c r="X642">
        <v>0.99663999999999997</v>
      </c>
      <c r="Y642">
        <v>-9.7071660000000004E-2</v>
      </c>
      <c r="Z642">
        <v>4.1427879999999997E-3</v>
      </c>
      <c r="AA642">
        <v>0.99526879999999995</v>
      </c>
      <c r="AB642">
        <v>29</v>
      </c>
      <c r="AC642">
        <v>17.993400000000001</v>
      </c>
      <c r="AD642">
        <v>-1.1049549999999999</v>
      </c>
      <c r="AE642">
        <v>1.41749999999996</v>
      </c>
      <c r="AF642">
        <v>-1.7650795500069201</v>
      </c>
      <c r="AG642">
        <v>-1.1049549999999999</v>
      </c>
      <c r="AH642">
        <v>17.894916930393698</v>
      </c>
      <c r="AI642">
        <v>93.516328063715605</v>
      </c>
      <c r="AJ642">
        <v>95.633194043477602</v>
      </c>
      <c r="AK642">
        <v>18.015673268450701</v>
      </c>
    </row>
    <row r="643" spans="1:37" x14ac:dyDescent="0.2">
      <c r="A643" t="str">
        <f>"20200111153622328"</f>
        <v>20200111153622328</v>
      </c>
      <c r="B643" t="str">
        <f>"1578728182323443"</f>
        <v>1578728182323443</v>
      </c>
      <c r="C643" t="s">
        <v>37</v>
      </c>
      <c r="D643">
        <v>6.2095459999999996</v>
      </c>
      <c r="E643">
        <v>0.4874367</v>
      </c>
      <c r="F643" t="s">
        <v>40</v>
      </c>
      <c r="G643">
        <v>-289.86439999999999</v>
      </c>
      <c r="H643">
        <v>-0.05</v>
      </c>
      <c r="I643">
        <v>368.84840000000003</v>
      </c>
      <c r="J643">
        <v>-307.78390000000002</v>
      </c>
      <c r="K643">
        <v>1.054935</v>
      </c>
      <c r="L643">
        <v>367.44080000000002</v>
      </c>
      <c r="M643">
        <v>0.9997009</v>
      </c>
      <c r="N643">
        <v>0</v>
      </c>
      <c r="O643">
        <v>-1.9693039999999998E-2</v>
      </c>
      <c r="P643">
        <v>0.99834630000000002</v>
      </c>
      <c r="Q643">
        <v>3.4645330000000002E-2</v>
      </c>
      <c r="R643">
        <v>4.5879280000000001E-2</v>
      </c>
      <c r="S643">
        <v>3.00061</v>
      </c>
      <c r="T643">
        <v>-0.18338699999999999</v>
      </c>
      <c r="U643">
        <v>0.2330933</v>
      </c>
      <c r="V643">
        <v>-6.553254E-2</v>
      </c>
      <c r="W643">
        <v>4.9113360000000002E-2</v>
      </c>
      <c r="X643">
        <v>0.996641</v>
      </c>
      <c r="Y643">
        <v>-9.6853330000000001E-2</v>
      </c>
      <c r="Z643">
        <v>4.1534220000000004E-3</v>
      </c>
      <c r="AA643">
        <v>0.99529000000000001</v>
      </c>
      <c r="AB643">
        <v>29</v>
      </c>
      <c r="AC643">
        <v>17.919499999999999</v>
      </c>
      <c r="AD643">
        <v>-1.104935</v>
      </c>
      <c r="AE643">
        <v>1.4076</v>
      </c>
      <c r="AF643">
        <v>-1.7536269640048801</v>
      </c>
      <c r="AG643">
        <v>-1.104935</v>
      </c>
      <c r="AH643">
        <v>17.820960093362</v>
      </c>
      <c r="AI643">
        <v>93.530900380671795</v>
      </c>
      <c r="AJ643">
        <v>95.619954910866298</v>
      </c>
      <c r="AK643">
        <v>17.941089920412001</v>
      </c>
    </row>
    <row r="644" spans="1:37" x14ac:dyDescent="0.2">
      <c r="A644" t="str">
        <f>"20200111153622341"</f>
        <v>20200111153622341</v>
      </c>
      <c r="B644" t="str">
        <f>"1578728182333203"</f>
        <v>1578728182333203</v>
      </c>
      <c r="C644" t="s">
        <v>37</v>
      </c>
      <c r="D644">
        <v>5.9180929999999998</v>
      </c>
      <c r="E644">
        <v>0.48746999999999902</v>
      </c>
      <c r="F644" t="s">
        <v>40</v>
      </c>
      <c r="G644">
        <v>-289.74790000000002</v>
      </c>
      <c r="H644">
        <v>-0.05</v>
      </c>
      <c r="I644">
        <v>368.8347</v>
      </c>
      <c r="J644">
        <v>-307.61130000000003</v>
      </c>
      <c r="K644">
        <v>1.0549200000000001</v>
      </c>
      <c r="L644">
        <v>367.4375</v>
      </c>
      <c r="M644">
        <v>0.99970139999999996</v>
      </c>
      <c r="N644">
        <v>0</v>
      </c>
      <c r="O644">
        <v>-1.9688029999999999E-2</v>
      </c>
      <c r="P644">
        <v>0.99834389999999995</v>
      </c>
      <c r="Q644">
        <v>3.4802439999999997E-2</v>
      </c>
      <c r="R644">
        <v>4.5806279999999998E-2</v>
      </c>
      <c r="S644">
        <v>3.0006710000000001</v>
      </c>
      <c r="T644">
        <v>-0.18382970000000001</v>
      </c>
      <c r="U644">
        <v>0.2319031</v>
      </c>
      <c r="V644">
        <v>-6.5453720000000007E-2</v>
      </c>
      <c r="W644">
        <v>4.9236240000000001E-2</v>
      </c>
      <c r="X644">
        <v>0.99664010000000003</v>
      </c>
      <c r="Y644">
        <v>-9.6454040000000005E-2</v>
      </c>
      <c r="Z644">
        <v>4.1508980000000001E-3</v>
      </c>
      <c r="AA644">
        <v>0.99532880000000001</v>
      </c>
      <c r="AB644">
        <v>29</v>
      </c>
      <c r="AC644">
        <v>17.863399999999999</v>
      </c>
      <c r="AD644">
        <v>-1.1049199999999999</v>
      </c>
      <c r="AE644">
        <v>1.39719999999999</v>
      </c>
      <c r="AF644">
        <v>-1.7420367963934</v>
      </c>
      <c r="AG644">
        <v>-1.1049199999999999</v>
      </c>
      <c r="AH644">
        <v>17.764872524938099</v>
      </c>
      <c r="AI644">
        <v>93.542089372595399</v>
      </c>
      <c r="AJ644">
        <v>95.600561646032801</v>
      </c>
      <c r="AK644">
        <v>17.884245475660599</v>
      </c>
    </row>
    <row r="645" spans="1:37" x14ac:dyDescent="0.2">
      <c r="A645" t="str">
        <f>"20200111153622358"</f>
        <v>20200111153622358</v>
      </c>
      <c r="B645" t="str">
        <f>"1578728182353699"</f>
        <v>1578728182353699</v>
      </c>
      <c r="C645" t="s">
        <v>37</v>
      </c>
      <c r="D645">
        <v>5.9265749999999997</v>
      </c>
      <c r="E645">
        <v>0.48761520000000003</v>
      </c>
      <c r="F645" t="s">
        <v>40</v>
      </c>
      <c r="G645">
        <v>-289.49829999999997</v>
      </c>
      <c r="H645">
        <v>-0.05</v>
      </c>
      <c r="I645">
        <v>368.83440000000002</v>
      </c>
      <c r="J645">
        <v>-307.39609999999999</v>
      </c>
      <c r="K645">
        <v>1.054889</v>
      </c>
      <c r="L645">
        <v>367.4332</v>
      </c>
      <c r="M645">
        <v>0.99970249999999905</v>
      </c>
      <c r="N645">
        <v>0</v>
      </c>
      <c r="O645">
        <v>-1.9681520000000001E-2</v>
      </c>
      <c r="P645">
        <v>0.99833819999999995</v>
      </c>
      <c r="Q645">
        <v>3.5143059999999997E-2</v>
      </c>
      <c r="R645">
        <v>4.5673520000000002E-2</v>
      </c>
      <c r="S645">
        <v>3.0007320000000002</v>
      </c>
      <c r="T645">
        <v>-0.18304870000000001</v>
      </c>
      <c r="U645">
        <v>0.231414799999999</v>
      </c>
      <c r="V645">
        <v>-6.5314510000000006E-2</v>
      </c>
      <c r="W645">
        <v>4.9515799999999999E-2</v>
      </c>
      <c r="X645">
        <v>0.99663539999999995</v>
      </c>
      <c r="Y645">
        <v>-9.6287150000000002E-2</v>
      </c>
      <c r="Z645">
        <v>4.1277620000000001E-3</v>
      </c>
      <c r="AA645">
        <v>0.99534509999999898</v>
      </c>
      <c r="AB645">
        <v>29</v>
      </c>
      <c r="AC645">
        <v>17.8978</v>
      </c>
      <c r="AD645">
        <v>-1.104889</v>
      </c>
      <c r="AE645">
        <v>1.40120000000001</v>
      </c>
      <c r="AF645">
        <v>-1.74660525189883</v>
      </c>
      <c r="AG645">
        <v>-1.104889</v>
      </c>
      <c r="AH645">
        <v>17.799331991950002</v>
      </c>
      <c r="AI645">
        <v>93.535127476971894</v>
      </c>
      <c r="AJ645">
        <v>95.604353606709097</v>
      </c>
      <c r="AK645">
        <v>17.918918186317399</v>
      </c>
    </row>
    <row r="646" spans="1:37" x14ac:dyDescent="0.2">
      <c r="A646" t="str">
        <f>"20200111153622373"</f>
        <v>20200111153622373</v>
      </c>
      <c r="B646" t="str">
        <f>"1578728182363459"</f>
        <v>1578728182363459</v>
      </c>
      <c r="C646" t="s">
        <v>37</v>
      </c>
      <c r="D646">
        <v>5.8690319999999998</v>
      </c>
      <c r="E646">
        <v>0.48763079999999998</v>
      </c>
      <c r="F646" t="s">
        <v>40</v>
      </c>
      <c r="G646">
        <v>-289.3141</v>
      </c>
      <c r="H646">
        <v>-0.05</v>
      </c>
      <c r="I646">
        <v>368.81900000000002</v>
      </c>
      <c r="J646">
        <v>-307.21249999999998</v>
      </c>
      <c r="K646">
        <v>1.054861</v>
      </c>
      <c r="L646">
        <v>367.42959999999999</v>
      </c>
      <c r="M646">
        <v>0.99970380000000003</v>
      </c>
      <c r="N646">
        <v>0</v>
      </c>
      <c r="O646">
        <v>-1.9676030000000001E-2</v>
      </c>
      <c r="P646">
        <v>0.99833519999999898</v>
      </c>
      <c r="Q646">
        <v>3.5057089999999999E-2</v>
      </c>
      <c r="R646">
        <v>4.5807639999999997E-2</v>
      </c>
      <c r="S646">
        <v>3.0009459999999999</v>
      </c>
      <c r="T646">
        <v>-0.18337029999999899</v>
      </c>
      <c r="U646">
        <v>0.22998049999999901</v>
      </c>
      <c r="V646">
        <v>-6.5442920000000002E-2</v>
      </c>
      <c r="W646">
        <v>4.9344829999999999E-2</v>
      </c>
      <c r="X646">
        <v>0.99663550000000001</v>
      </c>
      <c r="Y646">
        <v>-9.5803440000000004E-2</v>
      </c>
      <c r="Z646">
        <v>4.1197029999999997E-3</v>
      </c>
      <c r="AA646">
        <v>0.99539169999999999</v>
      </c>
      <c r="AB646">
        <v>29</v>
      </c>
      <c r="AC646">
        <v>17.898399999999899</v>
      </c>
      <c r="AD646">
        <v>-1.1048610000000001</v>
      </c>
      <c r="AE646">
        <v>1.38940000000002</v>
      </c>
      <c r="AF646">
        <v>-1.7347657517359301</v>
      </c>
      <c r="AG646">
        <v>-1.1048610000000001</v>
      </c>
      <c r="AH646">
        <v>17.8001715871107</v>
      </c>
      <c r="AI646">
        <v>93.535100559278902</v>
      </c>
      <c r="AJ646">
        <v>95.566342558247399</v>
      </c>
      <c r="AK646">
        <v>17.9186003519611</v>
      </c>
    </row>
    <row r="647" spans="1:37" x14ac:dyDescent="0.2">
      <c r="A647" t="str">
        <f>"20200111153622402"</f>
        <v>20200111153622402</v>
      </c>
      <c r="B647" t="str">
        <f>"1578728182393714"</f>
        <v>1578728182393714</v>
      </c>
      <c r="C647" t="s">
        <v>37</v>
      </c>
      <c r="D647">
        <v>5.8307099999999998</v>
      </c>
      <c r="E647">
        <v>0.4875622</v>
      </c>
      <c r="F647" t="s">
        <v>40</v>
      </c>
      <c r="G647">
        <v>-289.24329999999998</v>
      </c>
      <c r="H647">
        <v>-0.05</v>
      </c>
      <c r="I647">
        <v>368.80869999999999</v>
      </c>
      <c r="J647">
        <v>-306.82749999999999</v>
      </c>
      <c r="K647">
        <v>1.0547759999999999</v>
      </c>
      <c r="L647">
        <v>367.4221</v>
      </c>
      <c r="M647">
        <v>0.99970809999999999</v>
      </c>
      <c r="N647">
        <v>0</v>
      </c>
      <c r="O647">
        <v>-1.967441E-2</v>
      </c>
      <c r="P647">
        <v>0.99830140000000001</v>
      </c>
      <c r="Q647">
        <v>3.5685849999999998E-2</v>
      </c>
      <c r="R647">
        <v>4.6049939999999998E-2</v>
      </c>
      <c r="S647">
        <v>3.0008849999999998</v>
      </c>
      <c r="T647">
        <v>-0.18451389999999901</v>
      </c>
      <c r="U647">
        <v>0.2303162</v>
      </c>
      <c r="V647">
        <v>-6.5683279999999997E-2</v>
      </c>
      <c r="W647">
        <v>4.9666290000000002E-2</v>
      </c>
      <c r="X647">
        <v>0.99660369999999998</v>
      </c>
      <c r="Y647">
        <v>-9.5911129999999997E-2</v>
      </c>
      <c r="Z647">
        <v>4.1486129999999998E-3</v>
      </c>
      <c r="AA647">
        <v>0.99538119999999997</v>
      </c>
      <c r="AB647">
        <v>28</v>
      </c>
      <c r="AC647">
        <v>17.584199999999999</v>
      </c>
      <c r="AD647">
        <v>-1.104776</v>
      </c>
      <c r="AE647">
        <v>1.3865999999999801</v>
      </c>
      <c r="AF647">
        <v>-1.72555509523151</v>
      </c>
      <c r="AG647">
        <v>-1.104776</v>
      </c>
      <c r="AH647">
        <v>17.484920308835299</v>
      </c>
      <c r="AI647">
        <v>93.597966991139501</v>
      </c>
      <c r="AJ647">
        <v>95.636166368794804</v>
      </c>
      <c r="AK647">
        <v>17.604559312949998</v>
      </c>
    </row>
    <row r="648" spans="1:37" x14ac:dyDescent="0.2">
      <c r="A648" t="str">
        <f>"20200111153622418"</f>
        <v>20200111153622418</v>
      </c>
      <c r="B648" t="str">
        <f>"1578728182413607"</f>
        <v>1578728182413607</v>
      </c>
      <c r="C648" t="s">
        <v>37</v>
      </c>
      <c r="D648">
        <v>5.8749549999999999</v>
      </c>
      <c r="E648">
        <v>0.44648359999999898</v>
      </c>
      <c r="F648" t="s">
        <v>40</v>
      </c>
      <c r="G648">
        <v>-288.8075</v>
      </c>
      <c r="H648">
        <v>-0.05</v>
      </c>
      <c r="I648">
        <v>368.81330000000003</v>
      </c>
      <c r="J648">
        <v>-306.63080000000002</v>
      </c>
      <c r="K648">
        <v>1.0547200000000001</v>
      </c>
      <c r="L648">
        <v>367.41820000000001</v>
      </c>
      <c r="M648">
        <v>0.99971129999999997</v>
      </c>
      <c r="N648">
        <v>0</v>
      </c>
      <c r="O648">
        <v>-1.9672390000000001E-2</v>
      </c>
      <c r="P648">
        <v>0.99826870000000001</v>
      </c>
      <c r="Q648">
        <v>3.6045540000000001E-2</v>
      </c>
      <c r="R648">
        <v>4.6479060000000003E-2</v>
      </c>
      <c r="S648">
        <v>3.0009769999999998</v>
      </c>
      <c r="T648">
        <v>-0.18398510000000001</v>
      </c>
      <c r="U648">
        <v>0.23168949999999999</v>
      </c>
      <c r="V648">
        <v>-6.6109600000000004E-2</v>
      </c>
      <c r="W648">
        <v>4.9797260000000003E-2</v>
      </c>
      <c r="X648">
        <v>0.99656900000000004</v>
      </c>
      <c r="Y648">
        <v>-9.6359940000000005E-2</v>
      </c>
      <c r="Z648">
        <v>4.150145E-3</v>
      </c>
      <c r="AA648">
        <v>0.9953379</v>
      </c>
      <c r="AB648">
        <v>29</v>
      </c>
      <c r="AC648">
        <v>17.8233</v>
      </c>
      <c r="AD648">
        <v>-1.1047199999999999</v>
      </c>
      <c r="AE648">
        <v>1.39510000000001</v>
      </c>
      <c r="AF648">
        <v>-1.7388507099223101</v>
      </c>
      <c r="AG648">
        <v>-1.1047199999999999</v>
      </c>
      <c r="AH648">
        <v>17.724723454079399</v>
      </c>
      <c r="AI648">
        <v>93.549436696602697</v>
      </c>
      <c r="AJ648">
        <v>95.602966025304198</v>
      </c>
      <c r="AK648">
        <v>17.844041851368399</v>
      </c>
    </row>
    <row r="649" spans="1:37" x14ac:dyDescent="0.2">
      <c r="A649" t="str">
        <f>"20200111153622432"</f>
        <v>20200111153622432</v>
      </c>
      <c r="B649" t="str">
        <f>"1578728182423367"</f>
        <v>1578728182423367</v>
      </c>
      <c r="C649" t="s">
        <v>37</v>
      </c>
      <c r="D649">
        <v>5.8552860000000004</v>
      </c>
      <c r="E649">
        <v>0.44622889999999998</v>
      </c>
      <c r="F649" t="s">
        <v>40</v>
      </c>
      <c r="G649">
        <v>-293.02640000000002</v>
      </c>
      <c r="H649">
        <v>-0.05</v>
      </c>
      <c r="I649">
        <v>369.96469999999999</v>
      </c>
      <c r="J649">
        <v>-306.4522</v>
      </c>
      <c r="K649">
        <v>1.054665</v>
      </c>
      <c r="L649">
        <v>367.41469999999998</v>
      </c>
      <c r="M649">
        <v>0.99971469999999996</v>
      </c>
      <c r="N649">
        <v>0</v>
      </c>
      <c r="O649">
        <v>-1.966733E-2</v>
      </c>
      <c r="P649">
        <v>0.99825390000000003</v>
      </c>
      <c r="Q649">
        <v>3.635149E-2</v>
      </c>
      <c r="R649">
        <v>4.6558780000000001E-2</v>
      </c>
      <c r="S649">
        <v>2.9879150000000001</v>
      </c>
      <c r="T649">
        <v>-0.2426285</v>
      </c>
      <c r="U649">
        <v>0.55929569999999995</v>
      </c>
      <c r="V649">
        <v>-6.6183980000000003E-2</v>
      </c>
      <c r="W649">
        <v>4.9861549999999998E-2</v>
      </c>
      <c r="X649">
        <v>0.99656080000000002</v>
      </c>
      <c r="Y649">
        <v>-0.2025806</v>
      </c>
      <c r="Z649">
        <v>9.7227879999999996E-3</v>
      </c>
      <c r="AA649">
        <v>0.97921740000000002</v>
      </c>
      <c r="AB649">
        <v>29</v>
      </c>
      <c r="AC649">
        <v>13.425799999999899</v>
      </c>
      <c r="AD649">
        <v>-1.104665</v>
      </c>
      <c r="AE649">
        <v>2.55000000000001</v>
      </c>
      <c r="AF649">
        <v>-2.7953155407821599</v>
      </c>
      <c r="AG649">
        <v>-1.104665</v>
      </c>
      <c r="AH649">
        <v>13.2862320107579</v>
      </c>
      <c r="AI649">
        <v>94.651473002374999</v>
      </c>
      <c r="AJ649">
        <v>101.88128300426</v>
      </c>
      <c r="AK649">
        <v>13.6219688290074</v>
      </c>
    </row>
    <row r="650" spans="1:37" x14ac:dyDescent="0.2">
      <c r="A650" t="str">
        <f>"20200111153622447"</f>
        <v>20200111153622447</v>
      </c>
      <c r="B650" t="str">
        <f>"1578728182443863"</f>
        <v>1578728182443863</v>
      </c>
      <c r="C650" t="s">
        <v>37</v>
      </c>
      <c r="D650">
        <v>5.761501</v>
      </c>
      <c r="E650">
        <v>0.44704060000000001</v>
      </c>
      <c r="F650" t="s">
        <v>40</v>
      </c>
      <c r="G650">
        <v>-292.89789999999999</v>
      </c>
      <c r="H650">
        <v>-0.05</v>
      </c>
      <c r="I650">
        <v>369.96280000000002</v>
      </c>
      <c r="J650">
        <v>-306.25569999999999</v>
      </c>
      <c r="K650">
        <v>1.0545979999999999</v>
      </c>
      <c r="L650">
        <v>367.41079999999999</v>
      </c>
      <c r="M650">
        <v>0.99971900000000002</v>
      </c>
      <c r="N650">
        <v>0</v>
      </c>
      <c r="O650">
        <v>-1.9660400000000001E-2</v>
      </c>
      <c r="P650">
        <v>0.99822009999999906</v>
      </c>
      <c r="Q650">
        <v>3.67281E-2</v>
      </c>
      <c r="R650">
        <v>4.6988549999999997E-2</v>
      </c>
      <c r="S650">
        <v>2.9879150000000001</v>
      </c>
      <c r="T650">
        <v>-0.24351390000000001</v>
      </c>
      <c r="U650">
        <v>0.5617065</v>
      </c>
      <c r="V650">
        <v>-6.6605689999999995E-2</v>
      </c>
      <c r="W650">
        <v>4.9940140000000001E-2</v>
      </c>
      <c r="X650">
        <v>0.99652879999999999</v>
      </c>
      <c r="Y650">
        <v>-0.2033295</v>
      </c>
      <c r="Z650">
        <v>9.7870819999999904E-3</v>
      </c>
      <c r="AA650">
        <v>0.97906150000000003</v>
      </c>
      <c r="AB650">
        <v>29</v>
      </c>
      <c r="AC650">
        <v>13.3577999999999</v>
      </c>
      <c r="AD650">
        <v>-1.104598</v>
      </c>
      <c r="AE650">
        <v>2.55200000000002</v>
      </c>
      <c r="AF650">
        <v>-2.79570513745518</v>
      </c>
      <c r="AG650">
        <v>-1.104598</v>
      </c>
      <c r="AH650">
        <v>13.217837283477801</v>
      </c>
      <c r="AI650">
        <v>94.674102004086095</v>
      </c>
      <c r="AJ650">
        <v>101.942617850666</v>
      </c>
      <c r="AK650">
        <v>13.555343094503099</v>
      </c>
    </row>
    <row r="651" spans="1:37" x14ac:dyDescent="0.2">
      <c r="A651" t="str">
        <f>"20200111153622460"</f>
        <v>20200111153622460</v>
      </c>
      <c r="B651" t="str">
        <f>"1578728182453623"</f>
        <v>1578728182453623</v>
      </c>
      <c r="C651" t="s">
        <v>37</v>
      </c>
      <c r="D651">
        <v>5.9674120000000004</v>
      </c>
      <c r="E651">
        <v>0.4484802</v>
      </c>
      <c r="F651" t="s">
        <v>40</v>
      </c>
      <c r="G651">
        <v>-292.88170000000002</v>
      </c>
      <c r="H651">
        <v>-0.05</v>
      </c>
      <c r="I651">
        <v>369.90030000000002</v>
      </c>
      <c r="J651">
        <v>-306.09089999999998</v>
      </c>
      <c r="K651">
        <v>1.054538</v>
      </c>
      <c r="L651">
        <v>367.4076</v>
      </c>
      <c r="M651">
        <v>0.99972269999999896</v>
      </c>
      <c r="N651">
        <v>0</v>
      </c>
      <c r="O651">
        <v>-1.9653540000000001E-2</v>
      </c>
      <c r="P651">
        <v>0.99819639999999998</v>
      </c>
      <c r="Q651">
        <v>3.7058199999999999E-2</v>
      </c>
      <c r="R651">
        <v>4.7232150000000001E-2</v>
      </c>
      <c r="S651">
        <v>2.9882810000000002</v>
      </c>
      <c r="T651">
        <v>-0.24681049999999999</v>
      </c>
      <c r="U651">
        <v>0.55624390000000001</v>
      </c>
      <c r="V651">
        <v>-6.6841659999999997E-2</v>
      </c>
      <c r="W651">
        <v>4.9997760000000002E-2</v>
      </c>
      <c r="X651">
        <v>0.99651009999999995</v>
      </c>
      <c r="Y651">
        <v>-0.20155770000000001</v>
      </c>
      <c r="Z651">
        <v>9.8465919999999995E-3</v>
      </c>
      <c r="AA651">
        <v>0.97942719999999905</v>
      </c>
      <c r="AB651">
        <v>29</v>
      </c>
      <c r="AC651">
        <v>13.2091999999999</v>
      </c>
      <c r="AD651">
        <v>-1.104538</v>
      </c>
      <c r="AE651">
        <v>2.4927000000000099</v>
      </c>
      <c r="AF651">
        <v>-2.7333928588835401</v>
      </c>
      <c r="AG651">
        <v>-1.104538</v>
      </c>
      <c r="AH651">
        <v>13.0694132861573</v>
      </c>
      <c r="AI651">
        <v>94.728931690832894</v>
      </c>
      <c r="AJ651">
        <v>101.812812037814</v>
      </c>
      <c r="AK651">
        <v>13.3977984892602</v>
      </c>
    </row>
    <row r="652" spans="1:37" x14ac:dyDescent="0.2">
      <c r="A652" t="str">
        <f>"20200111153622473"</f>
        <v>20200111153622473</v>
      </c>
      <c r="B652" t="str">
        <f>"1578728182463384"</f>
        <v>1578728182463384</v>
      </c>
      <c r="C652" t="s">
        <v>37</v>
      </c>
      <c r="D652">
        <v>5.967301</v>
      </c>
      <c r="E652">
        <v>0.44977719999999999</v>
      </c>
      <c r="F652" t="s">
        <v>40</v>
      </c>
      <c r="G652">
        <v>-292.35789999999997</v>
      </c>
      <c r="H652">
        <v>-0.05</v>
      </c>
      <c r="I652">
        <v>369.91500000000002</v>
      </c>
      <c r="J652">
        <v>-305.92230000000001</v>
      </c>
      <c r="K652">
        <v>1.0544770000000001</v>
      </c>
      <c r="L652">
        <v>367.40429999999998</v>
      </c>
      <c r="M652">
        <v>0.99972689999999997</v>
      </c>
      <c r="N652">
        <v>0</v>
      </c>
      <c r="O652">
        <v>-1.9646469999999999E-2</v>
      </c>
      <c r="P652">
        <v>0.99818899999999999</v>
      </c>
      <c r="Q652">
        <v>3.6868169999999999E-2</v>
      </c>
      <c r="R652">
        <v>4.7537639999999999E-2</v>
      </c>
      <c r="S652">
        <v>2.9884949999999999</v>
      </c>
      <c r="T652">
        <v>-0.24036260000000001</v>
      </c>
      <c r="U652">
        <v>0.54565430000000004</v>
      </c>
      <c r="V652">
        <v>-6.7139359999999995E-2</v>
      </c>
      <c r="W652">
        <v>4.9497699999999999E-2</v>
      </c>
      <c r="X652">
        <v>0.99651509999999999</v>
      </c>
      <c r="Y652">
        <v>-0.19822790000000001</v>
      </c>
      <c r="Z652">
        <v>9.4593560000000004E-3</v>
      </c>
      <c r="AA652">
        <v>0.98011029999999999</v>
      </c>
      <c r="AB652">
        <v>29</v>
      </c>
      <c r="AC652">
        <v>13.564399999999999</v>
      </c>
      <c r="AD652">
        <v>-1.1044769999999999</v>
      </c>
      <c r="AE652">
        <v>2.5107000000000399</v>
      </c>
      <c r="AF652">
        <v>-2.7590427921828198</v>
      </c>
      <c r="AG652">
        <v>-1.1044769999999999</v>
      </c>
      <c r="AH652">
        <v>13.4263832182633</v>
      </c>
      <c r="AI652">
        <v>94.606824208354197</v>
      </c>
      <c r="AJ652">
        <v>101.612292737432</v>
      </c>
      <c r="AK652">
        <v>13.7513618560595</v>
      </c>
    </row>
    <row r="653" spans="1:37" x14ac:dyDescent="0.2">
      <c r="A653" t="str">
        <f>"20200111153622486"</f>
        <v>20200111153622486</v>
      </c>
      <c r="B653" t="str">
        <f>"1578728182483879"</f>
        <v>1578728182483879</v>
      </c>
      <c r="C653" t="s">
        <v>37</v>
      </c>
      <c r="D653">
        <v>5.9584029999999997</v>
      </c>
      <c r="E653">
        <v>0.45135360000000002</v>
      </c>
      <c r="F653" t="s">
        <v>40</v>
      </c>
      <c r="G653">
        <v>-291.98930000000001</v>
      </c>
      <c r="H653">
        <v>-0.05</v>
      </c>
      <c r="I653">
        <v>369.90530000000001</v>
      </c>
      <c r="J653">
        <v>-305.75389999999999</v>
      </c>
      <c r="K653">
        <v>1.0544169999999999</v>
      </c>
      <c r="L653">
        <v>367.40100000000001</v>
      </c>
      <c r="M653">
        <v>0.99973099999999904</v>
      </c>
      <c r="N653">
        <v>0</v>
      </c>
      <c r="O653">
        <v>-1.9639609999999998E-2</v>
      </c>
      <c r="P653">
        <v>0.99817199999999995</v>
      </c>
      <c r="Q653">
        <v>3.6988269999999997E-2</v>
      </c>
      <c r="R653">
        <v>4.7801089999999997E-2</v>
      </c>
      <c r="S653">
        <v>2.9886469999999998</v>
      </c>
      <c r="T653">
        <v>-0.23691180000000001</v>
      </c>
      <c r="U653">
        <v>0.53646850000000001</v>
      </c>
      <c r="V653">
        <v>-6.7395200000000002E-2</v>
      </c>
      <c r="W653">
        <v>4.92953E-2</v>
      </c>
      <c r="X653">
        <v>0.99650780000000005</v>
      </c>
      <c r="Y653">
        <v>-0.19532249999999901</v>
      </c>
      <c r="Z653">
        <v>9.2113950000000007E-3</v>
      </c>
      <c r="AA653">
        <v>0.98069580000000001</v>
      </c>
      <c r="AB653">
        <v>29</v>
      </c>
      <c r="AC653">
        <v>13.7645999999999</v>
      </c>
      <c r="AD653">
        <v>-1.104417</v>
      </c>
      <c r="AE653">
        <v>2.5043000000000002</v>
      </c>
      <c r="AF653">
        <v>-2.7569885491752801</v>
      </c>
      <c r="AG653">
        <v>-1.104417</v>
      </c>
      <c r="AH653">
        <v>13.627834990467701</v>
      </c>
      <c r="AI653">
        <v>94.541587534029006</v>
      </c>
      <c r="AJ653">
        <v>101.43690121441701</v>
      </c>
      <c r="AK653">
        <v>13.9477098226766</v>
      </c>
    </row>
    <row r="654" spans="1:37" x14ac:dyDescent="0.2">
      <c r="A654" t="str">
        <f>"20200111153622503"</f>
        <v>20200111153622503</v>
      </c>
      <c r="B654" t="str">
        <f>"1578728182493639"</f>
        <v>1578728182493639</v>
      </c>
      <c r="C654" t="s">
        <v>37</v>
      </c>
      <c r="D654">
        <v>5.8263939999999996</v>
      </c>
      <c r="E654">
        <v>0.45175959999999898</v>
      </c>
      <c r="F654" t="s">
        <v>40</v>
      </c>
      <c r="G654">
        <v>-291.57839999999999</v>
      </c>
      <c r="H654">
        <v>-0.05</v>
      </c>
      <c r="I654">
        <v>369.89010000000002</v>
      </c>
      <c r="J654">
        <v>-305.53609999999998</v>
      </c>
      <c r="K654">
        <v>1.0543389999999999</v>
      </c>
      <c r="L654">
        <v>367.39670000000001</v>
      </c>
      <c r="M654">
        <v>0.99973639999999997</v>
      </c>
      <c r="N654">
        <v>0</v>
      </c>
      <c r="O654">
        <v>-1.9631630000000001E-2</v>
      </c>
      <c r="P654">
        <v>0.99816649999999996</v>
      </c>
      <c r="Q654">
        <v>3.699533E-2</v>
      </c>
      <c r="R654">
        <v>4.7904969999999998E-2</v>
      </c>
      <c r="S654">
        <v>2.9889830000000002</v>
      </c>
      <c r="T654">
        <v>-0.2328731</v>
      </c>
      <c r="U654">
        <v>0.52484129999999996</v>
      </c>
      <c r="V654">
        <v>-6.7491190000000006E-2</v>
      </c>
      <c r="W654">
        <v>4.8865220000000001E-2</v>
      </c>
      <c r="X654">
        <v>0.99652249999999998</v>
      </c>
      <c r="Y654">
        <v>-0.1916282</v>
      </c>
      <c r="Z654">
        <v>8.9136319999999995E-3</v>
      </c>
      <c r="AA654">
        <v>0.9814271</v>
      </c>
      <c r="AB654">
        <v>29</v>
      </c>
      <c r="AC654">
        <v>13.9576999999999</v>
      </c>
      <c r="AD654">
        <v>-1.104339</v>
      </c>
      <c r="AE654">
        <v>2.4933999999999998</v>
      </c>
      <c r="AF654">
        <v>-2.75026688139668</v>
      </c>
      <c r="AG654">
        <v>-1.104339</v>
      </c>
      <c r="AH654">
        <v>13.8222050618136</v>
      </c>
      <c r="AI654">
        <v>94.480535712297893</v>
      </c>
      <c r="AJ654">
        <v>101.253426558626</v>
      </c>
      <c r="AK654">
        <v>14.1363674724681</v>
      </c>
    </row>
    <row r="655" spans="1:37" x14ac:dyDescent="0.2">
      <c r="A655" t="str">
        <f>"20200111153622517"</f>
        <v>20200111153622517</v>
      </c>
      <c r="B655" t="str">
        <f>"1578728182513669"</f>
        <v>1578728182513669</v>
      </c>
      <c r="C655" t="s">
        <v>37</v>
      </c>
      <c r="D655">
        <v>5.8662970000000003</v>
      </c>
      <c r="E655">
        <v>0.45216279999999998</v>
      </c>
      <c r="F655" t="s">
        <v>40</v>
      </c>
      <c r="G655">
        <v>-291.16910000000001</v>
      </c>
      <c r="H655">
        <v>-0.05</v>
      </c>
      <c r="I655">
        <v>369.90609999999998</v>
      </c>
      <c r="J655">
        <v>-305.35480000000001</v>
      </c>
      <c r="K655">
        <v>1.054276</v>
      </c>
      <c r="L655">
        <v>367.39319999999998</v>
      </c>
      <c r="M655">
        <v>0.99974110000000005</v>
      </c>
      <c r="N655">
        <v>0</v>
      </c>
      <c r="O655">
        <v>-1.9626049999999999E-2</v>
      </c>
      <c r="P655">
        <v>0.99814809999999998</v>
      </c>
      <c r="Q655">
        <v>3.7380869999999997E-2</v>
      </c>
      <c r="R655">
        <v>4.7992739999999999E-2</v>
      </c>
      <c r="S655">
        <v>2.9889830000000002</v>
      </c>
      <c r="T655">
        <v>-0.22975180000000001</v>
      </c>
      <c r="U655">
        <v>0.52206419999999998</v>
      </c>
      <c r="V655">
        <v>-6.7572919999999995E-2</v>
      </c>
      <c r="W655">
        <v>4.8862849999999999E-2</v>
      </c>
      <c r="X655">
        <v>0.99651710000000004</v>
      </c>
      <c r="Y655">
        <v>-0.1907568</v>
      </c>
      <c r="Z655">
        <v>8.7615760000000001E-3</v>
      </c>
      <c r="AA655">
        <v>0.98159819999999998</v>
      </c>
      <c r="AB655">
        <v>29</v>
      </c>
      <c r="AC655">
        <v>14.185699999999899</v>
      </c>
      <c r="AD655">
        <v>-1.104276</v>
      </c>
      <c r="AE655">
        <v>2.5129000000000001</v>
      </c>
      <c r="AF655">
        <v>-2.77454217960728</v>
      </c>
      <c r="AG655">
        <v>-1.104276</v>
      </c>
      <c r="AH655">
        <v>14.051090427398499</v>
      </c>
      <c r="AI655">
        <v>94.408857027912404</v>
      </c>
      <c r="AJ655">
        <v>101.16998485449</v>
      </c>
      <c r="AK655">
        <v>14.3649104414029</v>
      </c>
    </row>
    <row r="656" spans="1:37" x14ac:dyDescent="0.2">
      <c r="A656" t="str">
        <f>"20200111153622532"</f>
        <v>20200111153622532</v>
      </c>
      <c r="B656" t="str">
        <f>"1578728182523430"</f>
        <v>1578728182523430</v>
      </c>
      <c r="C656" t="s">
        <v>37</v>
      </c>
      <c r="D656">
        <v>5.8197419999999997</v>
      </c>
      <c r="E656">
        <v>0.45214070000000001</v>
      </c>
      <c r="F656" t="s">
        <v>40</v>
      </c>
      <c r="G656">
        <v>-290.9477</v>
      </c>
      <c r="H656">
        <v>-0.05</v>
      </c>
      <c r="I656">
        <v>369.89449999999999</v>
      </c>
      <c r="J656">
        <v>-305.1651</v>
      </c>
      <c r="K656">
        <v>1.054211</v>
      </c>
      <c r="L656">
        <v>367.38940000000002</v>
      </c>
      <c r="M656">
        <v>0.99974589999999997</v>
      </c>
      <c r="N656">
        <v>0</v>
      </c>
      <c r="O656">
        <v>-1.9620240000000001E-2</v>
      </c>
      <c r="P656">
        <v>0.99812599999999996</v>
      </c>
      <c r="Q656">
        <v>3.7970820000000002E-2</v>
      </c>
      <c r="R656">
        <v>4.7989219999999999E-2</v>
      </c>
      <c r="S656">
        <v>2.9892270000000001</v>
      </c>
      <c r="T656">
        <v>-0.22911770000000001</v>
      </c>
      <c r="U656">
        <v>0.5189819</v>
      </c>
      <c r="V656">
        <v>-6.7563349999999994E-2</v>
      </c>
      <c r="W656">
        <v>4.903192E-2</v>
      </c>
      <c r="X656">
        <v>0.99650939999999999</v>
      </c>
      <c r="Y656">
        <v>-0.18976109999999999</v>
      </c>
      <c r="Z656">
        <v>8.6992489999999992E-3</v>
      </c>
      <c r="AA656">
        <v>0.98179169999999905</v>
      </c>
      <c r="AB656">
        <v>29</v>
      </c>
      <c r="AC656">
        <v>14.2173999999999</v>
      </c>
      <c r="AD656">
        <v>-1.1042110000000001</v>
      </c>
      <c r="AE656">
        <v>2.5050999999999699</v>
      </c>
      <c r="AF656">
        <v>-2.7673933429190098</v>
      </c>
      <c r="AG656">
        <v>-1.1042110000000001</v>
      </c>
      <c r="AH656">
        <v>14.083117308885001</v>
      </c>
      <c r="AI656">
        <v>94.399407072184502</v>
      </c>
      <c r="AJ656">
        <v>101.117219127075</v>
      </c>
      <c r="AK656">
        <v>14.3948581438919</v>
      </c>
    </row>
    <row r="657" spans="1:37" x14ac:dyDescent="0.2">
      <c r="A657" t="str">
        <f>"20200111153622548"</f>
        <v>20200111153622548</v>
      </c>
      <c r="B657" t="str">
        <f>"1578728182542949"</f>
        <v>1578728182542949</v>
      </c>
      <c r="C657" t="s">
        <v>37</v>
      </c>
      <c r="D657">
        <v>5.8148609999999996</v>
      </c>
      <c r="E657">
        <v>0.45226859999999902</v>
      </c>
      <c r="F657" t="s">
        <v>40</v>
      </c>
      <c r="G657">
        <v>-290.81450000000001</v>
      </c>
      <c r="H657">
        <v>-0.05</v>
      </c>
      <c r="I657">
        <v>369.88209999999998</v>
      </c>
      <c r="J657">
        <v>-304.95670000000001</v>
      </c>
      <c r="K657">
        <v>1.054133</v>
      </c>
      <c r="L657">
        <v>367.38529999999997</v>
      </c>
      <c r="M657">
        <v>0.99975130000000001</v>
      </c>
      <c r="N657">
        <v>0</v>
      </c>
      <c r="O657">
        <v>-1.961448E-2</v>
      </c>
      <c r="P657">
        <v>0.99811299999999903</v>
      </c>
      <c r="Q657">
        <v>3.8635210000000003E-2</v>
      </c>
      <c r="R657">
        <v>4.7725379999999998E-2</v>
      </c>
      <c r="S657">
        <v>2.9894099999999999</v>
      </c>
      <c r="T657">
        <v>-0.23002210000000001</v>
      </c>
      <c r="U657">
        <v>0.51925659999999996</v>
      </c>
      <c r="V657">
        <v>-6.7293279999999997E-2</v>
      </c>
      <c r="W657">
        <v>4.9224810000000001E-2</v>
      </c>
      <c r="X657">
        <v>0.99651819999999902</v>
      </c>
      <c r="Y657">
        <v>-0.18982789999999999</v>
      </c>
      <c r="Z657">
        <v>8.7349990000000002E-3</v>
      </c>
      <c r="AA657">
        <v>0.9817785</v>
      </c>
      <c r="AB657">
        <v>29</v>
      </c>
      <c r="AC657">
        <v>14.142200000000001</v>
      </c>
      <c r="AD657">
        <v>-1.104133</v>
      </c>
      <c r="AE657">
        <v>2.4967999999999999</v>
      </c>
      <c r="AF657">
        <v>-2.7574273073420001</v>
      </c>
      <c r="AG657">
        <v>-1.104133</v>
      </c>
      <c r="AH657">
        <v>14.0076999028513</v>
      </c>
      <c r="AI657">
        <v>94.422399505601604</v>
      </c>
      <c r="AJ657">
        <v>101.136333319838</v>
      </c>
      <c r="AK657">
        <v>14.319154011508701</v>
      </c>
    </row>
    <row r="658" spans="1:37" x14ac:dyDescent="0.2">
      <c r="A658" t="str">
        <f>"20200111153622562"</f>
        <v>20200111153622562</v>
      </c>
      <c r="B658" t="str">
        <f>"1578728182553685"</f>
        <v>1578728182553685</v>
      </c>
      <c r="C658" t="s">
        <v>37</v>
      </c>
      <c r="D658">
        <v>6.0205359999999999</v>
      </c>
      <c r="E658">
        <v>0.4524572</v>
      </c>
      <c r="F658" t="s">
        <v>40</v>
      </c>
      <c r="G658">
        <v>-290.7878</v>
      </c>
      <c r="H658">
        <v>-0.05</v>
      </c>
      <c r="I658">
        <v>369.83780000000002</v>
      </c>
      <c r="J658">
        <v>-304.77409999999998</v>
      </c>
      <c r="K658">
        <v>1.0540750000000001</v>
      </c>
      <c r="L658">
        <v>367.38170000000002</v>
      </c>
      <c r="M658">
        <v>0.99975579999999997</v>
      </c>
      <c r="N658">
        <v>0</v>
      </c>
      <c r="O658">
        <v>-1.960922E-2</v>
      </c>
      <c r="P658">
        <v>0.99810390000000004</v>
      </c>
      <c r="Q658">
        <v>3.8955770000000001E-2</v>
      </c>
      <c r="R658">
        <v>4.7659680000000003E-2</v>
      </c>
      <c r="S658">
        <v>2.98996</v>
      </c>
      <c r="T658">
        <v>-0.23299629999999899</v>
      </c>
      <c r="U658">
        <v>0.51751709999999995</v>
      </c>
      <c r="V658">
        <v>-6.7222329999999997E-2</v>
      </c>
      <c r="W658">
        <v>4.9126219999999998E-2</v>
      </c>
      <c r="X658">
        <v>0.99652790000000002</v>
      </c>
      <c r="Y658">
        <v>-0.18922410000000001</v>
      </c>
      <c r="Z658">
        <v>8.8227119999999999E-3</v>
      </c>
      <c r="AA658">
        <v>0.9818943</v>
      </c>
      <c r="AB658">
        <v>29</v>
      </c>
      <c r="AC658">
        <v>13.9862999999999</v>
      </c>
      <c r="AD658">
        <v>-1.1040749999999999</v>
      </c>
      <c r="AE658">
        <v>2.45609999999999</v>
      </c>
      <c r="AF658">
        <v>-2.7134990843373901</v>
      </c>
      <c r="AG658">
        <v>-1.1040749999999999</v>
      </c>
      <c r="AH658">
        <v>13.851711231375999</v>
      </c>
      <c r="AI658">
        <v>94.472570613760993</v>
      </c>
      <c r="AJ658">
        <v>101.083674078814</v>
      </c>
      <c r="AK658">
        <v>14.158105908763099</v>
      </c>
    </row>
    <row r="659" spans="1:37" x14ac:dyDescent="0.2">
      <c r="A659" t="str">
        <f>"20200111153622582"</f>
        <v>20200111153622582</v>
      </c>
      <c r="B659" t="str">
        <f>"1578728182573205"</f>
        <v>1578728182573205</v>
      </c>
      <c r="C659" t="s">
        <v>37</v>
      </c>
      <c r="D659">
        <v>5.8675389999999998</v>
      </c>
      <c r="E659">
        <v>0.45288689999999998</v>
      </c>
      <c r="F659" t="s">
        <v>40</v>
      </c>
      <c r="G659">
        <v>-290.39710000000002</v>
      </c>
      <c r="H659">
        <v>-0.05</v>
      </c>
      <c r="I659">
        <v>369.86099999999999</v>
      </c>
      <c r="J659">
        <v>-304.51049999999998</v>
      </c>
      <c r="K659">
        <v>1.053992</v>
      </c>
      <c r="L659">
        <v>367.3766</v>
      </c>
      <c r="M659">
        <v>0.99976189999999998</v>
      </c>
      <c r="N659">
        <v>0</v>
      </c>
      <c r="O659">
        <v>-1.960139E-2</v>
      </c>
      <c r="P659">
        <v>0.99807639999999997</v>
      </c>
      <c r="Q659">
        <v>3.9423050000000001E-2</v>
      </c>
      <c r="R659">
        <v>4.7846949999999999E-2</v>
      </c>
      <c r="S659">
        <v>2.990021</v>
      </c>
      <c r="T659">
        <v>-0.2296166</v>
      </c>
      <c r="U659">
        <v>0.515625</v>
      </c>
      <c r="V659">
        <v>-6.7400970000000004E-2</v>
      </c>
      <c r="W659">
        <v>4.8991439999999997E-2</v>
      </c>
      <c r="X659">
        <v>0.99652240000000003</v>
      </c>
      <c r="Y659">
        <v>-0.18862889999999999</v>
      </c>
      <c r="Z659">
        <v>8.6721319999999904E-3</v>
      </c>
      <c r="AA659">
        <v>0.98201019999999895</v>
      </c>
      <c r="AB659">
        <v>29</v>
      </c>
      <c r="AC659">
        <v>14.113399999999899</v>
      </c>
      <c r="AD659">
        <v>-1.1039920000000001</v>
      </c>
      <c r="AE659">
        <v>2.4843999999999902</v>
      </c>
      <c r="AF659">
        <v>-2.74429045067152</v>
      </c>
      <c r="AG659">
        <v>-1.1039920000000001</v>
      </c>
      <c r="AH659">
        <v>13.9790237910481</v>
      </c>
      <c r="AI659">
        <v>94.431319409485397</v>
      </c>
      <c r="AJ659">
        <v>101.106768650112</v>
      </c>
      <c r="AK659">
        <v>14.2885630685664</v>
      </c>
    </row>
    <row r="660" spans="1:37" x14ac:dyDescent="0.2">
      <c r="A660" t="str">
        <f>"20200111153622604"</f>
        <v>20200111153622604</v>
      </c>
      <c r="B660" t="str">
        <f>"1578728182593701"</f>
        <v>1578728182593701</v>
      </c>
      <c r="C660" t="s">
        <v>37</v>
      </c>
      <c r="D660">
        <v>5.8359860000000001</v>
      </c>
      <c r="E660">
        <v>0.45315240000000001</v>
      </c>
      <c r="F660" t="s">
        <v>40</v>
      </c>
      <c r="G660">
        <v>-289.89569999999998</v>
      </c>
      <c r="H660">
        <v>-0.05</v>
      </c>
      <c r="I660">
        <v>369.8827</v>
      </c>
      <c r="J660">
        <v>-304.21929999999998</v>
      </c>
      <c r="K660">
        <v>1.053914</v>
      </c>
      <c r="L660">
        <v>367.37090000000001</v>
      </c>
      <c r="M660">
        <v>0.99976799999999999</v>
      </c>
      <c r="N660">
        <v>0</v>
      </c>
      <c r="O660">
        <v>-1.9592020000000002E-2</v>
      </c>
      <c r="P660">
        <v>0.99804119999999996</v>
      </c>
      <c r="Q660">
        <v>4.0000910000000001E-2</v>
      </c>
      <c r="R660">
        <v>4.8101039999999998E-2</v>
      </c>
      <c r="S660">
        <v>2.9901119999999999</v>
      </c>
      <c r="T660">
        <v>-0.22587080000000001</v>
      </c>
      <c r="U660">
        <v>0.51272580000000001</v>
      </c>
      <c r="V660">
        <v>-6.7644940000000001E-2</v>
      </c>
      <c r="W660">
        <v>4.8927619999999998E-2</v>
      </c>
      <c r="X660">
        <v>0.99650899999999998</v>
      </c>
      <c r="Y660">
        <v>-0.187711299999999</v>
      </c>
      <c r="Z660">
        <v>8.496422E-3</v>
      </c>
      <c r="AA660">
        <v>0.98218749999999999</v>
      </c>
      <c r="AB660">
        <v>29</v>
      </c>
      <c r="AC660">
        <v>14.323600000000001</v>
      </c>
      <c r="AD660">
        <v>-1.1039139999999901</v>
      </c>
      <c r="AE660">
        <v>2.5117999999999898</v>
      </c>
      <c r="AF660">
        <v>-2.77596081968119</v>
      </c>
      <c r="AG660">
        <v>-1.1039139999999901</v>
      </c>
      <c r="AH660">
        <v>14.1898679288813</v>
      </c>
      <c r="AI660">
        <v>94.365986896086397</v>
      </c>
      <c r="AJ660">
        <v>101.068967106459</v>
      </c>
      <c r="AK660">
        <v>14.5009288126966</v>
      </c>
    </row>
    <row r="661" spans="1:37" x14ac:dyDescent="0.2">
      <c r="A661" t="str">
        <f>"20200111153622618"</f>
        <v>20200111153622618</v>
      </c>
      <c r="B661" t="str">
        <f>"1578728182613522"</f>
        <v>1578728182613522</v>
      </c>
      <c r="C661" t="s">
        <v>37</v>
      </c>
      <c r="D661">
        <v>6.0756509999999997</v>
      </c>
      <c r="E661">
        <v>0.45345940000000001</v>
      </c>
      <c r="F661" t="s">
        <v>40</v>
      </c>
      <c r="G661">
        <v>-289.26659999999998</v>
      </c>
      <c r="H661">
        <v>-0.05</v>
      </c>
      <c r="I661">
        <v>369.92939999999999</v>
      </c>
      <c r="J661">
        <v>-304.03289999999998</v>
      </c>
      <c r="K661">
        <v>1.0538719999999999</v>
      </c>
      <c r="L661">
        <v>367.3673</v>
      </c>
      <c r="M661">
        <v>0.99977159999999998</v>
      </c>
      <c r="N661">
        <v>0</v>
      </c>
      <c r="O661">
        <v>-1.9586019999999999E-2</v>
      </c>
      <c r="P661">
        <v>0.99802409999999997</v>
      </c>
      <c r="Q661">
        <v>4.0486309999999998E-2</v>
      </c>
      <c r="R661">
        <v>4.8051829999999997E-2</v>
      </c>
      <c r="S661">
        <v>2.9900820000000001</v>
      </c>
      <c r="T661">
        <v>-0.2207488</v>
      </c>
      <c r="U661">
        <v>0.51162719999999995</v>
      </c>
      <c r="V661">
        <v>-6.758952E-2</v>
      </c>
      <c r="W661">
        <v>4.9017159999999997E-2</v>
      </c>
      <c r="X661">
        <v>0.99650839999999996</v>
      </c>
      <c r="Y661">
        <v>-0.18738299999999999</v>
      </c>
      <c r="Z661">
        <v>8.2921479999999992E-3</v>
      </c>
      <c r="AA661">
        <v>0.98225189999999996</v>
      </c>
      <c r="AB661">
        <v>29</v>
      </c>
      <c r="AC661">
        <v>14.766299999999999</v>
      </c>
      <c r="AD661">
        <v>-1.103872</v>
      </c>
      <c r="AE661">
        <v>2.5620999999999801</v>
      </c>
      <c r="AF661">
        <v>-2.8354493577077902</v>
      </c>
      <c r="AG661">
        <v>-1.103872</v>
      </c>
      <c r="AH661">
        <v>14.633892919094601</v>
      </c>
      <c r="AI661">
        <v>94.235322425898801</v>
      </c>
      <c r="AJ661">
        <v>100.965697083946</v>
      </c>
      <c r="AK661">
        <v>14.946876878466499</v>
      </c>
    </row>
    <row r="662" spans="1:37" x14ac:dyDescent="0.2">
      <c r="A662" t="str">
        <f>"20200111153622632"</f>
        <v>20200111153622632</v>
      </c>
      <c r="B662" t="str">
        <f>"1578728182623281"</f>
        <v>1578728182623281</v>
      </c>
      <c r="C662" t="s">
        <v>37</v>
      </c>
      <c r="D662">
        <v>5.8472569999999999</v>
      </c>
      <c r="E662">
        <v>0.45355709999999999</v>
      </c>
      <c r="F662" t="s">
        <v>40</v>
      </c>
      <c r="G662">
        <v>-288.78519999999997</v>
      </c>
      <c r="H662">
        <v>-0.05</v>
      </c>
      <c r="I662">
        <v>369.9631</v>
      </c>
      <c r="J662">
        <v>-303.85550000000001</v>
      </c>
      <c r="K662">
        <v>1.053836</v>
      </c>
      <c r="L662">
        <v>367.36380000000003</v>
      </c>
      <c r="M662">
        <v>0.99977469999999902</v>
      </c>
      <c r="N662">
        <v>0</v>
      </c>
      <c r="O662">
        <v>-1.9580130000000001E-2</v>
      </c>
      <c r="P662">
        <v>0.99800489999999997</v>
      </c>
      <c r="Q662">
        <v>4.102604E-2</v>
      </c>
      <c r="R662">
        <v>4.7989699999999899E-2</v>
      </c>
      <c r="S662">
        <v>2.9902039999999999</v>
      </c>
      <c r="T662">
        <v>-0.2164787</v>
      </c>
      <c r="U662">
        <v>0.50906370000000001</v>
      </c>
      <c r="V662">
        <v>-6.752097E-2</v>
      </c>
      <c r="W662">
        <v>4.920004E-2</v>
      </c>
      <c r="X662">
        <v>0.99650399999999995</v>
      </c>
      <c r="Y662">
        <v>-0.1865752</v>
      </c>
      <c r="Z662">
        <v>8.1029880000000002E-3</v>
      </c>
      <c r="AA662">
        <v>0.98240729999999998</v>
      </c>
      <c r="AB662">
        <v>29</v>
      </c>
      <c r="AC662">
        <v>15.0703</v>
      </c>
      <c r="AD662">
        <v>-1.103836</v>
      </c>
      <c r="AE662">
        <v>2.5992999999999702</v>
      </c>
      <c r="AF662">
        <v>-2.8788911054088602</v>
      </c>
      <c r="AG662">
        <v>-1.103836</v>
      </c>
      <c r="AH662">
        <v>14.9386844664868</v>
      </c>
      <c r="AI662">
        <v>94.149885019811805</v>
      </c>
      <c r="AJ662">
        <v>100.907965478973</v>
      </c>
      <c r="AK662">
        <v>15.2535491444107</v>
      </c>
    </row>
    <row r="663" spans="1:37" x14ac:dyDescent="0.2">
      <c r="A663" t="str">
        <f>"20200111153622644"</f>
        <v>20200111153622644</v>
      </c>
      <c r="B663" t="str">
        <f>"1578728182633041"</f>
        <v>1578728182633041</v>
      </c>
      <c r="C663" t="s">
        <v>37</v>
      </c>
      <c r="D663">
        <v>6.0097719999999999</v>
      </c>
      <c r="E663">
        <v>0.4535479</v>
      </c>
      <c r="F663" t="s">
        <v>40</v>
      </c>
      <c r="G663">
        <v>-288.38529999999997</v>
      </c>
      <c r="H663">
        <v>-0.05</v>
      </c>
      <c r="I663">
        <v>369.99329999999998</v>
      </c>
      <c r="J663">
        <v>-303.68759999999997</v>
      </c>
      <c r="K663">
        <v>1.0538110000000001</v>
      </c>
      <c r="L663">
        <v>367.3605</v>
      </c>
      <c r="M663">
        <v>0.99977739999999904</v>
      </c>
      <c r="N663">
        <v>0</v>
      </c>
      <c r="O663">
        <v>-1.9574769999999998E-2</v>
      </c>
      <c r="P663">
        <v>0.99798949999999997</v>
      </c>
      <c r="Q663">
        <v>4.1473339999999997E-2</v>
      </c>
      <c r="R663">
        <v>4.7926379999999998E-2</v>
      </c>
      <c r="S663">
        <v>2.9902950000000001</v>
      </c>
      <c r="T663">
        <v>-0.2133639</v>
      </c>
      <c r="U663">
        <v>0.50827029999999995</v>
      </c>
      <c r="V663">
        <v>-6.7452150000000002E-2</v>
      </c>
      <c r="W663">
        <v>4.9318149999999998E-2</v>
      </c>
      <c r="X663">
        <v>0.99650289999999997</v>
      </c>
      <c r="Y663">
        <v>-0.1863271</v>
      </c>
      <c r="Z663">
        <v>7.9774649999999996E-3</v>
      </c>
      <c r="AA663">
        <v>0.98245539999999998</v>
      </c>
      <c r="AB663">
        <v>30</v>
      </c>
      <c r="AC663">
        <v>15.302300000000001</v>
      </c>
      <c r="AD663">
        <v>-1.1038110000000001</v>
      </c>
      <c r="AE663">
        <v>2.6327999999999698</v>
      </c>
      <c r="AF663">
        <v>-2.9171017392416698</v>
      </c>
      <c r="AG663">
        <v>-1.1038110000000001</v>
      </c>
      <c r="AH663">
        <v>15.1711597968267</v>
      </c>
      <c r="AI663">
        <v>94.086747512073899</v>
      </c>
      <c r="AJ663">
        <v>100.883964688216</v>
      </c>
      <c r="AK663">
        <v>15.4884463669427</v>
      </c>
    </row>
    <row r="664" spans="1:37" x14ac:dyDescent="0.2">
      <c r="A664" t="str">
        <f>"20200111153622660"</f>
        <v>20200111153622660</v>
      </c>
      <c r="B664" t="str">
        <f>"1578728182653536"</f>
        <v>1578728182653536</v>
      </c>
      <c r="C664" t="s">
        <v>37</v>
      </c>
      <c r="D664">
        <v>6.0636199999999896</v>
      </c>
      <c r="E664">
        <v>0.45361629999999997</v>
      </c>
      <c r="F664" t="s">
        <v>40</v>
      </c>
      <c r="G664">
        <v>-288.04989999999998</v>
      </c>
      <c r="H664">
        <v>-0.05</v>
      </c>
      <c r="I664">
        <v>370.01979999999998</v>
      </c>
      <c r="J664">
        <v>-303.4794</v>
      </c>
      <c r="K664">
        <v>1.053769</v>
      </c>
      <c r="L664">
        <v>367.35640000000001</v>
      </c>
      <c r="M664">
        <v>0.99978060000000002</v>
      </c>
      <c r="N664">
        <v>0</v>
      </c>
      <c r="O664">
        <v>-1.9568510000000001E-2</v>
      </c>
      <c r="P664">
        <v>0.9979943</v>
      </c>
      <c r="Q664">
        <v>4.1452889999999999E-2</v>
      </c>
      <c r="R664">
        <v>4.7842120000000002E-2</v>
      </c>
      <c r="S664">
        <v>2.9903869999999899</v>
      </c>
      <c r="T664">
        <v>-0.21108080000000001</v>
      </c>
      <c r="U664">
        <v>0.50854489999999997</v>
      </c>
      <c r="V664">
        <v>-6.7361799999999999E-2</v>
      </c>
      <c r="W664">
        <v>4.8906190000000002E-2</v>
      </c>
      <c r="X664">
        <v>0.99652929999999995</v>
      </c>
      <c r="Y664">
        <v>-0.18641429999999901</v>
      </c>
      <c r="Z664">
        <v>7.8946209999999992E-3</v>
      </c>
      <c r="AA664">
        <v>0.98243950000000002</v>
      </c>
      <c r="AB664">
        <v>30</v>
      </c>
      <c r="AC664">
        <v>15.429500000000001</v>
      </c>
      <c r="AD664">
        <v>-1.103769</v>
      </c>
      <c r="AE664">
        <v>2.6633999999999598</v>
      </c>
      <c r="AF664">
        <v>-2.95017025091926</v>
      </c>
      <c r="AG664">
        <v>-1.103769</v>
      </c>
      <c r="AH664">
        <v>15.298401757148101</v>
      </c>
      <c r="AI664">
        <v>94.052294997010506</v>
      </c>
      <c r="AJ664">
        <v>100.915030968642</v>
      </c>
      <c r="AK664">
        <v>15.6193119834992</v>
      </c>
    </row>
    <row r="665" spans="1:37" x14ac:dyDescent="0.2">
      <c r="A665" t="str">
        <f>"20200111153622673"</f>
        <v>20200111153622673</v>
      </c>
      <c r="B665" t="str">
        <f>"1578728182663298"</f>
        <v>1578728182663298</v>
      </c>
      <c r="C665" t="s">
        <v>37</v>
      </c>
      <c r="D665">
        <v>5.7935860000000003</v>
      </c>
      <c r="E665">
        <v>0.45361409999999902</v>
      </c>
      <c r="F665" t="s">
        <v>40</v>
      </c>
      <c r="G665">
        <v>-287.71159999999998</v>
      </c>
      <c r="H665">
        <v>-0.05</v>
      </c>
      <c r="I665">
        <v>370.03379999999999</v>
      </c>
      <c r="J665">
        <v>-303.30360000000002</v>
      </c>
      <c r="K665">
        <v>1.0537399999999999</v>
      </c>
      <c r="L665">
        <v>367.35300000000001</v>
      </c>
      <c r="M665">
        <v>0.99978299999999998</v>
      </c>
      <c r="N665">
        <v>0</v>
      </c>
      <c r="O665">
        <v>-1.9563099999999899E-2</v>
      </c>
      <c r="P665">
        <v>0.99798729999999902</v>
      </c>
      <c r="Q665">
        <v>4.1676409999999997E-2</v>
      </c>
      <c r="R665">
        <v>4.7800019999999999E-2</v>
      </c>
      <c r="S665">
        <v>2.9903559999999998</v>
      </c>
      <c r="T665">
        <v>-0.2093294</v>
      </c>
      <c r="U665">
        <v>0.50775150000000002</v>
      </c>
      <c r="V665">
        <v>-6.7314100000000002E-2</v>
      </c>
      <c r="W665">
        <v>4.8819990000000001E-2</v>
      </c>
      <c r="X665">
        <v>0.99653670000000005</v>
      </c>
      <c r="Y665">
        <v>-0.186166</v>
      </c>
      <c r="Z665">
        <v>7.8205259999999995E-3</v>
      </c>
      <c r="AA665">
        <v>0.98248719999999901</v>
      </c>
      <c r="AB665">
        <v>30</v>
      </c>
      <c r="AC665">
        <v>15.592000000000001</v>
      </c>
      <c r="AD665">
        <v>-1.1037399999999999</v>
      </c>
      <c r="AE665">
        <v>2.6807999999999699</v>
      </c>
      <c r="AF665">
        <v>-2.9708628710385501</v>
      </c>
      <c r="AG665">
        <v>-1.1037399999999999</v>
      </c>
      <c r="AH665">
        <v>15.461316759762999</v>
      </c>
      <c r="AI665">
        <v>94.010145783814806</v>
      </c>
      <c r="AJ665">
        <v>100.876709762075</v>
      </c>
      <c r="AK665">
        <v>15.7827939266735</v>
      </c>
    </row>
    <row r="666" spans="1:37" x14ac:dyDescent="0.2">
      <c r="A666" t="str">
        <f>"20200111153622686"</f>
        <v>20200111153622686</v>
      </c>
      <c r="B666" t="str">
        <f>"1578728182683793"</f>
        <v>1578728182683793</v>
      </c>
      <c r="C666" t="s">
        <v>37</v>
      </c>
      <c r="D666">
        <v>6.0657750000000004</v>
      </c>
      <c r="E666">
        <v>0.4536635</v>
      </c>
      <c r="F666" t="s">
        <v>40</v>
      </c>
      <c r="G666">
        <v>-287.37860000000001</v>
      </c>
      <c r="H666">
        <v>-0.05</v>
      </c>
      <c r="I666">
        <v>370.05680000000001</v>
      </c>
      <c r="J666">
        <v>-303.12169999999998</v>
      </c>
      <c r="K666">
        <v>1.0537129999999999</v>
      </c>
      <c r="L666">
        <v>367.3494</v>
      </c>
      <c r="M666">
        <v>0.99978529999999999</v>
      </c>
      <c r="N666">
        <v>0</v>
      </c>
      <c r="O666">
        <v>-1.9557390000000001E-2</v>
      </c>
      <c r="P666">
        <v>0.99797530000000001</v>
      </c>
      <c r="Q666">
        <v>4.1838899999999998E-2</v>
      </c>
      <c r="R666">
        <v>4.7905969999999999E-2</v>
      </c>
      <c r="S666">
        <v>2.9903869999999899</v>
      </c>
      <c r="T666">
        <v>-0.20725949999999899</v>
      </c>
      <c r="U666">
        <v>0.50772090000000003</v>
      </c>
      <c r="V666">
        <v>-6.7414349999999998E-2</v>
      </c>
      <c r="W666">
        <v>4.8676619999999997E-2</v>
      </c>
      <c r="X666">
        <v>0.99653700000000001</v>
      </c>
      <c r="Y666">
        <v>-0.18615870000000001</v>
      </c>
      <c r="Z666">
        <v>7.7426619999999896E-3</v>
      </c>
      <c r="AA666">
        <v>0.98248919999999995</v>
      </c>
      <c r="AB666">
        <v>30</v>
      </c>
      <c r="AC666">
        <v>15.743099999999901</v>
      </c>
      <c r="AD666">
        <v>-1.1037129999999999</v>
      </c>
      <c r="AE666">
        <v>2.7073999999999998</v>
      </c>
      <c r="AF666">
        <v>-3.0004593984926999</v>
      </c>
      <c r="AG666">
        <v>-1.1037129999999999</v>
      </c>
      <c r="AH666">
        <v>15.612604749596001</v>
      </c>
      <c r="AI666">
        <v>93.9712903516902</v>
      </c>
      <c r="AJ666">
        <v>100.878574275934</v>
      </c>
      <c r="AK666">
        <v>15.9365732218529</v>
      </c>
    </row>
    <row r="667" spans="1:37" x14ac:dyDescent="0.2">
      <c r="A667" t="str">
        <f>"20200111153622700"</f>
        <v>20200111153622700</v>
      </c>
      <c r="B667" t="str">
        <f>"1578728182693553"</f>
        <v>1578728182693553</v>
      </c>
      <c r="C667" t="s">
        <v>37</v>
      </c>
      <c r="D667">
        <v>5.8910499999999999</v>
      </c>
      <c r="E667">
        <v>0.45358490000000001</v>
      </c>
      <c r="F667" t="s">
        <v>40</v>
      </c>
      <c r="G667">
        <v>-286.96039999999999</v>
      </c>
      <c r="H667">
        <v>-0.05</v>
      </c>
      <c r="I667">
        <v>370.09309999999999</v>
      </c>
      <c r="J667">
        <v>-302.93119999999999</v>
      </c>
      <c r="K667">
        <v>1.053688</v>
      </c>
      <c r="L667">
        <v>367.34570000000002</v>
      </c>
      <c r="M667">
        <v>0.99978750000000005</v>
      </c>
      <c r="N667">
        <v>0</v>
      </c>
      <c r="O667">
        <v>-1.9551499999999999E-2</v>
      </c>
      <c r="P667">
        <v>0.9979616</v>
      </c>
      <c r="Q667">
        <v>4.2227870000000001E-2</v>
      </c>
      <c r="R667">
        <v>4.784882E-2</v>
      </c>
      <c r="S667">
        <v>2.990265</v>
      </c>
      <c r="T667">
        <v>-0.2042156</v>
      </c>
      <c r="U667">
        <v>0.50765990000000005</v>
      </c>
      <c r="V667">
        <v>-6.7350880000000002E-2</v>
      </c>
      <c r="W667">
        <v>4.8760919999999999E-2</v>
      </c>
      <c r="X667">
        <v>0.99653709999999995</v>
      </c>
      <c r="Y667">
        <v>-0.18615390000000001</v>
      </c>
      <c r="Z667">
        <v>7.6289649999999997E-3</v>
      </c>
      <c r="AA667">
        <v>0.982491</v>
      </c>
      <c r="AB667">
        <v>30</v>
      </c>
      <c r="AC667">
        <v>15.970799999999899</v>
      </c>
      <c r="AD667">
        <v>-1.103688</v>
      </c>
      <c r="AE667">
        <v>2.7473999999999701</v>
      </c>
      <c r="AF667">
        <v>-3.04501042276706</v>
      </c>
      <c r="AG667">
        <v>-1.103688</v>
      </c>
      <c r="AH667">
        <v>15.840554377640499</v>
      </c>
      <c r="AI667">
        <v>93.914199087725294</v>
      </c>
      <c r="AJ667">
        <v>100.881166825869</v>
      </c>
      <c r="AK667">
        <v>16.168283108205699</v>
      </c>
    </row>
    <row r="668" spans="1:37" x14ac:dyDescent="0.2">
      <c r="A668" t="str">
        <f>"20200111153622715"</f>
        <v>20200111153622715</v>
      </c>
      <c r="B668" t="str">
        <f>"1578728182703313"</f>
        <v>1578728182703313</v>
      </c>
      <c r="C668" t="s">
        <v>37</v>
      </c>
      <c r="D668">
        <v>6.0080859999999996</v>
      </c>
      <c r="E668">
        <v>0.45368209999999998</v>
      </c>
      <c r="F668" t="s">
        <v>40</v>
      </c>
      <c r="G668">
        <v>-286.67349999999999</v>
      </c>
      <c r="H668">
        <v>-0.05</v>
      </c>
      <c r="I668">
        <v>370.10849999999999</v>
      </c>
      <c r="J668">
        <v>-302.73660000000001</v>
      </c>
      <c r="K668">
        <v>1.0536650000000001</v>
      </c>
      <c r="L668">
        <v>367.34190000000001</v>
      </c>
      <c r="M668">
        <v>0.99978940000000005</v>
      </c>
      <c r="N668">
        <v>0</v>
      </c>
      <c r="O668">
        <v>-1.954535E-2</v>
      </c>
      <c r="P668">
        <v>0.99795959999999995</v>
      </c>
      <c r="Q668">
        <v>4.2620890000000002E-2</v>
      </c>
      <c r="R668">
        <v>4.7543920000000003E-2</v>
      </c>
      <c r="S668">
        <v>2.9903559999999998</v>
      </c>
      <c r="T668">
        <v>-0.20300750000000001</v>
      </c>
      <c r="U668">
        <v>0.50817869999999998</v>
      </c>
      <c r="V668">
        <v>-6.703974E-2</v>
      </c>
      <c r="W668">
        <v>4.8867590000000002E-2</v>
      </c>
      <c r="X668">
        <v>0.99655289999999996</v>
      </c>
      <c r="Y668">
        <v>-0.1863137</v>
      </c>
      <c r="Z668">
        <v>7.5885579999999996E-3</v>
      </c>
      <c r="AA668">
        <v>0.98246100000000003</v>
      </c>
      <c r="AB668">
        <v>30</v>
      </c>
      <c r="AC668">
        <v>16.063099999999999</v>
      </c>
      <c r="AD668">
        <v>-1.1036649999999999</v>
      </c>
      <c r="AE668">
        <v>2.76659999999998</v>
      </c>
      <c r="AF668">
        <v>-3.0659796388660001</v>
      </c>
      <c r="AG668">
        <v>-1.1036649999999999</v>
      </c>
      <c r="AH668">
        <v>15.9329069923583</v>
      </c>
      <c r="AI668">
        <v>93.891354858369198</v>
      </c>
      <c r="AJ668">
        <v>100.892320574972</v>
      </c>
      <c r="AK668">
        <v>16.262712959568201</v>
      </c>
    </row>
    <row r="669" spans="1:37" x14ac:dyDescent="0.2">
      <c r="A669" t="str">
        <f>"20200111153622738"</f>
        <v>20200111153622738</v>
      </c>
      <c r="B669" t="str">
        <f>"1578728182733569"</f>
        <v>1578728182733569</v>
      </c>
      <c r="C669" t="s">
        <v>37</v>
      </c>
      <c r="D669">
        <v>6.0053449999999904</v>
      </c>
      <c r="E669">
        <v>0.453791</v>
      </c>
      <c r="F669" t="s">
        <v>40</v>
      </c>
      <c r="G669">
        <v>-286.35480000000001</v>
      </c>
      <c r="H669">
        <v>-0.05</v>
      </c>
      <c r="I669">
        <v>370.11430000000001</v>
      </c>
      <c r="J669">
        <v>-302.42989999999998</v>
      </c>
      <c r="K669">
        <v>1.053631</v>
      </c>
      <c r="L669">
        <v>367.33589999999998</v>
      </c>
      <c r="M669">
        <v>0.99979219999999902</v>
      </c>
      <c r="N669">
        <v>0</v>
      </c>
      <c r="O669">
        <v>-1.9533970000000001E-2</v>
      </c>
      <c r="P669">
        <v>0.99796589999999996</v>
      </c>
      <c r="Q669">
        <v>4.3003920000000001E-2</v>
      </c>
      <c r="R669">
        <v>4.7063479999999998E-2</v>
      </c>
      <c r="S669">
        <v>2.990631</v>
      </c>
      <c r="T669">
        <v>-0.201483</v>
      </c>
      <c r="U669">
        <v>0.50613399999999997</v>
      </c>
      <c r="V669">
        <v>-6.6548029999999994E-2</v>
      </c>
      <c r="W669">
        <v>4.8835219999999999E-2</v>
      </c>
      <c r="X669">
        <v>0.99658740000000001</v>
      </c>
      <c r="Y669">
        <v>-0.18564310000000001</v>
      </c>
      <c r="Z669">
        <v>7.5082719999999999E-3</v>
      </c>
      <c r="AA669">
        <v>0.98258849999999998</v>
      </c>
      <c r="AB669">
        <v>30</v>
      </c>
      <c r="AC669">
        <v>16.0750999999999</v>
      </c>
      <c r="AD669">
        <v>-1.103631</v>
      </c>
      <c r="AE669">
        <v>2.7784000000000302</v>
      </c>
      <c r="AF669">
        <v>-3.0777994017390302</v>
      </c>
      <c r="AG669">
        <v>-1.103631</v>
      </c>
      <c r="AH669">
        <v>15.944783366845501</v>
      </c>
      <c r="AI669">
        <v>93.887915164307302</v>
      </c>
      <c r="AJ669">
        <v>100.925354281043</v>
      </c>
      <c r="AK669">
        <v>16.2765772555884</v>
      </c>
    </row>
    <row r="670" spans="1:37" x14ac:dyDescent="0.2">
      <c r="A670" t="str">
        <f>"20200111153622751"</f>
        <v>20200111153622751</v>
      </c>
      <c r="B670" t="str">
        <f>"1578728182743329"</f>
        <v>1578728182743329</v>
      </c>
      <c r="C670" t="s">
        <v>37</v>
      </c>
      <c r="D670">
        <v>5.7692480000000002</v>
      </c>
      <c r="E670">
        <v>0.45380720000000002</v>
      </c>
      <c r="F670" t="s">
        <v>40</v>
      </c>
      <c r="G670">
        <v>-285.83600000000001</v>
      </c>
      <c r="H670">
        <v>-0.05</v>
      </c>
      <c r="I670">
        <v>370.13199999999898</v>
      </c>
      <c r="J670">
        <v>-302.245</v>
      </c>
      <c r="K670">
        <v>1.053617</v>
      </c>
      <c r="L670">
        <v>367.33229999999998</v>
      </c>
      <c r="M670">
        <v>0.99979359999999995</v>
      </c>
      <c r="N670">
        <v>0</v>
      </c>
      <c r="O670">
        <v>-1.9524980000000001E-2</v>
      </c>
      <c r="P670">
        <v>0.99799040000000006</v>
      </c>
      <c r="Q670">
        <v>4.2707920000000003E-2</v>
      </c>
      <c r="R670">
        <v>4.6814799999999997E-2</v>
      </c>
      <c r="S670">
        <v>2.990875</v>
      </c>
      <c r="T670">
        <v>-0.1989177</v>
      </c>
      <c r="U670">
        <v>0.50396730000000001</v>
      </c>
      <c r="V670">
        <v>-6.629119E-2</v>
      </c>
      <c r="W670">
        <v>4.831655E-2</v>
      </c>
      <c r="X670">
        <v>0.99662980000000001</v>
      </c>
      <c r="Y670">
        <v>-0.18494179999999999</v>
      </c>
      <c r="Z670">
        <v>7.3890040000000002E-3</v>
      </c>
      <c r="AA670">
        <v>0.98272169999999903</v>
      </c>
      <c r="AB670">
        <v>30</v>
      </c>
      <c r="AC670">
        <v>16.408999999999899</v>
      </c>
      <c r="AD670">
        <v>-1.1036170000000001</v>
      </c>
      <c r="AE670">
        <v>2.7996999999999699</v>
      </c>
      <c r="AF670">
        <v>-3.1059046566950501</v>
      </c>
      <c r="AG670">
        <v>-1.1036170000000001</v>
      </c>
      <c r="AH670">
        <v>16.279649370180302</v>
      </c>
      <c r="AI670">
        <v>93.809709315917004</v>
      </c>
      <c r="AJ670">
        <v>100.80134290443399</v>
      </c>
      <c r="AK670">
        <v>16.609984883652999</v>
      </c>
    </row>
    <row r="671" spans="1:37" x14ac:dyDescent="0.2">
      <c r="A671" t="str">
        <f>"20200111153622764"</f>
        <v>20200111153622764</v>
      </c>
      <c r="B671" t="str">
        <f>"1578728182753089"</f>
        <v>1578728182753089</v>
      </c>
      <c r="C671" t="s">
        <v>37</v>
      </c>
      <c r="D671">
        <v>5.5575950000000001</v>
      </c>
      <c r="E671">
        <v>0.45382349999999999</v>
      </c>
      <c r="F671" t="s">
        <v>40</v>
      </c>
      <c r="G671">
        <v>-285.63690000000003</v>
      </c>
      <c r="H671">
        <v>-0.05</v>
      </c>
      <c r="I671">
        <v>370.1284</v>
      </c>
      <c r="J671">
        <v>-302.06180000000001</v>
      </c>
      <c r="K671">
        <v>1.0536019999999999</v>
      </c>
      <c r="L671">
        <v>367.3288</v>
      </c>
      <c r="M671">
        <v>0.99979499999999999</v>
      </c>
      <c r="N671">
        <v>0</v>
      </c>
      <c r="O671">
        <v>-1.9514750000000001E-2</v>
      </c>
      <c r="P671">
        <v>0.99799450000000001</v>
      </c>
      <c r="Q671">
        <v>4.2806129999999998E-2</v>
      </c>
      <c r="R671">
        <v>4.663598E-2</v>
      </c>
      <c r="S671">
        <v>2.990936</v>
      </c>
      <c r="T671">
        <v>-0.19874919999999999</v>
      </c>
      <c r="U671">
        <v>0.50353999999999999</v>
      </c>
      <c r="V671">
        <v>-6.6102880000000003E-2</v>
      </c>
      <c r="W671">
        <v>4.8206069999999997E-2</v>
      </c>
      <c r="X671">
        <v>0.99664769999999903</v>
      </c>
      <c r="Y671">
        <v>-0.18479300000000001</v>
      </c>
      <c r="Z671">
        <v>7.3771139999999997E-3</v>
      </c>
      <c r="AA671">
        <v>0.98274980000000001</v>
      </c>
      <c r="AB671">
        <v>31</v>
      </c>
      <c r="AC671">
        <v>16.424899999999901</v>
      </c>
      <c r="AD671">
        <v>-1.103602</v>
      </c>
      <c r="AE671">
        <v>2.7995999999999901</v>
      </c>
      <c r="AF671">
        <v>-3.10597299023472</v>
      </c>
      <c r="AG671">
        <v>-1.103602</v>
      </c>
      <c r="AH671">
        <v>16.295646466134599</v>
      </c>
      <c r="AI671">
        <v>93.806056670489795</v>
      </c>
      <c r="AJ671">
        <v>100.79122038168001</v>
      </c>
      <c r="AK671">
        <v>16.625675906251701</v>
      </c>
    </row>
    <row r="672" spans="1:37" x14ac:dyDescent="0.2">
      <c r="A672" t="str">
        <f>"20200111153622777"</f>
        <v>20200111153622777</v>
      </c>
      <c r="B672" t="str">
        <f>"1578728182763825"</f>
        <v>1578728182763825</v>
      </c>
      <c r="C672" t="s">
        <v>37</v>
      </c>
      <c r="D672">
        <v>5.85358</v>
      </c>
      <c r="E672">
        <v>0.45379029999999998</v>
      </c>
      <c r="F672" t="s">
        <v>40</v>
      </c>
      <c r="G672">
        <v>-285.38780000000003</v>
      </c>
      <c r="H672">
        <v>-0.05</v>
      </c>
      <c r="I672">
        <v>370.13150000000002</v>
      </c>
      <c r="J672">
        <v>-301.88249999999999</v>
      </c>
      <c r="K672">
        <v>1.0535939999999999</v>
      </c>
      <c r="L672">
        <v>367.3252</v>
      </c>
      <c r="M672">
        <v>0.99979619999999902</v>
      </c>
      <c r="N672">
        <v>0</v>
      </c>
      <c r="O672">
        <v>-1.950315E-2</v>
      </c>
      <c r="P672">
        <v>0.99799699999999902</v>
      </c>
      <c r="Q672">
        <v>4.301522E-2</v>
      </c>
      <c r="R672">
        <v>4.63878E-2</v>
      </c>
      <c r="S672">
        <v>2.9910580000000002</v>
      </c>
      <c r="T672">
        <v>-0.1979696</v>
      </c>
      <c r="U672">
        <v>0.50277709999999998</v>
      </c>
      <c r="V672">
        <v>-6.5842849999999994E-2</v>
      </c>
      <c r="W672">
        <v>4.8225120000000003E-2</v>
      </c>
      <c r="X672">
        <v>0.99666399999999999</v>
      </c>
      <c r="Y672">
        <v>-0.18453529999999899</v>
      </c>
      <c r="Z672">
        <v>7.3388719999999998E-3</v>
      </c>
      <c r="AA672">
        <v>0.98279850000000002</v>
      </c>
      <c r="AB672">
        <v>31</v>
      </c>
      <c r="AC672">
        <v>16.494699999999899</v>
      </c>
      <c r="AD672">
        <v>-1.103594</v>
      </c>
      <c r="AE672">
        <v>2.8063000000000198</v>
      </c>
      <c r="AF672">
        <v>-3.1139221298480999</v>
      </c>
      <c r="AG672">
        <v>-1.103594</v>
      </c>
      <c r="AH672">
        <v>16.3656317087768</v>
      </c>
      <c r="AI672">
        <v>93.790029486539495</v>
      </c>
      <c r="AJ672">
        <v>100.773010000776</v>
      </c>
      <c r="AK672">
        <v>16.695757903578802</v>
      </c>
    </row>
    <row r="673" spans="1:37" x14ac:dyDescent="0.2">
      <c r="A673" t="str">
        <f>"20200111153622794"</f>
        <v>20200111153622794</v>
      </c>
      <c r="B673" t="str">
        <f>"1578728182783346"</f>
        <v>1578728182783346</v>
      </c>
      <c r="C673" t="s">
        <v>37</v>
      </c>
      <c r="D673">
        <v>6.0945910000000003</v>
      </c>
      <c r="E673">
        <v>0.454014999999999</v>
      </c>
      <c r="F673" t="s">
        <v>40</v>
      </c>
      <c r="G673">
        <v>-285.09769999999997</v>
      </c>
      <c r="H673">
        <v>-0.05</v>
      </c>
      <c r="I673">
        <v>370.14449999999999</v>
      </c>
      <c r="J673">
        <v>-301.65429999999998</v>
      </c>
      <c r="K673">
        <v>1.0535840000000001</v>
      </c>
      <c r="L673">
        <v>367.32080000000002</v>
      </c>
      <c r="M673">
        <v>0.99979769999999901</v>
      </c>
      <c r="N673">
        <v>0</v>
      </c>
      <c r="O673">
        <v>-1.9484700000000001E-2</v>
      </c>
      <c r="P673">
        <v>0.99800809999999995</v>
      </c>
      <c r="Q673">
        <v>4.3478410000000002E-2</v>
      </c>
      <c r="R673">
        <v>4.5712080000000002E-2</v>
      </c>
      <c r="S673">
        <v>2.9911500000000002</v>
      </c>
      <c r="T673">
        <v>-0.19666729999999999</v>
      </c>
      <c r="U673">
        <v>0.50241089999999999</v>
      </c>
      <c r="V673">
        <v>-6.5149620000000005E-2</v>
      </c>
      <c r="W673">
        <v>4.8472309999999998E-2</v>
      </c>
      <c r="X673">
        <v>0.99669750000000001</v>
      </c>
      <c r="Y673">
        <v>-0.18440129999999999</v>
      </c>
      <c r="Z673">
        <v>7.2849769999999998E-3</v>
      </c>
      <c r="AA673">
        <v>0.98282400000000003</v>
      </c>
      <c r="AB673">
        <v>31</v>
      </c>
      <c r="AC673">
        <v>16.5566</v>
      </c>
      <c r="AD673">
        <v>-1.1035839999999999</v>
      </c>
      <c r="AE673">
        <v>2.8236999999999699</v>
      </c>
      <c r="AF673">
        <v>-3.13224534734419</v>
      </c>
      <c r="AG673">
        <v>-1.1035839999999999</v>
      </c>
      <c r="AH673">
        <v>16.427513901118999</v>
      </c>
      <c r="AI673">
        <v>93.775483917032304</v>
      </c>
      <c r="AJ673">
        <v>100.795051110253</v>
      </c>
      <c r="AK673">
        <v>16.759835068773</v>
      </c>
    </row>
    <row r="674" spans="1:37" x14ac:dyDescent="0.2">
      <c r="A674" t="str">
        <f>"20200111153622809"</f>
        <v>20200111153622809</v>
      </c>
      <c r="B674" t="str">
        <f>"1578728182803233"</f>
        <v>1578728182803233</v>
      </c>
      <c r="C674" t="s">
        <v>37</v>
      </c>
      <c r="D674">
        <v>6.0883959999999897</v>
      </c>
      <c r="E674">
        <v>0.454014999999999</v>
      </c>
      <c r="F674" t="s">
        <v>40</v>
      </c>
      <c r="G674">
        <v>-284.70890000000003</v>
      </c>
      <c r="H674">
        <v>-0.05</v>
      </c>
      <c r="I674">
        <v>370.14749999999998</v>
      </c>
      <c r="J674">
        <v>-301.46030000000002</v>
      </c>
      <c r="K674">
        <v>1.053572</v>
      </c>
      <c r="L674">
        <v>367.31699999999898</v>
      </c>
      <c r="M674">
        <v>0.99979899999999999</v>
      </c>
      <c r="N674">
        <v>0</v>
      </c>
      <c r="O674">
        <v>-1.9465079999999999E-2</v>
      </c>
      <c r="P674">
        <v>0.99801079999999998</v>
      </c>
      <c r="Q674">
        <v>4.3741679999999998E-2</v>
      </c>
      <c r="R674">
        <v>4.5405189999999998E-2</v>
      </c>
      <c r="S674">
        <v>2.9915769999999999</v>
      </c>
      <c r="T674">
        <v>-0.19482849999999999</v>
      </c>
      <c r="U674">
        <v>0.49902340000000001</v>
      </c>
      <c r="V674">
        <v>-6.4823779999999998E-2</v>
      </c>
      <c r="W674">
        <v>4.8567560000000003E-2</v>
      </c>
      <c r="X674">
        <v>0.99671409999999905</v>
      </c>
      <c r="Y674">
        <v>-0.1832867</v>
      </c>
      <c r="Z674">
        <v>7.1793769999999998E-3</v>
      </c>
      <c r="AA674">
        <v>0.9830333</v>
      </c>
      <c r="AB674">
        <v>31</v>
      </c>
      <c r="AC674">
        <v>16.751399999999901</v>
      </c>
      <c r="AD674">
        <v>-1.103572</v>
      </c>
      <c r="AE674">
        <v>2.8305000000000202</v>
      </c>
      <c r="AF674">
        <v>-3.1427735098673</v>
      </c>
      <c r="AG674">
        <v>-1.103572</v>
      </c>
      <c r="AH674">
        <v>16.622986949732901</v>
      </c>
      <c r="AI674">
        <v>93.732270039831903</v>
      </c>
      <c r="AJ674">
        <v>100.706081790062</v>
      </c>
      <c r="AK674">
        <v>16.953424185824399</v>
      </c>
    </row>
    <row r="675" spans="1:37" x14ac:dyDescent="0.2">
      <c r="A675" t="str">
        <f>"20200111153622822"</f>
        <v>20200111153622822</v>
      </c>
      <c r="B675" t="str">
        <f>"1578728182812993"</f>
        <v>1578728182812993</v>
      </c>
      <c r="C675" t="s">
        <v>37</v>
      </c>
      <c r="D675">
        <v>6.0348860000000002</v>
      </c>
      <c r="E675">
        <v>0.51743159999999999</v>
      </c>
      <c r="F675" t="s">
        <v>40</v>
      </c>
      <c r="G675">
        <v>-284.44159999999999</v>
      </c>
      <c r="H675">
        <v>-0.05</v>
      </c>
      <c r="I675">
        <v>370.14819999999997</v>
      </c>
      <c r="J675">
        <v>-301.25729999999999</v>
      </c>
      <c r="K675">
        <v>1.0535639999999999</v>
      </c>
      <c r="L675">
        <v>367.31310000000002</v>
      </c>
      <c r="M675">
        <v>0.99980009999999997</v>
      </c>
      <c r="N675">
        <v>0</v>
      </c>
      <c r="O675">
        <v>-1.944048E-2</v>
      </c>
      <c r="P675">
        <v>0.99801269999999997</v>
      </c>
      <c r="Q675">
        <v>4.4119829999999999E-2</v>
      </c>
      <c r="R675">
        <v>4.4990969999999998E-2</v>
      </c>
      <c r="S675">
        <v>2.9918520000000002</v>
      </c>
      <c r="T675">
        <v>-0.19400590000000001</v>
      </c>
      <c r="U675">
        <v>0.49771120000000002</v>
      </c>
      <c r="V675">
        <v>-6.4385830000000005E-2</v>
      </c>
      <c r="W675">
        <v>4.878379E-2</v>
      </c>
      <c r="X675">
        <v>0.9967319</v>
      </c>
      <c r="Y675">
        <v>-0.18283279999999999</v>
      </c>
      <c r="Z675">
        <v>7.1325479999999998E-3</v>
      </c>
      <c r="AA675">
        <v>0.98311819999999905</v>
      </c>
      <c r="AB675">
        <v>31</v>
      </c>
      <c r="AC675">
        <v>16.8156999999999</v>
      </c>
      <c r="AD675">
        <v>-1.103564</v>
      </c>
      <c r="AE675">
        <v>2.83509999999995</v>
      </c>
      <c r="AF675">
        <v>-3.1482884501289399</v>
      </c>
      <c r="AG675">
        <v>-1.103564</v>
      </c>
      <c r="AH675">
        <v>16.6875206950122</v>
      </c>
      <c r="AI675">
        <v>93.718121223690801</v>
      </c>
      <c r="AJ675">
        <v>100.683916575712</v>
      </c>
      <c r="AK675">
        <v>17.017723720103501</v>
      </c>
    </row>
    <row r="676" spans="1:37" x14ac:dyDescent="0.2">
      <c r="A676" t="str">
        <f>"20200111153622838"</f>
        <v>20200111153622838</v>
      </c>
      <c r="B676" t="str">
        <f>"1578728182833489"</f>
        <v>1578728182833489</v>
      </c>
      <c r="C676" t="s">
        <v>37</v>
      </c>
      <c r="D676">
        <v>6.086913</v>
      </c>
      <c r="E676">
        <v>0.53478570000000003</v>
      </c>
      <c r="F676" t="s">
        <v>40</v>
      </c>
      <c r="G676">
        <v>-281.101</v>
      </c>
      <c r="H676">
        <v>-0.05</v>
      </c>
      <c r="I676">
        <v>367.26</v>
      </c>
      <c r="J676">
        <v>-301.03809999999999</v>
      </c>
      <c r="K676">
        <v>1.053558</v>
      </c>
      <c r="L676">
        <v>367.30889999999999</v>
      </c>
      <c r="M676">
        <v>0.99980149999999901</v>
      </c>
      <c r="N676">
        <v>0</v>
      </c>
      <c r="O676">
        <v>-1.9407899999999999E-2</v>
      </c>
      <c r="P676">
        <v>0.99804110000000001</v>
      </c>
      <c r="Q676">
        <v>4.4334619999999998E-2</v>
      </c>
      <c r="R676">
        <v>4.4141220000000002E-2</v>
      </c>
      <c r="S676">
        <v>3.0136720000000001</v>
      </c>
      <c r="T676">
        <v>-0.164998799999999</v>
      </c>
      <c r="U676">
        <v>-7.9345700000000002E-3</v>
      </c>
      <c r="V676">
        <v>-6.3505409999999998E-2</v>
      </c>
      <c r="W676">
        <v>4.8840939999999999E-2</v>
      </c>
      <c r="X676">
        <v>0.99678559999999905</v>
      </c>
      <c r="Y676">
        <v>-1.6721570000000002E-2</v>
      </c>
      <c r="Z676">
        <v>1.519152E-3</v>
      </c>
      <c r="AA676">
        <v>0.99985900000000005</v>
      </c>
      <c r="AB676">
        <v>31</v>
      </c>
      <c r="AC676">
        <v>19.937099999999901</v>
      </c>
      <c r="AD676">
        <v>-1.103558</v>
      </c>
      <c r="AE676">
        <v>-4.8900000000003198E-2</v>
      </c>
      <c r="AF676">
        <v>-0.33701781685736498</v>
      </c>
      <c r="AG676">
        <v>-1.103558</v>
      </c>
      <c r="AH676">
        <v>19.873405200973401</v>
      </c>
      <c r="AI676">
        <v>93.177879378785804</v>
      </c>
      <c r="AJ676">
        <v>90.971541998590396</v>
      </c>
      <c r="AK676">
        <v>19.906874580162501</v>
      </c>
    </row>
    <row r="677" spans="1:37" x14ac:dyDescent="0.2">
      <c r="A677" t="str">
        <f>"20200111153622850"</f>
        <v>20200111153622850</v>
      </c>
      <c r="B677" t="str">
        <f>"1578728182843249"</f>
        <v>1578728182843249</v>
      </c>
      <c r="C677" t="s">
        <v>37</v>
      </c>
      <c r="D677">
        <v>5.9824440000000001</v>
      </c>
      <c r="E677">
        <v>0.5372924</v>
      </c>
      <c r="F677" t="s">
        <v>40</v>
      </c>
      <c r="G677">
        <v>-283.10730000000001</v>
      </c>
      <c r="H677">
        <v>-0.05</v>
      </c>
      <c r="I677">
        <v>366.42250000000001</v>
      </c>
      <c r="J677">
        <v>-300.875</v>
      </c>
      <c r="K677">
        <v>1.053555</v>
      </c>
      <c r="L677">
        <v>367.3057</v>
      </c>
      <c r="M677">
        <v>0.99980249999999904</v>
      </c>
      <c r="N677">
        <v>0</v>
      </c>
      <c r="O677">
        <v>-1.9377729999999999E-2</v>
      </c>
      <c r="P677">
        <v>0.99805599999999906</v>
      </c>
      <c r="Q677">
        <v>4.4338429999999998E-2</v>
      </c>
      <c r="R677">
        <v>4.3801619999999999E-2</v>
      </c>
      <c r="S677">
        <v>3.0206909999999998</v>
      </c>
      <c r="T677">
        <v>-0.18590870000000001</v>
      </c>
      <c r="U677">
        <v>-0.1493225</v>
      </c>
      <c r="V677">
        <v>-6.3136399999999995E-2</v>
      </c>
      <c r="W677">
        <v>4.8740449999999998E-2</v>
      </c>
      <c r="X677">
        <v>0.99681399999999998</v>
      </c>
      <c r="Y677">
        <v>2.9989350000000001E-2</v>
      </c>
      <c r="Z677">
        <v>2.6915000000000001E-4</v>
      </c>
      <c r="AA677">
        <v>0.99955020000000006</v>
      </c>
      <c r="AB677">
        <v>31</v>
      </c>
      <c r="AC677">
        <v>17.767699999999898</v>
      </c>
      <c r="AD677">
        <v>-1.1035549999999901</v>
      </c>
      <c r="AE677">
        <v>-0.883199999999987</v>
      </c>
      <c r="AF677">
        <v>0.53666793068683305</v>
      </c>
      <c r="AG677">
        <v>-1.1035549999999901</v>
      </c>
      <c r="AH677">
        <v>17.713314576099201</v>
      </c>
      <c r="AI677">
        <v>93.563338749557403</v>
      </c>
      <c r="AJ677">
        <v>88.264615918571394</v>
      </c>
      <c r="AK677">
        <v>17.755769748949199</v>
      </c>
    </row>
    <row r="678" spans="1:37" x14ac:dyDescent="0.2">
      <c r="A678" t="str">
        <f>"20200111153622862"</f>
        <v>20200111153622862</v>
      </c>
      <c r="B678" t="str">
        <f>"1578728182853009"</f>
        <v>1578728182853009</v>
      </c>
      <c r="C678" t="s">
        <v>37</v>
      </c>
      <c r="D678">
        <v>5.9824419999999998</v>
      </c>
      <c r="E678">
        <v>0.53905530000000002</v>
      </c>
      <c r="F678" t="s">
        <v>38</v>
      </c>
      <c r="G678">
        <v>-300.01319999999998</v>
      </c>
      <c r="H678">
        <v>1.000732</v>
      </c>
      <c r="I678">
        <v>367.25689999999997</v>
      </c>
      <c r="J678">
        <v>-300.70299999999997</v>
      </c>
      <c r="K678">
        <v>1.053553</v>
      </c>
      <c r="L678">
        <v>367.30239999999998</v>
      </c>
      <c r="M678">
        <v>0.99980369999999996</v>
      </c>
      <c r="N678">
        <v>0</v>
      </c>
      <c r="O678">
        <v>-1.9343389999999999E-2</v>
      </c>
      <c r="P678">
        <v>0.99805509999999997</v>
      </c>
      <c r="Q678">
        <v>4.4535159999999997E-2</v>
      </c>
      <c r="R678">
        <v>4.362154E-2</v>
      </c>
      <c r="S678">
        <v>3.0215450000000001</v>
      </c>
      <c r="T678">
        <v>-0.18535650000000001</v>
      </c>
      <c r="U678">
        <v>-0.17062379999999999</v>
      </c>
      <c r="V678">
        <v>-6.2922699999999998E-2</v>
      </c>
      <c r="W678">
        <v>4.8832359999999998E-2</v>
      </c>
      <c r="X678">
        <v>0.99682299999999902</v>
      </c>
      <c r="Y678">
        <v>3.7022760000000002E-2</v>
      </c>
      <c r="Z678" s="1">
        <v>5.0745090000000002E-5</v>
      </c>
      <c r="AA678">
        <v>0.99931440000000005</v>
      </c>
      <c r="AB678">
        <v>31</v>
      </c>
      <c r="AC678">
        <v>0.68979999999999098</v>
      </c>
      <c r="AD678">
        <v>-5.2821E-2</v>
      </c>
      <c r="AE678">
        <v>-4.5500000000004003E-2</v>
      </c>
      <c r="AF678">
        <v>3.19616938050361E-2</v>
      </c>
      <c r="AG678">
        <v>-5.2821E-2</v>
      </c>
      <c r="AH678">
        <v>0.68654287078922305</v>
      </c>
      <c r="AI678">
        <v>94.394794603761895</v>
      </c>
      <c r="AJ678">
        <v>87.334545342730607</v>
      </c>
      <c r="AK678">
        <v>0.68931322440773901</v>
      </c>
    </row>
    <row r="679" spans="1:37" x14ac:dyDescent="0.2">
      <c r="A679" t="str">
        <f>"20200111153622883"</f>
        <v>20200111153622883</v>
      </c>
      <c r="B679" t="str">
        <f>"1578728182873504"</f>
        <v>1578728182873504</v>
      </c>
      <c r="C679" t="s">
        <v>37</v>
      </c>
      <c r="D679">
        <v>6.0226620000000004</v>
      </c>
      <c r="E679">
        <v>0.54013690000000003</v>
      </c>
      <c r="F679" t="s">
        <v>38</v>
      </c>
      <c r="G679">
        <v>-299.7353</v>
      </c>
      <c r="H679">
        <v>0.99524899999999905</v>
      </c>
      <c r="I679">
        <v>367.24290000000002</v>
      </c>
      <c r="J679">
        <v>-300.40530000000001</v>
      </c>
      <c r="K679">
        <v>1.053553</v>
      </c>
      <c r="L679">
        <v>367.29669999999999</v>
      </c>
      <c r="M679">
        <v>0.99980579999999997</v>
      </c>
      <c r="N679">
        <v>0</v>
      </c>
      <c r="O679">
        <v>-1.926897E-2</v>
      </c>
      <c r="P679">
        <v>0.99802839999999904</v>
      </c>
      <c r="Q679">
        <v>4.5405399999999999E-2</v>
      </c>
      <c r="R679">
        <v>4.3333480000000001E-2</v>
      </c>
      <c r="S679">
        <v>3.0220639999999999</v>
      </c>
      <c r="T679">
        <v>-0.18223889999999901</v>
      </c>
      <c r="U679">
        <v>-0.1851807</v>
      </c>
      <c r="V679">
        <v>-6.2561619999999998E-2</v>
      </c>
      <c r="W679">
        <v>4.9544360000000003E-2</v>
      </c>
      <c r="X679">
        <v>0.99681059999999999</v>
      </c>
      <c r="Y679">
        <v>4.1876179999999999E-2</v>
      </c>
      <c r="Z679">
        <v>-1.006817E-4</v>
      </c>
      <c r="AA679">
        <v>0.99912279999999998</v>
      </c>
      <c r="AB679">
        <v>31</v>
      </c>
      <c r="AC679">
        <v>0.67000000000001503</v>
      </c>
      <c r="AD679">
        <v>-5.8304000000000002E-2</v>
      </c>
      <c r="AE679">
        <v>-5.3799999999966902E-2</v>
      </c>
      <c r="AF679">
        <v>4.0574404269284901E-2</v>
      </c>
      <c r="AG679">
        <v>-5.8304000000000002E-2</v>
      </c>
      <c r="AH679">
        <v>0.66590195509093097</v>
      </c>
      <c r="AI679">
        <v>94.994637305785403</v>
      </c>
      <c r="AJ679">
        <v>86.513193102676993</v>
      </c>
      <c r="AK679">
        <v>0.66967981341214899</v>
      </c>
    </row>
    <row r="680" spans="1:37" x14ac:dyDescent="0.2">
      <c r="A680" t="str">
        <f>"20200111153622896"</f>
        <v>20200111153622896</v>
      </c>
      <c r="B680" t="str">
        <f>"1578728182883265"</f>
        <v>1578728182883265</v>
      </c>
      <c r="C680" t="s">
        <v>37</v>
      </c>
      <c r="D680">
        <v>5.9905460000000001</v>
      </c>
      <c r="E680">
        <v>0.5405297</v>
      </c>
      <c r="F680" t="s">
        <v>38</v>
      </c>
      <c r="G680">
        <v>-299.4513</v>
      </c>
      <c r="H680">
        <v>0.99600330000000004</v>
      </c>
      <c r="I680">
        <v>367.2353</v>
      </c>
      <c r="J680">
        <v>-300.21080000000001</v>
      </c>
      <c r="K680">
        <v>1.053553</v>
      </c>
      <c r="L680">
        <v>367.29300000000001</v>
      </c>
      <c r="M680">
        <v>0.99980720000000001</v>
      </c>
      <c r="N680">
        <v>0</v>
      </c>
      <c r="O680">
        <v>-1.9212130000000001E-2</v>
      </c>
      <c r="P680">
        <v>0.99802739999999901</v>
      </c>
      <c r="Q680">
        <v>4.5538870000000002E-2</v>
      </c>
      <c r="R680">
        <v>4.3215690000000001E-2</v>
      </c>
      <c r="S680">
        <v>3.0226439999999899</v>
      </c>
      <c r="T680">
        <v>-0.18232809999999999</v>
      </c>
      <c r="U680">
        <v>-0.19488529999999901</v>
      </c>
      <c r="V680">
        <v>-6.2388010000000001E-2</v>
      </c>
      <c r="W680">
        <v>4.9585810000000001E-2</v>
      </c>
      <c r="X680">
        <v>0.99681939999999902</v>
      </c>
      <c r="Y680">
        <v>4.5110280000000003E-2</v>
      </c>
      <c r="Z680">
        <v>-2.0148400000000001E-4</v>
      </c>
      <c r="AA680">
        <v>0.99898199999999904</v>
      </c>
      <c r="AB680">
        <v>32</v>
      </c>
      <c r="AC680">
        <v>0.75950000000000195</v>
      </c>
      <c r="AD680">
        <v>-5.7549699999999801E-2</v>
      </c>
      <c r="AE680">
        <v>-5.7700000000011097E-2</v>
      </c>
      <c r="AF680">
        <v>4.2852985881365102E-2</v>
      </c>
      <c r="AG680">
        <v>-5.7549699999999801E-2</v>
      </c>
      <c r="AH680">
        <v>0.75615178192156696</v>
      </c>
      <c r="AI680">
        <v>94.345368599608804</v>
      </c>
      <c r="AJ680">
        <v>86.756376523997702</v>
      </c>
      <c r="AK680">
        <v>0.759548460384325</v>
      </c>
    </row>
    <row r="681" spans="1:37" x14ac:dyDescent="0.2">
      <c r="A681" t="str">
        <f>"20200111153622909"</f>
        <v>20200111153622909</v>
      </c>
      <c r="B681" t="str">
        <f>"1578728182903761"</f>
        <v>1578728182903761</v>
      </c>
      <c r="C681" t="s">
        <v>37</v>
      </c>
      <c r="D681">
        <v>6.011056</v>
      </c>
      <c r="E681">
        <v>0.54105340000000002</v>
      </c>
      <c r="F681" t="s">
        <v>40</v>
      </c>
      <c r="G681">
        <v>-281.6601</v>
      </c>
      <c r="H681">
        <v>-0.05</v>
      </c>
      <c r="I681">
        <v>366.07580000000002</v>
      </c>
      <c r="J681">
        <v>-300.03519999999997</v>
      </c>
      <c r="K681">
        <v>1.053555</v>
      </c>
      <c r="L681">
        <v>367.28969999999998</v>
      </c>
      <c r="M681">
        <v>0.99980869999999999</v>
      </c>
      <c r="N681">
        <v>0</v>
      </c>
      <c r="O681">
        <v>-1.9154259999999999E-2</v>
      </c>
      <c r="P681">
        <v>0.99799640000000001</v>
      </c>
      <c r="Q681">
        <v>4.5745569999999999E-2</v>
      </c>
      <c r="R681">
        <v>4.3708869999999997E-2</v>
      </c>
      <c r="S681">
        <v>3.0227360000000001</v>
      </c>
      <c r="T681">
        <v>-0.17981749999999999</v>
      </c>
      <c r="U681">
        <v>-0.1983337</v>
      </c>
      <c r="V681">
        <v>-6.2823470000000006E-2</v>
      </c>
      <c r="W681">
        <v>4.9718199999999997E-2</v>
      </c>
      <c r="X681">
        <v>0.99678549999999999</v>
      </c>
      <c r="Y681">
        <v>4.630012E-2</v>
      </c>
      <c r="Z681">
        <v>-2.3746069999999999E-4</v>
      </c>
      <c r="AA681">
        <v>0.99892749999999997</v>
      </c>
      <c r="AB681">
        <v>32</v>
      </c>
      <c r="AC681">
        <v>18.3750999999999</v>
      </c>
      <c r="AD681">
        <v>-1.1035549999999901</v>
      </c>
      <c r="AE681">
        <v>-1.21389999999996</v>
      </c>
      <c r="AF681">
        <v>0.85862959846376796</v>
      </c>
      <c r="AG681">
        <v>-1.1035549999999901</v>
      </c>
      <c r="AH681">
        <v>18.329157072746099</v>
      </c>
      <c r="AI681">
        <v>93.441718339298106</v>
      </c>
      <c r="AJ681">
        <v>87.317939213575499</v>
      </c>
      <c r="AK681">
        <v>18.3824121763924</v>
      </c>
    </row>
    <row r="682" spans="1:37" x14ac:dyDescent="0.2">
      <c r="A682" t="str">
        <f>"20200111153622928"</f>
        <v>20200111153622928</v>
      </c>
      <c r="B682" t="str">
        <f>"1578728182923280"</f>
        <v>1578728182923280</v>
      </c>
      <c r="C682" t="s">
        <v>37</v>
      </c>
      <c r="D682">
        <v>5.9901070000000001</v>
      </c>
      <c r="E682">
        <v>0.54125210000000001</v>
      </c>
      <c r="F682" t="s">
        <v>38</v>
      </c>
      <c r="G682">
        <v>-299.16180000000003</v>
      </c>
      <c r="H682">
        <v>1.0019340000000001</v>
      </c>
      <c r="I682">
        <v>367.23149999999998</v>
      </c>
      <c r="J682">
        <v>-299.77080000000001</v>
      </c>
      <c r="K682">
        <v>1.0535559999999999</v>
      </c>
      <c r="L682">
        <v>367.28469999999999</v>
      </c>
      <c r="M682">
        <v>0.99981089999999995</v>
      </c>
      <c r="N682">
        <v>0</v>
      </c>
      <c r="O682">
        <v>-1.905842E-2</v>
      </c>
      <c r="P682">
        <v>0.9979749</v>
      </c>
      <c r="Q682">
        <v>4.5617919999999999E-2</v>
      </c>
      <c r="R682">
        <v>4.433264E-2</v>
      </c>
      <c r="S682">
        <v>3.0230410000000001</v>
      </c>
      <c r="T682">
        <v>-0.17882490000000001</v>
      </c>
      <c r="U682">
        <v>-0.20108029999999999</v>
      </c>
      <c r="V682">
        <v>-6.3353190000000004E-2</v>
      </c>
      <c r="W682">
        <v>4.949104E-2</v>
      </c>
      <c r="X682">
        <v>0.99676330000000002</v>
      </c>
      <c r="Y682">
        <v>4.729154E-2</v>
      </c>
      <c r="Z682">
        <v>-2.7104509999999898E-4</v>
      </c>
      <c r="AA682">
        <v>0.99888109999999997</v>
      </c>
      <c r="AB682">
        <v>32</v>
      </c>
      <c r="AC682">
        <v>0.60899999999998</v>
      </c>
      <c r="AD682">
        <v>-5.16219999999998E-2</v>
      </c>
      <c r="AE682">
        <v>-5.3200000000003897E-2</v>
      </c>
      <c r="AF682">
        <v>4.1289250590182298E-2</v>
      </c>
      <c r="AG682">
        <v>-5.16219999999998E-2</v>
      </c>
      <c r="AH682">
        <v>0.60558504383283895</v>
      </c>
      <c r="AI682">
        <v>94.861065108893399</v>
      </c>
      <c r="AJ682">
        <v>86.099566412708</v>
      </c>
      <c r="AK682">
        <v>0.60918213894722795</v>
      </c>
    </row>
    <row r="683" spans="1:37" x14ac:dyDescent="0.2">
      <c r="A683" t="str">
        <f>"20200111153622938"</f>
        <v>20200111153622938</v>
      </c>
      <c r="B683" t="str">
        <f>"1578728182933041"</f>
        <v>1578728182933041</v>
      </c>
      <c r="C683" t="s">
        <v>37</v>
      </c>
      <c r="D683">
        <v>6.021852</v>
      </c>
      <c r="E683">
        <v>0.54136010000000001</v>
      </c>
      <c r="F683" t="s">
        <v>38</v>
      </c>
      <c r="G683">
        <v>-298.87729999999999</v>
      </c>
      <c r="H683">
        <v>1.00001299999999</v>
      </c>
      <c r="I683">
        <v>367.22519999999997</v>
      </c>
      <c r="J683">
        <v>-299.60399999999998</v>
      </c>
      <c r="K683">
        <v>1.053555</v>
      </c>
      <c r="L683">
        <v>367.28160000000003</v>
      </c>
      <c r="M683">
        <v>0.99981219999999904</v>
      </c>
      <c r="N683">
        <v>0</v>
      </c>
      <c r="O683">
        <v>-1.8993199999999998E-2</v>
      </c>
      <c r="P683">
        <v>0.99795319999999899</v>
      </c>
      <c r="Q683">
        <v>4.5647819999999999E-2</v>
      </c>
      <c r="R683">
        <v>4.4788649999999999E-2</v>
      </c>
      <c r="S683">
        <v>3.0233150000000002</v>
      </c>
      <c r="T683">
        <v>-0.18133679999999999</v>
      </c>
      <c r="U683">
        <v>-0.20071410000000001</v>
      </c>
      <c r="V683">
        <v>-6.3744430000000005E-2</v>
      </c>
      <c r="W683">
        <v>4.9464359999999999E-2</v>
      </c>
      <c r="X683">
        <v>0.99673959999999995</v>
      </c>
      <c r="Y683">
        <v>4.7228850000000003E-2</v>
      </c>
      <c r="Z683">
        <v>-2.76848E-4</v>
      </c>
      <c r="AA683">
        <v>0.99888410000000005</v>
      </c>
      <c r="AB683">
        <v>32</v>
      </c>
      <c r="AC683">
        <v>0.72670000000004997</v>
      </c>
      <c r="AD683">
        <v>-5.3542000000000201E-2</v>
      </c>
      <c r="AE683">
        <v>-5.6400000000053303E-2</v>
      </c>
      <c r="AF683">
        <v>4.23587978384634E-2</v>
      </c>
      <c r="AG683">
        <v>-5.3542000000000201E-2</v>
      </c>
      <c r="AH683">
        <v>0.72373487260677405</v>
      </c>
      <c r="AI683">
        <v>94.223839498634206</v>
      </c>
      <c r="AJ683">
        <v>86.650410418722402</v>
      </c>
      <c r="AK683">
        <v>0.726947851874853</v>
      </c>
    </row>
    <row r="684" spans="1:37" x14ac:dyDescent="0.2">
      <c r="A684" t="str">
        <f>"20200111153622950"</f>
        <v>20200111153622950</v>
      </c>
      <c r="B684" t="str">
        <f>"1578728182943777"</f>
        <v>1578728182943777</v>
      </c>
      <c r="C684" t="s">
        <v>37</v>
      </c>
      <c r="D684">
        <v>6.077286</v>
      </c>
      <c r="E684">
        <v>0.54139759999999904</v>
      </c>
      <c r="F684" t="s">
        <v>40</v>
      </c>
      <c r="G684">
        <v>-281.3064</v>
      </c>
      <c r="H684">
        <v>-0.05</v>
      </c>
      <c r="I684">
        <v>366.07080000000002</v>
      </c>
      <c r="J684">
        <v>-299.44119999999998</v>
      </c>
      <c r="K684">
        <v>1.0535540000000001</v>
      </c>
      <c r="L684">
        <v>367.27859999999998</v>
      </c>
      <c r="M684">
        <v>0.99981379999999997</v>
      </c>
      <c r="N684">
        <v>0</v>
      </c>
      <c r="O684">
        <v>-1.892251E-2</v>
      </c>
      <c r="P684">
        <v>0.99793089999999995</v>
      </c>
      <c r="Q684">
        <v>4.570577E-2</v>
      </c>
      <c r="R684">
        <v>4.5222390000000001E-2</v>
      </c>
      <c r="S684">
        <v>3.0234990000000002</v>
      </c>
      <c r="T684">
        <v>-0.18235179999999901</v>
      </c>
      <c r="U684">
        <v>-0.20007320000000001</v>
      </c>
      <c r="V684">
        <v>-6.4107979999999995E-2</v>
      </c>
      <c r="W684">
        <v>4.9477220000000002E-2</v>
      </c>
      <c r="X684">
        <v>0.99671569999999898</v>
      </c>
      <c r="Y684">
        <v>4.7084229999999998E-2</v>
      </c>
      <c r="Z684">
        <v>-2.7827979999999998E-4</v>
      </c>
      <c r="AA684">
        <v>0.99889089999999903</v>
      </c>
      <c r="AB684">
        <v>32</v>
      </c>
      <c r="AC684">
        <v>18.134799999999899</v>
      </c>
      <c r="AD684">
        <v>-1.1035539999999999</v>
      </c>
      <c r="AE684">
        <v>-1.20779999999996</v>
      </c>
      <c r="AF684">
        <v>0.86125017230572998</v>
      </c>
      <c r="AG684">
        <v>-1.1035539999999999</v>
      </c>
      <c r="AH684">
        <v>18.0877234787033</v>
      </c>
      <c r="AI684">
        <v>93.487416081221596</v>
      </c>
      <c r="AJ684">
        <v>87.273910219723803</v>
      </c>
      <c r="AK684">
        <v>18.1418114843101</v>
      </c>
    </row>
    <row r="685" spans="1:37" x14ac:dyDescent="0.2">
      <c r="A685" t="str">
        <f>"20200111153622964"</f>
        <v>20200111153622964</v>
      </c>
      <c r="B685" t="str">
        <f>"1578728182953537"</f>
        <v>1578728182953537</v>
      </c>
      <c r="C685" t="s">
        <v>37</v>
      </c>
      <c r="D685">
        <v>6.0242969999999998</v>
      </c>
      <c r="E685">
        <v>0.54146059999999996</v>
      </c>
      <c r="F685" t="s">
        <v>38</v>
      </c>
      <c r="G685">
        <v>-298.5883</v>
      </c>
      <c r="H685">
        <v>1.00142</v>
      </c>
      <c r="I685">
        <v>367.22210000000001</v>
      </c>
      <c r="J685">
        <v>-299.24959999999999</v>
      </c>
      <c r="K685">
        <v>1.05355</v>
      </c>
      <c r="L685">
        <v>367.27499999999998</v>
      </c>
      <c r="M685">
        <v>0.99981549999999997</v>
      </c>
      <c r="N685">
        <v>0</v>
      </c>
      <c r="O685">
        <v>-1.8836209999999999E-2</v>
      </c>
      <c r="P685">
        <v>0.99792440000000004</v>
      </c>
      <c r="Q685">
        <v>4.5666980000000003E-2</v>
      </c>
      <c r="R685">
        <v>4.5400210000000003E-2</v>
      </c>
      <c r="S685">
        <v>3.02371199999999</v>
      </c>
      <c r="T685">
        <v>-0.1851197</v>
      </c>
      <c r="U685">
        <v>-0.19915769999999999</v>
      </c>
      <c r="V685">
        <v>-6.4200450000000006E-2</v>
      </c>
      <c r="W685">
        <v>4.9389599999999999E-2</v>
      </c>
      <c r="X685">
        <v>0.99671409999999905</v>
      </c>
      <c r="Y685">
        <v>4.6863389999999998E-2</v>
      </c>
      <c r="Z685">
        <v>-2.810027E-4</v>
      </c>
      <c r="AA685">
        <v>0.99890119999999905</v>
      </c>
      <c r="AB685">
        <v>32</v>
      </c>
      <c r="AC685">
        <v>0.66129999999998201</v>
      </c>
      <c r="AD685">
        <v>-5.2130000000000003E-2</v>
      </c>
      <c r="AE685">
        <v>-5.2899999999965502E-2</v>
      </c>
      <c r="AF685">
        <v>4.0186008450242901E-2</v>
      </c>
      <c r="AG685">
        <v>-5.2130000000000003E-2</v>
      </c>
      <c r="AH685">
        <v>0.65811552079084801</v>
      </c>
      <c r="AI685">
        <v>94.520615616999294</v>
      </c>
      <c r="AJ685">
        <v>86.505729909507295</v>
      </c>
      <c r="AK685">
        <v>0.66139888938595304</v>
      </c>
    </row>
    <row r="686" spans="1:37" x14ac:dyDescent="0.2">
      <c r="A686" t="str">
        <f>"20200111153622976"</f>
        <v>20200111153622976</v>
      </c>
      <c r="B686" t="str">
        <f>"1578728182973057"</f>
        <v>1578728182973057</v>
      </c>
      <c r="C686" t="s">
        <v>37</v>
      </c>
      <c r="D686">
        <v>6.0317129999999999</v>
      </c>
      <c r="E686">
        <v>0.54144759999999903</v>
      </c>
      <c r="F686" t="s">
        <v>38</v>
      </c>
      <c r="G686">
        <v>-298.30369999999999</v>
      </c>
      <c r="H686">
        <v>0.99532900000000002</v>
      </c>
      <c r="I686">
        <v>367.21269999999998</v>
      </c>
      <c r="J686">
        <v>-299.06079999999997</v>
      </c>
      <c r="K686">
        <v>1.05355</v>
      </c>
      <c r="L686">
        <v>367.2715</v>
      </c>
      <c r="M686">
        <v>0.99981749999999903</v>
      </c>
      <c r="N686">
        <v>0</v>
      </c>
      <c r="O686">
        <v>-1.874574E-2</v>
      </c>
      <c r="P686">
        <v>0.99790029999999996</v>
      </c>
      <c r="Q686">
        <v>4.587024E-2</v>
      </c>
      <c r="R686">
        <v>4.5727070000000002E-2</v>
      </c>
      <c r="S686">
        <v>3.0238040000000002</v>
      </c>
      <c r="T686">
        <v>-0.1862596</v>
      </c>
      <c r="U686">
        <v>-0.19879150000000001</v>
      </c>
      <c r="V686">
        <v>-6.443757E-2</v>
      </c>
      <c r="W686">
        <v>4.9552470000000001E-2</v>
      </c>
      <c r="X686">
        <v>0.99669069999999904</v>
      </c>
      <c r="Y686">
        <v>4.6830589999999998E-2</v>
      </c>
      <c r="Z686">
        <v>-2.8727249999999999E-4</v>
      </c>
      <c r="AA686">
        <v>0.99890279999999998</v>
      </c>
      <c r="AB686">
        <v>32</v>
      </c>
      <c r="AC686">
        <v>0.75709999999997901</v>
      </c>
      <c r="AD686">
        <v>-5.8220999999999801E-2</v>
      </c>
      <c r="AE686">
        <v>-5.8800000000019198E-2</v>
      </c>
      <c r="AF686">
        <v>4.4336554516373798E-2</v>
      </c>
      <c r="AG686">
        <v>-5.8220999999999801E-2</v>
      </c>
      <c r="AH686">
        <v>0.75363921107387999</v>
      </c>
      <c r="AI686">
        <v>94.409910677873697</v>
      </c>
      <c r="AJ686">
        <v>86.633172928788397</v>
      </c>
      <c r="AK686">
        <v>0.75718391119690598</v>
      </c>
    </row>
    <row r="687" spans="1:37" x14ac:dyDescent="0.2">
      <c r="A687" t="str">
        <f>"20200111153622989"</f>
        <v>20200111153622989</v>
      </c>
      <c r="B687" t="str">
        <f>"1578728182983792"</f>
        <v>1578728182983792</v>
      </c>
      <c r="C687" t="s">
        <v>37</v>
      </c>
      <c r="D687">
        <v>6.0278359999999997</v>
      </c>
      <c r="E687">
        <v>0.54147230000000002</v>
      </c>
      <c r="F687" t="s">
        <v>38</v>
      </c>
      <c r="G687">
        <v>-298.2944</v>
      </c>
      <c r="H687">
        <v>1.006624</v>
      </c>
      <c r="I687">
        <v>367.22109999999998</v>
      </c>
      <c r="J687">
        <v>-298.87799999999999</v>
      </c>
      <c r="K687">
        <v>1.0535490000000001</v>
      </c>
      <c r="L687">
        <v>367.26819999999998</v>
      </c>
      <c r="M687">
        <v>0.99981929999999997</v>
      </c>
      <c r="N687">
        <v>0</v>
      </c>
      <c r="O687">
        <v>-1.8653880000000001E-2</v>
      </c>
      <c r="P687">
        <v>0.99788869999999896</v>
      </c>
      <c r="Q687">
        <v>4.5795309999999999E-2</v>
      </c>
      <c r="R687">
        <v>4.605658E-2</v>
      </c>
      <c r="S687">
        <v>3.023895</v>
      </c>
      <c r="T687">
        <v>-0.18532709999999999</v>
      </c>
      <c r="U687">
        <v>-0.1982727</v>
      </c>
      <c r="V687">
        <v>-6.4676010000000006E-2</v>
      </c>
      <c r="W687">
        <v>4.944722E-2</v>
      </c>
      <c r="X687">
        <v>0.99668049999999997</v>
      </c>
      <c r="Y687">
        <v>4.6750260000000002E-2</v>
      </c>
      <c r="Z687">
        <v>-2.8898960000000001E-4</v>
      </c>
      <c r="AA687">
        <v>0.99890659999999898</v>
      </c>
      <c r="AB687">
        <v>32</v>
      </c>
      <c r="AC687">
        <v>0.58359999999998902</v>
      </c>
      <c r="AD687">
        <v>-4.6925000000000099E-2</v>
      </c>
      <c r="AE687">
        <v>-4.7100000000000301E-2</v>
      </c>
      <c r="AF687">
        <v>3.5974253706941503E-2</v>
      </c>
      <c r="AG687">
        <v>-4.6925000000000099E-2</v>
      </c>
      <c r="AH687">
        <v>0.58064738249658998</v>
      </c>
      <c r="AI687">
        <v>94.611511702299893</v>
      </c>
      <c r="AJ687">
        <v>86.454747279148606</v>
      </c>
      <c r="AK687">
        <v>0.583650139514172</v>
      </c>
    </row>
    <row r="688" spans="1:37" x14ac:dyDescent="0.2">
      <c r="A688" t="str">
        <f>"20200111153623005"</f>
        <v>20200111153623005</v>
      </c>
      <c r="B688" t="str">
        <f>"1578728182993553"</f>
        <v>1578728182993553</v>
      </c>
      <c r="C688" t="s">
        <v>37</v>
      </c>
      <c r="D688">
        <v>6.0294530000000002</v>
      </c>
      <c r="E688">
        <v>0.54148369999999901</v>
      </c>
      <c r="F688" t="s">
        <v>38</v>
      </c>
      <c r="G688">
        <v>-298.0102</v>
      </c>
      <c r="H688">
        <v>1.0002450000000001</v>
      </c>
      <c r="I688">
        <v>367.21129999999999</v>
      </c>
      <c r="J688">
        <v>-298.65199999999999</v>
      </c>
      <c r="K688">
        <v>1.053547</v>
      </c>
      <c r="L688">
        <v>367.26409999999998</v>
      </c>
      <c r="M688">
        <v>0.99982150000000003</v>
      </c>
      <c r="N688">
        <v>0</v>
      </c>
      <c r="O688">
        <v>-1.8536739999999999E-2</v>
      </c>
      <c r="P688">
        <v>0.997897699999999</v>
      </c>
      <c r="Q688">
        <v>4.528211E-2</v>
      </c>
      <c r="R688">
        <v>4.6368960000000001E-2</v>
      </c>
      <c r="S688">
        <v>3.02401699999999</v>
      </c>
      <c r="T688">
        <v>-0.186004799999999</v>
      </c>
      <c r="U688">
        <v>-0.1976318</v>
      </c>
      <c r="V688">
        <v>-6.4872589999999994E-2</v>
      </c>
      <c r="W688">
        <v>4.8906190000000002E-2</v>
      </c>
      <c r="X688">
        <v>0.99669439999999998</v>
      </c>
      <c r="Y688">
        <v>4.6653460000000001E-2</v>
      </c>
      <c r="Z688">
        <v>-2.9425080000000003E-4</v>
      </c>
      <c r="AA688">
        <v>0.99891109999999905</v>
      </c>
      <c r="AB688">
        <v>32</v>
      </c>
      <c r="AC688">
        <v>0.64179999999998905</v>
      </c>
      <c r="AD688">
        <v>-5.3301999999999898E-2</v>
      </c>
      <c r="AE688">
        <v>-5.2799999999990598E-2</v>
      </c>
      <c r="AF688">
        <v>4.0615707709029801E-2</v>
      </c>
      <c r="AG688">
        <v>-5.3301999999999898E-2</v>
      </c>
      <c r="AH688">
        <v>0.63829546665389902</v>
      </c>
      <c r="AI688">
        <v>94.763920589381499</v>
      </c>
      <c r="AJ688">
        <v>86.359091414869695</v>
      </c>
      <c r="AK688">
        <v>0.64180358496009104</v>
      </c>
    </row>
    <row r="689" spans="1:37" x14ac:dyDescent="0.2">
      <c r="A689" t="str">
        <f>"20200111153623016"</f>
        <v>20200111153623016</v>
      </c>
      <c r="B689" t="str">
        <f>"1578728183013073"</f>
        <v>1578728183013073</v>
      </c>
      <c r="C689" t="s">
        <v>37</v>
      </c>
      <c r="D689">
        <v>6.0144070000000003</v>
      </c>
      <c r="E689">
        <v>0.54161939999999997</v>
      </c>
      <c r="F689" t="s">
        <v>38</v>
      </c>
      <c r="G689">
        <v>-297.72179999999997</v>
      </c>
      <c r="H689">
        <v>0.99571359999999998</v>
      </c>
      <c r="I689">
        <v>367.20350000000002</v>
      </c>
      <c r="J689">
        <v>-298.47219999999999</v>
      </c>
      <c r="K689">
        <v>1.0535509999999999</v>
      </c>
      <c r="L689">
        <v>367.26080000000002</v>
      </c>
      <c r="M689">
        <v>0.99982329999999997</v>
      </c>
      <c r="N689">
        <v>0</v>
      </c>
      <c r="O689">
        <v>-1.8440129999999999E-2</v>
      </c>
      <c r="P689">
        <v>0.99788729999999903</v>
      </c>
      <c r="Q689">
        <v>4.5242039999999997E-2</v>
      </c>
      <c r="R689">
        <v>4.6627910000000002E-2</v>
      </c>
      <c r="S689">
        <v>3.023987</v>
      </c>
      <c r="T689">
        <v>-0.1879702</v>
      </c>
      <c r="U689">
        <v>-0.1968384</v>
      </c>
      <c r="V689">
        <v>-6.5035289999999996E-2</v>
      </c>
      <c r="W689">
        <v>4.8853319999999999E-2</v>
      </c>
      <c r="X689">
        <v>0.99668639999999997</v>
      </c>
      <c r="Y689">
        <v>4.6488639999999998E-2</v>
      </c>
      <c r="Z689">
        <v>-2.982366E-4</v>
      </c>
      <c r="AA689">
        <v>0.9989188</v>
      </c>
      <c r="AB689">
        <v>32</v>
      </c>
      <c r="AC689">
        <v>0.75040000000001295</v>
      </c>
      <c r="AD689">
        <v>-5.7837399999999997E-2</v>
      </c>
      <c r="AE689">
        <v>-5.7299999999997901E-2</v>
      </c>
      <c r="AF689">
        <v>4.3197558433407598E-2</v>
      </c>
      <c r="AG689">
        <v>-5.7837399999999997E-2</v>
      </c>
      <c r="AH689">
        <v>0.746917598807599</v>
      </c>
      <c r="AI689">
        <v>94.420492823445699</v>
      </c>
      <c r="AJ689">
        <v>86.690018026080097</v>
      </c>
      <c r="AK689">
        <v>0.75039795662160302</v>
      </c>
    </row>
    <row r="690" spans="1:37" x14ac:dyDescent="0.2">
      <c r="A690" t="str">
        <f>"20200111153623029"</f>
        <v>20200111153623029</v>
      </c>
      <c r="B690" t="str">
        <f>"1578728183023809"</f>
        <v>1578728183023809</v>
      </c>
      <c r="C690" t="s">
        <v>37</v>
      </c>
      <c r="D690">
        <v>6.0507559999999998</v>
      </c>
      <c r="E690">
        <v>0.54164590000000001</v>
      </c>
      <c r="F690" t="s">
        <v>38</v>
      </c>
      <c r="G690">
        <v>-297.71319999999997</v>
      </c>
      <c r="H690">
        <v>1.006046</v>
      </c>
      <c r="I690">
        <v>367.21140000000003</v>
      </c>
      <c r="J690">
        <v>-298.29390000000001</v>
      </c>
      <c r="K690">
        <v>1.0535589999999999</v>
      </c>
      <c r="L690">
        <v>367.25760000000002</v>
      </c>
      <c r="M690">
        <v>0.99982519999999997</v>
      </c>
      <c r="N690">
        <v>0</v>
      </c>
      <c r="O690">
        <v>-1.8341650000000001E-2</v>
      </c>
      <c r="P690">
        <v>0.99787870000000001</v>
      </c>
      <c r="Q690">
        <v>4.5415879999999999E-2</v>
      </c>
      <c r="R690">
        <v>4.6643219999999999E-2</v>
      </c>
      <c r="S690">
        <v>3.0241090000000002</v>
      </c>
      <c r="T690">
        <v>-0.18925699999999901</v>
      </c>
      <c r="U690">
        <v>-0.19720460000000001</v>
      </c>
      <c r="V690">
        <v>-6.4953010000000005E-2</v>
      </c>
      <c r="W690">
        <v>4.9026199999999902E-2</v>
      </c>
      <c r="X690">
        <v>0.99668319999999999</v>
      </c>
      <c r="Y690">
        <v>4.670353E-2</v>
      </c>
      <c r="Z690">
        <v>-3.1312069999999998E-4</v>
      </c>
      <c r="AA690">
        <v>0.99890879999999904</v>
      </c>
      <c r="AB690">
        <v>32</v>
      </c>
      <c r="AC690">
        <v>0.58070000000003497</v>
      </c>
      <c r="AD690">
        <v>-4.7512999999999903E-2</v>
      </c>
      <c r="AE690">
        <v>-4.6199999999998902E-2</v>
      </c>
      <c r="AF690">
        <v>3.53062888515863E-2</v>
      </c>
      <c r="AG690">
        <v>-4.7512999999999903E-2</v>
      </c>
      <c r="AH690">
        <v>0.577607204475585</v>
      </c>
      <c r="AI690">
        <v>94.693746360921097</v>
      </c>
      <c r="AJ690">
        <v>86.502142656594501</v>
      </c>
      <c r="AK690">
        <v>0.58063250155633905</v>
      </c>
    </row>
    <row r="691" spans="1:37" x14ac:dyDescent="0.2">
      <c r="A691" t="str">
        <f>"20200111153623042"</f>
        <v>20200111153623042</v>
      </c>
      <c r="B691" t="str">
        <f>"1578728183033569"</f>
        <v>1578728183033569</v>
      </c>
      <c r="C691" t="s">
        <v>37</v>
      </c>
      <c r="D691">
        <v>6.0685479999999998</v>
      </c>
      <c r="E691">
        <v>0.54166689999999995</v>
      </c>
      <c r="F691" t="s">
        <v>38</v>
      </c>
      <c r="G691">
        <v>-297.42680000000001</v>
      </c>
      <c r="H691">
        <v>0.99937009999999904</v>
      </c>
      <c r="I691">
        <v>367.20069999999998</v>
      </c>
      <c r="J691">
        <v>-298.10820000000001</v>
      </c>
      <c r="K691">
        <v>1.053563</v>
      </c>
      <c r="L691">
        <v>367.2543</v>
      </c>
      <c r="M691">
        <v>0.99982700000000002</v>
      </c>
      <c r="N691">
        <v>0</v>
      </c>
      <c r="O691">
        <v>-1.8237679999999999E-2</v>
      </c>
      <c r="P691">
        <v>0.99787190000000003</v>
      </c>
      <c r="Q691">
        <v>4.5279609999999998E-2</v>
      </c>
      <c r="R691">
        <v>4.6918309999999998E-2</v>
      </c>
      <c r="S691">
        <v>3.0242309999999999</v>
      </c>
      <c r="T691">
        <v>-0.18929079999999901</v>
      </c>
      <c r="U691">
        <v>-0.19732669999999999</v>
      </c>
      <c r="V691">
        <v>-6.5125000000000002E-2</v>
      </c>
      <c r="W691">
        <v>4.8893810000000003E-2</v>
      </c>
      <c r="X691">
        <v>0.99667850000000002</v>
      </c>
      <c r="Y691">
        <v>4.6844429999999999E-2</v>
      </c>
      <c r="Z691">
        <v>-3.2405519999999997E-4</v>
      </c>
      <c r="AA691">
        <v>0.99890210000000002</v>
      </c>
      <c r="AB691">
        <v>33</v>
      </c>
      <c r="AC691">
        <v>0.68139999999999601</v>
      </c>
      <c r="AD691">
        <v>-5.4192900000000099E-2</v>
      </c>
      <c r="AE691">
        <v>-5.3600000000017099E-2</v>
      </c>
      <c r="AF691">
        <v>4.0906691414835897E-2</v>
      </c>
      <c r="AG691">
        <v>-5.4192900000000099E-2</v>
      </c>
      <c r="AH691">
        <v>0.67800202663318598</v>
      </c>
      <c r="AI691">
        <v>94.561692547980599</v>
      </c>
      <c r="AJ691">
        <v>86.547292010747697</v>
      </c>
      <c r="AK691">
        <v>0.68139340760798905</v>
      </c>
    </row>
    <row r="692" spans="1:37" x14ac:dyDescent="0.2">
      <c r="A692" t="str">
        <f>"20200111153623054"</f>
        <v>20200111153623054</v>
      </c>
      <c r="B692" t="str">
        <f>"1578728183043330"</f>
        <v>1578728183043330</v>
      </c>
      <c r="C692" t="s">
        <v>37</v>
      </c>
      <c r="D692">
        <v>6.0192779999999999</v>
      </c>
      <c r="E692">
        <v>0.54170580000000002</v>
      </c>
      <c r="F692" t="s">
        <v>38</v>
      </c>
      <c r="G692">
        <v>-297.13679999999999</v>
      </c>
      <c r="H692">
        <v>0.99254489999999995</v>
      </c>
      <c r="I692">
        <v>367.19099999999997</v>
      </c>
      <c r="J692">
        <v>-297.93439999999998</v>
      </c>
      <c r="K692">
        <v>1.053566</v>
      </c>
      <c r="L692">
        <v>367.25119999999998</v>
      </c>
      <c r="M692">
        <v>0.99982870000000001</v>
      </c>
      <c r="N692">
        <v>0</v>
      </c>
      <c r="O692">
        <v>-1.8138870000000001E-2</v>
      </c>
      <c r="P692">
        <v>0.99785979999999996</v>
      </c>
      <c r="Q692">
        <v>4.5431569999999998E-2</v>
      </c>
      <c r="R692">
        <v>4.7030530000000001E-2</v>
      </c>
      <c r="S692">
        <v>3.0242610000000001</v>
      </c>
      <c r="T692">
        <v>-0.1900963</v>
      </c>
      <c r="U692">
        <v>-0.19665529999999901</v>
      </c>
      <c r="V692">
        <v>-6.5138730000000006E-2</v>
      </c>
      <c r="W692">
        <v>4.905764E-2</v>
      </c>
      <c r="X692">
        <v>0.99666960000000004</v>
      </c>
      <c r="Y692">
        <v>4.6721239999999997E-2</v>
      </c>
      <c r="Z692">
        <v>-3.2776259999999998E-4</v>
      </c>
      <c r="AA692">
        <v>0.99890789999999996</v>
      </c>
      <c r="AB692">
        <v>33</v>
      </c>
      <c r="AC692">
        <v>0.79759999999998799</v>
      </c>
      <c r="AD692">
        <v>-6.1021099999999898E-2</v>
      </c>
      <c r="AE692">
        <v>-6.0200000000008899E-2</v>
      </c>
      <c r="AF692">
        <v>4.5457870182439401E-2</v>
      </c>
      <c r="AG692">
        <v>-6.1021099999999898E-2</v>
      </c>
      <c r="AH692">
        <v>0.79394001377074896</v>
      </c>
      <c r="AI692">
        <v>94.387873259477104</v>
      </c>
      <c r="AJ692">
        <v>86.723047677635606</v>
      </c>
      <c r="AK692">
        <v>0.79757804512977304</v>
      </c>
    </row>
    <row r="693" spans="1:37" x14ac:dyDescent="0.2">
      <c r="A693" t="str">
        <f>"20200111153623065"</f>
        <v>20200111153623065</v>
      </c>
      <c r="B693" t="str">
        <f>"1578728183053090"</f>
        <v>1578728183053090</v>
      </c>
      <c r="C693" t="s">
        <v>37</v>
      </c>
      <c r="D693">
        <v>6.062697</v>
      </c>
      <c r="E693">
        <v>0.54174659999999997</v>
      </c>
      <c r="F693" t="s">
        <v>38</v>
      </c>
      <c r="G693">
        <v>-297.12950000000001</v>
      </c>
      <c r="H693">
        <v>1.0029250000000001</v>
      </c>
      <c r="I693">
        <v>367.19880000000001</v>
      </c>
      <c r="J693">
        <v>-297.76260000000002</v>
      </c>
      <c r="K693">
        <v>1.053569</v>
      </c>
      <c r="L693">
        <v>367.2482</v>
      </c>
      <c r="M693">
        <v>0.99983049999999996</v>
      </c>
      <c r="N693">
        <v>0</v>
      </c>
      <c r="O693">
        <v>-1.804041E-2</v>
      </c>
      <c r="P693">
        <v>0.99784799999999996</v>
      </c>
      <c r="Q693">
        <v>4.5509149999999998E-2</v>
      </c>
      <c r="R693">
        <v>4.7206419999999999E-2</v>
      </c>
      <c r="S693">
        <v>3.024384</v>
      </c>
      <c r="T693">
        <v>-0.19046379999999999</v>
      </c>
      <c r="U693">
        <v>-0.19647220000000001</v>
      </c>
      <c r="V693">
        <v>-6.5216839999999998E-2</v>
      </c>
      <c r="W693">
        <v>4.9150029999999997E-2</v>
      </c>
      <c r="X693">
        <v>0.99665990000000004</v>
      </c>
      <c r="Y693">
        <v>4.6756300000000001E-2</v>
      </c>
      <c r="Z693">
        <v>-3.3566930000000002E-4</v>
      </c>
      <c r="AA693">
        <v>0.99890630000000002</v>
      </c>
      <c r="AB693">
        <v>33</v>
      </c>
      <c r="AC693">
        <v>0.63310000000001299</v>
      </c>
      <c r="AD693">
        <v>-5.0643999999999897E-2</v>
      </c>
      <c r="AE693">
        <v>-4.9399999999991402E-2</v>
      </c>
      <c r="AF693">
        <v>3.7730523593512297E-2</v>
      </c>
      <c r="AG693">
        <v>-5.0643999999999897E-2</v>
      </c>
      <c r="AH693">
        <v>0.62988195328711305</v>
      </c>
      <c r="AI693">
        <v>94.588638142686406</v>
      </c>
      <c r="AJ693">
        <v>86.572024804816806</v>
      </c>
      <c r="AK693">
        <v>0.63304003208598902</v>
      </c>
    </row>
    <row r="694" spans="1:37" x14ac:dyDescent="0.2">
      <c r="A694" t="str">
        <f>"20200111153623080"</f>
        <v>20200111153623080</v>
      </c>
      <c r="B694" t="str">
        <f>"1578728183073585"</f>
        <v>1578728183073585</v>
      </c>
      <c r="C694" t="s">
        <v>37</v>
      </c>
      <c r="D694">
        <v>6.0235629999999896</v>
      </c>
      <c r="E694">
        <v>0.54183749999999997</v>
      </c>
      <c r="F694" t="s">
        <v>38</v>
      </c>
      <c r="G694">
        <v>-296.84030000000001</v>
      </c>
      <c r="H694">
        <v>0.99535830000000003</v>
      </c>
      <c r="I694">
        <v>367.18819999999999</v>
      </c>
      <c r="J694">
        <v>-297.55959999999999</v>
      </c>
      <c r="K694">
        <v>1.053572</v>
      </c>
      <c r="L694">
        <v>367.24459999999999</v>
      </c>
      <c r="M694">
        <v>0.99983259999999996</v>
      </c>
      <c r="N694">
        <v>0</v>
      </c>
      <c r="O694">
        <v>-1.7923250000000002E-2</v>
      </c>
      <c r="P694">
        <v>0.99783580000000005</v>
      </c>
      <c r="Q694">
        <v>4.5578920000000002E-2</v>
      </c>
      <c r="R694">
        <v>4.7396750000000001E-2</v>
      </c>
      <c r="S694">
        <v>3.0244749999999998</v>
      </c>
      <c r="T694">
        <v>-0.19100909999999999</v>
      </c>
      <c r="U694">
        <v>-0.19641110000000001</v>
      </c>
      <c r="V694">
        <v>-6.5290219999999996E-2</v>
      </c>
      <c r="W694">
        <v>4.9241E-2</v>
      </c>
      <c r="X694">
        <v>0.99665059999999905</v>
      </c>
      <c r="Y694">
        <v>4.6850580000000003E-2</v>
      </c>
      <c r="Z694">
        <v>-3.4696989999999898E-4</v>
      </c>
      <c r="AA694">
        <v>0.99890179999999995</v>
      </c>
      <c r="AB694">
        <v>33</v>
      </c>
      <c r="AC694">
        <v>0.71929999999997496</v>
      </c>
      <c r="AD694">
        <v>-5.8213699999999903E-2</v>
      </c>
      <c r="AE694">
        <v>-5.6399999999996397E-2</v>
      </c>
      <c r="AF694">
        <v>4.3217322554782202E-2</v>
      </c>
      <c r="AG694">
        <v>-5.8213699999999903E-2</v>
      </c>
      <c r="AH694">
        <v>0.71553731944322896</v>
      </c>
      <c r="AI694">
        <v>94.642723900698599</v>
      </c>
      <c r="AJ694">
        <v>86.5436243603245</v>
      </c>
      <c r="AK694">
        <v>0.71920110355344602</v>
      </c>
    </row>
    <row r="695" spans="1:37" x14ac:dyDescent="0.2">
      <c r="A695" t="str">
        <f>"20200111153623094"</f>
        <v>20200111153623094</v>
      </c>
      <c r="B695" t="str">
        <f>"1578728183083345"</f>
        <v>1578728183083345</v>
      </c>
      <c r="C695" t="s">
        <v>37</v>
      </c>
      <c r="D695">
        <v>6.2124180000000004</v>
      </c>
      <c r="E695">
        <v>0.54170439999999997</v>
      </c>
      <c r="F695" t="s">
        <v>38</v>
      </c>
      <c r="G695">
        <v>-296.54689999999999</v>
      </c>
      <c r="H695">
        <v>0.98958679999999999</v>
      </c>
      <c r="I695">
        <v>367.17880000000002</v>
      </c>
      <c r="J695">
        <v>-297.33460000000002</v>
      </c>
      <c r="K695">
        <v>1.053574</v>
      </c>
      <c r="L695">
        <v>367.2407</v>
      </c>
      <c r="M695">
        <v>0.99983480000000002</v>
      </c>
      <c r="N695">
        <v>0</v>
      </c>
      <c r="O695">
        <v>-1.7791919999999999E-2</v>
      </c>
      <c r="P695">
        <v>0.9978629</v>
      </c>
      <c r="Q695">
        <v>4.5181909999999999E-2</v>
      </c>
      <c r="R695">
        <v>4.7202939999999999E-2</v>
      </c>
      <c r="S695">
        <v>3.0245359999999999</v>
      </c>
      <c r="T695">
        <v>-0.1912066</v>
      </c>
      <c r="U695">
        <v>-0.1964417</v>
      </c>
      <c r="V695">
        <v>-6.4966780000000002E-2</v>
      </c>
      <c r="W695">
        <v>4.8875219999999997E-2</v>
      </c>
      <c r="X695">
        <v>0.99668979999999996</v>
      </c>
      <c r="Y695">
        <v>4.6989870000000003E-2</v>
      </c>
      <c r="Z695">
        <v>-3.5999680000000002E-4</v>
      </c>
      <c r="AA695">
        <v>0.99889530000000004</v>
      </c>
      <c r="AB695">
        <v>33</v>
      </c>
      <c r="AC695">
        <v>0.78770000000002904</v>
      </c>
      <c r="AD695">
        <v>-6.3987199999999994E-2</v>
      </c>
      <c r="AE695">
        <v>-6.1899999999979999E-2</v>
      </c>
      <c r="AF695">
        <v>4.7563474330059197E-2</v>
      </c>
      <c r="AG695">
        <v>-6.3987199999999994E-2</v>
      </c>
      <c r="AH695">
        <v>0.78353796958305699</v>
      </c>
      <c r="AI695">
        <v>94.660128031454903</v>
      </c>
      <c r="AJ695">
        <v>86.526210000737805</v>
      </c>
      <c r="AK695">
        <v>0.78758389751983005</v>
      </c>
    </row>
    <row r="696" spans="1:37" x14ac:dyDescent="0.2">
      <c r="A696" t="str">
        <f>"20200111153623107"</f>
        <v>20200111153623107</v>
      </c>
      <c r="B696" t="str">
        <f>"1578728183103841"</f>
        <v>1578728183103841</v>
      </c>
      <c r="C696" t="s">
        <v>37</v>
      </c>
      <c r="D696">
        <v>6.0183939999999998</v>
      </c>
      <c r="E696">
        <v>0.54180010000000001</v>
      </c>
      <c r="F696" t="s">
        <v>38</v>
      </c>
      <c r="G696">
        <v>-296.53809999999999</v>
      </c>
      <c r="H696">
        <v>1.00291</v>
      </c>
      <c r="I696">
        <v>367.1891</v>
      </c>
      <c r="J696">
        <v>-297.1422</v>
      </c>
      <c r="K696">
        <v>1.0535760000000001</v>
      </c>
      <c r="L696">
        <v>367.23739999999998</v>
      </c>
      <c r="M696">
        <v>0.99983670000000002</v>
      </c>
      <c r="N696">
        <v>0</v>
      </c>
      <c r="O696">
        <v>-1.7679790000000001E-2</v>
      </c>
      <c r="P696">
        <v>0.99786249999999999</v>
      </c>
      <c r="Q696">
        <v>4.488545E-2</v>
      </c>
      <c r="R696">
        <v>4.749871E-2</v>
      </c>
      <c r="S696">
        <v>3.0244450000000001</v>
      </c>
      <c r="T696">
        <v>-0.19253679999999901</v>
      </c>
      <c r="U696">
        <v>-0.1958618</v>
      </c>
      <c r="V696">
        <v>-6.5150620000000006E-2</v>
      </c>
      <c r="W696">
        <v>4.8608999999999999E-2</v>
      </c>
      <c r="X696">
        <v>0.99669079999999999</v>
      </c>
      <c r="Y696">
        <v>4.6912259999999997E-2</v>
      </c>
      <c r="Z696">
        <v>-3.6716449999999899E-4</v>
      </c>
      <c r="AA696">
        <v>0.99889889999999903</v>
      </c>
      <c r="AB696">
        <v>33</v>
      </c>
      <c r="AC696">
        <v>0.60410000000001596</v>
      </c>
      <c r="AD696">
        <v>-5.06660000000001E-2</v>
      </c>
      <c r="AE696">
        <v>-4.8299999999983301E-2</v>
      </c>
      <c r="AF696">
        <v>3.7350949047620097E-2</v>
      </c>
      <c r="AG696">
        <v>-5.06660000000001E-2</v>
      </c>
      <c r="AH696">
        <v>0.60066117695985399</v>
      </c>
      <c r="AI696">
        <v>94.8122564406968</v>
      </c>
      <c r="AJ696">
        <v>86.441754737956899</v>
      </c>
      <c r="AK696">
        <v>0.60395031787188802</v>
      </c>
    </row>
    <row r="697" spans="1:37" x14ac:dyDescent="0.2">
      <c r="A697" t="str">
        <f>"20200111153623122"</f>
        <v>20200111153623122</v>
      </c>
      <c r="B697" t="str">
        <f>"1578728183113602"</f>
        <v>1578728183113602</v>
      </c>
      <c r="C697" t="s">
        <v>37</v>
      </c>
      <c r="D697">
        <v>6.0129349999999997</v>
      </c>
      <c r="E697">
        <v>0.54185709999999998</v>
      </c>
      <c r="F697" t="s">
        <v>38</v>
      </c>
      <c r="G697">
        <v>-296.24619999999999</v>
      </c>
      <c r="H697">
        <v>0.99609319999999901</v>
      </c>
      <c r="I697">
        <v>367.17910000000001</v>
      </c>
      <c r="J697">
        <v>-296.92509999999999</v>
      </c>
      <c r="K697">
        <v>1.0535760000000001</v>
      </c>
      <c r="L697">
        <v>367.23360000000002</v>
      </c>
      <c r="M697">
        <v>0.99983880000000003</v>
      </c>
      <c r="N697">
        <v>0</v>
      </c>
      <c r="O697">
        <v>-1.7553119999999998E-2</v>
      </c>
      <c r="P697">
        <v>0.99785970000000002</v>
      </c>
      <c r="Q697">
        <v>4.509374E-2</v>
      </c>
      <c r="R697">
        <v>4.735872E-2</v>
      </c>
      <c r="S697">
        <v>3.0245359999999999</v>
      </c>
      <c r="T697">
        <v>-0.19430349999999999</v>
      </c>
      <c r="U697">
        <v>-0.1958618</v>
      </c>
      <c r="V697">
        <v>-6.4885109999999996E-2</v>
      </c>
      <c r="W697">
        <v>4.8854750000000002E-2</v>
      </c>
      <c r="X697">
        <v>0.99669609999999997</v>
      </c>
      <c r="Y697">
        <v>4.7035260000000002E-2</v>
      </c>
      <c r="Z697">
        <v>-3.8257519999999998E-4</v>
      </c>
      <c r="AA697">
        <v>0.99889309999999998</v>
      </c>
      <c r="AB697">
        <v>33</v>
      </c>
      <c r="AC697">
        <v>0.67889999999999795</v>
      </c>
      <c r="AD697">
        <v>-5.7482800000000098E-2</v>
      </c>
      <c r="AE697">
        <v>-5.4500000000018603E-2</v>
      </c>
      <c r="AF697">
        <v>4.22735823417952E-2</v>
      </c>
      <c r="AG697">
        <v>-5.7482800000000098E-2</v>
      </c>
      <c r="AH697">
        <v>0.67494429829033098</v>
      </c>
      <c r="AI697">
        <v>94.858472775312094</v>
      </c>
      <c r="AJ697">
        <v>86.416092241118804</v>
      </c>
      <c r="AK697">
        <v>0.67870548388419205</v>
      </c>
    </row>
    <row r="698" spans="1:37" x14ac:dyDescent="0.2">
      <c r="A698" t="str">
        <f>"20200111153623135"</f>
        <v>20200111153623135</v>
      </c>
      <c r="B698" t="str">
        <f>"1578728183123361"</f>
        <v>1578728183123361</v>
      </c>
      <c r="C698" t="s">
        <v>37</v>
      </c>
      <c r="D698">
        <v>6.0526390000000001</v>
      </c>
      <c r="E698">
        <v>0.54192410000000002</v>
      </c>
      <c r="F698" t="s">
        <v>38</v>
      </c>
      <c r="G698">
        <v>-295.9502</v>
      </c>
      <c r="H698">
        <v>0.99096130000000004</v>
      </c>
      <c r="I698">
        <v>367.17020000000002</v>
      </c>
      <c r="J698">
        <v>-296.72949999999997</v>
      </c>
      <c r="K698">
        <v>1.053577</v>
      </c>
      <c r="L698">
        <v>367.2303</v>
      </c>
      <c r="M698">
        <v>0.99984069999999903</v>
      </c>
      <c r="N698">
        <v>0</v>
      </c>
      <c r="O698">
        <v>-1.7439099999999999E-2</v>
      </c>
      <c r="P698">
        <v>0.99788390000000005</v>
      </c>
      <c r="Q698">
        <v>4.4923860000000003E-2</v>
      </c>
      <c r="R698">
        <v>4.701081E-2</v>
      </c>
      <c r="S698">
        <v>3.0245060000000001</v>
      </c>
      <c r="T698">
        <v>-0.19437089999999899</v>
      </c>
      <c r="U698">
        <v>-0.19638059999999999</v>
      </c>
      <c r="V698">
        <v>-6.4423569999999999E-2</v>
      </c>
      <c r="W698">
        <v>4.8724249999999997E-2</v>
      </c>
      <c r="X698">
        <v>0.99673239999999996</v>
      </c>
      <c r="Y698">
        <v>4.731958E-2</v>
      </c>
      <c r="Z698">
        <v>-3.9913680000000002E-4</v>
      </c>
      <c r="AA698">
        <v>0.99887969999999904</v>
      </c>
      <c r="AB698">
        <v>33</v>
      </c>
      <c r="AC698">
        <v>0.77929999999997701</v>
      </c>
      <c r="AD698">
        <v>-6.2615699999999802E-2</v>
      </c>
      <c r="AE698">
        <v>-6.0099999999977102E-2</v>
      </c>
      <c r="AF698">
        <v>4.6203946776013798E-2</v>
      </c>
      <c r="AG698">
        <v>-6.2615699999999802E-2</v>
      </c>
      <c r="AH698">
        <v>0.77525420945271695</v>
      </c>
      <c r="AI698">
        <v>94.609495752779296</v>
      </c>
      <c r="AJ698">
        <v>86.5892949598244</v>
      </c>
      <c r="AK698">
        <v>0.77914993413227396</v>
      </c>
    </row>
    <row r="699" spans="1:37" x14ac:dyDescent="0.2">
      <c r="A699" t="str">
        <f>"20200111153623151"</f>
        <v>20200111153623151</v>
      </c>
      <c r="B699" t="str">
        <f>"1578728183143856"</f>
        <v>1578728183143856</v>
      </c>
      <c r="C699" t="s">
        <v>37</v>
      </c>
      <c r="D699">
        <v>6.0398009999999998</v>
      </c>
      <c r="E699">
        <v>0.542077699999999</v>
      </c>
      <c r="F699" t="s">
        <v>38</v>
      </c>
      <c r="G699">
        <v>-295.94229999999999</v>
      </c>
      <c r="H699">
        <v>1.002712</v>
      </c>
      <c r="I699">
        <v>367.17860000000002</v>
      </c>
      <c r="J699">
        <v>-296.49209999999999</v>
      </c>
      <c r="K699">
        <v>1.053579</v>
      </c>
      <c r="L699">
        <v>367.22629999999998</v>
      </c>
      <c r="M699">
        <v>0.99984289999999998</v>
      </c>
      <c r="N699">
        <v>0</v>
      </c>
      <c r="O699">
        <v>-1.730042E-2</v>
      </c>
      <c r="P699">
        <v>0.99790949999999901</v>
      </c>
      <c r="Q699">
        <v>4.4744560000000003E-2</v>
      </c>
      <c r="R699">
        <v>4.6636259999999999E-2</v>
      </c>
      <c r="S699">
        <v>3.0244749999999998</v>
      </c>
      <c r="T699">
        <v>-0.1955559</v>
      </c>
      <c r="U699">
        <v>-0.19805909999999999</v>
      </c>
      <c r="V699">
        <v>-6.3911609999999994E-2</v>
      </c>
      <c r="W699">
        <v>4.859422E-2</v>
      </c>
      <c r="X699">
        <v>0.99677179999999999</v>
      </c>
      <c r="Y699">
        <v>4.8008299999999997E-2</v>
      </c>
      <c r="Z699">
        <v>-4.3272589999999902E-4</v>
      </c>
      <c r="AA699">
        <v>0.99884680000000003</v>
      </c>
      <c r="AB699">
        <v>33</v>
      </c>
      <c r="AC699">
        <v>0.54980000000000395</v>
      </c>
      <c r="AD699">
        <v>-5.0867000000000002E-2</v>
      </c>
      <c r="AE699">
        <v>-4.7699999999963397E-2</v>
      </c>
      <c r="AF699">
        <v>3.7859372343081697E-2</v>
      </c>
      <c r="AG699">
        <v>-5.0867000000000002E-2</v>
      </c>
      <c r="AH699">
        <v>0.54590503115882605</v>
      </c>
      <c r="AI699">
        <v>95.310721633625704</v>
      </c>
      <c r="AJ699">
        <v>86.032799725686701</v>
      </c>
      <c r="AK699">
        <v>0.549575369542459</v>
      </c>
    </row>
    <row r="700" spans="1:37" x14ac:dyDescent="0.2">
      <c r="A700" t="str">
        <f>"20200111153623163"</f>
        <v>20200111153623163</v>
      </c>
      <c r="B700" t="str">
        <f>"1578728183153617"</f>
        <v>1578728183153617</v>
      </c>
      <c r="C700" t="s">
        <v>37</v>
      </c>
      <c r="D700">
        <v>6.0445799999999998</v>
      </c>
      <c r="E700">
        <v>0.54216999999999904</v>
      </c>
      <c r="F700" t="s">
        <v>38</v>
      </c>
      <c r="G700">
        <v>-295.64659999999998</v>
      </c>
      <c r="H700">
        <v>0.99850059999999996</v>
      </c>
      <c r="I700">
        <v>367.17</v>
      </c>
      <c r="J700">
        <v>-296.30709999999999</v>
      </c>
      <c r="K700">
        <v>1.053577</v>
      </c>
      <c r="L700">
        <v>367.22320000000002</v>
      </c>
      <c r="M700">
        <v>0.99984459999999997</v>
      </c>
      <c r="N700">
        <v>0</v>
      </c>
      <c r="O700">
        <v>-1.719236E-2</v>
      </c>
      <c r="P700">
        <v>0.99791350000000001</v>
      </c>
      <c r="Q700">
        <v>4.4658679999999999E-2</v>
      </c>
      <c r="R700">
        <v>4.6631319999999997E-2</v>
      </c>
      <c r="S700">
        <v>3.0245060000000001</v>
      </c>
      <c r="T700">
        <v>-0.19721669999999999</v>
      </c>
      <c r="U700">
        <v>-0.2007446</v>
      </c>
      <c r="V700">
        <v>-6.3799110000000006E-2</v>
      </c>
      <c r="W700">
        <v>4.8548029999999999E-2</v>
      </c>
      <c r="X700">
        <v>0.99678120000000003</v>
      </c>
      <c r="Y700">
        <v>4.8995240000000002E-2</v>
      </c>
      <c r="Z700">
        <v>-4.755146E-4</v>
      </c>
      <c r="AA700">
        <v>0.99879889999999905</v>
      </c>
      <c r="AB700">
        <v>33</v>
      </c>
      <c r="AC700">
        <v>0.66050000000001297</v>
      </c>
      <c r="AD700">
        <v>-5.5076399999999998E-2</v>
      </c>
      <c r="AE700">
        <v>-5.3200000000003897E-2</v>
      </c>
      <c r="AF700">
        <v>4.1549456876403802E-2</v>
      </c>
      <c r="AG700">
        <v>-5.5076399999999998E-2</v>
      </c>
      <c r="AH700">
        <v>0.65677972471406298</v>
      </c>
      <c r="AI700">
        <v>94.783989629301999</v>
      </c>
      <c r="AJ700">
        <v>86.380155781673594</v>
      </c>
      <c r="AK700">
        <v>0.66039334793679205</v>
      </c>
    </row>
    <row r="701" spans="1:37" x14ac:dyDescent="0.2">
      <c r="A701" t="str">
        <f>"20200111153623176"</f>
        <v>20200111153623176</v>
      </c>
      <c r="B701" t="str">
        <f>"1578728183163377"</f>
        <v>1578728183163377</v>
      </c>
      <c r="C701" t="s">
        <v>37</v>
      </c>
      <c r="D701">
        <v>6.0411739999999998</v>
      </c>
      <c r="E701">
        <v>0.54225869999999998</v>
      </c>
      <c r="F701" t="s">
        <v>38</v>
      </c>
      <c r="G701">
        <v>-295.34980000000002</v>
      </c>
      <c r="H701">
        <v>0.9908074</v>
      </c>
      <c r="I701">
        <v>367.15929999999997</v>
      </c>
      <c r="J701">
        <v>-296.11709999999999</v>
      </c>
      <c r="K701">
        <v>1.053577</v>
      </c>
      <c r="L701">
        <v>367.22</v>
      </c>
      <c r="M701">
        <v>0.99984629999999997</v>
      </c>
      <c r="N701">
        <v>0</v>
      </c>
      <c r="O701">
        <v>-1.7081679999999998E-2</v>
      </c>
      <c r="P701">
        <v>0.99792130000000001</v>
      </c>
      <c r="Q701">
        <v>4.4695949999999998E-2</v>
      </c>
      <c r="R701">
        <v>4.6428749999999998E-2</v>
      </c>
      <c r="S701">
        <v>3.0245669999999998</v>
      </c>
      <c r="T701">
        <v>-0.19846710000000001</v>
      </c>
      <c r="U701">
        <v>-0.20123289999999999</v>
      </c>
      <c r="V701">
        <v>-6.3486580000000001E-2</v>
      </c>
      <c r="W701">
        <v>4.8626129999999997E-2</v>
      </c>
      <c r="X701">
        <v>0.9967973</v>
      </c>
      <c r="Y701">
        <v>4.9263330000000001E-2</v>
      </c>
      <c r="Z701">
        <v>-4.9453159999999997E-4</v>
      </c>
      <c r="AA701">
        <v>0.9987857</v>
      </c>
      <c r="AB701">
        <v>34</v>
      </c>
      <c r="AC701">
        <v>0.767299999999977</v>
      </c>
      <c r="AD701">
        <v>-6.2769599999999898E-2</v>
      </c>
      <c r="AE701">
        <v>-6.0700000000053898E-2</v>
      </c>
      <c r="AF701">
        <v>4.7269896543793398E-2</v>
      </c>
      <c r="AG701">
        <v>-6.2769599999999898E-2</v>
      </c>
      <c r="AH701">
        <v>0.76314953343911496</v>
      </c>
      <c r="AI701">
        <v>94.693081011312401</v>
      </c>
      <c r="AJ701">
        <v>86.455596529074498</v>
      </c>
      <c r="AK701">
        <v>0.76718425178816096</v>
      </c>
    </row>
    <row r="702" spans="1:37" x14ac:dyDescent="0.2">
      <c r="A702" t="str">
        <f>"20200111153623187"</f>
        <v>20200111153623187</v>
      </c>
      <c r="B702" t="str">
        <f>"1578728183183873"</f>
        <v>1578728183183873</v>
      </c>
      <c r="C702" t="s">
        <v>37</v>
      </c>
      <c r="D702">
        <v>6.0193879999999904</v>
      </c>
      <c r="E702">
        <v>0.5424177</v>
      </c>
      <c r="F702" t="s">
        <v>38</v>
      </c>
      <c r="G702">
        <v>-295.34179999999998</v>
      </c>
      <c r="H702">
        <v>1.0027520000000001</v>
      </c>
      <c r="I702">
        <v>367.1678</v>
      </c>
      <c r="J702">
        <v>-295.94130000000001</v>
      </c>
      <c r="K702">
        <v>1.0535760000000001</v>
      </c>
      <c r="L702">
        <v>367.21710000000002</v>
      </c>
      <c r="M702">
        <v>0.99984789999999901</v>
      </c>
      <c r="N702">
        <v>0</v>
      </c>
      <c r="O702">
        <v>-1.69791E-2</v>
      </c>
      <c r="P702">
        <v>0.99792549999999902</v>
      </c>
      <c r="Q702">
        <v>4.4658549999999998E-2</v>
      </c>
      <c r="R702">
        <v>4.6372770000000001E-2</v>
      </c>
      <c r="S702">
        <v>3.0245669999999998</v>
      </c>
      <c r="T702">
        <v>-0.19848669999999999</v>
      </c>
      <c r="U702">
        <v>-0.20281979999999999</v>
      </c>
      <c r="V702">
        <v>-6.3328780000000001E-2</v>
      </c>
      <c r="W702">
        <v>4.8627089999999998E-2</v>
      </c>
      <c r="X702">
        <v>0.99680729999999995</v>
      </c>
      <c r="Y702">
        <v>4.9885939999999997E-2</v>
      </c>
      <c r="Z702">
        <v>-5.2167160000000001E-4</v>
      </c>
      <c r="AA702">
        <v>0.99875480000000005</v>
      </c>
      <c r="AB702">
        <v>34</v>
      </c>
      <c r="AC702">
        <v>0.59950000000003401</v>
      </c>
      <c r="AD702">
        <v>-5.0823999999999897E-2</v>
      </c>
      <c r="AE702">
        <v>-4.9300000000016497E-2</v>
      </c>
      <c r="AF702">
        <v>3.8836590595014098E-2</v>
      </c>
      <c r="AG702">
        <v>-5.0823999999999897E-2</v>
      </c>
      <c r="AH702">
        <v>0.59599588967224004</v>
      </c>
      <c r="AI702">
        <v>94.863883054736604</v>
      </c>
      <c r="AJ702">
        <v>86.271733924507501</v>
      </c>
      <c r="AK702">
        <v>0.59941843502786096</v>
      </c>
    </row>
    <row r="703" spans="1:37" x14ac:dyDescent="0.2">
      <c r="A703" t="str">
        <f>"20200111153623201"</f>
        <v>20200111153623201</v>
      </c>
      <c r="B703" t="str">
        <f>"1578728183193633"</f>
        <v>1578728183193633</v>
      </c>
      <c r="C703" t="s">
        <v>37</v>
      </c>
      <c r="D703">
        <v>5.1306019999999997</v>
      </c>
      <c r="E703">
        <v>0.54253390000000001</v>
      </c>
      <c r="F703" t="s">
        <v>38</v>
      </c>
      <c r="G703">
        <v>-295.04599999999999</v>
      </c>
      <c r="H703">
        <v>0.99474110000000004</v>
      </c>
      <c r="I703">
        <v>367.15629999999999</v>
      </c>
      <c r="J703">
        <v>-295.73439999999999</v>
      </c>
      <c r="K703">
        <v>1.0535749999999999</v>
      </c>
      <c r="L703">
        <v>367.21370000000002</v>
      </c>
      <c r="M703">
        <v>0.99984969999999995</v>
      </c>
      <c r="N703">
        <v>0</v>
      </c>
      <c r="O703">
        <v>-1.6858540000000002E-2</v>
      </c>
      <c r="P703">
        <v>0.99792749999999997</v>
      </c>
      <c r="Q703">
        <v>4.4572250000000001E-2</v>
      </c>
      <c r="R703">
        <v>4.6414839999999999E-2</v>
      </c>
      <c r="S703">
        <v>3.0246279999999999</v>
      </c>
      <c r="T703">
        <v>-0.19912270000000001</v>
      </c>
      <c r="U703">
        <v>-0.20428470000000001</v>
      </c>
      <c r="V703">
        <v>-6.3250470000000003E-2</v>
      </c>
      <c r="W703">
        <v>4.8586610000000002E-2</v>
      </c>
      <c r="X703">
        <v>0.99681430000000004</v>
      </c>
      <c r="Y703">
        <v>5.0484540000000001E-2</v>
      </c>
      <c r="Z703">
        <v>-5.508984E-4</v>
      </c>
      <c r="AA703">
        <v>0.99872469999999902</v>
      </c>
      <c r="AB703">
        <v>34</v>
      </c>
      <c r="AC703">
        <v>0.68840000000000101</v>
      </c>
      <c r="AD703">
        <v>-5.88338999999998E-2</v>
      </c>
      <c r="AE703">
        <v>-5.7400000000029601E-2</v>
      </c>
      <c r="AF703">
        <v>4.5456596252595398E-2</v>
      </c>
      <c r="AG703">
        <v>-5.88338999999998E-2</v>
      </c>
      <c r="AH703">
        <v>0.68430604676631102</v>
      </c>
      <c r="AI703">
        <v>94.903224971490104</v>
      </c>
      <c r="AJ703">
        <v>86.199579965120506</v>
      </c>
      <c r="AK703">
        <v>0.68833312834195204</v>
      </c>
    </row>
    <row r="704" spans="1:37" x14ac:dyDescent="0.2">
      <c r="A704" t="str">
        <f>"20200111153623213"</f>
        <v>20200111153623213</v>
      </c>
      <c r="B704" t="str">
        <f>"1578728183203393"</f>
        <v>1578728183203393</v>
      </c>
      <c r="C704" t="s">
        <v>37</v>
      </c>
      <c r="D704">
        <v>6.0566059999999897</v>
      </c>
      <c r="E704">
        <v>0.54262379999999999</v>
      </c>
      <c r="F704" t="s">
        <v>38</v>
      </c>
      <c r="G704">
        <v>-294.74590000000001</v>
      </c>
      <c r="H704">
        <v>0.98879589999999995</v>
      </c>
      <c r="I704">
        <v>367.14640000000003</v>
      </c>
      <c r="J704">
        <v>-295.54500000000002</v>
      </c>
      <c r="K704">
        <v>1.053577</v>
      </c>
      <c r="L704">
        <v>367.2106</v>
      </c>
      <c r="M704">
        <v>0.9998513</v>
      </c>
      <c r="N704">
        <v>0</v>
      </c>
      <c r="O704">
        <v>-1.6747990000000001E-2</v>
      </c>
      <c r="P704">
        <v>0.99791919999999901</v>
      </c>
      <c r="Q704">
        <v>4.4706570000000001E-2</v>
      </c>
      <c r="R704">
        <v>4.6459350000000003E-2</v>
      </c>
      <c r="S704">
        <v>3.0246279999999999</v>
      </c>
      <c r="T704">
        <v>-0.1984224</v>
      </c>
      <c r="U704">
        <v>-0.2050476</v>
      </c>
      <c r="V704">
        <v>-6.3184809999999994E-2</v>
      </c>
      <c r="W704">
        <v>4.8765219999999998E-2</v>
      </c>
      <c r="X704">
        <v>0.99680970000000002</v>
      </c>
      <c r="Y704">
        <v>5.0845250000000002E-2</v>
      </c>
      <c r="Z704">
        <v>-5.6799960000000001E-4</v>
      </c>
      <c r="AA704">
        <v>0.99870639999999999</v>
      </c>
      <c r="AB704">
        <v>34</v>
      </c>
      <c r="AC704">
        <v>0.79910000000000903</v>
      </c>
      <c r="AD704">
        <v>-6.4781099999999897E-2</v>
      </c>
      <c r="AE704">
        <v>-6.41999999999711E-2</v>
      </c>
      <c r="AF704">
        <v>5.04779523643848E-2</v>
      </c>
      <c r="AG704">
        <v>-6.4781099999999897E-2</v>
      </c>
      <c r="AH704">
        <v>0.79487278435133701</v>
      </c>
      <c r="AI704">
        <v>94.649908773554998</v>
      </c>
      <c r="AJ704">
        <v>86.3663428915835</v>
      </c>
      <c r="AK704">
        <v>0.79910409703276997</v>
      </c>
    </row>
    <row r="705" spans="1:37" x14ac:dyDescent="0.2">
      <c r="A705" t="str">
        <f>"20200111153623229"</f>
        <v>20200111153623229</v>
      </c>
      <c r="B705" t="str">
        <f>"1578728183223888"</f>
        <v>1578728183223888</v>
      </c>
      <c r="C705" t="s">
        <v>37</v>
      </c>
      <c r="D705">
        <v>6.0698699999999999</v>
      </c>
      <c r="E705">
        <v>0.54276380000000002</v>
      </c>
      <c r="F705" t="s">
        <v>38</v>
      </c>
      <c r="G705">
        <v>-294.73840000000001</v>
      </c>
      <c r="H705">
        <v>1.0012110000000001</v>
      </c>
      <c r="I705">
        <v>367.15550000000002</v>
      </c>
      <c r="J705">
        <v>-295.31889999999999</v>
      </c>
      <c r="K705">
        <v>1.0535859999999999</v>
      </c>
      <c r="L705">
        <v>367.20679999999999</v>
      </c>
      <c r="M705">
        <v>0.9998534</v>
      </c>
      <c r="N705">
        <v>0</v>
      </c>
      <c r="O705">
        <v>-1.6615640000000001E-2</v>
      </c>
      <c r="P705">
        <v>0.99791030000000003</v>
      </c>
      <c r="Q705">
        <v>4.5004099999999998E-2</v>
      </c>
      <c r="R705">
        <v>4.63661E-2</v>
      </c>
      <c r="S705">
        <v>3.0246580000000001</v>
      </c>
      <c r="T705">
        <v>-0.19668229999999901</v>
      </c>
      <c r="U705">
        <v>-0.20553589999999999</v>
      </c>
      <c r="V705">
        <v>-6.2959840000000003E-2</v>
      </c>
      <c r="W705">
        <v>4.911716E-2</v>
      </c>
      <c r="X705">
        <v>0.99680669999999905</v>
      </c>
      <c r="Y705">
        <v>5.1137599999999998E-2</v>
      </c>
      <c r="Z705">
        <v>-5.8108859999999999E-4</v>
      </c>
      <c r="AA705">
        <v>0.99869140000000001</v>
      </c>
      <c r="AB705">
        <v>34</v>
      </c>
      <c r="AC705">
        <v>0.58049999999997204</v>
      </c>
      <c r="AD705">
        <v>-5.2374999999999998E-2</v>
      </c>
      <c r="AE705">
        <v>-5.1299999999969197E-2</v>
      </c>
      <c r="AF705">
        <v>4.1313753722940397E-2</v>
      </c>
      <c r="AG705">
        <v>-5.2374999999999998E-2</v>
      </c>
      <c r="AH705">
        <v>0.576614771859977</v>
      </c>
      <c r="AI705">
        <v>95.176842511594799</v>
      </c>
      <c r="AJ705">
        <v>85.901829571824095</v>
      </c>
      <c r="AK705">
        <v>0.58046064638252004</v>
      </c>
    </row>
    <row r="706" spans="1:37" x14ac:dyDescent="0.2">
      <c r="A706" t="str">
        <f>"20200111153623241"</f>
        <v>20200111153623241</v>
      </c>
      <c r="B706" t="str">
        <f>"1578728183233650"</f>
        <v>1578728183233650</v>
      </c>
      <c r="C706" t="s">
        <v>37</v>
      </c>
      <c r="D706">
        <v>6.0942739999999898</v>
      </c>
      <c r="E706">
        <v>0.54288970000000003</v>
      </c>
      <c r="F706" t="s">
        <v>38</v>
      </c>
      <c r="G706">
        <v>-294.43770000000001</v>
      </c>
      <c r="H706">
        <v>0.99725629999999998</v>
      </c>
      <c r="I706">
        <v>367.14659999999998</v>
      </c>
      <c r="J706">
        <v>-295.12990000000002</v>
      </c>
      <c r="K706">
        <v>1.0535889999999899</v>
      </c>
      <c r="L706">
        <v>367.2038</v>
      </c>
      <c r="M706">
        <v>0.99985499999999905</v>
      </c>
      <c r="N706">
        <v>0</v>
      </c>
      <c r="O706">
        <v>-1.6504979999999999E-2</v>
      </c>
      <c r="P706">
        <v>0.99789039999999996</v>
      </c>
      <c r="Q706">
        <v>4.5272720000000002E-2</v>
      </c>
      <c r="R706">
        <v>4.6533669999999999E-2</v>
      </c>
      <c r="S706">
        <v>3.0245669999999998</v>
      </c>
      <c r="T706">
        <v>-0.1935115</v>
      </c>
      <c r="U706">
        <v>-0.20666499999999999</v>
      </c>
      <c r="V706">
        <v>-6.3016849999999999E-2</v>
      </c>
      <c r="W706">
        <v>4.9432450000000003E-2</v>
      </c>
      <c r="X706">
        <v>0.99678750000000005</v>
      </c>
      <c r="Y706">
        <v>5.1622389999999997E-2</v>
      </c>
      <c r="Z706">
        <v>-5.9428729999999998E-4</v>
      </c>
      <c r="AA706">
        <v>0.99866650000000001</v>
      </c>
      <c r="AB706">
        <v>34</v>
      </c>
      <c r="AC706">
        <v>0.69220000000001303</v>
      </c>
      <c r="AD706">
        <v>-5.6332699999999902E-2</v>
      </c>
      <c r="AE706">
        <v>-5.7200000000023003E-2</v>
      </c>
      <c r="AF706">
        <v>4.5468264654937397E-2</v>
      </c>
      <c r="AG706">
        <v>-5.6332699999999902E-2</v>
      </c>
      <c r="AH706">
        <v>0.68852062461427799</v>
      </c>
      <c r="AI706">
        <v>94.667230568786394</v>
      </c>
      <c r="AJ706">
        <v>86.221808795253096</v>
      </c>
      <c r="AK706">
        <v>0.69231595872062401</v>
      </c>
    </row>
    <row r="707" spans="1:37" x14ac:dyDescent="0.2">
      <c r="A707" t="str">
        <f>"20200111153623253"</f>
        <v>20200111153623253</v>
      </c>
      <c r="B707" t="str">
        <f>"1578728183243409"</f>
        <v>1578728183243409</v>
      </c>
      <c r="C707" t="s">
        <v>37</v>
      </c>
      <c r="D707">
        <v>6.0788190000000002</v>
      </c>
      <c r="E707">
        <v>0.54288970000000003</v>
      </c>
      <c r="F707" t="s">
        <v>38</v>
      </c>
      <c r="G707">
        <v>-294.13589999999999</v>
      </c>
      <c r="H707">
        <v>0.99059619999999904</v>
      </c>
      <c r="I707">
        <v>367.13569999999999</v>
      </c>
      <c r="J707">
        <v>-294.94</v>
      </c>
      <c r="K707">
        <v>1.05359</v>
      </c>
      <c r="L707">
        <v>367.20069999999998</v>
      </c>
      <c r="M707">
        <v>0.99985669999999904</v>
      </c>
      <c r="N707">
        <v>0</v>
      </c>
      <c r="O707">
        <v>-1.6393720000000001E-2</v>
      </c>
      <c r="P707">
        <v>0.99787890000000001</v>
      </c>
      <c r="Q707">
        <v>4.5469349999999999E-2</v>
      </c>
      <c r="R707">
        <v>4.6587459999999997E-2</v>
      </c>
      <c r="S707">
        <v>3.0246580000000001</v>
      </c>
      <c r="T707">
        <v>-0.1916582</v>
      </c>
      <c r="U707">
        <v>-0.20709229999999901</v>
      </c>
      <c r="V707">
        <v>-6.2959989999999993E-2</v>
      </c>
      <c r="W707">
        <v>4.9679149999999998E-2</v>
      </c>
      <c r="X707">
        <v>0.99677879999999996</v>
      </c>
      <c r="Y707">
        <v>5.1872519999999998E-2</v>
      </c>
      <c r="Z707">
        <v>-6.0352569999999996E-4</v>
      </c>
      <c r="AA707">
        <v>0.99865349999999997</v>
      </c>
      <c r="AB707">
        <v>34</v>
      </c>
      <c r="AC707">
        <v>0.80410000000000503</v>
      </c>
      <c r="AD707">
        <v>-6.29938000000001E-2</v>
      </c>
      <c r="AE707">
        <v>-6.4999999999997699E-2</v>
      </c>
      <c r="AF707">
        <v>5.1494970004707097E-2</v>
      </c>
      <c r="AG707">
        <v>-6.29938000000001E-2</v>
      </c>
      <c r="AH707">
        <v>0.80017850666999801</v>
      </c>
      <c r="AI707">
        <v>94.492054260173305</v>
      </c>
      <c r="AJ707">
        <v>86.317844777672505</v>
      </c>
      <c r="AK707">
        <v>0.80430441582205303</v>
      </c>
    </row>
    <row r="708" spans="1:37" x14ac:dyDescent="0.2">
      <c r="A708" t="str">
        <f>"20200111153623265"</f>
        <v>20200111153623265</v>
      </c>
      <c r="B708" t="str">
        <f>"1578728183253168"</f>
        <v>1578728183253168</v>
      </c>
      <c r="C708" t="s">
        <v>37</v>
      </c>
      <c r="D708">
        <v>6.0624599999999997</v>
      </c>
      <c r="E708">
        <v>0.54295530000000003</v>
      </c>
      <c r="F708" t="s">
        <v>38</v>
      </c>
      <c r="G708">
        <v>-294.12830000000002</v>
      </c>
      <c r="H708">
        <v>1.0022679999999999</v>
      </c>
      <c r="I708">
        <v>367.14530000000002</v>
      </c>
      <c r="J708">
        <v>-294.76</v>
      </c>
      <c r="K708">
        <v>1.0535870000000001</v>
      </c>
      <c r="L708">
        <v>367.1979</v>
      </c>
      <c r="M708">
        <v>0.99985809999999997</v>
      </c>
      <c r="N708">
        <v>0</v>
      </c>
      <c r="O708">
        <v>-1.6287949999999999E-2</v>
      </c>
      <c r="P708">
        <v>0.99786489999999906</v>
      </c>
      <c r="Q708">
        <v>4.5654649999999998E-2</v>
      </c>
      <c r="R708">
        <v>4.67056E-2</v>
      </c>
      <c r="S708">
        <v>3.024689</v>
      </c>
      <c r="T708">
        <v>-0.19124140000000001</v>
      </c>
      <c r="U708">
        <v>-0.2067261</v>
      </c>
      <c r="V708">
        <v>-6.2972570000000005E-2</v>
      </c>
      <c r="W708">
        <v>4.9912039999999998E-2</v>
      </c>
      <c r="X708">
        <v>0.99676640000000005</v>
      </c>
      <c r="Y708">
        <v>5.1857260000000002E-2</v>
      </c>
      <c r="Z708">
        <v>-6.0840099999999995E-4</v>
      </c>
      <c r="AA708">
        <v>0.99865429999999999</v>
      </c>
      <c r="AB708">
        <v>34</v>
      </c>
      <c r="AC708">
        <v>0.63169999999996596</v>
      </c>
      <c r="AD708">
        <v>-5.1319000000000101E-2</v>
      </c>
      <c r="AE708">
        <v>-5.2599999999983903E-2</v>
      </c>
      <c r="AF708">
        <v>4.2028357746649501E-2</v>
      </c>
      <c r="AG708">
        <v>-5.1319000000000101E-2</v>
      </c>
      <c r="AH708">
        <v>0.62835445779190602</v>
      </c>
      <c r="AI708">
        <v>94.658737498675507</v>
      </c>
      <c r="AJ708">
        <v>86.173392158111398</v>
      </c>
      <c r="AK708">
        <v>0.63184598379893198</v>
      </c>
    </row>
    <row r="709" spans="1:37" x14ac:dyDescent="0.2">
      <c r="A709" t="str">
        <f>"20200111153623278"</f>
        <v>20200111153623278</v>
      </c>
      <c r="B709" t="str">
        <f>"1578728183273665"</f>
        <v>1578728183273665</v>
      </c>
      <c r="C709" t="s">
        <v>37</v>
      </c>
      <c r="D709">
        <v>6.0766029999999898</v>
      </c>
      <c r="E709">
        <v>0.54309019999999997</v>
      </c>
      <c r="F709" t="s">
        <v>38</v>
      </c>
      <c r="G709">
        <v>-293.82740000000001</v>
      </c>
      <c r="H709">
        <v>0.9951662</v>
      </c>
      <c r="I709">
        <v>367.13380000000001</v>
      </c>
      <c r="J709">
        <v>-294.56740000000002</v>
      </c>
      <c r="K709">
        <v>1.05359</v>
      </c>
      <c r="L709">
        <v>367.19490000000002</v>
      </c>
      <c r="M709">
        <v>0.99985979999999997</v>
      </c>
      <c r="N709">
        <v>0</v>
      </c>
      <c r="O709">
        <v>-1.6174440000000002E-2</v>
      </c>
      <c r="P709">
        <v>0.99788319999999997</v>
      </c>
      <c r="Q709">
        <v>4.5237670000000001E-2</v>
      </c>
      <c r="R709">
        <v>4.6719299999999998E-2</v>
      </c>
      <c r="S709">
        <v>3.0247799999999998</v>
      </c>
      <c r="T709">
        <v>-0.1898359</v>
      </c>
      <c r="U709">
        <v>-0.20690919999999999</v>
      </c>
      <c r="V709">
        <v>-6.2873440000000003E-2</v>
      </c>
      <c r="W709">
        <v>4.9545810000000003E-2</v>
      </c>
      <c r="X709">
        <v>0.99679089999999904</v>
      </c>
      <c r="Y709">
        <v>5.2029220000000001E-2</v>
      </c>
      <c r="Z709">
        <v>-6.1640999999999996E-4</v>
      </c>
      <c r="AA709">
        <v>0.99864540000000002</v>
      </c>
      <c r="AB709">
        <v>34</v>
      </c>
      <c r="AC709">
        <v>0.74000000000000898</v>
      </c>
      <c r="AD709">
        <v>-5.8423799999999998E-2</v>
      </c>
      <c r="AE709">
        <v>-6.1100000000010299E-2</v>
      </c>
      <c r="AF709">
        <v>4.8820557840591597E-2</v>
      </c>
      <c r="AG709">
        <v>-5.8423799999999998E-2</v>
      </c>
      <c r="AH709">
        <v>0.73633277780148998</v>
      </c>
      <c r="AI709">
        <v>94.526691401635404</v>
      </c>
      <c r="AJ709">
        <v>86.2067098792308</v>
      </c>
      <c r="AK709">
        <v>0.74025856762293896</v>
      </c>
    </row>
    <row r="710" spans="1:37" x14ac:dyDescent="0.2">
      <c r="A710" t="str">
        <f>"20200111153623290"</f>
        <v>20200111153623290</v>
      </c>
      <c r="B710" t="str">
        <f>"1578728183283425"</f>
        <v>1578728183283425</v>
      </c>
      <c r="C710" t="s">
        <v>37</v>
      </c>
      <c r="D710">
        <v>6.044225</v>
      </c>
      <c r="E710">
        <v>0.54312709999999997</v>
      </c>
      <c r="F710" t="s">
        <v>38</v>
      </c>
      <c r="G710">
        <v>-293.81790000000001</v>
      </c>
      <c r="H710">
        <v>1.0067489999999999</v>
      </c>
      <c r="I710">
        <v>367.14299999999997</v>
      </c>
      <c r="J710">
        <v>-294.37909999999999</v>
      </c>
      <c r="K710">
        <v>1.0535920000000001</v>
      </c>
      <c r="L710">
        <v>367.19189999999998</v>
      </c>
      <c r="M710">
        <v>0.99986149999999996</v>
      </c>
      <c r="N710">
        <v>0</v>
      </c>
      <c r="O710">
        <v>-1.6062710000000001E-2</v>
      </c>
      <c r="P710">
        <v>0.997861</v>
      </c>
      <c r="Q710">
        <v>4.5386309999999999E-2</v>
      </c>
      <c r="R710">
        <v>4.7050969999999998E-2</v>
      </c>
      <c r="S710">
        <v>3.0246580000000001</v>
      </c>
      <c r="T710">
        <v>-0.18952920000000001</v>
      </c>
      <c r="U710">
        <v>-0.20794679999999999</v>
      </c>
      <c r="V710">
        <v>-6.3093830000000004E-2</v>
      </c>
      <c r="W710">
        <v>4.974344E-2</v>
      </c>
      <c r="X710">
        <v>0.99676719999999897</v>
      </c>
      <c r="Y710">
        <v>5.2483639999999998E-2</v>
      </c>
      <c r="Z710">
        <v>-6.3662440000000005E-4</v>
      </c>
      <c r="AA710">
        <v>0.9986216</v>
      </c>
      <c r="AB710">
        <v>34</v>
      </c>
      <c r="AC710">
        <v>0.56119999999998504</v>
      </c>
      <c r="AD710">
        <v>-4.68430000000001E-2</v>
      </c>
      <c r="AE710">
        <v>-4.8899999999946403E-2</v>
      </c>
      <c r="AF710">
        <v>3.96053562321226E-2</v>
      </c>
      <c r="AG710">
        <v>-4.68430000000001E-2</v>
      </c>
      <c r="AH710">
        <v>0.55805432894650697</v>
      </c>
      <c r="AI710">
        <v>94.786169259054603</v>
      </c>
      <c r="AJ710">
        <v>85.940500336759499</v>
      </c>
      <c r="AK710">
        <v>0.56141560803669299</v>
      </c>
    </row>
    <row r="711" spans="1:37" x14ac:dyDescent="0.2">
      <c r="A711" t="str">
        <f>"20200111153623303"</f>
        <v>20200111153623303</v>
      </c>
      <c r="B711" t="str">
        <f>"1578728183293184"</f>
        <v>1578728183293184</v>
      </c>
      <c r="C711" t="s">
        <v>37</v>
      </c>
      <c r="D711">
        <v>6.0399620000000001</v>
      </c>
      <c r="E711">
        <v>0.54314810000000002</v>
      </c>
      <c r="F711" t="s">
        <v>38</v>
      </c>
      <c r="G711">
        <v>-293.51740000000001</v>
      </c>
      <c r="H711">
        <v>0.99964589999999998</v>
      </c>
      <c r="I711">
        <v>367.13260000000002</v>
      </c>
      <c r="J711">
        <v>-294.17910000000001</v>
      </c>
      <c r="K711">
        <v>1.053593</v>
      </c>
      <c r="L711">
        <v>367.18880000000001</v>
      </c>
      <c r="M711">
        <v>0.99986309999999901</v>
      </c>
      <c r="N711">
        <v>0</v>
      </c>
      <c r="O711">
        <v>-1.594288E-2</v>
      </c>
      <c r="P711">
        <v>0.99786719999999896</v>
      </c>
      <c r="Q711">
        <v>4.505406E-2</v>
      </c>
      <c r="R711">
        <v>4.7234430000000001E-2</v>
      </c>
      <c r="S711">
        <v>3.0248719999999998</v>
      </c>
      <c r="T711">
        <v>-0.18959960000000001</v>
      </c>
      <c r="U711">
        <v>-0.207428</v>
      </c>
      <c r="V711">
        <v>-6.3157450000000004E-2</v>
      </c>
      <c r="W711">
        <v>4.9461499999999999E-2</v>
      </c>
      <c r="X711">
        <v>0.99677719999999903</v>
      </c>
      <c r="Y711">
        <v>5.2427849999999998E-2</v>
      </c>
      <c r="Z711">
        <v>-6.4256589999999998E-4</v>
      </c>
      <c r="AA711">
        <v>0.99862450000000003</v>
      </c>
      <c r="AB711">
        <v>34</v>
      </c>
      <c r="AC711">
        <v>0.66169999999999596</v>
      </c>
      <c r="AD711">
        <v>-5.3947099999999901E-2</v>
      </c>
      <c r="AE711">
        <v>-5.61999999999898E-2</v>
      </c>
      <c r="AF711">
        <v>4.53441143419872E-2</v>
      </c>
      <c r="AG711">
        <v>-5.3947099999999901E-2</v>
      </c>
      <c r="AH711">
        <v>0.65816850135111604</v>
      </c>
      <c r="AI711">
        <v>94.674769621058999</v>
      </c>
      <c r="AJ711">
        <v>86.058870056674706</v>
      </c>
      <c r="AK711">
        <v>0.66193062663291502</v>
      </c>
    </row>
    <row r="712" spans="1:37" x14ac:dyDescent="0.2">
      <c r="A712" t="str">
        <f>"20200111153623318"</f>
        <v>20200111153623318</v>
      </c>
      <c r="B712" t="str">
        <f>"1578728183313681"</f>
        <v>1578728183313681</v>
      </c>
      <c r="C712" t="s">
        <v>37</v>
      </c>
      <c r="D712">
        <v>6.0873780000000002</v>
      </c>
      <c r="E712">
        <v>0.54317749999999998</v>
      </c>
      <c r="F712" t="s">
        <v>38</v>
      </c>
      <c r="G712">
        <v>-293.21319999999997</v>
      </c>
      <c r="H712">
        <v>0.99259779999999997</v>
      </c>
      <c r="I712">
        <v>367.1223</v>
      </c>
      <c r="J712">
        <v>-293.950999999999</v>
      </c>
      <c r="K712">
        <v>1.0535950000000001</v>
      </c>
      <c r="L712">
        <v>367.18520000000001</v>
      </c>
      <c r="M712">
        <v>0.999865</v>
      </c>
      <c r="N712">
        <v>0</v>
      </c>
      <c r="O712">
        <v>-1.5804450000000001E-2</v>
      </c>
      <c r="P712">
        <v>0.99784589999999995</v>
      </c>
      <c r="Q712">
        <v>4.4966909999999999E-2</v>
      </c>
      <c r="R712">
        <v>4.7764630000000002E-2</v>
      </c>
      <c r="S712">
        <v>3.0248719999999998</v>
      </c>
      <c r="T712">
        <v>-0.19134399999999999</v>
      </c>
      <c r="U712">
        <v>-0.20684810000000001</v>
      </c>
      <c r="V712">
        <v>-6.3549670000000003E-2</v>
      </c>
      <c r="W712">
        <v>4.9429599999999997E-2</v>
      </c>
      <c r="X712">
        <v>0.99675380000000002</v>
      </c>
      <c r="Y712">
        <v>5.2374089999999998E-2</v>
      </c>
      <c r="Z712">
        <v>-6.5550690000000002E-4</v>
      </c>
      <c r="AA712">
        <v>0.9986273</v>
      </c>
      <c r="AB712">
        <v>34</v>
      </c>
      <c r="AC712">
        <v>0.73779999999999202</v>
      </c>
      <c r="AD712">
        <v>-6.0997199999999897E-2</v>
      </c>
      <c r="AE712">
        <v>-6.2900000000013195E-2</v>
      </c>
      <c r="AF712">
        <v>5.08862020799941E-2</v>
      </c>
      <c r="AG712">
        <v>-6.0997199999999897E-2</v>
      </c>
      <c r="AH712">
        <v>0.733723101987938</v>
      </c>
      <c r="AI712">
        <v>94.740952763596894</v>
      </c>
      <c r="AJ712">
        <v>86.032694718142906</v>
      </c>
      <c r="AK712">
        <v>0.73801060585927003</v>
      </c>
    </row>
    <row r="713" spans="1:37" x14ac:dyDescent="0.2">
      <c r="A713" t="str">
        <f>"20200111153623331"</f>
        <v>20200111153623331</v>
      </c>
      <c r="B713" t="str">
        <f>"1578728183323441"</f>
        <v>1578728183323441</v>
      </c>
      <c r="C713" t="s">
        <v>37</v>
      </c>
      <c r="D713">
        <v>6.143904</v>
      </c>
      <c r="E713">
        <v>0.54319609999999996</v>
      </c>
      <c r="F713" t="s">
        <v>38</v>
      </c>
      <c r="G713">
        <v>-293.20310000000001</v>
      </c>
      <c r="H713">
        <v>1.005841</v>
      </c>
      <c r="I713">
        <v>367.13400000000001</v>
      </c>
      <c r="J713">
        <v>-293.76060000000001</v>
      </c>
      <c r="K713">
        <v>1.053598</v>
      </c>
      <c r="L713">
        <v>367.1823</v>
      </c>
      <c r="M713">
        <v>0.99986659999999905</v>
      </c>
      <c r="N713">
        <v>0</v>
      </c>
      <c r="O713">
        <v>-1.5686749999999999E-2</v>
      </c>
      <c r="P713">
        <v>0.99785499999999905</v>
      </c>
      <c r="Q713">
        <v>4.477888E-2</v>
      </c>
      <c r="R713">
        <v>4.7754400000000002E-2</v>
      </c>
      <c r="S713">
        <v>3.024994</v>
      </c>
      <c r="T713">
        <v>-0.19358449999999999</v>
      </c>
      <c r="U713">
        <v>-0.20553589999999999</v>
      </c>
      <c r="V713">
        <v>-6.342275E-2</v>
      </c>
      <c r="W713">
        <v>4.9285290000000002E-2</v>
      </c>
      <c r="X713">
        <v>0.99676900000000002</v>
      </c>
      <c r="Y713">
        <v>5.2056390000000001E-2</v>
      </c>
      <c r="Z713">
        <v>-6.6051899999999895E-4</v>
      </c>
      <c r="AA713">
        <v>0.99864390000000003</v>
      </c>
      <c r="AB713">
        <v>34</v>
      </c>
      <c r="AC713">
        <v>0.55750000000000399</v>
      </c>
      <c r="AD713">
        <v>-4.7757000000000001E-2</v>
      </c>
      <c r="AE713">
        <v>-4.8299999999983301E-2</v>
      </c>
      <c r="AF713">
        <v>3.9262635977272899E-2</v>
      </c>
      <c r="AG713">
        <v>-4.7757000000000001E-2</v>
      </c>
      <c r="AH713">
        <v>0.554152937781062</v>
      </c>
      <c r="AI713">
        <v>94.913334104240207</v>
      </c>
      <c r="AJ713">
        <v>85.9472733771089</v>
      </c>
      <c r="AK713">
        <v>0.55759103658888298</v>
      </c>
    </row>
    <row r="714" spans="1:37" x14ac:dyDescent="0.2">
      <c r="A714" t="str">
        <f>"20200111153623342"</f>
        <v>20200111153623342</v>
      </c>
      <c r="B714" t="str">
        <f>"1578728183333201"</f>
        <v>1578728183333201</v>
      </c>
      <c r="C714" t="s">
        <v>37</v>
      </c>
      <c r="D714">
        <v>6.1570269999999896</v>
      </c>
      <c r="E714">
        <v>0.54320599999999997</v>
      </c>
      <c r="F714" t="s">
        <v>38</v>
      </c>
      <c r="G714">
        <v>-292.90120000000002</v>
      </c>
      <c r="H714">
        <v>0.99805739999999998</v>
      </c>
      <c r="I714">
        <v>367.12400000000002</v>
      </c>
      <c r="J714">
        <v>-293.56619999999998</v>
      </c>
      <c r="K714">
        <v>1.053601</v>
      </c>
      <c r="L714">
        <v>367.17939999999999</v>
      </c>
      <c r="M714">
        <v>0.99986830000000004</v>
      </c>
      <c r="N714">
        <v>0</v>
      </c>
      <c r="O714">
        <v>-1.5565239999999999E-2</v>
      </c>
      <c r="P714">
        <v>0.99785469999999898</v>
      </c>
      <c r="Q714">
        <v>4.4705889999999998E-2</v>
      </c>
      <c r="R714">
        <v>4.7827990000000001E-2</v>
      </c>
      <c r="S714">
        <v>3.0250849999999998</v>
      </c>
      <c r="T714">
        <v>-0.19545760000000001</v>
      </c>
      <c r="U714">
        <v>-0.20556639999999901</v>
      </c>
      <c r="V714">
        <v>-6.3375319999999999E-2</v>
      </c>
      <c r="W714">
        <v>4.925624E-2</v>
      </c>
      <c r="X714">
        <v>0.99677349999999998</v>
      </c>
      <c r="Y714">
        <v>5.2183769999999997E-2</v>
      </c>
      <c r="Z714">
        <v>-6.7881419999999998E-4</v>
      </c>
      <c r="AA714">
        <v>0.99863729999999995</v>
      </c>
      <c r="AB714">
        <v>34</v>
      </c>
      <c r="AC714">
        <v>0.66499999999996295</v>
      </c>
      <c r="AD714">
        <v>-5.5543599999999901E-2</v>
      </c>
      <c r="AE714">
        <v>-5.5399999999963201E-2</v>
      </c>
      <c r="AF714">
        <v>4.4732379230875599E-2</v>
      </c>
      <c r="AG714">
        <v>-5.5543599999999901E-2</v>
      </c>
      <c r="AH714">
        <v>0.66120082159772497</v>
      </c>
      <c r="AI714">
        <v>94.790908108767397</v>
      </c>
      <c r="AJ714">
        <v>86.129652380355395</v>
      </c>
      <c r="AK714">
        <v>0.66503579131812196</v>
      </c>
    </row>
    <row r="715" spans="1:37" x14ac:dyDescent="0.2">
      <c r="A715" t="str">
        <f>"20200111153623363"</f>
        <v>20200111153623363</v>
      </c>
      <c r="B715" t="str">
        <f>"1578728183353699"</f>
        <v>1578728183353699</v>
      </c>
      <c r="C715" t="s">
        <v>37</v>
      </c>
      <c r="D715">
        <v>5.9719790000000001</v>
      </c>
      <c r="E715">
        <v>0.49832169999999998</v>
      </c>
      <c r="F715" t="s">
        <v>38</v>
      </c>
      <c r="G715">
        <v>-292.59460000000001</v>
      </c>
      <c r="H715">
        <v>0.99068400000000001</v>
      </c>
      <c r="I715">
        <v>367.11309999999997</v>
      </c>
      <c r="J715">
        <v>-293.25959999999998</v>
      </c>
      <c r="K715">
        <v>1.053609</v>
      </c>
      <c r="L715">
        <v>367.1748</v>
      </c>
      <c r="M715">
        <v>0.99987109999999901</v>
      </c>
      <c r="N715">
        <v>0</v>
      </c>
      <c r="O715">
        <v>-1.5368410000000001E-2</v>
      </c>
      <c r="P715">
        <v>0.99781749999999902</v>
      </c>
      <c r="Q715">
        <v>4.4955960000000003E-2</v>
      </c>
      <c r="R715">
        <v>4.837089E-2</v>
      </c>
      <c r="S715">
        <v>3.0251160000000001</v>
      </c>
      <c r="T715">
        <v>-0.1961908</v>
      </c>
      <c r="U715">
        <v>-0.20532229999999899</v>
      </c>
      <c r="V715">
        <v>-6.3722210000000001E-2</v>
      </c>
      <c r="W715">
        <v>4.957056E-2</v>
      </c>
      <c r="X715">
        <v>0.99673579999999995</v>
      </c>
      <c r="Y715">
        <v>5.2298219999999999E-2</v>
      </c>
      <c r="Z715">
        <v>-6.9778609999999997E-4</v>
      </c>
      <c r="AA715">
        <v>0.99863119999999905</v>
      </c>
      <c r="AB715">
        <v>35</v>
      </c>
      <c r="AC715">
        <v>0.66499999999996295</v>
      </c>
      <c r="AD715">
        <v>-6.2924999999999995E-2</v>
      </c>
      <c r="AE715">
        <v>-6.1700000000030203E-2</v>
      </c>
      <c r="AF715">
        <v>5.1019693259086098E-2</v>
      </c>
      <c r="AG715">
        <v>-6.2924999999999995E-2</v>
      </c>
      <c r="AH715">
        <v>0.66001059506960502</v>
      </c>
      <c r="AI715">
        <v>95.429980927082099</v>
      </c>
      <c r="AJ715">
        <v>85.5797507551233</v>
      </c>
      <c r="AK715">
        <v>0.66496357067841305</v>
      </c>
    </row>
    <row r="716" spans="1:37" x14ac:dyDescent="0.2">
      <c r="A716" t="str">
        <f>"20200111153623375"</f>
        <v>20200111153623375</v>
      </c>
      <c r="B716" t="str">
        <f>"1578728183363457"</f>
        <v>1578728183363457</v>
      </c>
      <c r="C716" t="s">
        <v>37</v>
      </c>
      <c r="D716">
        <v>5.8684609999999999</v>
      </c>
      <c r="E716">
        <v>0.49832169999999998</v>
      </c>
      <c r="F716" t="s">
        <v>39</v>
      </c>
      <c r="G716">
        <v>-268.8005</v>
      </c>
      <c r="H716" s="1">
        <v>-7.0919619999999905E-7</v>
      </c>
      <c r="I716">
        <v>368.43259999999998</v>
      </c>
      <c r="J716">
        <v>-293.065</v>
      </c>
      <c r="K716">
        <v>1.0536129999999999</v>
      </c>
      <c r="L716">
        <v>367.17189999999999</v>
      </c>
      <c r="M716">
        <v>0.99987300000000001</v>
      </c>
      <c r="N716">
        <v>0</v>
      </c>
      <c r="O716">
        <v>-1.5240439999999999E-2</v>
      </c>
      <c r="P716">
        <v>0.99781980000000003</v>
      </c>
      <c r="Q716">
        <v>4.4706360000000001E-2</v>
      </c>
      <c r="R716">
        <v>4.8554890000000003E-2</v>
      </c>
      <c r="S716">
        <v>3.0049440000000001</v>
      </c>
      <c r="T716">
        <v>-0.12944169999999999</v>
      </c>
      <c r="U716">
        <v>0.15454100000000001</v>
      </c>
      <c r="V716">
        <v>-6.3778970000000004E-2</v>
      </c>
      <c r="W716">
        <v>4.9359109999999998E-2</v>
      </c>
      <c r="X716">
        <v>0.99674269999999998</v>
      </c>
      <c r="Y716">
        <v>-6.6499959999999997E-2</v>
      </c>
      <c r="Z716">
        <v>2.0864920000000001E-3</v>
      </c>
      <c r="AA716">
        <v>0.99778429999999996</v>
      </c>
      <c r="AB716">
        <v>35</v>
      </c>
      <c r="AC716">
        <v>24.264500000000002</v>
      </c>
      <c r="AD716">
        <v>-1.0536137091961999</v>
      </c>
      <c r="AE716">
        <v>1.2606999999999799</v>
      </c>
      <c r="AF716">
        <v>-1.6272992802423301</v>
      </c>
      <c r="AG716">
        <v>-1.0536137091961999</v>
      </c>
      <c r="AH716">
        <v>24.196968089529001</v>
      </c>
      <c r="AI716">
        <v>92.4876550851194</v>
      </c>
      <c r="AJ716">
        <v>93.847473541597495</v>
      </c>
      <c r="AK716">
        <v>24.274502456721301</v>
      </c>
    </row>
    <row r="717" spans="1:37" x14ac:dyDescent="0.2">
      <c r="A717" t="str">
        <f>"20200111153623388"</f>
        <v>20200111153623388</v>
      </c>
      <c r="B717" t="str">
        <f>"1578728183383953"</f>
        <v>1578728183383953</v>
      </c>
      <c r="C717" t="s">
        <v>37</v>
      </c>
      <c r="D717">
        <v>5.9660789999999997</v>
      </c>
      <c r="E717">
        <v>0.44610519999999998</v>
      </c>
      <c r="F717" t="s">
        <v>39</v>
      </c>
      <c r="G717">
        <v>-268.74860000000001</v>
      </c>
      <c r="H717" s="1">
        <v>-7.3020389999999997E-7</v>
      </c>
      <c r="I717">
        <v>368.42669999999998</v>
      </c>
      <c r="J717">
        <v>-292.86169999999998</v>
      </c>
      <c r="K717">
        <v>1.0536179999999999</v>
      </c>
      <c r="L717">
        <v>367.16890000000001</v>
      </c>
      <c r="M717">
        <v>0.99987479999999995</v>
      </c>
      <c r="N717">
        <v>0</v>
      </c>
      <c r="O717">
        <v>-1.510353E-2</v>
      </c>
      <c r="P717">
        <v>0.99780049999999898</v>
      </c>
      <c r="Q717">
        <v>4.467314E-2</v>
      </c>
      <c r="R717">
        <v>4.8973650000000001E-2</v>
      </c>
      <c r="S717">
        <v>3.0048520000000001</v>
      </c>
      <c r="T717">
        <v>-0.1301977</v>
      </c>
      <c r="U717">
        <v>0.1550598</v>
      </c>
      <c r="V717">
        <v>-6.4060800000000001E-2</v>
      </c>
      <c r="W717">
        <v>4.9363869999999997E-2</v>
      </c>
      <c r="X717">
        <v>0.99672439999999995</v>
      </c>
      <c r="Y717">
        <v>-6.6535919999999998E-2</v>
      </c>
      <c r="Z717">
        <v>2.093574E-3</v>
      </c>
      <c r="AA717">
        <v>0.99778180000000005</v>
      </c>
      <c r="AB717">
        <v>35</v>
      </c>
      <c r="AC717">
        <v>24.1130999999999</v>
      </c>
      <c r="AD717">
        <v>-1.0536187302039</v>
      </c>
      <c r="AE717">
        <v>1.2577999999999701</v>
      </c>
      <c r="AF717">
        <v>-1.6187712714887099</v>
      </c>
      <c r="AG717">
        <v>-1.0536187302039</v>
      </c>
      <c r="AH717">
        <v>24.045567830003701</v>
      </c>
      <c r="AI717">
        <v>92.503298862291601</v>
      </c>
      <c r="AJ717">
        <v>93.8513969094017</v>
      </c>
      <c r="AK717">
        <v>24.123015257743901</v>
      </c>
    </row>
    <row r="718" spans="1:37" x14ac:dyDescent="0.2">
      <c r="A718" t="str">
        <f>"20200111153623408"</f>
        <v>20200111153623408</v>
      </c>
      <c r="B718" t="str">
        <f>"1578728183403473"</f>
        <v>1578728183403473</v>
      </c>
      <c r="C718" t="s">
        <v>37</v>
      </c>
      <c r="D718">
        <v>5.8968030000000002</v>
      </c>
      <c r="E718">
        <v>0.44697039999999999</v>
      </c>
      <c r="F718" t="s">
        <v>39</v>
      </c>
      <c r="G718">
        <v>-279.47179999999997</v>
      </c>
      <c r="H718" s="1">
        <v>-2.38250399999999E-7</v>
      </c>
      <c r="I718">
        <v>369.72640000000001</v>
      </c>
      <c r="J718">
        <v>-292.55829999999997</v>
      </c>
      <c r="K718">
        <v>1.0536319999999999</v>
      </c>
      <c r="L718">
        <v>367.16449999999998</v>
      </c>
      <c r="M718">
        <v>0.99987760000000003</v>
      </c>
      <c r="N718">
        <v>0</v>
      </c>
      <c r="O718">
        <v>-1.489356E-2</v>
      </c>
      <c r="P718">
        <v>0.99778599999999995</v>
      </c>
      <c r="Q718">
        <v>4.4432260000000001E-2</v>
      </c>
      <c r="R718">
        <v>4.9489110000000003E-2</v>
      </c>
      <c r="S718">
        <v>2.989166</v>
      </c>
      <c r="T718">
        <v>-0.235208</v>
      </c>
      <c r="U718">
        <v>0.57095340000000006</v>
      </c>
      <c r="V718">
        <v>-6.4367969999999997E-2</v>
      </c>
      <c r="W718">
        <v>4.9176709999999998E-2</v>
      </c>
      <c r="X718">
        <v>0.99671379999999998</v>
      </c>
      <c r="Y718">
        <v>-0.20157820000000001</v>
      </c>
      <c r="Z718">
        <v>9.0079900000000004E-3</v>
      </c>
      <c r="AA718">
        <v>0.97943099999999905</v>
      </c>
      <c r="AB718">
        <v>35</v>
      </c>
      <c r="AC718">
        <v>13.086499999999999</v>
      </c>
      <c r="AD718">
        <v>-1.0536322382504</v>
      </c>
      <c r="AE718">
        <v>2.5619000000000298</v>
      </c>
      <c r="AF718">
        <v>-2.7394202684826801</v>
      </c>
      <c r="AG718">
        <v>-1.0536322382504</v>
      </c>
      <c r="AH718">
        <v>12.965944970619001</v>
      </c>
      <c r="AI718">
        <v>94.545816583104695</v>
      </c>
      <c r="AJ718">
        <v>101.929897981075</v>
      </c>
      <c r="AK718">
        <v>13.2939946322381</v>
      </c>
    </row>
    <row r="719" spans="1:37" x14ac:dyDescent="0.2">
      <c r="A719" t="str">
        <f>"20200111153623420"</f>
        <v>20200111153623420</v>
      </c>
      <c r="B719" t="str">
        <f>"1578728183413232"</f>
        <v>1578728183413232</v>
      </c>
      <c r="C719" t="s">
        <v>37</v>
      </c>
      <c r="D719">
        <v>5.8162000000000003</v>
      </c>
      <c r="E719">
        <v>0.4478376</v>
      </c>
      <c r="F719" t="s">
        <v>39</v>
      </c>
      <c r="G719">
        <v>-279.22340000000003</v>
      </c>
      <c r="H719" s="1">
        <v>-3.3477890000000002E-7</v>
      </c>
      <c r="I719">
        <v>369.68869999999998</v>
      </c>
      <c r="J719">
        <v>-292.37200000000001</v>
      </c>
      <c r="K719">
        <v>1.0536350000000001</v>
      </c>
      <c r="L719">
        <v>367.16180000000003</v>
      </c>
      <c r="M719">
        <v>0.99987950000000003</v>
      </c>
      <c r="N719">
        <v>0</v>
      </c>
      <c r="O719">
        <v>-1.4761399999999999E-2</v>
      </c>
      <c r="P719">
        <v>0.99777099999999996</v>
      </c>
      <c r="Q719">
        <v>4.4673249999999998E-2</v>
      </c>
      <c r="R719">
        <v>4.9572390000000001E-2</v>
      </c>
      <c r="S719">
        <v>2.9891049999999999</v>
      </c>
      <c r="T719">
        <v>-0.23617669999999999</v>
      </c>
      <c r="U719">
        <v>0.56582639999999995</v>
      </c>
      <c r="V719">
        <v>-6.4320520000000006E-2</v>
      </c>
      <c r="W719">
        <v>4.9449119999999999E-2</v>
      </c>
      <c r="X719">
        <v>0.99670340000000002</v>
      </c>
      <c r="Y719">
        <v>-0.1998308</v>
      </c>
      <c r="Z719">
        <v>8.9679259999999993E-3</v>
      </c>
      <c r="AA719">
        <v>0.97978940000000003</v>
      </c>
      <c r="AB719">
        <v>35</v>
      </c>
      <c r="AC719">
        <v>13.148599999999901</v>
      </c>
      <c r="AD719">
        <v>-1.0536353347789</v>
      </c>
      <c r="AE719">
        <v>2.5268999999999502</v>
      </c>
      <c r="AF719">
        <v>-2.7039741130144601</v>
      </c>
      <c r="AG719">
        <v>-1.0536353347789</v>
      </c>
      <c r="AH719">
        <v>13.029182236145701</v>
      </c>
      <c r="AI719">
        <v>94.527245142947393</v>
      </c>
      <c r="AJ719">
        <v>101.72428660383601</v>
      </c>
      <c r="AK719">
        <v>13.3484535870355</v>
      </c>
    </row>
    <row r="720" spans="1:37" x14ac:dyDescent="0.2">
      <c r="A720" t="str">
        <f>"20200111153623432"</f>
        <v>20200111153623432</v>
      </c>
      <c r="B720" t="str">
        <f>"1578728183422993"</f>
        <v>1578728183422993</v>
      </c>
      <c r="C720" t="s">
        <v>37</v>
      </c>
      <c r="D720">
        <v>5.8994439999999999</v>
      </c>
      <c r="E720">
        <v>0.4500517</v>
      </c>
      <c r="F720" t="s">
        <v>39</v>
      </c>
      <c r="G720">
        <v>-279.18740000000003</v>
      </c>
      <c r="H720" s="1">
        <v>-3.3398379999999899E-7</v>
      </c>
      <c r="I720">
        <v>369.62779999999998</v>
      </c>
      <c r="J720">
        <v>-292.16390000000001</v>
      </c>
      <c r="K720">
        <v>1.0536449999999999</v>
      </c>
      <c r="L720">
        <v>367.15890000000002</v>
      </c>
      <c r="M720">
        <v>0.99988149999999998</v>
      </c>
      <c r="N720">
        <v>0</v>
      </c>
      <c r="O720">
        <v>-1.4607190000000001E-2</v>
      </c>
      <c r="P720">
        <v>0.99775639999999999</v>
      </c>
      <c r="Q720">
        <v>4.46381E-2</v>
      </c>
      <c r="R720">
        <v>4.9898579999999998E-2</v>
      </c>
      <c r="S720">
        <v>2.9896240000000001</v>
      </c>
      <c r="T720">
        <v>-0.23891219999999999</v>
      </c>
      <c r="U720">
        <v>0.55917359999999905</v>
      </c>
      <c r="V720">
        <v>-6.4493049999999996E-2</v>
      </c>
      <c r="W720">
        <v>4.9448649999999997E-2</v>
      </c>
      <c r="X720">
        <v>0.99669219999999903</v>
      </c>
      <c r="Y720">
        <v>-0.19753470000000001</v>
      </c>
      <c r="Z720">
        <v>8.9687510000000005E-3</v>
      </c>
      <c r="AA720">
        <v>0.98025490000000004</v>
      </c>
      <c r="AB720">
        <v>35</v>
      </c>
      <c r="AC720">
        <v>12.9764999999999</v>
      </c>
      <c r="AD720">
        <v>-1.0536453339837999</v>
      </c>
      <c r="AE720">
        <v>2.4688999999999601</v>
      </c>
      <c r="AF720">
        <v>-2.6413831100266698</v>
      </c>
      <c r="AG720">
        <v>-1.0536453339837999</v>
      </c>
      <c r="AH720">
        <v>12.8572465902833</v>
      </c>
      <c r="AI720">
        <v>94.589466831869203</v>
      </c>
      <c r="AJ720">
        <v>101.609276369985</v>
      </c>
      <c r="AK720">
        <v>13.167986296587401</v>
      </c>
    </row>
    <row r="721" spans="1:37" x14ac:dyDescent="0.2">
      <c r="A721" t="str">
        <f>"20200111153623445"</f>
        <v>20200111153623445</v>
      </c>
      <c r="B721" t="str">
        <f>"1578728183433729"</f>
        <v>1578728183433729</v>
      </c>
      <c r="C721" t="s">
        <v>37</v>
      </c>
      <c r="D721">
        <v>5.7470999999999997</v>
      </c>
      <c r="E721">
        <v>0.45066319999999999</v>
      </c>
      <c r="F721" t="s">
        <v>39</v>
      </c>
      <c r="G721">
        <v>-278.61939999999998</v>
      </c>
      <c r="H721" s="1">
        <v>-5.7504560000000003E-7</v>
      </c>
      <c r="I721">
        <v>369.61799999999999</v>
      </c>
      <c r="J721">
        <v>-291.97629999999998</v>
      </c>
      <c r="K721">
        <v>1.053653</v>
      </c>
      <c r="L721">
        <v>367.15629999999999</v>
      </c>
      <c r="M721">
        <v>0.99988349999999904</v>
      </c>
      <c r="N721">
        <v>0</v>
      </c>
      <c r="O721">
        <v>-1.446561E-2</v>
      </c>
      <c r="P721">
        <v>0.99777169999999904</v>
      </c>
      <c r="Q721">
        <v>4.4284360000000002E-2</v>
      </c>
      <c r="R721">
        <v>4.9910120000000002E-2</v>
      </c>
      <c r="S721">
        <v>2.990021</v>
      </c>
      <c r="T721">
        <v>-0.23259659999999999</v>
      </c>
      <c r="U721">
        <v>0.54287719999999995</v>
      </c>
      <c r="V721">
        <v>-6.4364309999999994E-2</v>
      </c>
      <c r="W721">
        <v>4.9127650000000002E-2</v>
      </c>
      <c r="X721">
        <v>0.99671639999999995</v>
      </c>
      <c r="Y721">
        <v>-0.192251799999999</v>
      </c>
      <c r="Z721">
        <v>8.5210530000000007E-3</v>
      </c>
      <c r="AA721">
        <v>0.98130859999999998</v>
      </c>
      <c r="AB721">
        <v>35</v>
      </c>
      <c r="AC721">
        <v>13.3568999999999</v>
      </c>
      <c r="AD721">
        <v>-1.0536535750456</v>
      </c>
      <c r="AE721">
        <v>2.46170000000006</v>
      </c>
      <c r="AF721">
        <v>-2.6387793157168802</v>
      </c>
      <c r="AG721">
        <v>-1.0536535750456</v>
      </c>
      <c r="AH721">
        <v>13.240207752692699</v>
      </c>
      <c r="AI721">
        <v>94.462599307499801</v>
      </c>
      <c r="AJ721">
        <v>101.271387421252</v>
      </c>
      <c r="AK721">
        <v>13.541655861368101</v>
      </c>
    </row>
    <row r="722" spans="1:37" x14ac:dyDescent="0.2">
      <c r="A722" t="str">
        <f>"20200111153623463"</f>
        <v>20200111153623463</v>
      </c>
      <c r="B722" t="str">
        <f>"1578728183453249"</f>
        <v>1578728183453249</v>
      </c>
      <c r="C722" t="s">
        <v>37</v>
      </c>
      <c r="D722">
        <v>5.8050389999999998</v>
      </c>
      <c r="E722">
        <v>0.45156229999999897</v>
      </c>
      <c r="F722" t="s">
        <v>39</v>
      </c>
      <c r="G722">
        <v>-278.4597</v>
      </c>
      <c r="H722" s="1">
        <v>-6.4818510000000005E-7</v>
      </c>
      <c r="I722">
        <v>369.58780000000002</v>
      </c>
      <c r="J722">
        <v>-291.6857</v>
      </c>
      <c r="K722">
        <v>1.053661</v>
      </c>
      <c r="L722">
        <v>367.15230000000003</v>
      </c>
      <c r="M722">
        <v>0.99988650000000001</v>
      </c>
      <c r="N722">
        <v>0</v>
      </c>
      <c r="O722">
        <v>-1.423978E-2</v>
      </c>
      <c r="P722">
        <v>0.99776390000000004</v>
      </c>
      <c r="Q722">
        <v>4.4247250000000002E-2</v>
      </c>
      <c r="R722">
        <v>5.0100099999999897E-2</v>
      </c>
      <c r="S722">
        <v>2.9901119999999999</v>
      </c>
      <c r="T722">
        <v>-0.23308499999999999</v>
      </c>
      <c r="U722">
        <v>0.53790280000000001</v>
      </c>
      <c r="V722">
        <v>-6.4330499999999999E-2</v>
      </c>
      <c r="W722">
        <v>4.9147650000000001E-2</v>
      </c>
      <c r="X722">
        <v>0.99671759999999998</v>
      </c>
      <c r="Y722">
        <v>-0.19044700000000001</v>
      </c>
      <c r="Z722">
        <v>8.452747E-3</v>
      </c>
      <c r="AA722">
        <v>0.98166109999999895</v>
      </c>
      <c r="AB722">
        <v>35</v>
      </c>
      <c r="AC722">
        <v>13.2259999999999</v>
      </c>
      <c r="AD722">
        <v>-1.0536616481851</v>
      </c>
      <c r="AE722">
        <v>2.43549999999999</v>
      </c>
      <c r="AF722">
        <v>-2.6075839911810399</v>
      </c>
      <c r="AG722">
        <v>-1.0536616481851</v>
      </c>
      <c r="AH722">
        <v>13.1095047636893</v>
      </c>
      <c r="AI722">
        <v>94.507281266952603</v>
      </c>
      <c r="AJ722">
        <v>101.249753479563</v>
      </c>
      <c r="AK722">
        <v>13.4077892394351</v>
      </c>
    </row>
    <row r="723" spans="1:37" x14ac:dyDescent="0.2">
      <c r="A723" t="str">
        <f>"20200111153623475"</f>
        <v>20200111153623475</v>
      </c>
      <c r="B723" t="str">
        <f>"1578728183463010"</f>
        <v>1578728183463010</v>
      </c>
      <c r="C723" t="s">
        <v>37</v>
      </c>
      <c r="D723">
        <v>6.0218980000000002</v>
      </c>
      <c r="E723">
        <v>0.452513</v>
      </c>
      <c r="F723" t="s">
        <v>39</v>
      </c>
      <c r="G723">
        <v>-278.3793</v>
      </c>
      <c r="H723" s="1">
        <v>-6.9520910000000001E-7</v>
      </c>
      <c r="I723">
        <v>369.517</v>
      </c>
      <c r="J723">
        <v>-291.48930000000001</v>
      </c>
      <c r="K723">
        <v>1.0536729999999901</v>
      </c>
      <c r="L723">
        <v>367.14960000000002</v>
      </c>
      <c r="M723">
        <v>0.99988840000000001</v>
      </c>
      <c r="N723">
        <v>0</v>
      </c>
      <c r="O723">
        <v>-1.4082610000000001E-2</v>
      </c>
      <c r="P723">
        <v>0.997776199999999</v>
      </c>
      <c r="Q723">
        <v>4.4011269999999998E-2</v>
      </c>
      <c r="R723">
        <v>5.0060050000000002E-2</v>
      </c>
      <c r="S723">
        <v>2.9905089999999999</v>
      </c>
      <c r="T723">
        <v>-0.2368016</v>
      </c>
      <c r="U723">
        <v>0.53146359999999904</v>
      </c>
      <c r="V723">
        <v>-6.4133860000000001E-2</v>
      </c>
      <c r="W723">
        <v>4.8956670000000001E-2</v>
      </c>
      <c r="X723">
        <v>0.99673969999999901</v>
      </c>
      <c r="Y723">
        <v>-0.18820909999999999</v>
      </c>
      <c r="Z723">
        <v>8.4874909999999998E-3</v>
      </c>
      <c r="AA723">
        <v>0.98209230000000003</v>
      </c>
      <c r="AB723">
        <v>35</v>
      </c>
      <c r="AC723">
        <v>13.11</v>
      </c>
      <c r="AD723">
        <v>-1.0536736952090999</v>
      </c>
      <c r="AE723">
        <v>2.3673999999999702</v>
      </c>
      <c r="AF723">
        <v>-2.5359267275771802</v>
      </c>
      <c r="AG723">
        <v>-1.0536736952090999</v>
      </c>
      <c r="AH723">
        <v>12.994074225243599</v>
      </c>
      <c r="AI723">
        <v>94.550425290677396</v>
      </c>
      <c r="AJ723">
        <v>101.043053844285</v>
      </c>
      <c r="AK723">
        <v>13.2810811907298</v>
      </c>
    </row>
    <row r="724" spans="1:37" x14ac:dyDescent="0.2">
      <c r="A724" t="str">
        <f>"20200111153623489"</f>
        <v>20200111153623489</v>
      </c>
      <c r="B724" t="str">
        <f>"1578728183483505"</f>
        <v>1578728183483505</v>
      </c>
      <c r="C724" t="s">
        <v>37</v>
      </c>
      <c r="D724">
        <v>5.9653919999999996</v>
      </c>
      <c r="E724">
        <v>0.45406009999999902</v>
      </c>
      <c r="F724" t="s">
        <v>39</v>
      </c>
      <c r="G724">
        <v>-277.96949999999998</v>
      </c>
      <c r="H724" s="1">
        <v>-8.7088019999999996E-7</v>
      </c>
      <c r="I724">
        <v>369.51769999999999</v>
      </c>
      <c r="J724">
        <v>-291.27929999999998</v>
      </c>
      <c r="K724">
        <v>1.053685</v>
      </c>
      <c r="L724">
        <v>367.14679999999998</v>
      </c>
      <c r="M724">
        <v>0.99989050000000002</v>
      </c>
      <c r="N724">
        <v>0</v>
      </c>
      <c r="O724">
        <v>-1.3910799999999999E-2</v>
      </c>
      <c r="P724">
        <v>0.99774069999999904</v>
      </c>
      <c r="Q724">
        <v>4.4290690000000001E-2</v>
      </c>
      <c r="R724">
        <v>5.0516409999999998E-2</v>
      </c>
      <c r="S724">
        <v>2.990723</v>
      </c>
      <c r="T724">
        <v>-0.23308299999999901</v>
      </c>
      <c r="U724">
        <v>0.52386469999999996</v>
      </c>
      <c r="V724">
        <v>-6.4419400000000002E-2</v>
      </c>
      <c r="W724">
        <v>4.9291010000000003E-2</v>
      </c>
      <c r="X724">
        <v>0.99670479999999995</v>
      </c>
      <c r="Y724">
        <v>-0.18563460000000001</v>
      </c>
      <c r="Z724">
        <v>8.2431420000000002E-3</v>
      </c>
      <c r="AA724">
        <v>0.98258429999999997</v>
      </c>
      <c r="AB724">
        <v>35</v>
      </c>
      <c r="AC724">
        <v>13.3097999999999</v>
      </c>
      <c r="AD724">
        <v>-1.0536858708801999</v>
      </c>
      <c r="AE724">
        <v>2.3708999999999998</v>
      </c>
      <c r="AF724">
        <v>-2.5403912243021498</v>
      </c>
      <c r="AG724">
        <v>-1.0536858708801999</v>
      </c>
      <c r="AH724">
        <v>13.195374857410799</v>
      </c>
      <c r="AI724">
        <v>94.483544121475902</v>
      </c>
      <c r="AJ724">
        <v>100.897331034115</v>
      </c>
      <c r="AK724">
        <v>13.4789376107537</v>
      </c>
    </row>
    <row r="725" spans="1:37" x14ac:dyDescent="0.2">
      <c r="A725" t="str">
        <f>"20200111153623502"</f>
        <v>20200111153623502</v>
      </c>
      <c r="B725" t="str">
        <f>"1578728183493266"</f>
        <v>1578728183493266</v>
      </c>
      <c r="C725" t="s">
        <v>37</v>
      </c>
      <c r="D725">
        <v>5.831817</v>
      </c>
      <c r="E725">
        <v>0.45474910000000002</v>
      </c>
      <c r="F725" t="s">
        <v>39</v>
      </c>
      <c r="G725">
        <v>-277.23360000000002</v>
      </c>
      <c r="H725" s="1">
        <v>-1.180287E-6</v>
      </c>
      <c r="I725">
        <v>369.5532</v>
      </c>
      <c r="J725">
        <v>-291.06479999999999</v>
      </c>
      <c r="K725">
        <v>1.053695</v>
      </c>
      <c r="L725">
        <v>367.14400000000001</v>
      </c>
      <c r="M725">
        <v>0.99989269999999997</v>
      </c>
      <c r="N725">
        <v>0</v>
      </c>
      <c r="O725">
        <v>-1.373305E-2</v>
      </c>
      <c r="P725">
        <v>0.99775139999999995</v>
      </c>
      <c r="Q725">
        <v>4.3853160000000002E-2</v>
      </c>
      <c r="R725">
        <v>5.0688249999999997E-2</v>
      </c>
      <c r="S725">
        <v>2.9908139999999999</v>
      </c>
      <c r="T725">
        <v>-0.2243646</v>
      </c>
      <c r="U725">
        <v>0.51242069999999995</v>
      </c>
      <c r="V725">
        <v>-6.4414879999999994E-2</v>
      </c>
      <c r="W725">
        <v>4.8918570000000001E-2</v>
      </c>
      <c r="X725">
        <v>0.99672349999999998</v>
      </c>
      <c r="Y725">
        <v>-0.18185670000000001</v>
      </c>
      <c r="Z725">
        <v>7.7842759999999997E-3</v>
      </c>
      <c r="AA725">
        <v>0.98329419999999901</v>
      </c>
      <c r="AB725">
        <v>35</v>
      </c>
      <c r="AC725">
        <v>13.8311999999999</v>
      </c>
      <c r="AD725">
        <v>-1.053696180287</v>
      </c>
      <c r="AE725">
        <v>2.40919999999999</v>
      </c>
      <c r="AF725">
        <v>-2.5843624353783001</v>
      </c>
      <c r="AG725">
        <v>-1.053696180287</v>
      </c>
      <c r="AH725">
        <v>13.7195291395412</v>
      </c>
      <c r="AI725">
        <v>94.316230010898906</v>
      </c>
      <c r="AJ725">
        <v>100.667861490894</v>
      </c>
      <c r="AK725">
        <v>14.0005244419081</v>
      </c>
    </row>
    <row r="726" spans="1:37" x14ac:dyDescent="0.2">
      <c r="A726" t="str">
        <f>"20200111153623514"</f>
        <v>20200111153623514</v>
      </c>
      <c r="B726" t="str">
        <f>"1578728183503025"</f>
        <v>1578728183503025</v>
      </c>
      <c r="C726" t="s">
        <v>37</v>
      </c>
      <c r="D726">
        <v>5.7570629999999996</v>
      </c>
      <c r="E726">
        <v>0.4552968</v>
      </c>
      <c r="F726" t="s">
        <v>39</v>
      </c>
      <c r="G726">
        <v>-276.96710000000002</v>
      </c>
      <c r="H726" s="1">
        <v>-1.297544E-6</v>
      </c>
      <c r="I726">
        <v>369.5367</v>
      </c>
      <c r="J726">
        <v>-290.8603</v>
      </c>
      <c r="K726">
        <v>1.0537110000000001</v>
      </c>
      <c r="L726">
        <v>367.1413</v>
      </c>
      <c r="M726">
        <v>0.99989470000000003</v>
      </c>
      <c r="N726">
        <v>0</v>
      </c>
      <c r="O726">
        <v>-1.3560350000000001E-2</v>
      </c>
      <c r="P726">
        <v>0.9977258</v>
      </c>
      <c r="Q726">
        <v>4.3986730000000002E-2</v>
      </c>
      <c r="R726">
        <v>5.1076209999999997E-2</v>
      </c>
      <c r="S726">
        <v>2.9907840000000001</v>
      </c>
      <c r="T726">
        <v>-0.2235366</v>
      </c>
      <c r="U726">
        <v>0.50762940000000001</v>
      </c>
      <c r="V726">
        <v>-6.4631399999999894E-2</v>
      </c>
      <c r="W726">
        <v>4.9130989999999999E-2</v>
      </c>
      <c r="X726">
        <v>0.996699</v>
      </c>
      <c r="Y726">
        <v>-0.1801664</v>
      </c>
      <c r="Z726">
        <v>7.681294E-3</v>
      </c>
      <c r="AA726">
        <v>0.98360619999999999</v>
      </c>
      <c r="AB726">
        <v>35</v>
      </c>
      <c r="AC726">
        <v>13.893199999999901</v>
      </c>
      <c r="AD726">
        <v>-1.0537122975440001</v>
      </c>
      <c r="AE726">
        <v>2.3953999999999902</v>
      </c>
      <c r="AF726">
        <v>-2.5692266727996902</v>
      </c>
      <c r="AG726">
        <v>-1.0537122975440001</v>
      </c>
      <c r="AH726">
        <v>13.782447973245</v>
      </c>
      <c r="AI726">
        <v>94.298182923565307</v>
      </c>
      <c r="AJ726">
        <v>100.559474905838</v>
      </c>
      <c r="AK726">
        <v>14.0594134812739</v>
      </c>
    </row>
    <row r="727" spans="1:37" x14ac:dyDescent="0.2">
      <c r="A727" t="str">
        <f>"20200111153623531"</f>
        <v>20200111153623531</v>
      </c>
      <c r="B727" t="str">
        <f>"1578728183523521"</f>
        <v>1578728183523521</v>
      </c>
      <c r="C727" t="s">
        <v>37</v>
      </c>
      <c r="D727">
        <v>5.7555839999999998</v>
      </c>
      <c r="E727">
        <v>0.45619880000000002</v>
      </c>
      <c r="F727" t="s">
        <v>39</v>
      </c>
      <c r="G727">
        <v>-276.60289999999998</v>
      </c>
      <c r="H727" s="1">
        <v>-1.4521700000000001E-6</v>
      </c>
      <c r="I727">
        <v>369.54590000000002</v>
      </c>
      <c r="J727">
        <v>-290.60559999999998</v>
      </c>
      <c r="K727">
        <v>1.0537339999999999</v>
      </c>
      <c r="L727">
        <v>367.13799999999998</v>
      </c>
      <c r="M727">
        <v>0.99989689999999998</v>
      </c>
      <c r="N727">
        <v>0</v>
      </c>
      <c r="O727">
        <v>-1.334279E-2</v>
      </c>
      <c r="P727">
        <v>0.99772329999999998</v>
      </c>
      <c r="Q727">
        <v>4.334677E-2</v>
      </c>
      <c r="R727">
        <v>5.166664E-2</v>
      </c>
      <c r="S727">
        <v>2.99075299999999</v>
      </c>
      <c r="T727">
        <v>-0.22103349999999999</v>
      </c>
      <c r="U727">
        <v>0.50442500000000001</v>
      </c>
      <c r="V727">
        <v>-6.5005179999999996E-2</v>
      </c>
      <c r="W727">
        <v>4.8610430000000003E-2</v>
      </c>
      <c r="X727">
        <v>0.99670020000000004</v>
      </c>
      <c r="Y727">
        <v>-0.17894470000000001</v>
      </c>
      <c r="Z727">
        <v>7.5355369999999897E-3</v>
      </c>
      <c r="AA727">
        <v>0.98383029999999905</v>
      </c>
      <c r="AB727">
        <v>35</v>
      </c>
      <c r="AC727">
        <v>14.002700000000001</v>
      </c>
      <c r="AD727">
        <v>-1.05373545217</v>
      </c>
      <c r="AE727">
        <v>2.4078999999999802</v>
      </c>
      <c r="AF727">
        <v>-2.5803308557323499</v>
      </c>
      <c r="AG727">
        <v>-1.05373545217</v>
      </c>
      <c r="AH727">
        <v>13.892910203377699</v>
      </c>
      <c r="AI727">
        <v>94.264749885550202</v>
      </c>
      <c r="AJ727">
        <v>100.521657221672</v>
      </c>
      <c r="AK727">
        <v>14.1697360472001</v>
      </c>
    </row>
    <row r="728" spans="1:37" x14ac:dyDescent="0.2">
      <c r="A728" t="str">
        <f>"20200111153623546"</f>
        <v>20200111153623546</v>
      </c>
      <c r="B728" t="str">
        <f>"1578728183543040"</f>
        <v>1578728183543040</v>
      </c>
      <c r="C728" t="s">
        <v>37</v>
      </c>
      <c r="D728">
        <v>5.8675239999999897</v>
      </c>
      <c r="E728">
        <v>0.45653159999999998</v>
      </c>
      <c r="F728" t="s">
        <v>39</v>
      </c>
      <c r="G728">
        <v>-276.2097</v>
      </c>
      <c r="H728" s="1">
        <v>-1.6217519999999901E-6</v>
      </c>
      <c r="I728">
        <v>369.54059999999998</v>
      </c>
      <c r="J728">
        <v>-290.36529999999999</v>
      </c>
      <c r="K728">
        <v>1.0537609999999999</v>
      </c>
      <c r="L728">
        <v>367.13490000000002</v>
      </c>
      <c r="M728">
        <v>0.99989889999999904</v>
      </c>
      <c r="N728">
        <v>0</v>
      </c>
      <c r="O728">
        <v>-1.3135539999999999E-2</v>
      </c>
      <c r="P728">
        <v>0.99770249999999905</v>
      </c>
      <c r="Q728">
        <v>4.3237289999999998E-2</v>
      </c>
      <c r="R728">
        <v>5.2157370000000002E-2</v>
      </c>
      <c r="S728">
        <v>2.9905089999999999</v>
      </c>
      <c r="T728">
        <v>-0.2188957</v>
      </c>
      <c r="U728">
        <v>0.49911499999999998</v>
      </c>
      <c r="V728">
        <v>-6.5289780000000006E-2</v>
      </c>
      <c r="W728">
        <v>4.8635190000000002E-2</v>
      </c>
      <c r="X728">
        <v>0.99668040000000002</v>
      </c>
      <c r="Y728">
        <v>-0.17706959999999999</v>
      </c>
      <c r="Z728">
        <v>7.3814090000000002E-3</v>
      </c>
      <c r="AA728">
        <v>0.98417069999999995</v>
      </c>
      <c r="AB728">
        <v>36</v>
      </c>
      <c r="AC728">
        <v>14.1555999999999</v>
      </c>
      <c r="AD728">
        <v>-1.053762621752</v>
      </c>
      <c r="AE728">
        <v>2.40569999999996</v>
      </c>
      <c r="AF728">
        <v>-2.5775540346632999</v>
      </c>
      <c r="AG728">
        <v>-1.053762621752</v>
      </c>
      <c r="AH728">
        <v>14.047120762460899</v>
      </c>
      <c r="AI728">
        <v>94.219887946794998</v>
      </c>
      <c r="AJ728">
        <v>100.39773081773301</v>
      </c>
      <c r="AK728">
        <v>14.320467945558599</v>
      </c>
    </row>
    <row r="729" spans="1:37" x14ac:dyDescent="0.2">
      <c r="A729" t="str">
        <f>"20200111153623563"</f>
        <v>20200111153623563</v>
      </c>
      <c r="B729" t="str">
        <f>"1578728183553777"</f>
        <v>1578728183553777</v>
      </c>
      <c r="C729" t="s">
        <v>37</v>
      </c>
      <c r="D729">
        <v>5.812373</v>
      </c>
      <c r="E729">
        <v>0.45631670000000002</v>
      </c>
      <c r="F729" t="s">
        <v>39</v>
      </c>
      <c r="G729">
        <v>-276.0034</v>
      </c>
      <c r="H729" s="1">
        <v>-1.7128689999999999E-6</v>
      </c>
      <c r="I729">
        <v>369.52600000000001</v>
      </c>
      <c r="J729">
        <v>-290.1003</v>
      </c>
      <c r="K729">
        <v>1.053796</v>
      </c>
      <c r="L729">
        <v>367.13170000000002</v>
      </c>
      <c r="M729">
        <v>0.99990089999999998</v>
      </c>
      <c r="N729">
        <v>0</v>
      </c>
      <c r="O729">
        <v>-1.290563E-2</v>
      </c>
      <c r="P729">
        <v>0.99769529999999995</v>
      </c>
      <c r="Q729">
        <v>4.3076740000000002E-2</v>
      </c>
      <c r="R729">
        <v>5.2429660000000003E-2</v>
      </c>
      <c r="S729">
        <v>2.9903869999999899</v>
      </c>
      <c r="T729">
        <v>-0.21940960000000001</v>
      </c>
      <c r="U729">
        <v>0.49786379999999902</v>
      </c>
      <c r="V729">
        <v>-6.5332970000000004E-2</v>
      </c>
      <c r="W729">
        <v>4.8652340000000002E-2</v>
      </c>
      <c r="X729">
        <v>0.99667669999999997</v>
      </c>
      <c r="Y729">
        <v>-0.17644889999999999</v>
      </c>
      <c r="Z729">
        <v>7.3599190000000004E-3</v>
      </c>
      <c r="AA729">
        <v>0.98428230000000005</v>
      </c>
      <c r="AB729">
        <v>36</v>
      </c>
      <c r="AC729">
        <v>14.0969</v>
      </c>
      <c r="AD729">
        <v>-1.0537977128689999</v>
      </c>
      <c r="AE729">
        <v>2.3942999999999799</v>
      </c>
      <c r="AF729">
        <v>-2.5621168239650101</v>
      </c>
      <c r="AG729">
        <v>-1.0537977128689999</v>
      </c>
      <c r="AH729">
        <v>13.9888457282327</v>
      </c>
      <c r="AI729">
        <v>94.237797911189801</v>
      </c>
      <c r="AJ729">
        <v>100.378931535283</v>
      </c>
      <c r="AK729">
        <v>14.2605307421424</v>
      </c>
    </row>
    <row r="730" spans="1:37" x14ac:dyDescent="0.2">
      <c r="A730" t="str">
        <f>"20200111153623576"</f>
        <v>20200111153623576</v>
      </c>
      <c r="B730" t="str">
        <f>"1578728183563537"</f>
        <v>1578728183563537</v>
      </c>
      <c r="C730" t="s">
        <v>37</v>
      </c>
      <c r="D730">
        <v>5.7640820000000001</v>
      </c>
      <c r="E730">
        <v>0.45645370000000002</v>
      </c>
      <c r="F730" t="s">
        <v>39</v>
      </c>
      <c r="G730">
        <v>-275.88010000000003</v>
      </c>
      <c r="H730" s="1">
        <v>-1.768612E-6</v>
      </c>
      <c r="I730">
        <v>369.50990000000002</v>
      </c>
      <c r="J730">
        <v>-289.89109999999999</v>
      </c>
      <c r="K730">
        <v>1.053828</v>
      </c>
      <c r="L730">
        <v>367.12909999999999</v>
      </c>
      <c r="M730">
        <v>0.99990239999999997</v>
      </c>
      <c r="N730">
        <v>0</v>
      </c>
      <c r="O730">
        <v>-1.272268E-2</v>
      </c>
      <c r="P730">
        <v>0.99767459999999997</v>
      </c>
      <c r="Q730">
        <v>4.257035E-2</v>
      </c>
      <c r="R730">
        <v>5.3232410000000001E-2</v>
      </c>
      <c r="S730">
        <v>2.9902039999999999</v>
      </c>
      <c r="T730">
        <v>-0.2215897</v>
      </c>
      <c r="U730">
        <v>0.50009159999999997</v>
      </c>
      <c r="V730">
        <v>-6.5953310000000001E-2</v>
      </c>
      <c r="W730">
        <v>4.8310850000000002E-2</v>
      </c>
      <c r="X730">
        <v>0.99665249999999905</v>
      </c>
      <c r="Y730">
        <v>-0.17698129999999901</v>
      </c>
      <c r="Z730">
        <v>7.4389599999999997E-3</v>
      </c>
      <c r="AA730">
        <v>0.98418609999999895</v>
      </c>
      <c r="AB730">
        <v>36</v>
      </c>
      <c r="AC730">
        <v>14.0109999999999</v>
      </c>
      <c r="AD730">
        <v>-1.053829768612</v>
      </c>
      <c r="AE730">
        <v>2.3808000000000198</v>
      </c>
      <c r="AF730">
        <v>-2.5448748668176702</v>
      </c>
      <c r="AG730">
        <v>-1.053829768612</v>
      </c>
      <c r="AH730">
        <v>13.9031296060113</v>
      </c>
      <c r="AI730">
        <v>94.264041623369195</v>
      </c>
      <c r="AJ730">
        <v>100.37278025092201</v>
      </c>
      <c r="AK730">
        <v>14.1733538060165</v>
      </c>
    </row>
    <row r="731" spans="1:37" x14ac:dyDescent="0.2">
      <c r="A731" t="str">
        <f>"20200111153623598"</f>
        <v>20200111153623598</v>
      </c>
      <c r="B731" t="str">
        <f>"1578728183593793"</f>
        <v>1578728183593793</v>
      </c>
      <c r="C731" t="s">
        <v>37</v>
      </c>
      <c r="D731">
        <v>5.7973809999999997</v>
      </c>
      <c r="E731">
        <v>0.45638220000000002</v>
      </c>
      <c r="F731" t="s">
        <v>39</v>
      </c>
      <c r="G731">
        <v>-275.79329999999999</v>
      </c>
      <c r="H731" s="1">
        <v>-1.8086519999999899E-6</v>
      </c>
      <c r="I731">
        <v>369.4941</v>
      </c>
      <c r="J731">
        <v>-289.5421</v>
      </c>
      <c r="K731">
        <v>1.053884</v>
      </c>
      <c r="L731">
        <v>367.12490000000003</v>
      </c>
      <c r="M731">
        <v>0.99990409999999996</v>
      </c>
      <c r="N731">
        <v>0</v>
      </c>
      <c r="O731">
        <v>-1.2416750000000001E-2</v>
      </c>
      <c r="P731">
        <v>0.99762870000000003</v>
      </c>
      <c r="Q731">
        <v>4.2176989999999998E-2</v>
      </c>
      <c r="R731">
        <v>5.4385129999999997E-2</v>
      </c>
      <c r="S731">
        <v>2.9897770000000001</v>
      </c>
      <c r="T731">
        <v>-0.2234882</v>
      </c>
      <c r="U731">
        <v>0.50155640000000001</v>
      </c>
      <c r="V731">
        <v>-6.6801379999999994E-2</v>
      </c>
      <c r="W731">
        <v>4.8233209999999999E-2</v>
      </c>
      <c r="X731">
        <v>0.99659979999999904</v>
      </c>
      <c r="Y731">
        <v>-0.17716370000000001</v>
      </c>
      <c r="Z731">
        <v>7.4873519999999897E-3</v>
      </c>
      <c r="AA731">
        <v>0.9841529</v>
      </c>
      <c r="AB731">
        <v>36</v>
      </c>
      <c r="AC731">
        <v>13.748799999999999</v>
      </c>
      <c r="AD731">
        <v>-1.053885808652</v>
      </c>
      <c r="AE731">
        <v>2.36919999999997</v>
      </c>
      <c r="AF731">
        <v>-2.5253258851206</v>
      </c>
      <c r="AG731">
        <v>-1.053885808652</v>
      </c>
      <c r="AH731">
        <v>13.640486000396301</v>
      </c>
      <c r="AI731">
        <v>94.344451324667304</v>
      </c>
      <c r="AJ731">
        <v>100.488674627823</v>
      </c>
      <c r="AK731">
        <v>13.912253751666</v>
      </c>
    </row>
    <row r="732" spans="1:37" x14ac:dyDescent="0.2">
      <c r="A732" t="str">
        <f>"20200111153623613"</f>
        <v>20200111153623613</v>
      </c>
      <c r="B732" t="str">
        <f>"1578728183603553"</f>
        <v>1578728183603553</v>
      </c>
      <c r="C732" t="s">
        <v>37</v>
      </c>
      <c r="D732">
        <v>6.0766910000000003</v>
      </c>
      <c r="E732">
        <v>0.45649629999999902</v>
      </c>
      <c r="F732" t="s">
        <v>39</v>
      </c>
      <c r="G732">
        <v>-275.59219999999999</v>
      </c>
      <c r="H732" s="1">
        <v>-1.896883E-6</v>
      </c>
      <c r="I732">
        <v>369.48309999999998</v>
      </c>
      <c r="J732">
        <v>-289.29809999999998</v>
      </c>
      <c r="K732">
        <v>1.0539319999999901</v>
      </c>
      <c r="L732">
        <v>367.12209999999999</v>
      </c>
      <c r="M732">
        <v>0.99990519999999905</v>
      </c>
      <c r="N732">
        <v>0</v>
      </c>
      <c r="O732">
        <v>-1.220277E-2</v>
      </c>
      <c r="P732">
        <v>0.99759929999999997</v>
      </c>
      <c r="Q732">
        <v>4.2146650000000001E-2</v>
      </c>
      <c r="R732">
        <v>5.4947900000000001E-2</v>
      </c>
      <c r="S732">
        <v>2.9891359999999998</v>
      </c>
      <c r="T732">
        <v>-0.225821299999999</v>
      </c>
      <c r="U732">
        <v>0.50531009999999998</v>
      </c>
      <c r="V732">
        <v>-6.7150840000000003E-2</v>
      </c>
      <c r="W732">
        <v>4.8466589999999997E-2</v>
      </c>
      <c r="X732">
        <v>0.99656499999999903</v>
      </c>
      <c r="Y732">
        <v>-0.1781761</v>
      </c>
      <c r="Z732">
        <v>7.5879999999999897E-3</v>
      </c>
      <c r="AA732">
        <v>0.98396930000000005</v>
      </c>
      <c r="AB732">
        <v>36</v>
      </c>
      <c r="AC732">
        <v>13.7058999999999</v>
      </c>
      <c r="AD732">
        <v>-1.0539338968829901</v>
      </c>
      <c r="AE732">
        <v>2.36099999999999</v>
      </c>
      <c r="AF732">
        <v>-2.5136425950874899</v>
      </c>
      <c r="AG732">
        <v>-1.0539338968829901</v>
      </c>
      <c r="AH732">
        <v>13.5979797874311</v>
      </c>
      <c r="AI732">
        <v>94.3583953984365</v>
      </c>
      <c r="AJ732">
        <v>100.47313625294601</v>
      </c>
      <c r="AK732">
        <v>13.8684617046817</v>
      </c>
    </row>
    <row r="733" spans="1:37" x14ac:dyDescent="0.2">
      <c r="A733" t="str">
        <f>"20200111153623643"</f>
        <v>20200111153623643</v>
      </c>
      <c r="B733" t="str">
        <f>"1578728183633809"</f>
        <v>1578728183633809</v>
      </c>
      <c r="C733" t="s">
        <v>37</v>
      </c>
      <c r="D733">
        <v>5.8904160000000001</v>
      </c>
      <c r="E733">
        <v>0.45701069999999999</v>
      </c>
      <c r="F733" t="s">
        <v>39</v>
      </c>
      <c r="G733">
        <v>-275.2627</v>
      </c>
      <c r="H733" s="1">
        <v>-2.0353319999999998E-6</v>
      </c>
      <c r="I733">
        <v>369.49939999999998</v>
      </c>
      <c r="J733">
        <v>-288.8193</v>
      </c>
      <c r="K733">
        <v>1.0540399999999901</v>
      </c>
      <c r="L733">
        <v>367.11660000000001</v>
      </c>
      <c r="M733">
        <v>0.99990619999999997</v>
      </c>
      <c r="N733">
        <v>0</v>
      </c>
      <c r="O733">
        <v>-1.178306E-2</v>
      </c>
      <c r="P733">
        <v>0.99754709999999902</v>
      </c>
      <c r="Q733">
        <v>4.2471109999999999E-2</v>
      </c>
      <c r="R733">
        <v>5.5643129999999999E-2</v>
      </c>
      <c r="S733">
        <v>2.9887999999999999</v>
      </c>
      <c r="T733">
        <v>-0.22443099999999999</v>
      </c>
      <c r="U733">
        <v>0.50625609999999999</v>
      </c>
      <c r="V733">
        <v>-6.7428219999999997E-2</v>
      </c>
      <c r="W733">
        <v>4.9376730000000001E-2</v>
      </c>
      <c r="X733">
        <v>0.99650159999999999</v>
      </c>
      <c r="Y733">
        <v>-0.1780919</v>
      </c>
      <c r="Z733">
        <v>7.5076539999999999E-3</v>
      </c>
      <c r="AA733">
        <v>0.98398519999999901</v>
      </c>
      <c r="AB733">
        <v>36</v>
      </c>
      <c r="AC733">
        <v>13.5566</v>
      </c>
      <c r="AD733">
        <v>-1.0540420353319999</v>
      </c>
      <c r="AE733">
        <v>2.3827999999999698</v>
      </c>
      <c r="AF733">
        <v>-2.5275548983340599</v>
      </c>
      <c r="AG733">
        <v>-1.0540420353319999</v>
      </c>
      <c r="AH733">
        <v>13.448717031135001</v>
      </c>
      <c r="AI733">
        <v>94.404588967646205</v>
      </c>
      <c r="AJ733">
        <v>100.644019708488</v>
      </c>
      <c r="AK733">
        <v>13.7247050299771</v>
      </c>
    </row>
    <row r="734" spans="1:37" x14ac:dyDescent="0.2">
      <c r="A734" t="str">
        <f>"20200111153623656"</f>
        <v>20200111153623656</v>
      </c>
      <c r="B734" t="str">
        <f>"1578728183643570"</f>
        <v>1578728183643570</v>
      </c>
      <c r="C734" t="s">
        <v>37</v>
      </c>
      <c r="D734">
        <v>5.8586410000000004</v>
      </c>
      <c r="E734">
        <v>0.45712700000000001</v>
      </c>
      <c r="F734" t="s">
        <v>39</v>
      </c>
      <c r="G734">
        <v>-274.58550000000002</v>
      </c>
      <c r="H734" s="1">
        <v>-2.322476E-6</v>
      </c>
      <c r="I734">
        <v>369.51839999999999</v>
      </c>
      <c r="J734">
        <v>-288.61070000000001</v>
      </c>
      <c r="K734">
        <v>1.0540860000000001</v>
      </c>
      <c r="L734">
        <v>367.11439999999999</v>
      </c>
      <c r="M734">
        <v>0.99990650000000003</v>
      </c>
      <c r="N734">
        <v>0</v>
      </c>
      <c r="O734">
        <v>-1.16008E-2</v>
      </c>
      <c r="P734">
        <v>0.99753239999999999</v>
      </c>
      <c r="Q734">
        <v>4.2166719999999998E-2</v>
      </c>
      <c r="R734">
        <v>5.6138359999999998E-2</v>
      </c>
      <c r="S734">
        <v>2.98867799999999</v>
      </c>
      <c r="T734">
        <v>-0.2213175</v>
      </c>
      <c r="U734">
        <v>0.50430299999999995</v>
      </c>
      <c r="V734">
        <v>-6.7741919999999997E-2</v>
      </c>
      <c r="W734">
        <v>4.9344829999999999E-2</v>
      </c>
      <c r="X734">
        <v>0.99648189999999903</v>
      </c>
      <c r="Y734">
        <v>-0.17731069999999999</v>
      </c>
      <c r="Z734">
        <v>7.3624069999999996E-3</v>
      </c>
      <c r="AA734">
        <v>0.98412739999999999</v>
      </c>
      <c r="AB734">
        <v>36</v>
      </c>
      <c r="AC734">
        <v>14.0251999999999</v>
      </c>
      <c r="AD734">
        <v>-1.054088322476</v>
      </c>
      <c r="AE734">
        <v>2.4039999999999901</v>
      </c>
      <c r="AF734">
        <v>-2.5525394296273798</v>
      </c>
      <c r="AG734">
        <v>-1.054088322476</v>
      </c>
      <c r="AH734">
        <v>13.919983732755201</v>
      </c>
      <c r="AI734">
        <v>94.259691347637599</v>
      </c>
      <c r="AJ734">
        <v>100.391017811669</v>
      </c>
      <c r="AK734">
        <v>14.191282776815999</v>
      </c>
    </row>
    <row r="735" spans="1:37" x14ac:dyDescent="0.2">
      <c r="A735" t="str">
        <f>"20200111153623669"</f>
        <v>20200111153623669</v>
      </c>
      <c r="B735" t="str">
        <f>"1578728183663089"</f>
        <v>1578728183663089</v>
      </c>
      <c r="C735" t="s">
        <v>37</v>
      </c>
      <c r="D735">
        <v>5.811712</v>
      </c>
      <c r="E735">
        <v>0.457250299999999</v>
      </c>
      <c r="F735" t="s">
        <v>39</v>
      </c>
      <c r="G735">
        <v>-274.36110000000002</v>
      </c>
      <c r="H735" s="1">
        <v>-2.4182899999999999E-6</v>
      </c>
      <c r="I735">
        <v>369.52109999999999</v>
      </c>
      <c r="J735">
        <v>-288.38569999999999</v>
      </c>
      <c r="K735">
        <v>1.054125</v>
      </c>
      <c r="L735">
        <v>367.111999999999</v>
      </c>
      <c r="M735">
        <v>0.99990659999999898</v>
      </c>
      <c r="N735">
        <v>0</v>
      </c>
      <c r="O735">
        <v>-1.140565E-2</v>
      </c>
      <c r="P735">
        <v>0.99753590000000003</v>
      </c>
      <c r="Q735">
        <v>4.1873550000000002E-2</v>
      </c>
      <c r="R735">
        <v>5.629551E-2</v>
      </c>
      <c r="S735">
        <v>2.9883730000000002</v>
      </c>
      <c r="T735">
        <v>-0.2210577</v>
      </c>
      <c r="U735">
        <v>0.50473020000000002</v>
      </c>
      <c r="V735">
        <v>-6.7705329999999994E-2</v>
      </c>
      <c r="W735">
        <v>4.9344829999999999E-2</v>
      </c>
      <c r="X735">
        <v>0.99648429999999999</v>
      </c>
      <c r="Y735">
        <v>-0.17727370000000001</v>
      </c>
      <c r="Z735">
        <v>7.3387579999999999E-3</v>
      </c>
      <c r="AA735">
        <v>0.98413430000000002</v>
      </c>
      <c r="AB735">
        <v>36</v>
      </c>
      <c r="AC735">
        <v>14.0245999999999</v>
      </c>
      <c r="AD735">
        <v>-1.05412741829</v>
      </c>
      <c r="AE735">
        <v>2.40910000000002</v>
      </c>
      <c r="AF735">
        <v>-2.5548875141629002</v>
      </c>
      <c r="AG735">
        <v>-1.05412741829</v>
      </c>
      <c r="AH735">
        <v>13.919824299620901</v>
      </c>
      <c r="AI735">
        <v>94.259768719613803</v>
      </c>
      <c r="AJ735">
        <v>100.400484546577</v>
      </c>
      <c r="AK735">
        <v>14.1915518304494</v>
      </c>
    </row>
    <row r="736" spans="1:37" x14ac:dyDescent="0.2">
      <c r="A736" t="str">
        <f>"20200111153623682"</f>
        <v>20200111153623682</v>
      </c>
      <c r="B736" t="str">
        <f>"1578728183673825"</f>
        <v>1578728183673825</v>
      </c>
      <c r="C736" t="s">
        <v>37</v>
      </c>
      <c r="D736">
        <v>5.7837969999999999</v>
      </c>
      <c r="E736">
        <v>0.45734209999999897</v>
      </c>
      <c r="F736" t="s">
        <v>39</v>
      </c>
      <c r="G736">
        <v>-274.07679999999999</v>
      </c>
      <c r="H736" s="1">
        <v>-2.5393820000000001E-6</v>
      </c>
      <c r="I736">
        <v>369.52609999999999</v>
      </c>
      <c r="J736">
        <v>-288.1771</v>
      </c>
      <c r="K736">
        <v>1.0541639999999901</v>
      </c>
      <c r="L736">
        <v>367.10969999999998</v>
      </c>
      <c r="M736">
        <v>0.99990659999999898</v>
      </c>
      <c r="N736">
        <v>0</v>
      </c>
      <c r="O736">
        <v>-1.1225479999999999E-2</v>
      </c>
      <c r="P736">
        <v>0.99751789999999996</v>
      </c>
      <c r="Q736">
        <v>4.1785860000000001E-2</v>
      </c>
      <c r="R736">
        <v>5.6678909999999999E-2</v>
      </c>
      <c r="S736">
        <v>2.9881899999999999</v>
      </c>
      <c r="T736">
        <v>-0.22013649999999901</v>
      </c>
      <c r="U736">
        <v>0.5041504</v>
      </c>
      <c r="V736">
        <v>-6.790902E-2</v>
      </c>
      <c r="W736">
        <v>4.9527229999999998E-2</v>
      </c>
      <c r="X736">
        <v>0.9964615</v>
      </c>
      <c r="Y736">
        <v>-0.1769261</v>
      </c>
      <c r="Z736">
        <v>7.2829510000000002E-3</v>
      </c>
      <c r="AA736">
        <v>0.98419719999999999</v>
      </c>
      <c r="AB736">
        <v>36</v>
      </c>
      <c r="AC736">
        <v>14.100300000000001</v>
      </c>
      <c r="AD736">
        <v>-1.0541665393819999</v>
      </c>
      <c r="AE736">
        <v>2.4163999999999999</v>
      </c>
      <c r="AF736">
        <v>-2.5606312433494902</v>
      </c>
      <c r="AG736">
        <v>-1.0541665393819999</v>
      </c>
      <c r="AH736">
        <v>13.9962871682269</v>
      </c>
      <c r="AI736">
        <v>94.237182205651393</v>
      </c>
      <c r="AJ736">
        <v>100.36764881235899</v>
      </c>
      <c r="AK736">
        <v>14.2675910353726</v>
      </c>
    </row>
    <row r="737" spans="1:37" x14ac:dyDescent="0.2">
      <c r="A737" t="str">
        <f>"20200111153623698"</f>
        <v>20200111153623698</v>
      </c>
      <c r="B737" t="str">
        <f>"1578728183693345"</f>
        <v>1578728183693345</v>
      </c>
      <c r="C737" t="s">
        <v>37</v>
      </c>
      <c r="D737">
        <v>5.8622110000000003</v>
      </c>
      <c r="E737">
        <v>0.45773000000000003</v>
      </c>
      <c r="F737" t="s">
        <v>39</v>
      </c>
      <c r="G737">
        <v>-273.84339999999997</v>
      </c>
      <c r="H737" s="1">
        <v>-2.6387169999999899E-6</v>
      </c>
      <c r="I737">
        <v>369.53030000000001</v>
      </c>
      <c r="J737">
        <v>-287.93439999999998</v>
      </c>
      <c r="K737">
        <v>1.054211</v>
      </c>
      <c r="L737">
        <v>367.10719999999998</v>
      </c>
      <c r="M737">
        <v>0.99990630000000003</v>
      </c>
      <c r="N737">
        <v>0</v>
      </c>
      <c r="O737">
        <v>-1.1015459999999999E-2</v>
      </c>
      <c r="P737">
        <v>0.99749480000000001</v>
      </c>
      <c r="Q737">
        <v>4.1297569999999999E-2</v>
      </c>
      <c r="R737">
        <v>5.7434180000000001E-2</v>
      </c>
      <c r="S737">
        <v>2.9880369999999998</v>
      </c>
      <c r="T737">
        <v>-0.219753</v>
      </c>
      <c r="U737">
        <v>0.50460819999999995</v>
      </c>
      <c r="V737">
        <v>-6.8455089999999996E-2</v>
      </c>
      <c r="W737">
        <v>4.9350060000000001E-2</v>
      </c>
      <c r="X737">
        <v>0.99643289999999995</v>
      </c>
      <c r="Y737">
        <v>-0.17687659999999999</v>
      </c>
      <c r="Z737">
        <v>7.2534469999999997E-3</v>
      </c>
      <c r="AA737">
        <v>0.98420629999999998</v>
      </c>
      <c r="AB737">
        <v>36</v>
      </c>
      <c r="AC737">
        <v>14.090999999999999</v>
      </c>
      <c r="AD737">
        <v>-1.054213638717</v>
      </c>
      <c r="AE737">
        <v>2.42310000000003</v>
      </c>
      <c r="AF737">
        <v>-2.5642365370448301</v>
      </c>
      <c r="AG737">
        <v>-1.054213638717</v>
      </c>
      <c r="AH737">
        <v>13.9874103411808</v>
      </c>
      <c r="AI737">
        <v>94.239770335756603</v>
      </c>
      <c r="AJ737">
        <v>100.38837422310699</v>
      </c>
      <c r="AK737">
        <v>14.2595344758005</v>
      </c>
    </row>
    <row r="738" spans="1:37" x14ac:dyDescent="0.2">
      <c r="A738" t="str">
        <f>"20200111153623710"</f>
        <v>20200111153623710</v>
      </c>
      <c r="B738" t="str">
        <f>"1578728183703127"</f>
        <v>1578728183703127</v>
      </c>
      <c r="C738" t="s">
        <v>37</v>
      </c>
      <c r="D738">
        <v>5.8376640000000002</v>
      </c>
      <c r="E738">
        <v>0.45774719999999902</v>
      </c>
      <c r="F738" t="s">
        <v>39</v>
      </c>
      <c r="G738">
        <v>-273.6617</v>
      </c>
      <c r="H738" s="1">
        <v>-2.719631E-6</v>
      </c>
      <c r="I738">
        <v>369.51369999999997</v>
      </c>
      <c r="J738">
        <v>-287.74029999999999</v>
      </c>
      <c r="K738">
        <v>1.054241</v>
      </c>
      <c r="L738">
        <v>367.1053</v>
      </c>
      <c r="M738">
        <v>0.99990610000000002</v>
      </c>
      <c r="N738">
        <v>0</v>
      </c>
      <c r="O738">
        <v>-1.084659E-2</v>
      </c>
      <c r="P738">
        <v>0.99749080000000001</v>
      </c>
      <c r="Q738">
        <v>4.0915319999999998E-2</v>
      </c>
      <c r="R738">
        <v>5.7772660000000003E-2</v>
      </c>
      <c r="S738">
        <v>2.9876399999999999</v>
      </c>
      <c r="T738">
        <v>-0.22067249999999999</v>
      </c>
      <c r="U738">
        <v>0.50375369999999997</v>
      </c>
      <c r="V738">
        <v>-6.8624699999999997E-2</v>
      </c>
      <c r="W738">
        <v>4.9210520000000001E-2</v>
      </c>
      <c r="X738">
        <v>0.99642809999999904</v>
      </c>
      <c r="Y738">
        <v>-0.17645549999999999</v>
      </c>
      <c r="Z738">
        <v>7.2570409999999997E-3</v>
      </c>
      <c r="AA738">
        <v>0.98428189999999904</v>
      </c>
      <c r="AB738">
        <v>36</v>
      </c>
      <c r="AC738">
        <v>14.0785999999999</v>
      </c>
      <c r="AD738">
        <v>-1.0542437196309999</v>
      </c>
      <c r="AE738">
        <v>2.4083999999999701</v>
      </c>
      <c r="AF738">
        <v>-2.5470919434691002</v>
      </c>
      <c r="AG738">
        <v>-1.0542437196309999</v>
      </c>
      <c r="AH738">
        <v>13.975509494218301</v>
      </c>
      <c r="AI738">
        <v>94.244288922383305</v>
      </c>
      <c r="AJ738">
        <v>100.329013861044</v>
      </c>
      <c r="AK738">
        <v>14.2447875663996</v>
      </c>
    </row>
    <row r="739" spans="1:37" x14ac:dyDescent="0.2">
      <c r="A739" t="str">
        <f>"20200111153623744"</f>
        <v>20200111153623744</v>
      </c>
      <c r="B739" t="str">
        <f>"1578728183733383"</f>
        <v>1578728183733383</v>
      </c>
      <c r="C739" t="s">
        <v>37</v>
      </c>
      <c r="D739">
        <v>6.0651250000000001</v>
      </c>
      <c r="E739">
        <v>0.45794179999999901</v>
      </c>
      <c r="F739" t="s">
        <v>39</v>
      </c>
      <c r="G739">
        <v>-273.46620000000001</v>
      </c>
      <c r="H739" s="1">
        <v>-2.8034339999999998E-6</v>
      </c>
      <c r="I739">
        <v>369.51409999999998</v>
      </c>
      <c r="J739">
        <v>-287.20460000000003</v>
      </c>
      <c r="K739">
        <v>1.0543069999999899</v>
      </c>
      <c r="L739">
        <v>367.1</v>
      </c>
      <c r="M739">
        <v>0.99990559999999995</v>
      </c>
      <c r="N739">
        <v>0</v>
      </c>
      <c r="O739">
        <v>-1.037715E-2</v>
      </c>
      <c r="P739">
        <v>0.99745349999999999</v>
      </c>
      <c r="Q739">
        <v>4.0284260000000002E-2</v>
      </c>
      <c r="R739">
        <v>5.8856869999999999E-2</v>
      </c>
      <c r="S739">
        <v>2.9873959999999999</v>
      </c>
      <c r="T739">
        <v>-0.2206389</v>
      </c>
      <c r="U739">
        <v>0.5041504</v>
      </c>
      <c r="V739">
        <v>-6.9241410000000003E-2</v>
      </c>
      <c r="W739">
        <v>4.9217660000000003E-2</v>
      </c>
      <c r="X739">
        <v>0.99638510000000002</v>
      </c>
      <c r="Y739">
        <v>-0.17613589999999901</v>
      </c>
      <c r="Z739">
        <v>7.2103489999999996E-3</v>
      </c>
      <c r="AA739">
        <v>0.98433950000000003</v>
      </c>
      <c r="AB739">
        <v>36</v>
      </c>
      <c r="AC739">
        <v>13.7384</v>
      </c>
      <c r="AD739">
        <v>-1.0543098034339999</v>
      </c>
      <c r="AE739">
        <v>2.4140999999999599</v>
      </c>
      <c r="AF739">
        <v>-2.5420189036290899</v>
      </c>
      <c r="AG739">
        <v>-1.0543098034339999</v>
      </c>
      <c r="AH739">
        <v>13.634713848563599</v>
      </c>
      <c r="AI739">
        <v>94.347012165178498</v>
      </c>
      <c r="AJ739">
        <v>100.56082229889201</v>
      </c>
      <c r="AK739">
        <v>13.9096675373726</v>
      </c>
    </row>
    <row r="740" spans="1:37" x14ac:dyDescent="0.2">
      <c r="A740" t="str">
        <f>"20200111153623756"</f>
        <v>20200111153623756</v>
      </c>
      <c r="B740" t="str">
        <f>"1578728183743142"</f>
        <v>1578728183743142</v>
      </c>
      <c r="C740" t="s">
        <v>37</v>
      </c>
      <c r="D740">
        <v>5.8943320000000003</v>
      </c>
      <c r="E740">
        <v>0.45806469999999999</v>
      </c>
      <c r="F740" t="s">
        <v>39</v>
      </c>
      <c r="G740">
        <v>-272.9529</v>
      </c>
      <c r="H740" s="1">
        <v>-3.0232679999999999E-6</v>
      </c>
      <c r="I740">
        <v>369.51609999999999</v>
      </c>
      <c r="J740">
        <v>-286.9973</v>
      </c>
      <c r="K740">
        <v>1.0543260000000001</v>
      </c>
      <c r="L740">
        <v>367.09800000000001</v>
      </c>
      <c r="M740">
        <v>0.9999053</v>
      </c>
      <c r="N740">
        <v>0</v>
      </c>
      <c r="O740">
        <v>-1.019428E-2</v>
      </c>
      <c r="P740">
        <v>0.99741990000000003</v>
      </c>
      <c r="Q740">
        <v>4.0248869999999999E-2</v>
      </c>
      <c r="R740">
        <v>5.9446770000000003E-2</v>
      </c>
      <c r="S740">
        <v>2.986694</v>
      </c>
      <c r="T740">
        <v>-0.22094829999999899</v>
      </c>
      <c r="U740">
        <v>0.50634769999999996</v>
      </c>
      <c r="V740">
        <v>-6.9648849999999998E-2</v>
      </c>
      <c r="W740">
        <v>4.941102E-2</v>
      </c>
      <c r="X740">
        <v>0.99634709999999904</v>
      </c>
      <c r="Y740">
        <v>-0.1766953</v>
      </c>
      <c r="Z740">
        <v>7.2287649999999998E-3</v>
      </c>
      <c r="AA740">
        <v>0.98423899999999998</v>
      </c>
      <c r="AB740">
        <v>36</v>
      </c>
      <c r="AC740">
        <v>14.0443999999999</v>
      </c>
      <c r="AD740">
        <v>-1.054329023268</v>
      </c>
      <c r="AE740">
        <v>2.4180999999999799</v>
      </c>
      <c r="AF740">
        <v>-2.5472110488170201</v>
      </c>
      <c r="AG740">
        <v>-1.054329023268</v>
      </c>
      <c r="AH740">
        <v>13.9427040447191</v>
      </c>
      <c r="AI740">
        <v>94.254254167476304</v>
      </c>
      <c r="AJ740">
        <v>100.353265450187</v>
      </c>
      <c r="AK740">
        <v>14.2126313501458</v>
      </c>
    </row>
    <row r="741" spans="1:37" x14ac:dyDescent="0.2">
      <c r="A741" t="str">
        <f>"20200111153623769"</f>
        <v>20200111153623769</v>
      </c>
      <c r="B741" t="str">
        <f>"1578728183763639"</f>
        <v>1578728183763639</v>
      </c>
      <c r="C741" t="s">
        <v>37</v>
      </c>
      <c r="D741">
        <v>5.8313730000000001</v>
      </c>
      <c r="E741">
        <v>0.45825769999999999</v>
      </c>
      <c r="F741" t="s">
        <v>39</v>
      </c>
      <c r="G741">
        <v>-272.7192</v>
      </c>
      <c r="H741" s="1">
        <v>-3.1221810000000001E-6</v>
      </c>
      <c r="I741">
        <v>369.52370000000002</v>
      </c>
      <c r="J741">
        <v>-286.7878</v>
      </c>
      <c r="K741">
        <v>1.0543400000000001</v>
      </c>
      <c r="L741">
        <v>367.09609999999998</v>
      </c>
      <c r="M741">
        <v>0.99990509999999999</v>
      </c>
      <c r="N741">
        <v>0</v>
      </c>
      <c r="O741">
        <v>-1.0008649999999999E-2</v>
      </c>
      <c r="P741">
        <v>0.99741389999999996</v>
      </c>
      <c r="Q741">
        <v>3.9890559999999999E-2</v>
      </c>
      <c r="R741">
        <v>5.9788899999999999E-2</v>
      </c>
      <c r="S741">
        <v>2.986389</v>
      </c>
      <c r="T741">
        <v>-0.22052140000000001</v>
      </c>
      <c r="U741">
        <v>0.50735470000000005</v>
      </c>
      <c r="V741">
        <v>-6.9805649999999997E-2</v>
      </c>
      <c r="W741">
        <v>4.9268630000000001E-2</v>
      </c>
      <c r="X741">
        <v>0.99634319999999899</v>
      </c>
      <c r="Y741">
        <v>-0.1768537</v>
      </c>
      <c r="Z741">
        <v>7.2075609999999899E-3</v>
      </c>
      <c r="AA741">
        <v>0.98421069999999999</v>
      </c>
      <c r="AB741">
        <v>36</v>
      </c>
      <c r="AC741">
        <v>14.0686</v>
      </c>
      <c r="AD741">
        <v>-1.054343122181</v>
      </c>
      <c r="AE741">
        <v>2.4276000000000399</v>
      </c>
      <c r="AF741">
        <v>-2.5543607656186902</v>
      </c>
      <c r="AG741">
        <v>-1.054343122181</v>
      </c>
      <c r="AH741">
        <v>13.9674180658323</v>
      </c>
      <c r="AI741">
        <v>94.246669642586795</v>
      </c>
      <c r="AJ741">
        <v>100.363723757469</v>
      </c>
      <c r="AK741">
        <v>14.238158791289001</v>
      </c>
    </row>
    <row r="742" spans="1:37" x14ac:dyDescent="0.2">
      <c r="A742" t="str">
        <f>"20200111153623783"</f>
        <v>20200111153623783</v>
      </c>
      <c r="B742" t="str">
        <f>"1578728183773398"</f>
        <v>1578728183773398</v>
      </c>
      <c r="C742" t="s">
        <v>37</v>
      </c>
      <c r="D742">
        <v>5.8474769999999996</v>
      </c>
      <c r="E742">
        <v>0.458163599999999</v>
      </c>
      <c r="F742" t="s">
        <v>39</v>
      </c>
      <c r="G742">
        <v>-272.52960000000002</v>
      </c>
      <c r="H742" s="1">
        <v>-3.2049739999999999E-6</v>
      </c>
      <c r="I742">
        <v>369.51560000000001</v>
      </c>
      <c r="J742">
        <v>-286.57029999999997</v>
      </c>
      <c r="K742">
        <v>1.0543530000000001</v>
      </c>
      <c r="L742">
        <v>367.09410000000003</v>
      </c>
      <c r="M742">
        <v>0.99990519999999905</v>
      </c>
      <c r="N742">
        <v>0</v>
      </c>
      <c r="O742">
        <v>-9.8155389999999999E-3</v>
      </c>
      <c r="P742">
        <v>0.99740899999999999</v>
      </c>
      <c r="Q742">
        <v>3.9479889999999997E-2</v>
      </c>
      <c r="R742">
        <v>6.0142889999999997E-2</v>
      </c>
      <c r="S742">
        <v>2.986237</v>
      </c>
      <c r="T742">
        <v>-0.22082019999999999</v>
      </c>
      <c r="U742">
        <v>0.50674439999999998</v>
      </c>
      <c r="V742">
        <v>-6.9966899999999999E-2</v>
      </c>
      <c r="W742">
        <v>4.9072409999999997E-2</v>
      </c>
      <c r="X742">
        <v>0.99634159999999905</v>
      </c>
      <c r="Y742">
        <v>-0.17647660000000001</v>
      </c>
      <c r="Z742">
        <v>7.18979699999999E-3</v>
      </c>
      <c r="AA742">
        <v>0.9842786</v>
      </c>
      <c r="AB742">
        <v>36</v>
      </c>
      <c r="AC742">
        <v>14.0406999999999</v>
      </c>
      <c r="AD742">
        <v>-1.0543562049740001</v>
      </c>
      <c r="AE742">
        <v>2.42149999999998</v>
      </c>
      <c r="AF742">
        <v>-2.54526875810555</v>
      </c>
      <c r="AG742">
        <v>-1.0543562049740001</v>
      </c>
      <c r="AH742">
        <v>13.939918288947201</v>
      </c>
      <c r="AI742">
        <v>94.255287563039104</v>
      </c>
      <c r="AJ742">
        <v>100.34756424934901</v>
      </c>
      <c r="AK742">
        <v>14.209552489803499</v>
      </c>
    </row>
    <row r="743" spans="1:37" x14ac:dyDescent="0.2">
      <c r="A743" t="str">
        <f>"20200111153623798"</f>
        <v>20200111153623798</v>
      </c>
      <c r="B743" t="str">
        <f>"1578728183792918"</f>
        <v>1578728183792918</v>
      </c>
      <c r="C743" t="s">
        <v>37</v>
      </c>
      <c r="D743">
        <v>5.7706269999999904</v>
      </c>
      <c r="E743">
        <v>0.45800049999999998</v>
      </c>
      <c r="F743" t="s">
        <v>39</v>
      </c>
      <c r="G743">
        <v>-272.45549999999997</v>
      </c>
      <c r="H743" s="1">
        <v>-3.24000999999999E-6</v>
      </c>
      <c r="I743">
        <v>369.49709999999999</v>
      </c>
      <c r="J743">
        <v>-286.32249999999999</v>
      </c>
      <c r="K743">
        <v>1.0543629999999999</v>
      </c>
      <c r="L743">
        <v>367.09190000000001</v>
      </c>
      <c r="M743">
        <v>0.99990489999999999</v>
      </c>
      <c r="N743">
        <v>0</v>
      </c>
      <c r="O743">
        <v>-9.5947440000000005E-3</v>
      </c>
      <c r="P743">
        <v>0.99738559999999998</v>
      </c>
      <c r="Q743">
        <v>3.873741E-2</v>
      </c>
      <c r="R743">
        <v>6.1004219999999998E-2</v>
      </c>
      <c r="S743">
        <v>2.9859619999999998</v>
      </c>
      <c r="T743">
        <v>-0.2230473</v>
      </c>
      <c r="U743">
        <v>0.50836179999999997</v>
      </c>
      <c r="V743">
        <v>-7.0607210000000004E-2</v>
      </c>
      <c r="W743">
        <v>4.8556599999999998E-2</v>
      </c>
      <c r="X743">
        <v>0.99632169999999898</v>
      </c>
      <c r="Y743">
        <v>-0.1767821</v>
      </c>
      <c r="Z743">
        <v>7.2573960000000002E-3</v>
      </c>
      <c r="AA743">
        <v>0.98422319999999996</v>
      </c>
      <c r="AB743">
        <v>36</v>
      </c>
      <c r="AC743">
        <v>13.867000000000001</v>
      </c>
      <c r="AD743">
        <v>-1.05436624001</v>
      </c>
      <c r="AE743">
        <v>2.4051999999999798</v>
      </c>
      <c r="AF743">
        <v>-2.5239806406139502</v>
      </c>
      <c r="AG743">
        <v>-1.05436624001</v>
      </c>
      <c r="AH743">
        <v>13.7660233877036</v>
      </c>
      <c r="AI743">
        <v>94.308303200146796</v>
      </c>
      <c r="AJ743">
        <v>100.389702171558</v>
      </c>
      <c r="AK743">
        <v>14.035154660817501</v>
      </c>
    </row>
    <row r="744" spans="1:37" x14ac:dyDescent="0.2">
      <c r="A744" t="str">
        <f>"20200111153623813"</f>
        <v>20200111153623813</v>
      </c>
      <c r="B744" t="str">
        <f>"1578728183803654"</f>
        <v>1578728183803654</v>
      </c>
      <c r="C744" t="s">
        <v>37</v>
      </c>
      <c r="D744">
        <v>5.7135400000000001</v>
      </c>
      <c r="E744">
        <v>0.45801549999999902</v>
      </c>
      <c r="F744" t="s">
        <v>39</v>
      </c>
      <c r="G744">
        <v>-272.48390000000001</v>
      </c>
      <c r="H744" s="1">
        <v>-3.23336799999999E-6</v>
      </c>
      <c r="I744">
        <v>369.46589999999998</v>
      </c>
      <c r="J744">
        <v>-286.09570000000002</v>
      </c>
      <c r="K744">
        <v>1.05437</v>
      </c>
      <c r="L744">
        <v>367.09</v>
      </c>
      <c r="M744">
        <v>0.99990509999999999</v>
      </c>
      <c r="N744">
        <v>0</v>
      </c>
      <c r="O744">
        <v>-9.3921530000000003E-3</v>
      </c>
      <c r="P744">
        <v>0.99738309999999997</v>
      </c>
      <c r="Q744">
        <v>3.8283060000000001E-2</v>
      </c>
      <c r="R744">
        <v>6.1332539999999998E-2</v>
      </c>
      <c r="S744">
        <v>2.9854129999999999</v>
      </c>
      <c r="T744">
        <v>-0.22745889999999999</v>
      </c>
      <c r="U744">
        <v>0.51214599999999999</v>
      </c>
      <c r="V744">
        <v>-7.0732589999999998E-2</v>
      </c>
      <c r="W744">
        <v>4.8290840000000002E-2</v>
      </c>
      <c r="X744">
        <v>0.99632569999999998</v>
      </c>
      <c r="Y744">
        <v>-0.1778023</v>
      </c>
      <c r="Z744">
        <v>7.4243159999999898E-3</v>
      </c>
      <c r="AA744">
        <v>0.98403819999999997</v>
      </c>
      <c r="AB744">
        <v>36</v>
      </c>
      <c r="AC744">
        <v>13.611800000000001</v>
      </c>
      <c r="AD744">
        <v>-1.054373233368</v>
      </c>
      <c r="AE744">
        <v>2.3759000000000001</v>
      </c>
      <c r="AF744">
        <v>-2.4891522348830799</v>
      </c>
      <c r="AG744">
        <v>-1.054373233368</v>
      </c>
      <c r="AH744">
        <v>13.510217799937401</v>
      </c>
      <c r="AI744">
        <v>94.388896099330395</v>
      </c>
      <c r="AJ744">
        <v>100.43923048749799</v>
      </c>
      <c r="AK744">
        <v>13.7780102614787</v>
      </c>
    </row>
    <row r="745" spans="1:37" x14ac:dyDescent="0.2">
      <c r="A745" t="str">
        <f>"20200111153623826"</f>
        <v>20200111153623826</v>
      </c>
      <c r="B745" t="str">
        <f>"1578728183813414"</f>
        <v>1578728183813414</v>
      </c>
      <c r="C745" t="s">
        <v>37</v>
      </c>
      <c r="D745">
        <v>5.827922</v>
      </c>
      <c r="E745">
        <v>0.4579008</v>
      </c>
      <c r="F745" t="s">
        <v>39</v>
      </c>
      <c r="G745">
        <v>-272.38749999999999</v>
      </c>
      <c r="H745" s="1">
        <v>-3.2784229999999998E-6</v>
      </c>
      <c r="I745">
        <v>369.4452</v>
      </c>
      <c r="J745">
        <v>-285.88679999999999</v>
      </c>
      <c r="K745">
        <v>1.0543750000000001</v>
      </c>
      <c r="L745">
        <v>367.08819999999997</v>
      </c>
      <c r="M745">
        <v>0.99990499999999904</v>
      </c>
      <c r="N745">
        <v>0</v>
      </c>
      <c r="O745">
        <v>-9.2053150000000004E-3</v>
      </c>
      <c r="P745">
        <v>0.9973803</v>
      </c>
      <c r="Q745">
        <v>3.7965690000000003E-2</v>
      </c>
      <c r="R745">
        <v>6.1573929999999999E-2</v>
      </c>
      <c r="S745">
        <v>2.9851380000000001</v>
      </c>
      <c r="T745">
        <v>-0.2296011</v>
      </c>
      <c r="U745">
        <v>0.51287839999999996</v>
      </c>
      <c r="V745">
        <v>-7.0787269999999999E-2</v>
      </c>
      <c r="W745">
        <v>4.813796E-2</v>
      </c>
      <c r="X745">
        <v>0.99632919999999903</v>
      </c>
      <c r="Y745">
        <v>-0.177858399999999</v>
      </c>
      <c r="Z745">
        <v>7.4824519999999997E-3</v>
      </c>
      <c r="AA745">
        <v>0.9840276</v>
      </c>
      <c r="AB745">
        <v>36</v>
      </c>
      <c r="AC745">
        <v>13.4993</v>
      </c>
      <c r="AD745">
        <v>-1.054378278423</v>
      </c>
      <c r="AE745">
        <v>2.3570000000000202</v>
      </c>
      <c r="AF745">
        <v>-2.4665696547709701</v>
      </c>
      <c r="AG745">
        <v>-1.054378278423</v>
      </c>
      <c r="AH745">
        <v>13.3977142137056</v>
      </c>
      <c r="AI745">
        <v>94.425734619413006</v>
      </c>
      <c r="AJ745">
        <v>100.431559129806</v>
      </c>
      <c r="AK745">
        <v>13.663616855283101</v>
      </c>
    </row>
    <row r="746" spans="1:37" x14ac:dyDescent="0.2">
      <c r="A746" t="str">
        <f>"20200111153623839"</f>
        <v>20200111153623839</v>
      </c>
      <c r="B746" t="str">
        <f>"1578728183832934"</f>
        <v>1578728183832934</v>
      </c>
      <c r="C746" t="s">
        <v>37</v>
      </c>
      <c r="D746">
        <v>5.8619409999999998</v>
      </c>
      <c r="E746">
        <v>0.45784239999999998</v>
      </c>
      <c r="F746" t="s">
        <v>39</v>
      </c>
      <c r="G746">
        <v>-272.3005</v>
      </c>
      <c r="H746" s="1">
        <v>-3.31860999999999E-6</v>
      </c>
      <c r="I746">
        <v>369.42899999999997</v>
      </c>
      <c r="J746">
        <v>-285.66430000000003</v>
      </c>
      <c r="K746">
        <v>1.0543849999999999</v>
      </c>
      <c r="L746">
        <v>367.08629999999999</v>
      </c>
      <c r="M746">
        <v>0.9999053</v>
      </c>
      <c r="N746">
        <v>0</v>
      </c>
      <c r="O746">
        <v>-9.0064540000000005E-3</v>
      </c>
      <c r="P746">
        <v>0.99736990000000003</v>
      </c>
      <c r="Q746">
        <v>3.7701409999999998E-2</v>
      </c>
      <c r="R746">
        <v>6.190582E-2</v>
      </c>
      <c r="S746">
        <v>2.9849549999999998</v>
      </c>
      <c r="T746">
        <v>-0.23164940000000001</v>
      </c>
      <c r="U746">
        <v>0.51428220000000002</v>
      </c>
      <c r="V746">
        <v>-7.0921100000000001E-2</v>
      </c>
      <c r="W746">
        <v>4.8037940000000001E-2</v>
      </c>
      <c r="X746">
        <v>0.99632449999999995</v>
      </c>
      <c r="Y746">
        <v>-0.17811250000000001</v>
      </c>
      <c r="Z746">
        <v>7.5436359999999899E-3</v>
      </c>
      <c r="AA746">
        <v>0.9839812</v>
      </c>
      <c r="AB746">
        <v>36</v>
      </c>
      <c r="AC746">
        <v>13.363799999999999</v>
      </c>
      <c r="AD746">
        <v>-1.05438831861</v>
      </c>
      <c r="AE746">
        <v>2.34270000000003</v>
      </c>
      <c r="AF746">
        <v>-2.44818628758332</v>
      </c>
      <c r="AG746">
        <v>-1.05438831861</v>
      </c>
      <c r="AH746">
        <v>13.2620620541267</v>
      </c>
      <c r="AI746">
        <v>94.470468910087007</v>
      </c>
      <c r="AJ746">
        <v>100.45909691319</v>
      </c>
      <c r="AK746">
        <v>13.5272924398284</v>
      </c>
    </row>
    <row r="747" spans="1:37" x14ac:dyDescent="0.2">
      <c r="A747" t="str">
        <f>"20200111153623853"</f>
        <v>20200111153623853</v>
      </c>
      <c r="B747" t="str">
        <f>"1578728183843671"</f>
        <v>1578728183843671</v>
      </c>
      <c r="C747" t="s">
        <v>37</v>
      </c>
      <c r="D747">
        <v>5.8888369999999997</v>
      </c>
      <c r="E747">
        <v>0.45784239999999998</v>
      </c>
      <c r="F747" t="s">
        <v>39</v>
      </c>
      <c r="G747">
        <v>-272.17340000000002</v>
      </c>
      <c r="H747" s="1">
        <v>-3.3752999999999899E-6</v>
      </c>
      <c r="I747">
        <v>369.41669999999999</v>
      </c>
      <c r="J747">
        <v>-285.43779999999998</v>
      </c>
      <c r="K747">
        <v>1.0543899999999999</v>
      </c>
      <c r="L747">
        <v>367.08449999999999</v>
      </c>
      <c r="M747">
        <v>0.9999053</v>
      </c>
      <c r="N747">
        <v>0</v>
      </c>
      <c r="O747">
        <v>-8.8041919999999902E-3</v>
      </c>
      <c r="P747">
        <v>0.99730739999999996</v>
      </c>
      <c r="Q747">
        <v>3.7806699999999901E-2</v>
      </c>
      <c r="R747">
        <v>6.2839800000000001E-2</v>
      </c>
      <c r="S747">
        <v>2.9847109999999999</v>
      </c>
      <c r="T747">
        <v>-0.23327059999999999</v>
      </c>
      <c r="U747">
        <v>0.51559449999999996</v>
      </c>
      <c r="V747">
        <v>-7.1652789999999994E-2</v>
      </c>
      <c r="W747">
        <v>4.8291309999999997E-2</v>
      </c>
      <c r="X747">
        <v>0.99625989999999998</v>
      </c>
      <c r="Y747">
        <v>-0.17833929999999901</v>
      </c>
      <c r="Z747">
        <v>7.5897169999999898E-3</v>
      </c>
      <c r="AA747">
        <v>0.98393980000000003</v>
      </c>
      <c r="AB747">
        <v>36</v>
      </c>
      <c r="AC747">
        <v>13.264399999999901</v>
      </c>
      <c r="AD747">
        <v>-1.0543933753000001</v>
      </c>
      <c r="AE747">
        <v>2.3321999999999998</v>
      </c>
      <c r="AF747">
        <v>-2.4339799744653501</v>
      </c>
      <c r="AG747">
        <v>-1.0543933753000001</v>
      </c>
      <c r="AH747">
        <v>13.1626741820379</v>
      </c>
      <c r="AI747">
        <v>94.503855277087297</v>
      </c>
      <c r="AJ747">
        <v>100.476526260612</v>
      </c>
      <c r="AK747">
        <v>13.427285486220301</v>
      </c>
    </row>
    <row r="748" spans="1:37" x14ac:dyDescent="0.2">
      <c r="A748" t="str">
        <f>"20200111153623875"</f>
        <v>20200111153623875</v>
      </c>
      <c r="B748" t="str">
        <f>"1578728183872950"</f>
        <v>1578728183872950</v>
      </c>
      <c r="C748" t="s">
        <v>37</v>
      </c>
      <c r="D748">
        <v>5.8889230000000001</v>
      </c>
      <c r="E748">
        <v>0.43681589999999998</v>
      </c>
      <c r="F748" t="s">
        <v>39</v>
      </c>
      <c r="G748">
        <v>-271.91860000000003</v>
      </c>
      <c r="H748" s="1">
        <v>-3.48127599999999E-6</v>
      </c>
      <c r="I748">
        <v>369.43549999999999</v>
      </c>
      <c r="J748">
        <v>-285.08099999999899</v>
      </c>
      <c r="K748">
        <v>1.0544020000000001</v>
      </c>
      <c r="L748">
        <v>367.08170000000001</v>
      </c>
      <c r="M748">
        <v>0.99990579999999996</v>
      </c>
      <c r="N748">
        <v>0</v>
      </c>
      <c r="O748">
        <v>-8.4873589999999999E-3</v>
      </c>
      <c r="P748">
        <v>0.99722770000000005</v>
      </c>
      <c r="Q748">
        <v>3.7522930000000003E-2</v>
      </c>
      <c r="R748">
        <v>6.4259090000000005E-2</v>
      </c>
      <c r="S748">
        <v>2.984283</v>
      </c>
      <c r="T748">
        <v>-0.23274919999999999</v>
      </c>
      <c r="U748">
        <v>0.5189819</v>
      </c>
      <c r="V748">
        <v>-7.2755109999999998E-2</v>
      </c>
      <c r="W748">
        <v>4.8222250000000001E-2</v>
      </c>
      <c r="X748">
        <v>0.99618340000000005</v>
      </c>
      <c r="Y748">
        <v>-0.1791364</v>
      </c>
      <c r="Z748">
        <v>7.57945199999999E-3</v>
      </c>
      <c r="AA748">
        <v>0.98379499999999998</v>
      </c>
      <c r="AB748">
        <v>36</v>
      </c>
      <c r="AC748">
        <v>13.1623999999999</v>
      </c>
      <c r="AD748">
        <v>-1.054405481276</v>
      </c>
      <c r="AE748">
        <v>2.3537999999999699</v>
      </c>
      <c r="AF748">
        <v>-2.4501995611920599</v>
      </c>
      <c r="AG748">
        <v>-1.054405481276</v>
      </c>
      <c r="AH748">
        <v>13.060731140889899</v>
      </c>
      <c r="AI748">
        <v>94.536730561290199</v>
      </c>
      <c r="AJ748">
        <v>100.625217282322</v>
      </c>
      <c r="AK748">
        <v>13.3303393333861</v>
      </c>
    </row>
    <row r="749" spans="1:37" x14ac:dyDescent="0.2">
      <c r="A749" t="str">
        <f>"20200111153623888"</f>
        <v>20200111153623888</v>
      </c>
      <c r="B749" t="str">
        <f>"1578728183883686"</f>
        <v>1578728183883686</v>
      </c>
      <c r="C749" t="s">
        <v>37</v>
      </c>
      <c r="D749">
        <v>5.9057769999999996</v>
      </c>
      <c r="E749">
        <v>0.43714369999999902</v>
      </c>
      <c r="F749" t="s">
        <v>39</v>
      </c>
      <c r="G749">
        <v>-273.0215</v>
      </c>
      <c r="H749" s="1">
        <v>-3.0462889999999999E-6</v>
      </c>
      <c r="I749">
        <v>369.8802</v>
      </c>
      <c r="J749">
        <v>-284.88200000000001</v>
      </c>
      <c r="K749">
        <v>1.054406</v>
      </c>
      <c r="L749">
        <v>367.08019999999999</v>
      </c>
      <c r="M749">
        <v>0.99990619999999997</v>
      </c>
      <c r="N749">
        <v>0</v>
      </c>
      <c r="O749">
        <v>-8.3113579999999996E-3</v>
      </c>
      <c r="P749">
        <v>0.99718499999999999</v>
      </c>
      <c r="Q749">
        <v>3.743544E-2</v>
      </c>
      <c r="R749">
        <v>6.4968150000000002E-2</v>
      </c>
      <c r="S749">
        <v>2.9736630000000002</v>
      </c>
      <c r="T749">
        <v>-0.25999670000000003</v>
      </c>
      <c r="U749">
        <v>0.69006350000000005</v>
      </c>
      <c r="V749">
        <v>-7.3288489999999998E-2</v>
      </c>
      <c r="W749">
        <v>4.8240829999999998E-2</v>
      </c>
      <c r="X749">
        <v>0.99614340000000001</v>
      </c>
      <c r="Y749">
        <v>-0.23326549999999999</v>
      </c>
      <c r="Z749">
        <v>1.076149E-2</v>
      </c>
      <c r="AA749">
        <v>0.97235349999999998</v>
      </c>
      <c r="AB749">
        <v>36</v>
      </c>
      <c r="AC749">
        <v>11.8605</v>
      </c>
      <c r="AD749">
        <v>-1.0544090462889999</v>
      </c>
      <c r="AE749">
        <v>2.80000000000001</v>
      </c>
      <c r="AF749">
        <v>-2.8769487226495598</v>
      </c>
      <c r="AG749">
        <v>-1.0544090462889999</v>
      </c>
      <c r="AH749">
        <v>11.748863405210599</v>
      </c>
      <c r="AI749">
        <v>94.981893535531398</v>
      </c>
      <c r="AJ749">
        <v>103.75929468983399</v>
      </c>
      <c r="AK749">
        <v>12.1418451523624</v>
      </c>
    </row>
    <row r="750" spans="1:37" x14ac:dyDescent="0.2">
      <c r="A750" t="str">
        <f>"20200111153623900"</f>
        <v>20200111153623900</v>
      </c>
      <c r="B750" t="str">
        <f>"1578728183893446"</f>
        <v>1578728183893446</v>
      </c>
      <c r="C750" t="s">
        <v>37</v>
      </c>
      <c r="D750">
        <v>5.8932029999999997</v>
      </c>
      <c r="E750">
        <v>0.43732549999999998</v>
      </c>
      <c r="F750" t="s">
        <v>39</v>
      </c>
      <c r="G750">
        <v>-272.7756</v>
      </c>
      <c r="H750" s="1">
        <v>-3.1539469999999998E-6</v>
      </c>
      <c r="I750">
        <v>369.88830000000002</v>
      </c>
      <c r="J750">
        <v>-284.695999999999</v>
      </c>
      <c r="K750">
        <v>1.0544039999999999</v>
      </c>
      <c r="L750">
        <v>367.0788</v>
      </c>
      <c r="M750">
        <v>0.99990639999999997</v>
      </c>
      <c r="N750">
        <v>0</v>
      </c>
      <c r="O750">
        <v>-8.1467499999999995E-3</v>
      </c>
      <c r="P750">
        <v>0.99714979999999998</v>
      </c>
      <c r="Q750">
        <v>3.7364969999999997E-2</v>
      </c>
      <c r="R750">
        <v>6.5544899999999906E-2</v>
      </c>
      <c r="S750">
        <v>2.973236</v>
      </c>
      <c r="T750">
        <v>-0.25895400000000002</v>
      </c>
      <c r="U750">
        <v>0.68966669999999997</v>
      </c>
      <c r="V750">
        <v>-7.3700680000000005E-2</v>
      </c>
      <c r="W750">
        <v>4.8266070000000001E-2</v>
      </c>
      <c r="X750">
        <v>0.99611179999999999</v>
      </c>
      <c r="Y750">
        <v>-0.23302129999999999</v>
      </c>
      <c r="Z750">
        <v>1.069553E-2</v>
      </c>
      <c r="AA750">
        <v>0.97241279999999997</v>
      </c>
      <c r="AB750">
        <v>36</v>
      </c>
      <c r="AC750">
        <v>11.9203999999999</v>
      </c>
      <c r="AD750">
        <v>-1.0544071539469999</v>
      </c>
      <c r="AE750">
        <v>2.8095000000000101</v>
      </c>
      <c r="AF750">
        <v>-2.8851394424178398</v>
      </c>
      <c r="AG750">
        <v>-1.0544071539469999</v>
      </c>
      <c r="AH750">
        <v>11.809577826739799</v>
      </c>
      <c r="AI750">
        <v>94.957043582696002</v>
      </c>
      <c r="AJ750">
        <v>103.72873140236599</v>
      </c>
      <c r="AK750">
        <v>12.2025379529963</v>
      </c>
    </row>
    <row r="751" spans="1:37" x14ac:dyDescent="0.2">
      <c r="A751" t="str">
        <f>"20200111153623912"</f>
        <v>20200111153623912</v>
      </c>
      <c r="B751" t="str">
        <f>"1578728183903206"</f>
        <v>1578728183903206</v>
      </c>
      <c r="C751" t="s">
        <v>37</v>
      </c>
      <c r="D751">
        <v>5.8994599999999897</v>
      </c>
      <c r="E751">
        <v>0.43729459999999998</v>
      </c>
      <c r="F751" t="s">
        <v>39</v>
      </c>
      <c r="G751">
        <v>-272.6037</v>
      </c>
      <c r="H751" s="1">
        <v>-3.2268920000000002E-6</v>
      </c>
      <c r="I751">
        <v>369.88529999999997</v>
      </c>
      <c r="J751">
        <v>-284.47980000000001</v>
      </c>
      <c r="K751">
        <v>1.0544100000000001</v>
      </c>
      <c r="L751">
        <v>367.07729999999998</v>
      </c>
      <c r="M751">
        <v>0.99990699999999999</v>
      </c>
      <c r="N751">
        <v>0</v>
      </c>
      <c r="O751">
        <v>-7.9560589999999997E-3</v>
      </c>
      <c r="P751">
        <v>0.99715480000000001</v>
      </c>
      <c r="Q751">
        <v>3.7238689999999998E-2</v>
      </c>
      <c r="R751">
        <v>6.5542489999999995E-2</v>
      </c>
      <c r="S751">
        <v>2.972931</v>
      </c>
      <c r="T751">
        <v>-0.25922859999999998</v>
      </c>
      <c r="U751">
        <v>0.69000240000000002</v>
      </c>
      <c r="V751">
        <v>-7.3508879999999999E-2</v>
      </c>
      <c r="W751">
        <v>4.8239410000000003E-2</v>
      </c>
      <c r="X751">
        <v>0.99612719999999899</v>
      </c>
      <c r="Y751">
        <v>-0.232961</v>
      </c>
      <c r="Z751">
        <v>1.068879E-2</v>
      </c>
      <c r="AA751">
        <v>0.97242739999999905</v>
      </c>
      <c r="AB751">
        <v>36</v>
      </c>
      <c r="AC751">
        <v>11.876099999999999</v>
      </c>
      <c r="AD751">
        <v>-1.0544132268919999</v>
      </c>
      <c r="AE751">
        <v>2.8079999999999901</v>
      </c>
      <c r="AF751">
        <v>-2.8808970006164301</v>
      </c>
      <c r="AG751">
        <v>-1.0544132268919999</v>
      </c>
      <c r="AH751">
        <v>11.765548317854901</v>
      </c>
      <c r="AI751">
        <v>94.974897088523207</v>
      </c>
      <c r="AJ751">
        <v>103.758663599637</v>
      </c>
      <c r="AK751">
        <v>12.158926021692199</v>
      </c>
    </row>
    <row r="752" spans="1:37" x14ac:dyDescent="0.2">
      <c r="A752" t="str">
        <f>"20200111153623926"</f>
        <v>20200111153623926</v>
      </c>
      <c r="B752" t="str">
        <f>"1578728183923702"</f>
        <v>1578728183923702</v>
      </c>
      <c r="C752" t="s">
        <v>37</v>
      </c>
      <c r="D752">
        <v>5.8860419999999998</v>
      </c>
      <c r="E752">
        <v>0.43740509999999899</v>
      </c>
      <c r="F752" t="s">
        <v>39</v>
      </c>
      <c r="G752">
        <v>-272.4667</v>
      </c>
      <c r="H752" s="1">
        <v>-3.280239E-6</v>
      </c>
      <c r="I752">
        <v>369.86489999999998</v>
      </c>
      <c r="J752">
        <v>-284.27440000000001</v>
      </c>
      <c r="K752">
        <v>1.0544149999999901</v>
      </c>
      <c r="L752">
        <v>367.07580000000002</v>
      </c>
      <c r="M752">
        <v>0.9999074</v>
      </c>
      <c r="N752">
        <v>0</v>
      </c>
      <c r="O752">
        <v>-7.7750859999999996E-3</v>
      </c>
      <c r="P752">
        <v>0.99712829999999997</v>
      </c>
      <c r="Q752">
        <v>3.7197059999999997E-2</v>
      </c>
      <c r="R752">
        <v>6.5966830000000004E-2</v>
      </c>
      <c r="S752">
        <v>2.972931</v>
      </c>
      <c r="T752">
        <v>-0.26093879999999903</v>
      </c>
      <c r="U752">
        <v>0.68988039999999995</v>
      </c>
      <c r="V752">
        <v>-7.3751899999999995E-2</v>
      </c>
      <c r="W752">
        <v>4.8285599999999998E-2</v>
      </c>
      <c r="X752">
        <v>0.99610699999999996</v>
      </c>
      <c r="Y752">
        <v>-0.23273720000000001</v>
      </c>
      <c r="Z752">
        <v>1.073377E-2</v>
      </c>
      <c r="AA752">
        <v>0.97248040000000002</v>
      </c>
      <c r="AB752">
        <v>36</v>
      </c>
      <c r="AC752">
        <v>11.807700000000001</v>
      </c>
      <c r="AD752">
        <v>-1.0544182802390001</v>
      </c>
      <c r="AE752">
        <v>2.7890999999999599</v>
      </c>
      <c r="AF752">
        <v>-2.85923171476075</v>
      </c>
      <c r="AG752">
        <v>-1.0544182802390001</v>
      </c>
      <c r="AH752">
        <v>11.6973072523572</v>
      </c>
      <c r="AI752">
        <v>95.004284036836594</v>
      </c>
      <c r="AJ752">
        <v>103.73575961380401</v>
      </c>
      <c r="AK752">
        <v>12.087762442422701</v>
      </c>
    </row>
    <row r="753" spans="1:37" x14ac:dyDescent="0.2">
      <c r="A753" t="str">
        <f>"20200111153623938"</f>
        <v>20200111153623938</v>
      </c>
      <c r="B753" t="str">
        <f>"1578728183933462"</f>
        <v>1578728183933462</v>
      </c>
      <c r="C753" t="s">
        <v>37</v>
      </c>
      <c r="D753">
        <v>5.8552210000000002</v>
      </c>
      <c r="E753">
        <v>0.43761830000000002</v>
      </c>
      <c r="F753" t="s">
        <v>39</v>
      </c>
      <c r="G753">
        <v>-272.27080000000001</v>
      </c>
      <c r="H753" s="1">
        <v>-3.363728E-6</v>
      </c>
      <c r="I753">
        <v>369.86279999999999</v>
      </c>
      <c r="J753">
        <v>-284.08420000000001</v>
      </c>
      <c r="K753">
        <v>1.0544169999999999</v>
      </c>
      <c r="L753">
        <v>367.0745</v>
      </c>
      <c r="M753">
        <v>0.99990769999999995</v>
      </c>
      <c r="N753">
        <v>0</v>
      </c>
      <c r="O753">
        <v>-7.6077649999999998E-3</v>
      </c>
      <c r="P753">
        <v>0.99711039999999995</v>
      </c>
      <c r="Q753">
        <v>3.7164580000000003E-2</v>
      </c>
      <c r="R753">
        <v>6.6256309999999999E-2</v>
      </c>
      <c r="S753">
        <v>2.9727169999999998</v>
      </c>
      <c r="T753">
        <v>-0.26112759999999902</v>
      </c>
      <c r="U753">
        <v>0.6902161</v>
      </c>
      <c r="V753">
        <v>-7.3874780000000001E-2</v>
      </c>
      <c r="W753">
        <v>4.8330369999999997E-2</v>
      </c>
      <c r="X753">
        <v>0.99609570000000003</v>
      </c>
      <c r="Y753">
        <v>-0.232693399999999</v>
      </c>
      <c r="Z753">
        <v>1.0725739999999999E-2</v>
      </c>
      <c r="AA753">
        <v>0.97249099999999999</v>
      </c>
      <c r="AB753">
        <v>36</v>
      </c>
      <c r="AC753">
        <v>11.8134</v>
      </c>
      <c r="AD753">
        <v>-1.0544203637279901</v>
      </c>
      <c r="AE753">
        <v>2.7882999999999898</v>
      </c>
      <c r="AF753">
        <v>-2.8565422753601801</v>
      </c>
      <c r="AG753">
        <v>-1.0544203637279901</v>
      </c>
      <c r="AH753">
        <v>11.703525841604</v>
      </c>
      <c r="AI753">
        <v>95.0020609514835</v>
      </c>
      <c r="AJ753">
        <v>103.71631194169601</v>
      </c>
      <c r="AK753">
        <v>12.0931448845806</v>
      </c>
    </row>
    <row r="754" spans="1:37" x14ac:dyDescent="0.2">
      <c r="A754" t="str">
        <f>"20200111153623954"</f>
        <v>20200111153623954</v>
      </c>
      <c r="B754" t="str">
        <f>"1578728183943222"</f>
        <v>1578728183943222</v>
      </c>
      <c r="C754" t="s">
        <v>37</v>
      </c>
      <c r="D754">
        <v>5.8935949999999897</v>
      </c>
      <c r="E754">
        <v>0.43761409999999901</v>
      </c>
      <c r="F754" t="s">
        <v>39</v>
      </c>
      <c r="G754">
        <v>-272.08109999999999</v>
      </c>
      <c r="H754" s="1">
        <v>-3.4437409999999998E-6</v>
      </c>
      <c r="I754">
        <v>369.8578</v>
      </c>
      <c r="J754">
        <v>-283.82420000000002</v>
      </c>
      <c r="K754">
        <v>1.0544229999999899</v>
      </c>
      <c r="L754">
        <v>367.0727</v>
      </c>
      <c r="M754">
        <v>0.99990840000000003</v>
      </c>
      <c r="N754">
        <v>0</v>
      </c>
      <c r="O754">
        <v>-7.3784319999999999E-3</v>
      </c>
      <c r="P754">
        <v>0.99707819999999903</v>
      </c>
      <c r="Q754">
        <v>3.6792180000000001E-2</v>
      </c>
      <c r="R754">
        <v>6.6945980000000002E-2</v>
      </c>
      <c r="S754">
        <v>2.972626</v>
      </c>
      <c r="T754">
        <v>-0.26113049999999999</v>
      </c>
      <c r="U754">
        <v>0.68930049999999998</v>
      </c>
      <c r="V754">
        <v>-7.4335540000000006E-2</v>
      </c>
      <c r="W754">
        <v>4.805127E-2</v>
      </c>
      <c r="X754">
        <v>0.99607500000000004</v>
      </c>
      <c r="Y754">
        <v>-0.23219529999999999</v>
      </c>
      <c r="Z754">
        <v>1.0685139999999999E-2</v>
      </c>
      <c r="AA754">
        <v>0.97261049999999905</v>
      </c>
      <c r="AB754">
        <v>36</v>
      </c>
      <c r="AC754">
        <v>11.7431</v>
      </c>
      <c r="AD754">
        <v>-1.05442644374099</v>
      </c>
      <c r="AE754">
        <v>2.7850999999999999</v>
      </c>
      <c r="AF754">
        <v>-2.84992169646666</v>
      </c>
      <c r="AG754">
        <v>-1.05442644374099</v>
      </c>
      <c r="AH754">
        <v>11.633430224993001</v>
      </c>
      <c r="AI754">
        <v>95.031033500681602</v>
      </c>
      <c r="AJ754">
        <v>103.76505220224099</v>
      </c>
      <c r="AK754">
        <v>12.0237501471476</v>
      </c>
    </row>
    <row r="755" spans="1:37" x14ac:dyDescent="0.2">
      <c r="A755" t="str">
        <f>"20200111153623977"</f>
        <v>20200111153623977</v>
      </c>
      <c r="B755" t="str">
        <f>"1578728183973478"</f>
        <v>1578728183973478</v>
      </c>
      <c r="C755" t="s">
        <v>37</v>
      </c>
      <c r="D755">
        <v>5.9118909999999998</v>
      </c>
      <c r="E755">
        <v>0.43784329999999999</v>
      </c>
      <c r="F755" t="s">
        <v>39</v>
      </c>
      <c r="G755">
        <v>-271.8639</v>
      </c>
      <c r="H755" s="1">
        <v>-3.5362300000000001E-6</v>
      </c>
      <c r="I755">
        <v>369.85509999999999</v>
      </c>
      <c r="J755">
        <v>-283.4676</v>
      </c>
      <c r="K755">
        <v>1.054433</v>
      </c>
      <c r="L755">
        <v>367.07040000000001</v>
      </c>
      <c r="M755">
        <v>0.9999093</v>
      </c>
      <c r="N755">
        <v>0</v>
      </c>
      <c r="O755">
        <v>-7.0635139999999999E-3</v>
      </c>
      <c r="P755">
        <v>0.99701509999999904</v>
      </c>
      <c r="Q755">
        <v>3.6675430000000002E-2</v>
      </c>
      <c r="R755">
        <v>6.7940970000000003E-2</v>
      </c>
      <c r="S755">
        <v>2.97204599999999</v>
      </c>
      <c r="T755">
        <v>-0.26201429999999998</v>
      </c>
      <c r="U755">
        <v>0.69140630000000003</v>
      </c>
      <c r="V755">
        <v>-7.5016159999999998E-2</v>
      </c>
      <c r="W755">
        <v>4.8049370000000001E-2</v>
      </c>
      <c r="X755">
        <v>0.99602400000000002</v>
      </c>
      <c r="Y755">
        <v>-0.23257829999999999</v>
      </c>
      <c r="Z755">
        <v>1.071163E-2</v>
      </c>
      <c r="AA755">
        <v>0.97251869999999996</v>
      </c>
      <c r="AB755">
        <v>36</v>
      </c>
      <c r="AC755">
        <v>11.6037</v>
      </c>
      <c r="AD755">
        <v>-1.0544365362299899</v>
      </c>
      <c r="AE755">
        <v>2.78469999999998</v>
      </c>
      <c r="AF755">
        <v>-2.8443903272573401</v>
      </c>
      <c r="AG755">
        <v>-1.0544365362299899</v>
      </c>
      <c r="AH755">
        <v>11.4939963971757</v>
      </c>
      <c r="AI755">
        <v>95.088866923999404</v>
      </c>
      <c r="AJ755">
        <v>103.899595063155</v>
      </c>
      <c r="AK755">
        <v>11.887571069020799</v>
      </c>
    </row>
    <row r="756" spans="1:37" x14ac:dyDescent="0.2">
      <c r="A756" t="str">
        <f>"20200111153623988"</f>
        <v>20200111153623988</v>
      </c>
      <c r="B756" t="str">
        <f>"1578728183983238"</f>
        <v>1578728183983238</v>
      </c>
      <c r="C756" t="s">
        <v>37</v>
      </c>
      <c r="D756">
        <v>5.8899410000000003</v>
      </c>
      <c r="E756">
        <v>0.4379555</v>
      </c>
      <c r="F756" t="s">
        <v>39</v>
      </c>
      <c r="G756">
        <v>-271.52120000000002</v>
      </c>
      <c r="H756" s="1">
        <v>-3.682543E-6</v>
      </c>
      <c r="I756">
        <v>369.85239999999999</v>
      </c>
      <c r="J756">
        <v>-283.28390000000002</v>
      </c>
      <c r="K756">
        <v>1.054438</v>
      </c>
      <c r="L756">
        <v>367.0693</v>
      </c>
      <c r="M756">
        <v>0.99990979999999996</v>
      </c>
      <c r="N756">
        <v>0</v>
      </c>
      <c r="O756">
        <v>-6.9014369999999998E-3</v>
      </c>
      <c r="P756">
        <v>0.99699819999999995</v>
      </c>
      <c r="Q756">
        <v>3.6501640000000002E-2</v>
      </c>
      <c r="R756">
        <v>6.8281899999999895E-2</v>
      </c>
      <c r="S756">
        <v>2.9714659999999999</v>
      </c>
      <c r="T756">
        <v>-0.26227050000000002</v>
      </c>
      <c r="U756">
        <v>0.69198609999999905</v>
      </c>
      <c r="V756">
        <v>-7.519518E-2</v>
      </c>
      <c r="W756">
        <v>4.7927440000000002E-2</v>
      </c>
      <c r="X756">
        <v>0.99601640000000002</v>
      </c>
      <c r="Y756">
        <v>-0.23264099999999999</v>
      </c>
      <c r="Z756">
        <v>1.071249E-2</v>
      </c>
      <c r="AA756">
        <v>0.97250369999999997</v>
      </c>
      <c r="AB756">
        <v>36</v>
      </c>
      <c r="AC756">
        <v>11.762699999999899</v>
      </c>
      <c r="AD756">
        <v>-1.0544416825430001</v>
      </c>
      <c r="AE756">
        <v>2.7830999999999899</v>
      </c>
      <c r="AF756">
        <v>-2.84258703555725</v>
      </c>
      <c r="AG756">
        <v>-1.0544416825430001</v>
      </c>
      <c r="AH756">
        <v>11.6545222597001</v>
      </c>
      <c r="AI756">
        <v>95.023283664168403</v>
      </c>
      <c r="AJ756">
        <v>103.70705673381001</v>
      </c>
      <c r="AK756">
        <v>12.042426558565699</v>
      </c>
    </row>
    <row r="757" spans="1:37" x14ac:dyDescent="0.2">
      <c r="A757" t="str">
        <f>"20200111153624000"</f>
        <v>20200111153624000</v>
      </c>
      <c r="B757" t="str">
        <f>"1578728183992998"</f>
        <v>1578728183992998</v>
      </c>
      <c r="C757" t="s">
        <v>37</v>
      </c>
      <c r="D757">
        <v>5.939889</v>
      </c>
      <c r="E757">
        <v>0.4379555</v>
      </c>
      <c r="F757" t="s">
        <v>39</v>
      </c>
      <c r="G757">
        <v>-271.351</v>
      </c>
      <c r="H757" s="1">
        <v>-3.7547440000000002E-6</v>
      </c>
      <c r="I757">
        <v>369.8494</v>
      </c>
      <c r="J757">
        <v>-283.08449999999999</v>
      </c>
      <c r="K757">
        <v>1.054438</v>
      </c>
      <c r="L757">
        <v>367.06810000000002</v>
      </c>
      <c r="M757">
        <v>0.99991039999999998</v>
      </c>
      <c r="N757">
        <v>0</v>
      </c>
      <c r="O757">
        <v>-6.7254250000000002E-3</v>
      </c>
      <c r="P757">
        <v>0.99696309999999999</v>
      </c>
      <c r="Q757">
        <v>3.6701989999999997E-2</v>
      </c>
      <c r="R757">
        <v>6.8686549999999999E-2</v>
      </c>
      <c r="S757">
        <v>2.971222</v>
      </c>
      <c r="T757">
        <v>-0.2625461</v>
      </c>
      <c r="U757">
        <v>0.69223020000000002</v>
      </c>
      <c r="V757">
        <v>-7.5424599999999994E-2</v>
      </c>
      <c r="W757">
        <v>4.818178E-2</v>
      </c>
      <c r="X757">
        <v>0.99598679999999995</v>
      </c>
      <c r="Y757">
        <v>-0.2325622</v>
      </c>
      <c r="Z757">
        <v>1.070571E-2</v>
      </c>
      <c r="AA757">
        <v>0.97252260000000001</v>
      </c>
      <c r="AB757">
        <v>36</v>
      </c>
      <c r="AC757">
        <v>11.7334999999999</v>
      </c>
      <c r="AD757">
        <v>-1.0544417547439999</v>
      </c>
      <c r="AE757">
        <v>2.7812999999999799</v>
      </c>
      <c r="AF757">
        <v>-2.8384516158482902</v>
      </c>
      <c r="AG757">
        <v>-1.0544417547439999</v>
      </c>
      <c r="AH757">
        <v>11.6256353116186</v>
      </c>
      <c r="AI757">
        <v>95.035412749159207</v>
      </c>
      <c r="AJ757">
        <v>103.72059339112199</v>
      </c>
      <c r="AK757">
        <v>12.0134945535598</v>
      </c>
    </row>
    <row r="758" spans="1:37" x14ac:dyDescent="0.2">
      <c r="A758" t="str">
        <f>"20200111153624011"</f>
        <v>20200111153624011</v>
      </c>
      <c r="B758" t="str">
        <f>"1578728184003734"</f>
        <v>1578728184003734</v>
      </c>
      <c r="C758" t="s">
        <v>37</v>
      </c>
      <c r="D758">
        <v>5.884544</v>
      </c>
      <c r="E758">
        <v>0.43797649999999999</v>
      </c>
      <c r="F758" t="s">
        <v>39</v>
      </c>
      <c r="G758">
        <v>-271.12950000000001</v>
      </c>
      <c r="H758" s="1">
        <v>-3.852012E-6</v>
      </c>
      <c r="I758">
        <v>369.85789999999997</v>
      </c>
      <c r="J758">
        <v>-282.90390000000002</v>
      </c>
      <c r="K758">
        <v>1.054443</v>
      </c>
      <c r="L758">
        <v>367.06699999999898</v>
      </c>
      <c r="M758">
        <v>0.99991099999999999</v>
      </c>
      <c r="N758">
        <v>0</v>
      </c>
      <c r="O758">
        <v>-6.5661649999999997E-3</v>
      </c>
      <c r="P758">
        <v>0.99693699999999996</v>
      </c>
      <c r="Q758">
        <v>3.6777940000000002E-2</v>
      </c>
      <c r="R758">
        <v>6.9021600000000002E-2</v>
      </c>
      <c r="S758">
        <v>2.9710079999999999</v>
      </c>
      <c r="T758">
        <v>-0.26204339999999998</v>
      </c>
      <c r="U758">
        <v>0.69332890000000003</v>
      </c>
      <c r="V758">
        <v>-7.5600829999999994E-2</v>
      </c>
      <c r="W758">
        <v>4.8301799999999999E-2</v>
      </c>
      <c r="X758">
        <v>0.99596759999999995</v>
      </c>
      <c r="Y758">
        <v>-0.2327671</v>
      </c>
      <c r="Z758">
        <v>1.068065E-2</v>
      </c>
      <c r="AA758">
        <v>0.9724739</v>
      </c>
      <c r="AB758">
        <v>36</v>
      </c>
      <c r="AC758">
        <v>11.7744</v>
      </c>
      <c r="AD758">
        <v>-1.0544468520119901</v>
      </c>
      <c r="AE758">
        <v>2.7909000000000201</v>
      </c>
      <c r="AF758">
        <v>-2.8465429522331802</v>
      </c>
      <c r="AG758">
        <v>-1.0544468520119901</v>
      </c>
      <c r="AH758">
        <v>11.667226284051701</v>
      </c>
      <c r="AI758">
        <v>95.017781942815503</v>
      </c>
      <c r="AJ758">
        <v>103.71103057126101</v>
      </c>
      <c r="AK758">
        <v>12.055655689587899</v>
      </c>
    </row>
    <row r="759" spans="1:37" x14ac:dyDescent="0.2">
      <c r="A759" t="str">
        <f>"20200111153624024"</f>
        <v>20200111153624024</v>
      </c>
      <c r="B759" t="str">
        <f>"1578728184013494"</f>
        <v>1578728184013494</v>
      </c>
      <c r="C759" t="s">
        <v>37</v>
      </c>
      <c r="D759">
        <v>5.8941189999999999</v>
      </c>
      <c r="E759">
        <v>0.43805149999999998</v>
      </c>
      <c r="F759" t="s">
        <v>39</v>
      </c>
      <c r="G759">
        <v>-270.99549999999999</v>
      </c>
      <c r="H759" s="1">
        <v>-3.907223E-6</v>
      </c>
      <c r="I759">
        <v>369.84930000000003</v>
      </c>
      <c r="J759">
        <v>-282.70819999999998</v>
      </c>
      <c r="K759">
        <v>1.054446</v>
      </c>
      <c r="L759">
        <v>367.0659</v>
      </c>
      <c r="M759">
        <v>0.99991160000000001</v>
      </c>
      <c r="N759">
        <v>0</v>
      </c>
      <c r="O759">
        <v>-6.3934450000000002E-3</v>
      </c>
      <c r="P759">
        <v>0.99690499999999904</v>
      </c>
      <c r="Q759">
        <v>3.691324E-2</v>
      </c>
      <c r="R759">
        <v>6.9410390000000002E-2</v>
      </c>
      <c r="S759">
        <v>2.9708559999999999</v>
      </c>
      <c r="T759">
        <v>-0.26305659999999997</v>
      </c>
      <c r="U759">
        <v>0.69412229999999997</v>
      </c>
      <c r="V759">
        <v>-7.5817190000000007E-2</v>
      </c>
      <c r="W759">
        <v>4.8481829999999997E-2</v>
      </c>
      <c r="X759">
        <v>0.99594240000000001</v>
      </c>
      <c r="Y759">
        <v>-0.23285</v>
      </c>
      <c r="Z759">
        <v>1.0710549999999999E-2</v>
      </c>
      <c r="AA759">
        <v>0.97245369999999998</v>
      </c>
      <c r="AB759">
        <v>36</v>
      </c>
      <c r="AC759">
        <v>11.7126999999999</v>
      </c>
      <c r="AD759">
        <v>-1.054449907223</v>
      </c>
      <c r="AE759">
        <v>2.7834000000000199</v>
      </c>
      <c r="AF759">
        <v>-2.8364727281730202</v>
      </c>
      <c r="AG759">
        <v>-1.054449907223</v>
      </c>
      <c r="AH759">
        <v>11.605631383766401</v>
      </c>
      <c r="AI759">
        <v>95.043796486057204</v>
      </c>
      <c r="AJ759">
        <v>103.734128212615</v>
      </c>
      <c r="AK759">
        <v>11.9936700788531</v>
      </c>
    </row>
    <row r="760" spans="1:37" x14ac:dyDescent="0.2">
      <c r="A760" t="str">
        <f>"20200111153624035"</f>
        <v>20200111153624035</v>
      </c>
      <c r="B760" t="str">
        <f>"1578728184033990"</f>
        <v>1578728184033990</v>
      </c>
      <c r="C760" t="s">
        <v>37</v>
      </c>
      <c r="D760">
        <v>5.9046959999999897</v>
      </c>
      <c r="E760">
        <v>0.43811420000000001</v>
      </c>
      <c r="F760" t="s">
        <v>39</v>
      </c>
      <c r="G760">
        <v>-270.81349999999998</v>
      </c>
      <c r="H760" s="1">
        <v>-3.9848609999999997E-6</v>
      </c>
      <c r="I760">
        <v>369.84769999999997</v>
      </c>
      <c r="J760">
        <v>-282.5093</v>
      </c>
      <c r="K760">
        <v>1.0544549999999999</v>
      </c>
      <c r="L760">
        <v>367.06479999999999</v>
      </c>
      <c r="M760">
        <v>0.99991219999999903</v>
      </c>
      <c r="N760">
        <v>0</v>
      </c>
      <c r="O760">
        <v>-6.2177309999999998E-3</v>
      </c>
      <c r="P760">
        <v>0.9968958</v>
      </c>
      <c r="Q760">
        <v>3.6870569999999998E-2</v>
      </c>
      <c r="R760">
        <v>6.9565109999999999E-2</v>
      </c>
      <c r="S760">
        <v>2.9707029999999999</v>
      </c>
      <c r="T760">
        <v>-0.26334930000000001</v>
      </c>
      <c r="U760">
        <v>0.69479369999999996</v>
      </c>
      <c r="V760">
        <v>-7.5796779999999994E-2</v>
      </c>
      <c r="W760">
        <v>4.8481349999999999E-2</v>
      </c>
      <c r="X760">
        <v>0.99594400000000005</v>
      </c>
      <c r="Y760">
        <v>-0.23289699999999999</v>
      </c>
      <c r="Z760">
        <v>1.07093999999999E-2</v>
      </c>
      <c r="AA760">
        <v>0.97244240000000004</v>
      </c>
      <c r="AB760">
        <v>36</v>
      </c>
      <c r="AC760">
        <v>11.6958</v>
      </c>
      <c r="AD760">
        <v>-1.054458984861</v>
      </c>
      <c r="AE760">
        <v>2.7828999999999802</v>
      </c>
      <c r="AF760">
        <v>-2.8337729628744301</v>
      </c>
      <c r="AG760">
        <v>-1.054458984861</v>
      </c>
      <c r="AH760">
        <v>11.589117008539301</v>
      </c>
      <c r="AI760">
        <v>95.050856285185702</v>
      </c>
      <c r="AJ760">
        <v>103.74036282750301</v>
      </c>
      <c r="AK760">
        <v>11.9770524751914</v>
      </c>
    </row>
    <row r="761" spans="1:37" x14ac:dyDescent="0.2">
      <c r="A761" t="str">
        <f>"20200111153624049"</f>
        <v>20200111153624049</v>
      </c>
      <c r="B761" t="str">
        <f>"1578728184043750"</f>
        <v>1578728184043750</v>
      </c>
      <c r="C761" t="s">
        <v>37</v>
      </c>
      <c r="D761">
        <v>5.8861629999999998</v>
      </c>
      <c r="E761">
        <v>0.438214099999999</v>
      </c>
      <c r="F761" t="s">
        <v>39</v>
      </c>
      <c r="G761">
        <v>-270.68900000000002</v>
      </c>
      <c r="H761" s="1">
        <v>-4.033279E-6</v>
      </c>
      <c r="I761">
        <v>369.82889999999998</v>
      </c>
      <c r="J761">
        <v>-282.30930000000001</v>
      </c>
      <c r="K761">
        <v>1.054459</v>
      </c>
      <c r="L761">
        <v>367.06369999999998</v>
      </c>
      <c r="M761">
        <v>0.99991269999999999</v>
      </c>
      <c r="N761">
        <v>0</v>
      </c>
      <c r="O761">
        <v>-6.0412799999999996E-3</v>
      </c>
      <c r="P761">
        <v>0.99685000000000001</v>
      </c>
      <c r="Q761">
        <v>3.6992160000000003E-2</v>
      </c>
      <c r="R761">
        <v>7.0154389999999997E-2</v>
      </c>
      <c r="S761">
        <v>2.9706730000000001</v>
      </c>
      <c r="T761">
        <v>-0.26500489999999999</v>
      </c>
      <c r="U761">
        <v>0.69470209999999999</v>
      </c>
      <c r="V761">
        <v>-7.6210299999999995E-2</v>
      </c>
      <c r="W761">
        <v>4.8640910000000002E-2</v>
      </c>
      <c r="X761">
        <v>0.99590460000000003</v>
      </c>
      <c r="Y761">
        <v>-0.23268949999999999</v>
      </c>
      <c r="Z761">
        <v>1.0751989999999999E-2</v>
      </c>
      <c r="AA761">
        <v>0.97249159999999901</v>
      </c>
      <c r="AB761">
        <v>36</v>
      </c>
      <c r="AC761">
        <v>11.620299999999901</v>
      </c>
      <c r="AD761">
        <v>-1.0544630332789999</v>
      </c>
      <c r="AE761">
        <v>2.7651999999999899</v>
      </c>
      <c r="AF761">
        <v>-2.81343070242982</v>
      </c>
      <c r="AG761">
        <v>-1.0544630332789999</v>
      </c>
      <c r="AH761">
        <v>11.5136551008256</v>
      </c>
      <c r="AI761">
        <v>95.083998232245506</v>
      </c>
      <c r="AJ761">
        <v>103.73148642418001</v>
      </c>
      <c r="AK761">
        <v>11.899224276678501</v>
      </c>
    </row>
    <row r="762" spans="1:37" x14ac:dyDescent="0.2">
      <c r="A762" t="str">
        <f>"20200111153624061"</f>
        <v>20200111153624061</v>
      </c>
      <c r="B762" t="str">
        <f>"1578728184053510"</f>
        <v>1578728184053510</v>
      </c>
      <c r="C762" t="s">
        <v>37</v>
      </c>
      <c r="D762">
        <v>5.9071249999999997</v>
      </c>
      <c r="E762">
        <v>0.4382124</v>
      </c>
      <c r="F762" t="s">
        <v>39</v>
      </c>
      <c r="G762">
        <v>-270.50069999999999</v>
      </c>
      <c r="H762" s="1">
        <v>-4.1141649999999996E-6</v>
      </c>
      <c r="I762">
        <v>369.82929999999999</v>
      </c>
      <c r="J762">
        <v>-282.11430000000001</v>
      </c>
      <c r="K762">
        <v>1.054465</v>
      </c>
      <c r="L762">
        <v>367.06270000000001</v>
      </c>
      <c r="M762">
        <v>0.99991350000000001</v>
      </c>
      <c r="N762">
        <v>0</v>
      </c>
      <c r="O762">
        <v>-5.8693440000000003E-3</v>
      </c>
      <c r="P762">
        <v>0.99683619999999995</v>
      </c>
      <c r="Q762">
        <v>3.6840150000000002E-2</v>
      </c>
      <c r="R762">
        <v>7.0430320000000005E-2</v>
      </c>
      <c r="S762">
        <v>2.970367</v>
      </c>
      <c r="T762">
        <v>-0.26524009999999998</v>
      </c>
      <c r="U762">
        <v>0.69567869999999998</v>
      </c>
      <c r="V762">
        <v>-7.6314720000000003E-2</v>
      </c>
      <c r="W762">
        <v>4.8525169999999999E-2</v>
      </c>
      <c r="X762">
        <v>0.99590230000000002</v>
      </c>
      <c r="Y762">
        <v>-0.23284589999999999</v>
      </c>
      <c r="Z762">
        <v>1.075393E-2</v>
      </c>
      <c r="AA762">
        <v>0.97245419999999905</v>
      </c>
      <c r="AB762">
        <v>36</v>
      </c>
      <c r="AC762">
        <v>11.6136</v>
      </c>
      <c r="AD762">
        <v>-1.054469114165</v>
      </c>
      <c r="AE762">
        <v>2.76659999999998</v>
      </c>
      <c r="AF762">
        <v>-2.8127781946704502</v>
      </c>
      <c r="AG762">
        <v>-1.054469114165</v>
      </c>
      <c r="AH762">
        <v>11.5073890906737</v>
      </c>
      <c r="AI762">
        <v>95.086692133995101</v>
      </c>
      <c r="AJ762">
        <v>103.73561458828701</v>
      </c>
      <c r="AK762">
        <v>11.893007608225</v>
      </c>
    </row>
    <row r="763" spans="1:37" x14ac:dyDescent="0.2">
      <c r="A763" t="str">
        <f>"20200111153624076"</f>
        <v>20200111153624076</v>
      </c>
      <c r="B763" t="str">
        <f>"1578728184073030"</f>
        <v>1578728184073030</v>
      </c>
      <c r="C763" t="s">
        <v>37</v>
      </c>
      <c r="D763">
        <v>5.9329710000000002</v>
      </c>
      <c r="E763">
        <v>0.43827669999999902</v>
      </c>
      <c r="F763" t="s">
        <v>39</v>
      </c>
      <c r="G763">
        <v>-270.3426</v>
      </c>
      <c r="H763" s="1">
        <v>-4.1802399999999996E-6</v>
      </c>
      <c r="I763">
        <v>369.8227</v>
      </c>
      <c r="J763">
        <v>-281.85579999999999</v>
      </c>
      <c r="K763">
        <v>1.0544690000000001</v>
      </c>
      <c r="L763">
        <v>367.06139999999999</v>
      </c>
      <c r="M763">
        <v>0.99991419999999998</v>
      </c>
      <c r="N763">
        <v>0</v>
      </c>
      <c r="O763">
        <v>-5.6410610000000002E-3</v>
      </c>
      <c r="P763">
        <v>0.99677959999999999</v>
      </c>
      <c r="Q763">
        <v>3.7132400000000003E-2</v>
      </c>
      <c r="R763">
        <v>7.1074799999999994E-2</v>
      </c>
      <c r="S763">
        <v>2.970154</v>
      </c>
      <c r="T763">
        <v>-0.26605220000000002</v>
      </c>
      <c r="U763">
        <v>0.69638059999999902</v>
      </c>
      <c r="V763">
        <v>-7.6731359999999998E-2</v>
      </c>
      <c r="W763">
        <v>4.8859029999999998E-2</v>
      </c>
      <c r="X763">
        <v>0.99585400000000002</v>
      </c>
      <c r="Y763">
        <v>-0.23285259999999999</v>
      </c>
      <c r="Z763">
        <v>1.076734E-2</v>
      </c>
      <c r="AA763">
        <v>0.97245249999999905</v>
      </c>
      <c r="AB763">
        <v>36</v>
      </c>
      <c r="AC763">
        <v>11.5131999999999</v>
      </c>
      <c r="AD763">
        <v>-1.05447318023999</v>
      </c>
      <c r="AE763">
        <v>2.7612999999999999</v>
      </c>
      <c r="AF763">
        <v>-2.8039658563720602</v>
      </c>
      <c r="AG763">
        <v>-1.05447318023999</v>
      </c>
      <c r="AH763">
        <v>11.406957633454001</v>
      </c>
      <c r="AI763">
        <v>95.129631233752406</v>
      </c>
      <c r="AJ763">
        <v>103.810176387932</v>
      </c>
      <c r="AK763">
        <v>11.7937619385403</v>
      </c>
    </row>
    <row r="764" spans="1:37" x14ac:dyDescent="0.2">
      <c r="A764" t="str">
        <f>"20200111153624089"</f>
        <v>20200111153624089</v>
      </c>
      <c r="B764" t="str">
        <f>"1578728184083766"</f>
        <v>1578728184083766</v>
      </c>
      <c r="C764" t="s">
        <v>37</v>
      </c>
      <c r="D764">
        <v>5.9072120000000004</v>
      </c>
      <c r="E764">
        <v>0.43833109999999997</v>
      </c>
      <c r="F764" t="s">
        <v>39</v>
      </c>
      <c r="G764">
        <v>-270.0994</v>
      </c>
      <c r="H764" s="1">
        <v>-4.2788450000000002E-6</v>
      </c>
      <c r="I764">
        <v>369.8229</v>
      </c>
      <c r="J764">
        <v>-281.67059999999998</v>
      </c>
      <c r="K764">
        <v>1.054473</v>
      </c>
      <c r="L764">
        <v>367.06049999999999</v>
      </c>
      <c r="M764">
        <v>0.99991469999999905</v>
      </c>
      <c r="N764">
        <v>0</v>
      </c>
      <c r="O764">
        <v>-5.4774250000000002E-3</v>
      </c>
      <c r="P764">
        <v>0.99676669999999901</v>
      </c>
      <c r="Q764">
        <v>3.7134779999999999E-2</v>
      </c>
      <c r="R764">
        <v>7.1253460000000005E-2</v>
      </c>
      <c r="S764">
        <v>2.9698790000000002</v>
      </c>
      <c r="T764">
        <v>-0.26637729999999998</v>
      </c>
      <c r="U764">
        <v>0.69763180000000002</v>
      </c>
      <c r="V764">
        <v>-7.6746910000000002E-2</v>
      </c>
      <c r="W764">
        <v>4.8888559999999998E-2</v>
      </c>
      <c r="X764">
        <v>0.99585129999999999</v>
      </c>
      <c r="Y764">
        <v>-0.23309920000000001</v>
      </c>
      <c r="Z764">
        <v>1.077734E-2</v>
      </c>
      <c r="AA764">
        <v>0.97239319999999896</v>
      </c>
      <c r="AB764">
        <v>36</v>
      </c>
      <c r="AC764">
        <v>11.5711999999999</v>
      </c>
      <c r="AD764">
        <v>-1.0544772788450001</v>
      </c>
      <c r="AE764">
        <v>2.7624000000000102</v>
      </c>
      <c r="AF764">
        <v>-2.8037151553521298</v>
      </c>
      <c r="AG764">
        <v>-1.0544772788450001</v>
      </c>
      <c r="AH764">
        <v>11.4658098904633</v>
      </c>
      <c r="AI764">
        <v>95.104967939071201</v>
      </c>
      <c r="AJ764">
        <v>103.74080261614699</v>
      </c>
      <c r="AK764">
        <v>11.8506344744996</v>
      </c>
    </row>
    <row r="765" spans="1:37" x14ac:dyDescent="0.2">
      <c r="A765" t="str">
        <f>"20200111153624101"</f>
        <v>20200111153624101</v>
      </c>
      <c r="B765" t="str">
        <f>"1578728184093526"</f>
        <v>1578728184093526</v>
      </c>
      <c r="C765" t="s">
        <v>37</v>
      </c>
      <c r="D765">
        <v>5.9178689999999996</v>
      </c>
      <c r="E765">
        <v>0.43838949999999999</v>
      </c>
      <c r="F765" t="s">
        <v>39</v>
      </c>
      <c r="G765">
        <v>-269.9341</v>
      </c>
      <c r="H765" s="1">
        <v>-6.4390820000000006E-8</v>
      </c>
      <c r="I765">
        <v>369.81830000000002</v>
      </c>
      <c r="J765">
        <v>-281.47800000000001</v>
      </c>
      <c r="K765">
        <v>1.054476</v>
      </c>
      <c r="L765">
        <v>367.05959999999999</v>
      </c>
      <c r="M765">
        <v>0.99991540000000001</v>
      </c>
      <c r="N765">
        <v>0</v>
      </c>
      <c r="O765">
        <v>-5.30735199999999E-3</v>
      </c>
      <c r="P765">
        <v>0.99676299999999995</v>
      </c>
      <c r="Q765">
        <v>3.7162870000000001E-2</v>
      </c>
      <c r="R765">
        <v>7.1294189999999993E-2</v>
      </c>
      <c r="S765">
        <v>2.9697879999999999</v>
      </c>
      <c r="T765">
        <v>-0.26682070000000002</v>
      </c>
      <c r="U765">
        <v>0.69784550000000001</v>
      </c>
      <c r="V765">
        <v>-7.6618510000000001E-2</v>
      </c>
      <c r="W765">
        <v>4.8944290000000001E-2</v>
      </c>
      <c r="X765">
        <v>0.99585840000000003</v>
      </c>
      <c r="Y765">
        <v>-0.23300479999999901</v>
      </c>
      <c r="Z765">
        <v>1.077622E-2</v>
      </c>
      <c r="AA765">
        <v>0.9724159</v>
      </c>
      <c r="AB765">
        <v>36</v>
      </c>
      <c r="AC765">
        <v>11.543900000000001</v>
      </c>
      <c r="AD765">
        <v>-1.05447606439082</v>
      </c>
      <c r="AE765">
        <v>2.7587000000000299</v>
      </c>
      <c r="AF765">
        <v>-2.7978492471408898</v>
      </c>
      <c r="AG765">
        <v>-1.05447606439082</v>
      </c>
      <c r="AH765">
        <v>11.438807110193601</v>
      </c>
      <c r="AI765">
        <v>95.1168734349489</v>
      </c>
      <c r="AJ765">
        <v>103.744286011014</v>
      </c>
      <c r="AK765">
        <v>11.823120919804399</v>
      </c>
    </row>
    <row r="766" spans="1:37" x14ac:dyDescent="0.2">
      <c r="A766" t="str">
        <f>"20200111153624113"</f>
        <v>20200111153624113</v>
      </c>
      <c r="B766" t="str">
        <f>"1578728184103286"</f>
        <v>1578728184103286</v>
      </c>
      <c r="C766" t="s">
        <v>37</v>
      </c>
      <c r="D766">
        <v>5.9382929999999998</v>
      </c>
      <c r="E766">
        <v>0.43839479999999997</v>
      </c>
      <c r="F766" t="s">
        <v>39</v>
      </c>
      <c r="G766">
        <v>-269.74349999999998</v>
      </c>
      <c r="H766" s="1">
        <v>-1.4525839999999901E-7</v>
      </c>
      <c r="I766">
        <v>369.81509999999997</v>
      </c>
      <c r="J766">
        <v>-281.272999999999</v>
      </c>
      <c r="K766">
        <v>1.0544819999999999</v>
      </c>
      <c r="L766">
        <v>367.05869999999999</v>
      </c>
      <c r="M766">
        <v>0.99991609999999997</v>
      </c>
      <c r="N766">
        <v>0</v>
      </c>
      <c r="O766">
        <v>-5.1265410000000001E-3</v>
      </c>
      <c r="P766">
        <v>0.99676469999999995</v>
      </c>
      <c r="Q766">
        <v>3.6862029999999997E-2</v>
      </c>
      <c r="R766">
        <v>7.1425959999999997E-2</v>
      </c>
      <c r="S766">
        <v>2.9698180000000001</v>
      </c>
      <c r="T766">
        <v>-0.26687149999999998</v>
      </c>
      <c r="U766">
        <v>0.69738769999999894</v>
      </c>
      <c r="V766">
        <v>-7.6569650000000003E-2</v>
      </c>
      <c r="W766">
        <v>4.8669469999999999E-2</v>
      </c>
      <c r="X766">
        <v>0.99587569999999903</v>
      </c>
      <c r="Y766">
        <v>-0.23268620000000001</v>
      </c>
      <c r="Z766">
        <v>1.0748239999999999E-2</v>
      </c>
      <c r="AA766">
        <v>0.97249249999999998</v>
      </c>
      <c r="AB766">
        <v>36</v>
      </c>
      <c r="AC766">
        <v>11.529499999999899</v>
      </c>
      <c r="AD766">
        <v>-1.0544821452583999</v>
      </c>
      <c r="AE766">
        <v>2.7563999999999802</v>
      </c>
      <c r="AF766">
        <v>-2.7933716225422698</v>
      </c>
      <c r="AG766">
        <v>-1.0544821452583999</v>
      </c>
      <c r="AH766">
        <v>11.4248168493063</v>
      </c>
      <c r="AI766">
        <v>95.123244021626604</v>
      </c>
      <c r="AJ766">
        <v>103.739290359245</v>
      </c>
      <c r="AK766">
        <v>11.8085264811697</v>
      </c>
    </row>
    <row r="767" spans="1:37" x14ac:dyDescent="0.2">
      <c r="A767" t="str">
        <f>"20200111153624127"</f>
        <v>20200111153624127</v>
      </c>
      <c r="B767" t="str">
        <f>"1578728184123782"</f>
        <v>1578728184123782</v>
      </c>
      <c r="C767" t="s">
        <v>37</v>
      </c>
      <c r="D767">
        <v>5.9175360000000001</v>
      </c>
      <c r="E767">
        <v>0.4384883</v>
      </c>
      <c r="F767" t="s">
        <v>39</v>
      </c>
      <c r="G767">
        <v>-269.5874</v>
      </c>
      <c r="H767" s="1">
        <v>-2.09582E-7</v>
      </c>
      <c r="I767">
        <v>369.80509999999998</v>
      </c>
      <c r="J767">
        <v>-281.05</v>
      </c>
      <c r="K767">
        <v>1.0545879999999901</v>
      </c>
      <c r="L767">
        <v>367.05770000000001</v>
      </c>
      <c r="M767">
        <v>0.99991149999999995</v>
      </c>
      <c r="N767">
        <v>0</v>
      </c>
      <c r="O767">
        <v>-4.947814E-3</v>
      </c>
      <c r="P767">
        <v>0.99677009999999899</v>
      </c>
      <c r="Q767">
        <v>3.6601759999999997E-2</v>
      </c>
      <c r="R767">
        <v>7.1482400000000001E-2</v>
      </c>
      <c r="S767">
        <v>2.9696349999999998</v>
      </c>
      <c r="T767">
        <v>-0.2679704</v>
      </c>
      <c r="U767">
        <v>0.69793700000000003</v>
      </c>
      <c r="V767">
        <v>-7.6447429999999997E-2</v>
      </c>
      <c r="W767">
        <v>4.884761E-2</v>
      </c>
      <c r="X767">
        <v>0.99587639999999999</v>
      </c>
      <c r="Y767">
        <v>-0.23268939999999999</v>
      </c>
      <c r="Z767">
        <v>1.077701E-2</v>
      </c>
      <c r="AA767">
        <v>0.97249140000000001</v>
      </c>
      <c r="AB767">
        <v>36</v>
      </c>
      <c r="AC767">
        <v>11.4626</v>
      </c>
      <c r="AD767">
        <v>-1.0545882095819901</v>
      </c>
      <c r="AE767">
        <v>2.7473999999999701</v>
      </c>
      <c r="AF767">
        <v>-2.7818181234582799</v>
      </c>
      <c r="AG767">
        <v>-1.0545882095819901</v>
      </c>
      <c r="AH767">
        <v>11.357949013524999</v>
      </c>
      <c r="AI767">
        <v>95.153260096693501</v>
      </c>
      <c r="AJ767">
        <v>103.762115705699</v>
      </c>
      <c r="AK767">
        <v>11.7411104311996</v>
      </c>
    </row>
    <row r="768" spans="1:37" x14ac:dyDescent="0.2">
      <c r="A768" t="str">
        <f>"20200111153624141"</f>
        <v>20200111153624141</v>
      </c>
      <c r="B768" t="str">
        <f>"1578728184133542"</f>
        <v>1578728184133542</v>
      </c>
      <c r="C768" t="s">
        <v>37</v>
      </c>
      <c r="D768">
        <v>5.9558689999999999</v>
      </c>
      <c r="E768">
        <v>0.4384844</v>
      </c>
      <c r="F768" t="s">
        <v>39</v>
      </c>
      <c r="G768">
        <v>-269.43329999999997</v>
      </c>
      <c r="H768" s="1">
        <v>-2.7013509999999902E-7</v>
      </c>
      <c r="I768">
        <v>369.78429999999997</v>
      </c>
      <c r="J768">
        <v>-280.83240000000001</v>
      </c>
      <c r="K768">
        <v>1.054799</v>
      </c>
      <c r="L768">
        <v>367.05689999999998</v>
      </c>
      <c r="M768">
        <v>0.99990299999999999</v>
      </c>
      <c r="N768">
        <v>0</v>
      </c>
      <c r="O768">
        <v>-4.7860949999999998E-3</v>
      </c>
      <c r="P768">
        <v>0.99679010000000001</v>
      </c>
      <c r="Q768">
        <v>3.579777E-2</v>
      </c>
      <c r="R768">
        <v>7.1610960000000001E-2</v>
      </c>
      <c r="S768">
        <v>2.9696349999999998</v>
      </c>
      <c r="T768">
        <v>-0.26958909999999903</v>
      </c>
      <c r="U768">
        <v>0.69702149999999996</v>
      </c>
      <c r="V768">
        <v>-7.6413969999999998E-2</v>
      </c>
      <c r="W768">
        <v>4.8779019999999999E-2</v>
      </c>
      <c r="X768">
        <v>0.9958823</v>
      </c>
      <c r="Y768">
        <v>-0.23223930000000001</v>
      </c>
      <c r="Z768">
        <v>1.080765E-2</v>
      </c>
      <c r="AA768">
        <v>0.97259859999999898</v>
      </c>
      <c r="AB768">
        <v>36</v>
      </c>
      <c r="AC768">
        <v>11.399100000000001</v>
      </c>
      <c r="AD768">
        <v>-1.0547992701351001</v>
      </c>
      <c r="AE768">
        <v>2.7273999999999798</v>
      </c>
      <c r="AF768">
        <v>-2.7595812427626001</v>
      </c>
      <c r="AG768">
        <v>-1.0547992701351001</v>
      </c>
      <c r="AH768">
        <v>11.294443024715401</v>
      </c>
      <c r="AI768">
        <v>95.183813864806794</v>
      </c>
      <c r="AJ768">
        <v>103.73012844731799</v>
      </c>
      <c r="AK768">
        <v>11.6744307516138</v>
      </c>
    </row>
    <row r="769" spans="1:37" x14ac:dyDescent="0.2">
      <c r="A769" t="str">
        <f>"20200111153624155"</f>
        <v>20200111153624155</v>
      </c>
      <c r="B769" t="str">
        <f>"1578728184143302"</f>
        <v>1578728184143302</v>
      </c>
      <c r="C769" t="s">
        <v>37</v>
      </c>
      <c r="D769">
        <v>5.9213789999999999</v>
      </c>
      <c r="E769">
        <v>0.43850600000000001</v>
      </c>
      <c r="F769" t="s">
        <v>39</v>
      </c>
      <c r="G769">
        <v>-269.3399</v>
      </c>
      <c r="H769" s="1">
        <v>-3.0271209999999998E-7</v>
      </c>
      <c r="I769">
        <v>369.7561</v>
      </c>
      <c r="J769">
        <v>-280.61369999999999</v>
      </c>
      <c r="K769">
        <v>1.055218</v>
      </c>
      <c r="L769">
        <v>367.05599999999998</v>
      </c>
      <c r="M769">
        <v>0.9998918</v>
      </c>
      <c r="N769">
        <v>0</v>
      </c>
      <c r="O769">
        <v>-4.625311E-3</v>
      </c>
      <c r="P769">
        <v>0.99680369999999996</v>
      </c>
      <c r="Q769">
        <v>3.4678870000000001E-2</v>
      </c>
      <c r="R769">
        <v>7.1971670000000001E-2</v>
      </c>
      <c r="S769">
        <v>2.9693299999999998</v>
      </c>
      <c r="T769">
        <v>-0.27252880000000002</v>
      </c>
      <c r="U769">
        <v>0.69741819999999999</v>
      </c>
      <c r="V769">
        <v>-7.6612360000000004E-2</v>
      </c>
      <c r="W769">
        <v>4.8554689999999998E-2</v>
      </c>
      <c r="X769">
        <v>0.99587800000000004</v>
      </c>
      <c r="Y769">
        <v>-0.23220879999999899</v>
      </c>
      <c r="Z769">
        <v>1.0910049999999999E-2</v>
      </c>
      <c r="AA769">
        <v>0.97260480000000005</v>
      </c>
      <c r="AB769">
        <v>35</v>
      </c>
      <c r="AC769">
        <v>11.2737999999999</v>
      </c>
      <c r="AD769">
        <v>-1.0552183027121</v>
      </c>
      <c r="AE769">
        <v>2.7001000000000199</v>
      </c>
      <c r="AF769">
        <v>-2.72960479132926</v>
      </c>
      <c r="AG769">
        <v>-1.0552183027121</v>
      </c>
      <c r="AH769">
        <v>11.1686511113165</v>
      </c>
      <c r="AI769">
        <v>95.243864571738996</v>
      </c>
      <c r="AJ769">
        <v>103.733799835357</v>
      </c>
      <c r="AK769">
        <v>11.5456916479498</v>
      </c>
    </row>
    <row r="770" spans="1:37" x14ac:dyDescent="0.2">
      <c r="A770" t="str">
        <f>"20200111153624167"</f>
        <v>20200111153624167</v>
      </c>
      <c r="B770" t="str">
        <f>"1578728184163798"</f>
        <v>1578728184163798</v>
      </c>
      <c r="C770" t="s">
        <v>37</v>
      </c>
      <c r="D770">
        <v>5.9463189999999999</v>
      </c>
      <c r="E770">
        <v>0.43854129999999902</v>
      </c>
      <c r="F770" t="s">
        <v>39</v>
      </c>
      <c r="G770">
        <v>-269.27749999999997</v>
      </c>
      <c r="H770" s="1">
        <v>-3.2052569999999999E-7</v>
      </c>
      <c r="I770">
        <v>369.72250000000003</v>
      </c>
      <c r="J770">
        <v>-280.42489999999998</v>
      </c>
      <c r="K770">
        <v>1.0555969999999999</v>
      </c>
      <c r="L770">
        <v>367.05520000000001</v>
      </c>
      <c r="M770">
        <v>0.99988889999999997</v>
      </c>
      <c r="N770">
        <v>0</v>
      </c>
      <c r="O770">
        <v>-4.4767920000000003E-3</v>
      </c>
      <c r="P770">
        <v>0.99680199999999997</v>
      </c>
      <c r="Q770">
        <v>3.474671E-2</v>
      </c>
      <c r="R770">
        <v>7.1963020000000003E-2</v>
      </c>
      <c r="S770">
        <v>2.9688110000000001</v>
      </c>
      <c r="T770">
        <v>-0.27634749999999902</v>
      </c>
      <c r="U770">
        <v>0.69833369999999995</v>
      </c>
      <c r="V770">
        <v>-7.6455899999999993E-2</v>
      </c>
      <c r="W770">
        <v>4.8869509999999998E-2</v>
      </c>
      <c r="X770">
        <v>0.99587459999999906</v>
      </c>
      <c r="Y770">
        <v>-0.2323596</v>
      </c>
      <c r="Z770">
        <v>1.105708E-2</v>
      </c>
      <c r="AA770">
        <v>0.97256710000000002</v>
      </c>
      <c r="AB770">
        <v>35</v>
      </c>
      <c r="AC770">
        <v>11.147399999999999</v>
      </c>
      <c r="AD770">
        <v>-1.0555973205257001</v>
      </c>
      <c r="AE770">
        <v>2.6673000000000102</v>
      </c>
      <c r="AF770">
        <v>-2.6943310442387198</v>
      </c>
      <c r="AG770">
        <v>-1.0555973205257001</v>
      </c>
      <c r="AH770">
        <v>11.0416964236582</v>
      </c>
      <c r="AI770">
        <v>95.306177058641694</v>
      </c>
      <c r="AJ770">
        <v>103.71300632995801</v>
      </c>
      <c r="AK770">
        <v>11.4145856425573</v>
      </c>
    </row>
    <row r="771" spans="1:37" x14ac:dyDescent="0.2">
      <c r="A771" t="str">
        <f>"20200111153624180"</f>
        <v>20200111153624180</v>
      </c>
      <c r="B771" t="str">
        <f>"1578728184173559"</f>
        <v>1578728184173559</v>
      </c>
      <c r="C771" t="s">
        <v>37</v>
      </c>
      <c r="D771">
        <v>5.9408320000000003</v>
      </c>
      <c r="E771">
        <v>0.43857740000000001</v>
      </c>
      <c r="F771" t="s">
        <v>39</v>
      </c>
      <c r="G771">
        <v>-269.12459999999999</v>
      </c>
      <c r="H771" s="1">
        <v>-3.8340429999999999E-7</v>
      </c>
      <c r="I771">
        <v>369.7122</v>
      </c>
      <c r="J771">
        <v>-280.2208</v>
      </c>
      <c r="K771">
        <v>1.0560160000000001</v>
      </c>
      <c r="L771">
        <v>367.05450000000002</v>
      </c>
      <c r="M771">
        <v>0.99989089999999903</v>
      </c>
      <c r="N771">
        <v>0</v>
      </c>
      <c r="O771">
        <v>-4.3115690000000003E-3</v>
      </c>
      <c r="P771">
        <v>0.99678619999999996</v>
      </c>
      <c r="Q771">
        <v>3.491089E-2</v>
      </c>
      <c r="R771">
        <v>7.2099880000000005E-2</v>
      </c>
      <c r="S771">
        <v>2.9689030000000001</v>
      </c>
      <c r="T771">
        <v>-0.27733239999999998</v>
      </c>
      <c r="U771">
        <v>0.69805909999999904</v>
      </c>
      <c r="V771">
        <v>-7.6428579999999996E-2</v>
      </c>
      <c r="W771">
        <v>4.8938570000000001E-2</v>
      </c>
      <c r="X771">
        <v>0.99587329999999996</v>
      </c>
      <c r="Y771">
        <v>-0.2321018</v>
      </c>
      <c r="Z771">
        <v>1.106906E-2</v>
      </c>
      <c r="AA771">
        <v>0.97262850000000001</v>
      </c>
      <c r="AB771">
        <v>35</v>
      </c>
      <c r="AC771">
        <v>11.0962</v>
      </c>
      <c r="AD771">
        <v>-1.0560163834042999</v>
      </c>
      <c r="AE771">
        <v>2.65769999999997</v>
      </c>
      <c r="AF771">
        <v>-2.6825440161289298</v>
      </c>
      <c r="AG771">
        <v>-1.0560163834042999</v>
      </c>
      <c r="AH771">
        <v>10.990494676045801</v>
      </c>
      <c r="AI771">
        <v>95.332780536404698</v>
      </c>
      <c r="AJ771">
        <v>103.71648453266801</v>
      </c>
      <c r="AK771">
        <v>11.362314298798401</v>
      </c>
    </row>
    <row r="772" spans="1:37" x14ac:dyDescent="0.2">
      <c r="A772" t="str">
        <f>"20200111153624191"</f>
        <v>20200111153624191</v>
      </c>
      <c r="B772" t="str">
        <f>"1578728184183318"</f>
        <v>1578728184183318</v>
      </c>
      <c r="C772" t="s">
        <v>37</v>
      </c>
      <c r="D772">
        <v>5.9647779999999999</v>
      </c>
      <c r="E772">
        <v>0.43856840000000002</v>
      </c>
      <c r="F772" t="s">
        <v>39</v>
      </c>
      <c r="G772">
        <v>-268.8972</v>
      </c>
      <c r="H772" s="1">
        <v>-4.8218900000000003E-7</v>
      </c>
      <c r="I772">
        <v>369.71679999999998</v>
      </c>
      <c r="J772">
        <v>-280.0394</v>
      </c>
      <c r="K772">
        <v>1.0563799999999901</v>
      </c>
      <c r="L772">
        <v>367.0539</v>
      </c>
      <c r="M772">
        <v>0.99990349999999995</v>
      </c>
      <c r="N772">
        <v>0</v>
      </c>
      <c r="O772">
        <v>-4.1686780000000003E-3</v>
      </c>
      <c r="P772">
        <v>0.99674229999999997</v>
      </c>
      <c r="Q772">
        <v>3.6009680000000002E-2</v>
      </c>
      <c r="R772">
        <v>7.2168830000000003E-2</v>
      </c>
      <c r="S772">
        <v>2.9688720000000002</v>
      </c>
      <c r="T772">
        <v>-0.27686939999999999</v>
      </c>
      <c r="U772">
        <v>0.6980286</v>
      </c>
      <c r="V772">
        <v>-7.6356019999999997E-2</v>
      </c>
      <c r="W772">
        <v>4.9166710000000002E-2</v>
      </c>
      <c r="X772">
        <v>0.99586770000000002</v>
      </c>
      <c r="Y772">
        <v>-0.23196</v>
      </c>
      <c r="Z772">
        <v>1.103114E-2</v>
      </c>
      <c r="AA772">
        <v>0.97266280000000005</v>
      </c>
      <c r="AB772">
        <v>35</v>
      </c>
      <c r="AC772">
        <v>11.142200000000001</v>
      </c>
      <c r="AD772">
        <v>-1.0563804821889999</v>
      </c>
      <c r="AE772">
        <v>2.6628999999999698</v>
      </c>
      <c r="AF772">
        <v>-2.68648580968155</v>
      </c>
      <c r="AG772">
        <v>-1.0563804821889999</v>
      </c>
      <c r="AH772">
        <v>11.0371517697372</v>
      </c>
      <c r="AI772">
        <v>95.313006904093996</v>
      </c>
      <c r="AJ772">
        <v>103.679997675615</v>
      </c>
      <c r="AK772">
        <v>11.4084120243346</v>
      </c>
    </row>
    <row r="773" spans="1:37" x14ac:dyDescent="0.2">
      <c r="A773" t="str">
        <f>"20200111153624203"</f>
        <v>20200111153624203</v>
      </c>
      <c r="B773" t="str">
        <f>"1578728184193078"</f>
        <v>1578728184193078</v>
      </c>
      <c r="C773" t="s">
        <v>37</v>
      </c>
      <c r="D773">
        <v>5.934018</v>
      </c>
      <c r="E773">
        <v>0.43855100000000002</v>
      </c>
      <c r="F773" t="s">
        <v>39</v>
      </c>
      <c r="G773">
        <v>-268.58789999999999</v>
      </c>
      <c r="H773" s="1">
        <v>-6.2293439999999995E-7</v>
      </c>
      <c r="I773">
        <v>369.74720000000002</v>
      </c>
      <c r="J773">
        <v>-279.85610000000003</v>
      </c>
      <c r="K773">
        <v>1.056797</v>
      </c>
      <c r="L773">
        <v>367.05329999999998</v>
      </c>
      <c r="M773">
        <v>0.99991640000000004</v>
      </c>
      <c r="N773">
        <v>0</v>
      </c>
      <c r="O773">
        <v>-4.0260280000000001E-3</v>
      </c>
      <c r="P773">
        <v>0.99669549999999996</v>
      </c>
      <c r="Q773">
        <v>3.722864E-2</v>
      </c>
      <c r="R773">
        <v>7.2197360000000002E-2</v>
      </c>
      <c r="S773">
        <v>2.9691770000000002</v>
      </c>
      <c r="T773">
        <v>-0.27390170000000003</v>
      </c>
      <c r="U773">
        <v>0.69833369999999995</v>
      </c>
      <c r="V773">
        <v>-7.6243450000000004E-2</v>
      </c>
      <c r="W773">
        <v>4.9423410000000001E-2</v>
      </c>
      <c r="X773">
        <v>0.99586359999999996</v>
      </c>
      <c r="Y773">
        <v>-0.23191529999999999</v>
      </c>
      <c r="Z773">
        <v>1.0897169999999999E-2</v>
      </c>
      <c r="AA773">
        <v>0.97267499999999996</v>
      </c>
      <c r="AB773">
        <v>35</v>
      </c>
      <c r="AC773">
        <v>11.2682</v>
      </c>
      <c r="AD773">
        <v>-1.0567976229344</v>
      </c>
      <c r="AE773">
        <v>2.6939000000000402</v>
      </c>
      <c r="AF773">
        <v>-2.71664454018382</v>
      </c>
      <c r="AG773">
        <v>-1.0567976229344</v>
      </c>
      <c r="AH773">
        <v>11.1643718612642</v>
      </c>
      <c r="AI773">
        <v>95.254954210984593</v>
      </c>
      <c r="AJ773">
        <v>103.676087054204</v>
      </c>
      <c r="AK773">
        <v>11.5386384738469</v>
      </c>
    </row>
    <row r="774" spans="1:37" x14ac:dyDescent="0.2">
      <c r="A774" t="str">
        <f>"20200111153624215"</f>
        <v>20200111153624215</v>
      </c>
      <c r="B774" t="str">
        <f>"1578728184213574"</f>
        <v>1578728184213574</v>
      </c>
      <c r="C774" t="s">
        <v>37</v>
      </c>
      <c r="D774">
        <v>5.9418089999999903</v>
      </c>
      <c r="E774">
        <v>0.43856869999999998</v>
      </c>
      <c r="F774" t="s">
        <v>39</v>
      </c>
      <c r="G774">
        <v>-268.2516</v>
      </c>
      <c r="H774" s="1">
        <v>-7.7715079999999998E-7</v>
      </c>
      <c r="I774">
        <v>369.78449999999998</v>
      </c>
      <c r="J774">
        <v>-279.65870000000001</v>
      </c>
      <c r="K774">
        <v>1.057337</v>
      </c>
      <c r="L774">
        <v>367.05270000000002</v>
      </c>
      <c r="M774">
        <v>0.99993099999999902</v>
      </c>
      <c r="N774">
        <v>0</v>
      </c>
      <c r="O774">
        <v>-3.8757129999999998E-3</v>
      </c>
      <c r="P774">
        <v>0.99663349999999995</v>
      </c>
      <c r="Q774">
        <v>3.862409E-2</v>
      </c>
      <c r="R774">
        <v>7.2318510000000003E-2</v>
      </c>
      <c r="S774">
        <v>2.969452</v>
      </c>
      <c r="T774">
        <v>-0.27042050000000001</v>
      </c>
      <c r="U774">
        <v>0.69891359999999902</v>
      </c>
      <c r="V774">
        <v>-7.6215169999999999E-2</v>
      </c>
      <c r="W774">
        <v>4.961724E-2</v>
      </c>
      <c r="X774">
        <v>0.99585610000000002</v>
      </c>
      <c r="Y774">
        <v>-0.23195349999999901</v>
      </c>
      <c r="Z774">
        <v>1.0746250000000001E-2</v>
      </c>
      <c r="AA774">
        <v>0.97266749999999902</v>
      </c>
      <c r="AB774">
        <v>36</v>
      </c>
      <c r="AC774">
        <v>11.4071</v>
      </c>
      <c r="AD774">
        <v>-1.0573377771507999</v>
      </c>
      <c r="AE774">
        <v>2.7317999999999598</v>
      </c>
      <c r="AF774">
        <v>-2.7536179414199702</v>
      </c>
      <c r="AG774">
        <v>-1.0573377771507999</v>
      </c>
      <c r="AH774">
        <v>11.304569153082801</v>
      </c>
      <c r="AI774">
        <v>95.192479457690197</v>
      </c>
      <c r="AJ774">
        <v>103.689766567319</v>
      </c>
      <c r="AK774">
        <v>11.6830500589158</v>
      </c>
    </row>
    <row r="775" spans="1:37" x14ac:dyDescent="0.2">
      <c r="A775" t="str">
        <f>"20200111153624228"</f>
        <v>20200111153624228</v>
      </c>
      <c r="B775" t="str">
        <f>"1578728184223334"</f>
        <v>1578728184223334</v>
      </c>
      <c r="C775" t="s">
        <v>37</v>
      </c>
      <c r="D775">
        <v>5.9312740000000002</v>
      </c>
      <c r="E775">
        <v>0.43859740000000003</v>
      </c>
      <c r="F775" t="s">
        <v>39</v>
      </c>
      <c r="G775">
        <v>-267.91019999999997</v>
      </c>
      <c r="H775" s="1">
        <v>-9.3235040000000003E-7</v>
      </c>
      <c r="I775">
        <v>369.81740000000002</v>
      </c>
      <c r="J775">
        <v>-279.47219999999999</v>
      </c>
      <c r="K775">
        <v>1.057963</v>
      </c>
      <c r="L775">
        <v>367.05220000000003</v>
      </c>
      <c r="M775">
        <v>0.99994309999999997</v>
      </c>
      <c r="N775">
        <v>0</v>
      </c>
      <c r="O775">
        <v>-3.7270009999999902E-3</v>
      </c>
      <c r="P775">
        <v>0.99657980000000002</v>
      </c>
      <c r="Q775">
        <v>3.9695319999999999E-2</v>
      </c>
      <c r="R775">
        <v>7.2479550000000004E-2</v>
      </c>
      <c r="S775">
        <v>2.9698180000000001</v>
      </c>
      <c r="T775">
        <v>-0.26727709999999999</v>
      </c>
      <c r="U775">
        <v>0.69888309999999998</v>
      </c>
      <c r="V775">
        <v>-7.6227089999999997E-2</v>
      </c>
      <c r="W775">
        <v>4.9604860000000001E-2</v>
      </c>
      <c r="X775">
        <v>0.99585579999999996</v>
      </c>
      <c r="Y775">
        <v>-0.23179539999999901</v>
      </c>
      <c r="Z775">
        <v>1.060037E-2</v>
      </c>
      <c r="AA775">
        <v>0.97270679999999998</v>
      </c>
      <c r="AB775">
        <v>36</v>
      </c>
      <c r="AC775">
        <v>11.561999999999999</v>
      </c>
      <c r="AD775">
        <v>-1.0579639323504</v>
      </c>
      <c r="AE775">
        <v>2.7651999999999899</v>
      </c>
      <c r="AF775">
        <v>-2.7862080713420201</v>
      </c>
      <c r="AG775">
        <v>-1.0579639323504</v>
      </c>
      <c r="AH775">
        <v>11.460844649904701</v>
      </c>
      <c r="AI775">
        <v>95.125632850311604</v>
      </c>
      <c r="AJ775">
        <v>103.66392033829401</v>
      </c>
      <c r="AK775">
        <v>11.842010099143501</v>
      </c>
    </row>
    <row r="776" spans="1:37" x14ac:dyDescent="0.2">
      <c r="A776" t="str">
        <f>"20200111153624240"</f>
        <v>20200111153624240</v>
      </c>
      <c r="B776" t="str">
        <f>"1578728184233094"</f>
        <v>1578728184233094</v>
      </c>
      <c r="C776" t="s">
        <v>37</v>
      </c>
      <c r="D776">
        <v>5.9271839999999996</v>
      </c>
      <c r="E776">
        <v>0.43862909999999999</v>
      </c>
      <c r="F776" t="s">
        <v>39</v>
      </c>
      <c r="G776">
        <v>-267.59899999999999</v>
      </c>
      <c r="H776" s="1">
        <v>-1.0740260000000001E-6</v>
      </c>
      <c r="I776">
        <v>369.84800000000001</v>
      </c>
      <c r="J776">
        <v>-279.25549999999998</v>
      </c>
      <c r="K776">
        <v>1.058762</v>
      </c>
      <c r="L776">
        <v>367.05149999999998</v>
      </c>
      <c r="M776">
        <v>0.99995519999999904</v>
      </c>
      <c r="N776">
        <v>0</v>
      </c>
      <c r="O776">
        <v>-3.548683E-3</v>
      </c>
      <c r="P776">
        <v>0.99652299999999905</v>
      </c>
      <c r="Q776">
        <v>4.1305929999999998E-2</v>
      </c>
      <c r="R776">
        <v>7.2360229999999998E-2</v>
      </c>
      <c r="S776">
        <v>2.9699709999999899</v>
      </c>
      <c r="T776">
        <v>-0.2646385</v>
      </c>
      <c r="U776">
        <v>0.69937130000000003</v>
      </c>
      <c r="V776">
        <v>-7.5929750000000004E-2</v>
      </c>
      <c r="W776">
        <v>4.9997760000000002E-2</v>
      </c>
      <c r="X776">
        <v>0.99585879999999904</v>
      </c>
      <c r="Y776">
        <v>-0.23178080000000001</v>
      </c>
      <c r="Z776">
        <v>1.047911E-2</v>
      </c>
      <c r="AA776">
        <v>0.97271160000000001</v>
      </c>
      <c r="AB776">
        <v>36</v>
      </c>
      <c r="AC776">
        <v>11.6564999999999</v>
      </c>
      <c r="AD776">
        <v>-1.0587630740259999</v>
      </c>
      <c r="AE776">
        <v>2.7965000000000302</v>
      </c>
      <c r="AF776">
        <v>-2.8158821336345699</v>
      </c>
      <c r="AG776">
        <v>-1.0587630740259999</v>
      </c>
      <c r="AH776">
        <v>11.556349696063799</v>
      </c>
      <c r="AI776">
        <v>95.086666132556502</v>
      </c>
      <c r="AJ776">
        <v>103.69413948907101</v>
      </c>
      <c r="AK776">
        <v>11.941498638577899</v>
      </c>
    </row>
    <row r="777" spans="1:37" x14ac:dyDescent="0.2">
      <c r="A777" t="str">
        <f>"20200111153624256"</f>
        <v>20200111153624256</v>
      </c>
      <c r="B777" t="str">
        <f>"1578728184243830"</f>
        <v>1578728184243830</v>
      </c>
      <c r="C777" t="s">
        <v>37</v>
      </c>
      <c r="D777">
        <v>5.9567139999999998</v>
      </c>
      <c r="E777">
        <v>0.43862449999999997</v>
      </c>
      <c r="F777" t="s">
        <v>39</v>
      </c>
      <c r="G777">
        <v>-267.16320000000002</v>
      </c>
      <c r="H777" s="1">
        <v>-1.2737139999999999E-6</v>
      </c>
      <c r="I777">
        <v>369.89599999999899</v>
      </c>
      <c r="J777">
        <v>-279.01589999999999</v>
      </c>
      <c r="K777">
        <v>1.059777</v>
      </c>
      <c r="L777">
        <v>367.05090000000001</v>
      </c>
      <c r="M777">
        <v>0.99996609999999997</v>
      </c>
      <c r="N777">
        <v>0</v>
      </c>
      <c r="O777">
        <v>-3.3361379999999898E-3</v>
      </c>
      <c r="P777">
        <v>0.99644920000000003</v>
      </c>
      <c r="Q777">
        <v>4.2551859999999997E-2</v>
      </c>
      <c r="R777">
        <v>7.265249E-2</v>
      </c>
      <c r="S777">
        <v>2.97052</v>
      </c>
      <c r="T777">
        <v>-0.26008949999999997</v>
      </c>
      <c r="U777">
        <v>0.69876099999999997</v>
      </c>
      <c r="V777">
        <v>-7.6008069999999997E-2</v>
      </c>
      <c r="W777">
        <v>5.0007280000000001E-2</v>
      </c>
      <c r="X777">
        <v>0.99585239999999997</v>
      </c>
      <c r="Y777">
        <v>-0.2313771</v>
      </c>
      <c r="Z777">
        <v>1.02622999999999E-2</v>
      </c>
      <c r="AA777">
        <v>0.97280999999999995</v>
      </c>
      <c r="AB777">
        <v>36</v>
      </c>
      <c r="AC777">
        <v>11.852699999999899</v>
      </c>
      <c r="AD777">
        <v>-1.059778273714</v>
      </c>
      <c r="AE777">
        <v>2.84509999999994</v>
      </c>
      <c r="AF777">
        <v>-2.8629861112833699</v>
      </c>
      <c r="AG777">
        <v>-1.059778273714</v>
      </c>
      <c r="AH777">
        <v>11.754290999336</v>
      </c>
      <c r="AI777">
        <v>95.006326423608698</v>
      </c>
      <c r="AJ777">
        <v>103.68895162308699</v>
      </c>
      <c r="AK777">
        <v>12.1442651634386</v>
      </c>
    </row>
    <row r="778" spans="1:37" x14ac:dyDescent="0.2">
      <c r="A778" t="str">
        <f>"20200111153624268"</f>
        <v>20200111153624268</v>
      </c>
      <c r="B778" t="str">
        <f>"1578728184263350"</f>
        <v>1578728184263350</v>
      </c>
      <c r="C778" t="s">
        <v>37</v>
      </c>
      <c r="D778">
        <v>5.9876620000000003</v>
      </c>
      <c r="E778">
        <v>0.43859120000000001</v>
      </c>
      <c r="F778" t="s">
        <v>39</v>
      </c>
      <c r="G778">
        <v>-266.76139999999998</v>
      </c>
      <c r="H778" s="1">
        <v>-1.456885E-6</v>
      </c>
      <c r="I778">
        <v>369.9366</v>
      </c>
      <c r="J778">
        <v>-278.8322</v>
      </c>
      <c r="K778">
        <v>1.060594</v>
      </c>
      <c r="L778">
        <v>367.0505</v>
      </c>
      <c r="M778">
        <v>0.99997320000000001</v>
      </c>
      <c r="N778">
        <v>0</v>
      </c>
      <c r="O778">
        <v>-3.1662629999999999E-3</v>
      </c>
      <c r="P778">
        <v>0.99638570000000004</v>
      </c>
      <c r="Q778">
        <v>4.3755799999999997E-2</v>
      </c>
      <c r="R778">
        <v>7.2810169999999994E-2</v>
      </c>
      <c r="S778">
        <v>2.9706730000000001</v>
      </c>
      <c r="T778">
        <v>-0.25690499999999999</v>
      </c>
      <c r="U778">
        <v>0.69952389999999998</v>
      </c>
      <c r="V778">
        <v>-7.5995090000000001E-2</v>
      </c>
      <c r="W778">
        <v>5.0302079999999999E-2</v>
      </c>
      <c r="X778">
        <v>0.99583860000000002</v>
      </c>
      <c r="Y778">
        <v>-0.23145859999999999</v>
      </c>
      <c r="Z778">
        <v>1.01252999999999E-2</v>
      </c>
      <c r="AA778">
        <v>0.97279210000000005</v>
      </c>
      <c r="AB778">
        <v>36</v>
      </c>
      <c r="AC778">
        <v>12.0708</v>
      </c>
      <c r="AD778">
        <v>-1.060595456885</v>
      </c>
      <c r="AE778">
        <v>2.8860999999999901</v>
      </c>
      <c r="AF778">
        <v>-2.90310518267365</v>
      </c>
      <c r="AG778">
        <v>-1.060595456885</v>
      </c>
      <c r="AH778">
        <v>11.9741574454921</v>
      </c>
      <c r="AI778">
        <v>94.919887319230298</v>
      </c>
      <c r="AJ778">
        <v>103.62825636396001</v>
      </c>
      <c r="AK778">
        <v>12.3666215659033</v>
      </c>
    </row>
    <row r="779" spans="1:37" x14ac:dyDescent="0.2">
      <c r="A779" t="str">
        <f>"20200111153624280"</f>
        <v>20200111153624280</v>
      </c>
      <c r="B779" t="str">
        <f>"1578728184273110"</f>
        <v>1578728184273110</v>
      </c>
      <c r="C779" t="s">
        <v>37</v>
      </c>
      <c r="D779">
        <v>5.9428519999999896</v>
      </c>
      <c r="E779">
        <v>0.4385732</v>
      </c>
      <c r="F779" t="s">
        <v>39</v>
      </c>
      <c r="G779">
        <v>-266.44869999999997</v>
      </c>
      <c r="H779" s="1">
        <v>-1.600012E-6</v>
      </c>
      <c r="I779">
        <v>369.97019999999998</v>
      </c>
      <c r="J779">
        <v>-278.62920000000003</v>
      </c>
      <c r="K779">
        <v>1.0615250000000001</v>
      </c>
      <c r="L779">
        <v>367.05</v>
      </c>
      <c r="M779">
        <v>0.99997959999999997</v>
      </c>
      <c r="N779">
        <v>0</v>
      </c>
      <c r="O779">
        <v>-2.9742739999999998E-3</v>
      </c>
      <c r="P779">
        <v>0.99631729999999996</v>
      </c>
      <c r="Q779">
        <v>4.5232790000000002E-2</v>
      </c>
      <c r="R779">
        <v>7.2841139999999999E-2</v>
      </c>
      <c r="S779">
        <v>2.9708559999999999</v>
      </c>
      <c r="T779">
        <v>-0.25443899999999903</v>
      </c>
      <c r="U779">
        <v>0.70047000000000004</v>
      </c>
      <c r="V779">
        <v>-7.5833970000000001E-2</v>
      </c>
      <c r="W779">
        <v>5.0830210000000001E-2</v>
      </c>
      <c r="X779">
        <v>0.99582399999999904</v>
      </c>
      <c r="Y779">
        <v>-0.2315682</v>
      </c>
      <c r="Z779">
        <v>1.0015919999999999E-2</v>
      </c>
      <c r="AA779">
        <v>0.9727671</v>
      </c>
      <c r="AB779">
        <v>36</v>
      </c>
      <c r="AC779">
        <v>12.1805</v>
      </c>
      <c r="AD779">
        <v>-1.0615266000120001</v>
      </c>
      <c r="AE779">
        <v>2.9201999999999599</v>
      </c>
      <c r="AF779">
        <v>-2.9353335055791701</v>
      </c>
      <c r="AG779">
        <v>-1.0615266000120001</v>
      </c>
      <c r="AH779">
        <v>12.0849632737999</v>
      </c>
      <c r="AI779">
        <v>94.878761201911701</v>
      </c>
      <c r="AJ779">
        <v>103.65227195289</v>
      </c>
      <c r="AK779">
        <v>12.481560753391401</v>
      </c>
    </row>
    <row r="780" spans="1:37" x14ac:dyDescent="0.2">
      <c r="A780" t="str">
        <f>"20200111153624291"</f>
        <v>20200111153624291</v>
      </c>
      <c r="B780" t="str">
        <f>"1578728184283847"</f>
        <v>1578728184283847</v>
      </c>
      <c r="C780" t="s">
        <v>37</v>
      </c>
      <c r="D780">
        <v>5.9527789999999996</v>
      </c>
      <c r="E780">
        <v>0.43856139999999999</v>
      </c>
      <c r="F780" t="s">
        <v>39</v>
      </c>
      <c r="G780">
        <v>-266.01690000000002</v>
      </c>
      <c r="H780" s="1">
        <v>-1.799994E-6</v>
      </c>
      <c r="I780">
        <v>370.02569999999997</v>
      </c>
      <c r="J780">
        <v>-278.43830000000003</v>
      </c>
      <c r="K780">
        <v>1.0625209999999901</v>
      </c>
      <c r="L780">
        <v>367.0496</v>
      </c>
      <c r="M780">
        <v>0.999982699999999</v>
      </c>
      <c r="N780">
        <v>0</v>
      </c>
      <c r="O780">
        <v>-2.7839969999999999E-3</v>
      </c>
      <c r="P780">
        <v>0.9962685</v>
      </c>
      <c r="Q780">
        <v>4.6124720000000001E-2</v>
      </c>
      <c r="R780">
        <v>7.2949310000000003E-2</v>
      </c>
      <c r="S780">
        <v>2.9711609999999999</v>
      </c>
      <c r="T780">
        <v>-0.25006990000000001</v>
      </c>
      <c r="U780">
        <v>0.70101930000000001</v>
      </c>
      <c r="V780">
        <v>-7.5751159999999998E-2</v>
      </c>
      <c r="W780">
        <v>5.1248330000000002E-2</v>
      </c>
      <c r="X780">
        <v>0.9958089</v>
      </c>
      <c r="Y780">
        <v>-0.23155970000000001</v>
      </c>
      <c r="Z780">
        <v>9.8272069999999993E-3</v>
      </c>
      <c r="AA780">
        <v>0.97277099999999905</v>
      </c>
      <c r="AB780">
        <v>36</v>
      </c>
      <c r="AC780">
        <v>12.4214</v>
      </c>
      <c r="AD780">
        <v>-1.0625227999939999</v>
      </c>
      <c r="AE780">
        <v>2.97609999999997</v>
      </c>
      <c r="AF780">
        <v>-2.9899799935337099</v>
      </c>
      <c r="AG780">
        <v>-1.0625227999939999</v>
      </c>
      <c r="AH780">
        <v>12.327760602233599</v>
      </c>
      <c r="AI780">
        <v>94.7879747349577</v>
      </c>
      <c r="AJ780">
        <v>103.633280637345</v>
      </c>
      <c r="AK780">
        <v>12.729596086609501</v>
      </c>
    </row>
    <row r="781" spans="1:37" x14ac:dyDescent="0.2">
      <c r="A781" t="str">
        <f>"20200111153624304"</f>
        <v>20200111153624304</v>
      </c>
      <c r="B781" t="str">
        <f>"1578728184293606"</f>
        <v>1578728184293606</v>
      </c>
      <c r="C781" t="s">
        <v>37</v>
      </c>
      <c r="D781">
        <v>6.0785179999999999</v>
      </c>
      <c r="E781">
        <v>0.43856139999999999</v>
      </c>
      <c r="F781" t="s">
        <v>39</v>
      </c>
      <c r="G781">
        <v>-265.68970000000002</v>
      </c>
      <c r="H781" s="1">
        <v>-1.949356E-6</v>
      </c>
      <c r="I781">
        <v>370.05939999999998</v>
      </c>
      <c r="J781">
        <v>-278.25170000000003</v>
      </c>
      <c r="K781">
        <v>1.0636139999999901</v>
      </c>
      <c r="L781">
        <v>367.04919999999998</v>
      </c>
      <c r="M781">
        <v>0.9999846</v>
      </c>
      <c r="N781">
        <v>0</v>
      </c>
      <c r="O781">
        <v>-2.5962839999999999E-3</v>
      </c>
      <c r="P781">
        <v>0.99626340000000002</v>
      </c>
      <c r="Q781">
        <v>4.6658690000000003E-2</v>
      </c>
      <c r="R781">
        <v>7.2677610000000004E-2</v>
      </c>
      <c r="S781">
        <v>2.9713750000000001</v>
      </c>
      <c r="T781">
        <v>-0.2476457</v>
      </c>
      <c r="U781">
        <v>0.70153809999999905</v>
      </c>
      <c r="V781">
        <v>-7.5291869999999997E-2</v>
      </c>
      <c r="W781">
        <v>5.1516909999999999E-2</v>
      </c>
      <c r="X781">
        <v>0.99582990000000005</v>
      </c>
      <c r="Y781">
        <v>-0.23153840000000001</v>
      </c>
      <c r="Z781">
        <v>9.7151040000000004E-3</v>
      </c>
      <c r="AA781">
        <v>0.97277719999999901</v>
      </c>
      <c r="AB781">
        <v>36</v>
      </c>
      <c r="AC781">
        <v>12.561999999999999</v>
      </c>
      <c r="AD781">
        <v>-1.06361594935599</v>
      </c>
      <c r="AE781">
        <v>3.01019999999999</v>
      </c>
      <c r="AF781">
        <v>-3.0223146829202099</v>
      </c>
      <c r="AG781">
        <v>-1.06361594935599</v>
      </c>
      <c r="AH781">
        <v>12.469603315109399</v>
      </c>
      <c r="AI781">
        <v>94.738787245888204</v>
      </c>
      <c r="AJ781">
        <v>103.624306529625</v>
      </c>
      <c r="AK781">
        <v>12.874652296916899</v>
      </c>
    </row>
    <row r="782" spans="1:37" x14ac:dyDescent="0.2">
      <c r="A782" t="str">
        <f>"20200111153624318"</f>
        <v>20200111153624318</v>
      </c>
      <c r="B782" t="str">
        <f>"1578728184313126"</f>
        <v>1578728184313126</v>
      </c>
      <c r="C782" t="s">
        <v>37</v>
      </c>
      <c r="D782">
        <v>5.9613629999999898</v>
      </c>
      <c r="E782">
        <v>0.43968819999999997</v>
      </c>
      <c r="F782" t="s">
        <v>39</v>
      </c>
      <c r="G782">
        <v>-265.39760000000001</v>
      </c>
      <c r="H782" s="1">
        <v>-2.0804929999999998E-6</v>
      </c>
      <c r="I782">
        <v>370.08139999999997</v>
      </c>
      <c r="J782">
        <v>-278.02699999999999</v>
      </c>
      <c r="K782">
        <v>1.065129</v>
      </c>
      <c r="L782">
        <v>367.0487</v>
      </c>
      <c r="M782">
        <v>0.99998500000000001</v>
      </c>
      <c r="N782">
        <v>0</v>
      </c>
      <c r="O782">
        <v>-2.3666350000000002E-3</v>
      </c>
      <c r="P782">
        <v>0.99626049999999999</v>
      </c>
      <c r="Q782">
        <v>4.6891540000000002E-2</v>
      </c>
      <c r="R782">
        <v>7.2567190000000004E-2</v>
      </c>
      <c r="S782">
        <v>2.971619</v>
      </c>
      <c r="T782">
        <v>-0.2458851</v>
      </c>
      <c r="U782">
        <v>0.70098879999999997</v>
      </c>
      <c r="V782">
        <v>-7.4951399999999904E-2</v>
      </c>
      <c r="W782">
        <v>5.1762629999999997E-2</v>
      </c>
      <c r="X782">
        <v>0.99584280000000003</v>
      </c>
      <c r="Y782">
        <v>-0.2311397</v>
      </c>
      <c r="Z782">
        <v>9.6107369999999994E-3</v>
      </c>
      <c r="AA782">
        <v>0.97287309999999905</v>
      </c>
      <c r="AB782">
        <v>35</v>
      </c>
      <c r="AC782">
        <v>12.629399999999899</v>
      </c>
      <c r="AD782">
        <v>-1.0651310804930001</v>
      </c>
      <c r="AE782">
        <v>3.03269999999997</v>
      </c>
      <c r="AF782">
        <v>-3.0421227157626101</v>
      </c>
      <c r="AG782">
        <v>-1.0651310804930001</v>
      </c>
      <c r="AH782">
        <v>12.537869825484799</v>
      </c>
      <c r="AI782">
        <v>94.719505514771896</v>
      </c>
      <c r="AJ782">
        <v>103.638385180028</v>
      </c>
      <c r="AK782">
        <v>12.9455472884383</v>
      </c>
    </row>
    <row r="783" spans="1:37" x14ac:dyDescent="0.2">
      <c r="A783" t="str">
        <f>"20200111153624331"</f>
        <v>20200111153624331</v>
      </c>
      <c r="B783" t="str">
        <f>"1578728184323863"</f>
        <v>1578728184323863</v>
      </c>
      <c r="C783" t="s">
        <v>37</v>
      </c>
      <c r="D783">
        <v>5.9249919999999996</v>
      </c>
      <c r="E783">
        <v>0.44014490000000001</v>
      </c>
      <c r="F783" t="s">
        <v>39</v>
      </c>
      <c r="G783">
        <v>-265.1404</v>
      </c>
      <c r="H783" s="1">
        <v>-2.1817050000000001E-6</v>
      </c>
      <c r="I783">
        <v>370.04719999999998</v>
      </c>
      <c r="J783">
        <v>-277.82119999999998</v>
      </c>
      <c r="K783">
        <v>1.06671</v>
      </c>
      <c r="L783">
        <v>367.04829999999998</v>
      </c>
      <c r="M783">
        <v>0.99998519999999902</v>
      </c>
      <c r="N783">
        <v>0</v>
      </c>
      <c r="O783">
        <v>-2.165218E-3</v>
      </c>
      <c r="P783">
        <v>0.99624169999999901</v>
      </c>
      <c r="Q783">
        <v>4.693228E-2</v>
      </c>
      <c r="R783">
        <v>7.2800009999999998E-2</v>
      </c>
      <c r="S783">
        <v>2.9724430000000002</v>
      </c>
      <c r="T783">
        <v>-0.24568499999999999</v>
      </c>
      <c r="U783">
        <v>0.6916504</v>
      </c>
      <c r="V783">
        <v>-7.4984179999999998E-2</v>
      </c>
      <c r="W783">
        <v>5.1884060000000003E-2</v>
      </c>
      <c r="X783">
        <v>0.99583410000000006</v>
      </c>
      <c r="Y783">
        <v>-0.2279967</v>
      </c>
      <c r="Z783">
        <v>9.4593630000000001E-3</v>
      </c>
      <c r="AA783">
        <v>0.97361589999999998</v>
      </c>
      <c r="AB783">
        <v>35</v>
      </c>
      <c r="AC783">
        <v>12.6807999999999</v>
      </c>
      <c r="AD783">
        <v>-1.066712181705</v>
      </c>
      <c r="AE783">
        <v>2.9988999999999901</v>
      </c>
      <c r="AF783">
        <v>-3.0062041723919699</v>
      </c>
      <c r="AG783">
        <v>-1.066712181705</v>
      </c>
      <c r="AH783">
        <v>12.5899066713612</v>
      </c>
      <c r="AI783">
        <v>94.711144567784302</v>
      </c>
      <c r="AJ783">
        <v>103.42956199318699</v>
      </c>
      <c r="AK783">
        <v>12.9877206775588</v>
      </c>
    </row>
    <row r="784" spans="1:37" x14ac:dyDescent="0.2">
      <c r="A784" t="str">
        <f>"20200111153624345"</f>
        <v>20200111153624345</v>
      </c>
      <c r="B784" t="str">
        <f>"1578728184333622"</f>
        <v>1578728184333622</v>
      </c>
      <c r="C784" t="s">
        <v>37</v>
      </c>
      <c r="D784">
        <v>5.8072229999999996</v>
      </c>
      <c r="E784">
        <v>0.440617599999999</v>
      </c>
      <c r="F784" t="s">
        <v>39</v>
      </c>
      <c r="G784">
        <v>-264.94650000000001</v>
      </c>
      <c r="H784" s="1">
        <v>-2.2602629999999998E-6</v>
      </c>
      <c r="I784">
        <v>370.02980000000002</v>
      </c>
      <c r="J784">
        <v>-277.60739999999998</v>
      </c>
      <c r="K784">
        <v>1.0684039999999999</v>
      </c>
      <c r="L784">
        <v>367.048</v>
      </c>
      <c r="M784">
        <v>0.99998560000000003</v>
      </c>
      <c r="N784">
        <v>0</v>
      </c>
      <c r="O784">
        <v>-1.9608719999999998E-3</v>
      </c>
      <c r="P784">
        <v>0.99620909999999996</v>
      </c>
      <c r="Q784">
        <v>4.7464850000000003E-2</v>
      </c>
      <c r="R784">
        <v>7.2899660000000005E-2</v>
      </c>
      <c r="S784">
        <v>2.9726870000000001</v>
      </c>
      <c r="T784">
        <v>-0.24629709999999999</v>
      </c>
      <c r="U784">
        <v>0.68841549999999996</v>
      </c>
      <c r="V784">
        <v>-7.4880940000000007E-2</v>
      </c>
      <c r="W784">
        <v>5.2418350000000002E-2</v>
      </c>
      <c r="X784">
        <v>0.99581379999999997</v>
      </c>
      <c r="Y784">
        <v>-0.22677549999999999</v>
      </c>
      <c r="Z784">
        <v>9.4167069999999999E-3</v>
      </c>
      <c r="AA784">
        <v>0.97390149999999998</v>
      </c>
      <c r="AB784">
        <v>35</v>
      </c>
      <c r="AC784">
        <v>12.6608999999999</v>
      </c>
      <c r="AD784">
        <v>-1.068406260263</v>
      </c>
      <c r="AE784">
        <v>2.9818000000000202</v>
      </c>
      <c r="AF784">
        <v>-2.9864717815030999</v>
      </c>
      <c r="AG784">
        <v>-1.068406260263</v>
      </c>
      <c r="AH784">
        <v>12.5702195966481</v>
      </c>
      <c r="AI784">
        <v>94.727217558391501</v>
      </c>
      <c r="AJ784">
        <v>103.364725595284</v>
      </c>
      <c r="AK784">
        <v>12.9642171513223</v>
      </c>
    </row>
    <row r="785" spans="1:37" x14ac:dyDescent="0.2">
      <c r="A785" t="str">
        <f>"20200111153624368"</f>
        <v>20200111153624368</v>
      </c>
      <c r="B785" t="str">
        <f>"1578728184363878"</f>
        <v>1578728184363878</v>
      </c>
      <c r="C785" t="s">
        <v>37</v>
      </c>
      <c r="D785">
        <v>5.8776140000000003</v>
      </c>
      <c r="E785">
        <v>0.44179390000000002</v>
      </c>
      <c r="F785" t="s">
        <v>39</v>
      </c>
      <c r="G785">
        <v>-264.69189999999998</v>
      </c>
      <c r="H785" s="1">
        <v>-2.3670349999999999E-6</v>
      </c>
      <c r="I785">
        <v>370.02050000000003</v>
      </c>
      <c r="J785">
        <v>-277.23919999999998</v>
      </c>
      <c r="K785">
        <v>1.071447</v>
      </c>
      <c r="L785">
        <v>367.04750000000001</v>
      </c>
      <c r="M785">
        <v>0.99998709999999902</v>
      </c>
      <c r="N785">
        <v>0</v>
      </c>
      <c r="O785">
        <v>-1.6240569999999999E-3</v>
      </c>
      <c r="P785">
        <v>0.99618689999999999</v>
      </c>
      <c r="Q785">
        <v>4.9121249999999998E-2</v>
      </c>
      <c r="R785">
        <v>7.2105909999999995E-2</v>
      </c>
      <c r="S785">
        <v>2.97305299999999</v>
      </c>
      <c r="T785">
        <v>-0.2459382</v>
      </c>
      <c r="U785">
        <v>0.68426509999999996</v>
      </c>
      <c r="V785">
        <v>-7.3754120000000006E-2</v>
      </c>
      <c r="W785">
        <v>5.3864929999999998E-2</v>
      </c>
      <c r="X785">
        <v>0.9958207</v>
      </c>
      <c r="Y785">
        <v>-0.22513849999999999</v>
      </c>
      <c r="Z785">
        <v>9.3091739999999999E-3</v>
      </c>
      <c r="AA785">
        <v>0.97428230000000005</v>
      </c>
      <c r="AB785">
        <v>35</v>
      </c>
      <c r="AC785">
        <v>12.5473</v>
      </c>
      <c r="AD785">
        <v>-1.071449367035</v>
      </c>
      <c r="AE785">
        <v>2.9730000000000101</v>
      </c>
      <c r="AF785">
        <v>-2.9728483754018802</v>
      </c>
      <c r="AG785">
        <v>-1.071449367035</v>
      </c>
      <c r="AH785">
        <v>12.456451855738999</v>
      </c>
      <c r="AI785">
        <v>94.782563223925706</v>
      </c>
      <c r="AJ785">
        <v>103.423079696668</v>
      </c>
      <c r="AK785">
        <v>12.8510320225106</v>
      </c>
    </row>
    <row r="786" spans="1:37" x14ac:dyDescent="0.2">
      <c r="A786" t="str">
        <f>"20200111153624381"</f>
        <v>20200111153624381</v>
      </c>
      <c r="B786" t="str">
        <f>"1578728184373638"</f>
        <v>1578728184373638</v>
      </c>
      <c r="C786" t="s">
        <v>37</v>
      </c>
      <c r="D786">
        <v>6.0889530000000001</v>
      </c>
      <c r="E786">
        <v>0.442189099999999</v>
      </c>
      <c r="F786" t="s">
        <v>39</v>
      </c>
      <c r="G786">
        <v>-264.07220000000001</v>
      </c>
      <c r="H786" s="1">
        <v>-2.6344090000000002E-6</v>
      </c>
      <c r="I786">
        <v>370.02620000000002</v>
      </c>
      <c r="J786">
        <v>-277.036</v>
      </c>
      <c r="K786">
        <v>1.0731809999999999</v>
      </c>
      <c r="L786">
        <v>367.04719999999998</v>
      </c>
      <c r="M786">
        <v>0.99998799999999899</v>
      </c>
      <c r="N786">
        <v>0</v>
      </c>
      <c r="O786">
        <v>-1.444245E-3</v>
      </c>
      <c r="P786">
        <v>0.99617119999999904</v>
      </c>
      <c r="Q786">
        <v>5.0103740000000001E-2</v>
      </c>
      <c r="R786">
        <v>7.1643490000000004E-2</v>
      </c>
      <c r="S786">
        <v>2.9747309999999998</v>
      </c>
      <c r="T786">
        <v>-0.2420639</v>
      </c>
      <c r="U786">
        <v>0.67297359999999995</v>
      </c>
      <c r="V786">
        <v>-7.3114360000000003E-2</v>
      </c>
      <c r="W786">
        <v>5.4729109999999997E-2</v>
      </c>
      <c r="X786">
        <v>0.99582079999999995</v>
      </c>
      <c r="Y786">
        <v>-0.22136169999999999</v>
      </c>
      <c r="Z786">
        <v>8.9958360000000001E-3</v>
      </c>
      <c r="AA786">
        <v>0.97515030000000003</v>
      </c>
      <c r="AB786">
        <v>35</v>
      </c>
      <c r="AC786">
        <v>12.9637999999999</v>
      </c>
      <c r="AD786">
        <v>-1.073183634409</v>
      </c>
      <c r="AE786">
        <v>2.9790000000000401</v>
      </c>
      <c r="AF786">
        <v>-2.9783330868556201</v>
      </c>
      <c r="AG786">
        <v>-1.073183634409</v>
      </c>
      <c r="AH786">
        <v>12.875672192427899</v>
      </c>
      <c r="AI786">
        <v>94.642546234599095</v>
      </c>
      <c r="AJ786">
        <v>103.024289648763</v>
      </c>
      <c r="AK786">
        <v>13.259152518026299</v>
      </c>
    </row>
    <row r="787" spans="1:37" x14ac:dyDescent="0.2">
      <c r="A787" t="str">
        <f>"20200111153624394"</f>
        <v>20200111153624394</v>
      </c>
      <c r="B787" t="str">
        <f>"1578728184383399"</f>
        <v>1578728184383399</v>
      </c>
      <c r="C787" t="s">
        <v>37</v>
      </c>
      <c r="D787">
        <v>5.8091949999999999</v>
      </c>
      <c r="E787">
        <v>0.44260149999999998</v>
      </c>
      <c r="F787" t="s">
        <v>39</v>
      </c>
      <c r="G787">
        <v>-263.61250000000001</v>
      </c>
      <c r="H787" s="1">
        <v>-2.841506E-6</v>
      </c>
      <c r="I787">
        <v>370.0634</v>
      </c>
      <c r="J787">
        <v>-276.82900000000001</v>
      </c>
      <c r="K787">
        <v>1.0749869999999999</v>
      </c>
      <c r="L787">
        <v>367.0471</v>
      </c>
      <c r="M787">
        <v>0.9999884</v>
      </c>
      <c r="N787">
        <v>0</v>
      </c>
      <c r="O787">
        <v>-1.2695E-3</v>
      </c>
      <c r="P787">
        <v>0.99616629999999995</v>
      </c>
      <c r="Q787">
        <v>5.0183619999999998E-2</v>
      </c>
      <c r="R787">
        <v>7.1655049999999998E-2</v>
      </c>
      <c r="S787">
        <v>2.975403</v>
      </c>
      <c r="T787">
        <v>-0.23787629999999901</v>
      </c>
      <c r="U787">
        <v>0.66854859999999905</v>
      </c>
      <c r="V787">
        <v>-7.2952290000000003E-2</v>
      </c>
      <c r="W787">
        <v>5.4768150000000002E-2</v>
      </c>
      <c r="X787">
        <v>0.99583049999999995</v>
      </c>
      <c r="Y787">
        <v>-0.21979290000000001</v>
      </c>
      <c r="Z787">
        <v>8.7645480000000005E-3</v>
      </c>
      <c r="AA787">
        <v>0.97550720000000002</v>
      </c>
      <c r="AB787">
        <v>36</v>
      </c>
      <c r="AC787">
        <v>13.2164999999999</v>
      </c>
      <c r="AD787">
        <v>-1.074989841506</v>
      </c>
      <c r="AE787">
        <v>3.0163000000000002</v>
      </c>
      <c r="AF787">
        <v>-3.0141227580271899</v>
      </c>
      <c r="AG787">
        <v>-1.074989841506</v>
      </c>
      <c r="AH787">
        <v>13.130095741646601</v>
      </c>
      <c r="AI787">
        <v>94.562345225531303</v>
      </c>
      <c r="AJ787">
        <v>102.928727402704</v>
      </c>
      <c r="AK787">
        <v>13.514434999089101</v>
      </c>
    </row>
    <row r="788" spans="1:37" x14ac:dyDescent="0.2">
      <c r="A788" t="str">
        <f>"20200111153624406"</f>
        <v>20200111153624406</v>
      </c>
      <c r="B788" t="str">
        <f>"1578728184403894"</f>
        <v>1578728184403894</v>
      </c>
      <c r="C788" t="s">
        <v>37</v>
      </c>
      <c r="D788">
        <v>5.8160040000000004</v>
      </c>
      <c r="E788">
        <v>0.44296940000000001</v>
      </c>
      <c r="F788" t="s">
        <v>39</v>
      </c>
      <c r="G788">
        <v>-263.33260000000001</v>
      </c>
      <c r="H788" s="1">
        <v>-2.9622269999999999E-6</v>
      </c>
      <c r="I788">
        <v>370.0659</v>
      </c>
      <c r="J788">
        <v>-276.63650000000001</v>
      </c>
      <c r="K788">
        <v>1.0766690000000001</v>
      </c>
      <c r="L788">
        <v>367.046999999999</v>
      </c>
      <c r="M788">
        <v>0.99998860000000001</v>
      </c>
      <c r="N788">
        <v>0</v>
      </c>
      <c r="O788">
        <v>-1.111E-3</v>
      </c>
      <c r="P788">
        <v>0.99615409999999904</v>
      </c>
      <c r="Q788">
        <v>4.9498489999999999E-2</v>
      </c>
      <c r="R788">
        <v>7.2300399999999904E-2</v>
      </c>
      <c r="S788">
        <v>2.975616</v>
      </c>
      <c r="T788">
        <v>-0.23700760000000001</v>
      </c>
      <c r="U788">
        <v>0.66558839999999997</v>
      </c>
      <c r="V788">
        <v>-7.343972E-2</v>
      </c>
      <c r="W788">
        <v>5.4111569999999998E-2</v>
      </c>
      <c r="X788">
        <v>0.99583060000000001</v>
      </c>
      <c r="Y788">
        <v>-0.2187077</v>
      </c>
      <c r="Z788">
        <v>8.6778879999999999E-3</v>
      </c>
      <c r="AA788">
        <v>0.97575179999999995</v>
      </c>
      <c r="AB788">
        <v>36</v>
      </c>
      <c r="AC788">
        <v>13.303900000000001</v>
      </c>
      <c r="AD788">
        <v>-1.076671962227</v>
      </c>
      <c r="AE788">
        <v>3.0189000000000301</v>
      </c>
      <c r="AF788">
        <v>-3.0148997854454498</v>
      </c>
      <c r="AG788">
        <v>-1.076671962227</v>
      </c>
      <c r="AH788">
        <v>13.218204484216001</v>
      </c>
      <c r="AI788">
        <v>94.540569499381803</v>
      </c>
      <c r="AJ788">
        <v>102.848617787086</v>
      </c>
      <c r="AK788">
        <v>13.600359297352099</v>
      </c>
    </row>
    <row r="789" spans="1:37" x14ac:dyDescent="0.2">
      <c r="A789" t="str">
        <f>"20200111153624419"</f>
        <v>20200111153624419</v>
      </c>
      <c r="B789" t="str">
        <f>"1578728184413654"</f>
        <v>1578728184413654</v>
      </c>
      <c r="C789" t="s">
        <v>37</v>
      </c>
      <c r="D789">
        <v>6.1534779999999998</v>
      </c>
      <c r="E789">
        <v>0.44340259999999998</v>
      </c>
      <c r="F789" t="s">
        <v>39</v>
      </c>
      <c r="G789">
        <v>-263.19150000000002</v>
      </c>
      <c r="H789" s="1">
        <v>-3.01821599999999E-6</v>
      </c>
      <c r="I789">
        <v>370.04880000000003</v>
      </c>
      <c r="J789">
        <v>-276.43169999999998</v>
      </c>
      <c r="K789">
        <v>1.0784579999999999</v>
      </c>
      <c r="L789">
        <v>367.04680000000002</v>
      </c>
      <c r="M789">
        <v>0.9999884</v>
      </c>
      <c r="N789">
        <v>0</v>
      </c>
      <c r="O789">
        <v>-9.4534619999999997E-4</v>
      </c>
      <c r="P789">
        <v>0.99608549999999996</v>
      </c>
      <c r="Q789">
        <v>4.903921E-2</v>
      </c>
      <c r="R789">
        <v>7.3546139999999996E-2</v>
      </c>
      <c r="S789">
        <v>2.9752200000000002</v>
      </c>
      <c r="T789">
        <v>-0.23825470000000001</v>
      </c>
      <c r="U789">
        <v>0.66427609999999904</v>
      </c>
      <c r="V789">
        <v>-7.4520069999999994E-2</v>
      </c>
      <c r="W789">
        <v>5.3733040000000003E-2</v>
      </c>
      <c r="X789">
        <v>0.99577079999999996</v>
      </c>
      <c r="Y789">
        <v>-0.21815879999999899</v>
      </c>
      <c r="Z789">
        <v>8.6901919999999994E-3</v>
      </c>
      <c r="AA789">
        <v>0.97587459999999904</v>
      </c>
      <c r="AB789">
        <v>36</v>
      </c>
      <c r="AC789">
        <v>13.2401999999999</v>
      </c>
      <c r="AD789">
        <v>-1.0784610182159999</v>
      </c>
      <c r="AE789">
        <v>3.0019999999999998</v>
      </c>
      <c r="AF789">
        <v>-2.9956122264645502</v>
      </c>
      <c r="AG789">
        <v>-1.0784610182159999</v>
      </c>
      <c r="AH789">
        <v>13.1543485330159</v>
      </c>
      <c r="AI789">
        <v>94.570421456622896</v>
      </c>
      <c r="AJ789">
        <v>102.82906242855999</v>
      </c>
      <c r="AK789">
        <v>13.5341662509078</v>
      </c>
    </row>
    <row r="790" spans="1:37" x14ac:dyDescent="0.2">
      <c r="A790" t="str">
        <f>"20200111153624432"</f>
        <v>20200111153624432</v>
      </c>
      <c r="B790" t="str">
        <f>"1578728184423414"</f>
        <v>1578728184423414</v>
      </c>
      <c r="C790" t="s">
        <v>37</v>
      </c>
      <c r="D790">
        <v>5.9535770000000001</v>
      </c>
      <c r="E790">
        <v>0.44374249999999998</v>
      </c>
      <c r="F790" t="s">
        <v>39</v>
      </c>
      <c r="G790">
        <v>-263.02190000000002</v>
      </c>
      <c r="H790" s="1">
        <v>-3.0887409999999998E-6</v>
      </c>
      <c r="I790">
        <v>370.0403</v>
      </c>
      <c r="J790">
        <v>-276.2242</v>
      </c>
      <c r="K790">
        <v>1.0802259999999999</v>
      </c>
      <c r="L790">
        <v>367.04680000000002</v>
      </c>
      <c r="M790">
        <v>0.99998750000000003</v>
      </c>
      <c r="N790">
        <v>0</v>
      </c>
      <c r="O790">
        <v>-7.8504699999999998E-4</v>
      </c>
      <c r="P790">
        <v>0.99603709999999901</v>
      </c>
      <c r="Q790">
        <v>4.8571820000000002E-2</v>
      </c>
      <c r="R790">
        <v>7.4505459999999996E-2</v>
      </c>
      <c r="S790">
        <v>2.9745180000000002</v>
      </c>
      <c r="T790">
        <v>-0.239219299999999</v>
      </c>
      <c r="U790">
        <v>0.66400150000000002</v>
      </c>
      <c r="V790">
        <v>-7.531939E-2</v>
      </c>
      <c r="W790">
        <v>5.344401E-2</v>
      </c>
      <c r="X790">
        <v>0.99572619999999901</v>
      </c>
      <c r="Y790">
        <v>-0.21796089999999901</v>
      </c>
      <c r="Z790">
        <v>8.7067919999999997E-3</v>
      </c>
      <c r="AA790">
        <v>0.97591870000000003</v>
      </c>
      <c r="AB790">
        <v>36</v>
      </c>
      <c r="AC790">
        <v>13.2022999999999</v>
      </c>
      <c r="AD790">
        <v>-1.080229088741</v>
      </c>
      <c r="AE790">
        <v>2.9934999999999801</v>
      </c>
      <c r="AF790">
        <v>-2.9848579446893502</v>
      </c>
      <c r="AG790">
        <v>-1.080229088741</v>
      </c>
      <c r="AH790">
        <v>13.116428752528501</v>
      </c>
      <c r="AI790">
        <v>94.591220620135402</v>
      </c>
      <c r="AJ790">
        <v>102.820262632463</v>
      </c>
      <c r="AK790">
        <v>13.4950722507993</v>
      </c>
    </row>
    <row r="791" spans="1:37" x14ac:dyDescent="0.2">
      <c r="A791" t="str">
        <f>"20200111153624446"</f>
        <v>20200111153624446</v>
      </c>
      <c r="B791" t="str">
        <f>"1578728184443910"</f>
        <v>1578728184443910</v>
      </c>
      <c r="C791" t="s">
        <v>37</v>
      </c>
      <c r="D791">
        <v>5.9535419999999997</v>
      </c>
      <c r="E791">
        <v>0.4445094</v>
      </c>
      <c r="F791" t="s">
        <v>39</v>
      </c>
      <c r="G791">
        <v>-262.8383</v>
      </c>
      <c r="H791" s="1">
        <v>-3.1664030000000002E-6</v>
      </c>
      <c r="I791">
        <v>370.03629999999998</v>
      </c>
      <c r="J791">
        <v>-276.0043</v>
      </c>
      <c r="K791">
        <v>1.08206</v>
      </c>
      <c r="L791">
        <v>367.04680000000002</v>
      </c>
      <c r="M791">
        <v>0.99998659999999995</v>
      </c>
      <c r="N791">
        <v>0</v>
      </c>
      <c r="O791">
        <v>-6.1807530000000004E-4</v>
      </c>
      <c r="P791">
        <v>0.99583410000000006</v>
      </c>
      <c r="Q791">
        <v>4.972874E-2</v>
      </c>
      <c r="R791">
        <v>7.6429529999999996E-2</v>
      </c>
      <c r="S791">
        <v>2.9739689999999999</v>
      </c>
      <c r="T791">
        <v>-0.2399956</v>
      </c>
      <c r="U791">
        <v>0.66418459999999901</v>
      </c>
      <c r="V791">
        <v>-7.7077850000000003E-2</v>
      </c>
      <c r="W791">
        <v>5.4821479999999999E-2</v>
      </c>
      <c r="X791">
        <v>0.99551679999999998</v>
      </c>
      <c r="Y791">
        <v>-0.21788969999999999</v>
      </c>
      <c r="Z791">
        <v>8.7203439999999997E-3</v>
      </c>
      <c r="AA791">
        <v>0.97593439999999998</v>
      </c>
      <c r="AB791">
        <v>36</v>
      </c>
      <c r="AC791">
        <v>13.165999999999899</v>
      </c>
      <c r="AD791">
        <v>-1.082063166403</v>
      </c>
      <c r="AE791">
        <v>2.9894999999999601</v>
      </c>
      <c r="AF791">
        <v>-2.9785050021109898</v>
      </c>
      <c r="AG791">
        <v>-1.082063166403</v>
      </c>
      <c r="AH791">
        <v>13.0801308790401</v>
      </c>
      <c r="AI791">
        <v>94.611544938810397</v>
      </c>
      <c r="AJ791">
        <v>102.828205418709</v>
      </c>
      <c r="AK791">
        <v>13.458535453625901</v>
      </c>
    </row>
    <row r="792" spans="1:37" x14ac:dyDescent="0.2">
      <c r="A792" t="str">
        <f>"20200111153624469"</f>
        <v>20200111153624469</v>
      </c>
      <c r="B792" t="str">
        <f>"1578728184463430"</f>
        <v>1578728184463430</v>
      </c>
      <c r="C792" t="s">
        <v>37</v>
      </c>
      <c r="D792">
        <v>5.9687570000000001</v>
      </c>
      <c r="E792">
        <v>0.44510359999999999</v>
      </c>
      <c r="F792" t="s">
        <v>39</v>
      </c>
      <c r="G792">
        <v>-262.2971</v>
      </c>
      <c r="H792" s="1">
        <v>-3.41747799999999E-6</v>
      </c>
      <c r="I792">
        <v>370.10719999999998</v>
      </c>
      <c r="J792">
        <v>-275.64159999999998</v>
      </c>
      <c r="K792">
        <v>1.084935</v>
      </c>
      <c r="L792">
        <v>367.04680000000002</v>
      </c>
      <c r="M792">
        <v>0.99998410000000004</v>
      </c>
      <c r="N792">
        <v>0</v>
      </c>
      <c r="O792">
        <v>-3.5301350000000001E-4</v>
      </c>
      <c r="P792">
        <v>0.99565990000000004</v>
      </c>
      <c r="Q792">
        <v>5.1506610000000001E-2</v>
      </c>
      <c r="R792">
        <v>7.7514630000000001E-2</v>
      </c>
      <c r="S792">
        <v>2.973328</v>
      </c>
      <c r="T792">
        <v>-0.2347166</v>
      </c>
      <c r="U792">
        <v>0.66387940000000001</v>
      </c>
      <c r="V792">
        <v>-7.7898819999999994E-2</v>
      </c>
      <c r="W792">
        <v>5.7047670000000002E-2</v>
      </c>
      <c r="X792">
        <v>0.99532779999999998</v>
      </c>
      <c r="Y792">
        <v>-0.217611099999999</v>
      </c>
      <c r="Z792">
        <v>8.4995069999999999E-3</v>
      </c>
      <c r="AA792">
        <v>0.97599859999999905</v>
      </c>
      <c r="AB792">
        <v>36</v>
      </c>
      <c r="AC792">
        <v>13.344499999999901</v>
      </c>
      <c r="AD792">
        <v>-1.0849384174779999</v>
      </c>
      <c r="AE792">
        <v>3.0603999999999498</v>
      </c>
      <c r="AF792">
        <v>-3.0459825955015298</v>
      </c>
      <c r="AG792">
        <v>-1.0849384174779999</v>
      </c>
      <c r="AH792">
        <v>13.260148078561899</v>
      </c>
      <c r="AI792">
        <v>94.559269936413898</v>
      </c>
      <c r="AJ792">
        <v>102.936957844373</v>
      </c>
      <c r="AK792">
        <v>13.6486859589928</v>
      </c>
    </row>
    <row r="793" spans="1:37" x14ac:dyDescent="0.2">
      <c r="A793" t="str">
        <f>"20200111153624480"</f>
        <v>20200111153624480</v>
      </c>
      <c r="B793" t="str">
        <f>"1578728184473190"</f>
        <v>1578728184473190</v>
      </c>
      <c r="C793" t="s">
        <v>37</v>
      </c>
      <c r="D793">
        <v>5.956194</v>
      </c>
      <c r="E793">
        <v>0.44542479999999901</v>
      </c>
      <c r="F793" t="s">
        <v>39</v>
      </c>
      <c r="G793">
        <v>-261.46859999999998</v>
      </c>
      <c r="H793" s="1">
        <v>-3.79921499999999E-6</v>
      </c>
      <c r="I793">
        <v>370.20609999999999</v>
      </c>
      <c r="J793">
        <v>-275.44369999999998</v>
      </c>
      <c r="K793">
        <v>1.0864209999999901</v>
      </c>
      <c r="L793">
        <v>367.04680000000002</v>
      </c>
      <c r="M793">
        <v>0.999982699999999</v>
      </c>
      <c r="N793">
        <v>0</v>
      </c>
      <c r="O793">
        <v>-2.1379099999999999E-4</v>
      </c>
      <c r="P793">
        <v>0.99560720000000003</v>
      </c>
      <c r="Q793">
        <v>5.1757600000000001E-2</v>
      </c>
      <c r="R793">
        <v>7.8023980000000007E-2</v>
      </c>
      <c r="S793">
        <v>2.973236</v>
      </c>
      <c r="T793">
        <v>-0.22759869999999999</v>
      </c>
      <c r="U793">
        <v>0.66278079999999995</v>
      </c>
      <c r="V793">
        <v>-7.8269060000000001E-2</v>
      </c>
      <c r="W793">
        <v>5.7566579999999999E-2</v>
      </c>
      <c r="X793">
        <v>0.99526879999999995</v>
      </c>
      <c r="Y793">
        <v>-0.21717809999999901</v>
      </c>
      <c r="Z793">
        <v>8.2162019999999902E-3</v>
      </c>
      <c r="AA793">
        <v>0.9760974</v>
      </c>
      <c r="AB793">
        <v>36</v>
      </c>
      <c r="AC793">
        <v>13.9750999999999</v>
      </c>
      <c r="AD793">
        <v>-1.08642479921499</v>
      </c>
      <c r="AE793">
        <v>3.1592999999999698</v>
      </c>
      <c r="AF793">
        <v>-3.1442095602137998</v>
      </c>
      <c r="AG793">
        <v>-1.08642479921499</v>
      </c>
      <c r="AH793">
        <v>13.8945352359054</v>
      </c>
      <c r="AI793">
        <v>94.361081326278807</v>
      </c>
      <c r="AJ793">
        <v>102.75077366317601</v>
      </c>
      <c r="AK793">
        <v>14.287213935008699</v>
      </c>
    </row>
    <row r="794" spans="1:37" x14ac:dyDescent="0.2">
      <c r="A794" t="str">
        <f>"20200111153624493"</f>
        <v>20200111153624493</v>
      </c>
      <c r="B794" t="str">
        <f>"1578728184483926"</f>
        <v>1578728184483926</v>
      </c>
      <c r="C794" t="s">
        <v>37</v>
      </c>
      <c r="D794">
        <v>5.9579370000000003</v>
      </c>
      <c r="E794">
        <v>0.44569369999999903</v>
      </c>
      <c r="F794" t="s">
        <v>39</v>
      </c>
      <c r="G794">
        <v>-261.16489999999999</v>
      </c>
      <c r="H794" s="1">
        <v>-3.9345499999999901E-6</v>
      </c>
      <c r="I794">
        <v>370.2251</v>
      </c>
      <c r="J794">
        <v>-275.23719999999997</v>
      </c>
      <c r="K794">
        <v>1.0878620000000001</v>
      </c>
      <c r="L794">
        <v>367.04689999999999</v>
      </c>
      <c r="M794">
        <v>0.99998099999999901</v>
      </c>
      <c r="N794">
        <v>0</v>
      </c>
      <c r="O794" s="1">
        <v>-7.8746870000000001E-5</v>
      </c>
      <c r="P794">
        <v>0.99555539999999998</v>
      </c>
      <c r="Q794">
        <v>5.1897110000000003E-2</v>
      </c>
      <c r="R794">
        <v>7.858917E-2</v>
      </c>
      <c r="S794">
        <v>2.9731139999999998</v>
      </c>
      <c r="T794">
        <v>-0.226212</v>
      </c>
      <c r="U794">
        <v>0.66177369999999902</v>
      </c>
      <c r="V794">
        <v>-7.8699399999999906E-2</v>
      </c>
      <c r="W794">
        <v>5.8003099999999898E-2</v>
      </c>
      <c r="X794">
        <v>0.99520959999999903</v>
      </c>
      <c r="Y794">
        <v>-0.21674859999999899</v>
      </c>
      <c r="Z794">
        <v>8.1406510000000005E-3</v>
      </c>
      <c r="AA794">
        <v>0.97619349999999905</v>
      </c>
      <c r="AB794">
        <v>36</v>
      </c>
      <c r="AC794">
        <v>14.072299999999901</v>
      </c>
      <c r="AD794">
        <v>-1.0878659345499999</v>
      </c>
      <c r="AE794">
        <v>3.1781999999999999</v>
      </c>
      <c r="AF794">
        <v>-3.1613324931069302</v>
      </c>
      <c r="AG794">
        <v>-1.0878659345499999</v>
      </c>
      <c r="AH794">
        <v>13.9924869320618</v>
      </c>
      <c r="AI794">
        <v>94.336726577056197</v>
      </c>
      <c r="AJ794">
        <v>102.731129530118</v>
      </c>
      <c r="AK794">
        <v>14.3863534631765</v>
      </c>
    </row>
    <row r="795" spans="1:37" x14ac:dyDescent="0.2">
      <c r="A795" t="str">
        <f>"20200111153624506"</f>
        <v>20200111153624506</v>
      </c>
      <c r="B795" t="str">
        <f>"1578728184503446"</f>
        <v>1578728184503446</v>
      </c>
      <c r="C795" t="s">
        <v>37</v>
      </c>
      <c r="D795">
        <v>5.9865469999999998</v>
      </c>
      <c r="E795">
        <v>0.44615879999999902</v>
      </c>
      <c r="F795" t="s">
        <v>39</v>
      </c>
      <c r="G795">
        <v>-260.87459999999999</v>
      </c>
      <c r="H795" s="1">
        <v>-4.063563E-6</v>
      </c>
      <c r="I795">
        <v>370.241999999999</v>
      </c>
      <c r="J795">
        <v>-275.03719999999998</v>
      </c>
      <c r="K795">
        <v>1.089183</v>
      </c>
      <c r="L795">
        <v>367.046999999999</v>
      </c>
      <c r="M795">
        <v>0.99997909999999901</v>
      </c>
      <c r="N795">
        <v>0</v>
      </c>
      <c r="O795" s="1">
        <v>4.5482689999999997E-5</v>
      </c>
      <c r="P795">
        <v>0.99549069999999995</v>
      </c>
      <c r="Q795">
        <v>5.2311490000000002E-2</v>
      </c>
      <c r="R795">
        <v>7.9131590000000002E-2</v>
      </c>
      <c r="S795">
        <v>2.9729610000000002</v>
      </c>
      <c r="T795">
        <v>-0.22518070000000001</v>
      </c>
      <c r="U795">
        <v>0.66137699999999999</v>
      </c>
      <c r="V795">
        <v>-7.911754E-2</v>
      </c>
      <c r="W795">
        <v>5.870715E-2</v>
      </c>
      <c r="X795">
        <v>0.99513510000000005</v>
      </c>
      <c r="Y795">
        <v>-0.21652009999999999</v>
      </c>
      <c r="Z795">
        <v>8.0863380000000002E-3</v>
      </c>
      <c r="AA795">
        <v>0.97624469999999997</v>
      </c>
      <c r="AB795">
        <v>36</v>
      </c>
      <c r="AC795">
        <v>14.1625999999999</v>
      </c>
      <c r="AD795">
        <v>-1.0891870635630001</v>
      </c>
      <c r="AE795">
        <v>3.1949999999999901</v>
      </c>
      <c r="AF795">
        <v>-3.1764783426554799</v>
      </c>
      <c r="AG795">
        <v>-1.0891870635630001</v>
      </c>
      <c r="AH795">
        <v>14.0834822820903</v>
      </c>
      <c r="AI795">
        <v>94.314380028076599</v>
      </c>
      <c r="AJ795">
        <v>102.710176405639</v>
      </c>
      <c r="AK795">
        <v>14.4782877547983</v>
      </c>
    </row>
    <row r="796" spans="1:37" x14ac:dyDescent="0.2">
      <c r="A796" t="str">
        <f>"20200111153624519"</f>
        <v>20200111153624519</v>
      </c>
      <c r="B796" t="str">
        <f>"1578728184513206"</f>
        <v>1578728184513206</v>
      </c>
      <c r="C796" t="s">
        <v>37</v>
      </c>
      <c r="D796">
        <v>6.0968359999999997</v>
      </c>
      <c r="E796">
        <v>0.44650079999999998</v>
      </c>
      <c r="F796" t="s">
        <v>39</v>
      </c>
      <c r="G796">
        <v>-260.58409999999998</v>
      </c>
      <c r="H796" s="1">
        <v>-4.1901629999999997E-6</v>
      </c>
      <c r="I796">
        <v>370.25279999999998</v>
      </c>
      <c r="J796">
        <v>-274.8338</v>
      </c>
      <c r="K796">
        <v>1.090476</v>
      </c>
      <c r="L796">
        <v>367.0471</v>
      </c>
      <c r="M796">
        <v>0.99997719999999901</v>
      </c>
      <c r="N796">
        <v>0</v>
      </c>
      <c r="O796">
        <v>1.6678209999999901E-4</v>
      </c>
      <c r="P796">
        <v>0.99544249999999901</v>
      </c>
      <c r="Q796">
        <v>5.2835149999999997E-2</v>
      </c>
      <c r="R796">
        <v>7.9390639999999998E-2</v>
      </c>
      <c r="S796">
        <v>2.972931</v>
      </c>
      <c r="T796">
        <v>-0.224039399999999</v>
      </c>
      <c r="U796">
        <v>0.6594238</v>
      </c>
      <c r="V796">
        <v>-7.9255560000000003E-2</v>
      </c>
      <c r="W796">
        <v>5.952826E-2</v>
      </c>
      <c r="X796">
        <v>0.9950753</v>
      </c>
      <c r="Y796">
        <v>-0.21580070000000001</v>
      </c>
      <c r="Z796">
        <v>8.0103469999999993E-3</v>
      </c>
      <c r="AA796">
        <v>0.97640450000000001</v>
      </c>
      <c r="AB796">
        <v>36</v>
      </c>
      <c r="AC796">
        <v>14.249700000000001</v>
      </c>
      <c r="AD796">
        <v>-1.0904801901629999</v>
      </c>
      <c r="AE796">
        <v>3.20569999999997</v>
      </c>
      <c r="AF796">
        <v>-3.1855663169202502</v>
      </c>
      <c r="AG796">
        <v>-1.0904801901629999</v>
      </c>
      <c r="AH796">
        <v>14.171241109885999</v>
      </c>
      <c r="AI796">
        <v>94.293526174542507</v>
      </c>
      <c r="AJ796">
        <v>102.668980777138</v>
      </c>
      <c r="AK796">
        <v>14.565749359341501</v>
      </c>
    </row>
    <row r="797" spans="1:37" x14ac:dyDescent="0.2">
      <c r="A797" t="str">
        <f>"20200111153624532"</f>
        <v>20200111153624532</v>
      </c>
      <c r="B797" t="str">
        <f>"1578728184523942"</f>
        <v>1578728184523942</v>
      </c>
      <c r="C797" t="s">
        <v>37</v>
      </c>
      <c r="D797">
        <v>6.1456780000000002</v>
      </c>
      <c r="E797">
        <v>0.44682959999999899</v>
      </c>
      <c r="F797" t="s">
        <v>39</v>
      </c>
      <c r="G797">
        <v>-260.23390000000001</v>
      </c>
      <c r="H797" s="1">
        <v>-4.3132929999999999E-6</v>
      </c>
      <c r="I797">
        <v>370.27519999999998</v>
      </c>
      <c r="J797">
        <v>-274.61810000000003</v>
      </c>
      <c r="K797">
        <v>1.0917139999999901</v>
      </c>
      <c r="L797">
        <v>367.04719999999998</v>
      </c>
      <c r="M797">
        <v>0.99997499999999995</v>
      </c>
      <c r="N797">
        <v>0</v>
      </c>
      <c r="O797">
        <v>2.8507320000000001E-4</v>
      </c>
      <c r="P797">
        <v>0.99538700000000002</v>
      </c>
      <c r="Q797">
        <v>5.3247919999999997E-2</v>
      </c>
      <c r="R797">
        <v>7.9808409999999996E-2</v>
      </c>
      <c r="S797">
        <v>2.9730829999999999</v>
      </c>
      <c r="T797">
        <v>-0.22206289999999901</v>
      </c>
      <c r="U797">
        <v>0.65737919999999905</v>
      </c>
      <c r="V797">
        <v>-7.9555299999999995E-2</v>
      </c>
      <c r="W797">
        <v>6.0249839999999999E-2</v>
      </c>
      <c r="X797">
        <v>0.995008</v>
      </c>
      <c r="Y797">
        <v>-0.21504699999999999</v>
      </c>
      <c r="Z797">
        <v>7.9035619999999994E-3</v>
      </c>
      <c r="AA797">
        <v>0.97657169999999904</v>
      </c>
      <c r="AB797">
        <v>36</v>
      </c>
      <c r="AC797">
        <v>14.3842</v>
      </c>
      <c r="AD797">
        <v>-1.091718313293</v>
      </c>
      <c r="AE797">
        <v>3.2280000000000002</v>
      </c>
      <c r="AF797">
        <v>-3.20631523037334</v>
      </c>
      <c r="AG797">
        <v>-1.091718313293</v>
      </c>
      <c r="AH797">
        <v>14.3066594646975</v>
      </c>
      <c r="AI797">
        <v>94.258461290570096</v>
      </c>
      <c r="AJ797">
        <v>102.63202796485299</v>
      </c>
      <c r="AK797">
        <v>14.7021362825585</v>
      </c>
    </row>
    <row r="798" spans="1:37" x14ac:dyDescent="0.2">
      <c r="A798" t="str">
        <f>"20200111153624547"</f>
        <v>20200111153624547</v>
      </c>
      <c r="B798" t="str">
        <f>"1578728184543462"</f>
        <v>1578728184543462</v>
      </c>
      <c r="C798" t="s">
        <v>37</v>
      </c>
      <c r="D798">
        <v>6.0204000000000004</v>
      </c>
      <c r="E798">
        <v>0.44733319999999999</v>
      </c>
      <c r="F798" t="s">
        <v>39</v>
      </c>
      <c r="G798">
        <v>-259.9178</v>
      </c>
      <c r="H798" s="1">
        <v>-1.964286E-7</v>
      </c>
      <c r="I798">
        <v>370.2885</v>
      </c>
      <c r="J798">
        <v>-274.38830000000002</v>
      </c>
      <c r="K798">
        <v>1.092962</v>
      </c>
      <c r="L798">
        <v>367.04739999999998</v>
      </c>
      <c r="M798">
        <v>0.99997250000000004</v>
      </c>
      <c r="N798">
        <v>0</v>
      </c>
      <c r="O798">
        <v>4.0732170000000001E-4</v>
      </c>
      <c r="P798">
        <v>0.99526749999999997</v>
      </c>
      <c r="Q798">
        <v>5.463813E-2</v>
      </c>
      <c r="R798">
        <v>8.0357689999999996E-2</v>
      </c>
      <c r="S798">
        <v>2.9731450000000001</v>
      </c>
      <c r="T798">
        <v>-0.22079869999999999</v>
      </c>
      <c r="U798">
        <v>0.65554809999999997</v>
      </c>
      <c r="V798">
        <v>-7.9982899999999996E-2</v>
      </c>
      <c r="W798">
        <v>6.1964199999999997E-2</v>
      </c>
      <c r="X798">
        <v>0.99486839999999999</v>
      </c>
      <c r="Y798">
        <v>-0.21435839999999901</v>
      </c>
      <c r="Z798">
        <v>7.8248499999999995E-3</v>
      </c>
      <c r="AA798">
        <v>0.97672369999999997</v>
      </c>
      <c r="AB798">
        <v>36</v>
      </c>
      <c r="AC798">
        <v>14.470499999999999</v>
      </c>
      <c r="AD798">
        <v>-1.0929621964286</v>
      </c>
      <c r="AE798">
        <v>3.2411000000000101</v>
      </c>
      <c r="AF798">
        <v>-3.21772572473277</v>
      </c>
      <c r="AG798">
        <v>-1.0929621964286</v>
      </c>
      <c r="AH798">
        <v>14.3936282992707</v>
      </c>
      <c r="AI798">
        <v>94.238135224926097</v>
      </c>
      <c r="AJ798">
        <v>102.601397488955</v>
      </c>
      <c r="AK798">
        <v>14.7893495739331</v>
      </c>
    </row>
    <row r="799" spans="1:37" x14ac:dyDescent="0.2">
      <c r="A799" t="str">
        <f>"20200111153624561"</f>
        <v>20200111153624561</v>
      </c>
      <c r="B799" t="str">
        <f>"1578728184553223"</f>
        <v>1578728184553223</v>
      </c>
      <c r="C799" t="s">
        <v>37</v>
      </c>
      <c r="D799">
        <v>6.0337620000000003</v>
      </c>
      <c r="E799">
        <v>0.44754240000000001</v>
      </c>
      <c r="F799" t="s">
        <v>39</v>
      </c>
      <c r="G799">
        <v>-259.32060000000001</v>
      </c>
      <c r="H799" s="1">
        <v>-4.7124609999999998E-7</v>
      </c>
      <c r="I799">
        <v>370.35849999999999</v>
      </c>
      <c r="J799">
        <v>-274.17779999999999</v>
      </c>
      <c r="K799">
        <v>1.094034</v>
      </c>
      <c r="L799">
        <v>367.04759999999999</v>
      </c>
      <c r="M799">
        <v>0.99997029999999998</v>
      </c>
      <c r="N799">
        <v>0</v>
      </c>
      <c r="O799">
        <v>5.1581559999999997E-4</v>
      </c>
      <c r="P799">
        <v>0.99519179999999996</v>
      </c>
      <c r="Q799">
        <v>5.5013649999999997E-2</v>
      </c>
      <c r="R799">
        <v>8.1035960000000004E-2</v>
      </c>
      <c r="S799">
        <v>2.9733580000000002</v>
      </c>
      <c r="T799">
        <v>-0.2156767</v>
      </c>
      <c r="U799">
        <v>0.65338130000000005</v>
      </c>
      <c r="V799">
        <v>-8.0553079999999999E-2</v>
      </c>
      <c r="W799">
        <v>6.2630469999999994E-2</v>
      </c>
      <c r="X799">
        <v>0.99478069999999896</v>
      </c>
      <c r="Y799">
        <v>-0.21358659999999999</v>
      </c>
      <c r="Z799">
        <v>7.6084550000000001E-3</v>
      </c>
      <c r="AA799">
        <v>0.9768945</v>
      </c>
      <c r="AB799">
        <v>36</v>
      </c>
      <c r="AC799">
        <v>14.857199999999899</v>
      </c>
      <c r="AD799">
        <v>-1.0940344712460901</v>
      </c>
      <c r="AE799">
        <v>3.3109000000000002</v>
      </c>
      <c r="AF799">
        <v>-3.28625954721387</v>
      </c>
      <c r="AG799">
        <v>-1.0940344712460901</v>
      </c>
      <c r="AH799">
        <v>14.782542004630599</v>
      </c>
      <c r="AI799">
        <v>94.132148424941803</v>
      </c>
      <c r="AJ799">
        <v>102.533425303562</v>
      </c>
      <c r="AK799">
        <v>15.182883828660399</v>
      </c>
    </row>
    <row r="800" spans="1:37" x14ac:dyDescent="0.2">
      <c r="A800" t="str">
        <f>"20200111153624574"</f>
        <v>20200111153624574</v>
      </c>
      <c r="B800" t="str">
        <f>"1578728184563958"</f>
        <v>1578728184563958</v>
      </c>
      <c r="C800" t="s">
        <v>37</v>
      </c>
      <c r="D800">
        <v>5.9919779999999996</v>
      </c>
      <c r="E800">
        <v>0.44778309999999999</v>
      </c>
      <c r="F800" t="s">
        <v>39</v>
      </c>
      <c r="G800">
        <v>-258.98910000000001</v>
      </c>
      <c r="H800" s="1">
        <v>-6.2085250000000002E-7</v>
      </c>
      <c r="I800">
        <v>370.38630000000001</v>
      </c>
      <c r="J800">
        <v>-273.94540000000001</v>
      </c>
      <c r="K800">
        <v>1.095092</v>
      </c>
      <c r="L800">
        <v>367.04790000000003</v>
      </c>
      <c r="M800">
        <v>0.99996779999999996</v>
      </c>
      <c r="N800">
        <v>0</v>
      </c>
      <c r="O800">
        <v>6.3009920000000003E-4</v>
      </c>
      <c r="P800">
        <v>0.99512880000000004</v>
      </c>
      <c r="Q800">
        <v>5.5385950000000003E-2</v>
      </c>
      <c r="R800">
        <v>8.155482E-2</v>
      </c>
      <c r="S800">
        <v>2.9731139999999998</v>
      </c>
      <c r="T800">
        <v>-0.21415109999999901</v>
      </c>
      <c r="U800">
        <v>0.6535339</v>
      </c>
      <c r="V800">
        <v>-8.0957970000000004E-2</v>
      </c>
      <c r="W800">
        <v>6.3313369999999994E-2</v>
      </c>
      <c r="X800">
        <v>0.99470460000000005</v>
      </c>
      <c r="Y800">
        <v>-0.2135474</v>
      </c>
      <c r="Z800">
        <v>7.54582E-3</v>
      </c>
      <c r="AA800">
        <v>0.97690359999999998</v>
      </c>
      <c r="AB800">
        <v>36</v>
      </c>
      <c r="AC800">
        <v>14.956300000000001</v>
      </c>
      <c r="AD800">
        <v>-1.0950926208525</v>
      </c>
      <c r="AE800">
        <v>3.3383999999999698</v>
      </c>
      <c r="AF800">
        <v>-3.3120614949845399</v>
      </c>
      <c r="AG800">
        <v>-1.0950926208525</v>
      </c>
      <c r="AH800">
        <v>14.8824011863242</v>
      </c>
      <c r="AI800">
        <v>94.108263511898599</v>
      </c>
      <c r="AJ800">
        <v>102.546641018974</v>
      </c>
      <c r="AK800">
        <v>15.2857726093747</v>
      </c>
    </row>
    <row r="801" spans="1:37" x14ac:dyDescent="0.2">
      <c r="A801" t="str">
        <f>"20200111153624602"</f>
        <v>20200111153624602</v>
      </c>
      <c r="B801" t="str">
        <f>"1578728184593239"</f>
        <v>1578728184593239</v>
      </c>
      <c r="C801" t="s">
        <v>37</v>
      </c>
      <c r="D801">
        <v>5.9709029999999998</v>
      </c>
      <c r="E801">
        <v>0.44832309999999997</v>
      </c>
      <c r="F801" t="s">
        <v>39</v>
      </c>
      <c r="G801">
        <v>-258.62119999999999</v>
      </c>
      <c r="H801" s="1">
        <v>-7.8654300000000003E-7</v>
      </c>
      <c r="I801">
        <v>370.41579999999999</v>
      </c>
      <c r="J801">
        <v>-273.49430000000001</v>
      </c>
      <c r="K801">
        <v>1.096929</v>
      </c>
      <c r="L801">
        <v>367.04840000000002</v>
      </c>
      <c r="M801">
        <v>0.99996289999999999</v>
      </c>
      <c r="N801">
        <v>0</v>
      </c>
      <c r="O801">
        <v>8.4382710000000004E-4</v>
      </c>
      <c r="P801">
        <v>0.99491640000000003</v>
      </c>
      <c r="Q801">
        <v>5.7004499999999902E-2</v>
      </c>
      <c r="R801">
        <v>8.3018300000000003E-2</v>
      </c>
      <c r="S801">
        <v>2.9729919999999899</v>
      </c>
      <c r="T801">
        <v>-0.2124547</v>
      </c>
      <c r="U801">
        <v>0.65341190000000005</v>
      </c>
      <c r="V801">
        <v>-8.2209340000000006E-2</v>
      </c>
      <c r="W801">
        <v>6.5507490000000002E-2</v>
      </c>
      <c r="X801">
        <v>0.99445989999999995</v>
      </c>
      <c r="Y801">
        <v>-0.21331810000000001</v>
      </c>
      <c r="Z801">
        <v>7.4633619999999899E-3</v>
      </c>
      <c r="AA801">
        <v>0.97695429999999905</v>
      </c>
      <c r="AB801">
        <v>36</v>
      </c>
      <c r="AC801">
        <v>14.873100000000001</v>
      </c>
      <c r="AD801">
        <v>-1.0969297865430001</v>
      </c>
      <c r="AE801">
        <v>3.3673999999999702</v>
      </c>
      <c r="AF801">
        <v>-3.3375786784321799</v>
      </c>
      <c r="AG801">
        <v>-1.0969297865430001</v>
      </c>
      <c r="AH801">
        <v>14.7993612929533</v>
      </c>
      <c r="AI801">
        <v>94.135527709135005</v>
      </c>
      <c r="AJ801">
        <v>102.70883694331501</v>
      </c>
      <c r="AK801">
        <v>15.2106469642384</v>
      </c>
    </row>
    <row r="802" spans="1:37" x14ac:dyDescent="0.2">
      <c r="A802" t="str">
        <f>"20200111153624632"</f>
        <v>20200111153624632</v>
      </c>
      <c r="B802" t="str">
        <f>"1578728184623494"</f>
        <v>1578728184623494</v>
      </c>
      <c r="C802" t="s">
        <v>37</v>
      </c>
      <c r="D802">
        <v>5.8762879999999997</v>
      </c>
      <c r="E802">
        <v>0.4488415</v>
      </c>
      <c r="F802" t="s">
        <v>39</v>
      </c>
      <c r="G802">
        <v>-257.75069999999999</v>
      </c>
      <c r="H802" s="1">
        <v>-1.185021E-6</v>
      </c>
      <c r="I802">
        <v>370.50990000000002</v>
      </c>
      <c r="J802">
        <v>-273.03489999999999</v>
      </c>
      <c r="K802">
        <v>1.0984590000000001</v>
      </c>
      <c r="L802">
        <v>367.04910000000001</v>
      </c>
      <c r="M802">
        <v>0.99995789999999996</v>
      </c>
      <c r="N802">
        <v>0</v>
      </c>
      <c r="O802">
        <v>1.061979E-3</v>
      </c>
      <c r="P802">
        <v>0.99476889999999996</v>
      </c>
      <c r="Q802">
        <v>5.8223660000000003E-2</v>
      </c>
      <c r="R802">
        <v>8.3935029999999994E-2</v>
      </c>
      <c r="S802">
        <v>2.9726870000000001</v>
      </c>
      <c r="T802">
        <v>-0.20712069999999999</v>
      </c>
      <c r="U802">
        <v>0.65359500000000004</v>
      </c>
      <c r="V802">
        <v>-8.2907579999999995E-2</v>
      </c>
      <c r="W802">
        <v>6.7263630000000005E-2</v>
      </c>
      <c r="X802">
        <v>0.99428459999999996</v>
      </c>
      <c r="Y802">
        <v>-0.2132097</v>
      </c>
      <c r="Z802">
        <v>7.2583780000000002E-3</v>
      </c>
      <c r="AA802">
        <v>0.9769795</v>
      </c>
      <c r="AB802">
        <v>36</v>
      </c>
      <c r="AC802">
        <v>15.284199999999901</v>
      </c>
      <c r="AD802">
        <v>-1.0984601850210001</v>
      </c>
      <c r="AE802">
        <v>3.4607999999999999</v>
      </c>
      <c r="AF802">
        <v>-3.4277246115703202</v>
      </c>
      <c r="AG802">
        <v>-1.0984601850210001</v>
      </c>
      <c r="AH802">
        <v>15.2131209850803</v>
      </c>
      <c r="AI802">
        <v>94.029200141073702</v>
      </c>
      <c r="AJ802">
        <v>102.697490076607</v>
      </c>
      <c r="AK802">
        <v>15.633136630169</v>
      </c>
    </row>
    <row r="803" spans="1:37" x14ac:dyDescent="0.2">
      <c r="A803" t="str">
        <f>"20200111153624647"</f>
        <v>20200111153624647</v>
      </c>
      <c r="B803" t="str">
        <f>"1578728184643990"</f>
        <v>1578728184643990</v>
      </c>
      <c r="C803" t="s">
        <v>37</v>
      </c>
      <c r="D803">
        <v>6.1674470000000001</v>
      </c>
      <c r="E803">
        <v>0.44923570000000002</v>
      </c>
      <c r="F803" t="s">
        <v>39</v>
      </c>
      <c r="G803">
        <v>-256.9674</v>
      </c>
      <c r="H803" s="1">
        <v>-1.53815599999999E-6</v>
      </c>
      <c r="I803">
        <v>370.57409999999999</v>
      </c>
      <c r="J803">
        <v>-272.78160000000003</v>
      </c>
      <c r="K803">
        <v>1.0991899999999999</v>
      </c>
      <c r="L803">
        <v>367.0496</v>
      </c>
      <c r="M803">
        <v>0.99995519999999904</v>
      </c>
      <c r="N803">
        <v>0</v>
      </c>
      <c r="O803">
        <v>1.1843730000000001E-3</v>
      </c>
      <c r="P803">
        <v>0.99462050000000002</v>
      </c>
      <c r="Q803">
        <v>5.9487289999999998E-2</v>
      </c>
      <c r="R803">
        <v>8.4801870000000001E-2</v>
      </c>
      <c r="S803">
        <v>2.9726560000000002</v>
      </c>
      <c r="T803">
        <v>-0.20322609999999999</v>
      </c>
      <c r="U803">
        <v>0.65216059999999998</v>
      </c>
      <c r="V803">
        <v>-8.3652610000000002E-2</v>
      </c>
      <c r="W803">
        <v>6.8800710000000001E-2</v>
      </c>
      <c r="X803">
        <v>0.99411700000000003</v>
      </c>
      <c r="Y803">
        <v>-0.2126622</v>
      </c>
      <c r="Z803">
        <v>7.0959029999999998E-3</v>
      </c>
      <c r="AA803">
        <v>0.97709999999999997</v>
      </c>
      <c r="AB803">
        <v>36</v>
      </c>
      <c r="AC803">
        <v>15.8142</v>
      </c>
      <c r="AD803">
        <v>-1.09919153815599</v>
      </c>
      <c r="AE803">
        <v>3.5244999999999802</v>
      </c>
      <c r="AF803">
        <v>-3.48970522183247</v>
      </c>
      <c r="AG803">
        <v>-1.09919153815599</v>
      </c>
      <c r="AH803">
        <v>15.745892042734001</v>
      </c>
      <c r="AI803">
        <v>93.898929934530599</v>
      </c>
      <c r="AJ803">
        <v>102.49627149984001</v>
      </c>
      <c r="AK803">
        <v>16.165375986789599</v>
      </c>
    </row>
    <row r="804" spans="1:37" x14ac:dyDescent="0.2">
      <c r="A804" t="str">
        <f>"20200111153624660"</f>
        <v>20200111153624660</v>
      </c>
      <c r="B804" t="str">
        <f>"1578728184653751"</f>
        <v>1578728184653751</v>
      </c>
      <c r="C804" t="s">
        <v>37</v>
      </c>
      <c r="D804">
        <v>5.9133040000000001</v>
      </c>
      <c r="E804">
        <v>0.44947690000000001</v>
      </c>
      <c r="F804" t="s">
        <v>39</v>
      </c>
      <c r="G804">
        <v>-256.36410000000001</v>
      </c>
      <c r="H804" s="1">
        <v>-1.8171969999999899E-6</v>
      </c>
      <c r="I804">
        <v>370.65019999999998</v>
      </c>
      <c r="J804">
        <v>-272.5745</v>
      </c>
      <c r="K804">
        <v>1.099736</v>
      </c>
      <c r="L804">
        <v>367.05</v>
      </c>
      <c r="M804">
        <v>0.99995299999999998</v>
      </c>
      <c r="N804">
        <v>0</v>
      </c>
      <c r="O804">
        <v>1.285434E-3</v>
      </c>
      <c r="P804">
        <v>0.99452229999999997</v>
      </c>
      <c r="Q804">
        <v>6.0074080000000002E-2</v>
      </c>
      <c r="R804">
        <v>8.5539680000000007E-2</v>
      </c>
      <c r="S804">
        <v>2.9725039999999998</v>
      </c>
      <c r="T804">
        <v>-0.1990151</v>
      </c>
      <c r="U804">
        <v>0.65191650000000001</v>
      </c>
      <c r="V804">
        <v>-8.4289740000000002E-2</v>
      </c>
      <c r="W804">
        <v>6.9601780000000002E-2</v>
      </c>
      <c r="X804">
        <v>0.99400750000000004</v>
      </c>
      <c r="Y804">
        <v>-0.21251709999999999</v>
      </c>
      <c r="Z804">
        <v>6.9381249999999998E-3</v>
      </c>
      <c r="AA804">
        <v>0.97713269999999997</v>
      </c>
      <c r="AB804">
        <v>36</v>
      </c>
      <c r="AC804">
        <v>16.2103999999999</v>
      </c>
      <c r="AD804">
        <v>-1.099737817197</v>
      </c>
      <c r="AE804">
        <v>3.6001999999999699</v>
      </c>
      <c r="AF804">
        <v>-3.5637277124807598</v>
      </c>
      <c r="AG804">
        <v>-1.099737817197</v>
      </c>
      <c r="AH804">
        <v>16.1442041593493</v>
      </c>
      <c r="AI804">
        <v>93.805611680819396</v>
      </c>
      <c r="AJ804">
        <v>102.448043551566</v>
      </c>
      <c r="AK804">
        <v>16.569396682258201</v>
      </c>
    </row>
    <row r="805" spans="1:37" x14ac:dyDescent="0.2">
      <c r="A805" t="str">
        <f>"20200111153624673"</f>
        <v>20200111153624673</v>
      </c>
      <c r="B805" t="str">
        <f>"1578728184663510"</f>
        <v>1578728184663510</v>
      </c>
      <c r="C805" t="s">
        <v>37</v>
      </c>
      <c r="D805">
        <v>5.9457269999999998</v>
      </c>
      <c r="E805">
        <v>0.44967489999999999</v>
      </c>
      <c r="F805" t="s">
        <v>39</v>
      </c>
      <c r="G805">
        <v>-255.98910000000001</v>
      </c>
      <c r="H805" s="1">
        <v>-1.9887710000000002E-6</v>
      </c>
      <c r="I805">
        <v>370.69029999999998</v>
      </c>
      <c r="J805">
        <v>-272.36630000000002</v>
      </c>
      <c r="K805">
        <v>1.100217</v>
      </c>
      <c r="L805">
        <v>367.05029999999999</v>
      </c>
      <c r="M805">
        <v>0.99995089999999998</v>
      </c>
      <c r="N805">
        <v>0</v>
      </c>
      <c r="O805">
        <v>1.3879160000000001E-3</v>
      </c>
      <c r="P805">
        <v>0.99442569999999997</v>
      </c>
      <c r="Q805">
        <v>6.0610520000000001E-2</v>
      </c>
      <c r="R805">
        <v>8.6279980000000006E-2</v>
      </c>
      <c r="S805">
        <v>2.972321</v>
      </c>
      <c r="T805">
        <v>-0.19708599999999901</v>
      </c>
      <c r="U805">
        <v>0.65240480000000001</v>
      </c>
      <c r="V805">
        <v>-8.4928039999999996E-2</v>
      </c>
      <c r="W805">
        <v>7.0339079999999998E-2</v>
      </c>
      <c r="X805">
        <v>0.99390129999999999</v>
      </c>
      <c r="Y805">
        <v>-0.21259139999999899</v>
      </c>
      <c r="Z805">
        <v>6.8670340000000002E-3</v>
      </c>
      <c r="AA805">
        <v>0.97711709999999996</v>
      </c>
      <c r="AB805">
        <v>36</v>
      </c>
      <c r="AC805">
        <v>16.377199999999998</v>
      </c>
      <c r="AD805">
        <v>-1.1002189887710001</v>
      </c>
      <c r="AE805">
        <v>3.6399999999999801</v>
      </c>
      <c r="AF805">
        <v>-3.6017751058880401</v>
      </c>
      <c r="AG805">
        <v>-1.1002189887710001</v>
      </c>
      <c r="AH805">
        <v>16.312083279639801</v>
      </c>
      <c r="AI805">
        <v>93.768154063339296</v>
      </c>
      <c r="AJ805">
        <v>102.45135651966901</v>
      </c>
      <c r="AK805">
        <v>16.7411865367587</v>
      </c>
    </row>
    <row r="806" spans="1:37" x14ac:dyDescent="0.2">
      <c r="A806" t="str">
        <f>"20200111153624699"</f>
        <v>20200111153624699</v>
      </c>
      <c r="B806" t="str">
        <f>"1578728184693766"</f>
        <v>1578728184693766</v>
      </c>
      <c r="C806" t="s">
        <v>37</v>
      </c>
      <c r="D806">
        <v>5.9882</v>
      </c>
      <c r="E806">
        <v>0.44981989999999999</v>
      </c>
      <c r="F806" t="s">
        <v>39</v>
      </c>
      <c r="G806">
        <v>-255.6189</v>
      </c>
      <c r="H806" s="1">
        <v>-2.15813899999999E-6</v>
      </c>
      <c r="I806">
        <v>370.73</v>
      </c>
      <c r="J806">
        <v>-271.94920000000002</v>
      </c>
      <c r="K806">
        <v>1.101078</v>
      </c>
      <c r="L806">
        <v>367.05110000000002</v>
      </c>
      <c r="M806">
        <v>0.99994669999999897</v>
      </c>
      <c r="N806">
        <v>0</v>
      </c>
      <c r="O806">
        <v>1.5932079999999901E-3</v>
      </c>
      <c r="P806">
        <v>0.99429319999999899</v>
      </c>
      <c r="Q806">
        <v>6.1848449999999999E-2</v>
      </c>
      <c r="R806">
        <v>8.6925479999999999E-2</v>
      </c>
      <c r="S806">
        <v>2.97204599999999</v>
      </c>
      <c r="T806">
        <v>-0.19524710000000001</v>
      </c>
      <c r="U806">
        <v>0.65301509999999996</v>
      </c>
      <c r="V806">
        <v>-8.5368869999999999E-2</v>
      </c>
      <c r="W806">
        <v>7.1953359999999994E-2</v>
      </c>
      <c r="X806">
        <v>0.99374789999999902</v>
      </c>
      <c r="Y806">
        <v>-0.21260970000000001</v>
      </c>
      <c r="Z806">
        <v>6.7908350000000003E-3</v>
      </c>
      <c r="AA806">
        <v>0.97711360000000003</v>
      </c>
      <c r="AB806">
        <v>36</v>
      </c>
      <c r="AC806">
        <v>16.330300000000001</v>
      </c>
      <c r="AD806">
        <v>-1.101080158139</v>
      </c>
      <c r="AE806">
        <v>3.6788999999999898</v>
      </c>
      <c r="AF806">
        <v>-3.6371398597195901</v>
      </c>
      <c r="AG806">
        <v>-1.101080158139</v>
      </c>
      <c r="AH806">
        <v>16.2657649109779</v>
      </c>
      <c r="AI806">
        <v>93.779565015748602</v>
      </c>
      <c r="AJ806">
        <v>102.604396922869</v>
      </c>
      <c r="AK806">
        <v>16.703780171356598</v>
      </c>
    </row>
    <row r="807" spans="1:37" x14ac:dyDescent="0.2">
      <c r="A807" t="str">
        <f>"20200111153624713"</f>
        <v>20200111153624713</v>
      </c>
      <c r="B807" t="str">
        <f>"1578728184703526"</f>
        <v>1578728184703526</v>
      </c>
      <c r="C807" t="s">
        <v>37</v>
      </c>
      <c r="D807">
        <v>5.9675739999999999</v>
      </c>
      <c r="E807">
        <v>0.44991619999999999</v>
      </c>
      <c r="F807" t="s">
        <v>39</v>
      </c>
      <c r="G807">
        <v>-254.98660000000001</v>
      </c>
      <c r="H807" s="1">
        <v>-2.443808E-6</v>
      </c>
      <c r="I807">
        <v>370.78429999999997</v>
      </c>
      <c r="J807">
        <v>-271.72019999999998</v>
      </c>
      <c r="K807">
        <v>1.10148</v>
      </c>
      <c r="L807">
        <v>367.05160000000001</v>
      </c>
      <c r="M807">
        <v>0.99994459999999996</v>
      </c>
      <c r="N807">
        <v>0</v>
      </c>
      <c r="O807">
        <v>1.705994E-3</v>
      </c>
      <c r="P807">
        <v>0.99420830000000004</v>
      </c>
      <c r="Q807">
        <v>6.2603240000000004E-2</v>
      </c>
      <c r="R807">
        <v>8.7354050000000003E-2</v>
      </c>
      <c r="S807">
        <v>2.9720149999999999</v>
      </c>
      <c r="T807">
        <v>-0.1929197</v>
      </c>
      <c r="U807">
        <v>0.65408330000000003</v>
      </c>
      <c r="V807">
        <v>-8.5685709999999998E-2</v>
      </c>
      <c r="W807">
        <v>7.2892639999999995E-2</v>
      </c>
      <c r="X807">
        <v>0.99365219999999899</v>
      </c>
      <c r="Y807">
        <v>-0.2128466</v>
      </c>
      <c r="Z807">
        <v>6.7102289999999998E-3</v>
      </c>
      <c r="AA807">
        <v>0.9770626</v>
      </c>
      <c r="AB807">
        <v>36</v>
      </c>
      <c r="AC807">
        <v>16.7335999999999</v>
      </c>
      <c r="AD807">
        <v>-1.101482443808</v>
      </c>
      <c r="AE807">
        <v>3.7326999999999599</v>
      </c>
      <c r="AF807">
        <v>-3.6889195940223001</v>
      </c>
      <c r="AG807">
        <v>-1.101482443808</v>
      </c>
      <c r="AH807">
        <v>16.671133863967398</v>
      </c>
      <c r="AI807">
        <v>93.691081296719901</v>
      </c>
      <c r="AJ807">
        <v>102.47712681864201</v>
      </c>
      <c r="AK807">
        <v>17.1098829819347</v>
      </c>
    </row>
    <row r="808" spans="1:37" x14ac:dyDescent="0.2">
      <c r="A808" t="str">
        <f>"20200111153624728"</f>
        <v>20200111153624728</v>
      </c>
      <c r="B808" t="str">
        <f>"1578728184724023"</f>
        <v>1578728184724023</v>
      </c>
      <c r="C808" t="s">
        <v>37</v>
      </c>
      <c r="D808">
        <v>5.8863539999999999</v>
      </c>
      <c r="E808">
        <v>0.45025699999999902</v>
      </c>
      <c r="F808" t="s">
        <v>39</v>
      </c>
      <c r="G808">
        <v>-254.60429999999999</v>
      </c>
      <c r="H808" s="1">
        <v>-2.6181520000000001E-6</v>
      </c>
      <c r="I808">
        <v>370.82310000000001</v>
      </c>
      <c r="J808">
        <v>-271.49669999999998</v>
      </c>
      <c r="K808">
        <v>1.1018319999999999</v>
      </c>
      <c r="L808">
        <v>367.0521</v>
      </c>
      <c r="M808">
        <v>0.99994269999999996</v>
      </c>
      <c r="N808">
        <v>0</v>
      </c>
      <c r="O808">
        <v>1.816458E-3</v>
      </c>
      <c r="P808">
        <v>0.99418739999999906</v>
      </c>
      <c r="Q808">
        <v>6.2891870000000002E-2</v>
      </c>
      <c r="R808">
        <v>8.7387389999999995E-2</v>
      </c>
      <c r="S808">
        <v>2.9719540000000002</v>
      </c>
      <c r="T808">
        <v>-0.19125719999999999</v>
      </c>
      <c r="U808">
        <v>0.65487669999999998</v>
      </c>
      <c r="V808">
        <v>-8.5609850000000001E-2</v>
      </c>
      <c r="W808">
        <v>7.3352050000000002E-2</v>
      </c>
      <c r="X808">
        <v>0.99362490000000003</v>
      </c>
      <c r="Y808">
        <v>-0.21299889999999999</v>
      </c>
      <c r="Z808">
        <v>6.65028199999999E-3</v>
      </c>
      <c r="AA808">
        <v>0.97702979999999995</v>
      </c>
      <c r="AB808">
        <v>36</v>
      </c>
      <c r="AC808">
        <v>16.892399999999899</v>
      </c>
      <c r="AD808">
        <v>-1.101834618152</v>
      </c>
      <c r="AE808">
        <v>3.7710000000000101</v>
      </c>
      <c r="AF808">
        <v>-3.72521110045736</v>
      </c>
      <c r="AG808">
        <v>-1.101834618152</v>
      </c>
      <c r="AH808">
        <v>16.831013710150799</v>
      </c>
      <c r="AI808">
        <v>93.657238826371</v>
      </c>
      <c r="AJ808">
        <v>102.480092824332</v>
      </c>
      <c r="AK808">
        <v>17.2735132436923</v>
      </c>
    </row>
    <row r="809" spans="1:37" x14ac:dyDescent="0.2">
      <c r="A809" t="str">
        <f>"20200111153624742"</f>
        <v>20200111153624742</v>
      </c>
      <c r="B809" t="str">
        <f>"1578728184733781"</f>
        <v>1578728184733781</v>
      </c>
      <c r="C809" t="s">
        <v>37</v>
      </c>
      <c r="D809">
        <v>5.8181479999999999</v>
      </c>
      <c r="E809">
        <v>0.45039229999999902</v>
      </c>
      <c r="F809" t="s">
        <v>39</v>
      </c>
      <c r="G809">
        <v>-254.26130000000001</v>
      </c>
      <c r="H809" s="1">
        <v>-2.7683429999999999E-6</v>
      </c>
      <c r="I809">
        <v>370.83460000000002</v>
      </c>
      <c r="J809">
        <v>-271.26749999999998</v>
      </c>
      <c r="K809">
        <v>1.102158</v>
      </c>
      <c r="L809">
        <v>367.05270000000002</v>
      </c>
      <c r="M809">
        <v>0.99994059999999996</v>
      </c>
      <c r="N809">
        <v>0</v>
      </c>
      <c r="O809">
        <v>1.9300949999999999E-3</v>
      </c>
      <c r="P809">
        <v>0.99418479999999998</v>
      </c>
      <c r="Q809">
        <v>6.2706590000000006E-2</v>
      </c>
      <c r="R809">
        <v>8.7547230000000004E-2</v>
      </c>
      <c r="S809">
        <v>2.972229</v>
      </c>
      <c r="T809">
        <v>-0.1900095</v>
      </c>
      <c r="U809">
        <v>0.65228269999999899</v>
      </c>
      <c r="V809">
        <v>-8.5656419999999997E-2</v>
      </c>
      <c r="W809">
        <v>7.3333019999999999E-2</v>
      </c>
      <c r="X809">
        <v>0.99362229999999996</v>
      </c>
      <c r="Y809">
        <v>-0.2120629</v>
      </c>
      <c r="Z809">
        <v>6.5702900000000003E-3</v>
      </c>
      <c r="AA809">
        <v>0.97723389999999999</v>
      </c>
      <c r="AB809">
        <v>36</v>
      </c>
      <c r="AC809">
        <v>17.0061999999999</v>
      </c>
      <c r="AD809">
        <v>-1.1021607683429999</v>
      </c>
      <c r="AE809">
        <v>3.7818999999999998</v>
      </c>
      <c r="AF809">
        <v>-3.7341223347737098</v>
      </c>
      <c r="AG809">
        <v>-1.1021607683429999</v>
      </c>
      <c r="AH809">
        <v>16.945646279373499</v>
      </c>
      <c r="AI809">
        <v>93.634378801348802</v>
      </c>
      <c r="AJ809">
        <v>102.42702589534299</v>
      </c>
      <c r="AK809">
        <v>17.387160659405399</v>
      </c>
    </row>
    <row r="810" spans="1:37" x14ac:dyDescent="0.2">
      <c r="A810" t="str">
        <f>"20200111153624754"</f>
        <v>20200111153624754</v>
      </c>
      <c r="B810" t="str">
        <f>"1578728184743544"</f>
        <v>1578728184743544</v>
      </c>
      <c r="C810" t="s">
        <v>37</v>
      </c>
      <c r="D810">
        <v>6.0930019999999896</v>
      </c>
      <c r="E810">
        <v>0.45058109999999901</v>
      </c>
      <c r="F810" t="s">
        <v>39</v>
      </c>
      <c r="G810">
        <v>-254.1069</v>
      </c>
      <c r="H810" s="1">
        <v>-2.8294380000000002E-6</v>
      </c>
      <c r="I810">
        <v>370.81529999999998</v>
      </c>
      <c r="J810">
        <v>-271.0702</v>
      </c>
      <c r="K810">
        <v>1.1024049999999901</v>
      </c>
      <c r="L810">
        <v>367.05309999999997</v>
      </c>
      <c r="M810">
        <v>0.99993909999999997</v>
      </c>
      <c r="N810">
        <v>0</v>
      </c>
      <c r="O810">
        <v>2.028743E-3</v>
      </c>
      <c r="P810">
        <v>0.99420889999999995</v>
      </c>
      <c r="Q810">
        <v>6.2482370000000002E-2</v>
      </c>
      <c r="R810">
        <v>8.743592E-2</v>
      </c>
      <c r="S810">
        <v>2.9721679999999999</v>
      </c>
      <c r="T810">
        <v>-0.19089029999999901</v>
      </c>
      <c r="U810">
        <v>0.65167240000000004</v>
      </c>
      <c r="V810">
        <v>-8.5446620000000001E-2</v>
      </c>
      <c r="W810">
        <v>7.3243130000000004E-2</v>
      </c>
      <c r="X810">
        <v>0.99364699999999995</v>
      </c>
      <c r="Y810">
        <v>-0.21177609999999999</v>
      </c>
      <c r="Z810">
        <v>6.5856129999999997E-3</v>
      </c>
      <c r="AA810">
        <v>0.97729599999999905</v>
      </c>
      <c r="AB810">
        <v>36</v>
      </c>
      <c r="AC810">
        <v>16.9633</v>
      </c>
      <c r="AD810">
        <v>-1.10240782943799</v>
      </c>
      <c r="AE810">
        <v>3.7622</v>
      </c>
      <c r="AF810">
        <v>-3.7128303816499302</v>
      </c>
      <c r="AG810">
        <v>-1.10240782943799</v>
      </c>
      <c r="AH810">
        <v>16.902857100323899</v>
      </c>
      <c r="AI810">
        <v>93.644904267486993</v>
      </c>
      <c r="AJ810">
        <v>102.388670375109</v>
      </c>
      <c r="AK810">
        <v>17.340905126875001</v>
      </c>
    </row>
    <row r="811" spans="1:37" x14ac:dyDescent="0.2">
      <c r="A811" t="str">
        <f>"20200111153624770"</f>
        <v>20200111153624770</v>
      </c>
      <c r="B811" t="str">
        <f>"1578728184764037"</f>
        <v>1578728184764037</v>
      </c>
      <c r="C811" t="s">
        <v>37</v>
      </c>
      <c r="D811">
        <v>6.0595980000000003</v>
      </c>
      <c r="E811">
        <v>0.45077440000000002</v>
      </c>
      <c r="F811" t="s">
        <v>39</v>
      </c>
      <c r="G811">
        <v>-253.9734</v>
      </c>
      <c r="H811" s="1">
        <v>-2.880292E-6</v>
      </c>
      <c r="I811">
        <v>370.79109999999997</v>
      </c>
      <c r="J811">
        <v>-270.82060000000001</v>
      </c>
      <c r="K811">
        <v>1.102687</v>
      </c>
      <c r="L811">
        <v>367.05380000000002</v>
      </c>
      <c r="M811">
        <v>0.99993690000000002</v>
      </c>
      <c r="N811">
        <v>0</v>
      </c>
      <c r="O811">
        <v>2.1525020000000001E-3</v>
      </c>
      <c r="P811">
        <v>0.99427739999999998</v>
      </c>
      <c r="Q811">
        <v>6.2447969999999998E-2</v>
      </c>
      <c r="R811">
        <v>8.6675089999999996E-2</v>
      </c>
      <c r="S811">
        <v>2.9723820000000001</v>
      </c>
      <c r="T811">
        <v>-0.19165929999999901</v>
      </c>
      <c r="U811">
        <v>0.6498718</v>
      </c>
      <c r="V811">
        <v>-8.4562590000000007E-2</v>
      </c>
      <c r="W811">
        <v>7.3372010000000001E-2</v>
      </c>
      <c r="X811">
        <v>0.99371309999999902</v>
      </c>
      <c r="Y811">
        <v>-0.21107379999999901</v>
      </c>
      <c r="Z811">
        <v>6.5818169999999898E-3</v>
      </c>
      <c r="AA811">
        <v>0.97744799999999998</v>
      </c>
      <c r="AB811">
        <v>36</v>
      </c>
      <c r="AC811">
        <v>16.847200000000001</v>
      </c>
      <c r="AD811">
        <v>-1.102689880292</v>
      </c>
      <c r="AE811">
        <v>3.7372999999999399</v>
      </c>
      <c r="AF811">
        <v>-3.68597534943205</v>
      </c>
      <c r="AG811">
        <v>-1.102689880292</v>
      </c>
      <c r="AH811">
        <v>16.786664600665102</v>
      </c>
      <c r="AI811">
        <v>93.671061841932499</v>
      </c>
      <c r="AJ811">
        <v>102.384331460677</v>
      </c>
      <c r="AK811">
        <v>17.221917653500199</v>
      </c>
    </row>
    <row r="812" spans="1:37" x14ac:dyDescent="0.2">
      <c r="A812" t="str">
        <f>"20200111153624783"</f>
        <v>20200111153624783</v>
      </c>
      <c r="B812" t="str">
        <f>"1578728184773798"</f>
        <v>1578728184773798</v>
      </c>
      <c r="C812" t="s">
        <v>37</v>
      </c>
      <c r="D812">
        <v>6.0952830000000002</v>
      </c>
      <c r="E812">
        <v>0.45080219999999999</v>
      </c>
      <c r="F812" t="s">
        <v>39</v>
      </c>
      <c r="G812">
        <v>-253.82069999999999</v>
      </c>
      <c r="H812" s="1">
        <v>-2.933755E-6</v>
      </c>
      <c r="I812">
        <v>370.74579999999997</v>
      </c>
      <c r="J812">
        <v>-270.61610000000002</v>
      </c>
      <c r="K812">
        <v>1.1028979999999999</v>
      </c>
      <c r="L812">
        <v>367.05439999999999</v>
      </c>
      <c r="M812">
        <v>0.99993539999999903</v>
      </c>
      <c r="N812">
        <v>0</v>
      </c>
      <c r="O812">
        <v>2.253016E-3</v>
      </c>
      <c r="P812">
        <v>0.99431569999999903</v>
      </c>
      <c r="Q812">
        <v>6.2537540000000003E-2</v>
      </c>
      <c r="R812">
        <v>8.6169640000000006E-2</v>
      </c>
      <c r="S812">
        <v>2.9730829999999999</v>
      </c>
      <c r="T812">
        <v>-0.1928462</v>
      </c>
      <c r="U812">
        <v>0.64569089999999996</v>
      </c>
      <c r="V812">
        <v>-8.3956580000000003E-2</v>
      </c>
      <c r="W812">
        <v>7.3590269999999999E-2</v>
      </c>
      <c r="X812">
        <v>0.99374839999999998</v>
      </c>
      <c r="Y812">
        <v>-0.20961299999999999</v>
      </c>
      <c r="Z812">
        <v>6.5687239999999997E-3</v>
      </c>
      <c r="AA812">
        <v>0.97776240000000003</v>
      </c>
      <c r="AB812">
        <v>36</v>
      </c>
      <c r="AC812">
        <v>16.795400000000001</v>
      </c>
      <c r="AD812">
        <v>-1.102900933755</v>
      </c>
      <c r="AE812">
        <v>3.6913999999999798</v>
      </c>
      <c r="AF812">
        <v>-3.6385809249035401</v>
      </c>
      <c r="AG812">
        <v>-1.102900933755</v>
      </c>
      <c r="AH812">
        <v>16.734837069499001</v>
      </c>
      <c r="AI812">
        <v>93.684751488065103</v>
      </c>
      <c r="AJ812">
        <v>102.266646553127</v>
      </c>
      <c r="AK812">
        <v>17.161306283597</v>
      </c>
    </row>
    <row r="813" spans="1:37" x14ac:dyDescent="0.2">
      <c r="A813" t="str">
        <f>"20200111153624796"</f>
        <v>20200111153624796</v>
      </c>
      <c r="B813" t="str">
        <f>"1578728184783559"</f>
        <v>1578728184783559</v>
      </c>
      <c r="C813" t="s">
        <v>37</v>
      </c>
      <c r="D813">
        <v>6.1081539999999999</v>
      </c>
      <c r="E813">
        <v>0.45081450000000001</v>
      </c>
      <c r="F813" t="s">
        <v>39</v>
      </c>
      <c r="G813">
        <v>-253.64750000000001</v>
      </c>
      <c r="H813" s="1">
        <v>-3.0041409999999998E-6</v>
      </c>
      <c r="I813">
        <v>370.73110000000003</v>
      </c>
      <c r="J813">
        <v>-270.40730000000002</v>
      </c>
      <c r="K813">
        <v>1.1030899999999999</v>
      </c>
      <c r="L813">
        <v>367.05489999999998</v>
      </c>
      <c r="M813">
        <v>0.99993379999999998</v>
      </c>
      <c r="N813">
        <v>0</v>
      </c>
      <c r="O813">
        <v>2.3540269999999999E-3</v>
      </c>
      <c r="P813">
        <v>0.99429249999999902</v>
      </c>
      <c r="Q813">
        <v>6.264277E-2</v>
      </c>
      <c r="R813">
        <v>8.6361460000000001E-2</v>
      </c>
      <c r="S813">
        <v>2.9734500000000001</v>
      </c>
      <c r="T813">
        <v>-0.19326309999999999</v>
      </c>
      <c r="U813">
        <v>0.6442871</v>
      </c>
      <c r="V813">
        <v>-8.4048520000000002E-2</v>
      </c>
      <c r="W813">
        <v>7.3818549999999997E-2</v>
      </c>
      <c r="X813">
        <v>0.99372359999999904</v>
      </c>
      <c r="Y813">
        <v>-0.20904789999999901</v>
      </c>
      <c r="Z813">
        <v>6.557813E-3</v>
      </c>
      <c r="AA813">
        <v>0.97788339999999996</v>
      </c>
      <c r="AB813">
        <v>36</v>
      </c>
      <c r="AC813">
        <v>16.759799999999998</v>
      </c>
      <c r="AD813">
        <v>-1.1030930041410001</v>
      </c>
      <c r="AE813">
        <v>3.6762000000000499</v>
      </c>
      <c r="AF813">
        <v>-3.6217650796648799</v>
      </c>
      <c r="AG813">
        <v>-1.1030930041410001</v>
      </c>
      <c r="AH813">
        <v>16.699387319720199</v>
      </c>
      <c r="AI813">
        <v>93.693609792041499</v>
      </c>
      <c r="AJ813">
        <v>102.236803597698</v>
      </c>
      <c r="AK813">
        <v>17.1231870083258</v>
      </c>
    </row>
    <row r="814" spans="1:37" x14ac:dyDescent="0.2">
      <c r="A814" t="str">
        <f>"20200111153624808"</f>
        <v>20200111153624808</v>
      </c>
      <c r="B814" t="str">
        <f>"1578728184804055"</f>
        <v>1578728184804055</v>
      </c>
      <c r="C814" t="s">
        <v>37</v>
      </c>
      <c r="D814">
        <v>6.1859599999999997</v>
      </c>
      <c r="E814">
        <v>0.45087929999999998</v>
      </c>
      <c r="F814" t="s">
        <v>39</v>
      </c>
      <c r="G814">
        <v>-253.35499999999999</v>
      </c>
      <c r="H814" s="1">
        <v>-3.1356259999999898E-6</v>
      </c>
      <c r="I814">
        <v>370.75360000000001</v>
      </c>
      <c r="J814">
        <v>-270.20499999999998</v>
      </c>
      <c r="K814">
        <v>1.103256</v>
      </c>
      <c r="L814">
        <v>367.05549999999999</v>
      </c>
      <c r="M814">
        <v>0.99993220000000005</v>
      </c>
      <c r="N814">
        <v>0</v>
      </c>
      <c r="O814">
        <v>2.4535910000000002E-3</v>
      </c>
      <c r="P814">
        <v>0.99429480000000003</v>
      </c>
      <c r="Q814">
        <v>6.3173579999999993E-2</v>
      </c>
      <c r="R814">
        <v>8.5947549999999998E-2</v>
      </c>
      <c r="S814">
        <v>2.973328</v>
      </c>
      <c r="T814">
        <v>-0.19233910000000001</v>
      </c>
      <c r="U814">
        <v>0.64492799999999995</v>
      </c>
      <c r="V814">
        <v>-8.3536059999999995E-2</v>
      </c>
      <c r="W814">
        <v>7.4461920000000001E-2</v>
      </c>
      <c r="X814">
        <v>0.99371889999999996</v>
      </c>
      <c r="Y814">
        <v>-0.20916409999999999</v>
      </c>
      <c r="Z814">
        <v>6.5239859999999998E-3</v>
      </c>
      <c r="AA814">
        <v>0.97785880000000003</v>
      </c>
      <c r="AB814">
        <v>36</v>
      </c>
      <c r="AC814">
        <v>16.849999999999898</v>
      </c>
      <c r="AD814">
        <v>-1.103259135626</v>
      </c>
      <c r="AE814">
        <v>3.6981000000000099</v>
      </c>
      <c r="AF814">
        <v>-3.64184798391324</v>
      </c>
      <c r="AG814">
        <v>-1.103259135626</v>
      </c>
      <c r="AH814">
        <v>16.790350777936201</v>
      </c>
      <c r="AI814">
        <v>93.674189945683807</v>
      </c>
      <c r="AJ814">
        <v>102.237959730147</v>
      </c>
      <c r="AK814">
        <v>17.216158593147799</v>
      </c>
    </row>
    <row r="815" spans="1:37" x14ac:dyDescent="0.2">
      <c r="A815" t="str">
        <f>"20200111153624822"</f>
        <v>20200111153624822</v>
      </c>
      <c r="B815" t="str">
        <f>"1578728184813347"</f>
        <v>1578728184813347</v>
      </c>
      <c r="C815" t="s">
        <v>37</v>
      </c>
      <c r="D815">
        <v>6.040813</v>
      </c>
      <c r="E815">
        <v>0.45088279999999997</v>
      </c>
      <c r="F815" t="s">
        <v>39</v>
      </c>
      <c r="G815">
        <v>-252.98150000000001</v>
      </c>
      <c r="H815" s="1">
        <v>-3.30373499999999E-6</v>
      </c>
      <c r="I815">
        <v>370.7833</v>
      </c>
      <c r="J815">
        <v>-269.99790000000002</v>
      </c>
      <c r="K815">
        <v>1.103416</v>
      </c>
      <c r="L815">
        <v>367.05610000000001</v>
      </c>
      <c r="M815">
        <v>0.99993069999999895</v>
      </c>
      <c r="N815">
        <v>0</v>
      </c>
      <c r="O815">
        <v>2.5560159999999999E-3</v>
      </c>
      <c r="P815">
        <v>0.99428209999999995</v>
      </c>
      <c r="Q815">
        <v>6.352468E-2</v>
      </c>
      <c r="R815">
        <v>8.5838600000000001E-2</v>
      </c>
      <c r="S815">
        <v>2.9736940000000001</v>
      </c>
      <c r="T815">
        <v>-0.1904806</v>
      </c>
      <c r="U815">
        <v>0.64361569999999901</v>
      </c>
      <c r="V815">
        <v>-8.3325170000000004E-2</v>
      </c>
      <c r="W815">
        <v>7.4922699999999995E-2</v>
      </c>
      <c r="X815">
        <v>0.99370190000000003</v>
      </c>
      <c r="Y815">
        <v>-0.20863599999999999</v>
      </c>
      <c r="Z815">
        <v>6.4374109999999997E-3</v>
      </c>
      <c r="AA815">
        <v>0.97797209999999901</v>
      </c>
      <c r="AB815">
        <v>36</v>
      </c>
      <c r="AC815">
        <v>17.016400000000001</v>
      </c>
      <c r="AD815">
        <v>-1.103419303735</v>
      </c>
      <c r="AE815">
        <v>3.7271999999999799</v>
      </c>
      <c r="AF815">
        <v>-3.6689697266720902</v>
      </c>
      <c r="AG815">
        <v>-1.103419303735</v>
      </c>
      <c r="AH815">
        <v>16.957831788793701</v>
      </c>
      <c r="AI815">
        <v>93.638934741287898</v>
      </c>
      <c r="AJ815">
        <v>102.208252397941</v>
      </c>
      <c r="AK815">
        <v>17.385250414995902</v>
      </c>
    </row>
    <row r="816" spans="1:37" x14ac:dyDescent="0.2">
      <c r="A816" t="str">
        <f>"20200111153624836"</f>
        <v>20200111153624836</v>
      </c>
      <c r="B816" t="str">
        <f>"1578728184833843"</f>
        <v>1578728184833843</v>
      </c>
      <c r="C816" t="s">
        <v>37</v>
      </c>
      <c r="D816">
        <v>5.9735709999999997</v>
      </c>
      <c r="E816">
        <v>0.45105010000000001</v>
      </c>
      <c r="F816" t="s">
        <v>39</v>
      </c>
      <c r="G816">
        <v>-252.74099999999899</v>
      </c>
      <c r="H816" s="1">
        <v>-3.40805999999999E-6</v>
      </c>
      <c r="I816">
        <v>370.78769999999997</v>
      </c>
      <c r="J816">
        <v>-269.7559</v>
      </c>
      <c r="K816">
        <v>1.1035820000000001</v>
      </c>
      <c r="L816">
        <v>367.05689999999998</v>
      </c>
      <c r="M816">
        <v>0.99992909999999902</v>
      </c>
      <c r="N816">
        <v>0</v>
      </c>
      <c r="O816">
        <v>2.6777540000000001E-3</v>
      </c>
      <c r="P816">
        <v>0.99423830000000002</v>
      </c>
      <c r="Q816">
        <v>6.4961359999999996E-2</v>
      </c>
      <c r="R816">
        <v>8.526765E-2</v>
      </c>
      <c r="S816">
        <v>2.9738769999999999</v>
      </c>
      <c r="T816">
        <v>-0.19015190000000001</v>
      </c>
      <c r="U816">
        <v>0.64306640000000004</v>
      </c>
      <c r="V816">
        <v>-8.2633520000000002E-2</v>
      </c>
      <c r="W816">
        <v>7.6477950000000003E-2</v>
      </c>
      <c r="X816">
        <v>0.9936412</v>
      </c>
      <c r="Y816">
        <v>-0.2083342</v>
      </c>
      <c r="Z816">
        <v>6.4088469999999996E-3</v>
      </c>
      <c r="AA816">
        <v>0.97803669999999998</v>
      </c>
      <c r="AB816">
        <v>36</v>
      </c>
      <c r="AC816">
        <v>17.014900000000001</v>
      </c>
      <c r="AD816">
        <v>-1.1035854080600001</v>
      </c>
      <c r="AE816">
        <v>3.7307999999999799</v>
      </c>
      <c r="AF816">
        <v>-3.6704891000884898</v>
      </c>
      <c r="AG816">
        <v>-1.1035854080600001</v>
      </c>
      <c r="AH816">
        <v>16.9567681524411</v>
      </c>
      <c r="AI816">
        <v>93.639631315596702</v>
      </c>
      <c r="AJ816">
        <v>102.21389937463699</v>
      </c>
      <c r="AK816">
        <v>17.384544203469702</v>
      </c>
    </row>
    <row r="817" spans="1:37" x14ac:dyDescent="0.2">
      <c r="A817" t="str">
        <f>"20200111153624850"</f>
        <v>20200111153624850</v>
      </c>
      <c r="B817" t="str">
        <f>"1578728184843603"</f>
        <v>1578728184843603</v>
      </c>
      <c r="C817" t="s">
        <v>37</v>
      </c>
      <c r="D817">
        <v>6.0319830000000003</v>
      </c>
      <c r="E817">
        <v>0.45105609999999902</v>
      </c>
      <c r="F817" t="s">
        <v>39</v>
      </c>
      <c r="G817">
        <v>-252.2525</v>
      </c>
      <c r="H817" s="1">
        <v>-3.6272729999999999E-6</v>
      </c>
      <c r="I817">
        <v>370.82389999999998</v>
      </c>
      <c r="J817">
        <v>-269.5582</v>
      </c>
      <c r="K817">
        <v>1.103699</v>
      </c>
      <c r="L817">
        <v>367.0575</v>
      </c>
      <c r="M817">
        <v>0.99992780000000003</v>
      </c>
      <c r="N817">
        <v>0</v>
      </c>
      <c r="O817">
        <v>2.7768979999999999E-3</v>
      </c>
      <c r="P817">
        <v>0.99423329999999999</v>
      </c>
      <c r="Q817">
        <v>6.5739060000000002E-2</v>
      </c>
      <c r="R817">
        <v>8.4727529999999995E-2</v>
      </c>
      <c r="S817">
        <v>2.9747309999999998</v>
      </c>
      <c r="T817">
        <v>-0.18755579999999999</v>
      </c>
      <c r="U817">
        <v>0.64022829999999997</v>
      </c>
      <c r="V817">
        <v>-8.1994979999999995E-2</v>
      </c>
      <c r="W817">
        <v>7.7344640000000006E-2</v>
      </c>
      <c r="X817">
        <v>0.99362700000000004</v>
      </c>
      <c r="Y817">
        <v>-0.2073005</v>
      </c>
      <c r="Z817">
        <v>6.2820139999999998E-3</v>
      </c>
      <c r="AA817">
        <v>0.97825709999999999</v>
      </c>
      <c r="AB817">
        <v>36</v>
      </c>
      <c r="AC817">
        <v>17.305700000000002</v>
      </c>
      <c r="AD817">
        <v>-1.1037026272729999</v>
      </c>
      <c r="AE817">
        <v>3.7663999999999702</v>
      </c>
      <c r="AF817">
        <v>-3.70394164888042</v>
      </c>
      <c r="AG817">
        <v>-1.1037026272729999</v>
      </c>
      <c r="AH817">
        <v>17.249105422799399</v>
      </c>
      <c r="AI817">
        <v>93.579759415176795</v>
      </c>
      <c r="AJ817">
        <v>102.11922394174699</v>
      </c>
      <c r="AK817">
        <v>17.676792161322901</v>
      </c>
    </row>
    <row r="818" spans="1:37" x14ac:dyDescent="0.2">
      <c r="A818" t="str">
        <f>"20200111153624863"</f>
        <v>20200111153624863</v>
      </c>
      <c r="B818" t="str">
        <f>"1578728184853362"</f>
        <v>1578728184853362</v>
      </c>
      <c r="C818" t="s">
        <v>37</v>
      </c>
      <c r="D818">
        <v>6.1628280000000002</v>
      </c>
      <c r="E818">
        <v>0.45121499999999998</v>
      </c>
      <c r="F818" t="s">
        <v>39</v>
      </c>
      <c r="G818">
        <v>-251.929</v>
      </c>
      <c r="H818" s="1">
        <v>-3.770862E-6</v>
      </c>
      <c r="I818">
        <v>370.84190000000001</v>
      </c>
      <c r="J818">
        <v>-269.33530000000002</v>
      </c>
      <c r="K818">
        <v>1.103818</v>
      </c>
      <c r="L818">
        <v>367.05829999999997</v>
      </c>
      <c r="M818">
        <v>0.99992610000000004</v>
      </c>
      <c r="N818">
        <v>0</v>
      </c>
      <c r="O818">
        <v>2.8882769999999999E-3</v>
      </c>
      <c r="P818">
        <v>0.9942318</v>
      </c>
      <c r="Q818">
        <v>6.6534889999999999E-2</v>
      </c>
      <c r="R818">
        <v>8.4120219999999996E-2</v>
      </c>
      <c r="S818">
        <v>2.9752809999999998</v>
      </c>
      <c r="T818">
        <v>-0.18627060000000001</v>
      </c>
      <c r="U818">
        <v>0.6387024</v>
      </c>
      <c r="V818">
        <v>-8.1276710000000002E-2</v>
      </c>
      <c r="W818">
        <v>7.8236470000000002E-2</v>
      </c>
      <c r="X818">
        <v>0.99361619999999995</v>
      </c>
      <c r="Y818">
        <v>-0.20668149999999999</v>
      </c>
      <c r="Z818">
        <v>6.2122280000000002E-3</v>
      </c>
      <c r="AA818">
        <v>0.97838849999999999</v>
      </c>
      <c r="AB818">
        <v>36</v>
      </c>
      <c r="AC818">
        <v>17.406300000000002</v>
      </c>
      <c r="AD818">
        <v>-1.103821770862</v>
      </c>
      <c r="AE818">
        <v>3.7836000000000301</v>
      </c>
      <c r="AF818">
        <v>-3.71902531930309</v>
      </c>
      <c r="AG818">
        <v>-1.103821770862</v>
      </c>
      <c r="AH818">
        <v>17.3505296501422</v>
      </c>
      <c r="AI818">
        <v>93.559551698162394</v>
      </c>
      <c r="AJ818">
        <v>102.09808694795601</v>
      </c>
      <c r="AK818">
        <v>17.778932784841398</v>
      </c>
    </row>
    <row r="819" spans="1:37" x14ac:dyDescent="0.2">
      <c r="A819" t="str">
        <f>"20200111153624876"</f>
        <v>20200111153624876</v>
      </c>
      <c r="B819" t="str">
        <f>"1578728184873860"</f>
        <v>1578728184873860</v>
      </c>
      <c r="C819" t="s">
        <v>37</v>
      </c>
      <c r="D819">
        <v>5.9634710000000002</v>
      </c>
      <c r="E819">
        <v>0.4514823</v>
      </c>
      <c r="F819" t="s">
        <v>39</v>
      </c>
      <c r="G819">
        <v>-251.4512</v>
      </c>
      <c r="H819" s="1">
        <v>-3.9855149999999902E-6</v>
      </c>
      <c r="I819">
        <v>370.8784</v>
      </c>
      <c r="J819">
        <v>-269.11860000000001</v>
      </c>
      <c r="K819">
        <v>1.103923</v>
      </c>
      <c r="L819">
        <v>367.05900000000003</v>
      </c>
      <c r="M819">
        <v>0.99992499999999995</v>
      </c>
      <c r="N819">
        <v>0</v>
      </c>
      <c r="O819">
        <v>2.9954669999999999E-3</v>
      </c>
      <c r="P819">
        <v>0.99422759999999999</v>
      </c>
      <c r="Q819">
        <v>6.6785860000000002E-2</v>
      </c>
      <c r="R819">
        <v>8.3974049999999995E-2</v>
      </c>
      <c r="S819">
        <v>2.9759220000000002</v>
      </c>
      <c r="T819">
        <v>-0.18367610000000001</v>
      </c>
      <c r="U819">
        <v>0.63568119999999995</v>
      </c>
      <c r="V819">
        <v>-8.1024379999999993E-2</v>
      </c>
      <c r="W819">
        <v>7.8576380000000001E-2</v>
      </c>
      <c r="X819">
        <v>0.99360999999999999</v>
      </c>
      <c r="Y819">
        <v>-0.20559629999999901</v>
      </c>
      <c r="Z819">
        <v>6.0855900000000001E-3</v>
      </c>
      <c r="AA819">
        <v>0.97861799999999999</v>
      </c>
      <c r="AB819">
        <v>36</v>
      </c>
      <c r="AC819">
        <v>17.667400000000001</v>
      </c>
      <c r="AD819">
        <v>-1.103926985515</v>
      </c>
      <c r="AE819">
        <v>3.8193999999999702</v>
      </c>
      <c r="AF819">
        <v>-3.7524606696637401</v>
      </c>
      <c r="AG819">
        <v>-1.103926985515</v>
      </c>
      <c r="AH819">
        <v>17.6130672339028</v>
      </c>
      <c r="AI819">
        <v>93.5078875305568</v>
      </c>
      <c r="AJ819">
        <v>102.027036816088</v>
      </c>
      <c r="AK819">
        <v>18.042165980078501</v>
      </c>
    </row>
    <row r="820" spans="1:37" x14ac:dyDescent="0.2">
      <c r="A820" t="str">
        <f>"20200111153624893"</f>
        <v>20200111153624893</v>
      </c>
      <c r="B820" t="str">
        <f>"1578728184883618"</f>
        <v>1578728184883618</v>
      </c>
      <c r="C820" t="s">
        <v>37</v>
      </c>
      <c r="D820">
        <v>6.0903939999999999</v>
      </c>
      <c r="E820">
        <v>0.45155299999999998</v>
      </c>
      <c r="F820" t="s">
        <v>39</v>
      </c>
      <c r="G820">
        <v>-251.17240000000001</v>
      </c>
      <c r="H820" s="1">
        <v>-4.1007099999999901E-6</v>
      </c>
      <c r="I820">
        <v>370.87709999999998</v>
      </c>
      <c r="J820">
        <v>-268.85890000000001</v>
      </c>
      <c r="K820">
        <v>1.1040369999999999</v>
      </c>
      <c r="L820">
        <v>367.05990000000003</v>
      </c>
      <c r="M820">
        <v>0.99992320000000001</v>
      </c>
      <c r="N820">
        <v>0</v>
      </c>
      <c r="O820">
        <v>3.1241609999999999E-3</v>
      </c>
      <c r="P820">
        <v>0.99432469999999995</v>
      </c>
      <c r="Q820">
        <v>6.7120479999999996E-2</v>
      </c>
      <c r="R820">
        <v>8.254272E-2</v>
      </c>
      <c r="S820">
        <v>2.9762270000000002</v>
      </c>
      <c r="T820">
        <v>-0.18307609999999999</v>
      </c>
      <c r="U820">
        <v>0.63320919999999903</v>
      </c>
      <c r="V820">
        <v>-7.9465129999999995E-2</v>
      </c>
      <c r="W820">
        <v>7.9012280000000004E-2</v>
      </c>
      <c r="X820">
        <v>0.99370130000000001</v>
      </c>
      <c r="Y820">
        <v>-0.20467659999999999</v>
      </c>
      <c r="Z820">
        <v>6.0298890000000001E-3</v>
      </c>
      <c r="AA820">
        <v>0.97881109999999905</v>
      </c>
      <c r="AB820">
        <v>36</v>
      </c>
      <c r="AC820">
        <v>17.686499999999899</v>
      </c>
      <c r="AD820">
        <v>-1.1040411007099999</v>
      </c>
      <c r="AE820">
        <v>3.81719999999995</v>
      </c>
      <c r="AF820">
        <v>-3.74796756521555</v>
      </c>
      <c r="AG820">
        <v>-1.1040411007099999</v>
      </c>
      <c r="AH820">
        <v>17.632690409248401</v>
      </c>
      <c r="AI820">
        <v>93.504704787892294</v>
      </c>
      <c r="AJ820">
        <v>102.000073118706</v>
      </c>
      <c r="AK820">
        <v>18.060396969346101</v>
      </c>
    </row>
    <row r="821" spans="1:37" x14ac:dyDescent="0.2">
      <c r="A821" t="str">
        <f>"20200111153624908"</f>
        <v>20200111153624908</v>
      </c>
      <c r="B821" t="str">
        <f>"1578728184903139"</f>
        <v>1578728184903139</v>
      </c>
      <c r="C821" t="s">
        <v>37</v>
      </c>
      <c r="D821">
        <v>6.4748939999999999</v>
      </c>
      <c r="E821">
        <v>0.451779599999999</v>
      </c>
      <c r="F821" t="s">
        <v>39</v>
      </c>
      <c r="G821">
        <v>-250.7859</v>
      </c>
      <c r="H821" s="1">
        <v>-4.2322449999999997E-6</v>
      </c>
      <c r="I821">
        <v>370.87729999999999</v>
      </c>
      <c r="J821">
        <v>-268.6232</v>
      </c>
      <c r="K821">
        <v>1.1041219999999901</v>
      </c>
      <c r="L821">
        <v>367.06079999999997</v>
      </c>
      <c r="M821">
        <v>0.99992199999999998</v>
      </c>
      <c r="N821">
        <v>0</v>
      </c>
      <c r="O821">
        <v>3.2416670000000002E-3</v>
      </c>
      <c r="P821">
        <v>0.99436530000000001</v>
      </c>
      <c r="Q821">
        <v>6.7295750000000001E-2</v>
      </c>
      <c r="R821">
        <v>8.1911800000000007E-2</v>
      </c>
      <c r="S821">
        <v>2.9771730000000001</v>
      </c>
      <c r="T821">
        <v>-0.18186830000000001</v>
      </c>
      <c r="U821">
        <v>0.62884519999999899</v>
      </c>
      <c r="V821">
        <v>-7.8717179999999998E-2</v>
      </c>
      <c r="W821">
        <v>7.9273720000000006E-2</v>
      </c>
      <c r="X821">
        <v>0.99373999999999996</v>
      </c>
      <c r="Y821">
        <v>-0.2031328</v>
      </c>
      <c r="Z821">
        <v>5.9355290000000002E-3</v>
      </c>
      <c r="AA821">
        <v>0.97913320000000004</v>
      </c>
      <c r="AB821">
        <v>36</v>
      </c>
      <c r="AC821">
        <v>17.837299999999999</v>
      </c>
      <c r="AD821">
        <v>-1.1041262322449901</v>
      </c>
      <c r="AE821">
        <v>3.8165000000000102</v>
      </c>
      <c r="AF821">
        <v>-3.7449322380482202</v>
      </c>
      <c r="AG821">
        <v>-1.1041262322449901</v>
      </c>
      <c r="AH821">
        <v>17.784419338853599</v>
      </c>
      <c r="AI821">
        <v>93.476538168594004</v>
      </c>
      <c r="AJ821">
        <v>101.89126158133401</v>
      </c>
      <c r="AK821">
        <v>18.207942866356198</v>
      </c>
    </row>
    <row r="822" spans="1:37" x14ac:dyDescent="0.2">
      <c r="A822" t="str">
        <f>"20200111153624926"</f>
        <v>20200111153624926</v>
      </c>
      <c r="B822" t="str">
        <f>"1578728184923911"</f>
        <v>1578728184923911</v>
      </c>
      <c r="C822" t="s">
        <v>37</v>
      </c>
      <c r="D822">
        <v>6.3749099999999999</v>
      </c>
      <c r="E822">
        <v>0.5089129</v>
      </c>
      <c r="F822" t="s">
        <v>39</v>
      </c>
      <c r="G822">
        <v>-250.50550000000001</v>
      </c>
      <c r="H822" s="1">
        <v>-4.3252929999999999E-6</v>
      </c>
      <c r="I822">
        <v>370.86380000000003</v>
      </c>
      <c r="J822">
        <v>-268.327</v>
      </c>
      <c r="K822">
        <v>1.104217</v>
      </c>
      <c r="L822">
        <v>367.06189999999998</v>
      </c>
      <c r="M822">
        <v>0.99992029999999998</v>
      </c>
      <c r="N822">
        <v>0</v>
      </c>
      <c r="O822">
        <v>3.3910279999999999E-3</v>
      </c>
      <c r="P822">
        <v>0.99448709999999996</v>
      </c>
      <c r="Q822">
        <v>6.7076460000000004E-2</v>
      </c>
      <c r="R822">
        <v>8.0600840000000007E-2</v>
      </c>
      <c r="S822">
        <v>2.9777830000000001</v>
      </c>
      <c r="T822">
        <v>-0.18147089999999999</v>
      </c>
      <c r="U822">
        <v>0.62506099999999998</v>
      </c>
      <c r="V822">
        <v>-7.7256930000000001E-2</v>
      </c>
      <c r="W822">
        <v>7.9155340000000005E-2</v>
      </c>
      <c r="X822">
        <v>0.99386409999999903</v>
      </c>
      <c r="Y822">
        <v>-0.20175860000000001</v>
      </c>
      <c r="Z822">
        <v>5.8717800000000001E-3</v>
      </c>
      <c r="AA822">
        <v>0.97941769999999995</v>
      </c>
      <c r="AB822">
        <v>36</v>
      </c>
      <c r="AC822">
        <v>17.821499999999901</v>
      </c>
      <c r="AD822">
        <v>-1.104221325293</v>
      </c>
      <c r="AE822">
        <v>3.8019000000000398</v>
      </c>
      <c r="AF822">
        <v>-3.72775238837492</v>
      </c>
      <c r="AG822">
        <v>-1.104221325293</v>
      </c>
      <c r="AH822">
        <v>17.7690440005562</v>
      </c>
      <c r="AI822">
        <v>93.480386219510805</v>
      </c>
      <c r="AJ822">
        <v>101.848207308231</v>
      </c>
      <c r="AK822">
        <v>18.189402609705699</v>
      </c>
    </row>
    <row r="823" spans="1:37" x14ac:dyDescent="0.2">
      <c r="A823" t="str">
        <f>"20200111153624942"</f>
        <v>20200111153624942</v>
      </c>
      <c r="B823" t="str">
        <f>"1578728184933672"</f>
        <v>1578728184933672</v>
      </c>
      <c r="C823" t="s">
        <v>37</v>
      </c>
      <c r="D823">
        <v>6.2263459999999897</v>
      </c>
      <c r="E823">
        <v>0.52261340000000001</v>
      </c>
      <c r="F823" t="s">
        <v>39</v>
      </c>
      <c r="G823">
        <v>-253.34739999999999</v>
      </c>
      <c r="H823" s="1">
        <v>-3.1424479999999998E-6</v>
      </c>
      <c r="I823">
        <v>367.8904</v>
      </c>
      <c r="J823">
        <v>-268.09039999999999</v>
      </c>
      <c r="K823">
        <v>1.104279</v>
      </c>
      <c r="L823">
        <v>367.06279999999998</v>
      </c>
      <c r="M823">
        <v>0.99991890000000005</v>
      </c>
      <c r="N823">
        <v>0</v>
      </c>
      <c r="O823">
        <v>3.5112209999999902E-3</v>
      </c>
      <c r="P823">
        <v>0.99456979999999995</v>
      </c>
      <c r="Q823">
        <v>6.6557179999999994E-2</v>
      </c>
      <c r="R823">
        <v>8.0008949999999995E-2</v>
      </c>
      <c r="S823">
        <v>3.018097</v>
      </c>
      <c r="T823">
        <v>-0.22247689999999901</v>
      </c>
      <c r="U823">
        <v>0.1669312</v>
      </c>
      <c r="V823">
        <v>-7.6544959999999995E-2</v>
      </c>
      <c r="W823">
        <v>7.8709940000000006E-2</v>
      </c>
      <c r="X823">
        <v>0.99395449999999996</v>
      </c>
      <c r="Y823">
        <v>-5.1589160000000002E-2</v>
      </c>
      <c r="Z823">
        <v>1.639117E-3</v>
      </c>
      <c r="AA823">
        <v>0.99866710000000003</v>
      </c>
      <c r="AB823">
        <v>36</v>
      </c>
      <c r="AC823">
        <v>14.742999999999901</v>
      </c>
      <c r="AD823">
        <v>-1.104282142448</v>
      </c>
      <c r="AE823">
        <v>0.82760000000001799</v>
      </c>
      <c r="AF823">
        <v>-0.77151025697165698</v>
      </c>
      <c r="AG823">
        <v>-1.104282142448</v>
      </c>
      <c r="AH823">
        <v>14.663804859815199</v>
      </c>
      <c r="AI823">
        <v>94.300698858952501</v>
      </c>
      <c r="AJ823">
        <v>93.011739554613499</v>
      </c>
      <c r="AK823">
        <v>14.7255505871082</v>
      </c>
    </row>
    <row r="824" spans="1:37" x14ac:dyDescent="0.2">
      <c r="A824" t="str">
        <f>"20200111153624955"</f>
        <v>20200111153624955</v>
      </c>
      <c r="B824" t="str">
        <f>"1578728184943435"</f>
        <v>1578728184943435</v>
      </c>
      <c r="C824" t="s">
        <v>37</v>
      </c>
      <c r="D824">
        <v>6.1875929999999997</v>
      </c>
      <c r="E824">
        <v>0.53433409999999903</v>
      </c>
      <c r="F824" t="s">
        <v>38</v>
      </c>
      <c r="G824">
        <v>-267.09129999999999</v>
      </c>
      <c r="H824">
        <v>1.023285</v>
      </c>
      <c r="I824">
        <v>367.08120000000002</v>
      </c>
      <c r="J824">
        <v>-267.87569999999999</v>
      </c>
      <c r="K824">
        <v>1.1043240000000001</v>
      </c>
      <c r="L824">
        <v>367.06360000000001</v>
      </c>
      <c r="M824">
        <v>0.99991770000000002</v>
      </c>
      <c r="N824">
        <v>0</v>
      </c>
      <c r="O824">
        <v>3.620233E-3</v>
      </c>
      <c r="P824">
        <v>0.99461460000000002</v>
      </c>
      <c r="Q824">
        <v>6.6159109999999993E-2</v>
      </c>
      <c r="R824">
        <v>7.9780329999999997E-2</v>
      </c>
      <c r="S824">
        <v>3.0283199999999999</v>
      </c>
      <c r="T824">
        <v>-0.2457307</v>
      </c>
      <c r="U824">
        <v>5.6335450000000002E-2</v>
      </c>
      <c r="V824">
        <v>-7.6207639999999993E-2</v>
      </c>
      <c r="W824">
        <v>7.8372430000000007E-2</v>
      </c>
      <c r="X824">
        <v>0.99400710000000003</v>
      </c>
      <c r="Y824">
        <v>-1.4942449999999999E-2</v>
      </c>
      <c r="Z824">
        <v>3.119269E-4</v>
      </c>
      <c r="AA824">
        <v>0.99988829999999995</v>
      </c>
      <c r="AB824">
        <v>36</v>
      </c>
      <c r="AC824">
        <v>0.78440000000000498</v>
      </c>
      <c r="AD824">
        <v>-8.1039E-2</v>
      </c>
      <c r="AE824">
        <v>1.7600000000015801E-2</v>
      </c>
      <c r="AF824">
        <v>-1.46041575333101E-2</v>
      </c>
      <c r="AG824">
        <v>-8.1039E-2</v>
      </c>
      <c r="AH824">
        <v>0.77617809499149903</v>
      </c>
      <c r="AI824">
        <v>95.959479671941807</v>
      </c>
      <c r="AJ824">
        <v>91.077919968311704</v>
      </c>
      <c r="AK824">
        <v>0.78053381482347794</v>
      </c>
    </row>
    <row r="825" spans="1:37" x14ac:dyDescent="0.2">
      <c r="A825" t="str">
        <f>"20200111153624971"</f>
        <v>20200111153624971</v>
      </c>
      <c r="B825" t="str">
        <f>"1578728184963935"</f>
        <v>1578728184963935</v>
      </c>
      <c r="C825" t="s">
        <v>37</v>
      </c>
      <c r="D825">
        <v>6.200005</v>
      </c>
      <c r="E825">
        <v>0.5491298</v>
      </c>
      <c r="F825" t="s">
        <v>38</v>
      </c>
      <c r="G825">
        <v>-267.0849</v>
      </c>
      <c r="H825">
        <v>1.0365770000000001</v>
      </c>
      <c r="I825">
        <v>367.05360000000002</v>
      </c>
      <c r="J825">
        <v>-267.6146</v>
      </c>
      <c r="K825">
        <v>1.104365</v>
      </c>
      <c r="L825">
        <v>367.06479999999999</v>
      </c>
      <c r="M825">
        <v>0.99991640000000004</v>
      </c>
      <c r="N825">
        <v>0</v>
      </c>
      <c r="O825">
        <v>3.7485370000000001E-3</v>
      </c>
      <c r="P825">
        <v>0.99479240000000002</v>
      </c>
      <c r="Q825">
        <v>6.464367E-2</v>
      </c>
      <c r="R825">
        <v>7.8799330000000001E-2</v>
      </c>
      <c r="S825">
        <v>3.036591</v>
      </c>
      <c r="T825">
        <v>-0.26046340000000001</v>
      </c>
      <c r="U825">
        <v>-3.7780759999999997E-2</v>
      </c>
      <c r="V825">
        <v>-7.5097460000000005E-2</v>
      </c>
      <c r="W825">
        <v>7.6929609999999995E-2</v>
      </c>
      <c r="X825">
        <v>0.99420429999999904</v>
      </c>
      <c r="Y825">
        <v>1.6116390000000001E-2</v>
      </c>
      <c r="Z825">
        <v>-1.0108529999999999E-3</v>
      </c>
      <c r="AA825">
        <v>0.99986960000000003</v>
      </c>
      <c r="AB825">
        <v>36</v>
      </c>
      <c r="AC825">
        <v>0.52969999999999096</v>
      </c>
      <c r="AD825">
        <v>-6.7787999999999904E-2</v>
      </c>
      <c r="AE825">
        <v>-1.1199999999973899E-2</v>
      </c>
      <c r="AF825">
        <v>1.2973299080538901E-2</v>
      </c>
      <c r="AG825">
        <v>-6.7787999999999904E-2</v>
      </c>
      <c r="AH825">
        <v>0.52112344332021998</v>
      </c>
      <c r="AI825">
        <v>97.409177886209207</v>
      </c>
      <c r="AJ825">
        <v>88.573923716864002</v>
      </c>
      <c r="AK825">
        <v>0.525674007927875</v>
      </c>
    </row>
    <row r="826" spans="1:37" x14ac:dyDescent="0.2">
      <c r="A826" t="str">
        <f>"20200111153624985"</f>
        <v>20200111153624985</v>
      </c>
      <c r="B826" t="str">
        <f>"1578728184973691"</f>
        <v>1578728184973691</v>
      </c>
      <c r="C826" t="s">
        <v>37</v>
      </c>
      <c r="D826">
        <v>6.1612799999999996</v>
      </c>
      <c r="E826">
        <v>0.55299719999999997</v>
      </c>
      <c r="F826" t="s">
        <v>38</v>
      </c>
      <c r="G826">
        <v>-266.77289999999999</v>
      </c>
      <c r="H826">
        <v>1.026125</v>
      </c>
      <c r="I826">
        <v>367.0213</v>
      </c>
      <c r="J826">
        <v>-267.4033</v>
      </c>
      <c r="K826">
        <v>1.1043969999999901</v>
      </c>
      <c r="L826">
        <v>367.06560000000002</v>
      </c>
      <c r="M826">
        <v>0.99991540000000001</v>
      </c>
      <c r="N826">
        <v>0</v>
      </c>
      <c r="O826">
        <v>3.8464429999999902E-3</v>
      </c>
      <c r="P826">
        <v>0.99492659999999999</v>
      </c>
      <c r="Q826">
        <v>6.3837249999999998E-2</v>
      </c>
      <c r="R826">
        <v>7.7759270000000005E-2</v>
      </c>
      <c r="S826">
        <v>3.0466000000000002</v>
      </c>
      <c r="T826">
        <v>-0.28311589999999998</v>
      </c>
      <c r="U826">
        <v>-0.15759279999999901</v>
      </c>
      <c r="V826">
        <v>-7.3958689999999994E-2</v>
      </c>
      <c r="W826">
        <v>7.6180789999999998E-2</v>
      </c>
      <c r="X826">
        <v>0.99434730000000005</v>
      </c>
      <c r="Y826">
        <v>5.5245639999999999E-2</v>
      </c>
      <c r="Z826">
        <v>-2.916203E-3</v>
      </c>
      <c r="AA826">
        <v>0.99846849999999998</v>
      </c>
      <c r="AB826">
        <v>36</v>
      </c>
      <c r="AC826">
        <v>0.63040000000000795</v>
      </c>
      <c r="AD826">
        <v>-7.8271999999999897E-2</v>
      </c>
      <c r="AE826">
        <v>-4.43000000000211E-2</v>
      </c>
      <c r="AF826">
        <v>4.6018704655606098E-2</v>
      </c>
      <c r="AG826">
        <v>-7.8271999999999897E-2</v>
      </c>
      <c r="AH826">
        <v>0.62070299691322095</v>
      </c>
      <c r="AI826">
        <v>97.167719593063893</v>
      </c>
      <c r="AJ826">
        <v>85.759868341442399</v>
      </c>
      <c r="AK826">
        <v>0.62730888527043305</v>
      </c>
    </row>
    <row r="827" spans="1:37" x14ac:dyDescent="0.2">
      <c r="A827" t="str">
        <f>"20200111153624998"</f>
        <v>20200111153624998</v>
      </c>
      <c r="B827" t="str">
        <f>"1578728184993212"</f>
        <v>1578728184993212</v>
      </c>
      <c r="C827" t="s">
        <v>37</v>
      </c>
      <c r="D827">
        <v>6.1093489999999999</v>
      </c>
      <c r="E827">
        <v>0.55759190000000003</v>
      </c>
      <c r="F827" t="s">
        <v>38</v>
      </c>
      <c r="G827">
        <v>-266.46050000000002</v>
      </c>
      <c r="H827">
        <v>1.0154049999999999</v>
      </c>
      <c r="I827">
        <v>367.00630000000001</v>
      </c>
      <c r="J827">
        <v>-267.18700000000001</v>
      </c>
      <c r="K827">
        <v>1.104422</v>
      </c>
      <c r="L827">
        <v>367.06659999999999</v>
      </c>
      <c r="M827">
        <v>0.99991430000000003</v>
      </c>
      <c r="N827">
        <v>0</v>
      </c>
      <c r="O827">
        <v>3.9398940000000002E-3</v>
      </c>
      <c r="P827">
        <v>0.99506909999999904</v>
      </c>
      <c r="Q827">
        <v>6.2939869999999995E-2</v>
      </c>
      <c r="R827">
        <v>7.6656740000000001E-2</v>
      </c>
      <c r="S827">
        <v>3.0486759999999999</v>
      </c>
      <c r="T827">
        <v>-0.2880163</v>
      </c>
      <c r="U827">
        <v>-0.1907654</v>
      </c>
      <c r="V827">
        <v>-7.2761329999999999E-2</v>
      </c>
      <c r="W827">
        <v>7.5343030000000005E-2</v>
      </c>
      <c r="X827">
        <v>0.99449949999999998</v>
      </c>
      <c r="Y827">
        <v>6.6072539999999999E-2</v>
      </c>
      <c r="Z827">
        <v>-3.4821309999999999E-3</v>
      </c>
      <c r="AA827">
        <v>0.99780879999999905</v>
      </c>
      <c r="AB827">
        <v>36</v>
      </c>
      <c r="AC827">
        <v>0.72649999999998705</v>
      </c>
      <c r="AD827">
        <v>-8.9017000000000096E-2</v>
      </c>
      <c r="AE827">
        <v>-6.0299999999983797E-2</v>
      </c>
      <c r="AF827">
        <v>6.2234144054513399E-2</v>
      </c>
      <c r="AG827">
        <v>-8.9017000000000096E-2</v>
      </c>
      <c r="AH827">
        <v>0.71558698647660401</v>
      </c>
      <c r="AI827">
        <v>97.064610015656498</v>
      </c>
      <c r="AJ827">
        <v>85.029529070483505</v>
      </c>
      <c r="AK827">
        <v>0.72378301319516003</v>
      </c>
    </row>
    <row r="828" spans="1:37" x14ac:dyDescent="0.2">
      <c r="A828" t="str">
        <f>"20200111153625016"</f>
        <v>20200111153625016</v>
      </c>
      <c r="B828" t="str">
        <f>"1578728185003948"</f>
        <v>1578728185003948</v>
      </c>
      <c r="C828" t="s">
        <v>37</v>
      </c>
      <c r="D828">
        <v>6.1212839999999904</v>
      </c>
      <c r="E828">
        <v>0.55902069999999904</v>
      </c>
      <c r="F828" t="s">
        <v>38</v>
      </c>
      <c r="G828">
        <v>-266.45069999999998</v>
      </c>
      <c r="H828">
        <v>1.0351859999999999</v>
      </c>
      <c r="I828">
        <v>367.01060000000001</v>
      </c>
      <c r="J828">
        <v>-266.9074</v>
      </c>
      <c r="K828">
        <v>1.104436</v>
      </c>
      <c r="L828">
        <v>367.0677</v>
      </c>
      <c r="M828">
        <v>0.99991289999999999</v>
      </c>
      <c r="N828">
        <v>0</v>
      </c>
      <c r="O828">
        <v>4.0452300000000004E-3</v>
      </c>
      <c r="P828">
        <v>0.99542369999999902</v>
      </c>
      <c r="Q828">
        <v>6.071348E-2</v>
      </c>
      <c r="R828">
        <v>7.379115E-2</v>
      </c>
      <c r="S828">
        <v>3.0507810000000002</v>
      </c>
      <c r="T828">
        <v>-0.28721449999999998</v>
      </c>
      <c r="U828">
        <v>-0.2305603</v>
      </c>
      <c r="V828">
        <v>-6.9786070000000006E-2</v>
      </c>
      <c r="W828">
        <v>7.3194140000000005E-2</v>
      </c>
      <c r="X828">
        <v>0.99487309999999995</v>
      </c>
      <c r="Y828">
        <v>7.9027440000000004E-2</v>
      </c>
      <c r="Z828">
        <v>-4.0860480000000001E-3</v>
      </c>
      <c r="AA828">
        <v>0.99686409999999903</v>
      </c>
      <c r="AB828">
        <v>36</v>
      </c>
      <c r="AC828">
        <v>0.45670000000001199</v>
      </c>
      <c r="AD828">
        <v>-6.9249999999999798E-2</v>
      </c>
      <c r="AE828">
        <v>-5.7099999999991199E-2</v>
      </c>
      <c r="AF828">
        <v>5.7642220968071201E-2</v>
      </c>
      <c r="AG828">
        <v>-6.9249999999999798E-2</v>
      </c>
      <c r="AH828">
        <v>0.44636047959765401</v>
      </c>
      <c r="AI828">
        <v>98.747271970237804</v>
      </c>
      <c r="AJ828">
        <v>82.641646050875806</v>
      </c>
      <c r="AK828">
        <v>0.45536344372905002</v>
      </c>
    </row>
    <row r="829" spans="1:37" x14ac:dyDescent="0.2">
      <c r="A829" t="str">
        <f>"20200111153625031"</f>
        <v>20200111153625031</v>
      </c>
      <c r="B829" t="str">
        <f>"1578728185023468"</f>
        <v>1578728185023468</v>
      </c>
      <c r="C829" t="s">
        <v>37</v>
      </c>
      <c r="D829">
        <v>6.1403439999999998</v>
      </c>
      <c r="E829">
        <v>0.5609324</v>
      </c>
      <c r="F829" t="s">
        <v>38</v>
      </c>
      <c r="G829">
        <v>-266.13580000000002</v>
      </c>
      <c r="H829">
        <v>1.0299069999999999</v>
      </c>
      <c r="I829">
        <v>367.00459999999998</v>
      </c>
      <c r="J829">
        <v>-266.67520000000002</v>
      </c>
      <c r="K829">
        <v>1.10444599999999</v>
      </c>
      <c r="L829">
        <v>367.06880000000001</v>
      </c>
      <c r="M829">
        <v>0.99991189999999996</v>
      </c>
      <c r="N829">
        <v>0</v>
      </c>
      <c r="O829">
        <v>4.1210689999999998E-3</v>
      </c>
      <c r="P829">
        <v>0.99557640000000003</v>
      </c>
      <c r="Q829">
        <v>5.9750959999999999E-2</v>
      </c>
      <c r="R829">
        <v>7.2508470000000005E-2</v>
      </c>
      <c r="S829">
        <v>3.050262</v>
      </c>
      <c r="T829">
        <v>-0.29456379999999999</v>
      </c>
      <c r="U829">
        <v>-0.2495117</v>
      </c>
      <c r="V829">
        <v>-6.8424750000000006E-2</v>
      </c>
      <c r="W829">
        <v>7.2293410000000002E-2</v>
      </c>
      <c r="X829">
        <v>0.99503349999999902</v>
      </c>
      <c r="Y829">
        <v>8.5221859999999997E-2</v>
      </c>
      <c r="Z829">
        <v>-4.4950279999999999E-3</v>
      </c>
      <c r="AA829">
        <v>0.99635180000000001</v>
      </c>
      <c r="AB829">
        <v>36</v>
      </c>
      <c r="AC829">
        <v>0.53939999999999999</v>
      </c>
      <c r="AD829">
        <v>-7.4538999999999897E-2</v>
      </c>
      <c r="AE829">
        <v>-6.4200000000027999E-2</v>
      </c>
      <c r="AF829">
        <v>6.5194955303115504E-2</v>
      </c>
      <c r="AG829">
        <v>-7.4538999999999897E-2</v>
      </c>
      <c r="AH829">
        <v>0.52916693619033806</v>
      </c>
      <c r="AI829">
        <v>97.958595202810599</v>
      </c>
      <c r="AJ829">
        <v>82.9763823446348</v>
      </c>
      <c r="AK829">
        <v>0.53835312860151996</v>
      </c>
    </row>
    <row r="830" spans="1:37" x14ac:dyDescent="0.2">
      <c r="A830" t="str">
        <f>"20200111153625043"</f>
        <v>20200111153625043</v>
      </c>
      <c r="B830" t="str">
        <f>"1578728185033228"</f>
        <v>1578728185033228</v>
      </c>
      <c r="C830" t="s">
        <v>37</v>
      </c>
      <c r="D830">
        <v>6.1656570000000004</v>
      </c>
      <c r="E830">
        <v>0.56166430000000001</v>
      </c>
      <c r="F830" t="s">
        <v>38</v>
      </c>
      <c r="G830">
        <v>-265.82249999999999</v>
      </c>
      <c r="H830">
        <v>1.0214799999999999</v>
      </c>
      <c r="I830">
        <v>366.99349999999998</v>
      </c>
      <c r="J830">
        <v>-266.4615</v>
      </c>
      <c r="K830">
        <v>1.1044529999999999</v>
      </c>
      <c r="L830">
        <v>367.06970000000001</v>
      </c>
      <c r="M830">
        <v>0.99991109999999905</v>
      </c>
      <c r="N830">
        <v>0</v>
      </c>
      <c r="O830">
        <v>4.1839549999999996E-3</v>
      </c>
      <c r="P830">
        <v>0.99575139999999995</v>
      </c>
      <c r="Q830">
        <v>5.8958219999999999E-2</v>
      </c>
      <c r="R830">
        <v>7.0733679999999993E-2</v>
      </c>
      <c r="S830">
        <v>3.0506899999999999</v>
      </c>
      <c r="T830">
        <v>-0.29712450000000001</v>
      </c>
      <c r="U830">
        <v>-0.2684937</v>
      </c>
      <c r="V830">
        <v>-6.6583429999999999E-2</v>
      </c>
      <c r="W830">
        <v>7.1556700000000001E-2</v>
      </c>
      <c r="X830">
        <v>0.99521170000000003</v>
      </c>
      <c r="Y830">
        <v>9.1390509999999994E-2</v>
      </c>
      <c r="Z830">
        <v>-4.8373289999999996E-3</v>
      </c>
      <c r="AA830">
        <v>0.99580340000000001</v>
      </c>
      <c r="AB830">
        <v>36</v>
      </c>
      <c r="AC830">
        <v>0.63900000000001</v>
      </c>
      <c r="AD830">
        <v>-8.2973000000000102E-2</v>
      </c>
      <c r="AE830">
        <v>-7.6200000000028398E-2</v>
      </c>
      <c r="AF830">
        <v>7.7583337052887003E-2</v>
      </c>
      <c r="AG830">
        <v>-8.2973000000000102E-2</v>
      </c>
      <c r="AH830">
        <v>0.62823174134440196</v>
      </c>
      <c r="AI830">
        <v>97.467649028748994</v>
      </c>
      <c r="AJ830">
        <v>82.959915591199902</v>
      </c>
      <c r="AK830">
        <v>0.63841899544882097</v>
      </c>
    </row>
    <row r="831" spans="1:37" x14ac:dyDescent="0.2">
      <c r="A831" t="str">
        <f>"20200111153625056"</f>
        <v>20200111153625056</v>
      </c>
      <c r="B831" t="str">
        <f>"1578728185053725"</f>
        <v>1578728185053725</v>
      </c>
      <c r="C831" t="s">
        <v>37</v>
      </c>
      <c r="D831">
        <v>6.2665829999999998</v>
      </c>
      <c r="E831">
        <v>0.56266949999999905</v>
      </c>
      <c r="F831" t="s">
        <v>38</v>
      </c>
      <c r="G831">
        <v>-265.51010000000002</v>
      </c>
      <c r="H831">
        <v>1.011374</v>
      </c>
      <c r="I831">
        <v>366.98239999999998</v>
      </c>
      <c r="J831">
        <v>-266.25760000000002</v>
      </c>
      <c r="K831">
        <v>1.1044590000000001</v>
      </c>
      <c r="L831">
        <v>367.07060000000001</v>
      </c>
      <c r="M831">
        <v>0.99991010000000002</v>
      </c>
      <c r="N831">
        <v>0</v>
      </c>
      <c r="O831">
        <v>4.2369230000000001E-3</v>
      </c>
      <c r="P831">
        <v>0.99590540000000005</v>
      </c>
      <c r="Q831">
        <v>5.8258980000000002E-2</v>
      </c>
      <c r="R831">
        <v>6.9124619999999998E-2</v>
      </c>
      <c r="S831">
        <v>3.0502929999999999</v>
      </c>
      <c r="T831">
        <v>-0.29852009999999901</v>
      </c>
      <c r="U831">
        <v>-0.27905269999999999</v>
      </c>
      <c r="V831">
        <v>-6.4918770000000001E-2</v>
      </c>
      <c r="W831">
        <v>7.0908410000000005E-2</v>
      </c>
      <c r="X831">
        <v>0.99536809999999998</v>
      </c>
      <c r="Y831">
        <v>9.4852779999999998E-2</v>
      </c>
      <c r="Z831">
        <v>-5.0336519999999996E-3</v>
      </c>
      <c r="AA831">
        <v>0.99547859999999999</v>
      </c>
      <c r="AB831">
        <v>35</v>
      </c>
      <c r="AC831">
        <v>0.74750000000000205</v>
      </c>
      <c r="AD831">
        <v>-9.3085000000000001E-2</v>
      </c>
      <c r="AE831">
        <v>-8.8200000000028894E-2</v>
      </c>
      <c r="AF831">
        <v>8.9990218567617297E-2</v>
      </c>
      <c r="AG831">
        <v>-9.3085000000000001E-2</v>
      </c>
      <c r="AH831">
        <v>0.73586495382460904</v>
      </c>
      <c r="AI831">
        <v>97.156717464647897</v>
      </c>
      <c r="AJ831">
        <v>83.0278178465514</v>
      </c>
      <c r="AK831">
        <v>0.74716817847800598</v>
      </c>
    </row>
    <row r="832" spans="1:37" x14ac:dyDescent="0.2">
      <c r="A832" t="str">
        <f>"20200111153625072"</f>
        <v>20200111153625072</v>
      </c>
      <c r="B832" t="str">
        <f>"1578728185063484"</f>
        <v>1578728185063484</v>
      </c>
      <c r="C832" t="s">
        <v>37</v>
      </c>
      <c r="D832">
        <v>6.1326349999999996</v>
      </c>
      <c r="E832">
        <v>0.56307010000000002</v>
      </c>
      <c r="F832" t="s">
        <v>38</v>
      </c>
      <c r="G832">
        <v>-265.50080000000003</v>
      </c>
      <c r="H832">
        <v>1.0303979999999999</v>
      </c>
      <c r="I832">
        <v>366.99790000000002</v>
      </c>
      <c r="J832">
        <v>-266.01909999999998</v>
      </c>
      <c r="K832">
        <v>1.1044620000000001</v>
      </c>
      <c r="L832">
        <v>367.07170000000002</v>
      </c>
      <c r="M832">
        <v>0.99990919999999905</v>
      </c>
      <c r="N832">
        <v>0</v>
      </c>
      <c r="O832">
        <v>4.2891930000000002E-3</v>
      </c>
      <c r="P832">
        <v>0.99626139999999996</v>
      </c>
      <c r="Q832">
        <v>5.6607520000000001E-2</v>
      </c>
      <c r="R832">
        <v>6.5261540000000007E-2</v>
      </c>
      <c r="S832">
        <v>3.0500790000000002</v>
      </c>
      <c r="T832">
        <v>-0.29867650000000001</v>
      </c>
      <c r="U832">
        <v>-0.29205320000000001</v>
      </c>
      <c r="V832">
        <v>-6.0999930000000001E-2</v>
      </c>
      <c r="W832">
        <v>6.9318740000000004E-2</v>
      </c>
      <c r="X832">
        <v>0.99572780000000005</v>
      </c>
      <c r="Y832">
        <v>9.9095760000000005E-2</v>
      </c>
      <c r="Z832">
        <v>-5.2475119999999898E-3</v>
      </c>
      <c r="AA832">
        <v>0.99506410000000001</v>
      </c>
      <c r="AB832">
        <v>35</v>
      </c>
      <c r="AC832">
        <v>0.51829999999995302</v>
      </c>
      <c r="AD832">
        <v>-7.4064000000000102E-2</v>
      </c>
      <c r="AE832">
        <v>-7.3800000000005597E-2</v>
      </c>
      <c r="AF832">
        <v>7.4530925871644907E-2</v>
      </c>
      <c r="AG832">
        <v>-7.4064000000000102E-2</v>
      </c>
      <c r="AH832">
        <v>0.50781522645799304</v>
      </c>
      <c r="AI832">
        <v>98.211237518749897</v>
      </c>
      <c r="AJ832">
        <v>81.650435755188397</v>
      </c>
      <c r="AK832">
        <v>0.51857173007200097</v>
      </c>
    </row>
    <row r="833" spans="1:37" x14ac:dyDescent="0.2">
      <c r="A833" t="str">
        <f>"20200111153625085"</f>
        <v>20200111153625085</v>
      </c>
      <c r="B833" t="str">
        <f>"1578728185073244"</f>
        <v>1578728185073244</v>
      </c>
      <c r="C833" t="s">
        <v>37</v>
      </c>
      <c r="D833">
        <v>6.1753819999999999</v>
      </c>
      <c r="E833">
        <v>0.56338390000000005</v>
      </c>
      <c r="F833" t="s">
        <v>38</v>
      </c>
      <c r="G833">
        <v>-265.18779999999998</v>
      </c>
      <c r="H833">
        <v>1.022024</v>
      </c>
      <c r="I833">
        <v>366.98779999999999</v>
      </c>
      <c r="J833">
        <v>-265.80900000000003</v>
      </c>
      <c r="K833">
        <v>1.1044719999999999</v>
      </c>
      <c r="L833">
        <v>367.0727</v>
      </c>
      <c r="M833">
        <v>0.99990859999999904</v>
      </c>
      <c r="N833">
        <v>0</v>
      </c>
      <c r="O833">
        <v>4.329996E-3</v>
      </c>
      <c r="P833">
        <v>0.99641039999999903</v>
      </c>
      <c r="Q833">
        <v>5.6062630000000002E-2</v>
      </c>
      <c r="R833">
        <v>6.3430509999999996E-2</v>
      </c>
      <c r="S833">
        <v>3.0485530000000001</v>
      </c>
      <c r="T833">
        <v>-0.30250659999999902</v>
      </c>
      <c r="U833">
        <v>-0.30685419999999902</v>
      </c>
      <c r="V833">
        <v>-5.9125450000000003E-2</v>
      </c>
      <c r="W833">
        <v>6.8824029999999994E-2</v>
      </c>
      <c r="X833">
        <v>0.99587519999999996</v>
      </c>
      <c r="Y833">
        <v>0.10393089999999899</v>
      </c>
      <c r="Z833">
        <v>-5.5586019999999898E-3</v>
      </c>
      <c r="AA833">
        <v>0.99456900000000004</v>
      </c>
      <c r="AB833">
        <v>35</v>
      </c>
      <c r="AC833">
        <v>0.62120000000004405</v>
      </c>
      <c r="AD833">
        <v>-8.2447999999999799E-2</v>
      </c>
      <c r="AE833">
        <v>-8.4900000000004597E-2</v>
      </c>
      <c r="AF833">
        <v>8.6100320667180402E-2</v>
      </c>
      <c r="AG833">
        <v>-8.2447999999999799E-2</v>
      </c>
      <c r="AH833">
        <v>0.61027332295203196</v>
      </c>
      <c r="AI833">
        <v>97.619521719846702</v>
      </c>
      <c r="AJ833">
        <v>81.969436205649004</v>
      </c>
      <c r="AK833">
        <v>0.62180741924643002</v>
      </c>
    </row>
    <row r="834" spans="1:37" x14ac:dyDescent="0.2">
      <c r="A834" t="str">
        <f>"20200111153625098"</f>
        <v>20200111153625098</v>
      </c>
      <c r="B834" t="str">
        <f>"1578728185093740"</f>
        <v>1578728185093740</v>
      </c>
      <c r="C834" t="s">
        <v>37</v>
      </c>
      <c r="D834">
        <v>6.1811419999999897</v>
      </c>
      <c r="E834">
        <v>0.56387710000000002</v>
      </c>
      <c r="F834" t="s">
        <v>38</v>
      </c>
      <c r="G834">
        <v>-264.8759</v>
      </c>
      <c r="H834">
        <v>1.0115190000000001</v>
      </c>
      <c r="I834">
        <v>366.976</v>
      </c>
      <c r="J834">
        <v>-265.59539999999998</v>
      </c>
      <c r="K834">
        <v>1.1044830000000001</v>
      </c>
      <c r="L834">
        <v>367.0736</v>
      </c>
      <c r="M834">
        <v>0.99990780000000001</v>
      </c>
      <c r="N834">
        <v>0</v>
      </c>
      <c r="O834">
        <v>4.3672470000000003E-3</v>
      </c>
      <c r="P834">
        <v>0.99653590000000003</v>
      </c>
      <c r="Q834">
        <v>5.6140629999999997E-2</v>
      </c>
      <c r="R834">
        <v>6.1358309999999999E-2</v>
      </c>
      <c r="S834">
        <v>3.0480040000000002</v>
      </c>
      <c r="T834">
        <v>-0.30377309999999902</v>
      </c>
      <c r="U834">
        <v>-0.31512449999999997</v>
      </c>
      <c r="V834">
        <v>-5.7014490000000001E-2</v>
      </c>
      <c r="W834">
        <v>6.8951499999999999E-2</v>
      </c>
      <c r="X834">
        <v>0.99598949999999997</v>
      </c>
      <c r="Y834">
        <v>0.10663830000000001</v>
      </c>
      <c r="Z834">
        <v>-5.7199169999999997E-3</v>
      </c>
      <c r="AA834">
        <v>0.99428139999999998</v>
      </c>
      <c r="AB834">
        <v>35</v>
      </c>
      <c r="AC834">
        <v>0.71949999999998204</v>
      </c>
      <c r="AD834">
        <v>-9.2964000000000005E-2</v>
      </c>
      <c r="AE834">
        <v>-9.7599999999999895E-2</v>
      </c>
      <c r="AF834">
        <v>9.9116776131297796E-2</v>
      </c>
      <c r="AG834">
        <v>-9.2964000000000005E-2</v>
      </c>
      <c r="AH834">
        <v>0.70746955574263004</v>
      </c>
      <c r="AI834">
        <v>97.414383768386799</v>
      </c>
      <c r="AJ834">
        <v>82.024747102821607</v>
      </c>
      <c r="AK834">
        <v>0.72040239651831794</v>
      </c>
    </row>
    <row r="835" spans="1:37" x14ac:dyDescent="0.2">
      <c r="A835" t="str">
        <f>"20200111153625111"</f>
        <v>20200111153625111</v>
      </c>
      <c r="B835" t="str">
        <f>"1578728185103500"</f>
        <v>1578728185103500</v>
      </c>
      <c r="C835" t="s">
        <v>37</v>
      </c>
      <c r="D835">
        <v>6.1756440000000001</v>
      </c>
      <c r="E835">
        <v>0.56404080000000001</v>
      </c>
      <c r="F835" t="s">
        <v>38</v>
      </c>
      <c r="G835">
        <v>-264.86579999999998</v>
      </c>
      <c r="H835">
        <v>1.0324930000000001</v>
      </c>
      <c r="I835">
        <v>366.99549999999999</v>
      </c>
      <c r="J835">
        <v>-265.40219999999999</v>
      </c>
      <c r="K835">
        <v>1.1044969999999901</v>
      </c>
      <c r="L835">
        <v>367.07440000000003</v>
      </c>
      <c r="M835">
        <v>0.99990709999999905</v>
      </c>
      <c r="N835">
        <v>0</v>
      </c>
      <c r="O835">
        <v>4.3953589999999997E-3</v>
      </c>
      <c r="P835">
        <v>0.99663139999999995</v>
      </c>
      <c r="Q835">
        <v>5.5988620000000003E-2</v>
      </c>
      <c r="R835">
        <v>5.9926069999999998E-2</v>
      </c>
      <c r="S835">
        <v>3.0474239999999999</v>
      </c>
      <c r="T835">
        <v>-0.30086669999999999</v>
      </c>
      <c r="U835">
        <v>-0.3255615</v>
      </c>
      <c r="V835">
        <v>-5.5553039999999998E-2</v>
      </c>
      <c r="W835">
        <v>6.8840680000000001E-2</v>
      </c>
      <c r="X835">
        <v>0.99607969999999901</v>
      </c>
      <c r="Y835">
        <v>0.1100469</v>
      </c>
      <c r="Z835">
        <v>-5.8356600000000003E-3</v>
      </c>
      <c r="AA835">
        <v>0.99390919999999905</v>
      </c>
      <c r="AB835">
        <v>35</v>
      </c>
      <c r="AC835">
        <v>0.53640000000001398</v>
      </c>
      <c r="AD835">
        <v>-7.2003999999999693E-2</v>
      </c>
      <c r="AE835">
        <v>-7.8900000000032805E-2</v>
      </c>
      <c r="AF835">
        <v>7.9848763870358899E-2</v>
      </c>
      <c r="AG835">
        <v>-7.2003999999999693E-2</v>
      </c>
      <c r="AH835">
        <v>0.52675726026811898</v>
      </c>
      <c r="AI835">
        <v>97.696833177722596</v>
      </c>
      <c r="AJ835">
        <v>81.380411513587703</v>
      </c>
      <c r="AK835">
        <v>0.53761846355273102</v>
      </c>
    </row>
    <row r="836" spans="1:37" x14ac:dyDescent="0.2">
      <c r="A836" t="str">
        <f>"20200111153625123"</f>
        <v>20200111153625123</v>
      </c>
      <c r="B836" t="str">
        <f>"1578728185113260"</f>
        <v>1578728185113260</v>
      </c>
      <c r="C836" t="s">
        <v>37</v>
      </c>
      <c r="D836">
        <v>6.1860109999999997</v>
      </c>
      <c r="E836">
        <v>0.5641834</v>
      </c>
      <c r="F836" t="s">
        <v>38</v>
      </c>
      <c r="G836">
        <v>-264.55459999999999</v>
      </c>
      <c r="H836">
        <v>1.0210790000000001</v>
      </c>
      <c r="I836">
        <v>366.9819</v>
      </c>
      <c r="J836">
        <v>-265.18939999999998</v>
      </c>
      <c r="K836">
        <v>1.1045119999999999</v>
      </c>
      <c r="L836">
        <v>367.0754</v>
      </c>
      <c r="M836">
        <v>0.99990650000000003</v>
      </c>
      <c r="N836">
        <v>0</v>
      </c>
      <c r="O836">
        <v>4.4244619999999997E-3</v>
      </c>
      <c r="P836">
        <v>0.99671069999999995</v>
      </c>
      <c r="Q836">
        <v>5.6344529999999997E-2</v>
      </c>
      <c r="R836">
        <v>5.8254479999999997E-2</v>
      </c>
      <c r="S836">
        <v>3.0469360000000001</v>
      </c>
      <c r="T836">
        <v>-0.30020559999999902</v>
      </c>
      <c r="U836">
        <v>-0.33135989999999999</v>
      </c>
      <c r="V836">
        <v>-5.3851549999999998E-2</v>
      </c>
      <c r="W836">
        <v>6.9241230000000001E-2</v>
      </c>
      <c r="X836">
        <v>0.99614539999999996</v>
      </c>
      <c r="Y836">
        <v>0.11195519999999901</v>
      </c>
      <c r="Z836">
        <v>-5.9195999999999997E-3</v>
      </c>
      <c r="AA836">
        <v>0.99369560000000001</v>
      </c>
      <c r="AB836">
        <v>35</v>
      </c>
      <c r="AC836">
        <v>0.63479999999998404</v>
      </c>
      <c r="AD836">
        <v>-8.3432999999999993E-2</v>
      </c>
      <c r="AE836">
        <v>-9.3500000000005898E-2</v>
      </c>
      <c r="AF836">
        <v>9.4706709296313904E-2</v>
      </c>
      <c r="AG836">
        <v>-8.3432999999999993E-2</v>
      </c>
      <c r="AH836">
        <v>0.62383257947440296</v>
      </c>
      <c r="AI836">
        <v>97.532383293254298</v>
      </c>
      <c r="AJ836">
        <v>81.367596999037801</v>
      </c>
      <c r="AK836">
        <v>0.63647271228892699</v>
      </c>
    </row>
    <row r="837" spans="1:37" x14ac:dyDescent="0.2">
      <c r="A837" t="str">
        <f>"20200111153625138"</f>
        <v>20200111153625138</v>
      </c>
      <c r="B837" t="str">
        <f>"1578728185133756"</f>
        <v>1578728185133756</v>
      </c>
      <c r="C837" t="s">
        <v>37</v>
      </c>
      <c r="D837">
        <v>6.1763029999999999</v>
      </c>
      <c r="E837">
        <v>0.56439629999999996</v>
      </c>
      <c r="F837" t="s">
        <v>38</v>
      </c>
      <c r="G837">
        <v>-264.2423</v>
      </c>
      <c r="H837">
        <v>1.012019</v>
      </c>
      <c r="I837">
        <v>366.97030000000001</v>
      </c>
      <c r="J837">
        <v>-264.96140000000003</v>
      </c>
      <c r="K837">
        <v>1.104533</v>
      </c>
      <c r="L837">
        <v>367.07650000000001</v>
      </c>
      <c r="M837">
        <v>0.99990569999999901</v>
      </c>
      <c r="N837">
        <v>0</v>
      </c>
      <c r="O837">
        <v>4.453551E-3</v>
      </c>
      <c r="P837">
        <v>0.99680380000000002</v>
      </c>
      <c r="Q837">
        <v>5.7066680000000002E-2</v>
      </c>
      <c r="R837">
        <v>5.5911860000000001E-2</v>
      </c>
      <c r="S837">
        <v>3.046478</v>
      </c>
      <c r="T837">
        <v>-0.29755159999999897</v>
      </c>
      <c r="U837">
        <v>-0.33807369999999998</v>
      </c>
      <c r="V837">
        <v>-5.1478860000000001E-2</v>
      </c>
      <c r="W837">
        <v>7.0012779999999997E-2</v>
      </c>
      <c r="X837">
        <v>0.99621689999999996</v>
      </c>
      <c r="Y837">
        <v>0.114163</v>
      </c>
      <c r="Z837">
        <v>-5.9777479999999997E-3</v>
      </c>
      <c r="AA837">
        <v>0.99344399999999999</v>
      </c>
      <c r="AB837">
        <v>35</v>
      </c>
      <c r="AC837">
        <v>0.71910000000002505</v>
      </c>
      <c r="AD837">
        <v>-9.2513999999999999E-2</v>
      </c>
      <c r="AE837">
        <v>-0.106200000000001</v>
      </c>
      <c r="AF837">
        <v>0.10765790467637</v>
      </c>
      <c r="AG837">
        <v>-9.2513999999999999E-2</v>
      </c>
      <c r="AH837">
        <v>0.70716508218013696</v>
      </c>
      <c r="AI837">
        <v>97.369361222735606</v>
      </c>
      <c r="AJ837">
        <v>81.343829297313405</v>
      </c>
      <c r="AK837">
        <v>0.72127076614136199</v>
      </c>
    </row>
    <row r="838" spans="1:37" x14ac:dyDescent="0.2">
      <c r="A838" t="str">
        <f>"20200111153625154"</f>
        <v>20200111153625154</v>
      </c>
      <c r="B838" t="str">
        <f>"1578728185143516"</f>
        <v>1578728185143516</v>
      </c>
      <c r="C838" t="s">
        <v>37</v>
      </c>
      <c r="D838">
        <v>6.1637589999999998</v>
      </c>
      <c r="E838">
        <v>0.56442919999999996</v>
      </c>
      <c r="F838" t="s">
        <v>38</v>
      </c>
      <c r="G838">
        <v>-264.23160000000001</v>
      </c>
      <c r="H838">
        <v>1.03442099999999</v>
      </c>
      <c r="I838">
        <v>366.9932</v>
      </c>
      <c r="J838">
        <v>-264.72699999999998</v>
      </c>
      <c r="K838">
        <v>1.1045469999999999</v>
      </c>
      <c r="L838">
        <v>367.07760000000002</v>
      </c>
      <c r="M838">
        <v>0.99990489999999999</v>
      </c>
      <c r="N838">
        <v>0</v>
      </c>
      <c r="O838">
        <v>4.4824599999999997E-3</v>
      </c>
      <c r="P838">
        <v>0.9968302</v>
      </c>
      <c r="Q838">
        <v>5.7224320000000002E-2</v>
      </c>
      <c r="R838">
        <v>5.5272740000000001E-2</v>
      </c>
      <c r="S838">
        <v>3.045868</v>
      </c>
      <c r="T838">
        <v>-0.2926511</v>
      </c>
      <c r="U838">
        <v>-0.34738159999999901</v>
      </c>
      <c r="V838">
        <v>-5.0810679999999997E-2</v>
      </c>
      <c r="W838">
        <v>7.0220160000000004E-2</v>
      </c>
      <c r="X838">
        <v>0.99623660000000003</v>
      </c>
      <c r="Y838">
        <v>0.117215</v>
      </c>
      <c r="Z838">
        <v>-6.0284989999999997E-3</v>
      </c>
      <c r="AA838">
        <v>0.99308819999999998</v>
      </c>
      <c r="AB838">
        <v>35</v>
      </c>
      <c r="AC838">
        <v>0.49540000000001699</v>
      </c>
      <c r="AD838">
        <v>-7.0126000000000105E-2</v>
      </c>
      <c r="AE838">
        <v>-8.4400000000016406E-2</v>
      </c>
      <c r="AF838">
        <v>8.4965467274986203E-2</v>
      </c>
      <c r="AG838">
        <v>-7.0126000000000105E-2</v>
      </c>
      <c r="AH838">
        <v>0.48556160530825998</v>
      </c>
      <c r="AI838">
        <v>98.0966211052029</v>
      </c>
      <c r="AJ838">
        <v>80.074649101768102</v>
      </c>
      <c r="AK838">
        <v>0.49790245937813099</v>
      </c>
    </row>
    <row r="839" spans="1:37" x14ac:dyDescent="0.2">
      <c r="A839" t="str">
        <f>"20200111153625167"</f>
        <v>20200111153625167</v>
      </c>
      <c r="B839" t="str">
        <f>"1578728185164012"</f>
        <v>1578728185164012</v>
      </c>
      <c r="C839" t="s">
        <v>37</v>
      </c>
      <c r="D839">
        <v>6.1570339999999897</v>
      </c>
      <c r="E839">
        <v>0.56458509999999995</v>
      </c>
      <c r="F839" t="s">
        <v>38</v>
      </c>
      <c r="G839">
        <v>-263.91879999999998</v>
      </c>
      <c r="H839">
        <v>1.027417</v>
      </c>
      <c r="I839">
        <v>366.98450000000003</v>
      </c>
      <c r="J839">
        <v>-264.51159999999999</v>
      </c>
      <c r="K839">
        <v>1.1045670000000001</v>
      </c>
      <c r="L839">
        <v>367.07850000000002</v>
      </c>
      <c r="M839">
        <v>0.99990419999999902</v>
      </c>
      <c r="N839">
        <v>0</v>
      </c>
      <c r="O839">
        <v>4.50971599999999E-3</v>
      </c>
      <c r="P839">
        <v>0.99687499999999996</v>
      </c>
      <c r="Q839">
        <v>5.7208839999999997E-2</v>
      </c>
      <c r="R839">
        <v>5.4473649999999998E-2</v>
      </c>
      <c r="S839">
        <v>3.0456240000000001</v>
      </c>
      <c r="T839">
        <v>-0.290904</v>
      </c>
      <c r="U839">
        <v>-0.35003659999999998</v>
      </c>
      <c r="V839">
        <v>-4.9983960000000001E-2</v>
      </c>
      <c r="W839">
        <v>7.0253460000000004E-2</v>
      </c>
      <c r="X839">
        <v>0.9962761</v>
      </c>
      <c r="Y839">
        <v>0.11810799999999901</v>
      </c>
      <c r="Z839">
        <v>-6.0378530000000001E-3</v>
      </c>
      <c r="AA839">
        <v>0.99298240000000004</v>
      </c>
      <c r="AB839">
        <v>35</v>
      </c>
      <c r="AC839">
        <v>0.59280000000001098</v>
      </c>
      <c r="AD839">
        <v>-7.7149999999999996E-2</v>
      </c>
      <c r="AE839">
        <v>-9.3999999999994005E-2</v>
      </c>
      <c r="AF839">
        <v>9.5101339787861602E-2</v>
      </c>
      <c r="AG839">
        <v>-7.7149999999999996E-2</v>
      </c>
      <c r="AH839">
        <v>0.58274178727734605</v>
      </c>
      <c r="AI839">
        <v>97.444256650127599</v>
      </c>
      <c r="AJ839">
        <v>80.731245899677205</v>
      </c>
      <c r="AK839">
        <v>0.59546987998440604</v>
      </c>
    </row>
    <row r="840" spans="1:37" x14ac:dyDescent="0.2">
      <c r="A840" t="str">
        <f>"20200111153625183"</f>
        <v>20200111153625183</v>
      </c>
      <c r="B840" t="str">
        <f>"1578728185173772"</f>
        <v>1578728185173772</v>
      </c>
      <c r="C840" t="s">
        <v>37</v>
      </c>
      <c r="D840">
        <v>6.1569669999999999</v>
      </c>
      <c r="E840">
        <v>0.56463140000000001</v>
      </c>
      <c r="F840" t="s">
        <v>38</v>
      </c>
      <c r="G840">
        <v>-263.60680000000002</v>
      </c>
      <c r="H840">
        <v>1.018721</v>
      </c>
      <c r="I840">
        <v>366.97320000000002</v>
      </c>
      <c r="J840">
        <v>-264.26389999999998</v>
      </c>
      <c r="K840">
        <v>1.1045780000000001</v>
      </c>
      <c r="L840">
        <v>367.0797</v>
      </c>
      <c r="M840">
        <v>0.99990330000000005</v>
      </c>
      <c r="N840">
        <v>0</v>
      </c>
      <c r="O840">
        <v>4.5417340000000004E-3</v>
      </c>
      <c r="P840">
        <v>0.996924699999999</v>
      </c>
      <c r="Q840">
        <v>5.6916880000000003E-2</v>
      </c>
      <c r="R840">
        <v>5.3865620000000003E-2</v>
      </c>
      <c r="S840">
        <v>3.0453189999999899</v>
      </c>
      <c r="T840">
        <v>-0.28911829999999999</v>
      </c>
      <c r="U840">
        <v>-0.35357670000000002</v>
      </c>
      <c r="V840">
        <v>-4.9342959999999998E-2</v>
      </c>
      <c r="W840">
        <v>7.0018949999999996E-2</v>
      </c>
      <c r="X840">
        <v>0.99632449999999995</v>
      </c>
      <c r="Y840">
        <v>0.11929139999999901</v>
      </c>
      <c r="Z840">
        <v>-6.06004E-3</v>
      </c>
      <c r="AA840">
        <v>0.99284079999999997</v>
      </c>
      <c r="AB840">
        <v>35</v>
      </c>
      <c r="AC840">
        <v>0.65709999999995705</v>
      </c>
      <c r="AD840">
        <v>-8.5857000000000003E-2</v>
      </c>
      <c r="AE840">
        <v>-0.106499999999982</v>
      </c>
      <c r="AF840">
        <v>0.107692056085836</v>
      </c>
      <c r="AG840">
        <v>-8.5857000000000003E-2</v>
      </c>
      <c r="AH840">
        <v>0.64586539916019903</v>
      </c>
      <c r="AI840">
        <v>97.470176617182304</v>
      </c>
      <c r="AJ840">
        <v>80.533550055006501</v>
      </c>
      <c r="AK840">
        <v>0.66038709650125504</v>
      </c>
    </row>
    <row r="841" spans="1:37" x14ac:dyDescent="0.2">
      <c r="A841" t="str">
        <f>"20200111153625196"</f>
        <v>20200111153625196</v>
      </c>
      <c r="B841" t="str">
        <f>"1578728185183533"</f>
        <v>1578728185183533</v>
      </c>
      <c r="C841" t="s">
        <v>37</v>
      </c>
      <c r="D841">
        <v>6.1693920000000002</v>
      </c>
      <c r="E841">
        <v>0.56463039999999998</v>
      </c>
      <c r="F841" t="s">
        <v>38</v>
      </c>
      <c r="G841">
        <v>-263.29379999999998</v>
      </c>
      <c r="H841">
        <v>1.012859</v>
      </c>
      <c r="I841">
        <v>366.9658</v>
      </c>
      <c r="J841">
        <v>-264.05290000000002</v>
      </c>
      <c r="K841">
        <v>1.1045849999999999</v>
      </c>
      <c r="L841">
        <v>367.08069999999998</v>
      </c>
      <c r="M841">
        <v>0.99990239999999997</v>
      </c>
      <c r="N841">
        <v>0</v>
      </c>
      <c r="O841">
        <v>4.5696269999999997E-3</v>
      </c>
      <c r="P841">
        <v>0.9969614</v>
      </c>
      <c r="Q841">
        <v>5.6413070000000003E-2</v>
      </c>
      <c r="R841">
        <v>5.3716510000000002E-2</v>
      </c>
      <c r="S841">
        <v>3.0449519999999999</v>
      </c>
      <c r="T841">
        <v>-0.2880741</v>
      </c>
      <c r="U841">
        <v>-0.35653689999999999</v>
      </c>
      <c r="V841">
        <v>-4.9165889999999997E-2</v>
      </c>
      <c r="W841">
        <v>6.9568019999999994E-2</v>
      </c>
      <c r="X841">
        <v>0.9963649</v>
      </c>
      <c r="Y841">
        <v>0.1202843</v>
      </c>
      <c r="Z841">
        <v>-6.0879649999999999E-3</v>
      </c>
      <c r="AA841">
        <v>0.99272079999999996</v>
      </c>
      <c r="AB841">
        <v>35</v>
      </c>
      <c r="AC841">
        <v>0.75910000000004596</v>
      </c>
      <c r="AD841">
        <v>-9.1725999999999905E-2</v>
      </c>
      <c r="AE841">
        <v>-0.11489999999997701</v>
      </c>
      <c r="AF841">
        <v>0.11670208760404401</v>
      </c>
      <c r="AG841">
        <v>-9.1725999999999905E-2</v>
      </c>
      <c r="AH841">
        <v>0.74789148965456997</v>
      </c>
      <c r="AI841">
        <v>96.909396875708495</v>
      </c>
      <c r="AJ841">
        <v>81.131004352657101</v>
      </c>
      <c r="AK841">
        <v>0.76247932209658797</v>
      </c>
    </row>
    <row r="842" spans="1:37" x14ac:dyDescent="0.2">
      <c r="A842" t="str">
        <f>"20200111153625208"</f>
        <v>20200111153625208</v>
      </c>
      <c r="B842" t="str">
        <f>"1578728185204028"</f>
        <v>1578728185204028</v>
      </c>
      <c r="C842" t="s">
        <v>37</v>
      </c>
      <c r="D842">
        <v>6.1565339999999997</v>
      </c>
      <c r="E842">
        <v>0.56472019999999901</v>
      </c>
      <c r="F842" t="s">
        <v>38</v>
      </c>
      <c r="G842">
        <v>-263.28480000000002</v>
      </c>
      <c r="H842">
        <v>1.031909</v>
      </c>
      <c r="I842">
        <v>366.99029999999999</v>
      </c>
      <c r="J842">
        <v>-263.86</v>
      </c>
      <c r="K842">
        <v>1.1045909999999901</v>
      </c>
      <c r="L842">
        <v>367.08159999999998</v>
      </c>
      <c r="M842">
        <v>0.99990179999999995</v>
      </c>
      <c r="N842">
        <v>0</v>
      </c>
      <c r="O842">
        <v>4.5958700000000002E-3</v>
      </c>
      <c r="P842">
        <v>0.99699150000000003</v>
      </c>
      <c r="Q842">
        <v>5.5887939999999997E-2</v>
      </c>
      <c r="R842">
        <v>5.3710349999999997E-2</v>
      </c>
      <c r="S842">
        <v>3.044708</v>
      </c>
      <c r="T842">
        <v>-0.288334599999999</v>
      </c>
      <c r="U842">
        <v>-0.3572998</v>
      </c>
      <c r="V842">
        <v>-4.9133780000000002E-2</v>
      </c>
      <c r="W842">
        <v>6.9092329999999993E-2</v>
      </c>
      <c r="X842">
        <v>0.99639959999999905</v>
      </c>
      <c r="Y842">
        <v>0.12056259999999901</v>
      </c>
      <c r="Z842">
        <v>-6.1094119999999998E-3</v>
      </c>
      <c r="AA842">
        <v>0.99268690000000004</v>
      </c>
      <c r="AB842">
        <v>35</v>
      </c>
      <c r="AC842">
        <v>0.57519999999999505</v>
      </c>
      <c r="AD842">
        <v>-7.2681999999999899E-2</v>
      </c>
      <c r="AE842">
        <v>-9.1299999999989695E-2</v>
      </c>
      <c r="AF842">
        <v>9.2502151394674298E-2</v>
      </c>
      <c r="AG842">
        <v>-7.2681999999999899E-2</v>
      </c>
      <c r="AH842">
        <v>0.56595983137603501</v>
      </c>
      <c r="AI842">
        <v>97.2232038553623</v>
      </c>
      <c r="AJ842">
        <v>80.717483833695198</v>
      </c>
      <c r="AK842">
        <v>0.57805696247673799</v>
      </c>
    </row>
    <row r="843" spans="1:37" x14ac:dyDescent="0.2">
      <c r="A843" t="str">
        <f>"20200111153625220"</f>
        <v>20200111153625220</v>
      </c>
      <c r="B843" t="str">
        <f>"1578728185213789"</f>
        <v>1578728185213789</v>
      </c>
      <c r="C843" t="s">
        <v>37</v>
      </c>
      <c r="D843">
        <v>6.1408160000000001</v>
      </c>
      <c r="E843">
        <v>0.56472900000000004</v>
      </c>
      <c r="F843" t="s">
        <v>38</v>
      </c>
      <c r="G843">
        <v>-262.97460000000001</v>
      </c>
      <c r="H843">
        <v>1.020659</v>
      </c>
      <c r="I843">
        <v>366.97719999999998</v>
      </c>
      <c r="J843">
        <v>-263.6671</v>
      </c>
      <c r="K843">
        <v>1.104595</v>
      </c>
      <c r="L843">
        <v>367.08249999999998</v>
      </c>
      <c r="M843">
        <v>0.99990080000000003</v>
      </c>
      <c r="N843">
        <v>0</v>
      </c>
      <c r="O843">
        <v>4.62276099999999E-3</v>
      </c>
      <c r="P843">
        <v>0.99701479999999998</v>
      </c>
      <c r="Q843">
        <v>5.5306019999999997E-2</v>
      </c>
      <c r="R843">
        <v>5.3876350000000003E-2</v>
      </c>
      <c r="S843">
        <v>3.044495</v>
      </c>
      <c r="T843">
        <v>-0.28872140000000002</v>
      </c>
      <c r="U843">
        <v>-0.35806270000000001</v>
      </c>
      <c r="V843">
        <v>-4.9272410000000003E-2</v>
      </c>
      <c r="W843">
        <v>6.8560949999999996E-2</v>
      </c>
      <c r="X843">
        <v>0.99642940000000002</v>
      </c>
      <c r="Y843">
        <v>0.1208398</v>
      </c>
      <c r="Z843">
        <v>-6.1335169999999998E-3</v>
      </c>
      <c r="AA843">
        <v>0.99265309999999995</v>
      </c>
      <c r="AB843">
        <v>35</v>
      </c>
      <c r="AC843">
        <v>0.69249999999999501</v>
      </c>
      <c r="AD843">
        <v>-8.3935999999999997E-2</v>
      </c>
      <c r="AE843">
        <v>-0.10529999999999901</v>
      </c>
      <c r="AF843">
        <v>0.106964497202754</v>
      </c>
      <c r="AG843">
        <v>-8.3935999999999997E-2</v>
      </c>
      <c r="AH843">
        <v>0.68220980375579299</v>
      </c>
      <c r="AI843">
        <v>96.930331526831907</v>
      </c>
      <c r="AJ843">
        <v>81.0890735953827</v>
      </c>
      <c r="AK843">
        <v>0.69562696332039597</v>
      </c>
    </row>
    <row r="844" spans="1:37" x14ac:dyDescent="0.2">
      <c r="A844" t="str">
        <f>"20200111153625233"</f>
        <v>20200111153625233</v>
      </c>
      <c r="B844" t="str">
        <f>"1578728185223548"</f>
        <v>1578728185223548</v>
      </c>
      <c r="C844" t="s">
        <v>37</v>
      </c>
      <c r="D844">
        <v>6.151586</v>
      </c>
      <c r="E844">
        <v>0.564774</v>
      </c>
      <c r="F844" t="s">
        <v>38</v>
      </c>
      <c r="G844">
        <v>-262.66480000000001</v>
      </c>
      <c r="H844">
        <v>1.009263</v>
      </c>
      <c r="I844">
        <v>366.96469999999999</v>
      </c>
      <c r="J844">
        <v>-263.45870000000002</v>
      </c>
      <c r="K844">
        <v>1.104609</v>
      </c>
      <c r="L844">
        <v>367.08350000000002</v>
      </c>
      <c r="M844">
        <v>0.99990000000000001</v>
      </c>
      <c r="N844">
        <v>0</v>
      </c>
      <c r="O844">
        <v>4.651985E-3</v>
      </c>
      <c r="P844">
        <v>0.99703779999999997</v>
      </c>
      <c r="Q844">
        <v>5.4574930000000001E-2</v>
      </c>
      <c r="R844">
        <v>5.4200440000000003E-2</v>
      </c>
      <c r="S844">
        <v>3.04437299999999</v>
      </c>
      <c r="T844">
        <v>-0.28970809999999902</v>
      </c>
      <c r="U844">
        <v>-0.35736079999999998</v>
      </c>
      <c r="V844">
        <v>-4.956692E-2</v>
      </c>
      <c r="W844">
        <v>6.7888290000000004E-2</v>
      </c>
      <c r="X844">
        <v>0.99646089999999998</v>
      </c>
      <c r="Y844">
        <v>0.1206446</v>
      </c>
      <c r="Z844">
        <v>-6.1482400000000001E-3</v>
      </c>
      <c r="AA844">
        <v>0.99267669999999997</v>
      </c>
      <c r="AB844">
        <v>35</v>
      </c>
      <c r="AC844">
        <v>0.79390000000000704</v>
      </c>
      <c r="AD844">
        <v>-9.5345999999999903E-2</v>
      </c>
      <c r="AE844">
        <v>-0.118800000000021</v>
      </c>
      <c r="AF844">
        <v>0.120788212621759</v>
      </c>
      <c r="AG844">
        <v>-9.5345999999999903E-2</v>
      </c>
      <c r="AH844">
        <v>0.782302230211945</v>
      </c>
      <c r="AI844">
        <v>96.868269538872397</v>
      </c>
      <c r="AJ844">
        <v>81.222787457800806</v>
      </c>
      <c r="AK844">
        <v>0.79729381749700201</v>
      </c>
    </row>
    <row r="845" spans="1:37" x14ac:dyDescent="0.2">
      <c r="A845" t="str">
        <f>"20200111153625246"</f>
        <v>20200111153625246</v>
      </c>
      <c r="B845" t="str">
        <f>"1578728185244044"</f>
        <v>1578728185244044</v>
      </c>
      <c r="C845" t="s">
        <v>37</v>
      </c>
      <c r="D845">
        <v>6.2449110000000001</v>
      </c>
      <c r="E845">
        <v>0.56471079999999996</v>
      </c>
      <c r="F845" t="s">
        <v>38</v>
      </c>
      <c r="G845">
        <v>-262.65620000000001</v>
      </c>
      <c r="H845">
        <v>1.0278240000000001</v>
      </c>
      <c r="I845">
        <v>366.98930000000001</v>
      </c>
      <c r="J845">
        <v>-263.25760000000002</v>
      </c>
      <c r="K845">
        <v>1.104617</v>
      </c>
      <c r="L845">
        <v>367.08449999999999</v>
      </c>
      <c r="M845">
        <v>0.99989910000000004</v>
      </c>
      <c r="N845">
        <v>0</v>
      </c>
      <c r="O845">
        <v>4.6806699999999996E-3</v>
      </c>
      <c r="P845">
        <v>0.99705820000000001</v>
      </c>
      <c r="Q845">
        <v>5.3892589999999997E-2</v>
      </c>
      <c r="R845">
        <v>5.4504549999999999E-2</v>
      </c>
      <c r="S845">
        <v>3.0442809999999998</v>
      </c>
      <c r="T845">
        <v>-0.2914233</v>
      </c>
      <c r="U845">
        <v>-0.35678100000000001</v>
      </c>
      <c r="V845">
        <v>-4.9842230000000001E-2</v>
      </c>
      <c r="W845">
        <v>6.7265060000000002E-2</v>
      </c>
      <c r="X845">
        <v>0.99648939999999997</v>
      </c>
      <c r="Y845">
        <v>0.12048389999999901</v>
      </c>
      <c r="Z845">
        <v>-6.1798139999999996E-3</v>
      </c>
      <c r="AA845">
        <v>0.99269599999999902</v>
      </c>
      <c r="AB845">
        <v>35</v>
      </c>
      <c r="AC845">
        <v>0.60140000000001204</v>
      </c>
      <c r="AD845">
        <v>-7.6792999999999806E-2</v>
      </c>
      <c r="AE845">
        <v>-9.5199999999976997E-2</v>
      </c>
      <c r="AF845">
        <v>9.6479536900251003E-2</v>
      </c>
      <c r="AG845">
        <v>-7.6792999999999806E-2</v>
      </c>
      <c r="AH845">
        <v>0.59153860651567303</v>
      </c>
      <c r="AI845">
        <v>97.301304901722006</v>
      </c>
      <c r="AJ845">
        <v>80.736662565646199</v>
      </c>
      <c r="AK845">
        <v>0.60425440742123704</v>
      </c>
    </row>
    <row r="846" spans="1:37" x14ac:dyDescent="0.2">
      <c r="A846" t="str">
        <f>"20200111153625262"</f>
        <v>20200111153625262</v>
      </c>
      <c r="B846" t="str">
        <f>"1578728185253806"</f>
        <v>1578728185253806</v>
      </c>
      <c r="C846" t="s">
        <v>37</v>
      </c>
      <c r="D846">
        <v>6.4362149999999998</v>
      </c>
      <c r="E846">
        <v>0.56456240000000002</v>
      </c>
      <c r="F846" t="s">
        <v>38</v>
      </c>
      <c r="G846">
        <v>-262.34629999999999</v>
      </c>
      <c r="H846">
        <v>1.0172749999999999</v>
      </c>
      <c r="I846">
        <v>366.97809999999998</v>
      </c>
      <c r="J846">
        <v>-263.0179</v>
      </c>
      <c r="K846">
        <v>1.104627</v>
      </c>
      <c r="L846">
        <v>367.0856</v>
      </c>
      <c r="M846">
        <v>0.99989799999999995</v>
      </c>
      <c r="N846">
        <v>0</v>
      </c>
      <c r="O846">
        <v>4.7148049999999999E-3</v>
      </c>
      <c r="P846">
        <v>0.99708739999999996</v>
      </c>
      <c r="Q846">
        <v>5.2504490000000001E-2</v>
      </c>
      <c r="R846">
        <v>5.531614E-2</v>
      </c>
      <c r="S846">
        <v>3.0440369999999999</v>
      </c>
      <c r="T846">
        <v>-0.29171059999999999</v>
      </c>
      <c r="U846">
        <v>-0.355224599999999</v>
      </c>
      <c r="V846">
        <v>-5.0619289999999997E-2</v>
      </c>
      <c r="W846">
        <v>6.5949530000000006E-2</v>
      </c>
      <c r="X846">
        <v>0.99653819999999904</v>
      </c>
      <c r="Y846">
        <v>0.12002699999999999</v>
      </c>
      <c r="Z846">
        <v>-6.1680329999999998E-3</v>
      </c>
      <c r="AA846">
        <v>0.99275149999999901</v>
      </c>
      <c r="AB846">
        <v>35</v>
      </c>
      <c r="AC846">
        <v>0.67160000000001197</v>
      </c>
      <c r="AD846">
        <v>-8.7352000000000096E-2</v>
      </c>
      <c r="AE846">
        <v>-0.107500000000015</v>
      </c>
      <c r="AF846">
        <v>0.10886980980899599</v>
      </c>
      <c r="AG846">
        <v>-8.7352000000000096E-2</v>
      </c>
      <c r="AH846">
        <v>0.660196085064646</v>
      </c>
      <c r="AI846">
        <v>97.437845548721995</v>
      </c>
      <c r="AJ846">
        <v>80.635899087636005</v>
      </c>
      <c r="AK846">
        <v>0.67479024750401695</v>
      </c>
    </row>
    <row r="847" spans="1:37" x14ac:dyDescent="0.2">
      <c r="A847" t="str">
        <f>"20200111153625275"</f>
        <v>20200111153625275</v>
      </c>
      <c r="B847" t="str">
        <f>"1578728185263569"</f>
        <v>1578728185263569</v>
      </c>
      <c r="C847" t="s">
        <v>37</v>
      </c>
      <c r="D847">
        <v>6.1289829999999998</v>
      </c>
      <c r="E847">
        <v>0.56461609999999995</v>
      </c>
      <c r="F847" t="s">
        <v>38</v>
      </c>
      <c r="G847">
        <v>-262.03550000000001</v>
      </c>
      <c r="H847">
        <v>1.009412</v>
      </c>
      <c r="I847">
        <v>366.97210000000001</v>
      </c>
      <c r="J847">
        <v>-262.80110000000002</v>
      </c>
      <c r="K847">
        <v>1.1046370000000001</v>
      </c>
      <c r="L847">
        <v>367.08670000000001</v>
      </c>
      <c r="M847">
        <v>0.99989689999999998</v>
      </c>
      <c r="N847">
        <v>0</v>
      </c>
      <c r="O847">
        <v>4.7452809999999996E-3</v>
      </c>
      <c r="P847">
        <v>0.9971023</v>
      </c>
      <c r="Q847">
        <v>5.1735360000000001E-2</v>
      </c>
      <c r="R847">
        <v>5.5772179999999998E-2</v>
      </c>
      <c r="S847">
        <v>3.0438540000000001</v>
      </c>
      <c r="T847">
        <v>-0.2951937</v>
      </c>
      <c r="U847">
        <v>-0.35128779999999998</v>
      </c>
      <c r="V847">
        <v>-5.104504E-2</v>
      </c>
      <c r="W847">
        <v>6.5247239999999998E-2</v>
      </c>
      <c r="X847">
        <v>0.99656270000000002</v>
      </c>
      <c r="Y847">
        <v>0.11878900000000001</v>
      </c>
      <c r="Z847">
        <v>-6.185421E-3</v>
      </c>
      <c r="AA847">
        <v>0.99290029999999996</v>
      </c>
      <c r="AB847">
        <v>35</v>
      </c>
      <c r="AC847">
        <v>0.76560000000000605</v>
      </c>
      <c r="AD847">
        <v>-9.5225000000000101E-2</v>
      </c>
      <c r="AE847">
        <v>-0.114599999999995</v>
      </c>
      <c r="AF847">
        <v>0.116469698613918</v>
      </c>
      <c r="AG847">
        <v>-9.5225000000000101E-2</v>
      </c>
      <c r="AH847">
        <v>0.75364394725760597</v>
      </c>
      <c r="AI847">
        <v>97.117705638559599</v>
      </c>
      <c r="AJ847">
        <v>81.214890458862996</v>
      </c>
      <c r="AK847">
        <v>0.76851297357835302</v>
      </c>
    </row>
    <row r="848" spans="1:37" x14ac:dyDescent="0.2">
      <c r="A848" t="str">
        <f>"20200111153625289"</f>
        <v>20200111153625289</v>
      </c>
      <c r="B848" t="str">
        <f>"1578728185284065"</f>
        <v>1578728185284065</v>
      </c>
      <c r="C848" t="s">
        <v>37</v>
      </c>
      <c r="D848">
        <v>6.1536089999999897</v>
      </c>
      <c r="E848">
        <v>0.56469609999999903</v>
      </c>
      <c r="F848" t="s">
        <v>38</v>
      </c>
      <c r="G848">
        <v>-262.02629999999999</v>
      </c>
      <c r="H848">
        <v>1.0291059999999901</v>
      </c>
      <c r="I848">
        <v>366.9973</v>
      </c>
      <c r="J848">
        <v>-262.59019999999998</v>
      </c>
      <c r="K848">
        <v>1.1046469999999999</v>
      </c>
      <c r="L848">
        <v>367.08769999999998</v>
      </c>
      <c r="M848">
        <v>0.99989599999999901</v>
      </c>
      <c r="N848">
        <v>0</v>
      </c>
      <c r="O848">
        <v>4.7749899999999998E-3</v>
      </c>
      <c r="P848">
        <v>0.99708829999999904</v>
      </c>
      <c r="Q848">
        <v>5.135145E-2</v>
      </c>
      <c r="R848">
        <v>5.6377570000000002E-2</v>
      </c>
      <c r="S848">
        <v>3.0437319999999999</v>
      </c>
      <c r="T848">
        <v>-0.29691840000000003</v>
      </c>
      <c r="U848">
        <v>-0.35055540000000002</v>
      </c>
      <c r="V848">
        <v>-5.1621090000000001E-2</v>
      </c>
      <c r="W848">
        <v>6.4929390000000003E-2</v>
      </c>
      <c r="X848">
        <v>0.99655380000000005</v>
      </c>
      <c r="Y848">
        <v>0.1185813</v>
      </c>
      <c r="Z848">
        <v>-6.2145339999999999E-3</v>
      </c>
      <c r="AA848">
        <v>0.9929249</v>
      </c>
      <c r="AB848">
        <v>35</v>
      </c>
      <c r="AC848">
        <v>0.56389999999998897</v>
      </c>
      <c r="AD848">
        <v>-7.5540999999999997E-2</v>
      </c>
      <c r="AE848">
        <v>-9.0399999999988198E-2</v>
      </c>
      <c r="AF848">
        <v>9.1491099217805599E-2</v>
      </c>
      <c r="AG848">
        <v>-7.5540999999999997E-2</v>
      </c>
      <c r="AH848">
        <v>0.55377301040582605</v>
      </c>
      <c r="AI848">
        <v>97.665208592695095</v>
      </c>
      <c r="AJ848">
        <v>80.618674443842593</v>
      </c>
      <c r="AK848">
        <v>0.56634054328735195</v>
      </c>
    </row>
    <row r="849" spans="1:37" x14ac:dyDescent="0.2">
      <c r="A849" t="str">
        <f>"20200111153625302"</f>
        <v>20200111153625302</v>
      </c>
      <c r="B849" t="str">
        <f>"1578728185293824"</f>
        <v>1578728185293824</v>
      </c>
      <c r="C849" t="s">
        <v>37</v>
      </c>
      <c r="D849">
        <v>6.1585890000000001</v>
      </c>
      <c r="E849">
        <v>0.56472650000000002</v>
      </c>
      <c r="F849" t="s">
        <v>38</v>
      </c>
      <c r="G849">
        <v>-261.71660000000003</v>
      </c>
      <c r="H849">
        <v>1.01956</v>
      </c>
      <c r="I849">
        <v>366.98739999999998</v>
      </c>
      <c r="J849">
        <v>-262.38459999999998</v>
      </c>
      <c r="K849">
        <v>1.1046579999999999</v>
      </c>
      <c r="L849">
        <v>367.08870000000002</v>
      </c>
      <c r="M849">
        <v>0.99989490000000003</v>
      </c>
      <c r="N849">
        <v>0</v>
      </c>
      <c r="O849">
        <v>4.8039340000000002E-3</v>
      </c>
      <c r="P849">
        <v>0.99709300000000001</v>
      </c>
      <c r="Q849">
        <v>5.0578749999999999E-2</v>
      </c>
      <c r="R849">
        <v>5.69852E-2</v>
      </c>
      <c r="S849">
        <v>3.043793</v>
      </c>
      <c r="T849">
        <v>-0.29649039999999999</v>
      </c>
      <c r="U849">
        <v>-0.34924319999999998</v>
      </c>
      <c r="V849">
        <v>-5.2199410000000002E-2</v>
      </c>
      <c r="W849">
        <v>6.4222280000000007E-2</v>
      </c>
      <c r="X849">
        <v>0.9965695</v>
      </c>
      <c r="Y849">
        <v>0.11818859999999901</v>
      </c>
      <c r="Z849">
        <v>-6.1894319999999999E-3</v>
      </c>
      <c r="AA849">
        <v>0.99297190000000002</v>
      </c>
      <c r="AB849">
        <v>35</v>
      </c>
      <c r="AC849">
        <v>0.66799999999994897</v>
      </c>
      <c r="AD849">
        <v>-8.5097999999999896E-2</v>
      </c>
      <c r="AE849">
        <v>-0.101300000000037</v>
      </c>
      <c r="AF849">
        <v>0.102876136401704</v>
      </c>
      <c r="AG849">
        <v>-8.5097999999999896E-2</v>
      </c>
      <c r="AH849">
        <v>0.65708169044756104</v>
      </c>
      <c r="AI849">
        <v>97.291394808189096</v>
      </c>
      <c r="AJ849">
        <v>81.101711607567793</v>
      </c>
      <c r="AK849">
        <v>0.67050840186113003</v>
      </c>
    </row>
    <row r="850" spans="1:37" x14ac:dyDescent="0.2">
      <c r="A850" t="str">
        <f>"20200111153625317"</f>
        <v>20200111153625317</v>
      </c>
      <c r="B850" t="str">
        <f>"1578728185313344"</f>
        <v>1578728185313344</v>
      </c>
      <c r="C850" t="s">
        <v>37</v>
      </c>
      <c r="D850">
        <v>6.1638199999999896</v>
      </c>
      <c r="E850">
        <v>0.56478329999999999</v>
      </c>
      <c r="F850" t="s">
        <v>38</v>
      </c>
      <c r="G850">
        <v>-261.40780000000001</v>
      </c>
      <c r="H850">
        <v>1.0091319999999999</v>
      </c>
      <c r="I850">
        <v>366.97669999999999</v>
      </c>
      <c r="J850">
        <v>-262.15030000000002</v>
      </c>
      <c r="K850">
        <v>1.1046719999999901</v>
      </c>
      <c r="L850">
        <v>367.0899</v>
      </c>
      <c r="M850">
        <v>0.99989380000000005</v>
      </c>
      <c r="N850">
        <v>0</v>
      </c>
      <c r="O850">
        <v>4.8369279999999999E-3</v>
      </c>
      <c r="P850">
        <v>0.997079099999999</v>
      </c>
      <c r="Q850">
        <v>4.997948E-2</v>
      </c>
      <c r="R850">
        <v>5.7755019999999997E-2</v>
      </c>
      <c r="S850">
        <v>3.0437319999999999</v>
      </c>
      <c r="T850">
        <v>-0.2979058</v>
      </c>
      <c r="U850">
        <v>-0.34796139999999998</v>
      </c>
      <c r="V850">
        <v>-5.2936320000000002E-2</v>
      </c>
      <c r="W850">
        <v>6.3695970000000005E-2</v>
      </c>
      <c r="X850">
        <v>0.99656440000000002</v>
      </c>
      <c r="Y850">
        <v>0.117807</v>
      </c>
      <c r="Z850">
        <v>-6.2037530000000002E-3</v>
      </c>
      <c r="AA850">
        <v>0.99301709999999999</v>
      </c>
      <c r="AB850">
        <v>35</v>
      </c>
      <c r="AC850">
        <v>0.74250000000000604</v>
      </c>
      <c r="AD850">
        <v>-9.5539999999999903E-2</v>
      </c>
      <c r="AE850">
        <v>-0.113200000000006</v>
      </c>
      <c r="AF850">
        <v>0.114930768180218</v>
      </c>
      <c r="AG850">
        <v>-9.5539999999999903E-2</v>
      </c>
      <c r="AH850">
        <v>0.73012967615304503</v>
      </c>
      <c r="AI850">
        <v>97.365316445761906</v>
      </c>
      <c r="AJ850">
        <v>81.054392360098902</v>
      </c>
      <c r="AK850">
        <v>0.74526929164822397</v>
      </c>
    </row>
    <row r="851" spans="1:37" x14ac:dyDescent="0.2">
      <c r="A851" t="str">
        <f>"20200111153625330"</f>
        <v>20200111153625330</v>
      </c>
      <c r="B851" t="str">
        <f>"1578728185324081"</f>
        <v>1578728185324081</v>
      </c>
      <c r="C851" t="s">
        <v>37</v>
      </c>
      <c r="D851">
        <v>6.1261729999999996</v>
      </c>
      <c r="E851">
        <v>0.56484209999999901</v>
      </c>
      <c r="F851" t="s">
        <v>38</v>
      </c>
      <c r="G851">
        <v>-261.3974</v>
      </c>
      <c r="H851">
        <v>1.0311159999999999</v>
      </c>
      <c r="I851">
        <v>367.00389999999999</v>
      </c>
      <c r="J851">
        <v>-261.9314</v>
      </c>
      <c r="K851">
        <v>1.1046849999999999</v>
      </c>
      <c r="L851">
        <v>367.09100000000001</v>
      </c>
      <c r="M851">
        <v>0.99989249999999996</v>
      </c>
      <c r="N851">
        <v>0</v>
      </c>
      <c r="O851">
        <v>4.8682409999999997E-3</v>
      </c>
      <c r="P851">
        <v>0.99705739999999998</v>
      </c>
      <c r="Q851">
        <v>4.9980150000000001E-2</v>
      </c>
      <c r="R851">
        <v>5.8126039999999997E-2</v>
      </c>
      <c r="S851">
        <v>3.043793</v>
      </c>
      <c r="T851">
        <v>-0.29771069999999999</v>
      </c>
      <c r="U851">
        <v>-0.34649659999999999</v>
      </c>
      <c r="V851">
        <v>-5.3276329999999997E-2</v>
      </c>
      <c r="W851">
        <v>6.3761170000000006E-2</v>
      </c>
      <c r="X851">
        <v>0.99654209999999999</v>
      </c>
      <c r="Y851">
        <v>0.11736679999999999</v>
      </c>
      <c r="Z851">
        <v>-6.1813900000000001E-3</v>
      </c>
      <c r="AA851">
        <v>0.99306939999999999</v>
      </c>
      <c r="AB851">
        <v>35</v>
      </c>
      <c r="AC851">
        <v>0.53399999999999104</v>
      </c>
      <c r="AD851">
        <v>-7.3569000000000204E-2</v>
      </c>
      <c r="AE851">
        <v>-8.71000000000208E-2</v>
      </c>
      <c r="AF851">
        <v>8.8070555634890496E-2</v>
      </c>
      <c r="AG851">
        <v>-7.3569000000000204E-2</v>
      </c>
      <c r="AH851">
        <v>0.52388372906111902</v>
      </c>
      <c r="AI851">
        <v>97.884556303871094</v>
      </c>
      <c r="AJ851">
        <v>80.457185683123697</v>
      </c>
      <c r="AK851">
        <v>0.53630493388167</v>
      </c>
    </row>
    <row r="852" spans="1:37" x14ac:dyDescent="0.2">
      <c r="A852" t="str">
        <f>"20200111153625344"</f>
        <v>20200111153625344</v>
      </c>
      <c r="B852" t="str">
        <f>"1578728185333841"</f>
        <v>1578728185333841</v>
      </c>
      <c r="C852" t="s">
        <v>37</v>
      </c>
      <c r="D852">
        <v>6.1282940000000004</v>
      </c>
      <c r="E852">
        <v>0.56489409999999995</v>
      </c>
      <c r="F852" t="s">
        <v>38</v>
      </c>
      <c r="G852">
        <v>-261.0881</v>
      </c>
      <c r="H852">
        <v>1.02244</v>
      </c>
      <c r="I852">
        <v>366.99520000000001</v>
      </c>
      <c r="J852">
        <v>-261.72120000000001</v>
      </c>
      <c r="K852">
        <v>1.1046989999999901</v>
      </c>
      <c r="L852">
        <v>367.09199999999998</v>
      </c>
      <c r="M852">
        <v>0.99989150000000004</v>
      </c>
      <c r="N852">
        <v>0</v>
      </c>
      <c r="O852">
        <v>4.8982749999999997E-3</v>
      </c>
      <c r="P852">
        <v>0.99706079999999997</v>
      </c>
      <c r="Q852">
        <v>4.994407E-2</v>
      </c>
      <c r="R852">
        <v>5.8099520000000002E-2</v>
      </c>
      <c r="S852">
        <v>3.0439150000000001</v>
      </c>
      <c r="T852">
        <v>-0.29689559999999998</v>
      </c>
      <c r="U852">
        <v>-0.34588619999999998</v>
      </c>
      <c r="V852">
        <v>-5.3219700000000002E-2</v>
      </c>
      <c r="W852">
        <v>6.3786399999999993E-2</v>
      </c>
      <c r="X852">
        <v>0.99654349999999903</v>
      </c>
      <c r="Y852">
        <v>0.1171994</v>
      </c>
      <c r="Z852">
        <v>-6.1591659999999998E-3</v>
      </c>
      <c r="AA852">
        <v>0.99308929999999995</v>
      </c>
      <c r="AB852">
        <v>35</v>
      </c>
      <c r="AC852">
        <v>0.63310000000001299</v>
      </c>
      <c r="AD852">
        <v>-8.2258999999999804E-2</v>
      </c>
      <c r="AE852">
        <v>-9.6799999999973296E-2</v>
      </c>
      <c r="AF852">
        <v>9.8278997253920503E-2</v>
      </c>
      <c r="AG852">
        <v>-8.2258999999999804E-2</v>
      </c>
      <c r="AH852">
        <v>0.62235171286481294</v>
      </c>
      <c r="AI852">
        <v>97.438271623608003</v>
      </c>
      <c r="AJ852">
        <v>81.026211306738702</v>
      </c>
      <c r="AK852">
        <v>0.63541085833341204</v>
      </c>
    </row>
    <row r="853" spans="1:37" x14ac:dyDescent="0.2">
      <c r="A853" t="str">
        <f>"20200111153625358"</f>
        <v>20200111153625358</v>
      </c>
      <c r="B853" t="str">
        <f>"1578728185353361"</f>
        <v>1578728185353361</v>
      </c>
      <c r="C853" t="s">
        <v>37</v>
      </c>
      <c r="D853">
        <v>6.1379239999999999</v>
      </c>
      <c r="E853">
        <v>0.565061699999999</v>
      </c>
      <c r="F853" t="s">
        <v>38</v>
      </c>
      <c r="G853">
        <v>-260.77940000000001</v>
      </c>
      <c r="H853">
        <v>1.013117</v>
      </c>
      <c r="I853">
        <v>366.98439999999999</v>
      </c>
      <c r="J853">
        <v>-261.50540000000001</v>
      </c>
      <c r="K853">
        <v>1.1047129999999901</v>
      </c>
      <c r="L853">
        <v>367.09309999999999</v>
      </c>
      <c r="M853">
        <v>0.99989059999999896</v>
      </c>
      <c r="N853">
        <v>0</v>
      </c>
      <c r="O853">
        <v>4.928796E-3</v>
      </c>
      <c r="P853">
        <v>0.99706600000000001</v>
      </c>
      <c r="Q853">
        <v>4.9805210000000003E-2</v>
      </c>
      <c r="R853">
        <v>5.8130859999999999E-2</v>
      </c>
      <c r="S853">
        <v>3.0438839999999998</v>
      </c>
      <c r="T853">
        <v>-0.29628719999999997</v>
      </c>
      <c r="U853">
        <v>-0.34671020000000002</v>
      </c>
      <c r="V853">
        <v>-5.322093E-2</v>
      </c>
      <c r="W853">
        <v>6.3706449999999998E-2</v>
      </c>
      <c r="X853">
        <v>0.99654849999999995</v>
      </c>
      <c r="Y853">
        <v>0.117497</v>
      </c>
      <c r="Z853">
        <v>-6.1639329999999999E-3</v>
      </c>
      <c r="AA853">
        <v>0.99305409999999905</v>
      </c>
      <c r="AB853">
        <v>35</v>
      </c>
      <c r="AC853">
        <v>0.72599999999999898</v>
      </c>
      <c r="AD853">
        <v>-9.1595999999999803E-2</v>
      </c>
      <c r="AE853">
        <v>-0.10869999999999801</v>
      </c>
      <c r="AF853">
        <v>0.110556121497525</v>
      </c>
      <c r="AG853">
        <v>-9.1595999999999803E-2</v>
      </c>
      <c r="AH853">
        <v>0.71433413477720598</v>
      </c>
      <c r="AI853">
        <v>97.221862073934702</v>
      </c>
      <c r="AJ853">
        <v>81.202243831271502</v>
      </c>
      <c r="AK853">
        <v>0.728619063245311</v>
      </c>
    </row>
    <row r="854" spans="1:37" x14ac:dyDescent="0.2">
      <c r="A854" t="str">
        <f>"20200111153625373"</f>
        <v>20200111153625373</v>
      </c>
      <c r="B854" t="str">
        <f>"1578728185363120"</f>
        <v>1578728185363120</v>
      </c>
      <c r="C854" t="s">
        <v>37</v>
      </c>
      <c r="D854">
        <v>6.1286449999999997</v>
      </c>
      <c r="E854">
        <v>0.56514039999999999</v>
      </c>
      <c r="F854" t="s">
        <v>38</v>
      </c>
      <c r="G854">
        <v>-260.76979999999998</v>
      </c>
      <c r="H854">
        <v>1.033444</v>
      </c>
      <c r="I854">
        <v>367.00880000000001</v>
      </c>
      <c r="J854">
        <v>-261.27699999999999</v>
      </c>
      <c r="K854">
        <v>1.104735</v>
      </c>
      <c r="L854">
        <v>367.09429999999998</v>
      </c>
      <c r="M854">
        <v>0.99988969999999899</v>
      </c>
      <c r="N854">
        <v>0</v>
      </c>
      <c r="O854">
        <v>4.960997E-3</v>
      </c>
      <c r="P854">
        <v>0.99707809999999897</v>
      </c>
      <c r="Q854">
        <v>4.9776220000000003E-2</v>
      </c>
      <c r="R854">
        <v>5.7947119999999998E-2</v>
      </c>
      <c r="S854">
        <v>3.0438540000000001</v>
      </c>
      <c r="T854">
        <v>-0.29527350000000002</v>
      </c>
      <c r="U854">
        <v>-0.3477478</v>
      </c>
      <c r="V854">
        <v>-5.3004620000000002E-2</v>
      </c>
      <c r="W854">
        <v>6.3734520000000003E-2</v>
      </c>
      <c r="X854">
        <v>0.99655830000000001</v>
      </c>
      <c r="Y854">
        <v>0.11786629999999999</v>
      </c>
      <c r="Z854">
        <v>-6.163806E-3</v>
      </c>
      <c r="AA854">
        <v>0.99301030000000001</v>
      </c>
      <c r="AB854">
        <v>35</v>
      </c>
      <c r="AC854">
        <v>0.50720000000001098</v>
      </c>
      <c r="AD854">
        <v>-7.1290999999999993E-2</v>
      </c>
      <c r="AE854">
        <v>-8.5499999999967699E-2</v>
      </c>
      <c r="AF854">
        <v>8.6356449385919506E-2</v>
      </c>
      <c r="AG854">
        <v>-7.1290999999999993E-2</v>
      </c>
      <c r="AH854">
        <v>0.49721768130259503</v>
      </c>
      <c r="AI854">
        <v>98.0406889081017</v>
      </c>
      <c r="AJ854">
        <v>80.147189492439296</v>
      </c>
      <c r="AK854">
        <v>0.50967172339798505</v>
      </c>
    </row>
    <row r="855" spans="1:37" x14ac:dyDescent="0.2">
      <c r="A855" t="str">
        <f>"20200111153625386"</f>
        <v>20200111153625386</v>
      </c>
      <c r="B855" t="str">
        <f>"1578728185383616"</f>
        <v>1578728185383616</v>
      </c>
      <c r="C855" t="s">
        <v>37</v>
      </c>
      <c r="D855">
        <v>6.1264320000000003</v>
      </c>
      <c r="E855">
        <v>0.56532720000000003</v>
      </c>
      <c r="F855" t="s">
        <v>38</v>
      </c>
      <c r="G855">
        <v>-260.46080000000001</v>
      </c>
      <c r="H855">
        <v>1.0258080000000001</v>
      </c>
      <c r="I855">
        <v>367.00060000000002</v>
      </c>
      <c r="J855">
        <v>-261.065</v>
      </c>
      <c r="K855">
        <v>1.1047499999999999</v>
      </c>
      <c r="L855">
        <v>367.09539999999998</v>
      </c>
      <c r="M855">
        <v>0.99988869999999896</v>
      </c>
      <c r="N855">
        <v>0</v>
      </c>
      <c r="O855">
        <v>4.9912799999999998E-3</v>
      </c>
      <c r="P855">
        <v>0.9970909</v>
      </c>
      <c r="Q855">
        <v>4.9517220000000001E-2</v>
      </c>
      <c r="R855">
        <v>5.7946879999999999E-2</v>
      </c>
      <c r="S855">
        <v>3.043793</v>
      </c>
      <c r="T855">
        <v>-0.29434369999999999</v>
      </c>
      <c r="U855">
        <v>-0.34942629999999902</v>
      </c>
      <c r="V855">
        <v>-5.2974430000000003E-2</v>
      </c>
      <c r="W855">
        <v>6.3525609999999996E-2</v>
      </c>
      <c r="X855">
        <v>0.99657320000000005</v>
      </c>
      <c r="Y855">
        <v>0.118439899999999</v>
      </c>
      <c r="Z855">
        <v>-6.1749090000000001E-3</v>
      </c>
      <c r="AA855">
        <v>0.99294199999999999</v>
      </c>
      <c r="AB855">
        <v>35</v>
      </c>
      <c r="AC855">
        <v>0.60419999999999097</v>
      </c>
      <c r="AD855">
        <v>-7.8941999999999804E-2</v>
      </c>
      <c r="AE855">
        <v>-9.4799999999963802E-2</v>
      </c>
      <c r="AF855">
        <v>9.6211892654387801E-2</v>
      </c>
      <c r="AG855">
        <v>-7.8941999999999804E-2</v>
      </c>
      <c r="AH855">
        <v>0.59382571099668602</v>
      </c>
      <c r="AI855">
        <v>97.476021396925304</v>
      </c>
      <c r="AJ855">
        <v>80.796886629729997</v>
      </c>
      <c r="AK855">
        <v>0.60672690948470298</v>
      </c>
    </row>
    <row r="856" spans="1:37" x14ac:dyDescent="0.2">
      <c r="A856" t="str">
        <f>"20200111153625400"</f>
        <v>20200111153625400</v>
      </c>
      <c r="B856" t="str">
        <f>"1578728185393376"</f>
        <v>1578728185393376</v>
      </c>
      <c r="C856" t="s">
        <v>37</v>
      </c>
      <c r="D856">
        <v>6.1531960000000003</v>
      </c>
      <c r="E856">
        <v>0.56543299999999996</v>
      </c>
      <c r="F856" t="s">
        <v>38</v>
      </c>
      <c r="G856">
        <v>-260.15280000000001</v>
      </c>
      <c r="H856">
        <v>1.0167029999999999</v>
      </c>
      <c r="I856">
        <v>366.98989999999998</v>
      </c>
      <c r="J856">
        <v>-260.86250000000001</v>
      </c>
      <c r="K856">
        <v>1.1047610000000001</v>
      </c>
      <c r="L856">
        <v>367.09640000000002</v>
      </c>
      <c r="M856">
        <v>0.9998882</v>
      </c>
      <c r="N856">
        <v>0</v>
      </c>
      <c r="O856">
        <v>5.0198650000000001E-3</v>
      </c>
      <c r="P856">
        <v>0.99711079999999996</v>
      </c>
      <c r="Q856">
        <v>4.9362110000000001E-2</v>
      </c>
      <c r="R856">
        <v>5.7738480000000002E-2</v>
      </c>
      <c r="S856">
        <v>3.0437319999999999</v>
      </c>
      <c r="T856">
        <v>-0.29401559999999999</v>
      </c>
      <c r="U856">
        <v>-0.35119629999999902</v>
      </c>
      <c r="V856">
        <v>-5.2737199999999998E-2</v>
      </c>
      <c r="W856">
        <v>6.3416639999999996E-2</v>
      </c>
      <c r="X856">
        <v>0.99659279999999995</v>
      </c>
      <c r="Y856">
        <v>0.119038799999999</v>
      </c>
      <c r="Z856">
        <v>-6.1994900000000002E-3</v>
      </c>
      <c r="AA856">
        <v>0.99287029999999998</v>
      </c>
      <c r="AB856">
        <v>35</v>
      </c>
      <c r="AC856">
        <v>0.709699999999997</v>
      </c>
      <c r="AD856">
        <v>-8.80579999999999E-2</v>
      </c>
      <c r="AE856">
        <v>-0.10650000000003899</v>
      </c>
      <c r="AF856">
        <v>0.108429074965414</v>
      </c>
      <c r="AG856">
        <v>-8.80579999999999E-2</v>
      </c>
      <c r="AH856">
        <v>0.69863753092140102</v>
      </c>
      <c r="AI856">
        <v>97.099704366066902</v>
      </c>
      <c r="AJ856">
        <v>81.178034587494494</v>
      </c>
      <c r="AK856">
        <v>0.712464367722209</v>
      </c>
    </row>
    <row r="857" spans="1:37" x14ac:dyDescent="0.2">
      <c r="A857" t="str">
        <f>"20200111153625417"</f>
        <v>20200111153625417</v>
      </c>
      <c r="B857" t="str">
        <f>"1578728185413873"</f>
        <v>1578728185413873</v>
      </c>
      <c r="C857" t="s">
        <v>37</v>
      </c>
      <c r="D857">
        <v>6.1276440000000001</v>
      </c>
      <c r="E857">
        <v>0.56563069999999904</v>
      </c>
      <c r="F857" t="s">
        <v>38</v>
      </c>
      <c r="G857">
        <v>-259.84550000000002</v>
      </c>
      <c r="H857">
        <v>1.0066409999999999</v>
      </c>
      <c r="I857">
        <v>366.9785</v>
      </c>
      <c r="J857">
        <v>-260.57639999999998</v>
      </c>
      <c r="K857">
        <v>1.104786</v>
      </c>
      <c r="L857">
        <v>367.09789999999998</v>
      </c>
      <c r="M857">
        <v>0.99988699999999997</v>
      </c>
      <c r="N857">
        <v>0</v>
      </c>
      <c r="O857">
        <v>5.0606409999999899E-3</v>
      </c>
      <c r="P857">
        <v>0.99710900000000002</v>
      </c>
      <c r="Q857">
        <v>4.9605389999999999E-2</v>
      </c>
      <c r="R857">
        <v>5.7559699999999998E-2</v>
      </c>
      <c r="S857">
        <v>3.0436709999999998</v>
      </c>
      <c r="T857">
        <v>-0.29364750000000001</v>
      </c>
      <c r="U857">
        <v>-0.35293579999999902</v>
      </c>
      <c r="V857">
        <v>-5.25175999999999E-2</v>
      </c>
      <c r="W857">
        <v>6.3717860000000001E-2</v>
      </c>
      <c r="X857">
        <v>0.9965851</v>
      </c>
      <c r="Y857">
        <v>0.11964</v>
      </c>
      <c r="Z857">
        <v>-6.2244359999999999E-3</v>
      </c>
      <c r="AA857">
        <v>0.99279789999999901</v>
      </c>
      <c r="AB857">
        <v>35</v>
      </c>
      <c r="AC857">
        <v>0.73089999999996202</v>
      </c>
      <c r="AD857">
        <v>-9.8145000000000093E-2</v>
      </c>
      <c r="AE857">
        <v>-0.11939999999998401</v>
      </c>
      <c r="AF857">
        <v>0.120973092472277</v>
      </c>
      <c r="AG857">
        <v>-9.8145000000000093E-2</v>
      </c>
      <c r="AH857">
        <v>0.71768215471503705</v>
      </c>
      <c r="AI857">
        <v>97.680030737197299</v>
      </c>
      <c r="AJ857">
        <v>80.432116507851006</v>
      </c>
      <c r="AK857">
        <v>0.73439403954806504</v>
      </c>
    </row>
    <row r="858" spans="1:37" x14ac:dyDescent="0.2">
      <c r="A858" t="str">
        <f>"20200111153625430"</f>
        <v>20200111153625430</v>
      </c>
      <c r="B858" t="str">
        <f>"1578728185423632"</f>
        <v>1578728185423632</v>
      </c>
      <c r="C858" t="s">
        <v>37</v>
      </c>
      <c r="D858">
        <v>6.1370110000000002</v>
      </c>
      <c r="E858">
        <v>0.56571269999999996</v>
      </c>
      <c r="F858" t="s">
        <v>38</v>
      </c>
      <c r="G858">
        <v>-259.8329</v>
      </c>
      <c r="H858">
        <v>1.0335259999999999</v>
      </c>
      <c r="I858">
        <v>367.0111</v>
      </c>
      <c r="J858">
        <v>-260.37740000000002</v>
      </c>
      <c r="K858">
        <v>1.104803</v>
      </c>
      <c r="L858">
        <v>367.09899999999999</v>
      </c>
      <c r="M858">
        <v>0.99988639999999995</v>
      </c>
      <c r="N858">
        <v>0</v>
      </c>
      <c r="O858">
        <v>5.0888130000000002E-3</v>
      </c>
      <c r="P858">
        <v>0.9971063</v>
      </c>
      <c r="Q858">
        <v>4.9524779999999997E-2</v>
      </c>
      <c r="R858">
        <v>5.7674610000000001E-2</v>
      </c>
      <c r="S858">
        <v>3.043701</v>
      </c>
      <c r="T858">
        <v>-0.29171819999999998</v>
      </c>
      <c r="U858">
        <v>-0.35525509999999999</v>
      </c>
      <c r="V858">
        <v>-5.2604709999999999E-2</v>
      </c>
      <c r="W858">
        <v>6.367362E-2</v>
      </c>
      <c r="X858">
        <v>0.99658329999999995</v>
      </c>
      <c r="Y858">
        <v>0.1204171</v>
      </c>
      <c r="Z858">
        <v>-6.2231109999999999E-3</v>
      </c>
      <c r="AA858">
        <v>0.99270389999999997</v>
      </c>
      <c r="AB858">
        <v>35</v>
      </c>
      <c r="AC858">
        <v>0.54450000000002696</v>
      </c>
      <c r="AD858">
        <v>-7.1276999999999993E-2</v>
      </c>
      <c r="AE858">
        <v>-8.78999999999905E-2</v>
      </c>
      <c r="AF858">
        <v>8.9180635849224796E-2</v>
      </c>
      <c r="AG858">
        <v>-7.1276999999999993E-2</v>
      </c>
      <c r="AH858">
        <v>0.53510899584676497</v>
      </c>
      <c r="AI858">
        <v>97.485143964358201</v>
      </c>
      <c r="AJ858">
        <v>80.538115011093197</v>
      </c>
      <c r="AK858">
        <v>0.54715192951830605</v>
      </c>
    </row>
    <row r="859" spans="1:37" x14ac:dyDescent="0.2">
      <c r="A859" t="str">
        <f>"20200111153625443"</f>
        <v>20200111153625443</v>
      </c>
      <c r="B859" t="str">
        <f>"1578728185433392"</f>
        <v>1578728185433392</v>
      </c>
      <c r="C859" t="s">
        <v>37</v>
      </c>
      <c r="D859">
        <v>6.1233309999999896</v>
      </c>
      <c r="E859">
        <v>0.56580529999999996</v>
      </c>
      <c r="F859" t="s">
        <v>38</v>
      </c>
      <c r="G859">
        <v>-259.52600000000001</v>
      </c>
      <c r="H859">
        <v>1.023417</v>
      </c>
      <c r="I859">
        <v>366.9991</v>
      </c>
      <c r="J859">
        <v>-260.18400000000003</v>
      </c>
      <c r="K859">
        <v>1.104816</v>
      </c>
      <c r="L859">
        <v>367.1</v>
      </c>
      <c r="M859">
        <v>0.99988569999999999</v>
      </c>
      <c r="N859">
        <v>0</v>
      </c>
      <c r="O859">
        <v>5.1162890000000004E-3</v>
      </c>
      <c r="P859">
        <v>0.99709169999999903</v>
      </c>
      <c r="Q859">
        <v>4.9642110000000003E-2</v>
      </c>
      <c r="R859">
        <v>5.7827160000000002E-2</v>
      </c>
      <c r="S859">
        <v>3.0437620000000001</v>
      </c>
      <c r="T859">
        <v>-0.29124270000000002</v>
      </c>
      <c r="U859">
        <v>-0.35577389999999998</v>
      </c>
      <c r="V859">
        <v>-5.2729650000000003E-2</v>
      </c>
      <c r="W859">
        <v>6.3823980000000002E-2</v>
      </c>
      <c r="X859">
        <v>0.99656710000000004</v>
      </c>
      <c r="Y859">
        <v>0.12060989999999901</v>
      </c>
      <c r="Z859">
        <v>-6.2246159999999997E-3</v>
      </c>
      <c r="AA859">
        <v>0.99268049999999997</v>
      </c>
      <c r="AB859">
        <v>35</v>
      </c>
      <c r="AC859">
        <v>0.65800000000001502</v>
      </c>
      <c r="AD859">
        <v>-8.1398999999999999E-2</v>
      </c>
      <c r="AE859">
        <v>-0.100900000000024</v>
      </c>
      <c r="AF859">
        <v>0.10272954992535401</v>
      </c>
      <c r="AG859">
        <v>-8.1398999999999999E-2</v>
      </c>
      <c r="AH859">
        <v>0.647789503711662</v>
      </c>
      <c r="AI859">
        <v>97.074558054030604</v>
      </c>
      <c r="AJ859">
        <v>80.988803148928099</v>
      </c>
      <c r="AK859">
        <v>0.66091633263815397</v>
      </c>
    </row>
    <row r="860" spans="1:37" x14ac:dyDescent="0.2">
      <c r="A860" t="str">
        <f>"20200111153625455"</f>
        <v>20200111153625455</v>
      </c>
      <c r="B860" t="str">
        <f>"1578728185443153"</f>
        <v>1578728185443153</v>
      </c>
      <c r="C860" t="s">
        <v>37</v>
      </c>
      <c r="D860">
        <v>6.1285040000000004</v>
      </c>
      <c r="E860">
        <v>0.56588819999999995</v>
      </c>
      <c r="F860" t="s">
        <v>38</v>
      </c>
      <c r="G860">
        <v>-259.21969999999999</v>
      </c>
      <c r="H860">
        <v>1.0129900000000001</v>
      </c>
      <c r="I860">
        <v>366.98689999999999</v>
      </c>
      <c r="J860">
        <v>-259.98970000000003</v>
      </c>
      <c r="K860">
        <v>1.1048279999999999</v>
      </c>
      <c r="L860">
        <v>367.101</v>
      </c>
      <c r="M860">
        <v>0.99988519999999903</v>
      </c>
      <c r="N860">
        <v>0</v>
      </c>
      <c r="O860">
        <v>5.143842E-3</v>
      </c>
      <c r="P860">
        <v>0.99704119999999996</v>
      </c>
      <c r="Q860">
        <v>4.9856919999999999E-2</v>
      </c>
      <c r="R860">
        <v>5.8506870000000002E-2</v>
      </c>
      <c r="S860">
        <v>3.0438230000000002</v>
      </c>
      <c r="T860">
        <v>-0.29001670000000002</v>
      </c>
      <c r="U860">
        <v>-0.35641479999999998</v>
      </c>
      <c r="V860">
        <v>-5.3381730000000002E-2</v>
      </c>
      <c r="W860">
        <v>6.4069059999999997E-2</v>
      </c>
      <c r="X860">
        <v>0.99651669999999903</v>
      </c>
      <c r="Y860">
        <v>0.1208448</v>
      </c>
      <c r="Z860">
        <v>-6.2120700000000001E-3</v>
      </c>
      <c r="AA860">
        <v>0.99265199999999998</v>
      </c>
      <c r="AB860">
        <v>35</v>
      </c>
      <c r="AC860">
        <v>0.77000000000003799</v>
      </c>
      <c r="AD860">
        <v>-9.1838000000000003E-2</v>
      </c>
      <c r="AE860">
        <v>-0.114100000000007</v>
      </c>
      <c r="AF860">
        <v>0.116438854975525</v>
      </c>
      <c r="AG860">
        <v>-9.1838000000000003E-2</v>
      </c>
      <c r="AH860">
        <v>0.75884000119565198</v>
      </c>
      <c r="AI860">
        <v>96.821542045993695</v>
      </c>
      <c r="AJ860">
        <v>81.276391593663703</v>
      </c>
      <c r="AK860">
        <v>0.77319491242934901</v>
      </c>
    </row>
    <row r="861" spans="1:37" x14ac:dyDescent="0.2">
      <c r="A861" t="str">
        <f>"20200111153625469"</f>
        <v>20200111153625469</v>
      </c>
      <c r="B861" t="str">
        <f>"1578728185463648"</f>
        <v>1578728185463648</v>
      </c>
      <c r="C861" t="s">
        <v>37</v>
      </c>
      <c r="D861">
        <v>6.1569750000000001</v>
      </c>
      <c r="E861">
        <v>0.56604860000000001</v>
      </c>
      <c r="F861" t="s">
        <v>38</v>
      </c>
      <c r="G861">
        <v>-259.21120000000002</v>
      </c>
      <c r="H861">
        <v>1.031042</v>
      </c>
      <c r="I861">
        <v>367.00990000000002</v>
      </c>
      <c r="J861">
        <v>-259.7808</v>
      </c>
      <c r="K861">
        <v>1.1048389999999999</v>
      </c>
      <c r="L861">
        <v>367.10219999999998</v>
      </c>
      <c r="M861">
        <v>0.99988449999999995</v>
      </c>
      <c r="N861">
        <v>0</v>
      </c>
      <c r="O861">
        <v>5.1735409999999898E-3</v>
      </c>
      <c r="P861">
        <v>0.99701609999999996</v>
      </c>
      <c r="Q861">
        <v>4.9655070000000003E-2</v>
      </c>
      <c r="R861">
        <v>5.910514E-2</v>
      </c>
      <c r="S861">
        <v>3.0441889999999998</v>
      </c>
      <c r="T861">
        <v>-0.28874329999999998</v>
      </c>
      <c r="U861">
        <v>-0.3553772</v>
      </c>
      <c r="V861">
        <v>-5.3951099999999898E-2</v>
      </c>
      <c r="W861">
        <v>6.389678E-2</v>
      </c>
      <c r="X861">
        <v>0.99649709999999903</v>
      </c>
      <c r="Y861">
        <v>0.120532999999999</v>
      </c>
      <c r="Z861">
        <v>-6.1723960000000001E-3</v>
      </c>
      <c r="AA861">
        <v>0.99269010000000002</v>
      </c>
      <c r="AB861">
        <v>35</v>
      </c>
      <c r="AC861">
        <v>0.56959999999997901</v>
      </c>
      <c r="AD861">
        <v>-7.3796999999999793E-2</v>
      </c>
      <c r="AE861">
        <v>-9.2299999999966006E-2</v>
      </c>
      <c r="AF861">
        <v>9.3713129238541401E-2</v>
      </c>
      <c r="AG861">
        <v>-7.3796999999999793E-2</v>
      </c>
      <c r="AH861">
        <v>0.55995608811485997</v>
      </c>
      <c r="AI861">
        <v>97.405950664249005</v>
      </c>
      <c r="AJ861">
        <v>80.499142364076704</v>
      </c>
      <c r="AK861">
        <v>0.57251984106891596</v>
      </c>
    </row>
    <row r="862" spans="1:37" x14ac:dyDescent="0.2">
      <c r="A862" t="str">
        <f>"20200111153625482"</f>
        <v>20200111153625482</v>
      </c>
      <c r="B862" t="str">
        <f>"1578728185473408"</f>
        <v>1578728185473408</v>
      </c>
      <c r="C862" t="s">
        <v>37</v>
      </c>
      <c r="D862">
        <v>6.1522699999999997</v>
      </c>
      <c r="E862">
        <v>0.56611800000000001</v>
      </c>
      <c r="F862" t="s">
        <v>38</v>
      </c>
      <c r="G862">
        <v>-258.90469999999999</v>
      </c>
      <c r="H862">
        <v>1.0219119999999999</v>
      </c>
      <c r="I862">
        <v>366.99979999999999</v>
      </c>
      <c r="J862">
        <v>-259.57799999999997</v>
      </c>
      <c r="K862">
        <v>1.104854</v>
      </c>
      <c r="L862">
        <v>367.10320000000002</v>
      </c>
      <c r="M862">
        <v>0.999884</v>
      </c>
      <c r="N862">
        <v>0</v>
      </c>
      <c r="O862">
        <v>5.2026040000000004E-3</v>
      </c>
      <c r="P862">
        <v>0.99700789999999995</v>
      </c>
      <c r="Q862">
        <v>4.9197629999999999E-2</v>
      </c>
      <c r="R862">
        <v>5.9625789999999998E-2</v>
      </c>
      <c r="S862">
        <v>3.04437299999999</v>
      </c>
      <c r="T862">
        <v>-0.28842099999999998</v>
      </c>
      <c r="U862">
        <v>-0.35476679999999999</v>
      </c>
      <c r="V862">
        <v>-5.4442959999999999E-2</v>
      </c>
      <c r="W862">
        <v>6.3467570000000001E-2</v>
      </c>
      <c r="X862">
        <v>0.99649779999999999</v>
      </c>
      <c r="Y862">
        <v>0.1203605</v>
      </c>
      <c r="Z862">
        <v>-6.1598579999999998E-3</v>
      </c>
      <c r="AA862">
        <v>0.99271109999999896</v>
      </c>
      <c r="AB862">
        <v>35</v>
      </c>
      <c r="AC862">
        <v>0.67329999999998302</v>
      </c>
      <c r="AD862">
        <v>-8.2941999999999794E-2</v>
      </c>
      <c r="AE862">
        <v>-0.103400000000021</v>
      </c>
      <c r="AF862">
        <v>0.10534015642252301</v>
      </c>
      <c r="AG862">
        <v>-8.2941999999999794E-2</v>
      </c>
      <c r="AH862">
        <v>0.66292471845655299</v>
      </c>
      <c r="AI862">
        <v>97.044046792102293</v>
      </c>
      <c r="AJ862">
        <v>80.971066191277401</v>
      </c>
      <c r="AK862">
        <v>0.67634688308575996</v>
      </c>
    </row>
    <row r="863" spans="1:37" x14ac:dyDescent="0.2">
      <c r="A863" t="str">
        <f>"20200111153625495"</f>
        <v>20200111153625495</v>
      </c>
      <c r="B863" t="str">
        <f>"1578728185483168"</f>
        <v>1578728185483168</v>
      </c>
      <c r="C863" t="s">
        <v>37</v>
      </c>
      <c r="D863">
        <v>6.1603159999999999</v>
      </c>
      <c r="E863">
        <v>0.56619609999999998</v>
      </c>
      <c r="F863" t="s">
        <v>38</v>
      </c>
      <c r="G863">
        <v>-258.59890000000001</v>
      </c>
      <c r="H863">
        <v>1.01186</v>
      </c>
      <c r="I863">
        <v>366.98930000000001</v>
      </c>
      <c r="J863">
        <v>-259.36739999999998</v>
      </c>
      <c r="K863">
        <v>1.104886</v>
      </c>
      <c r="L863">
        <v>367.1044</v>
      </c>
      <c r="M863">
        <v>0.99988349999999904</v>
      </c>
      <c r="N863">
        <v>0</v>
      </c>
      <c r="O863">
        <v>5.2323400000000003E-3</v>
      </c>
      <c r="P863">
        <v>0.99695579999999995</v>
      </c>
      <c r="Q863">
        <v>4.8777529999999999E-2</v>
      </c>
      <c r="R863">
        <v>6.0828599999999997E-2</v>
      </c>
      <c r="S863">
        <v>3.0444339999999999</v>
      </c>
      <c r="T863">
        <v>-0.28924060000000001</v>
      </c>
      <c r="U863">
        <v>-0.35382079999999999</v>
      </c>
      <c r="V863">
        <v>-5.5616079999999998E-2</v>
      </c>
      <c r="W863">
        <v>6.3072580000000003E-2</v>
      </c>
      <c r="X863">
        <v>0.99645810000000001</v>
      </c>
      <c r="Y863">
        <v>0.12008139999999901</v>
      </c>
      <c r="Z863">
        <v>-6.1668929999999997E-3</v>
      </c>
      <c r="AA863">
        <v>0.99274490000000004</v>
      </c>
      <c r="AB863">
        <v>35</v>
      </c>
      <c r="AC863">
        <v>0.76849999999995999</v>
      </c>
      <c r="AD863">
        <v>-9.3025999999999998E-2</v>
      </c>
      <c r="AE863">
        <v>-0.11509999999998401</v>
      </c>
      <c r="AF863">
        <v>0.11743686386885099</v>
      </c>
      <c r="AG863">
        <v>-9.3025999999999998E-2</v>
      </c>
      <c r="AH863">
        <v>0.75703781173321805</v>
      </c>
      <c r="AI863">
        <v>96.9234847606876</v>
      </c>
      <c r="AJ863">
        <v>81.182171706962606</v>
      </c>
      <c r="AK863">
        <v>0.77171983391977805</v>
      </c>
    </row>
    <row r="864" spans="1:37" x14ac:dyDescent="0.2">
      <c r="A864" t="str">
        <f>"20200111153625508"</f>
        <v>20200111153625508</v>
      </c>
      <c r="B864" t="str">
        <f>"1578728185503664"</f>
        <v>1578728185503664</v>
      </c>
      <c r="C864" t="s">
        <v>37</v>
      </c>
      <c r="D864">
        <v>6.1508859999999999</v>
      </c>
      <c r="E864">
        <v>0.56629960000000001</v>
      </c>
      <c r="F864" t="s">
        <v>38</v>
      </c>
      <c r="G864">
        <v>-258.58999999999997</v>
      </c>
      <c r="H864">
        <v>1.0309219999999999</v>
      </c>
      <c r="I864">
        <v>367.0147</v>
      </c>
      <c r="J864">
        <v>-259.16969999999998</v>
      </c>
      <c r="K864">
        <v>1.1049020000000001</v>
      </c>
      <c r="L864">
        <v>367.10539999999997</v>
      </c>
      <c r="M864">
        <v>0.99988299999999997</v>
      </c>
      <c r="N864">
        <v>0</v>
      </c>
      <c r="O864">
        <v>5.2602530000000003E-3</v>
      </c>
      <c r="P864">
        <v>0.99692309999999995</v>
      </c>
      <c r="Q864">
        <v>4.8635299999999999E-2</v>
      </c>
      <c r="R864">
        <v>6.1474550000000003E-2</v>
      </c>
      <c r="S864">
        <v>3.0447690000000001</v>
      </c>
      <c r="T864">
        <v>-0.28975269999999997</v>
      </c>
      <c r="U864">
        <v>-0.35104370000000001</v>
      </c>
      <c r="V864">
        <v>-5.6234199999999998E-2</v>
      </c>
      <c r="W864">
        <v>6.2951699999999999E-2</v>
      </c>
      <c r="X864">
        <v>0.99643110000000001</v>
      </c>
      <c r="Y864">
        <v>0.1192048</v>
      </c>
      <c r="Z864">
        <v>-6.1385759999999998E-3</v>
      </c>
      <c r="AA864">
        <v>0.99285069999999997</v>
      </c>
      <c r="AB864">
        <v>35</v>
      </c>
      <c r="AC864">
        <v>0.57970000000000199</v>
      </c>
      <c r="AD864">
        <v>-7.3980000000000101E-2</v>
      </c>
      <c r="AE864">
        <v>-9.0699999999969805E-2</v>
      </c>
      <c r="AF864">
        <v>9.2281418708435398E-2</v>
      </c>
      <c r="AG864">
        <v>-7.3980000000000101E-2</v>
      </c>
      <c r="AH864">
        <v>0.57015105993361004</v>
      </c>
      <c r="AI864">
        <v>97.299167199880998</v>
      </c>
      <c r="AJ864">
        <v>80.806159768473805</v>
      </c>
      <c r="AK864">
        <v>0.58228956008352095</v>
      </c>
    </row>
    <row r="865" spans="1:37" x14ac:dyDescent="0.2">
      <c r="A865" t="str">
        <f>"20200111153625521"</f>
        <v>20200111153625521</v>
      </c>
      <c r="B865" t="str">
        <f>"1578728185513424"</f>
        <v>1578728185513424</v>
      </c>
      <c r="C865" t="s">
        <v>37</v>
      </c>
      <c r="D865">
        <v>6.2667549999999999</v>
      </c>
      <c r="E865">
        <v>0.56629960000000001</v>
      </c>
      <c r="F865" t="s">
        <v>38</v>
      </c>
      <c r="G865">
        <v>-258.28460000000001</v>
      </c>
      <c r="H865">
        <v>1.0208090000000001</v>
      </c>
      <c r="I865">
        <v>367.00330000000002</v>
      </c>
      <c r="J865">
        <v>-258.97329999999999</v>
      </c>
      <c r="K865">
        <v>1.1049180000000001</v>
      </c>
      <c r="L865">
        <v>367.10649999999998</v>
      </c>
      <c r="M865">
        <v>0.99988259999999995</v>
      </c>
      <c r="N865">
        <v>0</v>
      </c>
      <c r="O865">
        <v>5.288175E-3</v>
      </c>
      <c r="P865">
        <v>0.99688569999999999</v>
      </c>
      <c r="Q865">
        <v>4.8830810000000002E-2</v>
      </c>
      <c r="R865">
        <v>6.1925130000000002E-2</v>
      </c>
      <c r="S865">
        <v>3.0449830000000002</v>
      </c>
      <c r="T865">
        <v>-0.2895606</v>
      </c>
      <c r="U865">
        <v>-0.3502808</v>
      </c>
      <c r="V865">
        <v>-5.6657239999999998E-2</v>
      </c>
      <c r="W865">
        <v>6.3167760000000003E-2</v>
      </c>
      <c r="X865">
        <v>0.99639339999999998</v>
      </c>
      <c r="Y865">
        <v>0.1189808</v>
      </c>
      <c r="Z865">
        <v>-6.126233E-3</v>
      </c>
      <c r="AA865">
        <v>0.99287769999999997</v>
      </c>
      <c r="AB865">
        <v>35</v>
      </c>
      <c r="AC865">
        <v>0.68869999999998199</v>
      </c>
      <c r="AD865">
        <v>-8.4108999999999906E-2</v>
      </c>
      <c r="AE865">
        <v>-0.10319999999995801</v>
      </c>
      <c r="AF865">
        <v>0.10530476621330299</v>
      </c>
      <c r="AG865">
        <v>-8.4108999999999906E-2</v>
      </c>
      <c r="AH865">
        <v>0.67825059154735101</v>
      </c>
      <c r="AI865">
        <v>96.986228340456293</v>
      </c>
      <c r="AJ865">
        <v>81.174754882166596</v>
      </c>
      <c r="AK865">
        <v>0.691510869475361</v>
      </c>
    </row>
    <row r="866" spans="1:37" x14ac:dyDescent="0.2">
      <c r="A866" t="str">
        <f>"20200111153625533"</f>
        <v>20200111153625533</v>
      </c>
      <c r="B866" t="str">
        <f>"1578728185523184"</f>
        <v>1578728185523184</v>
      </c>
      <c r="C866" t="s">
        <v>37</v>
      </c>
      <c r="D866">
        <v>6.0358879999999999</v>
      </c>
      <c r="E866">
        <v>0.52419329999999997</v>
      </c>
      <c r="F866" t="s">
        <v>38</v>
      </c>
      <c r="G866">
        <v>-257.9796</v>
      </c>
      <c r="H866">
        <v>1.0106930000000001</v>
      </c>
      <c r="I866">
        <v>366.99259999999998</v>
      </c>
      <c r="J866">
        <v>-258.77069999999998</v>
      </c>
      <c r="K866">
        <v>1.1049359999999999</v>
      </c>
      <c r="L866">
        <v>367.10759999999999</v>
      </c>
      <c r="M866">
        <v>0.99988220000000005</v>
      </c>
      <c r="N866">
        <v>0</v>
      </c>
      <c r="O866">
        <v>5.3169439999999997E-3</v>
      </c>
      <c r="P866">
        <v>0.99683670000000002</v>
      </c>
      <c r="Q866">
        <v>4.9100199999999997E-2</v>
      </c>
      <c r="R866">
        <v>6.2500459999999994E-2</v>
      </c>
      <c r="S866">
        <v>3.0451509999999899</v>
      </c>
      <c r="T866">
        <v>-0.28888259999999899</v>
      </c>
      <c r="U866">
        <v>-0.3486938</v>
      </c>
      <c r="V866">
        <v>-5.720447E-2</v>
      </c>
      <c r="W866">
        <v>6.3455189999999995E-2</v>
      </c>
      <c r="X866">
        <v>0.99634389999999995</v>
      </c>
      <c r="Y866">
        <v>0.11849709999999999</v>
      </c>
      <c r="Z866">
        <v>-6.0916950000000003E-3</v>
      </c>
      <c r="AA866">
        <v>0.99293569999999998</v>
      </c>
      <c r="AB866">
        <v>35</v>
      </c>
      <c r="AC866">
        <v>0.79109999999997105</v>
      </c>
      <c r="AD866">
        <v>-9.4242999999999993E-2</v>
      </c>
      <c r="AE866">
        <v>-0.115000000000009</v>
      </c>
      <c r="AF866">
        <v>0.1175710370636</v>
      </c>
      <c r="AG866">
        <v>-9.4242999999999993E-2</v>
      </c>
      <c r="AH866">
        <v>0.77964180670226901</v>
      </c>
      <c r="AI866">
        <v>96.816135338946097</v>
      </c>
      <c r="AJ866">
        <v>81.424336029457706</v>
      </c>
      <c r="AK866">
        <v>0.79406929078210098</v>
      </c>
    </row>
    <row r="867" spans="1:37" x14ac:dyDescent="0.2">
      <c r="A867" t="str">
        <f>"20200111153625549"</f>
        <v>20200111153625549</v>
      </c>
      <c r="B867" t="str">
        <f>"1578728185543681"</f>
        <v>1578728185543681</v>
      </c>
      <c r="C867" t="s">
        <v>37</v>
      </c>
      <c r="D867">
        <v>5.9647949999999996</v>
      </c>
      <c r="E867">
        <v>0.5090384</v>
      </c>
      <c r="F867" t="s">
        <v>38</v>
      </c>
      <c r="G867">
        <v>-257.97300000000001</v>
      </c>
      <c r="H867">
        <v>1.025048</v>
      </c>
      <c r="I867">
        <v>367.10430000000002</v>
      </c>
      <c r="J867">
        <v>-258.53359999999998</v>
      </c>
      <c r="K867">
        <v>1.104954</v>
      </c>
      <c r="L867">
        <v>367.10890000000001</v>
      </c>
      <c r="M867">
        <v>0.99988159999999904</v>
      </c>
      <c r="N867">
        <v>0</v>
      </c>
      <c r="O867">
        <v>5.3509439999999998E-3</v>
      </c>
      <c r="P867">
        <v>0.99678389999999994</v>
      </c>
      <c r="Q867">
        <v>4.9327129999999997E-2</v>
      </c>
      <c r="R867">
        <v>6.3156340000000005E-2</v>
      </c>
      <c r="S867">
        <v>3.0252080000000001</v>
      </c>
      <c r="T867">
        <v>-0.30309429999999998</v>
      </c>
      <c r="U867">
        <v>-1.21459999999999E-2</v>
      </c>
      <c r="V867">
        <v>-5.7826389999999998E-2</v>
      </c>
      <c r="W867">
        <v>6.3701679999999997E-2</v>
      </c>
      <c r="X867">
        <v>0.99629219999999896</v>
      </c>
      <c r="Y867">
        <v>9.2929829999999995E-3</v>
      </c>
      <c r="Z867">
        <v>-9.991888999999999E-4</v>
      </c>
      <c r="AA867">
        <v>0.99995630000000002</v>
      </c>
      <c r="AB867">
        <v>35</v>
      </c>
      <c r="AC867">
        <v>0.56059999999996502</v>
      </c>
      <c r="AD867">
        <v>-7.9906000000000005E-2</v>
      </c>
      <c r="AE867">
        <v>-4.5999999999821696E-3</v>
      </c>
      <c r="AF867">
        <v>7.4486637109710896E-3</v>
      </c>
      <c r="AG867">
        <v>-7.9906000000000005E-2</v>
      </c>
      <c r="AH867">
        <v>0.54940600488495295</v>
      </c>
      <c r="AI867">
        <v>98.274366702738803</v>
      </c>
      <c r="AJ867">
        <v>89.223250484949801</v>
      </c>
      <c r="AK867">
        <v>0.55523635474518696</v>
      </c>
    </row>
    <row r="868" spans="1:37" x14ac:dyDescent="0.2">
      <c r="A868" t="str">
        <f>"20200111153625564"</f>
        <v>20200111153625564</v>
      </c>
      <c r="B868" t="str">
        <f>"1578728185553441"</f>
        <v>1578728185553441</v>
      </c>
      <c r="C868" t="s">
        <v>37</v>
      </c>
      <c r="D868">
        <v>6.0874220000000001</v>
      </c>
      <c r="E868">
        <v>0.44303350000000002</v>
      </c>
      <c r="F868" t="s">
        <v>38</v>
      </c>
      <c r="G868">
        <v>-257.66309999999999</v>
      </c>
      <c r="H868">
        <v>1.0211159999999999</v>
      </c>
      <c r="I868">
        <v>367.14060000000001</v>
      </c>
      <c r="J868">
        <v>-258.31819999999999</v>
      </c>
      <c r="K868">
        <v>1.1049869999999999</v>
      </c>
      <c r="L868">
        <v>367.11009999999999</v>
      </c>
      <c r="M868">
        <v>0.99988129999999997</v>
      </c>
      <c r="N868">
        <v>0</v>
      </c>
      <c r="O868">
        <v>5.3815719999999899E-3</v>
      </c>
      <c r="P868">
        <v>0.996683599999999</v>
      </c>
      <c r="Q868">
        <v>4.9571629999999998E-2</v>
      </c>
      <c r="R868">
        <v>6.4534240000000007E-2</v>
      </c>
      <c r="S868">
        <v>3.0170750000000002</v>
      </c>
      <c r="T868">
        <v>-0.2907769</v>
      </c>
      <c r="U868">
        <v>0.11026</v>
      </c>
      <c r="V868">
        <v>-5.9174060000000001E-2</v>
      </c>
      <c r="W868">
        <v>6.3961500000000004E-2</v>
      </c>
      <c r="X868">
        <v>0.99619639999999998</v>
      </c>
      <c r="Y868">
        <v>-3.1023249999999999E-2</v>
      </c>
      <c r="Z868">
        <v>9.7368629999999997E-4</v>
      </c>
      <c r="AA868">
        <v>0.99951819999999902</v>
      </c>
      <c r="AB868">
        <v>35</v>
      </c>
      <c r="AC868">
        <v>0.65510000000000401</v>
      </c>
      <c r="AD868">
        <v>-8.3871000000000195E-2</v>
      </c>
      <c r="AE868">
        <v>3.05000000000177E-2</v>
      </c>
      <c r="AF868">
        <v>-2.6539649489246302E-2</v>
      </c>
      <c r="AG868">
        <v>-8.3871000000000195E-2</v>
      </c>
      <c r="AH868">
        <v>0.64471000901935704</v>
      </c>
      <c r="AI868">
        <v>97.405839459885399</v>
      </c>
      <c r="AJ868">
        <v>92.357264236381397</v>
      </c>
      <c r="AK868">
        <v>0.65068401960225797</v>
      </c>
    </row>
    <row r="869" spans="1:37" x14ac:dyDescent="0.2">
      <c r="A869" t="str">
        <f>"20200111153625577"</f>
        <v>20200111153625577</v>
      </c>
      <c r="B869" t="str">
        <f>"1578728185573937"</f>
        <v>1578728185573937</v>
      </c>
      <c r="C869" t="s">
        <v>37</v>
      </c>
      <c r="D869">
        <v>6.0239589999999996</v>
      </c>
      <c r="E869">
        <v>0.44265009999999999</v>
      </c>
      <c r="F869" t="s">
        <v>39</v>
      </c>
      <c r="G869">
        <v>-245.9717</v>
      </c>
      <c r="H869" s="1">
        <v>-1.9232160000000001E-6</v>
      </c>
      <c r="I869">
        <v>369.7611</v>
      </c>
      <c r="J869">
        <v>-258.087999999999</v>
      </c>
      <c r="K869">
        <v>1.105002</v>
      </c>
      <c r="L869">
        <v>367.1114</v>
      </c>
      <c r="M869">
        <v>0.99988089999999996</v>
      </c>
      <c r="N869">
        <v>0</v>
      </c>
      <c r="O869">
        <v>5.4144110000000001E-3</v>
      </c>
      <c r="P869">
        <v>0.99660769999999999</v>
      </c>
      <c r="Q869">
        <v>4.9852090000000002E-2</v>
      </c>
      <c r="R869">
        <v>6.5484559999999997E-2</v>
      </c>
      <c r="S869">
        <v>2.9817960000000001</v>
      </c>
      <c r="T869">
        <v>-0.2668642</v>
      </c>
      <c r="U869">
        <v>0.64022829999999997</v>
      </c>
      <c r="V869">
        <v>-6.0092069999999997E-2</v>
      </c>
      <c r="W869">
        <v>6.4257030000000007E-2</v>
      </c>
      <c r="X869">
        <v>0.99612250000000002</v>
      </c>
      <c r="Y869">
        <v>-0.20387230000000001</v>
      </c>
      <c r="Z869">
        <v>8.5247009999999904E-3</v>
      </c>
      <c r="AA869">
        <v>0.97896039999999995</v>
      </c>
      <c r="AB869">
        <v>35</v>
      </c>
      <c r="AC869">
        <v>12.116299999999899</v>
      </c>
      <c r="AD869">
        <v>-1.1050039232160001</v>
      </c>
      <c r="AE869">
        <v>2.64969999999999</v>
      </c>
      <c r="AF869">
        <v>-2.5637015795101901</v>
      </c>
      <c r="AG869">
        <v>-1.1050039232160001</v>
      </c>
      <c r="AH869">
        <v>12.034939751196299</v>
      </c>
      <c r="AI869">
        <v>95.131477739037507</v>
      </c>
      <c r="AJ869">
        <v>102.02548807285</v>
      </c>
      <c r="AK869">
        <v>12.354488021526</v>
      </c>
    </row>
    <row r="870" spans="1:37" x14ac:dyDescent="0.2">
      <c r="A870" t="str">
        <f>"20200111153625592"</f>
        <v>20200111153625592</v>
      </c>
      <c r="B870" t="str">
        <f>"1578728185583697"</f>
        <v>1578728185583697</v>
      </c>
      <c r="C870" t="s">
        <v>37</v>
      </c>
      <c r="D870">
        <v>5.9321859999999997</v>
      </c>
      <c r="E870">
        <v>0.44372869999999998</v>
      </c>
      <c r="F870" t="s">
        <v>39</v>
      </c>
      <c r="G870">
        <v>-246.17740000000001</v>
      </c>
      <c r="H870" s="1">
        <v>-1.8077319999999999E-6</v>
      </c>
      <c r="I870">
        <v>369.6925</v>
      </c>
      <c r="J870">
        <v>-257.86090000000002</v>
      </c>
      <c r="K870">
        <v>1.105013</v>
      </c>
      <c r="L870">
        <v>367.11270000000002</v>
      </c>
      <c r="M870">
        <v>0.99988049999999995</v>
      </c>
      <c r="N870">
        <v>0</v>
      </c>
      <c r="O870">
        <v>5.446617E-3</v>
      </c>
      <c r="P870">
        <v>0.99652649999999998</v>
      </c>
      <c r="Q870">
        <v>5.0251289999999997E-2</v>
      </c>
      <c r="R870">
        <v>6.6407430000000003E-2</v>
      </c>
      <c r="S870">
        <v>2.98162799999999</v>
      </c>
      <c r="T870">
        <v>-0.27661970000000002</v>
      </c>
      <c r="U870">
        <v>0.64614869999999902</v>
      </c>
      <c r="V870">
        <v>-6.09834E-2</v>
      </c>
      <c r="W870">
        <v>6.4669089999999999E-2</v>
      </c>
      <c r="X870">
        <v>0.99604169999999903</v>
      </c>
      <c r="Y870">
        <v>-0.2056461</v>
      </c>
      <c r="Z870">
        <v>8.9119549999999992E-3</v>
      </c>
      <c r="AA870">
        <v>0.97858579999999995</v>
      </c>
      <c r="AB870">
        <v>35</v>
      </c>
      <c r="AC870">
        <v>11.6835</v>
      </c>
      <c r="AD870">
        <v>-1.1050148077319999</v>
      </c>
      <c r="AE870">
        <v>2.5797999999999699</v>
      </c>
      <c r="AF870">
        <v>-2.4948401520214598</v>
      </c>
      <c r="AG870">
        <v>-1.1050148077319999</v>
      </c>
      <c r="AH870">
        <v>11.5984520674957</v>
      </c>
      <c r="AI870">
        <v>95.321302126278098</v>
      </c>
      <c r="AJ870">
        <v>102.139418397729</v>
      </c>
      <c r="AK870">
        <v>11.9150902418505</v>
      </c>
    </row>
    <row r="871" spans="1:37" x14ac:dyDescent="0.2">
      <c r="A871" t="str">
        <f>"20200111153625609"</f>
        <v>20200111153625609</v>
      </c>
      <c r="B871" t="str">
        <f>"1578728185603219"</f>
        <v>1578728185603219</v>
      </c>
      <c r="C871" t="s">
        <v>37</v>
      </c>
      <c r="D871">
        <v>5.9759549999999999</v>
      </c>
      <c r="E871">
        <v>0.4448164</v>
      </c>
      <c r="F871" t="s">
        <v>39</v>
      </c>
      <c r="G871">
        <v>-245.95670000000001</v>
      </c>
      <c r="H871" s="1">
        <v>-1.9053669999999999E-6</v>
      </c>
      <c r="I871">
        <v>369.66739999999999</v>
      </c>
      <c r="J871">
        <v>-257.62430000000001</v>
      </c>
      <c r="K871">
        <v>1.105037</v>
      </c>
      <c r="L871">
        <v>367.11399999999998</v>
      </c>
      <c r="M871">
        <v>0.99988009999999905</v>
      </c>
      <c r="N871">
        <v>0</v>
      </c>
      <c r="O871">
        <v>5.480314E-3</v>
      </c>
      <c r="P871">
        <v>0.99638309999999997</v>
      </c>
      <c r="Q871">
        <v>5.0035969999999999E-2</v>
      </c>
      <c r="R871">
        <v>6.8681740000000005E-2</v>
      </c>
      <c r="S871">
        <v>2.9817659999999999</v>
      </c>
      <c r="T871">
        <v>-0.27678559999999902</v>
      </c>
      <c r="U871">
        <v>0.63992309999999997</v>
      </c>
      <c r="V871">
        <v>-6.3224890000000006E-2</v>
      </c>
      <c r="W871">
        <v>6.4464960000000002E-2</v>
      </c>
      <c r="X871">
        <v>0.99591509999999905</v>
      </c>
      <c r="Y871">
        <v>-0.2036579</v>
      </c>
      <c r="Z871">
        <v>8.8246680000000008E-3</v>
      </c>
      <c r="AA871">
        <v>0.97900239999999905</v>
      </c>
      <c r="AB871">
        <v>35</v>
      </c>
      <c r="AC871">
        <v>11.667599999999901</v>
      </c>
      <c r="AD871">
        <v>-1.105038905367</v>
      </c>
      <c r="AE871">
        <v>2.5533999999999502</v>
      </c>
      <c r="AF871">
        <v>-2.4682842547259001</v>
      </c>
      <c r="AG871">
        <v>-1.105038905367</v>
      </c>
      <c r="AH871">
        <v>11.582275091761</v>
      </c>
      <c r="AI871">
        <v>95.330968606691897</v>
      </c>
      <c r="AJ871">
        <v>102.030267447336</v>
      </c>
      <c r="AK871">
        <v>11.893806558277699</v>
      </c>
    </row>
    <row r="872" spans="1:37" x14ac:dyDescent="0.2">
      <c r="A872" t="str">
        <f>"20200111153625623"</f>
        <v>20200111153625623</v>
      </c>
      <c r="B872" t="str">
        <f>"1578728185612977"</f>
        <v>1578728185612977</v>
      </c>
      <c r="C872" t="s">
        <v>37</v>
      </c>
      <c r="D872">
        <v>5.8835620000000004</v>
      </c>
      <c r="E872">
        <v>0.44580509999999901</v>
      </c>
      <c r="F872" t="s">
        <v>39</v>
      </c>
      <c r="G872">
        <v>-245.32910000000001</v>
      </c>
      <c r="H872" s="1">
        <v>-2.2230390000000002E-6</v>
      </c>
      <c r="I872">
        <v>369.74630000000002</v>
      </c>
      <c r="J872">
        <v>-257.38819999999998</v>
      </c>
      <c r="K872">
        <v>1.1050450000000001</v>
      </c>
      <c r="L872">
        <v>367.11540000000002</v>
      </c>
      <c r="M872">
        <v>0.99987969999999904</v>
      </c>
      <c r="N872">
        <v>0</v>
      </c>
      <c r="O872">
        <v>5.514138E-3</v>
      </c>
      <c r="P872">
        <v>0.996286</v>
      </c>
      <c r="Q872">
        <v>5.0447739999999998E-2</v>
      </c>
      <c r="R872">
        <v>6.9781109999999993E-2</v>
      </c>
      <c r="S872">
        <v>2.9803919999999899</v>
      </c>
      <c r="T872">
        <v>-0.26786379999999999</v>
      </c>
      <c r="U872">
        <v>0.63806149999999995</v>
      </c>
      <c r="V872">
        <v>-6.4291130000000002E-2</v>
      </c>
      <c r="W872">
        <v>6.4887520000000004E-2</v>
      </c>
      <c r="X872">
        <v>0.99581939999999902</v>
      </c>
      <c r="Y872">
        <v>-0.20318539999999999</v>
      </c>
      <c r="Z872">
        <v>8.5217669999999995E-3</v>
      </c>
      <c r="AA872">
        <v>0.97910319999999995</v>
      </c>
      <c r="AB872">
        <v>35</v>
      </c>
      <c r="AC872">
        <v>12.0590999999999</v>
      </c>
      <c r="AD872">
        <v>-1.105047223039</v>
      </c>
      <c r="AE872">
        <v>2.6308999999999898</v>
      </c>
      <c r="AF872">
        <v>-2.5439659731964701</v>
      </c>
      <c r="AG872">
        <v>-1.105047223039</v>
      </c>
      <c r="AH872">
        <v>11.977418739588501</v>
      </c>
      <c r="AI872">
        <v>95.156841874445107</v>
      </c>
      <c r="AJ872">
        <v>101.991244300414</v>
      </c>
      <c r="AK872">
        <v>12.294366673455601</v>
      </c>
    </row>
    <row r="873" spans="1:37" x14ac:dyDescent="0.2">
      <c r="A873" t="str">
        <f>"20200111153625636"</f>
        <v>20200111153625636</v>
      </c>
      <c r="B873" t="str">
        <f>"1578728185633472"</f>
        <v>1578728185633472</v>
      </c>
      <c r="C873" t="s">
        <v>37</v>
      </c>
      <c r="D873">
        <v>5.9066260000000002</v>
      </c>
      <c r="E873">
        <v>0.4472912</v>
      </c>
      <c r="F873" t="s">
        <v>39</v>
      </c>
      <c r="G873">
        <v>-245.10249999999999</v>
      </c>
      <c r="H873" s="1">
        <v>-2.3252339999999999E-6</v>
      </c>
      <c r="I873">
        <v>369.72789999999998</v>
      </c>
      <c r="J873">
        <v>-257.1943</v>
      </c>
      <c r="K873">
        <v>1.105051</v>
      </c>
      <c r="L873">
        <v>367.11649999999997</v>
      </c>
      <c r="M873">
        <v>0.99987950000000003</v>
      </c>
      <c r="N873">
        <v>0</v>
      </c>
      <c r="O873">
        <v>5.5416689999999999E-3</v>
      </c>
      <c r="P873">
        <v>0.99623850000000003</v>
      </c>
      <c r="Q873">
        <v>5.0184140000000002E-2</v>
      </c>
      <c r="R873">
        <v>7.0644189999999996E-2</v>
      </c>
      <c r="S873">
        <v>2.9803009999999999</v>
      </c>
      <c r="T873">
        <v>-0.26806550000000001</v>
      </c>
      <c r="U873">
        <v>0.6337585</v>
      </c>
      <c r="V873">
        <v>-6.5126959999999998E-2</v>
      </c>
      <c r="W873">
        <v>6.4631980000000006E-2</v>
      </c>
      <c r="X873">
        <v>0.99578169999999899</v>
      </c>
      <c r="Y873">
        <v>-0.201816299999999</v>
      </c>
      <c r="Z873">
        <v>8.4664630000000005E-3</v>
      </c>
      <c r="AA873">
        <v>0.9793868</v>
      </c>
      <c r="AB873">
        <v>34</v>
      </c>
      <c r="AC873">
        <v>12.091799999999999</v>
      </c>
      <c r="AD873">
        <v>-1.105053325234</v>
      </c>
      <c r="AE873">
        <v>2.6114000000000002</v>
      </c>
      <c r="AF873">
        <v>-2.5242017034020199</v>
      </c>
      <c r="AG873">
        <v>-1.105053325234</v>
      </c>
      <c r="AH873">
        <v>12.0102490560541</v>
      </c>
      <c r="AI873">
        <v>95.145153177631897</v>
      </c>
      <c r="AJ873">
        <v>101.869142674353</v>
      </c>
      <c r="AK873">
        <v>12.3222895388607</v>
      </c>
    </row>
    <row r="874" spans="1:37" x14ac:dyDescent="0.2">
      <c r="A874" t="str">
        <f>"20200111153625649"</f>
        <v>20200111153625649</v>
      </c>
      <c r="B874" t="str">
        <f>"1578728185643233"</f>
        <v>1578728185643233</v>
      </c>
      <c r="C874" t="s">
        <v>37</v>
      </c>
      <c r="D874">
        <v>5.9474530000000003</v>
      </c>
      <c r="E874">
        <v>0.4481888</v>
      </c>
      <c r="F874" t="s">
        <v>39</v>
      </c>
      <c r="G874">
        <v>-245.17740000000001</v>
      </c>
      <c r="H874" s="1">
        <v>-2.264558E-6</v>
      </c>
      <c r="I874">
        <v>369.63279999999997</v>
      </c>
      <c r="J874">
        <v>-257.00650000000002</v>
      </c>
      <c r="K874">
        <v>1.1050549999999999</v>
      </c>
      <c r="L874">
        <v>367.11750000000001</v>
      </c>
      <c r="M874">
        <v>0.99987919999999997</v>
      </c>
      <c r="N874">
        <v>0</v>
      </c>
      <c r="O874">
        <v>5.5680199999999999E-3</v>
      </c>
      <c r="P874">
        <v>0.99618019999999996</v>
      </c>
      <c r="Q874">
        <v>4.9772539999999997E-2</v>
      </c>
      <c r="R874">
        <v>7.1749389999999996E-2</v>
      </c>
      <c r="S874">
        <v>2.9808810000000001</v>
      </c>
      <c r="T874">
        <v>-0.27411560000000001</v>
      </c>
      <c r="U874">
        <v>0.6242065</v>
      </c>
      <c r="V874">
        <v>-6.6206509999999996E-2</v>
      </c>
      <c r="W874">
        <v>6.4227039999999999E-2</v>
      </c>
      <c r="X874">
        <v>0.99573670000000003</v>
      </c>
      <c r="Y874">
        <v>-0.19872379999999901</v>
      </c>
      <c r="Z874">
        <v>8.5151819999999996E-3</v>
      </c>
      <c r="AA874">
        <v>0.98001859999999996</v>
      </c>
      <c r="AB874">
        <v>34</v>
      </c>
      <c r="AC874">
        <v>11.8291</v>
      </c>
      <c r="AD874">
        <v>-1.1050572645579999</v>
      </c>
      <c r="AE874">
        <v>2.5152999999999599</v>
      </c>
      <c r="AF874">
        <v>-2.4291075502227999</v>
      </c>
      <c r="AG874">
        <v>-1.1050572645579999</v>
      </c>
      <c r="AH874">
        <v>11.7448595276372</v>
      </c>
      <c r="AI874">
        <v>95.264287969187194</v>
      </c>
      <c r="AJ874">
        <v>101.685330092136</v>
      </c>
      <c r="AK874">
        <v>12.044228508810001</v>
      </c>
    </row>
    <row r="875" spans="1:37" x14ac:dyDescent="0.2">
      <c r="A875" t="str">
        <f>"20200111153625663"</f>
        <v>20200111153625663</v>
      </c>
      <c r="B875" t="str">
        <f>"1578728185653968"</f>
        <v>1578728185653968</v>
      </c>
      <c r="C875" t="s">
        <v>37</v>
      </c>
      <c r="D875">
        <v>5.7458749999999998</v>
      </c>
      <c r="E875">
        <v>0.44928699999999999</v>
      </c>
      <c r="F875" t="s">
        <v>39</v>
      </c>
      <c r="G875">
        <v>-245.09950000000001</v>
      </c>
      <c r="H875" s="1">
        <v>-2.3006559999999999E-6</v>
      </c>
      <c r="I875">
        <v>369.59570000000002</v>
      </c>
      <c r="J875">
        <v>-256.77870000000001</v>
      </c>
      <c r="K875">
        <v>1.105054</v>
      </c>
      <c r="L875">
        <v>367.1189</v>
      </c>
      <c r="M875">
        <v>0.99987890000000001</v>
      </c>
      <c r="N875">
        <v>0</v>
      </c>
      <c r="O875">
        <v>5.6002059999999999E-3</v>
      </c>
      <c r="P875">
        <v>0.99611559999999899</v>
      </c>
      <c r="Q875">
        <v>4.872162E-2</v>
      </c>
      <c r="R875">
        <v>7.3351410000000006E-2</v>
      </c>
      <c r="S875">
        <v>2.98063699999999</v>
      </c>
      <c r="T875">
        <v>-0.27662419999999999</v>
      </c>
      <c r="U875">
        <v>0.6203613</v>
      </c>
      <c r="V875">
        <v>-6.7776390000000006E-2</v>
      </c>
      <c r="W875">
        <v>6.3183470000000005E-2</v>
      </c>
      <c r="X875">
        <v>0.99569789999999903</v>
      </c>
      <c r="Y875">
        <v>-0.1974872</v>
      </c>
      <c r="Z875">
        <v>8.5349850000000001E-3</v>
      </c>
      <c r="AA875">
        <v>0.98026829999999998</v>
      </c>
      <c r="AB875">
        <v>34</v>
      </c>
      <c r="AC875">
        <v>11.6792</v>
      </c>
      <c r="AD875">
        <v>-1.1050563006559999</v>
      </c>
      <c r="AE875">
        <v>2.4768000000000199</v>
      </c>
      <c r="AF875">
        <v>-2.3908653807034899</v>
      </c>
      <c r="AG875">
        <v>-1.1050563006559999</v>
      </c>
      <c r="AH875">
        <v>11.593564828329299</v>
      </c>
      <c r="AI875">
        <v>95.333217858145403</v>
      </c>
      <c r="AJ875">
        <v>101.652383550149</v>
      </c>
      <c r="AK875">
        <v>11.888992056728</v>
      </c>
    </row>
    <row r="876" spans="1:37" x14ac:dyDescent="0.2">
      <c r="A876" t="str">
        <f>"20200111153625689"</f>
        <v>20200111153625689</v>
      </c>
      <c r="B876" t="str">
        <f>"1578728185683249"</f>
        <v>1578728185683249</v>
      </c>
      <c r="C876" t="s">
        <v>37</v>
      </c>
      <c r="D876">
        <v>5.9554400000000003</v>
      </c>
      <c r="E876">
        <v>0.45042959999999899</v>
      </c>
      <c r="F876" t="s">
        <v>39</v>
      </c>
      <c r="G876">
        <v>-244.99160000000001</v>
      </c>
      <c r="H876" s="1">
        <v>-2.358794E-6</v>
      </c>
      <c r="I876">
        <v>369.55540000000002</v>
      </c>
      <c r="J876">
        <v>-256.3913</v>
      </c>
      <c r="K876">
        <v>1.1050549999999999</v>
      </c>
      <c r="L876">
        <v>367.12110000000001</v>
      </c>
      <c r="M876">
        <v>0.99987839999999995</v>
      </c>
      <c r="N876">
        <v>0</v>
      </c>
      <c r="O876">
        <v>5.655785E-3</v>
      </c>
      <c r="P876">
        <v>0.99603649999999999</v>
      </c>
      <c r="Q876">
        <v>4.8097069999999999E-2</v>
      </c>
      <c r="R876">
        <v>7.4820970000000001E-2</v>
      </c>
      <c r="S876">
        <v>2.9800110000000002</v>
      </c>
      <c r="T876">
        <v>-0.2793795</v>
      </c>
      <c r="U876">
        <v>0.61599729999999997</v>
      </c>
      <c r="V876">
        <v>-6.9191000000000003E-2</v>
      </c>
      <c r="W876">
        <v>6.2569559999999996E-2</v>
      </c>
      <c r="X876">
        <v>0.9956393</v>
      </c>
      <c r="Y876">
        <v>-0.19608699999999901</v>
      </c>
      <c r="Z876">
        <v>8.5527079999999991E-3</v>
      </c>
      <c r="AA876">
        <v>0.98054920000000001</v>
      </c>
      <c r="AB876">
        <v>34</v>
      </c>
      <c r="AC876">
        <v>11.3996999999999</v>
      </c>
      <c r="AD876">
        <v>-1.10505735879399</v>
      </c>
      <c r="AE876">
        <v>2.4342999999999999</v>
      </c>
      <c r="AF876">
        <v>-2.3486723492731501</v>
      </c>
      <c r="AG876">
        <v>-1.10505735879399</v>
      </c>
      <c r="AH876">
        <v>11.311628741455699</v>
      </c>
      <c r="AI876">
        <v>95.463835770117598</v>
      </c>
      <c r="AJ876">
        <v>101.72985053813299</v>
      </c>
      <c r="AK876">
        <v>11.605617534409401</v>
      </c>
    </row>
    <row r="877" spans="1:37" x14ac:dyDescent="0.2">
      <c r="A877" t="str">
        <f>"20200111153625700"</f>
        <v>20200111153625700</v>
      </c>
      <c r="B877" t="str">
        <f>"1578728185693986"</f>
        <v>1578728185693986</v>
      </c>
      <c r="C877" t="s">
        <v>37</v>
      </c>
      <c r="D877">
        <v>5.9258350000000002</v>
      </c>
      <c r="E877">
        <v>0.45091589999999998</v>
      </c>
      <c r="F877" t="s">
        <v>39</v>
      </c>
      <c r="G877">
        <v>-244.78129999999999</v>
      </c>
      <c r="H877" s="1">
        <v>-2.4679199999999998E-6</v>
      </c>
      <c r="I877">
        <v>369.50060000000002</v>
      </c>
      <c r="J877">
        <v>-256.20150000000001</v>
      </c>
      <c r="K877">
        <v>1.1050580000000001</v>
      </c>
      <c r="L877">
        <v>367.12220000000002</v>
      </c>
      <c r="M877">
        <v>0.99987819999999905</v>
      </c>
      <c r="N877">
        <v>0</v>
      </c>
      <c r="O877">
        <v>5.682983E-3</v>
      </c>
      <c r="P877">
        <v>0.99599130000000002</v>
      </c>
      <c r="Q877">
        <v>4.7680599999999997E-2</v>
      </c>
      <c r="R877">
        <v>7.5684409999999994E-2</v>
      </c>
      <c r="S877">
        <v>2.979752</v>
      </c>
      <c r="T877">
        <v>-0.2836187</v>
      </c>
      <c r="U877">
        <v>0.61071779999999998</v>
      </c>
      <c r="V877">
        <v>-7.0027430000000002E-2</v>
      </c>
      <c r="W877">
        <v>6.2156950000000002E-2</v>
      </c>
      <c r="X877">
        <v>0.99560669999999996</v>
      </c>
      <c r="Y877">
        <v>-0.19439279999999901</v>
      </c>
      <c r="Z877">
        <v>8.6020030000000004E-3</v>
      </c>
      <c r="AA877">
        <v>0.98088600000000004</v>
      </c>
      <c r="AB877">
        <v>34</v>
      </c>
      <c r="AC877">
        <v>11.420199999999999</v>
      </c>
      <c r="AD877">
        <v>-1.10506046792</v>
      </c>
      <c r="AE877">
        <v>2.3783999999999899</v>
      </c>
      <c r="AF877">
        <v>-2.2928776932211399</v>
      </c>
      <c r="AG877">
        <v>-1.10506046792</v>
      </c>
      <c r="AH877">
        <v>11.331841692852</v>
      </c>
      <c r="AI877">
        <v>95.459812676917906</v>
      </c>
      <c r="AJ877">
        <v>101.43875502116801</v>
      </c>
      <c r="AK877">
        <v>11.614175946045</v>
      </c>
    </row>
    <row r="878" spans="1:37" x14ac:dyDescent="0.2">
      <c r="A878" t="str">
        <f>"20200111153625713"</f>
        <v>20200111153625713</v>
      </c>
      <c r="B878" t="str">
        <f>"1578728185703745"</f>
        <v>1578728185703745</v>
      </c>
      <c r="C878" t="s">
        <v>37</v>
      </c>
      <c r="D878">
        <v>6.0070069999999998</v>
      </c>
      <c r="E878">
        <v>0.45091589999999998</v>
      </c>
      <c r="F878" t="s">
        <v>39</v>
      </c>
      <c r="G878">
        <v>-244.6456</v>
      </c>
      <c r="H878" s="1">
        <v>-2.5350330000000001E-6</v>
      </c>
      <c r="I878">
        <v>369.48390000000001</v>
      </c>
      <c r="J878">
        <v>-256.00200000000001</v>
      </c>
      <c r="K878">
        <v>1.1050580000000001</v>
      </c>
      <c r="L878">
        <v>367.1234</v>
      </c>
      <c r="M878">
        <v>0.99987800000000004</v>
      </c>
      <c r="N878">
        <v>0</v>
      </c>
      <c r="O878">
        <v>5.7114990000000001E-3</v>
      </c>
      <c r="P878">
        <v>0.99590249999999902</v>
      </c>
      <c r="Q878">
        <v>4.7605750000000002E-2</v>
      </c>
      <c r="R878">
        <v>7.6888429999999994E-2</v>
      </c>
      <c r="S878">
        <v>2.9794459999999998</v>
      </c>
      <c r="T878">
        <v>-0.2849158</v>
      </c>
      <c r="U878">
        <v>0.60891719999999905</v>
      </c>
      <c r="V878">
        <v>-7.1203139999999998E-2</v>
      </c>
      <c r="W878">
        <v>6.2085080000000001E-2</v>
      </c>
      <c r="X878">
        <v>0.99552779999999996</v>
      </c>
      <c r="Y878">
        <v>-0.1938105</v>
      </c>
      <c r="Z878">
        <v>8.6123580000000005E-3</v>
      </c>
      <c r="AA878">
        <v>0.98100119999999902</v>
      </c>
      <c r="AB878">
        <v>34</v>
      </c>
      <c r="AC878">
        <v>11.356400000000001</v>
      </c>
      <c r="AD878">
        <v>-1.1050605350330001</v>
      </c>
      <c r="AE878">
        <v>2.3605</v>
      </c>
      <c r="AF878">
        <v>-2.2749438959156798</v>
      </c>
      <c r="AG878">
        <v>-1.1050605350330001</v>
      </c>
      <c r="AH878">
        <v>11.2674286233626</v>
      </c>
      <c r="AI878">
        <v>95.491296103959399</v>
      </c>
      <c r="AJ878">
        <v>101.41481368007599</v>
      </c>
      <c r="AK878">
        <v>11.547790970494001</v>
      </c>
    </row>
    <row r="879" spans="1:37" x14ac:dyDescent="0.2">
      <c r="A879" t="str">
        <f>"20200111153625726"</f>
        <v>20200111153625726</v>
      </c>
      <c r="B879" t="str">
        <f>"1578728185723265"</f>
        <v>1578728185723265</v>
      </c>
      <c r="C879" t="s">
        <v>37</v>
      </c>
      <c r="D879">
        <v>5.8678379999999999</v>
      </c>
      <c r="E879">
        <v>0.45192640000000001</v>
      </c>
      <c r="F879" t="s">
        <v>39</v>
      </c>
      <c r="G879">
        <v>-244.4709</v>
      </c>
      <c r="H879" s="1">
        <v>-2.61584999999999E-6</v>
      </c>
      <c r="I879">
        <v>369.49400000000003</v>
      </c>
      <c r="J879">
        <v>-255.81120000000001</v>
      </c>
      <c r="K879">
        <v>1.1050580000000001</v>
      </c>
      <c r="L879">
        <v>367.12450000000001</v>
      </c>
      <c r="M879">
        <v>0.99987769999999998</v>
      </c>
      <c r="N879">
        <v>0</v>
      </c>
      <c r="O879">
        <v>5.7388869999999998E-3</v>
      </c>
      <c r="P879">
        <v>0.99582660000000001</v>
      </c>
      <c r="Q879">
        <v>4.756428E-2</v>
      </c>
      <c r="R879">
        <v>7.7891039999999995E-2</v>
      </c>
      <c r="S879">
        <v>2.9787140000000001</v>
      </c>
      <c r="T879">
        <v>-0.28545759999999998</v>
      </c>
      <c r="U879">
        <v>0.61236569999999901</v>
      </c>
      <c r="V879">
        <v>-7.2179289999999993E-2</v>
      </c>
      <c r="W879">
        <v>6.2046539999999997E-2</v>
      </c>
      <c r="X879">
        <v>0.99545989999999995</v>
      </c>
      <c r="Y879">
        <v>-0.19491269999999999</v>
      </c>
      <c r="Z879">
        <v>8.6793089999999996E-3</v>
      </c>
      <c r="AA879">
        <v>0.98078220000000005</v>
      </c>
      <c r="AB879">
        <v>34</v>
      </c>
      <c r="AC879">
        <v>11.340299999999999</v>
      </c>
      <c r="AD879">
        <v>-1.10506061585</v>
      </c>
      <c r="AE879">
        <v>2.3695000000000102</v>
      </c>
      <c r="AF879">
        <v>-2.2835963172880298</v>
      </c>
      <c r="AG879">
        <v>-1.10506061585</v>
      </c>
      <c r="AH879">
        <v>11.251343752307999</v>
      </c>
      <c r="AI879">
        <v>95.497974763847594</v>
      </c>
      <c r="AJ879">
        <v>101.473027237049</v>
      </c>
      <c r="AK879">
        <v>11.533807148449901</v>
      </c>
    </row>
    <row r="880" spans="1:37" x14ac:dyDescent="0.2">
      <c r="A880" t="str">
        <f>"20200111153625742"</f>
        <v>20200111153625742</v>
      </c>
      <c r="B880" t="str">
        <f>"1578728185734001"</f>
        <v>1578728185734001</v>
      </c>
      <c r="C880" t="s">
        <v>37</v>
      </c>
      <c r="D880">
        <v>6.1308590000000001</v>
      </c>
      <c r="E880">
        <v>0.452341299999999</v>
      </c>
      <c r="F880" t="s">
        <v>39</v>
      </c>
      <c r="G880">
        <v>-243.84469999999999</v>
      </c>
      <c r="H880" s="1">
        <v>-2.89944E-6</v>
      </c>
      <c r="I880">
        <v>369.56389999999999</v>
      </c>
      <c r="J880">
        <v>-255.56200000000001</v>
      </c>
      <c r="K880">
        <v>1.105056</v>
      </c>
      <c r="L880">
        <v>367.12599999999998</v>
      </c>
      <c r="M880">
        <v>0.99987760000000003</v>
      </c>
      <c r="N880">
        <v>0</v>
      </c>
      <c r="O880">
        <v>5.7743179999999996E-3</v>
      </c>
      <c r="P880">
        <v>0.99566359999999998</v>
      </c>
      <c r="Q880">
        <v>4.6773960000000003E-2</v>
      </c>
      <c r="R880">
        <v>8.0413449999999997E-2</v>
      </c>
      <c r="S880">
        <v>2.9781949999999999</v>
      </c>
      <c r="T880">
        <v>-0.27502529999999997</v>
      </c>
      <c r="U880">
        <v>0.60711669999999995</v>
      </c>
      <c r="V880">
        <v>-7.4667129999999998E-2</v>
      </c>
      <c r="W880">
        <v>6.1257909999999999E-2</v>
      </c>
      <c r="X880">
        <v>0.99532520000000002</v>
      </c>
      <c r="Y880">
        <v>-0.19331789999999999</v>
      </c>
      <c r="Z880">
        <v>8.2903490000000007E-3</v>
      </c>
      <c r="AA880">
        <v>0.98110119999999901</v>
      </c>
      <c r="AB880">
        <v>34</v>
      </c>
      <c r="AC880">
        <v>11.7173</v>
      </c>
      <c r="AD880">
        <v>-1.1050588994399999</v>
      </c>
      <c r="AE880">
        <v>2.4379000000000102</v>
      </c>
      <c r="AF880">
        <v>-2.3501569158833502</v>
      </c>
      <c r="AG880">
        <v>-1.1050588994399999</v>
      </c>
      <c r="AH880">
        <v>11.632016540686401</v>
      </c>
      <c r="AI880">
        <v>95.320034082979404</v>
      </c>
      <c r="AJ880">
        <v>101.422391103576</v>
      </c>
      <c r="AK880">
        <v>11.9183976063609</v>
      </c>
    </row>
    <row r="881" spans="1:37" x14ac:dyDescent="0.2">
      <c r="A881" t="str">
        <f>"20200111153625763"</f>
        <v>20200111153625763</v>
      </c>
      <c r="B881" t="str">
        <f>"1578728185753520"</f>
        <v>1578728185753520</v>
      </c>
      <c r="C881" t="s">
        <v>37</v>
      </c>
      <c r="D881">
        <v>5.9385120000000002</v>
      </c>
      <c r="E881">
        <v>0.4533527</v>
      </c>
      <c r="F881" t="s">
        <v>39</v>
      </c>
      <c r="G881">
        <v>-243.54839999999999</v>
      </c>
      <c r="H881" s="1">
        <v>-3.03459999999999E-6</v>
      </c>
      <c r="I881">
        <v>369.59140000000002</v>
      </c>
      <c r="J881">
        <v>-255.24099999999899</v>
      </c>
      <c r="K881">
        <v>1.1050500000000001</v>
      </c>
      <c r="L881">
        <v>367.12790000000001</v>
      </c>
      <c r="M881">
        <v>0.99987719999999902</v>
      </c>
      <c r="N881">
        <v>0</v>
      </c>
      <c r="O881">
        <v>5.819823E-3</v>
      </c>
      <c r="P881">
        <v>0.99546309999999905</v>
      </c>
      <c r="Q881">
        <v>4.622333E-2</v>
      </c>
      <c r="R881">
        <v>8.3168599999999995E-2</v>
      </c>
      <c r="S881">
        <v>2.9766240000000002</v>
      </c>
      <c r="T881">
        <v>-0.273802299999999</v>
      </c>
      <c r="U881">
        <v>0.61087040000000004</v>
      </c>
      <c r="V881">
        <v>-7.737803E-2</v>
      </c>
      <c r="W881">
        <v>6.0709619999999999E-2</v>
      </c>
      <c r="X881">
        <v>0.99515180000000003</v>
      </c>
      <c r="Y881">
        <v>-0.1945634</v>
      </c>
      <c r="Z881">
        <v>8.3093009999999998E-3</v>
      </c>
      <c r="AA881">
        <v>0.98085469999999897</v>
      </c>
      <c r="AB881">
        <v>34</v>
      </c>
      <c r="AC881">
        <v>11.692600000000001</v>
      </c>
      <c r="AD881">
        <v>-1.1050530346</v>
      </c>
      <c r="AE881">
        <v>2.46350000000001</v>
      </c>
      <c r="AF881">
        <v>-2.3750897928247698</v>
      </c>
      <c r="AG881">
        <v>-1.1050530346</v>
      </c>
      <c r="AH881">
        <v>11.607470361829501</v>
      </c>
      <c r="AI881">
        <v>95.328526793397103</v>
      </c>
      <c r="AJ881">
        <v>101.56408446325899</v>
      </c>
      <c r="AK881">
        <v>11.899393343108301</v>
      </c>
    </row>
    <row r="882" spans="1:37" x14ac:dyDescent="0.2">
      <c r="A882" t="str">
        <f>"20200111153625777"</f>
        <v>20200111153625777</v>
      </c>
      <c r="B882" t="str">
        <f>"1578728185774016"</f>
        <v>1578728185774016</v>
      </c>
      <c r="C882" t="s">
        <v>37</v>
      </c>
      <c r="D882">
        <v>5.920477</v>
      </c>
      <c r="E882">
        <v>0.4539531</v>
      </c>
      <c r="F882" t="s">
        <v>39</v>
      </c>
      <c r="G882">
        <v>-243.06630000000001</v>
      </c>
      <c r="H882" s="1">
        <v>-3.2609029999999999E-6</v>
      </c>
      <c r="I882">
        <v>369.62689999999998</v>
      </c>
      <c r="J882">
        <v>-255.01400000000001</v>
      </c>
      <c r="K882">
        <v>1.1050500000000001</v>
      </c>
      <c r="L882">
        <v>367.12920000000003</v>
      </c>
      <c r="M882">
        <v>0.99987700000000002</v>
      </c>
      <c r="N882">
        <v>0</v>
      </c>
      <c r="O882">
        <v>5.8525809999999999E-3</v>
      </c>
      <c r="P882">
        <v>0.99538139999999997</v>
      </c>
      <c r="Q882">
        <v>4.5461769999999999E-2</v>
      </c>
      <c r="R882">
        <v>8.4554030000000002E-2</v>
      </c>
      <c r="S882">
        <v>2.9751889999999999</v>
      </c>
      <c r="T882">
        <v>-0.27004640000000002</v>
      </c>
      <c r="U882">
        <v>0.61068730000000004</v>
      </c>
      <c r="V882">
        <v>-7.8731140000000005E-2</v>
      </c>
      <c r="W882">
        <v>5.9949019999999999E-2</v>
      </c>
      <c r="X882">
        <v>0.99509169999999902</v>
      </c>
      <c r="Y882">
        <v>-0.1945866</v>
      </c>
      <c r="Z882">
        <v>8.1977830000000002E-3</v>
      </c>
      <c r="AA882">
        <v>0.98085109999999998</v>
      </c>
      <c r="AB882">
        <v>34</v>
      </c>
      <c r="AC882">
        <v>11.9476999999999</v>
      </c>
      <c r="AD882">
        <v>-1.1050532609029999</v>
      </c>
      <c r="AE882">
        <v>2.4976999999999498</v>
      </c>
      <c r="AF882">
        <v>-2.4079881983817701</v>
      </c>
      <c r="AG882">
        <v>-1.1050532609029999</v>
      </c>
      <c r="AH882">
        <v>11.8648661999718</v>
      </c>
      <c r="AI882">
        <v>95.2152656475116</v>
      </c>
      <c r="AJ882">
        <v>101.472424664724</v>
      </c>
      <c r="AK882">
        <v>12.1570802340122</v>
      </c>
    </row>
    <row r="883" spans="1:37" x14ac:dyDescent="0.2">
      <c r="A883" t="str">
        <f>"20200111153625791"</f>
        <v>20200111153625791</v>
      </c>
      <c r="B883" t="str">
        <f>"1578728185783776"</f>
        <v>1578728185783776</v>
      </c>
      <c r="C883" t="s">
        <v>37</v>
      </c>
      <c r="D883">
        <v>5.9443440000000001</v>
      </c>
      <c r="E883">
        <v>0.45447890000000002</v>
      </c>
      <c r="F883" t="s">
        <v>39</v>
      </c>
      <c r="G883">
        <v>-242.69470000000001</v>
      </c>
      <c r="H883" s="1">
        <v>-3.4439359999999999E-6</v>
      </c>
      <c r="I883">
        <v>369.65469999999999</v>
      </c>
      <c r="J883">
        <v>-254.8169</v>
      </c>
      <c r="K883">
        <v>1.105048</v>
      </c>
      <c r="L883">
        <v>367.13040000000001</v>
      </c>
      <c r="M883">
        <v>0.99987669999999995</v>
      </c>
      <c r="N883">
        <v>0</v>
      </c>
      <c r="O883">
        <v>5.8808169999999896E-3</v>
      </c>
      <c r="P883">
        <v>0.99526130000000002</v>
      </c>
      <c r="Q883">
        <v>4.516742E-2</v>
      </c>
      <c r="R883">
        <v>8.6110619999999999E-2</v>
      </c>
      <c r="S883">
        <v>2.9743189999999999</v>
      </c>
      <c r="T883">
        <v>-0.26680029999999999</v>
      </c>
      <c r="U883">
        <v>0.60974119999999998</v>
      </c>
      <c r="V883">
        <v>-8.0260339999999999E-2</v>
      </c>
      <c r="W883">
        <v>5.9655340000000001E-2</v>
      </c>
      <c r="X883">
        <v>0.99498719999999996</v>
      </c>
      <c r="Y883">
        <v>-0.19433439999999999</v>
      </c>
      <c r="Z883">
        <v>8.0885119999999904E-3</v>
      </c>
      <c r="AA883">
        <v>0.98090200000000005</v>
      </c>
      <c r="AB883">
        <v>34</v>
      </c>
      <c r="AC883">
        <v>12.1221999999999</v>
      </c>
      <c r="AD883">
        <v>-1.105051443936</v>
      </c>
      <c r="AE883">
        <v>2.5242999999999798</v>
      </c>
      <c r="AF883">
        <v>-2.43357774809642</v>
      </c>
      <c r="AG883">
        <v>-1.105051443936</v>
      </c>
      <c r="AH883">
        <v>12.040935026535101</v>
      </c>
      <c r="AI883">
        <v>95.140246211417804</v>
      </c>
      <c r="AJ883">
        <v>101.426058031617</v>
      </c>
      <c r="AK883">
        <v>12.333999986339199</v>
      </c>
    </row>
    <row r="884" spans="1:37" x14ac:dyDescent="0.2">
      <c r="A884" t="str">
        <f>"20200111153625804"</f>
        <v>20200111153625804</v>
      </c>
      <c r="B884" t="str">
        <f>"1578728185793539"</f>
        <v>1578728185793539</v>
      </c>
      <c r="C884" t="s">
        <v>37</v>
      </c>
      <c r="D884">
        <v>5.982621</v>
      </c>
      <c r="E884">
        <v>0.45493440000000002</v>
      </c>
      <c r="F884" t="s">
        <v>39</v>
      </c>
      <c r="G884">
        <v>-242.44730000000001</v>
      </c>
      <c r="H884" s="1">
        <v>-3.5642410000000002E-6</v>
      </c>
      <c r="I884">
        <v>369.66730000000001</v>
      </c>
      <c r="J884">
        <v>-254.62569999999999</v>
      </c>
      <c r="K884">
        <v>1.1050469999999999</v>
      </c>
      <c r="L884">
        <v>367.13159999999999</v>
      </c>
      <c r="M884">
        <v>0.9998766</v>
      </c>
      <c r="N884">
        <v>0</v>
      </c>
      <c r="O884">
        <v>5.9078659999999899E-3</v>
      </c>
      <c r="P884">
        <v>0.99514340000000001</v>
      </c>
      <c r="Q884">
        <v>4.4965150000000002E-2</v>
      </c>
      <c r="R884">
        <v>8.7567010000000001E-2</v>
      </c>
      <c r="S884">
        <v>2.9735719999999999</v>
      </c>
      <c r="T884">
        <v>-0.26564909999999903</v>
      </c>
      <c r="U884">
        <v>0.6098633</v>
      </c>
      <c r="V884">
        <v>-8.1690299999999993E-2</v>
      </c>
      <c r="W884">
        <v>5.9452570000000003E-2</v>
      </c>
      <c r="X884">
        <v>0.99488290000000001</v>
      </c>
      <c r="Y884">
        <v>-0.19440070000000001</v>
      </c>
      <c r="Z884">
        <v>8.0562340000000007E-3</v>
      </c>
      <c r="AA884">
        <v>0.98088909999999996</v>
      </c>
      <c r="AB884">
        <v>34</v>
      </c>
      <c r="AC884">
        <v>12.1783999999999</v>
      </c>
      <c r="AD884">
        <v>-1.10505056424099</v>
      </c>
      <c r="AE884">
        <v>2.5357000000000198</v>
      </c>
      <c r="AF884">
        <v>-2.4444100019397901</v>
      </c>
      <c r="AG884">
        <v>-1.10505056424099</v>
      </c>
      <c r="AH884">
        <v>12.0977020724292</v>
      </c>
      <c r="AI884">
        <v>95.1163028121194</v>
      </c>
      <c r="AJ884">
        <v>101.423141946642</v>
      </c>
      <c r="AK884">
        <v>12.3915564978888</v>
      </c>
    </row>
    <row r="885" spans="1:37" x14ac:dyDescent="0.2">
      <c r="A885" t="str">
        <f>"20200111153625815"</f>
        <v>20200111153625815</v>
      </c>
      <c r="B885" t="str">
        <f>"1578728185813056"</f>
        <v>1578728185813056</v>
      </c>
      <c r="C885" t="s">
        <v>37</v>
      </c>
      <c r="D885">
        <v>5.8821560000000002</v>
      </c>
      <c r="E885">
        <v>0.45539079999999899</v>
      </c>
      <c r="F885" t="s">
        <v>39</v>
      </c>
      <c r="G885">
        <v>-242.19759999999999</v>
      </c>
      <c r="H885" s="1">
        <v>-3.6866579999999999E-6</v>
      </c>
      <c r="I885">
        <v>369.68369999999999</v>
      </c>
      <c r="J885">
        <v>-254.43469999999999</v>
      </c>
      <c r="K885">
        <v>1.1050450000000001</v>
      </c>
      <c r="L885">
        <v>367.1327</v>
      </c>
      <c r="M885">
        <v>0.99987630000000005</v>
      </c>
      <c r="N885">
        <v>0</v>
      </c>
      <c r="O885">
        <v>5.934918E-3</v>
      </c>
      <c r="P885">
        <v>0.99499490000000002</v>
      </c>
      <c r="Q885">
        <v>4.5325230000000001E-2</v>
      </c>
      <c r="R885">
        <v>8.9054250000000001E-2</v>
      </c>
      <c r="S885">
        <v>2.9729000000000001</v>
      </c>
      <c r="T885">
        <v>-0.26433679999999998</v>
      </c>
      <c r="U885">
        <v>0.61047359999999995</v>
      </c>
      <c r="V885">
        <v>-8.3151909999999996E-2</v>
      </c>
      <c r="W885">
        <v>5.9811940000000001E-2</v>
      </c>
      <c r="X885">
        <v>0.99474030000000002</v>
      </c>
      <c r="Y885">
        <v>-0.19461709999999999</v>
      </c>
      <c r="Z885">
        <v>8.0253210000000002E-3</v>
      </c>
      <c r="AA885">
        <v>0.98084649999999995</v>
      </c>
      <c r="AB885">
        <v>34</v>
      </c>
      <c r="AC885">
        <v>12.2370999999999</v>
      </c>
      <c r="AD885">
        <v>-1.105048686658</v>
      </c>
      <c r="AE885">
        <v>2.5509999999999802</v>
      </c>
      <c r="AF885">
        <v>-2.4591031881663001</v>
      </c>
      <c r="AG885">
        <v>-1.105048686658</v>
      </c>
      <c r="AH885">
        <v>12.1570184616735</v>
      </c>
      <c r="AI885">
        <v>95.091243211901102</v>
      </c>
      <c r="AJ885">
        <v>101.435403409049</v>
      </c>
      <c r="AK885">
        <v>12.452365998773301</v>
      </c>
    </row>
    <row r="886" spans="1:37" x14ac:dyDescent="0.2">
      <c r="A886" t="str">
        <f>"20200111153625831"</f>
        <v>20200111153625831</v>
      </c>
      <c r="B886" t="str">
        <f>"1578728185823792"</f>
        <v>1578728185823792</v>
      </c>
      <c r="C886" t="s">
        <v>37</v>
      </c>
      <c r="D886">
        <v>5.9725570000000001</v>
      </c>
      <c r="E886">
        <v>0.45539079999999899</v>
      </c>
      <c r="F886" t="s">
        <v>39</v>
      </c>
      <c r="G886">
        <v>-241.8938</v>
      </c>
      <c r="H886" s="1">
        <v>-3.8376539999999997E-6</v>
      </c>
      <c r="I886">
        <v>369.7115</v>
      </c>
      <c r="J886">
        <v>-254.2062</v>
      </c>
      <c r="K886">
        <v>1.1050450000000001</v>
      </c>
      <c r="L886">
        <v>367.13409999999999</v>
      </c>
      <c r="M886">
        <v>0.99987610000000005</v>
      </c>
      <c r="N886">
        <v>0</v>
      </c>
      <c r="O886">
        <v>5.9676879999999996E-3</v>
      </c>
      <c r="P886">
        <v>0.99473849999999997</v>
      </c>
      <c r="Q886">
        <v>4.5516149999999998E-2</v>
      </c>
      <c r="R886">
        <v>9.1780230000000004E-2</v>
      </c>
      <c r="S886">
        <v>2.972321</v>
      </c>
      <c r="T886">
        <v>-0.26190819999999998</v>
      </c>
      <c r="U886">
        <v>0.61120609999999997</v>
      </c>
      <c r="V886">
        <v>-8.5846249999999999E-2</v>
      </c>
      <c r="W886">
        <v>5.9999950000000003E-2</v>
      </c>
      <c r="X886">
        <v>0.9945001</v>
      </c>
      <c r="Y886">
        <v>-0.1948666</v>
      </c>
      <c r="Z886">
        <v>7.9611899999999999E-3</v>
      </c>
      <c r="AA886">
        <v>0.98079749999999999</v>
      </c>
      <c r="AB886">
        <v>34</v>
      </c>
      <c r="AC886">
        <v>12.312399999999901</v>
      </c>
      <c r="AD886">
        <v>-1.105048837654</v>
      </c>
      <c r="AE886">
        <v>2.5774000000000101</v>
      </c>
      <c r="AF886">
        <v>-2.4846952051319899</v>
      </c>
      <c r="AG886">
        <v>-1.105048837654</v>
      </c>
      <c r="AH886">
        <v>12.233159482983099</v>
      </c>
      <c r="AI886">
        <v>95.058903962323299</v>
      </c>
      <c r="AJ886">
        <v>101.48124775725501</v>
      </c>
      <c r="AK886">
        <v>12.5317610148018</v>
      </c>
    </row>
    <row r="887" spans="1:37" x14ac:dyDescent="0.2">
      <c r="A887" t="str">
        <f>"20200111153625844"</f>
        <v>20200111153625844</v>
      </c>
      <c r="B887" t="str">
        <f>"1578728185833553"</f>
        <v>1578728185833553</v>
      </c>
      <c r="C887" t="s">
        <v>37</v>
      </c>
      <c r="D887">
        <v>6.0483719999999996</v>
      </c>
      <c r="E887">
        <v>0.42990509999999899</v>
      </c>
      <c r="F887" t="s">
        <v>39</v>
      </c>
      <c r="G887">
        <v>-241.64660000000001</v>
      </c>
      <c r="H887" s="1">
        <v>-3.9655060000000001E-6</v>
      </c>
      <c r="I887">
        <v>369.75279999999998</v>
      </c>
      <c r="J887">
        <v>-254.01769999999999</v>
      </c>
      <c r="K887">
        <v>1.105046</v>
      </c>
      <c r="L887">
        <v>367.13529999999997</v>
      </c>
      <c r="M887">
        <v>0.99987610000000005</v>
      </c>
      <c r="N887">
        <v>0</v>
      </c>
      <c r="O887">
        <v>5.9945600000000003E-3</v>
      </c>
      <c r="P887">
        <v>0.99461460000000002</v>
      </c>
      <c r="Q887">
        <v>4.5501390000000003E-2</v>
      </c>
      <c r="R887">
        <v>9.3121620000000002E-2</v>
      </c>
      <c r="S887">
        <v>2.9706730000000001</v>
      </c>
      <c r="T887">
        <v>-0.2613723</v>
      </c>
      <c r="U887">
        <v>0.61938479999999996</v>
      </c>
      <c r="V887">
        <v>-8.7161249999999996E-2</v>
      </c>
      <c r="W887">
        <v>5.9984240000000001E-2</v>
      </c>
      <c r="X887">
        <v>0.99438669999999996</v>
      </c>
      <c r="Y887">
        <v>-0.19752890000000001</v>
      </c>
      <c r="Z887">
        <v>8.0604040000000002E-3</v>
      </c>
      <c r="AA887">
        <v>0.98026389999999997</v>
      </c>
      <c r="AB887">
        <v>34</v>
      </c>
      <c r="AC887">
        <v>12.371099999999901</v>
      </c>
      <c r="AD887">
        <v>-1.105049965506</v>
      </c>
      <c r="AE887">
        <v>2.6175000000000002</v>
      </c>
      <c r="AF887">
        <v>-2.5240097175542902</v>
      </c>
      <c r="AG887">
        <v>-1.105049965506</v>
      </c>
      <c r="AH887">
        <v>12.292689742822899</v>
      </c>
      <c r="AI887">
        <v>95.032362285344803</v>
      </c>
      <c r="AJ887">
        <v>101.60305423609999</v>
      </c>
      <c r="AK887">
        <v>12.597697471914399</v>
      </c>
    </row>
    <row r="888" spans="1:37" x14ac:dyDescent="0.2">
      <c r="A888" t="str">
        <f>"20200111153625857"</f>
        <v>20200111153625857</v>
      </c>
      <c r="B888" t="str">
        <f>"1578728185854048"</f>
        <v>1578728185854048</v>
      </c>
      <c r="C888" t="s">
        <v>37</v>
      </c>
      <c r="D888">
        <v>6.018014</v>
      </c>
      <c r="E888">
        <v>0.42980609999999903</v>
      </c>
      <c r="F888" t="s">
        <v>39</v>
      </c>
      <c r="G888">
        <v>-243.07159999999999</v>
      </c>
      <c r="H888" s="1">
        <v>-3.40867399999999E-6</v>
      </c>
      <c r="I888">
        <v>370.19170000000003</v>
      </c>
      <c r="J888">
        <v>-253.80779999999999</v>
      </c>
      <c r="K888">
        <v>1.105046</v>
      </c>
      <c r="L888">
        <v>367.13659999999999</v>
      </c>
      <c r="M888">
        <v>0.99987579999999998</v>
      </c>
      <c r="N888">
        <v>0</v>
      </c>
      <c r="O888">
        <v>6.0246539999999999E-3</v>
      </c>
      <c r="P888">
        <v>0.99450179999999999</v>
      </c>
      <c r="Q888">
        <v>4.5559809999999999E-2</v>
      </c>
      <c r="R888">
        <v>9.4290070000000004E-2</v>
      </c>
      <c r="S888">
        <v>2.9526669999999999</v>
      </c>
      <c r="T888">
        <v>-0.29808200000000001</v>
      </c>
      <c r="U888">
        <v>0.8244629</v>
      </c>
      <c r="V888">
        <v>-8.8300770000000001E-2</v>
      </c>
      <c r="W888">
        <v>6.0041839999999999E-2</v>
      </c>
      <c r="X888">
        <v>0.99428259999999902</v>
      </c>
      <c r="Y888">
        <v>-0.2619245</v>
      </c>
      <c r="Z888">
        <v>1.2346579999999999E-2</v>
      </c>
      <c r="AA888">
        <v>0.96500940000000002</v>
      </c>
      <c r="AB888">
        <v>34</v>
      </c>
      <c r="AC888">
        <v>10.736199999999901</v>
      </c>
      <c r="AD888">
        <v>-1.1050494086739999</v>
      </c>
      <c r="AE888">
        <v>3.0551000000000301</v>
      </c>
      <c r="AF888">
        <v>-2.9613333506899302</v>
      </c>
      <c r="AG888">
        <v>-1.1050494086739999</v>
      </c>
      <c r="AH888">
        <v>10.650037672069899</v>
      </c>
      <c r="AI888">
        <v>95.708750252940604</v>
      </c>
      <c r="AJ888">
        <v>105.539041205039</v>
      </c>
      <c r="AK888">
        <v>11.109182320316201</v>
      </c>
    </row>
    <row r="889" spans="1:37" x14ac:dyDescent="0.2">
      <c r="A889" t="str">
        <f>"20200111153625870"</f>
        <v>20200111153625870</v>
      </c>
      <c r="B889" t="str">
        <f>"1578728185863809"</f>
        <v>1578728185863809</v>
      </c>
      <c r="C889" t="s">
        <v>37</v>
      </c>
      <c r="D889">
        <v>5.9680299999999997</v>
      </c>
      <c r="E889">
        <v>0.43043859999999901</v>
      </c>
      <c r="F889" t="s">
        <v>39</v>
      </c>
      <c r="G889">
        <v>-243.01009999999999</v>
      </c>
      <c r="H889" s="1">
        <v>-3.43138899999999E-6</v>
      </c>
      <c r="I889">
        <v>370.16770000000002</v>
      </c>
      <c r="J889">
        <v>-253.60650000000001</v>
      </c>
      <c r="K889">
        <v>1.1050469999999999</v>
      </c>
      <c r="L889">
        <v>367.13780000000003</v>
      </c>
      <c r="M889">
        <v>0.99987559999999998</v>
      </c>
      <c r="N889">
        <v>0</v>
      </c>
      <c r="O889">
        <v>6.053559E-3</v>
      </c>
      <c r="P889">
        <v>0.99440010000000001</v>
      </c>
      <c r="Q889">
        <v>4.5415129999999998E-2</v>
      </c>
      <c r="R889">
        <v>9.542631E-2</v>
      </c>
      <c r="S889">
        <v>2.9518740000000001</v>
      </c>
      <c r="T889">
        <v>-0.30209609999999998</v>
      </c>
      <c r="U889">
        <v>0.82864380000000004</v>
      </c>
      <c r="V889">
        <v>-8.9409020000000006E-2</v>
      </c>
      <c r="W889">
        <v>5.9896190000000002E-2</v>
      </c>
      <c r="X889">
        <v>0.99419239999999998</v>
      </c>
      <c r="Y889">
        <v>-0.26319229999999999</v>
      </c>
      <c r="Z889">
        <v>1.2573519999999999E-2</v>
      </c>
      <c r="AA889">
        <v>0.96466149999999995</v>
      </c>
      <c r="AB889">
        <v>34</v>
      </c>
      <c r="AC889">
        <v>10.596399999999999</v>
      </c>
      <c r="AD889">
        <v>-1.1050504313889999</v>
      </c>
      <c r="AE889">
        <v>3.0298999999999898</v>
      </c>
      <c r="AF889">
        <v>-2.93617296102697</v>
      </c>
      <c r="AG889">
        <v>-1.1050504313889999</v>
      </c>
      <c r="AH889">
        <v>10.508898366211801</v>
      </c>
      <c r="AI889">
        <v>95.782918779548694</v>
      </c>
      <c r="AJ889">
        <v>105.61029630633701</v>
      </c>
      <c r="AK889">
        <v>10.9671871044652</v>
      </c>
    </row>
    <row r="890" spans="1:37" x14ac:dyDescent="0.2">
      <c r="A890" t="str">
        <f>"20200111153625887"</f>
        <v>20200111153625887</v>
      </c>
      <c r="B890" t="str">
        <f>"1578728185883328"</f>
        <v>1578728185883328</v>
      </c>
      <c r="C890" t="s">
        <v>37</v>
      </c>
      <c r="D890">
        <v>5.9577150000000003</v>
      </c>
      <c r="E890">
        <v>0.4315948</v>
      </c>
      <c r="F890" t="s">
        <v>39</v>
      </c>
      <c r="G890">
        <v>-242.84299999999999</v>
      </c>
      <c r="H890" s="1">
        <v>-3.5069319999999999E-6</v>
      </c>
      <c r="I890">
        <v>370.15480000000002</v>
      </c>
      <c r="J890">
        <v>-253.36709999999999</v>
      </c>
      <c r="K890">
        <v>1.1050500000000001</v>
      </c>
      <c r="L890">
        <v>367.13929999999999</v>
      </c>
      <c r="M890">
        <v>0.99987539999999997</v>
      </c>
      <c r="N890">
        <v>0</v>
      </c>
      <c r="O890">
        <v>6.087828E-3</v>
      </c>
      <c r="P890">
        <v>0.99421499999999996</v>
      </c>
      <c r="Q890">
        <v>4.584121E-2</v>
      </c>
      <c r="R890">
        <v>9.7135470000000002E-2</v>
      </c>
      <c r="S890">
        <v>2.9513400000000001</v>
      </c>
      <c r="T890">
        <v>-0.30300359999999998</v>
      </c>
      <c r="U890">
        <v>0.82727050000000002</v>
      </c>
      <c r="V890">
        <v>-9.1085260000000001E-2</v>
      </c>
      <c r="W890">
        <v>6.0319329999999997E-2</v>
      </c>
      <c r="X890">
        <v>0.99401459999999997</v>
      </c>
      <c r="Y890">
        <v>-0.26278259999999998</v>
      </c>
      <c r="Z890">
        <v>1.259004E-2</v>
      </c>
      <c r="AA890">
        <v>0.96477289999999905</v>
      </c>
      <c r="AB890">
        <v>34</v>
      </c>
      <c r="AC890">
        <v>10.524100000000001</v>
      </c>
      <c r="AD890">
        <v>-1.105053506932</v>
      </c>
      <c r="AE890">
        <v>3.01550000000003</v>
      </c>
      <c r="AF890">
        <v>-2.9216003995609099</v>
      </c>
      <c r="AG890">
        <v>-1.105053506932</v>
      </c>
      <c r="AH890">
        <v>10.4359336622956</v>
      </c>
      <c r="AI890">
        <v>95.822254700989703</v>
      </c>
      <c r="AJ890">
        <v>105.639899302415</v>
      </c>
      <c r="AK890">
        <v>10.8933742959531</v>
      </c>
    </row>
    <row r="891" spans="1:37" x14ac:dyDescent="0.2">
      <c r="A891" t="str">
        <f>"20200111153625900"</f>
        <v>20200111153625900</v>
      </c>
      <c r="B891" t="str">
        <f>"1578728185894064"</f>
        <v>1578728185894064</v>
      </c>
      <c r="C891" t="s">
        <v>37</v>
      </c>
      <c r="D891">
        <v>5.9371299999999998</v>
      </c>
      <c r="E891">
        <v>0.43203629999999998</v>
      </c>
      <c r="F891" t="s">
        <v>39</v>
      </c>
      <c r="G891">
        <v>-242.53020000000001</v>
      </c>
      <c r="H891" s="1">
        <v>-3.6568209999999998E-6</v>
      </c>
      <c r="I891">
        <v>370.16250000000002</v>
      </c>
      <c r="J891">
        <v>-253.15389999999999</v>
      </c>
      <c r="K891">
        <v>1.1050519999999999</v>
      </c>
      <c r="L891">
        <v>367.14069999999998</v>
      </c>
      <c r="M891">
        <v>0.99987519999999996</v>
      </c>
      <c r="N891">
        <v>0</v>
      </c>
      <c r="O891">
        <v>6.118226E-3</v>
      </c>
      <c r="P891">
        <v>0.99416159999999998</v>
      </c>
      <c r="Q891">
        <v>4.6034440000000003E-2</v>
      </c>
      <c r="R891">
        <v>9.7589369999999995E-2</v>
      </c>
      <c r="S891">
        <v>2.95091199999999</v>
      </c>
      <c r="T891">
        <v>-0.30090859999999903</v>
      </c>
      <c r="U891">
        <v>0.82321169999999999</v>
      </c>
      <c r="V891">
        <v>-9.1509339999999995E-2</v>
      </c>
      <c r="W891">
        <v>6.0511620000000002E-2</v>
      </c>
      <c r="X891">
        <v>0.99396399999999996</v>
      </c>
      <c r="Y891">
        <v>-0.26158089999999901</v>
      </c>
      <c r="Z891">
        <v>1.244439E-2</v>
      </c>
      <c r="AA891">
        <v>0.9651014</v>
      </c>
      <c r="AB891">
        <v>34</v>
      </c>
      <c r="AC891">
        <v>10.6236999999999</v>
      </c>
      <c r="AD891">
        <v>-1.1050556568209999</v>
      </c>
      <c r="AE891">
        <v>3.0218000000000398</v>
      </c>
      <c r="AF891">
        <v>-2.9274350649510898</v>
      </c>
      <c r="AG891">
        <v>-1.1050556568209999</v>
      </c>
      <c r="AH891">
        <v>10.536521822707799</v>
      </c>
      <c r="AI891">
        <v>95.770201033783593</v>
      </c>
      <c r="AJ891">
        <v>105.527258297377</v>
      </c>
      <c r="AK891">
        <v>10.9913291363954</v>
      </c>
    </row>
    <row r="892" spans="1:37" x14ac:dyDescent="0.2">
      <c r="A892" t="str">
        <f>"20200111153625913"</f>
        <v>20200111153625913</v>
      </c>
      <c r="B892" t="str">
        <f>"1578728185903825"</f>
        <v>1578728185903825</v>
      </c>
      <c r="C892" t="s">
        <v>37</v>
      </c>
      <c r="D892">
        <v>5.934348</v>
      </c>
      <c r="E892">
        <v>0.43235469999999998</v>
      </c>
      <c r="F892" t="s">
        <v>39</v>
      </c>
      <c r="G892">
        <v>-242.32589999999999</v>
      </c>
      <c r="H892" s="1">
        <v>-3.7510379999999999E-6</v>
      </c>
      <c r="I892">
        <v>370.15370000000001</v>
      </c>
      <c r="J892">
        <v>-252.95840000000001</v>
      </c>
      <c r="K892">
        <v>1.1050580000000001</v>
      </c>
      <c r="L892">
        <v>367.14190000000002</v>
      </c>
      <c r="M892">
        <v>0.99987510000000002</v>
      </c>
      <c r="N892">
        <v>0</v>
      </c>
      <c r="O892">
        <v>6.146121E-3</v>
      </c>
      <c r="P892">
        <v>0.99412180000000006</v>
      </c>
      <c r="Q892">
        <v>4.6288429999999998E-2</v>
      </c>
      <c r="R892">
        <v>9.7873719999999997E-2</v>
      </c>
      <c r="S892">
        <v>2.9509430000000001</v>
      </c>
      <c r="T892">
        <v>-0.30116079999999901</v>
      </c>
      <c r="U892">
        <v>0.82113649999999905</v>
      </c>
      <c r="V892">
        <v>-9.1765749999999993E-2</v>
      </c>
      <c r="W892">
        <v>6.0764829999999999E-2</v>
      </c>
      <c r="X892">
        <v>0.9939249</v>
      </c>
      <c r="Y892">
        <v>-0.2609224</v>
      </c>
      <c r="Z892">
        <v>1.242012E-2</v>
      </c>
      <c r="AA892">
        <v>0.96527989999999997</v>
      </c>
      <c r="AB892">
        <v>34</v>
      </c>
      <c r="AC892">
        <v>10.6325</v>
      </c>
      <c r="AD892">
        <v>-1.1050617510380001</v>
      </c>
      <c r="AE892">
        <v>3.0117999999999898</v>
      </c>
      <c r="AF892">
        <v>-2.9172165351861299</v>
      </c>
      <c r="AG892">
        <v>-1.1050617510380001</v>
      </c>
      <c r="AH892">
        <v>10.545362545987199</v>
      </c>
      <c r="AI892">
        <v>95.767200036911007</v>
      </c>
      <c r="AJ892">
        <v>105.463307883856</v>
      </c>
      <c r="AK892">
        <v>10.9970898429121</v>
      </c>
    </row>
    <row r="893" spans="1:37" x14ac:dyDescent="0.2">
      <c r="A893" t="str">
        <f>"20200111153625927"</f>
        <v>20200111153625927</v>
      </c>
      <c r="B893" t="str">
        <f>"1578728185923344"</f>
        <v>1578728185923344</v>
      </c>
      <c r="C893" t="s">
        <v>37</v>
      </c>
      <c r="D893">
        <v>5.9803759999999997</v>
      </c>
      <c r="E893">
        <v>0.43296759999999901</v>
      </c>
      <c r="F893" t="s">
        <v>39</v>
      </c>
      <c r="G893">
        <v>-242.05719999999999</v>
      </c>
      <c r="H893" s="1">
        <v>-3.8826049999999901E-6</v>
      </c>
      <c r="I893">
        <v>370.17070000000001</v>
      </c>
      <c r="J893">
        <v>-252.76070000000001</v>
      </c>
      <c r="K893">
        <v>1.1050599999999999</v>
      </c>
      <c r="L893">
        <v>367.14319999999998</v>
      </c>
      <c r="M893">
        <v>0.99987499999999996</v>
      </c>
      <c r="N893">
        <v>0</v>
      </c>
      <c r="O893">
        <v>6.1741959999999999E-3</v>
      </c>
      <c r="P893">
        <v>0.99410779999999999</v>
      </c>
      <c r="Q893">
        <v>4.6565130000000003E-2</v>
      </c>
      <c r="R893">
        <v>9.7885990000000006E-2</v>
      </c>
      <c r="S893">
        <v>2.9509430000000001</v>
      </c>
      <c r="T893">
        <v>-0.29913879999999998</v>
      </c>
      <c r="U893">
        <v>0.81988530000000004</v>
      </c>
      <c r="V893">
        <v>-9.1750460000000006E-2</v>
      </c>
      <c r="W893">
        <v>6.1040410000000003E-2</v>
      </c>
      <c r="X893">
        <v>0.99390940000000005</v>
      </c>
      <c r="Y893">
        <v>-0.26053369999999998</v>
      </c>
      <c r="Z893">
        <v>1.231574E-2</v>
      </c>
      <c r="AA893">
        <v>0.96538619999999997</v>
      </c>
      <c r="AB893">
        <v>34</v>
      </c>
      <c r="AC893">
        <v>10.7035</v>
      </c>
      <c r="AD893">
        <v>-1.1050638826049901</v>
      </c>
      <c r="AE893">
        <v>3.0275000000000301</v>
      </c>
      <c r="AF893">
        <v>-2.9324082199935302</v>
      </c>
      <c r="AG893">
        <v>-1.1050638826049901</v>
      </c>
      <c r="AH893">
        <v>10.6172032685028</v>
      </c>
      <c r="AI893">
        <v>95.729092395974504</v>
      </c>
      <c r="AJ893">
        <v>105.43983503258499</v>
      </c>
      <c r="AK893">
        <v>11.070013071267301</v>
      </c>
    </row>
    <row r="894" spans="1:37" x14ac:dyDescent="0.2">
      <c r="A894" t="str">
        <f>"20200111153625940"</f>
        <v>20200111153625940</v>
      </c>
      <c r="B894" t="str">
        <f>"1578728185933106"</f>
        <v>1578728185933106</v>
      </c>
      <c r="C894" t="s">
        <v>37</v>
      </c>
      <c r="D894">
        <v>5.9658519999999999</v>
      </c>
      <c r="E894">
        <v>0.43310670000000001</v>
      </c>
      <c r="F894" t="s">
        <v>39</v>
      </c>
      <c r="G894">
        <v>-241.8742</v>
      </c>
      <c r="H894" s="1">
        <v>-3.9637069999999998E-6</v>
      </c>
      <c r="I894">
        <v>370.15030000000002</v>
      </c>
      <c r="J894">
        <v>-252.5566</v>
      </c>
      <c r="K894">
        <v>1.1050659999999899</v>
      </c>
      <c r="L894">
        <v>367.14440000000002</v>
      </c>
      <c r="M894">
        <v>0.99987479999999995</v>
      </c>
      <c r="N894">
        <v>0</v>
      </c>
      <c r="O894">
        <v>6.2034630000000002E-3</v>
      </c>
      <c r="P894">
        <v>0.99410589999999999</v>
      </c>
      <c r="Q894">
        <v>4.7035680000000003E-2</v>
      </c>
      <c r="R894">
        <v>9.7679160000000001E-2</v>
      </c>
      <c r="S894">
        <v>2.9515689999999899</v>
      </c>
      <c r="T894">
        <v>-0.29960569999999997</v>
      </c>
      <c r="U894">
        <v>0.81530760000000002</v>
      </c>
      <c r="V894">
        <v>-9.1514150000000002E-2</v>
      </c>
      <c r="W894">
        <v>6.1510639999999998E-2</v>
      </c>
      <c r="X894">
        <v>0.99390219999999996</v>
      </c>
      <c r="Y894">
        <v>-0.25906509999999999</v>
      </c>
      <c r="Z894">
        <v>1.2258959999999999E-2</v>
      </c>
      <c r="AA894">
        <v>0.96578199999999903</v>
      </c>
      <c r="AB894">
        <v>34</v>
      </c>
      <c r="AC894">
        <v>10.682399999999999</v>
      </c>
      <c r="AD894">
        <v>-1.1050699637069901</v>
      </c>
      <c r="AE894">
        <v>3.0058999999999898</v>
      </c>
      <c r="AF894">
        <v>-2.9107039312266201</v>
      </c>
      <c r="AG894">
        <v>-1.1050699637069901</v>
      </c>
      <c r="AH894">
        <v>10.5957728429489</v>
      </c>
      <c r="AI894">
        <v>95.7428091733359</v>
      </c>
      <c r="AJ894">
        <v>105.36049671443</v>
      </c>
      <c r="AK894">
        <v>11.043721254148</v>
      </c>
    </row>
    <row r="895" spans="1:37" x14ac:dyDescent="0.2">
      <c r="A895" t="str">
        <f>"20200111153625952"</f>
        <v>20200111153625952</v>
      </c>
      <c r="B895" t="str">
        <f>"1578728185943840"</f>
        <v>1578728185943840</v>
      </c>
      <c r="C895" t="s">
        <v>37</v>
      </c>
      <c r="D895">
        <v>5.974844</v>
      </c>
      <c r="E895">
        <v>0.43332680000000001</v>
      </c>
      <c r="F895" t="s">
        <v>39</v>
      </c>
      <c r="G895">
        <v>-241.60939999999999</v>
      </c>
      <c r="H895" s="1">
        <v>-4.0922630000000002E-6</v>
      </c>
      <c r="I895">
        <v>370.16309999999999</v>
      </c>
      <c r="J895">
        <v>-252.35480000000001</v>
      </c>
      <c r="K895">
        <v>1.1050739999999999</v>
      </c>
      <c r="L895">
        <v>367.14569999999998</v>
      </c>
      <c r="M895">
        <v>0.99987459999999995</v>
      </c>
      <c r="N895">
        <v>0</v>
      </c>
      <c r="O895">
        <v>6.2323739999999997E-3</v>
      </c>
      <c r="P895">
        <v>0.99419709999999994</v>
      </c>
      <c r="Q895">
        <v>4.7155500000000003E-2</v>
      </c>
      <c r="R895">
        <v>9.668794E-2</v>
      </c>
      <c r="S895">
        <v>2.9519199999999999</v>
      </c>
      <c r="T895">
        <v>-0.29798159999999901</v>
      </c>
      <c r="U895">
        <v>0.81396480000000004</v>
      </c>
      <c r="V895">
        <v>-9.0494019999999994E-2</v>
      </c>
      <c r="W895">
        <v>6.163105E-2</v>
      </c>
      <c r="X895">
        <v>0.99398819999999999</v>
      </c>
      <c r="Y895">
        <v>-0.25861469999999998</v>
      </c>
      <c r="Z895">
        <v>1.2167030000000001E-2</v>
      </c>
      <c r="AA895">
        <v>0.96590390000000004</v>
      </c>
      <c r="AB895">
        <v>34</v>
      </c>
      <c r="AC895">
        <v>10.7454</v>
      </c>
      <c r="AD895">
        <v>-1.1050780922629999</v>
      </c>
      <c r="AE895">
        <v>3.0173999999999999</v>
      </c>
      <c r="AF895">
        <v>-2.9217220210245101</v>
      </c>
      <c r="AG895">
        <v>-1.1050780922629999</v>
      </c>
      <c r="AH895">
        <v>10.659499106000499</v>
      </c>
      <c r="AI895">
        <v>95.709626651672096</v>
      </c>
      <c r="AJ895">
        <v>105.32806614381801</v>
      </c>
      <c r="AK895">
        <v>11.107771079247399</v>
      </c>
    </row>
    <row r="896" spans="1:37" x14ac:dyDescent="0.2">
      <c r="A896" t="str">
        <f>"20200111153625968"</f>
        <v>20200111153625968</v>
      </c>
      <c r="B896" t="str">
        <f>"1578728185963360"</f>
        <v>1578728185963360</v>
      </c>
      <c r="C896" t="s">
        <v>37</v>
      </c>
      <c r="D896">
        <v>5.9641909999999996</v>
      </c>
      <c r="E896">
        <v>0.4335678</v>
      </c>
      <c r="F896" t="s">
        <v>39</v>
      </c>
      <c r="G896">
        <v>-241.40809999999999</v>
      </c>
      <c r="H896" s="1">
        <v>-4.1827249999999998E-6</v>
      </c>
      <c r="I896">
        <v>370.1454</v>
      </c>
      <c r="J896">
        <v>-252.13820000000001</v>
      </c>
      <c r="K896">
        <v>1.1050799999999901</v>
      </c>
      <c r="L896">
        <v>367.14710000000002</v>
      </c>
      <c r="M896">
        <v>0.99987440000000005</v>
      </c>
      <c r="N896">
        <v>0</v>
      </c>
      <c r="O896">
        <v>6.2634319999999898E-3</v>
      </c>
      <c r="P896">
        <v>0.99422089999999996</v>
      </c>
      <c r="Q896">
        <v>4.7191749999999998E-2</v>
      </c>
      <c r="R896">
        <v>9.6425919999999998E-2</v>
      </c>
      <c r="S896">
        <v>2.9529570000000001</v>
      </c>
      <c r="T896">
        <v>-0.29810249999999999</v>
      </c>
      <c r="U896">
        <v>0.80920409999999998</v>
      </c>
      <c r="V896">
        <v>-9.0200909999999995E-2</v>
      </c>
      <c r="W896">
        <v>6.1666749999999999E-2</v>
      </c>
      <c r="X896">
        <v>0.99401260000000002</v>
      </c>
      <c r="Y896">
        <v>-0.25705630000000002</v>
      </c>
      <c r="Z896">
        <v>1.209025E-2</v>
      </c>
      <c r="AA896">
        <v>0.96632079999999998</v>
      </c>
      <c r="AB896">
        <v>34</v>
      </c>
      <c r="AC896">
        <v>10.7301</v>
      </c>
      <c r="AD896">
        <v>-1.10508418272499</v>
      </c>
      <c r="AE896">
        <v>2.9982999999999702</v>
      </c>
      <c r="AF896">
        <v>-2.9024706377926002</v>
      </c>
      <c r="AG896">
        <v>-1.10508418272499</v>
      </c>
      <c r="AH896">
        <v>10.643949869005899</v>
      </c>
      <c r="AI896">
        <v>95.719978769142898</v>
      </c>
      <c r="AJ896">
        <v>105.25299041043201</v>
      </c>
      <c r="AK896">
        <v>11.0877957984474</v>
      </c>
    </row>
    <row r="897" spans="1:37" x14ac:dyDescent="0.2">
      <c r="A897" t="str">
        <f>"20200111153625980"</f>
        <v>20200111153625980</v>
      </c>
      <c r="B897" t="str">
        <f>"1578728185973120"</f>
        <v>1578728185973120</v>
      </c>
      <c r="C897" t="s">
        <v>37</v>
      </c>
      <c r="D897">
        <v>5.9908989999999998</v>
      </c>
      <c r="E897">
        <v>0.43377460000000001</v>
      </c>
      <c r="F897" t="s">
        <v>39</v>
      </c>
      <c r="G897">
        <v>-241.25599999999901</v>
      </c>
      <c r="H897" s="1">
        <v>-4.2476389999999998E-6</v>
      </c>
      <c r="I897">
        <v>370.11919999999998</v>
      </c>
      <c r="J897">
        <v>-251.9462</v>
      </c>
      <c r="K897">
        <v>1.105081</v>
      </c>
      <c r="L897">
        <v>367.14830000000001</v>
      </c>
      <c r="M897">
        <v>0.99987429999999999</v>
      </c>
      <c r="N897">
        <v>0</v>
      </c>
      <c r="O897">
        <v>6.2908529999999999E-3</v>
      </c>
      <c r="P897">
        <v>0.99424760000000001</v>
      </c>
      <c r="Q897">
        <v>4.7433980000000001E-2</v>
      </c>
      <c r="R897">
        <v>9.6031450000000004E-2</v>
      </c>
      <c r="S897">
        <v>2.9534449999999999</v>
      </c>
      <c r="T897">
        <v>-0.29992150000000001</v>
      </c>
      <c r="U897">
        <v>0.80664060000000004</v>
      </c>
      <c r="V897">
        <v>-8.9778650000000002E-2</v>
      </c>
      <c r="W897">
        <v>6.1908039999999998E-2</v>
      </c>
      <c r="X897">
        <v>0.99403580000000002</v>
      </c>
      <c r="Y897">
        <v>-0.2561985</v>
      </c>
      <c r="Z897">
        <v>1.21177E-2</v>
      </c>
      <c r="AA897">
        <v>0.96654830000000003</v>
      </c>
      <c r="AB897">
        <v>34</v>
      </c>
      <c r="AC897">
        <v>10.690200000000001</v>
      </c>
      <c r="AD897">
        <v>-1.1050852476390001</v>
      </c>
      <c r="AE897">
        <v>2.9708999999999701</v>
      </c>
      <c r="AF897">
        <v>-2.8750630750988799</v>
      </c>
      <c r="AG897">
        <v>-1.1050852476390001</v>
      </c>
      <c r="AH897">
        <v>10.603493609713601</v>
      </c>
      <c r="AI897">
        <v>95.743893121857099</v>
      </c>
      <c r="AJ897">
        <v>105.17059689382</v>
      </c>
      <c r="AK897">
        <v>11.041796856562</v>
      </c>
    </row>
    <row r="898" spans="1:37" x14ac:dyDescent="0.2">
      <c r="A898" t="str">
        <f>"20200111153625991"</f>
        <v>20200111153625991</v>
      </c>
      <c r="B898" t="str">
        <f>"1578728185983856"</f>
        <v>1578728185983856</v>
      </c>
      <c r="C898" t="s">
        <v>37</v>
      </c>
      <c r="D898">
        <v>5.9843589999999898</v>
      </c>
      <c r="E898">
        <v>0.43388949999999998</v>
      </c>
      <c r="F898" t="s">
        <v>39</v>
      </c>
      <c r="G898">
        <v>-241.07079999999999</v>
      </c>
      <c r="H898" s="1">
        <v>-4.3318300000000002E-6</v>
      </c>
      <c r="I898">
        <v>370.10669999999999</v>
      </c>
      <c r="J898">
        <v>-251.7645</v>
      </c>
      <c r="K898">
        <v>1.105083</v>
      </c>
      <c r="L898">
        <v>367.14940000000001</v>
      </c>
      <c r="M898">
        <v>0.99987409999999999</v>
      </c>
      <c r="N898">
        <v>0</v>
      </c>
      <c r="O898">
        <v>6.3169050000000003E-3</v>
      </c>
      <c r="P898">
        <v>0.99425919999999901</v>
      </c>
      <c r="Q898">
        <v>4.7417349999999997E-2</v>
      </c>
      <c r="R898">
        <v>9.5919589999999999E-2</v>
      </c>
      <c r="S898">
        <v>2.9540860000000002</v>
      </c>
      <c r="T898">
        <v>-0.30017539999999998</v>
      </c>
      <c r="U898">
        <v>0.80358890000000005</v>
      </c>
      <c r="V898">
        <v>-8.9641289999999998E-2</v>
      </c>
      <c r="W898">
        <v>6.1891380000000003E-2</v>
      </c>
      <c r="X898">
        <v>0.99404930000000002</v>
      </c>
      <c r="Y898">
        <v>-0.25519350000000002</v>
      </c>
      <c r="Z898">
        <v>1.2074369999999999E-2</v>
      </c>
      <c r="AA898">
        <v>0.96681459999999997</v>
      </c>
      <c r="AB898">
        <v>34</v>
      </c>
      <c r="AC898">
        <v>10.6937</v>
      </c>
      <c r="AD898">
        <v>-1.1050873318300001</v>
      </c>
      <c r="AE898">
        <v>2.9572999999999698</v>
      </c>
      <c r="AF898">
        <v>-2.8612973299122202</v>
      </c>
      <c r="AG898">
        <v>-1.1050873318300001</v>
      </c>
      <c r="AH898">
        <v>10.6069437094266</v>
      </c>
      <c r="AI898">
        <v>95.744040666739295</v>
      </c>
      <c r="AJ898">
        <v>105.096597546711</v>
      </c>
      <c r="AK898">
        <v>11.0415350054274</v>
      </c>
    </row>
    <row r="899" spans="1:37" x14ac:dyDescent="0.2">
      <c r="A899" t="str">
        <f>"20200111153626005"</f>
        <v>20200111153626005</v>
      </c>
      <c r="B899" t="str">
        <f>"1578728185993616"</f>
        <v>1578728185993616</v>
      </c>
      <c r="C899" t="s">
        <v>37</v>
      </c>
      <c r="D899">
        <v>5.9821179999999998</v>
      </c>
      <c r="E899">
        <v>0.433841799999999</v>
      </c>
      <c r="F899" t="s">
        <v>39</v>
      </c>
      <c r="G899">
        <v>-240.87809999999999</v>
      </c>
      <c r="H899" s="1">
        <v>-4.4230550000000003E-6</v>
      </c>
      <c r="I899">
        <v>370.1071</v>
      </c>
      <c r="J899">
        <v>-251.5839</v>
      </c>
      <c r="K899">
        <v>1.1050819999999999</v>
      </c>
      <c r="L899">
        <v>367.1506</v>
      </c>
      <c r="M899">
        <v>0.99987409999999999</v>
      </c>
      <c r="N899">
        <v>0</v>
      </c>
      <c r="O899">
        <v>6.3427789999999998E-3</v>
      </c>
      <c r="P899">
        <v>0.99428839999999996</v>
      </c>
      <c r="Q899">
        <v>4.7575560000000003E-2</v>
      </c>
      <c r="R899">
        <v>9.5537650000000002E-2</v>
      </c>
      <c r="S899">
        <v>2.9541629999999999</v>
      </c>
      <c r="T899">
        <v>-0.29987920000000001</v>
      </c>
      <c r="U899">
        <v>0.80261229999999995</v>
      </c>
      <c r="V899">
        <v>-8.9233229999999997E-2</v>
      </c>
      <c r="W899">
        <v>6.204842E-2</v>
      </c>
      <c r="X899">
        <v>0.99407619999999897</v>
      </c>
      <c r="Y899">
        <v>-0.25486839999999999</v>
      </c>
      <c r="Z899">
        <v>1.2043979999999999E-2</v>
      </c>
      <c r="AA899">
        <v>0.96690069999999995</v>
      </c>
      <c r="AB899">
        <v>34</v>
      </c>
      <c r="AC899">
        <v>10.7058</v>
      </c>
      <c r="AD899">
        <v>-1.1050864230549999</v>
      </c>
      <c r="AE899">
        <v>2.9565000000000001</v>
      </c>
      <c r="AF899">
        <v>-2.8602126784798498</v>
      </c>
      <c r="AG899">
        <v>-1.1050864230549999</v>
      </c>
      <c r="AH899">
        <v>10.6192087536801</v>
      </c>
      <c r="AI899">
        <v>95.738038498112502</v>
      </c>
      <c r="AJ899">
        <v>105.07449950847</v>
      </c>
      <c r="AK899">
        <v>11.0530370090212</v>
      </c>
    </row>
    <row r="900" spans="1:37" x14ac:dyDescent="0.2">
      <c r="A900" t="str">
        <f>"20200111153626021"</f>
        <v>20200111153626021</v>
      </c>
      <c r="B900" t="str">
        <f>"1578728186013139"</f>
        <v>1578728186013139</v>
      </c>
      <c r="C900" t="s">
        <v>37</v>
      </c>
      <c r="D900">
        <v>6.0143199999999997</v>
      </c>
      <c r="E900">
        <v>0.43379509999999999</v>
      </c>
      <c r="F900" t="s">
        <v>39</v>
      </c>
      <c r="G900">
        <v>-240.6908</v>
      </c>
      <c r="H900" s="1">
        <v>-4.5117919999999902E-6</v>
      </c>
      <c r="I900">
        <v>370.1078</v>
      </c>
      <c r="J900">
        <v>-251.33340000000001</v>
      </c>
      <c r="K900">
        <v>1.105083</v>
      </c>
      <c r="L900">
        <v>367.15219999999999</v>
      </c>
      <c r="M900">
        <v>0.99987380000000003</v>
      </c>
      <c r="N900">
        <v>0</v>
      </c>
      <c r="O900">
        <v>6.3786099999999998E-3</v>
      </c>
      <c r="P900">
        <v>0.99435409999999902</v>
      </c>
      <c r="Q900">
        <v>4.7404179999999997E-2</v>
      </c>
      <c r="R900">
        <v>9.4938579999999995E-2</v>
      </c>
      <c r="S900">
        <v>2.9545140000000001</v>
      </c>
      <c r="T900">
        <v>-0.29972799999999999</v>
      </c>
      <c r="U900">
        <v>0.80206299999999997</v>
      </c>
      <c r="V900">
        <v>-8.8598060000000006E-2</v>
      </c>
      <c r="W900">
        <v>6.1876630000000002E-2</v>
      </c>
      <c r="X900">
        <v>0.99414369999999996</v>
      </c>
      <c r="Y900">
        <v>-0.25463999999999998</v>
      </c>
      <c r="Z900">
        <v>1.202194E-2</v>
      </c>
      <c r="AA900">
        <v>0.96696119999999997</v>
      </c>
      <c r="AB900">
        <v>34</v>
      </c>
      <c r="AC900">
        <v>10.6426</v>
      </c>
      <c r="AD900">
        <v>-1.105087511792</v>
      </c>
      <c r="AE900">
        <v>2.9556</v>
      </c>
      <c r="AF900">
        <v>-2.8590289546175498</v>
      </c>
      <c r="AG900">
        <v>-1.105087511792</v>
      </c>
      <c r="AH900">
        <v>10.555577308713699</v>
      </c>
      <c r="AI900">
        <v>95.770220299357604</v>
      </c>
      <c r="AJ900">
        <v>105.155214819976</v>
      </c>
      <c r="AK900">
        <v>10.9916094040997</v>
      </c>
    </row>
    <row r="901" spans="1:37" x14ac:dyDescent="0.2">
      <c r="A901" t="str">
        <f>"20200111153626032"</f>
        <v>20200111153626032</v>
      </c>
      <c r="B901" t="str">
        <f>"1578728186023873"</f>
        <v>1578728186023873</v>
      </c>
      <c r="C901" t="s">
        <v>37</v>
      </c>
      <c r="D901">
        <v>6.0167479999999998</v>
      </c>
      <c r="E901">
        <v>0.43387369999999997</v>
      </c>
      <c r="F901" t="s">
        <v>39</v>
      </c>
      <c r="G901">
        <v>-240.44880000000001</v>
      </c>
      <c r="H901" s="1">
        <v>-4.6245380000000001E-6</v>
      </c>
      <c r="I901">
        <v>370.10169999999999</v>
      </c>
      <c r="J901">
        <v>-251.1506</v>
      </c>
      <c r="K901">
        <v>1.105078</v>
      </c>
      <c r="L901">
        <v>367.15339999999998</v>
      </c>
      <c r="M901">
        <v>0.99987359999999903</v>
      </c>
      <c r="N901">
        <v>0</v>
      </c>
      <c r="O901">
        <v>6.40448699999999E-3</v>
      </c>
      <c r="P901">
        <v>0.99440149999999905</v>
      </c>
      <c r="Q901">
        <v>4.7325440000000003E-2</v>
      </c>
      <c r="R901">
        <v>9.4477240000000004E-2</v>
      </c>
      <c r="S901">
        <v>2.9549099999999999</v>
      </c>
      <c r="T901">
        <v>-0.30000549999999998</v>
      </c>
      <c r="U901">
        <v>0.80072019999999899</v>
      </c>
      <c r="V901">
        <v>-8.8110190000000005E-2</v>
      </c>
      <c r="W901">
        <v>6.1797629999999999E-2</v>
      </c>
      <c r="X901">
        <v>0.99419190000000002</v>
      </c>
      <c r="Y901">
        <v>-0.25417309999999999</v>
      </c>
      <c r="Z901">
        <v>1.2006360000000001E-2</v>
      </c>
      <c r="AA901">
        <v>0.96708419999999895</v>
      </c>
      <c r="AB901">
        <v>34</v>
      </c>
      <c r="AC901">
        <v>10.701799999999899</v>
      </c>
      <c r="AD901">
        <v>-1.1050826245380001</v>
      </c>
      <c r="AE901">
        <v>2.9483000000000099</v>
      </c>
      <c r="AF901">
        <v>-2.85143299673457</v>
      </c>
      <c r="AG901">
        <v>-1.1050826245380001</v>
      </c>
      <c r="AH901">
        <v>10.6152600515082</v>
      </c>
      <c r="AI901">
        <v>95.741178792162202</v>
      </c>
      <c r="AJ901">
        <v>105.03566170753</v>
      </c>
      <c r="AK901">
        <v>11.046973508752</v>
      </c>
    </row>
    <row r="902" spans="1:37" x14ac:dyDescent="0.2">
      <c r="A902" t="str">
        <f>"20200111153626045"</f>
        <v>20200111153626045</v>
      </c>
      <c r="B902" t="str">
        <f>"1578728186033634"</f>
        <v>1578728186033634</v>
      </c>
      <c r="C902" t="s">
        <v>37</v>
      </c>
      <c r="D902">
        <v>6.0244589999999896</v>
      </c>
      <c r="E902">
        <v>0.43389689999999997</v>
      </c>
      <c r="F902" t="s">
        <v>39</v>
      </c>
      <c r="G902">
        <v>-240.2764</v>
      </c>
      <c r="H902" s="1">
        <v>-4.689908E-6</v>
      </c>
      <c r="I902">
        <v>370.09410000000003</v>
      </c>
      <c r="J902">
        <v>-250.97149999999999</v>
      </c>
      <c r="K902">
        <v>1.105073</v>
      </c>
      <c r="L902">
        <v>367.15460000000002</v>
      </c>
      <c r="M902">
        <v>0.99987349999999997</v>
      </c>
      <c r="N902">
        <v>0</v>
      </c>
      <c r="O902">
        <v>6.4298849999999998E-3</v>
      </c>
      <c r="P902">
        <v>0.99446829999999997</v>
      </c>
      <c r="Q902">
        <v>4.7080740000000003E-2</v>
      </c>
      <c r="R902">
        <v>9.3895329999999999E-2</v>
      </c>
      <c r="S902">
        <v>2.9552610000000001</v>
      </c>
      <c r="T902">
        <v>-0.30032579999999998</v>
      </c>
      <c r="U902">
        <v>0.79919430000000002</v>
      </c>
      <c r="V902">
        <v>-8.7503280000000003E-2</v>
      </c>
      <c r="W902">
        <v>6.1552509999999998E-2</v>
      </c>
      <c r="X902">
        <v>0.99426079999999994</v>
      </c>
      <c r="Y902">
        <v>-0.2536545</v>
      </c>
      <c r="Z902">
        <v>1.199018E-2</v>
      </c>
      <c r="AA902">
        <v>0.96722059999999999</v>
      </c>
      <c r="AB902">
        <v>34</v>
      </c>
      <c r="AC902">
        <v>10.695099999999901</v>
      </c>
      <c r="AD902">
        <v>-1.1050776899079999</v>
      </c>
      <c r="AE902">
        <v>2.9394999999999998</v>
      </c>
      <c r="AF902">
        <v>-2.84244855742139</v>
      </c>
      <c r="AG902">
        <v>-1.1050776899079999</v>
      </c>
      <c r="AH902">
        <v>10.6084781051007</v>
      </c>
      <c r="AI902">
        <v>95.7457633972504</v>
      </c>
      <c r="AJ902">
        <v>104.999573769056</v>
      </c>
      <c r="AK902">
        <v>11.0381392548165</v>
      </c>
    </row>
    <row r="903" spans="1:37" x14ac:dyDescent="0.2">
      <c r="A903" t="str">
        <f>"20200111153626057"</f>
        <v>20200111153626057</v>
      </c>
      <c r="B903" t="str">
        <f>"1578728186053152"</f>
        <v>1578728186053152</v>
      </c>
      <c r="C903" t="s">
        <v>37</v>
      </c>
      <c r="D903">
        <v>6.0341959999999997</v>
      </c>
      <c r="E903">
        <v>0.43383490000000002</v>
      </c>
      <c r="F903" t="s">
        <v>39</v>
      </c>
      <c r="G903">
        <v>-240.11429999999999</v>
      </c>
      <c r="H903" s="1">
        <v>-4.7503789999999902E-6</v>
      </c>
      <c r="I903">
        <v>370.08409999999998</v>
      </c>
      <c r="J903">
        <v>-250.7851</v>
      </c>
      <c r="K903">
        <v>1.1050659999999899</v>
      </c>
      <c r="L903">
        <v>367.15589999999997</v>
      </c>
      <c r="M903">
        <v>0.99987320000000002</v>
      </c>
      <c r="N903">
        <v>0</v>
      </c>
      <c r="O903">
        <v>6.4569479999999997E-3</v>
      </c>
      <c r="P903">
        <v>0.99452960000000001</v>
      </c>
      <c r="Q903">
        <v>4.6509040000000001E-2</v>
      </c>
      <c r="R903">
        <v>9.3530650000000007E-2</v>
      </c>
      <c r="S903">
        <v>2.9556269999999998</v>
      </c>
      <c r="T903">
        <v>-0.30083349999999998</v>
      </c>
      <c r="U903">
        <v>0.79748540000000001</v>
      </c>
      <c r="V903">
        <v>-8.7110930000000003E-2</v>
      </c>
      <c r="W903">
        <v>6.0980909999999999E-2</v>
      </c>
      <c r="X903">
        <v>0.99433039999999995</v>
      </c>
      <c r="Y903">
        <v>-0.25307579999999902</v>
      </c>
      <c r="Z903">
        <v>1.1978249999999999E-2</v>
      </c>
      <c r="AA903">
        <v>0.96737229999999996</v>
      </c>
      <c r="AB903">
        <v>34</v>
      </c>
      <c r="AC903">
        <v>10.6708</v>
      </c>
      <c r="AD903">
        <v>-1.1050707503789901</v>
      </c>
      <c r="AE903">
        <v>2.9281999999999999</v>
      </c>
      <c r="AF903">
        <v>-2.83099538471867</v>
      </c>
      <c r="AG903">
        <v>-1.1050707503789901</v>
      </c>
      <c r="AH903">
        <v>10.583925991983399</v>
      </c>
      <c r="AI903">
        <v>95.759624924167696</v>
      </c>
      <c r="AJ903">
        <v>104.974949774433</v>
      </c>
      <c r="AK903">
        <v>11.0115941459638</v>
      </c>
    </row>
    <row r="904" spans="1:37" x14ac:dyDescent="0.2">
      <c r="A904" t="str">
        <f>"20200111153626068"</f>
        <v>20200111153626068</v>
      </c>
      <c r="B904" t="str">
        <f>"1578728186063888"</f>
        <v>1578728186063888</v>
      </c>
      <c r="C904" t="s">
        <v>37</v>
      </c>
      <c r="D904">
        <v>6.020645</v>
      </c>
      <c r="E904">
        <v>0.43376670000000001</v>
      </c>
      <c r="F904" t="s">
        <v>39</v>
      </c>
      <c r="G904">
        <v>-239.9958</v>
      </c>
      <c r="H904" s="1">
        <v>-4.7923120000000002E-6</v>
      </c>
      <c r="I904">
        <v>370.06400000000002</v>
      </c>
      <c r="J904">
        <v>-250.6165</v>
      </c>
      <c r="K904">
        <v>1.105054</v>
      </c>
      <c r="L904">
        <v>367.15690000000001</v>
      </c>
      <c r="M904">
        <v>0.99987320000000002</v>
      </c>
      <c r="N904">
        <v>0</v>
      </c>
      <c r="O904">
        <v>6.4810939999999997E-3</v>
      </c>
      <c r="P904">
        <v>0.99461219999999995</v>
      </c>
      <c r="Q904">
        <v>4.5948299999999997E-2</v>
      </c>
      <c r="R904">
        <v>9.2927549999999998E-2</v>
      </c>
      <c r="S904">
        <v>2.9557340000000001</v>
      </c>
      <c r="T904">
        <v>-0.30273509999999998</v>
      </c>
      <c r="U904">
        <v>0.79669190000000001</v>
      </c>
      <c r="V904">
        <v>-8.6483279999999996E-2</v>
      </c>
      <c r="W904">
        <v>6.042024E-2</v>
      </c>
      <c r="X904">
        <v>0.99441950000000001</v>
      </c>
      <c r="Y904">
        <v>-0.25278800000000001</v>
      </c>
      <c r="Z904">
        <v>1.2036720000000001E-2</v>
      </c>
      <c r="AA904">
        <v>0.96744680000000005</v>
      </c>
      <c r="AB904">
        <v>34</v>
      </c>
      <c r="AC904">
        <v>10.620699999999999</v>
      </c>
      <c r="AD904">
        <v>-1.1050587923119899</v>
      </c>
      <c r="AE904">
        <v>2.90710000000001</v>
      </c>
      <c r="AF904">
        <v>-2.80989845141894</v>
      </c>
      <c r="AG904">
        <v>-1.1050587923119899</v>
      </c>
      <c r="AH904">
        <v>10.5332362751505</v>
      </c>
      <c r="AI904">
        <v>95.788118163239602</v>
      </c>
      <c r="AJ904">
        <v>104.936675444313</v>
      </c>
      <c r="AK904">
        <v>10.957451832880601</v>
      </c>
    </row>
    <row r="905" spans="1:37" x14ac:dyDescent="0.2">
      <c r="A905" t="str">
        <f>"20200111153626081"</f>
        <v>20200111153626081</v>
      </c>
      <c r="B905" t="str">
        <f>"1578728186073649"</f>
        <v>1578728186073649</v>
      </c>
      <c r="C905" t="s">
        <v>37</v>
      </c>
      <c r="D905">
        <v>6.0379189999999996</v>
      </c>
      <c r="E905">
        <v>0.43371609999999999</v>
      </c>
      <c r="F905" t="s">
        <v>39</v>
      </c>
      <c r="G905">
        <v>-239.90020000000001</v>
      </c>
      <c r="H905" s="1">
        <v>-1.382812E-7</v>
      </c>
      <c r="I905">
        <v>370.04160000000002</v>
      </c>
      <c r="J905">
        <v>-250.42189999999999</v>
      </c>
      <c r="K905">
        <v>1.1050450000000001</v>
      </c>
      <c r="L905">
        <v>367.15820000000002</v>
      </c>
      <c r="M905">
        <v>0.99987300000000001</v>
      </c>
      <c r="N905">
        <v>0</v>
      </c>
      <c r="O905">
        <v>6.5089980000000002E-3</v>
      </c>
      <c r="P905">
        <v>0.994704699999999</v>
      </c>
      <c r="Q905">
        <v>4.5259000000000001E-2</v>
      </c>
      <c r="R905">
        <v>9.2272190000000004E-2</v>
      </c>
      <c r="S905">
        <v>2.9560089999999999</v>
      </c>
      <c r="T905">
        <v>-0.30481789999999997</v>
      </c>
      <c r="U905">
        <v>0.79571530000000001</v>
      </c>
      <c r="V905">
        <v>-8.5799280000000006E-2</v>
      </c>
      <c r="W905">
        <v>5.9730539999999999E-2</v>
      </c>
      <c r="X905">
        <v>0.99452039999999997</v>
      </c>
      <c r="Y905">
        <v>-0.25242589999999998</v>
      </c>
      <c r="Z905">
        <v>1.2097429999999999E-2</v>
      </c>
      <c r="AA905">
        <v>0.96754059999999897</v>
      </c>
      <c r="AB905">
        <v>34</v>
      </c>
      <c r="AC905">
        <v>10.5216999999999</v>
      </c>
      <c r="AD905">
        <v>-1.1050451382812001</v>
      </c>
      <c r="AE905">
        <v>2.8833999999999902</v>
      </c>
      <c r="AF905">
        <v>-2.7862594308426401</v>
      </c>
      <c r="AG905">
        <v>-1.1050451382812001</v>
      </c>
      <c r="AH905">
        <v>10.4332043596378</v>
      </c>
      <c r="AI905">
        <v>95.842737744730002</v>
      </c>
      <c r="AJ905">
        <v>104.95229059075101</v>
      </c>
      <c r="AK905">
        <v>10.855234662759001</v>
      </c>
    </row>
    <row r="906" spans="1:37" x14ac:dyDescent="0.2">
      <c r="A906" t="str">
        <f>"20200111153626094"</f>
        <v>20200111153626094</v>
      </c>
      <c r="B906" t="str">
        <f>"1578728186083408"</f>
        <v>1578728186083408</v>
      </c>
      <c r="C906" t="s">
        <v>37</v>
      </c>
      <c r="D906">
        <v>6.024762</v>
      </c>
      <c r="E906">
        <v>0.43365609999999999</v>
      </c>
      <c r="F906" t="s">
        <v>39</v>
      </c>
      <c r="G906">
        <v>-239.7903</v>
      </c>
      <c r="H906" s="1">
        <v>-1.78242399999999E-7</v>
      </c>
      <c r="I906">
        <v>370.01459999999997</v>
      </c>
      <c r="J906">
        <v>-250.23580000000001</v>
      </c>
      <c r="K906">
        <v>1.10504</v>
      </c>
      <c r="L906">
        <v>367.15949999999998</v>
      </c>
      <c r="M906">
        <v>0.99987280000000001</v>
      </c>
      <c r="N906">
        <v>0</v>
      </c>
      <c r="O906">
        <v>6.5355930000000001E-3</v>
      </c>
      <c r="P906">
        <v>0.99480239999999998</v>
      </c>
      <c r="Q906">
        <v>4.443209E-2</v>
      </c>
      <c r="R906">
        <v>9.1620119999999999E-2</v>
      </c>
      <c r="S906">
        <v>2.9562840000000001</v>
      </c>
      <c r="T906">
        <v>-0.30727179999999998</v>
      </c>
      <c r="U906">
        <v>0.79425049999999997</v>
      </c>
      <c r="V906">
        <v>-8.5120070000000006E-2</v>
      </c>
      <c r="W906">
        <v>5.8903740000000003E-2</v>
      </c>
      <c r="X906">
        <v>0.99462799999999996</v>
      </c>
      <c r="Y906">
        <v>-0.25191360000000002</v>
      </c>
      <c r="Z906">
        <v>1.2165189999999999E-2</v>
      </c>
      <c r="AA906">
        <v>0.96767320000000001</v>
      </c>
      <c r="AB906">
        <v>34</v>
      </c>
      <c r="AC906">
        <v>10.445499999999999</v>
      </c>
      <c r="AD906">
        <v>-1.10504017824239</v>
      </c>
      <c r="AE906">
        <v>2.85509999999999</v>
      </c>
      <c r="AF906">
        <v>-2.7580427551676299</v>
      </c>
      <c r="AG906">
        <v>-1.10504017824239</v>
      </c>
      <c r="AH906">
        <v>10.3560931321932</v>
      </c>
      <c r="AI906">
        <v>95.886983409386005</v>
      </c>
      <c r="AJ906">
        <v>104.91291321148999</v>
      </c>
      <c r="AK906">
        <v>10.7738840998742</v>
      </c>
    </row>
    <row r="907" spans="1:37" x14ac:dyDescent="0.2">
      <c r="A907" t="str">
        <f>"20200111153626105"</f>
        <v>20200111153626105</v>
      </c>
      <c r="B907" t="str">
        <f>"1578728186103905"</f>
        <v>1578728186103905</v>
      </c>
      <c r="C907" t="s">
        <v>37</v>
      </c>
      <c r="D907">
        <v>6.079485</v>
      </c>
      <c r="E907">
        <v>0.43346119999999999</v>
      </c>
      <c r="F907" t="s">
        <v>39</v>
      </c>
      <c r="G907">
        <v>-239.69450000000001</v>
      </c>
      <c r="H907" s="1">
        <v>-2.11431399999999E-7</v>
      </c>
      <c r="I907">
        <v>369.98489999999998</v>
      </c>
      <c r="J907">
        <v>-250.06469999999999</v>
      </c>
      <c r="K907">
        <v>1.1050309999999901</v>
      </c>
      <c r="L907">
        <v>367.16059999999999</v>
      </c>
      <c r="M907">
        <v>0.99987280000000001</v>
      </c>
      <c r="N907">
        <v>0</v>
      </c>
      <c r="O907">
        <v>6.55998E-3</v>
      </c>
      <c r="P907">
        <v>0.99488739999999998</v>
      </c>
      <c r="Q907">
        <v>4.3808239999999998E-2</v>
      </c>
      <c r="R907">
        <v>9.0995969999999995E-2</v>
      </c>
      <c r="S907">
        <v>2.956528</v>
      </c>
      <c r="T907">
        <v>-0.30992839999999999</v>
      </c>
      <c r="U907">
        <v>0.79244999999999999</v>
      </c>
      <c r="V907">
        <v>-8.4471039999999997E-2</v>
      </c>
      <c r="W907">
        <v>5.8279669999999999E-2</v>
      </c>
      <c r="X907">
        <v>0.994720099999999</v>
      </c>
      <c r="Y907">
        <v>-0.25130209999999997</v>
      </c>
      <c r="Z907">
        <v>1.2235879999999999E-2</v>
      </c>
      <c r="AA907">
        <v>0.96783140000000001</v>
      </c>
      <c r="AB907">
        <v>34</v>
      </c>
      <c r="AC907">
        <v>10.370199999999899</v>
      </c>
      <c r="AD907">
        <v>-1.10503121143139</v>
      </c>
      <c r="AE907">
        <v>2.8242999999999898</v>
      </c>
      <c r="AF907">
        <v>-2.7273736897471599</v>
      </c>
      <c r="AG907">
        <v>-1.10503121143139</v>
      </c>
      <c r="AH907">
        <v>10.279841819995999</v>
      </c>
      <c r="AI907">
        <v>95.931766267862898</v>
      </c>
      <c r="AJ907">
        <v>104.858972263556</v>
      </c>
      <c r="AK907">
        <v>10.692745628036899</v>
      </c>
    </row>
    <row r="908" spans="1:37" x14ac:dyDescent="0.2">
      <c r="A908" t="str">
        <f>"20200111153626122"</f>
        <v>20200111153626122</v>
      </c>
      <c r="B908" t="str">
        <f>"1578728186113664"</f>
        <v>1578728186113664</v>
      </c>
      <c r="C908" t="s">
        <v>37</v>
      </c>
      <c r="D908">
        <v>6.0614220000000003</v>
      </c>
      <c r="E908">
        <v>0.43335449999999998</v>
      </c>
      <c r="F908" t="s">
        <v>39</v>
      </c>
      <c r="G908">
        <v>-239.60550000000001</v>
      </c>
      <c r="H908" s="1">
        <v>-2.4355780000000001E-7</v>
      </c>
      <c r="I908">
        <v>369.9622</v>
      </c>
      <c r="J908">
        <v>-249.8135</v>
      </c>
      <c r="K908">
        <v>1.1050180000000001</v>
      </c>
      <c r="L908">
        <v>367.16230000000002</v>
      </c>
      <c r="M908">
        <v>0.99987250000000005</v>
      </c>
      <c r="N908">
        <v>0</v>
      </c>
      <c r="O908">
        <v>6.5962900000000003E-3</v>
      </c>
      <c r="P908">
        <v>0.99501509999999904</v>
      </c>
      <c r="Q908">
        <v>4.3045949999999999E-2</v>
      </c>
      <c r="R908">
        <v>8.9956519999999998E-2</v>
      </c>
      <c r="S908">
        <v>2.95672599999999</v>
      </c>
      <c r="T908">
        <v>-0.3123822</v>
      </c>
      <c r="U908">
        <v>0.79199219999999904</v>
      </c>
      <c r="V908">
        <v>-8.3394650000000001E-2</v>
      </c>
      <c r="W908">
        <v>5.7517060000000002E-2</v>
      </c>
      <c r="X908">
        <v>0.9948553</v>
      </c>
      <c r="Y908">
        <v>-0.25109239999999999</v>
      </c>
      <c r="Z908">
        <v>1.2317079999999999E-2</v>
      </c>
      <c r="AA908">
        <v>0.96788479999999999</v>
      </c>
      <c r="AB908">
        <v>34</v>
      </c>
      <c r="AC908">
        <v>10.207999999999901</v>
      </c>
      <c r="AD908">
        <v>-1.1050182435578</v>
      </c>
      <c r="AE908">
        <v>2.7998999999999699</v>
      </c>
      <c r="AF908">
        <v>-2.7030387305650301</v>
      </c>
      <c r="AG908">
        <v>-1.1050182435578</v>
      </c>
      <c r="AH908">
        <v>10.116002420795599</v>
      </c>
      <c r="AI908">
        <v>96.024252879687594</v>
      </c>
      <c r="AJ908">
        <v>104.960169109292</v>
      </c>
      <c r="AK908">
        <v>10.5290545005272</v>
      </c>
    </row>
    <row r="909" spans="1:37" x14ac:dyDescent="0.2">
      <c r="A909" t="str">
        <f>"20200111153626143"</f>
        <v>20200111153626143</v>
      </c>
      <c r="B909" t="str">
        <f>"1578728186133184"</f>
        <v>1578728186133184</v>
      </c>
      <c r="C909" t="s">
        <v>37</v>
      </c>
      <c r="D909">
        <v>6.0701089999999898</v>
      </c>
      <c r="E909">
        <v>0.43302380000000001</v>
      </c>
      <c r="F909" t="s">
        <v>39</v>
      </c>
      <c r="G909">
        <v>-239.44829999999999</v>
      </c>
      <c r="H909" s="1">
        <v>-3.02229E-7</v>
      </c>
      <c r="I909">
        <v>369.92919999999998</v>
      </c>
      <c r="J909">
        <v>-249.50059999999999</v>
      </c>
      <c r="K909">
        <v>1.1050180000000001</v>
      </c>
      <c r="L909">
        <v>367.1644</v>
      </c>
      <c r="M909">
        <v>0.99987230000000005</v>
      </c>
      <c r="N909">
        <v>0</v>
      </c>
      <c r="O909">
        <v>6.6411309999999998E-3</v>
      </c>
      <c r="P909">
        <v>0.9950523</v>
      </c>
      <c r="Q909">
        <v>4.3499719999999999E-2</v>
      </c>
      <c r="R909">
        <v>8.9323219999999995E-2</v>
      </c>
      <c r="S909">
        <v>2.9572910000000001</v>
      </c>
      <c r="T909">
        <v>-0.31527179999999999</v>
      </c>
      <c r="U909">
        <v>0.78945919999999903</v>
      </c>
      <c r="V909">
        <v>-8.2715999999999998E-2</v>
      </c>
      <c r="W909">
        <v>5.7968350000000002E-2</v>
      </c>
      <c r="X909">
        <v>0.99488580000000004</v>
      </c>
      <c r="Y909">
        <v>-0.2502105</v>
      </c>
      <c r="Z909">
        <v>1.2378709999999999E-2</v>
      </c>
      <c r="AA909">
        <v>0.96811229999999904</v>
      </c>
      <c r="AB909">
        <v>34</v>
      </c>
      <c r="AC909">
        <v>10.052300000000001</v>
      </c>
      <c r="AD909">
        <v>-1.1050183022290001</v>
      </c>
      <c r="AE909">
        <v>2.7647999999999699</v>
      </c>
      <c r="AF909">
        <v>-2.6680007575186999</v>
      </c>
      <c r="AG909">
        <v>-1.1050183022290001</v>
      </c>
      <c r="AH909">
        <v>9.9585661717500091</v>
      </c>
      <c r="AI909">
        <v>96.117704329422693</v>
      </c>
      <c r="AJ909">
        <v>104.997911791368</v>
      </c>
      <c r="AK909">
        <v>10.3688154428316</v>
      </c>
    </row>
    <row r="910" spans="1:37" x14ac:dyDescent="0.2">
      <c r="A910" t="str">
        <f>"20200111153626156"</f>
        <v>20200111153626156</v>
      </c>
      <c r="B910" t="str">
        <f>"1578728186153680"</f>
        <v>1578728186153680</v>
      </c>
      <c r="C910" t="s">
        <v>37</v>
      </c>
      <c r="D910">
        <v>6.0812109999999997</v>
      </c>
      <c r="E910">
        <v>0.43273050000000002</v>
      </c>
      <c r="F910" t="s">
        <v>39</v>
      </c>
      <c r="G910">
        <v>-239.11320000000001</v>
      </c>
      <c r="H910" s="1">
        <v>-4.4849470000000002E-7</v>
      </c>
      <c r="I910">
        <v>369.93860000000001</v>
      </c>
      <c r="J910">
        <v>-249.29589999999999</v>
      </c>
      <c r="K910">
        <v>1.105019</v>
      </c>
      <c r="L910">
        <v>367.16570000000002</v>
      </c>
      <c r="M910">
        <v>0.99987209999999904</v>
      </c>
      <c r="N910">
        <v>0</v>
      </c>
      <c r="O910">
        <v>6.6700550000000003E-3</v>
      </c>
      <c r="P910">
        <v>0.99506319999999904</v>
      </c>
      <c r="Q910">
        <v>4.3652429999999999E-2</v>
      </c>
      <c r="R910">
        <v>8.9127789999999998E-2</v>
      </c>
      <c r="S910">
        <v>2.9577789999999999</v>
      </c>
      <c r="T910">
        <v>-0.31464920000000002</v>
      </c>
      <c r="U910">
        <v>0.78997799999999996</v>
      </c>
      <c r="V910">
        <v>-8.2492309999999999E-2</v>
      </c>
      <c r="W910">
        <v>5.8119740000000003E-2</v>
      </c>
      <c r="X910">
        <v>0.99489550000000004</v>
      </c>
      <c r="Y910">
        <v>-0.25030649999999999</v>
      </c>
      <c r="Z910">
        <v>1.235414E-2</v>
      </c>
      <c r="AA910">
        <v>0.9680879</v>
      </c>
      <c r="AB910">
        <v>33</v>
      </c>
      <c r="AC910">
        <v>10.182699999999899</v>
      </c>
      <c r="AD910">
        <v>-1.10501944849469</v>
      </c>
      <c r="AE910">
        <v>2.7728999999999902</v>
      </c>
      <c r="AF910">
        <v>-2.6755784143233399</v>
      </c>
      <c r="AG910">
        <v>-1.10501944849469</v>
      </c>
      <c r="AH910">
        <v>10.0903458844935</v>
      </c>
      <c r="AI910">
        <v>96.042507767418002</v>
      </c>
      <c r="AJ910">
        <v>104.85091081565299</v>
      </c>
      <c r="AK910">
        <v>10.4973743336827</v>
      </c>
    </row>
    <row r="911" spans="1:37" x14ac:dyDescent="0.2">
      <c r="A911" t="str">
        <f>"20200111153626170"</f>
        <v>20200111153626170</v>
      </c>
      <c r="B911" t="str">
        <f>"1578728186163441"</f>
        <v>1578728186163441</v>
      </c>
      <c r="C911" t="s">
        <v>37</v>
      </c>
      <c r="D911">
        <v>6.0812280000000003</v>
      </c>
      <c r="E911">
        <v>0.43273050000000002</v>
      </c>
      <c r="F911" t="s">
        <v>39</v>
      </c>
      <c r="G911">
        <v>-238.90799999999999</v>
      </c>
      <c r="H911" s="1">
        <v>-5.3839779999999996E-7</v>
      </c>
      <c r="I911">
        <v>369.94560000000001</v>
      </c>
      <c r="J911">
        <v>-249.10820000000001</v>
      </c>
      <c r="K911">
        <v>1.10502099999999</v>
      </c>
      <c r="L911">
        <v>367.16699999999997</v>
      </c>
      <c r="M911">
        <v>0.99987199999999998</v>
      </c>
      <c r="N911">
        <v>0</v>
      </c>
      <c r="O911">
        <v>6.6971239999999996E-3</v>
      </c>
      <c r="P911">
        <v>0.99497679999999999</v>
      </c>
      <c r="Q911">
        <v>4.443068E-2</v>
      </c>
      <c r="R911">
        <v>8.9706369999999994E-2</v>
      </c>
      <c r="S911">
        <v>2.9577939999999998</v>
      </c>
      <c r="T911">
        <v>-0.31463419999999998</v>
      </c>
      <c r="U911">
        <v>0.79153439999999997</v>
      </c>
      <c r="V911">
        <v>-8.3044519999999997E-2</v>
      </c>
      <c r="W911">
        <v>5.889469E-2</v>
      </c>
      <c r="X911">
        <v>0.99480400000000002</v>
      </c>
      <c r="Y911">
        <v>-0.25075249999999999</v>
      </c>
      <c r="Z911">
        <v>1.237311E-2</v>
      </c>
      <c r="AA911">
        <v>0.96797219999999995</v>
      </c>
      <c r="AB911">
        <v>33</v>
      </c>
      <c r="AC911">
        <v>10.200200000000001</v>
      </c>
      <c r="AD911">
        <v>-1.1050215383977899</v>
      </c>
      <c r="AE911">
        <v>2.7786000000000399</v>
      </c>
      <c r="AF911">
        <v>-2.6809282777233698</v>
      </c>
      <c r="AG911">
        <v>-1.1050215383977899</v>
      </c>
      <c r="AH911">
        <v>10.1081463825955</v>
      </c>
      <c r="AI911">
        <v>96.031864284828103</v>
      </c>
      <c r="AJ911">
        <v>104.854246365253</v>
      </c>
      <c r="AK911">
        <v>10.515848625888401</v>
      </c>
    </row>
    <row r="912" spans="1:37" x14ac:dyDescent="0.2">
      <c r="A912" t="str">
        <f>"20200111153626189"</f>
        <v>20200111153626189</v>
      </c>
      <c r="B912" t="str">
        <f>"1578728186183937"</f>
        <v>1578728186183937</v>
      </c>
      <c r="C912" t="s">
        <v>37</v>
      </c>
      <c r="D912">
        <v>6.0537910000000004</v>
      </c>
      <c r="E912">
        <v>0.42641289999999998</v>
      </c>
      <c r="F912" t="s">
        <v>39</v>
      </c>
      <c r="G912">
        <v>-238.65209999999999</v>
      </c>
      <c r="H912" s="1">
        <v>-6.5478009999999998E-7</v>
      </c>
      <c r="I912">
        <v>369.97050000000002</v>
      </c>
      <c r="J912">
        <v>-248.81799999999899</v>
      </c>
      <c r="K912">
        <v>1.1050309999999901</v>
      </c>
      <c r="L912">
        <v>367.16899999999998</v>
      </c>
      <c r="M912">
        <v>0.99987169999999903</v>
      </c>
      <c r="N912">
        <v>0</v>
      </c>
      <c r="O912">
        <v>6.7391600000000001E-3</v>
      </c>
      <c r="P912">
        <v>0.99481419999999998</v>
      </c>
      <c r="Q912">
        <v>4.5773729999999999E-2</v>
      </c>
      <c r="R912">
        <v>9.0827740000000004E-2</v>
      </c>
      <c r="S912">
        <v>2.9575960000000001</v>
      </c>
      <c r="T912">
        <v>-0.31256220000000001</v>
      </c>
      <c r="U912">
        <v>0.79299929999999996</v>
      </c>
      <c r="V912">
        <v>-8.4124969999999993E-2</v>
      </c>
      <c r="W912">
        <v>6.0232710000000002E-2</v>
      </c>
      <c r="X912">
        <v>0.99463310000000005</v>
      </c>
      <c r="Y912">
        <v>-0.25119019999999997</v>
      </c>
      <c r="Z912">
        <v>1.23103999999999E-2</v>
      </c>
      <c r="AA912">
        <v>0.96785940000000004</v>
      </c>
      <c r="AB912">
        <v>33</v>
      </c>
      <c r="AC912">
        <v>10.165899999999899</v>
      </c>
      <c r="AD912">
        <v>-1.10503165478009</v>
      </c>
      <c r="AE912">
        <v>2.8014999999999701</v>
      </c>
      <c r="AF912">
        <v>-2.7032334903817201</v>
      </c>
      <c r="AG912">
        <v>-1.10503165478009</v>
      </c>
      <c r="AH912">
        <v>10.0739223623965</v>
      </c>
      <c r="AI912">
        <v>96.047600355303004</v>
      </c>
      <c r="AJ912">
        <v>105.020874579769</v>
      </c>
      <c r="AK912">
        <v>10.488683331342401</v>
      </c>
    </row>
    <row r="913" spans="1:37" x14ac:dyDescent="0.2">
      <c r="A913" t="str">
        <f>"20200111153626202"</f>
        <v>20200111153626202</v>
      </c>
      <c r="B913" t="str">
        <f>"1578728186193696"</f>
        <v>1578728186193696</v>
      </c>
      <c r="C913" t="s">
        <v>37</v>
      </c>
      <c r="D913">
        <v>6.0784779999999996</v>
      </c>
      <c r="E913">
        <v>0.42596479999999998</v>
      </c>
      <c r="F913" t="s">
        <v>39</v>
      </c>
      <c r="G913">
        <v>-238.33439999999999</v>
      </c>
      <c r="H913" s="1">
        <v>-8.4557619999999996E-7</v>
      </c>
      <c r="I913">
        <v>370.17529999999999</v>
      </c>
      <c r="J913">
        <v>-248.62370000000001</v>
      </c>
      <c r="K913">
        <v>1.1050359999999999</v>
      </c>
      <c r="L913">
        <v>367.17039999999997</v>
      </c>
      <c r="M913">
        <v>0.99987159999999997</v>
      </c>
      <c r="N913">
        <v>0</v>
      </c>
      <c r="O913">
        <v>6.7668869999999897E-3</v>
      </c>
      <c r="P913">
        <v>0.99471699999999996</v>
      </c>
      <c r="Q913">
        <v>4.6485789999999999E-2</v>
      </c>
      <c r="R913">
        <v>9.1527449999999996E-2</v>
      </c>
      <c r="S913">
        <v>2.95263699999999</v>
      </c>
      <c r="T913">
        <v>-0.3112222</v>
      </c>
      <c r="U913">
        <v>0.84671019999999897</v>
      </c>
      <c r="V913">
        <v>-8.4797609999999995E-2</v>
      </c>
      <c r="W913">
        <v>6.0941410000000001E-2</v>
      </c>
      <c r="X913">
        <v>0.99453279999999999</v>
      </c>
      <c r="Y913">
        <v>-0.2678065</v>
      </c>
      <c r="Z913">
        <v>1.3101959999999999E-2</v>
      </c>
      <c r="AA913">
        <v>0.96338359999999901</v>
      </c>
      <c r="AB913">
        <v>33</v>
      </c>
      <c r="AC913">
        <v>10.289300000000001</v>
      </c>
      <c r="AD913">
        <v>-1.1050368455762001</v>
      </c>
      <c r="AE913">
        <v>3.0049000000000201</v>
      </c>
      <c r="AF913">
        <v>-2.90433112476485</v>
      </c>
      <c r="AG913">
        <v>-1.1050368455762001</v>
      </c>
      <c r="AH913">
        <v>10.2009879105698</v>
      </c>
      <c r="AI913">
        <v>95.947961840155301</v>
      </c>
      <c r="AJ913">
        <v>105.892224029075</v>
      </c>
      <c r="AK913">
        <v>10.6637891982142</v>
      </c>
    </row>
    <row r="914" spans="1:37" x14ac:dyDescent="0.2">
      <c r="A914" t="str">
        <f>"20200111153626215"</f>
        <v>20200111153626215</v>
      </c>
      <c r="B914" t="str">
        <f>"1578728186203457"</f>
        <v>1578728186203457</v>
      </c>
      <c r="C914" t="s">
        <v>37</v>
      </c>
      <c r="D914">
        <v>6.0798370000000004</v>
      </c>
      <c r="E914">
        <v>0.42593819999999999</v>
      </c>
      <c r="F914" t="s">
        <v>39</v>
      </c>
      <c r="G914">
        <v>-238.01840000000001</v>
      </c>
      <c r="H914" s="1">
        <v>-9.9626450000000007E-7</v>
      </c>
      <c r="I914">
        <v>370.2321</v>
      </c>
      <c r="J914">
        <v>-248.42070000000001</v>
      </c>
      <c r="K914">
        <v>1.1050420000000001</v>
      </c>
      <c r="L914">
        <v>367.17180000000002</v>
      </c>
      <c r="M914">
        <v>0.99987139999999997</v>
      </c>
      <c r="N914">
        <v>0</v>
      </c>
      <c r="O914">
        <v>6.7961050000000002E-3</v>
      </c>
      <c r="P914">
        <v>0.9946024</v>
      </c>
      <c r="Q914">
        <v>4.7077279999999999E-2</v>
      </c>
      <c r="R914">
        <v>9.2464859999999996E-2</v>
      </c>
      <c r="S914">
        <v>2.9519199999999999</v>
      </c>
      <c r="T914">
        <v>-0.30757649999999997</v>
      </c>
      <c r="U914">
        <v>0.85220339999999895</v>
      </c>
      <c r="V914">
        <v>-8.5706889999999994E-2</v>
      </c>
      <c r="W914">
        <v>6.1529199999999902E-2</v>
      </c>
      <c r="X914">
        <v>0.99441869999999999</v>
      </c>
      <c r="Y914">
        <v>-0.26951839999999999</v>
      </c>
      <c r="Z914">
        <v>1.303324E-2</v>
      </c>
      <c r="AA914">
        <v>0.96290710000000002</v>
      </c>
      <c r="AB914">
        <v>33</v>
      </c>
      <c r="AC914">
        <v>10.402299999999901</v>
      </c>
      <c r="AD914">
        <v>-1.1050429962645001</v>
      </c>
      <c r="AE914">
        <v>3.0602999999999798</v>
      </c>
      <c r="AF914">
        <v>-2.9587965688407101</v>
      </c>
      <c r="AG914">
        <v>-1.1050429962645001</v>
      </c>
      <c r="AH914">
        <v>10.3157206168895</v>
      </c>
      <c r="AI914">
        <v>95.879046623642196</v>
      </c>
      <c r="AJ914">
        <v>106.00416359694201</v>
      </c>
      <c r="AK914">
        <v>10.788405304079699</v>
      </c>
    </row>
    <row r="915" spans="1:37" x14ac:dyDescent="0.2">
      <c r="A915" t="str">
        <f>"20200111153626229"</f>
        <v>20200111153626229</v>
      </c>
      <c r="B915" t="str">
        <f>"1578728186223952"</f>
        <v>1578728186223952</v>
      </c>
      <c r="C915" t="s">
        <v>37</v>
      </c>
      <c r="D915">
        <v>6.087237</v>
      </c>
      <c r="E915">
        <v>0.42610769999999998</v>
      </c>
      <c r="F915" t="s">
        <v>39</v>
      </c>
      <c r="G915">
        <v>-237.78370000000001</v>
      </c>
      <c r="H915" s="1">
        <v>-1.1030620000000001E-6</v>
      </c>
      <c r="I915">
        <v>370.2552</v>
      </c>
      <c r="J915">
        <v>-248.22810000000001</v>
      </c>
      <c r="K915">
        <v>1.1050439999999999</v>
      </c>
      <c r="L915">
        <v>367.17320000000001</v>
      </c>
      <c r="M915">
        <v>0.99987119999999996</v>
      </c>
      <c r="N915">
        <v>0</v>
      </c>
      <c r="O915">
        <v>6.8238319999999898E-3</v>
      </c>
      <c r="P915">
        <v>0.99451129999999999</v>
      </c>
      <c r="Q915">
        <v>4.771015E-2</v>
      </c>
      <c r="R915">
        <v>9.3119960000000002E-2</v>
      </c>
      <c r="S915">
        <v>2.951279</v>
      </c>
      <c r="T915">
        <v>-0.30659559999999902</v>
      </c>
      <c r="U915">
        <v>0.85549929999999996</v>
      </c>
      <c r="V915">
        <v>-8.6335099999999998E-2</v>
      </c>
      <c r="W915">
        <v>6.2159319999999997E-2</v>
      </c>
      <c r="X915">
        <v>0.99432520000000002</v>
      </c>
      <c r="Y915">
        <v>-0.27054289999999998</v>
      </c>
      <c r="Z915">
        <v>1.3041809999999999E-2</v>
      </c>
      <c r="AA915">
        <v>0.96261960000000002</v>
      </c>
      <c r="AB915">
        <v>33</v>
      </c>
      <c r="AC915">
        <v>10.4444</v>
      </c>
      <c r="AD915">
        <v>-1.1050451030620001</v>
      </c>
      <c r="AE915">
        <v>3.0819999999999901</v>
      </c>
      <c r="AF915">
        <v>-2.9799636071908999</v>
      </c>
      <c r="AG915">
        <v>-1.1050451030620001</v>
      </c>
      <c r="AH915">
        <v>10.3585228313135</v>
      </c>
      <c r="AI915">
        <v>95.853610114507305</v>
      </c>
      <c r="AJ915">
        <v>106.04959009143801</v>
      </c>
      <c r="AK915">
        <v>10.8351420399931</v>
      </c>
    </row>
    <row r="916" spans="1:37" x14ac:dyDescent="0.2">
      <c r="A916" t="str">
        <f>"20200111153626244"</f>
        <v>20200111153626244</v>
      </c>
      <c r="B916" t="str">
        <f>"1578728186233712"</f>
        <v>1578728186233712</v>
      </c>
      <c r="C916" t="s">
        <v>37</v>
      </c>
      <c r="D916">
        <v>6.0961220000000003</v>
      </c>
      <c r="E916">
        <v>0.4261239</v>
      </c>
      <c r="F916" t="s">
        <v>39</v>
      </c>
      <c r="G916">
        <v>-235.21080000000001</v>
      </c>
      <c r="H916" s="1">
        <v>-2.3938459999999998E-6</v>
      </c>
      <c r="I916">
        <v>370.95800000000003</v>
      </c>
      <c r="J916">
        <v>-248.00239999999999</v>
      </c>
      <c r="K916">
        <v>1.105051</v>
      </c>
      <c r="L916">
        <v>367.17469999999997</v>
      </c>
      <c r="M916">
        <v>0.99987109999999901</v>
      </c>
      <c r="N916">
        <v>0</v>
      </c>
      <c r="O916">
        <v>6.8564480000000002E-3</v>
      </c>
      <c r="P916">
        <v>0.99431740000000002</v>
      </c>
      <c r="Q916">
        <v>4.850496E-2</v>
      </c>
      <c r="R916">
        <v>9.4764429999999997E-2</v>
      </c>
      <c r="S916">
        <v>2.9482879999999998</v>
      </c>
      <c r="T916">
        <v>-0.25028060000000002</v>
      </c>
      <c r="U916">
        <v>0.85723879999999997</v>
      </c>
      <c r="V916">
        <v>-8.7948380000000007E-2</v>
      </c>
      <c r="W916">
        <v>6.2948370000000003E-2</v>
      </c>
      <c r="X916">
        <v>0.99413410000000002</v>
      </c>
      <c r="Y916">
        <v>-0.27172679999999999</v>
      </c>
      <c r="Z916">
        <v>1.0711210000000001E-2</v>
      </c>
      <c r="AA916">
        <v>0.96231480000000003</v>
      </c>
      <c r="AB916">
        <v>33</v>
      </c>
      <c r="AC916">
        <v>12.791599999999899</v>
      </c>
      <c r="AD916">
        <v>-1.1050533938460001</v>
      </c>
      <c r="AE916">
        <v>3.7833000000000498</v>
      </c>
      <c r="AF916">
        <v>-3.6703085334810601</v>
      </c>
      <c r="AG916">
        <v>-1.1050533938460001</v>
      </c>
      <c r="AH916">
        <v>12.729880272124699</v>
      </c>
      <c r="AI916">
        <v>94.768010371088906</v>
      </c>
      <c r="AJ916">
        <v>106.08345186257201</v>
      </c>
      <c r="AK916">
        <v>13.2944409238156</v>
      </c>
    </row>
    <row r="917" spans="1:37" x14ac:dyDescent="0.2">
      <c r="A917" t="str">
        <f>"20200111153626258"</f>
        <v>20200111153626258</v>
      </c>
      <c r="B917" t="str">
        <f>"1578728186253233"</f>
        <v>1578728186253233</v>
      </c>
      <c r="C917" t="s">
        <v>37</v>
      </c>
      <c r="D917">
        <v>6.0865339999999897</v>
      </c>
      <c r="E917">
        <v>0.42678630000000001</v>
      </c>
      <c r="F917" t="s">
        <v>39</v>
      </c>
      <c r="G917">
        <v>-234.91319999999999</v>
      </c>
      <c r="H917" s="1">
        <v>-2.533495E-6</v>
      </c>
      <c r="I917">
        <v>371.00310000000002</v>
      </c>
      <c r="J917">
        <v>-247.7944</v>
      </c>
      <c r="K917">
        <v>1.1050500000000001</v>
      </c>
      <c r="L917">
        <v>367.17610000000002</v>
      </c>
      <c r="M917">
        <v>0.99987090000000001</v>
      </c>
      <c r="N917">
        <v>0</v>
      </c>
      <c r="O917">
        <v>6.8866769999999999E-3</v>
      </c>
      <c r="P917">
        <v>0.99425750000000002</v>
      </c>
      <c r="Q917">
        <v>4.8576649999999999E-2</v>
      </c>
      <c r="R917">
        <v>9.535565E-2</v>
      </c>
      <c r="S917">
        <v>2.94714399999999</v>
      </c>
      <c r="T917">
        <v>-0.2488109</v>
      </c>
      <c r="U917">
        <v>0.86199950000000003</v>
      </c>
      <c r="V917">
        <v>-8.8510179999999994E-2</v>
      </c>
      <c r="W917">
        <v>6.301785E-2</v>
      </c>
      <c r="X917">
        <v>0.99407979999999996</v>
      </c>
      <c r="Y917">
        <v>-0.27323540000000002</v>
      </c>
      <c r="Z917">
        <v>1.070991E-2</v>
      </c>
      <c r="AA917">
        <v>0.96188759999999995</v>
      </c>
      <c r="AB917">
        <v>33</v>
      </c>
      <c r="AC917">
        <v>12.8812</v>
      </c>
      <c r="AD917">
        <v>-1.1050525334950001</v>
      </c>
      <c r="AE917">
        <v>3.8269999999999902</v>
      </c>
      <c r="AF917">
        <v>-3.7130809292082598</v>
      </c>
      <c r="AG917">
        <v>-1.1050525334950001</v>
      </c>
      <c r="AH917">
        <v>12.820551595160101</v>
      </c>
      <c r="AI917">
        <v>94.732809410412202</v>
      </c>
      <c r="AJ917">
        <v>106.15204380611701</v>
      </c>
      <c r="AK917">
        <v>13.3930823297998</v>
      </c>
    </row>
    <row r="918" spans="1:37" x14ac:dyDescent="0.2">
      <c r="A918" t="str">
        <f>"20200111153626269"</f>
        <v>20200111153626269</v>
      </c>
      <c r="B918" t="str">
        <f>"1578728186263968"</f>
        <v>1578728186263968</v>
      </c>
      <c r="C918" t="s">
        <v>37</v>
      </c>
      <c r="D918">
        <v>6.1295080000000004</v>
      </c>
      <c r="E918">
        <v>0.42697559999999901</v>
      </c>
      <c r="F918" t="s">
        <v>39</v>
      </c>
      <c r="G918">
        <v>-234.5907</v>
      </c>
      <c r="H918" s="1">
        <v>-2.67679199999999E-6</v>
      </c>
      <c r="I918">
        <v>371.02159999999998</v>
      </c>
      <c r="J918">
        <v>-247.61070000000001</v>
      </c>
      <c r="K918">
        <v>1.1050489999999999</v>
      </c>
      <c r="L918">
        <v>367.17750000000001</v>
      </c>
      <c r="M918">
        <v>0.99987079999999995</v>
      </c>
      <c r="N918">
        <v>0</v>
      </c>
      <c r="O918">
        <v>6.9129169999999898E-3</v>
      </c>
      <c r="P918">
        <v>0.99421299999999901</v>
      </c>
      <c r="Q918">
        <v>4.845033E-2</v>
      </c>
      <c r="R918">
        <v>9.5882389999999998E-2</v>
      </c>
      <c r="S918">
        <v>2.9470669999999899</v>
      </c>
      <c r="T918">
        <v>-0.24664620000000001</v>
      </c>
      <c r="U918">
        <v>0.85830689999999998</v>
      </c>
      <c r="V918">
        <v>-8.9010969999999995E-2</v>
      </c>
      <c r="W918">
        <v>6.2888879999999994E-2</v>
      </c>
      <c r="X918">
        <v>0.99404329999999996</v>
      </c>
      <c r="Y918">
        <v>-0.27212449999999999</v>
      </c>
      <c r="Z918">
        <v>1.0571509999999999E-2</v>
      </c>
      <c r="AA918">
        <v>0.96220399999999995</v>
      </c>
      <c r="AB918">
        <v>33</v>
      </c>
      <c r="AC918">
        <v>13.02</v>
      </c>
      <c r="AD918">
        <v>-1.105051676792</v>
      </c>
      <c r="AE918">
        <v>3.8440999999999601</v>
      </c>
      <c r="AF918">
        <v>-3.72928256820992</v>
      </c>
      <c r="AG918">
        <v>-1.105051676792</v>
      </c>
      <c r="AH918">
        <v>12.960391148512</v>
      </c>
      <c r="AI918">
        <v>94.684297425161006</v>
      </c>
      <c r="AJ918">
        <v>106.05288706645899</v>
      </c>
      <c r="AK918">
        <v>13.531460616074099</v>
      </c>
    </row>
    <row r="919" spans="1:37" x14ac:dyDescent="0.2">
      <c r="A919" t="str">
        <f>"20200111153626282"</f>
        <v>20200111153626282</v>
      </c>
      <c r="B919" t="str">
        <f>"1578728186273728"</f>
        <v>1578728186273728</v>
      </c>
      <c r="C919" t="s">
        <v>37</v>
      </c>
      <c r="D919">
        <v>5.9850089999999998</v>
      </c>
      <c r="E919">
        <v>0.42697559999999901</v>
      </c>
      <c r="F919" t="s">
        <v>39</v>
      </c>
      <c r="G919">
        <v>-234.3313</v>
      </c>
      <c r="H919" s="1">
        <v>-2.794443E-6</v>
      </c>
      <c r="I919">
        <v>371.04570000000001</v>
      </c>
      <c r="J919">
        <v>-247.42850000000001</v>
      </c>
      <c r="K919">
        <v>1.1050439999999999</v>
      </c>
      <c r="L919">
        <v>367.17869999999999</v>
      </c>
      <c r="M919">
        <v>0.99987039999999905</v>
      </c>
      <c r="N919">
        <v>0</v>
      </c>
      <c r="O919">
        <v>6.9391569999999996E-3</v>
      </c>
      <c r="P919">
        <v>0.99414809999999998</v>
      </c>
      <c r="Q919">
        <v>4.8398360000000001E-2</v>
      </c>
      <c r="R919">
        <v>9.657868E-2</v>
      </c>
      <c r="S919">
        <v>2.946625</v>
      </c>
      <c r="T919">
        <v>-0.24520400000000001</v>
      </c>
      <c r="U919">
        <v>0.85833740000000003</v>
      </c>
      <c r="V919">
        <v>-8.9681960000000005E-2</v>
      </c>
      <c r="W919">
        <v>6.2834150000000005E-2</v>
      </c>
      <c r="X919">
        <v>0.99398639999999905</v>
      </c>
      <c r="Y919">
        <v>-0.27215689999999998</v>
      </c>
      <c r="Z919">
        <v>1.051057E-2</v>
      </c>
      <c r="AA919">
        <v>0.96219549999999998</v>
      </c>
      <c r="AB919">
        <v>33</v>
      </c>
      <c r="AC919">
        <v>13.097200000000001</v>
      </c>
      <c r="AD919">
        <v>-1.105046794443</v>
      </c>
      <c r="AE919">
        <v>3.8670000000000102</v>
      </c>
      <c r="AF919">
        <v>-3.7514494755008299</v>
      </c>
      <c r="AG919">
        <v>-1.105046794443</v>
      </c>
      <c r="AH919">
        <v>13.038346779999401</v>
      </c>
      <c r="AI919">
        <v>94.656418267544893</v>
      </c>
      <c r="AJ919">
        <v>106.051814004947</v>
      </c>
      <c r="AK919">
        <v>13.6122367133644</v>
      </c>
    </row>
    <row r="920" spans="1:37" x14ac:dyDescent="0.2">
      <c r="A920" t="str">
        <f>"20200111153626296"</f>
        <v>20200111153626296</v>
      </c>
      <c r="B920" t="str">
        <f>"1578728186283489"</f>
        <v>1578728186283489</v>
      </c>
      <c r="C920" t="s">
        <v>37</v>
      </c>
      <c r="D920">
        <v>6.0537039999999998</v>
      </c>
      <c r="E920">
        <v>0.42436659999999998</v>
      </c>
      <c r="F920" t="s">
        <v>39</v>
      </c>
      <c r="G920">
        <v>-234.15719999999999</v>
      </c>
      <c r="H920" s="1">
        <v>-2.871364E-6</v>
      </c>
      <c r="I920">
        <v>371.05399999999997</v>
      </c>
      <c r="J920">
        <v>-247.2321</v>
      </c>
      <c r="K920">
        <v>1.1050389999999899</v>
      </c>
      <c r="L920">
        <v>367.18009999999998</v>
      </c>
      <c r="M920">
        <v>0.99987029999999999</v>
      </c>
      <c r="N920">
        <v>0</v>
      </c>
      <c r="O920">
        <v>6.9673629999999999E-3</v>
      </c>
      <c r="P920">
        <v>0.99408960000000002</v>
      </c>
      <c r="Q920">
        <v>4.7695880000000003E-2</v>
      </c>
      <c r="R920">
        <v>9.7524440000000004E-2</v>
      </c>
      <c r="S920">
        <v>2.9460449999999998</v>
      </c>
      <c r="T920">
        <v>-0.24530370000000001</v>
      </c>
      <c r="U920">
        <v>0.86026000000000002</v>
      </c>
      <c r="V920">
        <v>-9.0599760000000001E-2</v>
      </c>
      <c r="W920">
        <v>6.2128879999999997E-2</v>
      </c>
      <c r="X920">
        <v>0.99394749999999998</v>
      </c>
      <c r="Y920">
        <v>-0.27275659999999902</v>
      </c>
      <c r="Z920">
        <v>1.05379999999999E-2</v>
      </c>
      <c r="AA920">
        <v>0.96202529999999997</v>
      </c>
      <c r="AB920">
        <v>33</v>
      </c>
      <c r="AC920">
        <v>13.0749</v>
      </c>
      <c r="AD920">
        <v>-1.10504187136399</v>
      </c>
      <c r="AE920">
        <v>3.8739000000000399</v>
      </c>
      <c r="AF920">
        <v>-3.7580215121863501</v>
      </c>
      <c r="AG920">
        <v>-1.10504187136399</v>
      </c>
      <c r="AH920">
        <v>13.0161052995396</v>
      </c>
      <c r="AI920">
        <v>94.663087859984998</v>
      </c>
      <c r="AJ920">
        <v>106.104533676637</v>
      </c>
      <c r="AK920">
        <v>13.592749552324801</v>
      </c>
    </row>
    <row r="921" spans="1:37" x14ac:dyDescent="0.2">
      <c r="A921" t="str">
        <f>"20200111153626312"</f>
        <v>20200111153626312</v>
      </c>
      <c r="B921" t="str">
        <f>"1578728186303984"</f>
        <v>1578728186303984</v>
      </c>
      <c r="C921" t="s">
        <v>37</v>
      </c>
      <c r="D921">
        <v>5.8423590000000001</v>
      </c>
      <c r="E921">
        <v>0.37527630000000001</v>
      </c>
      <c r="F921" t="s">
        <v>39</v>
      </c>
      <c r="G921">
        <v>-234.4676</v>
      </c>
      <c r="H921" s="1">
        <v>-2.7276789999999998E-6</v>
      </c>
      <c r="I921">
        <v>371.01429999999999</v>
      </c>
      <c r="J921">
        <v>-246.98929999999999</v>
      </c>
      <c r="K921">
        <v>1.1050249999999999</v>
      </c>
      <c r="L921">
        <v>367.18189999999998</v>
      </c>
      <c r="M921">
        <v>0.99987000000000004</v>
      </c>
      <c r="N921">
        <v>0</v>
      </c>
      <c r="O921">
        <v>7.0023669999999998E-3</v>
      </c>
      <c r="P921">
        <v>0.99397150000000001</v>
      </c>
      <c r="Q921">
        <v>4.6127420000000002E-2</v>
      </c>
      <c r="R921">
        <v>9.9462930000000005E-2</v>
      </c>
      <c r="S921">
        <v>2.9433289999999999</v>
      </c>
      <c r="T921">
        <v>-0.25480560000000002</v>
      </c>
      <c r="U921">
        <v>0.88412479999999904</v>
      </c>
      <c r="V921">
        <v>-9.2503879999999997E-2</v>
      </c>
      <c r="W921">
        <v>6.0556829999999999E-2</v>
      </c>
      <c r="X921">
        <v>0.99386919999999901</v>
      </c>
      <c r="Y921">
        <v>-0.28003359999999999</v>
      </c>
      <c r="Z921">
        <v>1.1246859999999999E-2</v>
      </c>
      <c r="AA921">
        <v>0.95992429999999995</v>
      </c>
      <c r="AB921">
        <v>33</v>
      </c>
      <c r="AC921">
        <v>12.5216999999999</v>
      </c>
      <c r="AD921">
        <v>-1.1050277276789999</v>
      </c>
      <c r="AE921">
        <v>3.8323999999999998</v>
      </c>
      <c r="AF921">
        <v>-3.7181389006971299</v>
      </c>
      <c r="AG921">
        <v>-1.1050277276789999</v>
      </c>
      <c r="AH921">
        <v>12.459509270593699</v>
      </c>
      <c r="AI921">
        <v>94.857669969722807</v>
      </c>
      <c r="AJ921">
        <v>106.616037940263</v>
      </c>
      <c r="AK921">
        <v>13.0493300375087</v>
      </c>
    </row>
    <row r="922" spans="1:37" x14ac:dyDescent="0.2">
      <c r="A922" t="str">
        <f>"20200111153626326"</f>
        <v>20200111153626326</v>
      </c>
      <c r="B922" t="str">
        <f>"1578728186313745"</f>
        <v>1578728186313745</v>
      </c>
      <c r="C922" t="s">
        <v>37</v>
      </c>
      <c r="D922">
        <v>5.8001889999999996</v>
      </c>
      <c r="E922">
        <v>0.36747779999999902</v>
      </c>
      <c r="F922" t="s">
        <v>39</v>
      </c>
      <c r="G922">
        <v>-236.89320000000001</v>
      </c>
      <c r="H922" s="1">
        <v>-1.8492720000000001E-6</v>
      </c>
      <c r="I922">
        <v>371.62389999999999</v>
      </c>
      <c r="J922">
        <v>-246.7903</v>
      </c>
      <c r="K922">
        <v>1.1050180000000001</v>
      </c>
      <c r="L922">
        <v>367.18329999999997</v>
      </c>
      <c r="M922">
        <v>0.99986989999999998</v>
      </c>
      <c r="N922">
        <v>0</v>
      </c>
      <c r="O922">
        <v>7.0307519999999899E-3</v>
      </c>
      <c r="P922">
        <v>0.99390259999999997</v>
      </c>
      <c r="Q922">
        <v>4.5557130000000001E-2</v>
      </c>
      <c r="R922">
        <v>0.10041079999999999</v>
      </c>
      <c r="S922">
        <v>2.905014</v>
      </c>
      <c r="T922">
        <v>-0.31795390000000001</v>
      </c>
      <c r="U922">
        <v>1.2781370000000001</v>
      </c>
      <c r="V922">
        <v>-9.3423619999999999E-2</v>
      </c>
      <c r="W922">
        <v>5.9983290000000002E-2</v>
      </c>
      <c r="X922">
        <v>0.99381790000000003</v>
      </c>
      <c r="Y922">
        <v>-0.3943372</v>
      </c>
      <c r="Z922">
        <v>1.98389E-2</v>
      </c>
      <c r="AA922">
        <v>0.91875169999999995</v>
      </c>
      <c r="AB922">
        <v>33</v>
      </c>
      <c r="AC922">
        <v>9.8970999999999894</v>
      </c>
      <c r="AD922">
        <v>-1.105019849272</v>
      </c>
      <c r="AE922">
        <v>4.4406000000000097</v>
      </c>
      <c r="AF922">
        <v>-4.3260081579979897</v>
      </c>
      <c r="AG922">
        <v>-1.105019849272</v>
      </c>
      <c r="AH922">
        <v>9.8261144955718294</v>
      </c>
      <c r="AI922">
        <v>95.876434477899195</v>
      </c>
      <c r="AJ922">
        <v>113.761793179774</v>
      </c>
      <c r="AK922">
        <v>10.7929579601903</v>
      </c>
    </row>
    <row r="923" spans="1:37" x14ac:dyDescent="0.2">
      <c r="A923" t="str">
        <f>"20200111153626344"</f>
        <v>20200111153626344</v>
      </c>
      <c r="B923" t="str">
        <f>"1578728186333264"</f>
        <v>1578728186333264</v>
      </c>
      <c r="C923" t="s">
        <v>37</v>
      </c>
      <c r="D923">
        <v>5.8735790000000003</v>
      </c>
      <c r="E923">
        <v>0.35982570000000003</v>
      </c>
      <c r="F923" t="s">
        <v>38</v>
      </c>
      <c r="G923">
        <v>-245.8648</v>
      </c>
      <c r="H923">
        <v>1.0025959999999901</v>
      </c>
      <c r="I923">
        <v>367.6123</v>
      </c>
      <c r="J923">
        <v>-246.5127</v>
      </c>
      <c r="K923">
        <v>1.105008</v>
      </c>
      <c r="L923">
        <v>367.18529999999998</v>
      </c>
      <c r="M923">
        <v>0.99986969999999997</v>
      </c>
      <c r="N923">
        <v>0</v>
      </c>
      <c r="O923">
        <v>7.0705849999999999E-3</v>
      </c>
      <c r="P923">
        <v>0.99376790000000004</v>
      </c>
      <c r="Q923">
        <v>4.4193980000000001E-2</v>
      </c>
      <c r="R923">
        <v>0.1023355</v>
      </c>
      <c r="S923">
        <v>2.897446</v>
      </c>
      <c r="T923">
        <v>-0.32065479999999902</v>
      </c>
      <c r="U923">
        <v>1.342865</v>
      </c>
      <c r="V923">
        <v>-9.5310179999999994E-2</v>
      </c>
      <c r="W923">
        <v>5.8615750000000001E-2</v>
      </c>
      <c r="X923">
        <v>0.99372039999999995</v>
      </c>
      <c r="Y923">
        <v>-0.41203779999999901</v>
      </c>
      <c r="Z923">
        <v>2.0892190000000001E-2</v>
      </c>
      <c r="AA923">
        <v>0.91092719999999905</v>
      </c>
      <c r="AB923">
        <v>33</v>
      </c>
      <c r="AC923">
        <v>0.64789999999999204</v>
      </c>
      <c r="AD923">
        <v>-0.102412</v>
      </c>
      <c r="AE923">
        <v>0.42700000000001997</v>
      </c>
      <c r="AF923">
        <v>-0.41517574035224503</v>
      </c>
      <c r="AG923">
        <v>-0.102412</v>
      </c>
      <c r="AH923">
        <v>0.63975910538151803</v>
      </c>
      <c r="AI923">
        <v>97.647997918769704</v>
      </c>
      <c r="AJ923">
        <v>122.98181154050501</v>
      </c>
      <c r="AK923">
        <v>0.76951336963018102</v>
      </c>
    </row>
    <row r="924" spans="1:37" x14ac:dyDescent="0.2">
      <c r="A924" t="str">
        <f>"20200111153626360"</f>
        <v>20200111153626360</v>
      </c>
      <c r="B924" t="str">
        <f>"1578728186353760"</f>
        <v>1578728186353760</v>
      </c>
      <c r="C924" t="s">
        <v>37</v>
      </c>
      <c r="D924">
        <v>5.8014839999999896</v>
      </c>
      <c r="E924">
        <v>0.35496659999999902</v>
      </c>
      <c r="F924" t="s">
        <v>38</v>
      </c>
      <c r="G924">
        <v>-245.57660000000001</v>
      </c>
      <c r="H924">
        <v>0.99776010000000004</v>
      </c>
      <c r="I924">
        <v>367.642</v>
      </c>
      <c r="J924">
        <v>-246.2843</v>
      </c>
      <c r="K924">
        <v>1.1050040000000001</v>
      </c>
      <c r="L924">
        <v>367.18689999999998</v>
      </c>
      <c r="M924">
        <v>0.99986960000000003</v>
      </c>
      <c r="N924">
        <v>0</v>
      </c>
      <c r="O924">
        <v>7.1034999999999996E-3</v>
      </c>
      <c r="P924">
        <v>0.99369649999999998</v>
      </c>
      <c r="Q924">
        <v>4.376654E-2</v>
      </c>
      <c r="R924">
        <v>0.1032071</v>
      </c>
      <c r="S924">
        <v>2.88841199999999</v>
      </c>
      <c r="T924">
        <v>-0.33083000000000001</v>
      </c>
      <c r="U924">
        <v>1.4093020000000001</v>
      </c>
      <c r="V924">
        <v>-9.6149380000000007E-2</v>
      </c>
      <c r="W924">
        <v>5.8184939999999997E-2</v>
      </c>
      <c r="X924">
        <v>0.99366489999999996</v>
      </c>
      <c r="Y924">
        <v>-0.42987619999999999</v>
      </c>
      <c r="Z924">
        <v>2.2472789999999999E-2</v>
      </c>
      <c r="AA924">
        <v>0.90260819999999997</v>
      </c>
      <c r="AB924">
        <v>33</v>
      </c>
      <c r="AC924">
        <v>0.70769999999998801</v>
      </c>
      <c r="AD924">
        <v>-0.1072439</v>
      </c>
      <c r="AE924">
        <v>0.45510000000001499</v>
      </c>
      <c r="AF924">
        <v>-0.44286615353275599</v>
      </c>
      <c r="AG924">
        <v>-0.1072439</v>
      </c>
      <c r="AH924">
        <v>0.69955057063728698</v>
      </c>
      <c r="AI924">
        <v>97.380396298379694</v>
      </c>
      <c r="AJ924">
        <v>122.336771566818</v>
      </c>
      <c r="AK924">
        <v>0.83486686657877496</v>
      </c>
    </row>
    <row r="925" spans="1:37" x14ac:dyDescent="0.2">
      <c r="A925" t="str">
        <f>"20200111153626373"</f>
        <v>20200111153626373</v>
      </c>
      <c r="B925" t="str">
        <f>"1578728186363522"</f>
        <v>1578728186363522</v>
      </c>
      <c r="C925" t="s">
        <v>37</v>
      </c>
      <c r="D925">
        <v>5.8083220000000004</v>
      </c>
      <c r="E925">
        <v>0.3553095</v>
      </c>
      <c r="F925" t="s">
        <v>38</v>
      </c>
      <c r="G925">
        <v>-245.291</v>
      </c>
      <c r="H925">
        <v>1.00346</v>
      </c>
      <c r="I925">
        <v>367.68729999999999</v>
      </c>
      <c r="J925">
        <v>-246.0761</v>
      </c>
      <c r="K925">
        <v>1.104992</v>
      </c>
      <c r="L925">
        <v>367.1884</v>
      </c>
      <c r="M925">
        <v>0.99986949999999997</v>
      </c>
      <c r="N925">
        <v>0</v>
      </c>
      <c r="O925">
        <v>7.1330809999999899E-3</v>
      </c>
      <c r="P925">
        <v>0.99362609999999996</v>
      </c>
      <c r="Q925">
        <v>4.3428920000000003E-2</v>
      </c>
      <c r="R925">
        <v>0.1040257</v>
      </c>
      <c r="S925">
        <v>2.881256</v>
      </c>
      <c r="T925">
        <v>-0.29452259999999902</v>
      </c>
      <c r="U925">
        <v>1.4513240000000001</v>
      </c>
      <c r="V925">
        <v>-9.6938750000000004E-2</v>
      </c>
      <c r="W925">
        <v>5.784458E-2</v>
      </c>
      <c r="X925">
        <v>0.99360800000000005</v>
      </c>
      <c r="Y925">
        <v>-0.44167590000000001</v>
      </c>
      <c r="Z925">
        <v>2.0566419999999998E-2</v>
      </c>
      <c r="AA925">
        <v>0.89693889999999998</v>
      </c>
      <c r="AB925">
        <v>33</v>
      </c>
      <c r="AC925">
        <v>0.78509999999999902</v>
      </c>
      <c r="AD925">
        <v>-0.101531999999999</v>
      </c>
      <c r="AE925">
        <v>0.49889999999999102</v>
      </c>
      <c r="AF925">
        <v>-0.487478845355935</v>
      </c>
      <c r="AG925">
        <v>-0.101531999999999</v>
      </c>
      <c r="AH925">
        <v>0.77935407948191904</v>
      </c>
      <c r="AI925">
        <v>96.302794652950396</v>
      </c>
      <c r="AJ925">
        <v>122.025602468817</v>
      </c>
      <c r="AK925">
        <v>0.92484439388400097</v>
      </c>
    </row>
    <row r="926" spans="1:37" x14ac:dyDescent="0.2">
      <c r="A926" t="str">
        <f>"20200111153626389"</f>
        <v>20200111153626389</v>
      </c>
      <c r="B926" t="str">
        <f>"1578728186384018"</f>
        <v>1578728186384018</v>
      </c>
      <c r="C926" t="s">
        <v>37</v>
      </c>
      <c r="D926">
        <v>5.7642030000000002</v>
      </c>
      <c r="E926">
        <v>0.35574169999999999</v>
      </c>
      <c r="F926" t="s">
        <v>38</v>
      </c>
      <c r="G926">
        <v>-245.1926</v>
      </c>
      <c r="H926">
        <v>1.012116</v>
      </c>
      <c r="I926">
        <v>367.63350000000003</v>
      </c>
      <c r="J926">
        <v>-245.84440000000001</v>
      </c>
      <c r="K926">
        <v>1.104989</v>
      </c>
      <c r="L926">
        <v>367.1902</v>
      </c>
      <c r="M926">
        <v>0.99986909999999896</v>
      </c>
      <c r="N926">
        <v>0</v>
      </c>
      <c r="O926">
        <v>7.1667110000000001E-3</v>
      </c>
      <c r="P926">
        <v>0.99347909999999995</v>
      </c>
      <c r="Q926">
        <v>4.3802849999999997E-2</v>
      </c>
      <c r="R926">
        <v>0.1052642</v>
      </c>
      <c r="S926">
        <v>2.880585</v>
      </c>
      <c r="T926">
        <v>-0.30280990000000002</v>
      </c>
      <c r="U926">
        <v>1.450806</v>
      </c>
      <c r="V926">
        <v>-9.8145200000000002E-2</v>
      </c>
      <c r="W926">
        <v>5.821399E-2</v>
      </c>
      <c r="X926">
        <v>0.99346800000000002</v>
      </c>
      <c r="Y926">
        <v>-0.44149820000000001</v>
      </c>
      <c r="Z926">
        <v>2.1135549999999999E-2</v>
      </c>
      <c r="AA926">
        <v>0.89701319999999996</v>
      </c>
      <c r="AB926">
        <v>33</v>
      </c>
      <c r="AC926">
        <v>0.65180000000000804</v>
      </c>
      <c r="AD926">
        <v>-9.28729999999999E-2</v>
      </c>
      <c r="AE926">
        <v>0.44330000000002201</v>
      </c>
      <c r="AF926">
        <v>-0.43261155423224101</v>
      </c>
      <c r="AG926">
        <v>-9.28729999999999E-2</v>
      </c>
      <c r="AH926">
        <v>0.64599322807332704</v>
      </c>
      <c r="AI926">
        <v>96.812009569391194</v>
      </c>
      <c r="AJ926">
        <v>123.809601177906</v>
      </c>
      <c r="AK926">
        <v>0.78299770223215404</v>
      </c>
    </row>
    <row r="927" spans="1:37" x14ac:dyDescent="0.2">
      <c r="A927" t="str">
        <f>"20200111153626401"</f>
        <v>20200111153626401</v>
      </c>
      <c r="B927" t="str">
        <f>"1578728186393776"</f>
        <v>1578728186393776</v>
      </c>
      <c r="C927" t="s">
        <v>37</v>
      </c>
      <c r="D927">
        <v>5.756462</v>
      </c>
      <c r="E927">
        <v>0.35563699999999998</v>
      </c>
      <c r="F927" t="s">
        <v>38</v>
      </c>
      <c r="G927">
        <v>-244.98179999999999</v>
      </c>
      <c r="H927">
        <v>1.012257</v>
      </c>
      <c r="I927">
        <v>367.62459999999999</v>
      </c>
      <c r="J927">
        <v>-245.66800000000001</v>
      </c>
      <c r="K927">
        <v>1.104994</v>
      </c>
      <c r="L927">
        <v>367.19139999999999</v>
      </c>
      <c r="M927">
        <v>0.99986900000000001</v>
      </c>
      <c r="N927">
        <v>0</v>
      </c>
      <c r="O927">
        <v>7.19222099999999E-3</v>
      </c>
      <c r="P927">
        <v>0.99339840000000001</v>
      </c>
      <c r="Q927">
        <v>4.4169380000000001E-2</v>
      </c>
      <c r="R927">
        <v>0.1058716</v>
      </c>
      <c r="S927">
        <v>2.879623</v>
      </c>
      <c r="T927">
        <v>-0.30952540000000001</v>
      </c>
      <c r="U927">
        <v>1.450745</v>
      </c>
      <c r="V927">
        <v>-9.8727170000000003E-2</v>
      </c>
      <c r="W927">
        <v>5.857909E-2</v>
      </c>
      <c r="X927">
        <v>0.99338890000000002</v>
      </c>
      <c r="Y927">
        <v>-0.441493999999999</v>
      </c>
      <c r="Z927">
        <v>2.160575E-2</v>
      </c>
      <c r="AA927">
        <v>0.89700409999999997</v>
      </c>
      <c r="AB927">
        <v>33</v>
      </c>
      <c r="AC927">
        <v>0.68620000000001302</v>
      </c>
      <c r="AD927">
        <v>-9.2737E-2</v>
      </c>
      <c r="AE927">
        <v>0.43319999999999897</v>
      </c>
      <c r="AF927">
        <v>-0.42273227211911502</v>
      </c>
      <c r="AG927">
        <v>-9.2737E-2</v>
      </c>
      <c r="AH927">
        <v>0.68041235563495395</v>
      </c>
      <c r="AI927">
        <v>96.603784611701101</v>
      </c>
      <c r="AJ927">
        <v>121.852202790099</v>
      </c>
      <c r="AK927">
        <v>0.80638929727563802</v>
      </c>
    </row>
    <row r="928" spans="1:37" x14ac:dyDescent="0.2">
      <c r="A928" t="str">
        <f>"20200111153626423"</f>
        <v>20200111153626423</v>
      </c>
      <c r="B928" t="str">
        <f>"1578728186413296"</f>
        <v>1578728186413296</v>
      </c>
      <c r="C928" t="s">
        <v>37</v>
      </c>
      <c r="D928">
        <v>5.771738</v>
      </c>
      <c r="E928">
        <v>0.35369050000000002</v>
      </c>
      <c r="F928" t="s">
        <v>38</v>
      </c>
      <c r="G928">
        <v>-244.6995</v>
      </c>
      <c r="H928">
        <v>1.000583</v>
      </c>
      <c r="I928">
        <v>367.68040000000002</v>
      </c>
      <c r="J928">
        <v>-245.3561</v>
      </c>
      <c r="K928">
        <v>1.1050040000000001</v>
      </c>
      <c r="L928">
        <v>367.19369999999998</v>
      </c>
      <c r="M928">
        <v>0.99986830000000004</v>
      </c>
      <c r="N928">
        <v>0</v>
      </c>
      <c r="O928">
        <v>7.2369390000000004E-3</v>
      </c>
      <c r="P928">
        <v>0.99316209999999905</v>
      </c>
      <c r="Q928">
        <v>4.5602520000000001E-2</v>
      </c>
      <c r="R928">
        <v>0.107468699999999</v>
      </c>
      <c r="S928">
        <v>2.8788149999999999</v>
      </c>
      <c r="T928">
        <v>-0.31033299999999903</v>
      </c>
      <c r="U928">
        <v>1.453522</v>
      </c>
      <c r="V928">
        <v>-0.100282</v>
      </c>
      <c r="W928">
        <v>6.0030409999999999E-2</v>
      </c>
      <c r="X928">
        <v>0.99314639999999998</v>
      </c>
      <c r="Y928">
        <v>-0.44223129999999999</v>
      </c>
      <c r="Z928">
        <v>2.1695720000000002E-2</v>
      </c>
      <c r="AA928">
        <v>0.89663859999999995</v>
      </c>
      <c r="AB928">
        <v>33</v>
      </c>
      <c r="AC928">
        <v>0.65659999999999696</v>
      </c>
      <c r="AD928">
        <v>-0.104421</v>
      </c>
      <c r="AE928">
        <v>0.48670000000004099</v>
      </c>
      <c r="AF928">
        <v>-0.47419471474481001</v>
      </c>
      <c r="AG928">
        <v>-0.104421</v>
      </c>
      <c r="AH928">
        <v>0.64950357047731599</v>
      </c>
      <c r="AI928">
        <v>97.398279393380903</v>
      </c>
      <c r="AJ928">
        <v>126.132730451399</v>
      </c>
      <c r="AK928">
        <v>0.81093727303392205</v>
      </c>
    </row>
    <row r="929" spans="1:37" x14ac:dyDescent="0.2">
      <c r="A929" t="str">
        <f>"20200111153626435"</f>
        <v>20200111153626435</v>
      </c>
      <c r="B929" t="str">
        <f>"1578728186433793"</f>
        <v>1578728186433793</v>
      </c>
      <c r="C929" t="s">
        <v>37</v>
      </c>
      <c r="D929">
        <v>5.7843540000000004</v>
      </c>
      <c r="E929">
        <v>0.35065990000000002</v>
      </c>
      <c r="F929" t="s">
        <v>38</v>
      </c>
      <c r="G929">
        <v>-244.40539999999999</v>
      </c>
      <c r="H929">
        <v>1.009628</v>
      </c>
      <c r="I929">
        <v>367.68119999999999</v>
      </c>
      <c r="J929">
        <v>-245.1644</v>
      </c>
      <c r="K929">
        <v>1.1050229999999901</v>
      </c>
      <c r="L929">
        <v>367.19510000000002</v>
      </c>
      <c r="M929">
        <v>0.99986719999999896</v>
      </c>
      <c r="N929">
        <v>0</v>
      </c>
      <c r="O929">
        <v>7.2630380000000003E-3</v>
      </c>
      <c r="P929">
        <v>0.9930388</v>
      </c>
      <c r="Q929">
        <v>4.6138199999999997E-2</v>
      </c>
      <c r="R929">
        <v>0.1083754</v>
      </c>
      <c r="S929">
        <v>2.8744049999999999</v>
      </c>
      <c r="T929">
        <v>-0.28830800000000001</v>
      </c>
      <c r="U929">
        <v>1.4741519999999999</v>
      </c>
      <c r="V929">
        <v>-0.101163899999999</v>
      </c>
      <c r="W929">
        <v>6.0623459999999997E-2</v>
      </c>
      <c r="X929">
        <v>0.99302099999999904</v>
      </c>
      <c r="Y929">
        <v>-0.44811459999999997</v>
      </c>
      <c r="Z929">
        <v>2.0434170000000001E-2</v>
      </c>
      <c r="AA929">
        <v>0.89374259999999905</v>
      </c>
      <c r="AB929">
        <v>33</v>
      </c>
      <c r="AC929">
        <v>0.759000000000014</v>
      </c>
      <c r="AD929">
        <v>-9.5394999999999897E-2</v>
      </c>
      <c r="AE929">
        <v>0.48609999999996401</v>
      </c>
      <c r="AF929">
        <v>-0.475250196308244</v>
      </c>
      <c r="AG929">
        <v>-9.5394999999999897E-2</v>
      </c>
      <c r="AH929">
        <v>0.75406390009165702</v>
      </c>
      <c r="AI929">
        <v>96.108830569423802</v>
      </c>
      <c r="AJ929">
        <v>122.221258062039</v>
      </c>
      <c r="AK929">
        <v>0.89642362783310503</v>
      </c>
    </row>
    <row r="930" spans="1:37" x14ac:dyDescent="0.2">
      <c r="A930" t="str">
        <f>"20200111153626448"</f>
        <v>20200111153626448</v>
      </c>
      <c r="B930" t="str">
        <f>"1578728186443552"</f>
        <v>1578728186443552</v>
      </c>
      <c r="C930" t="s">
        <v>37</v>
      </c>
      <c r="D930">
        <v>5.7517100000000001</v>
      </c>
      <c r="E930">
        <v>0.3495412</v>
      </c>
      <c r="F930" t="s">
        <v>38</v>
      </c>
      <c r="G930">
        <v>-244.3175</v>
      </c>
      <c r="H930">
        <v>1.0301290000000001</v>
      </c>
      <c r="I930">
        <v>367.63830000000002</v>
      </c>
      <c r="J930">
        <v>-244.9863</v>
      </c>
      <c r="K930">
        <v>1.105046</v>
      </c>
      <c r="L930">
        <v>367.19639999999998</v>
      </c>
      <c r="M930">
        <v>0.99986589999999997</v>
      </c>
      <c r="N930">
        <v>0</v>
      </c>
      <c r="O930">
        <v>7.2871000000000003E-3</v>
      </c>
      <c r="P930">
        <v>0.99290259999999997</v>
      </c>
      <c r="Q930">
        <v>4.663461E-2</v>
      </c>
      <c r="R930">
        <v>0.1094069</v>
      </c>
      <c r="S930">
        <v>2.868973</v>
      </c>
      <c r="T930">
        <v>-0.25367010000000001</v>
      </c>
      <c r="U930">
        <v>1.5015259999999999</v>
      </c>
      <c r="V930">
        <v>-0.1021722</v>
      </c>
      <c r="W930">
        <v>6.12008E-2</v>
      </c>
      <c r="X930">
        <v>0.9928823</v>
      </c>
      <c r="Y930">
        <v>-0.45585710000000002</v>
      </c>
      <c r="Z930">
        <v>1.8299949999999999E-2</v>
      </c>
      <c r="AA930">
        <v>0.88986489999999996</v>
      </c>
      <c r="AB930">
        <v>33</v>
      </c>
      <c r="AC930">
        <v>0.66880000000000395</v>
      </c>
      <c r="AD930">
        <v>-7.49169999999999E-2</v>
      </c>
      <c r="AE930">
        <v>0.44190000000003199</v>
      </c>
      <c r="AF930">
        <v>-0.43323005458872998</v>
      </c>
      <c r="AG930">
        <v>-7.49169999999999E-2</v>
      </c>
      <c r="AH930">
        <v>0.66618393208107096</v>
      </c>
      <c r="AI930">
        <v>95.385652087615696</v>
      </c>
      <c r="AJ930">
        <v>123.036592708093</v>
      </c>
      <c r="AK930">
        <v>0.798186612548063</v>
      </c>
    </row>
    <row r="931" spans="1:37" x14ac:dyDescent="0.2">
      <c r="A931" t="str">
        <f>"20200111153626466"</f>
        <v>20200111153626466</v>
      </c>
      <c r="B931" t="str">
        <f>"1578728186464048"</f>
        <v>1578728186464048</v>
      </c>
      <c r="C931" t="s">
        <v>37</v>
      </c>
      <c r="D931">
        <v>5.7425379999999997</v>
      </c>
      <c r="E931">
        <v>0.34753529999999999</v>
      </c>
      <c r="F931" t="s">
        <v>38</v>
      </c>
      <c r="G931">
        <v>-244.1071</v>
      </c>
      <c r="H931">
        <v>1.031598</v>
      </c>
      <c r="I931">
        <v>367.66070000000002</v>
      </c>
      <c r="J931">
        <v>-244.70830000000001</v>
      </c>
      <c r="K931">
        <v>1.1050879999999901</v>
      </c>
      <c r="L931">
        <v>367.1986</v>
      </c>
      <c r="M931">
        <v>0.99986309999999901</v>
      </c>
      <c r="N931">
        <v>0</v>
      </c>
      <c r="O931">
        <v>7.3244180000000001E-3</v>
      </c>
      <c r="P931">
        <v>0.99269750000000001</v>
      </c>
      <c r="Q931">
        <v>4.7361899999999998E-2</v>
      </c>
      <c r="R931">
        <v>0.1109435</v>
      </c>
      <c r="S931">
        <v>2.8659059999999998</v>
      </c>
      <c r="T931">
        <v>-0.2394223</v>
      </c>
      <c r="U931">
        <v>1.5137020000000001</v>
      </c>
      <c r="V931">
        <v>-0.1036733</v>
      </c>
      <c r="W931">
        <v>6.2084599999999997E-2</v>
      </c>
      <c r="X931">
        <v>0.99267179999999999</v>
      </c>
      <c r="Y931">
        <v>-0.45931379999999999</v>
      </c>
      <c r="Z931">
        <v>1.740792E-2</v>
      </c>
      <c r="AA931">
        <v>0.88810349999999905</v>
      </c>
      <c r="AB931">
        <v>33</v>
      </c>
      <c r="AC931">
        <v>0.60120000000000495</v>
      </c>
      <c r="AD931">
        <v>-7.3489999999999805E-2</v>
      </c>
      <c r="AE931">
        <v>0.46210000000001999</v>
      </c>
      <c r="AF931">
        <v>-0.45342464898499901</v>
      </c>
      <c r="AG931">
        <v>-7.3489999999999805E-2</v>
      </c>
      <c r="AH931">
        <v>0.59894297103854899</v>
      </c>
      <c r="AI931">
        <v>95.587350152647005</v>
      </c>
      <c r="AJ931">
        <v>127.12723080201199</v>
      </c>
      <c r="AK931">
        <v>0.75480287159208204</v>
      </c>
    </row>
    <row r="932" spans="1:37" x14ac:dyDescent="0.2">
      <c r="A932" t="str">
        <f>"20200111153626479"</f>
        <v>20200111153626479</v>
      </c>
      <c r="B932" t="str">
        <f>"1578728186473808"</f>
        <v>1578728186473808</v>
      </c>
      <c r="C932" t="s">
        <v>37</v>
      </c>
      <c r="D932">
        <v>5.7349069999999998</v>
      </c>
      <c r="E932">
        <v>0.34669270000000002</v>
      </c>
      <c r="F932" t="s">
        <v>38</v>
      </c>
      <c r="G932">
        <v>-243.81780000000001</v>
      </c>
      <c r="H932">
        <v>1.0378799999999999</v>
      </c>
      <c r="I932">
        <v>367.67619999999999</v>
      </c>
      <c r="J932">
        <v>-244.524</v>
      </c>
      <c r="K932">
        <v>1.105113</v>
      </c>
      <c r="L932">
        <v>367.19990000000001</v>
      </c>
      <c r="M932">
        <v>0.99986119999999901</v>
      </c>
      <c r="N932">
        <v>0</v>
      </c>
      <c r="O932">
        <v>7.3486860000000001E-3</v>
      </c>
      <c r="P932">
        <v>0.99260300000000001</v>
      </c>
      <c r="Q932">
        <v>4.7680769999999997E-2</v>
      </c>
      <c r="R932">
        <v>0.1116497</v>
      </c>
      <c r="S932">
        <v>2.86084</v>
      </c>
      <c r="T932">
        <v>-0.215896</v>
      </c>
      <c r="U932">
        <v>1.534729</v>
      </c>
      <c r="V932">
        <v>-0.1043559</v>
      </c>
      <c r="W932">
        <v>6.251959E-2</v>
      </c>
      <c r="X932">
        <v>0.99257299999999904</v>
      </c>
      <c r="Y932">
        <v>-0.46523310000000001</v>
      </c>
      <c r="Z932">
        <v>1.590805E-2</v>
      </c>
      <c r="AA932">
        <v>0.88504519999999998</v>
      </c>
      <c r="AB932">
        <v>33</v>
      </c>
      <c r="AC932">
        <v>0.70619999999999505</v>
      </c>
      <c r="AD932">
        <v>-6.7233000000000098E-2</v>
      </c>
      <c r="AE932">
        <v>0.47629999999998002</v>
      </c>
      <c r="AF932">
        <v>-0.46818020783338599</v>
      </c>
      <c r="AG932">
        <v>-6.7233000000000098E-2</v>
      </c>
      <c r="AH932">
        <v>0.70528764090057605</v>
      </c>
      <c r="AI932">
        <v>94.540973716590898</v>
      </c>
      <c r="AJ932">
        <v>123.576786169215</v>
      </c>
      <c r="AK932">
        <v>0.849201766191647</v>
      </c>
    </row>
    <row r="933" spans="1:37" x14ac:dyDescent="0.2">
      <c r="A933" t="str">
        <f>"20200111153626492"</f>
        <v>20200111153626492</v>
      </c>
      <c r="B933" t="str">
        <f>"1578728186483569"</f>
        <v>1578728186483569</v>
      </c>
      <c r="C933" t="s">
        <v>37</v>
      </c>
      <c r="D933">
        <v>5.7669300000000003</v>
      </c>
      <c r="E933">
        <v>0.34708909999999998</v>
      </c>
      <c r="F933" t="s">
        <v>38</v>
      </c>
      <c r="G933">
        <v>-243.5384</v>
      </c>
      <c r="H933">
        <v>1.03427</v>
      </c>
      <c r="I933">
        <v>367.73219999999998</v>
      </c>
      <c r="J933">
        <v>-244.33860000000001</v>
      </c>
      <c r="K933">
        <v>1.1051420000000001</v>
      </c>
      <c r="L933">
        <v>367.2013</v>
      </c>
      <c r="M933">
        <v>0.99985889999999999</v>
      </c>
      <c r="N933">
        <v>0</v>
      </c>
      <c r="O933">
        <v>7.3744500000000003E-3</v>
      </c>
      <c r="P933">
        <v>0.99256009999999995</v>
      </c>
      <c r="Q933">
        <v>4.7533060000000002E-2</v>
      </c>
      <c r="R933">
        <v>0.1120941</v>
      </c>
      <c r="S933">
        <v>2.8585660000000002</v>
      </c>
      <c r="T933">
        <v>-0.20548369999999999</v>
      </c>
      <c r="U933">
        <v>1.5439149999999999</v>
      </c>
      <c r="V933">
        <v>-0.1047752</v>
      </c>
      <c r="W933">
        <v>6.2516730000000006E-2</v>
      </c>
      <c r="X933">
        <v>0.99252899999999999</v>
      </c>
      <c r="Y933">
        <v>-0.4677965</v>
      </c>
      <c r="Z933">
        <v>1.5226740000000001E-2</v>
      </c>
      <c r="AA933">
        <v>0.88370499999999996</v>
      </c>
      <c r="AB933">
        <v>33</v>
      </c>
      <c r="AC933">
        <v>0.80020000000001701</v>
      </c>
      <c r="AD933">
        <v>-7.0872000000000004E-2</v>
      </c>
      <c r="AE933">
        <v>0.53089999999997395</v>
      </c>
      <c r="AF933">
        <v>-0.52213989683272499</v>
      </c>
      <c r="AG933">
        <v>-7.0872000000000004E-2</v>
      </c>
      <c r="AH933">
        <v>0.79973781926670695</v>
      </c>
      <c r="AI933">
        <v>94.243796388678902</v>
      </c>
      <c r="AJ933">
        <v>123.140071345335</v>
      </c>
      <c r="AK933">
        <v>0.95772307678887902</v>
      </c>
    </row>
    <row r="934" spans="1:37" x14ac:dyDescent="0.2">
      <c r="A934" t="str">
        <f>"20200111153626505"</f>
        <v>20200111153626505</v>
      </c>
      <c r="B934" t="str">
        <f>"1578728186493329"</f>
        <v>1578728186493329</v>
      </c>
      <c r="C934" t="s">
        <v>37</v>
      </c>
      <c r="D934">
        <v>5.7789960000000002</v>
      </c>
      <c r="E934">
        <v>0.34750249999999999</v>
      </c>
      <c r="F934" t="s">
        <v>38</v>
      </c>
      <c r="G934">
        <v>-243.5187</v>
      </c>
      <c r="H934">
        <v>1.0443549999999999</v>
      </c>
      <c r="I934">
        <v>367.64359999999999</v>
      </c>
      <c r="J934">
        <v>-244.16050000000001</v>
      </c>
      <c r="K934">
        <v>1.10517</v>
      </c>
      <c r="L934">
        <v>367.20260000000002</v>
      </c>
      <c r="M934">
        <v>0.99985639999999998</v>
      </c>
      <c r="N934">
        <v>0</v>
      </c>
      <c r="O934">
        <v>7.3996349999999999E-3</v>
      </c>
      <c r="P934">
        <v>0.99250269999999996</v>
      </c>
      <c r="Q934">
        <v>4.7924179999999997E-2</v>
      </c>
      <c r="R934">
        <v>0.11243499999999999</v>
      </c>
      <c r="S934">
        <v>2.8584900000000002</v>
      </c>
      <c r="T934">
        <v>-0.21195259999999999</v>
      </c>
      <c r="U934">
        <v>1.5419309999999999</v>
      </c>
      <c r="V934">
        <v>-0.10509110000000001</v>
      </c>
      <c r="W934">
        <v>6.3056390000000004E-2</v>
      </c>
      <c r="X934">
        <v>0.99246139999999905</v>
      </c>
      <c r="Y934">
        <v>-0.46725119999999998</v>
      </c>
      <c r="Z934">
        <v>1.5687159999999999E-2</v>
      </c>
      <c r="AA934">
        <v>0.88398539999999903</v>
      </c>
      <c r="AB934">
        <v>33</v>
      </c>
      <c r="AC934">
        <v>0.64180000000001702</v>
      </c>
      <c r="AD934">
        <v>-6.0815000000000001E-2</v>
      </c>
      <c r="AE934">
        <v>0.44099999999997402</v>
      </c>
      <c r="AF934">
        <v>-0.43359372458672402</v>
      </c>
      <c r="AG934">
        <v>-6.0815000000000001E-2</v>
      </c>
      <c r="AH934">
        <v>0.64113564871832496</v>
      </c>
      <c r="AI934">
        <v>94.492699613629199</v>
      </c>
      <c r="AJ934">
        <v>124.070102059725</v>
      </c>
      <c r="AK934">
        <v>0.77637420248450795</v>
      </c>
    </row>
    <row r="935" spans="1:37" x14ac:dyDescent="0.2">
      <c r="A935" t="str">
        <f>"20200111153626516"</f>
        <v>20200111153626516</v>
      </c>
      <c r="B935" t="str">
        <f>"1578728186513973"</f>
        <v>1578728186513973</v>
      </c>
      <c r="C935" t="s">
        <v>37</v>
      </c>
      <c r="D935">
        <v>5.8107790000000001</v>
      </c>
      <c r="E935">
        <v>0.34829009999999999</v>
      </c>
      <c r="F935" t="s">
        <v>38</v>
      </c>
      <c r="G935">
        <v>-243.24010000000001</v>
      </c>
      <c r="H935">
        <v>1.03521</v>
      </c>
      <c r="I935">
        <v>367.69819999999999</v>
      </c>
      <c r="J935">
        <v>-243.9778</v>
      </c>
      <c r="K935">
        <v>1.1052010000000001</v>
      </c>
      <c r="L935">
        <v>367.20400000000001</v>
      </c>
      <c r="M935">
        <v>0.99985360000000001</v>
      </c>
      <c r="N935">
        <v>0</v>
      </c>
      <c r="O935">
        <v>7.4265819999999897E-3</v>
      </c>
      <c r="P935">
        <v>0.99249140000000002</v>
      </c>
      <c r="Q935">
        <v>4.7643199999999997E-2</v>
      </c>
      <c r="R935">
        <v>0.1126543</v>
      </c>
      <c r="S935">
        <v>2.858749</v>
      </c>
      <c r="T935">
        <v>-0.21724450000000001</v>
      </c>
      <c r="U935">
        <v>1.5395509999999999</v>
      </c>
      <c r="V935">
        <v>-0.105283999999999</v>
      </c>
      <c r="W935">
        <v>6.2941720000000007E-2</v>
      </c>
      <c r="X935">
        <v>0.99244829999999995</v>
      </c>
      <c r="Y935">
        <v>-0.46657529999999903</v>
      </c>
      <c r="Z935">
        <v>1.6053660000000001E-2</v>
      </c>
      <c r="AA935">
        <v>0.88433580000000001</v>
      </c>
      <c r="AB935">
        <v>33</v>
      </c>
      <c r="AC935">
        <v>0.73769999999998903</v>
      </c>
      <c r="AD935">
        <v>-6.9991000000000095E-2</v>
      </c>
      <c r="AE935">
        <v>0.49419999999997699</v>
      </c>
      <c r="AF935">
        <v>-0.48568941962301598</v>
      </c>
      <c r="AG935">
        <v>-6.9991000000000095E-2</v>
      </c>
      <c r="AH935">
        <v>0.73677255521190699</v>
      </c>
      <c r="AI935">
        <v>94.534858437272305</v>
      </c>
      <c r="AJ935">
        <v>123.393356129045</v>
      </c>
      <c r="AK935">
        <v>0.88522694860031503</v>
      </c>
    </row>
    <row r="936" spans="1:37" x14ac:dyDescent="0.2">
      <c r="A936" t="str">
        <f>"20200111153626529"</f>
        <v>20200111153626529</v>
      </c>
      <c r="B936" t="str">
        <f>"1578728186523732"</f>
        <v>1578728186523732</v>
      </c>
      <c r="C936" t="s">
        <v>37</v>
      </c>
      <c r="D936">
        <v>5.7889799999999996</v>
      </c>
      <c r="E936">
        <v>0.34861969999999998</v>
      </c>
      <c r="F936" t="s">
        <v>38</v>
      </c>
      <c r="G936">
        <v>-243.15219999999999</v>
      </c>
      <c r="H936">
        <v>1.0389520000000001</v>
      </c>
      <c r="I936">
        <v>367.64679999999998</v>
      </c>
      <c r="J936">
        <v>-243.79839999999999</v>
      </c>
      <c r="K936">
        <v>1.105229</v>
      </c>
      <c r="L936">
        <v>367.2054</v>
      </c>
      <c r="M936">
        <v>0.99985069999999998</v>
      </c>
      <c r="N936">
        <v>0</v>
      </c>
      <c r="O936">
        <v>7.4530839999999996E-3</v>
      </c>
      <c r="P936">
        <v>0.99247009999999902</v>
      </c>
      <c r="Q936">
        <v>4.7714920000000001E-2</v>
      </c>
      <c r="R936">
        <v>0.11281189999999899</v>
      </c>
      <c r="S936">
        <v>2.8595730000000001</v>
      </c>
      <c r="T936">
        <v>-0.22940769999999999</v>
      </c>
      <c r="U936">
        <v>1.5339659999999999</v>
      </c>
      <c r="V936">
        <v>-0.10541489999999901</v>
      </c>
      <c r="W936">
        <v>6.3188709999999995E-2</v>
      </c>
      <c r="X936">
        <v>0.99241869999999999</v>
      </c>
      <c r="Y936">
        <v>-0.46499020000000002</v>
      </c>
      <c r="Z936">
        <v>1.6891699999999999E-2</v>
      </c>
      <c r="AA936">
        <v>0.88515469999999896</v>
      </c>
      <c r="AB936">
        <v>33</v>
      </c>
      <c r="AC936">
        <v>0.646199999999993</v>
      </c>
      <c r="AD936">
        <v>-6.6276999999999905E-2</v>
      </c>
      <c r="AE936">
        <v>0.44139999999998702</v>
      </c>
      <c r="AF936">
        <v>-0.43346186372307099</v>
      </c>
      <c r="AG936">
        <v>-6.6276999999999905E-2</v>
      </c>
      <c r="AH936">
        <v>0.64484692524286202</v>
      </c>
      <c r="AI936">
        <v>94.875496642795497</v>
      </c>
      <c r="AJ936">
        <v>123.908734813001</v>
      </c>
      <c r="AK936">
        <v>0.77981368609845003</v>
      </c>
    </row>
    <row r="937" spans="1:37" x14ac:dyDescent="0.2">
      <c r="A937" t="str">
        <f>"20200111153626542"</f>
        <v>20200111153626542</v>
      </c>
      <c r="B937" t="str">
        <f>"1578728186533492"</f>
        <v>1578728186533492</v>
      </c>
      <c r="C937" t="s">
        <v>37</v>
      </c>
      <c r="D937">
        <v>6.0050480000000004</v>
      </c>
      <c r="E937">
        <v>0.348246</v>
      </c>
      <c r="F937" t="s">
        <v>38</v>
      </c>
      <c r="G937">
        <v>-242.9426</v>
      </c>
      <c r="H937">
        <v>1.034937</v>
      </c>
      <c r="I937">
        <v>367.66379999999998</v>
      </c>
      <c r="J937">
        <v>-243.61689999999999</v>
      </c>
      <c r="K937">
        <v>1.105254</v>
      </c>
      <c r="L937">
        <v>367.20670000000001</v>
      </c>
      <c r="M937">
        <v>0.9998475</v>
      </c>
      <c r="N937">
        <v>0</v>
      </c>
      <c r="O937">
        <v>7.4798190000000004E-3</v>
      </c>
      <c r="P937">
        <v>0.9924811</v>
      </c>
      <c r="Q937">
        <v>4.7640290000000002E-2</v>
      </c>
      <c r="R937">
        <v>0.1127466</v>
      </c>
      <c r="S937">
        <v>2.8599700000000001</v>
      </c>
      <c r="T937">
        <v>-0.23490349999999999</v>
      </c>
      <c r="U937">
        <v>1.531647</v>
      </c>
      <c r="V937">
        <v>-0.10532279999999999</v>
      </c>
      <c r="W937">
        <v>6.3297199999999998E-2</v>
      </c>
      <c r="X937">
        <v>0.99242160000000001</v>
      </c>
      <c r="Y937">
        <v>-0.46430389999999999</v>
      </c>
      <c r="Z937">
        <v>1.726782E-2</v>
      </c>
      <c r="AA937">
        <v>0.88550759999999995</v>
      </c>
      <c r="AB937">
        <v>32</v>
      </c>
      <c r="AC937">
        <v>0.67429999999998802</v>
      </c>
      <c r="AD937">
        <v>-7.0317000000000102E-2</v>
      </c>
      <c r="AE937">
        <v>0.45709999999996798</v>
      </c>
      <c r="AF937">
        <v>-0.44869978501281099</v>
      </c>
      <c r="AG937">
        <v>-7.0317000000000102E-2</v>
      </c>
      <c r="AH937">
        <v>0.67268854201642303</v>
      </c>
      <c r="AI937">
        <v>94.969990947403502</v>
      </c>
      <c r="AJ937">
        <v>123.704261857468</v>
      </c>
      <c r="AK937">
        <v>0.811656240116297</v>
      </c>
    </row>
    <row r="938" spans="1:37" x14ac:dyDescent="0.2">
      <c r="A938" t="str">
        <f>"20200111153626557"</f>
        <v>20200111153626557</v>
      </c>
      <c r="B938" t="str">
        <f>"1578728186553988"</f>
        <v>1578728186553988</v>
      </c>
      <c r="C938" t="s">
        <v>37</v>
      </c>
      <c r="D938">
        <v>6.0852050000000002</v>
      </c>
      <c r="E938">
        <v>0.39696859999999901</v>
      </c>
      <c r="F938" t="s">
        <v>38</v>
      </c>
      <c r="G938">
        <v>-242.66560000000001</v>
      </c>
      <c r="H938">
        <v>1.0284519999999999</v>
      </c>
      <c r="I938">
        <v>367.71710000000002</v>
      </c>
      <c r="J938">
        <v>-243.3981</v>
      </c>
      <c r="K938">
        <v>1.1052869999999999</v>
      </c>
      <c r="L938">
        <v>367.20839999999998</v>
      </c>
      <c r="M938">
        <v>0.9998437</v>
      </c>
      <c r="N938">
        <v>0</v>
      </c>
      <c r="O938">
        <v>7.5108950000000001E-3</v>
      </c>
      <c r="P938">
        <v>0.99256929999999999</v>
      </c>
      <c r="Q938">
        <v>4.6914810000000001E-2</v>
      </c>
      <c r="R938">
        <v>0.11227289999999999</v>
      </c>
      <c r="S938">
        <v>2.859451</v>
      </c>
      <c r="T938">
        <v>-0.23081679999999899</v>
      </c>
      <c r="U938">
        <v>1.5346679999999999</v>
      </c>
      <c r="V938">
        <v>-0.10481739999999901</v>
      </c>
      <c r="W938">
        <v>6.2800369999999994E-2</v>
      </c>
      <c r="X938">
        <v>0.99250659999999902</v>
      </c>
      <c r="Y938">
        <v>-0.4651093</v>
      </c>
      <c r="Z938">
        <v>1.6995030000000001E-2</v>
      </c>
      <c r="AA938">
        <v>0.88509009999999999</v>
      </c>
      <c r="AB938">
        <v>32</v>
      </c>
      <c r="AC938">
        <v>0.73249999999998705</v>
      </c>
      <c r="AD938">
        <v>-7.6834999999999903E-2</v>
      </c>
      <c r="AE938">
        <v>0.50870000000003202</v>
      </c>
      <c r="AF938">
        <v>-0.49947568667384801</v>
      </c>
      <c r="AG938">
        <v>-7.6834999999999903E-2</v>
      </c>
      <c r="AH938">
        <v>0.73087544734671805</v>
      </c>
      <c r="AI938">
        <v>94.960577889273196</v>
      </c>
      <c r="AJ938">
        <v>124.348455689019</v>
      </c>
      <c r="AK938">
        <v>0.88857104293217803</v>
      </c>
    </row>
    <row r="939" spans="1:37" x14ac:dyDescent="0.2">
      <c r="A939" t="str">
        <f>"20200111153626581"</f>
        <v>20200111153626581</v>
      </c>
      <c r="B939" t="str">
        <f>"1578728186573508"</f>
        <v>1578728186573508</v>
      </c>
      <c r="C939" t="s">
        <v>37</v>
      </c>
      <c r="D939">
        <v>6.1433460000000002</v>
      </c>
      <c r="E939">
        <v>0.42305579999999998</v>
      </c>
      <c r="F939" t="s">
        <v>39</v>
      </c>
      <c r="G939">
        <v>-233.51920000000001</v>
      </c>
      <c r="H939" s="1">
        <v>-3.156993E-6</v>
      </c>
      <c r="I939">
        <v>371.09879999999998</v>
      </c>
      <c r="J939">
        <v>-243.06549999999999</v>
      </c>
      <c r="K939">
        <v>1.1053299999999999</v>
      </c>
      <c r="L939">
        <v>367.21089999999998</v>
      </c>
      <c r="M939">
        <v>0.99983770000000005</v>
      </c>
      <c r="N939">
        <v>0</v>
      </c>
      <c r="O939">
        <v>7.5576300000000001E-3</v>
      </c>
      <c r="P939">
        <v>0.99273750000000005</v>
      </c>
      <c r="Q939">
        <v>4.6220699999999899E-2</v>
      </c>
      <c r="R939">
        <v>0.1110684</v>
      </c>
      <c r="S939">
        <v>2.9082949999999999</v>
      </c>
      <c r="T939">
        <v>-0.32538879999999998</v>
      </c>
      <c r="U939">
        <v>1.1453249999999999</v>
      </c>
      <c r="V939">
        <v>-0.1035658</v>
      </c>
      <c r="W939">
        <v>6.2457730000000003E-2</v>
      </c>
      <c r="X939">
        <v>0.99265959999999998</v>
      </c>
      <c r="Y939">
        <v>-0.35748990000000003</v>
      </c>
      <c r="Z939">
        <v>1.8411549999999999E-2</v>
      </c>
      <c r="AA939">
        <v>0.93373549999999905</v>
      </c>
      <c r="AB939">
        <v>32</v>
      </c>
      <c r="AC939">
        <v>9.5462999999999703</v>
      </c>
      <c r="AD939">
        <v>-1.1053331569929901</v>
      </c>
      <c r="AE939">
        <v>3.8879000000000001</v>
      </c>
      <c r="AF939">
        <v>-3.7722540180090101</v>
      </c>
      <c r="AG939">
        <v>-1.1053331569929901</v>
      </c>
      <c r="AH939">
        <v>9.4665568020277107</v>
      </c>
      <c r="AI939">
        <v>96.190521301187502</v>
      </c>
      <c r="AJ939">
        <v>111.726399812349</v>
      </c>
      <c r="AK939">
        <v>10.250237043617499</v>
      </c>
    </row>
    <row r="940" spans="1:37" x14ac:dyDescent="0.2">
      <c r="A940" t="str">
        <f>"20200111153626594"</f>
        <v>20200111153626594</v>
      </c>
      <c r="B940" t="str">
        <f>"1578728186583268"</f>
        <v>1578728186583268</v>
      </c>
      <c r="C940" t="s">
        <v>37</v>
      </c>
      <c r="D940">
        <v>6.0312349999999997</v>
      </c>
      <c r="E940">
        <v>0.42784849999999902</v>
      </c>
      <c r="F940" t="s">
        <v>39</v>
      </c>
      <c r="G940">
        <v>-233.12270000000001</v>
      </c>
      <c r="H940" s="1">
        <v>-3.1361949999999998E-6</v>
      </c>
      <c r="I940">
        <v>370.38130000000001</v>
      </c>
      <c r="J940">
        <v>-242.85929999999999</v>
      </c>
      <c r="K940">
        <v>1.105356</v>
      </c>
      <c r="L940">
        <v>367.21249999999998</v>
      </c>
      <c r="M940">
        <v>0.999834</v>
      </c>
      <c r="N940">
        <v>0</v>
      </c>
      <c r="O940">
        <v>7.5853279999999997E-3</v>
      </c>
      <c r="P940">
        <v>0.99284280000000003</v>
      </c>
      <c r="Q940">
        <v>4.5890519999999997E-2</v>
      </c>
      <c r="R940">
        <v>0.1102607</v>
      </c>
      <c r="S940">
        <v>2.93250999999999</v>
      </c>
      <c r="T940">
        <v>-0.32600119999999999</v>
      </c>
      <c r="U940">
        <v>0.93505859999999996</v>
      </c>
      <c r="V940">
        <v>-0.10272969999999999</v>
      </c>
      <c r="W940">
        <v>6.2345879999999999E-2</v>
      </c>
      <c r="X940">
        <v>0.99275360000000001</v>
      </c>
      <c r="Y940">
        <v>-0.29494690000000001</v>
      </c>
      <c r="Z940">
        <v>1.51314999999999E-2</v>
      </c>
      <c r="AA940">
        <v>0.95539379999999996</v>
      </c>
      <c r="AB940">
        <v>32</v>
      </c>
      <c r="AC940">
        <v>9.7365999999999797</v>
      </c>
      <c r="AD940">
        <v>-1.1053591361949999</v>
      </c>
      <c r="AE940">
        <v>3.1688000000000298</v>
      </c>
      <c r="AF940">
        <v>-3.0591920626916198</v>
      </c>
      <c r="AG940">
        <v>-1.1053591361949999</v>
      </c>
      <c r="AH940">
        <v>9.6479242161595309</v>
      </c>
      <c r="AI940">
        <v>96.232627467909893</v>
      </c>
      <c r="AJ940">
        <v>107.592932557826</v>
      </c>
      <c r="AK940">
        <v>10.1814987392408</v>
      </c>
    </row>
    <row r="941" spans="1:37" x14ac:dyDescent="0.2">
      <c r="A941" t="str">
        <f>"20200111153626613"</f>
        <v>20200111153626613</v>
      </c>
      <c r="B941" t="str">
        <f>"1578728186603764"</f>
        <v>1578728186603764</v>
      </c>
      <c r="C941" t="s">
        <v>37</v>
      </c>
      <c r="D941">
        <v>6.0260319999999998</v>
      </c>
      <c r="E941">
        <v>0.43234099999999998</v>
      </c>
      <c r="F941" t="s">
        <v>39</v>
      </c>
      <c r="G941">
        <v>-232.9194</v>
      </c>
      <c r="H941" s="1">
        <v>-3.1857869999999999E-6</v>
      </c>
      <c r="I941">
        <v>370.24</v>
      </c>
      <c r="J941">
        <v>-242.60409999999999</v>
      </c>
      <c r="K941">
        <v>1.105389</v>
      </c>
      <c r="L941">
        <v>367.21449999999999</v>
      </c>
      <c r="M941">
        <v>0.99982909999999903</v>
      </c>
      <c r="N941">
        <v>0</v>
      </c>
      <c r="O941">
        <v>7.6189669999999999E-3</v>
      </c>
      <c r="P941">
        <v>0.99306669999999997</v>
      </c>
      <c r="Q941">
        <v>4.5648380000000002E-2</v>
      </c>
      <c r="R941">
        <v>0.1083273</v>
      </c>
      <c r="S941">
        <v>2.9373469999999999</v>
      </c>
      <c r="T941">
        <v>-0.32664480000000001</v>
      </c>
      <c r="U941">
        <v>0.89465329999999998</v>
      </c>
      <c r="V941">
        <v>-0.1007605</v>
      </c>
      <c r="W941">
        <v>6.2378250000000003E-2</v>
      </c>
      <c r="X941">
        <v>0.99295330000000004</v>
      </c>
      <c r="Y941">
        <v>-0.28251569999999998</v>
      </c>
      <c r="Z941">
        <v>1.448997E-2</v>
      </c>
      <c r="AA941">
        <v>0.95915319999999904</v>
      </c>
      <c r="AB941">
        <v>32</v>
      </c>
      <c r="AC941">
        <v>9.6846999999999905</v>
      </c>
      <c r="AD941">
        <v>-1.1053921857869999</v>
      </c>
      <c r="AE941">
        <v>3.0255000000000201</v>
      </c>
      <c r="AF941">
        <v>-2.91699212824222</v>
      </c>
      <c r="AG941">
        <v>-1.1053921857869999</v>
      </c>
      <c r="AH941">
        <v>9.5936055473720305</v>
      </c>
      <c r="AI941">
        <v>96.290806385302403</v>
      </c>
      <c r="AJ941">
        <v>106.912202330334</v>
      </c>
      <c r="AK941">
        <v>10.0880128052651</v>
      </c>
    </row>
    <row r="942" spans="1:37" x14ac:dyDescent="0.2">
      <c r="A942" t="str">
        <f>"20200111153626628"</f>
        <v>20200111153626628</v>
      </c>
      <c r="B942" t="str">
        <f>"1578728186623284"</f>
        <v>1578728186623284</v>
      </c>
      <c r="C942" t="s">
        <v>37</v>
      </c>
      <c r="D942">
        <v>5.9872579999999997</v>
      </c>
      <c r="E942">
        <v>0.43382999999999999</v>
      </c>
      <c r="F942" t="s">
        <v>39</v>
      </c>
      <c r="G942">
        <v>-232.55779999999999</v>
      </c>
      <c r="H942" s="1">
        <v>-3.3110699999999898E-6</v>
      </c>
      <c r="I942">
        <v>370.1277</v>
      </c>
      <c r="J942">
        <v>-242.39750000000001</v>
      </c>
      <c r="K942">
        <v>1.105415</v>
      </c>
      <c r="L942">
        <v>367.21609999999998</v>
      </c>
      <c r="M942">
        <v>0.99982530000000003</v>
      </c>
      <c r="N942">
        <v>0</v>
      </c>
      <c r="O942">
        <v>7.6459880000000003E-3</v>
      </c>
      <c r="P942">
        <v>0.99316009999999999</v>
      </c>
      <c r="Q942">
        <v>4.5499600000000001E-2</v>
      </c>
      <c r="R942">
        <v>0.1075311</v>
      </c>
      <c r="S942">
        <v>2.9427340000000002</v>
      </c>
      <c r="T942">
        <v>-0.32378409999999902</v>
      </c>
      <c r="U942">
        <v>0.85333250000000005</v>
      </c>
      <c r="V942">
        <v>-9.9936620000000004E-2</v>
      </c>
      <c r="W942">
        <v>6.2448679999999999E-2</v>
      </c>
      <c r="X942">
        <v>0.99303220000000003</v>
      </c>
      <c r="Y942">
        <v>-0.26969539999999997</v>
      </c>
      <c r="Z942">
        <v>1.36746E-2</v>
      </c>
      <c r="AA942">
        <v>0.96284859999999906</v>
      </c>
      <c r="AB942">
        <v>32</v>
      </c>
      <c r="AC942">
        <v>9.8397000000000201</v>
      </c>
      <c r="AD942">
        <v>-1.10541831107</v>
      </c>
      <c r="AE942">
        <v>2.9116000000000199</v>
      </c>
      <c r="AF942">
        <v>-2.8037329923679102</v>
      </c>
      <c r="AG942">
        <v>-1.10541831107</v>
      </c>
      <c r="AH942">
        <v>9.7485478513694002</v>
      </c>
      <c r="AI942">
        <v>96.219300392467801</v>
      </c>
      <c r="AJ942">
        <v>106.04551015373301</v>
      </c>
      <c r="AK942">
        <v>10.203776435486001</v>
      </c>
    </row>
    <row r="943" spans="1:37" x14ac:dyDescent="0.2">
      <c r="A943" t="str">
        <f>"20200111153626646"</f>
        <v>20200111153626646</v>
      </c>
      <c r="B943" t="str">
        <f>"1578728186643781"</f>
        <v>1578728186643781</v>
      </c>
      <c r="C943" t="s">
        <v>37</v>
      </c>
      <c r="D943">
        <v>6.0286200000000001</v>
      </c>
      <c r="E943">
        <v>0.434507799999999</v>
      </c>
      <c r="F943" t="s">
        <v>39</v>
      </c>
      <c r="G943">
        <v>-232.23560000000001</v>
      </c>
      <c r="H943" s="1">
        <v>-3.445113E-6</v>
      </c>
      <c r="I943">
        <v>370.1121</v>
      </c>
      <c r="J943">
        <v>-242.13380000000001</v>
      </c>
      <c r="K943">
        <v>1.10544</v>
      </c>
      <c r="L943">
        <v>367.21820000000002</v>
      </c>
      <c r="M943">
        <v>0.99982009999999899</v>
      </c>
      <c r="N943">
        <v>0</v>
      </c>
      <c r="O943">
        <v>7.6804739999999996E-3</v>
      </c>
      <c r="P943">
        <v>0.99328130000000003</v>
      </c>
      <c r="Q943">
        <v>4.5304329999999997E-2</v>
      </c>
      <c r="R943">
        <v>0.10648969999999899</v>
      </c>
      <c r="S943">
        <v>2.9445039999999998</v>
      </c>
      <c r="T943">
        <v>-0.32030310000000001</v>
      </c>
      <c r="U943">
        <v>0.83914179999999905</v>
      </c>
      <c r="V943">
        <v>-9.8860190000000001E-2</v>
      </c>
      <c r="W943">
        <v>6.2536240000000007E-2</v>
      </c>
      <c r="X943">
        <v>0.99313439999999997</v>
      </c>
      <c r="Y943">
        <v>-0.26527289999999998</v>
      </c>
      <c r="Z943">
        <v>1.329051E-2</v>
      </c>
      <c r="AA943">
        <v>0.96408179999999999</v>
      </c>
      <c r="AB943">
        <v>32</v>
      </c>
      <c r="AC943">
        <v>9.8981999999999992</v>
      </c>
      <c r="AD943">
        <v>-1.105443445113</v>
      </c>
      <c r="AE943">
        <v>2.8938999999999702</v>
      </c>
      <c r="AF943">
        <v>-2.7857703732285999</v>
      </c>
      <c r="AG943">
        <v>-1.105443445113</v>
      </c>
      <c r="AH943">
        <v>9.8074452147199302</v>
      </c>
      <c r="AI943">
        <v>96.188151932351303</v>
      </c>
      <c r="AJ943">
        <v>105.857011190335</v>
      </c>
      <c r="AK943">
        <v>10.2551695950108</v>
      </c>
    </row>
    <row r="944" spans="1:37" x14ac:dyDescent="0.2">
      <c r="A944" t="str">
        <f>"20200111153626661"</f>
        <v>20200111153626661</v>
      </c>
      <c r="B944" t="str">
        <f>"1578728186653541"</f>
        <v>1578728186653541</v>
      </c>
      <c r="C944" t="s">
        <v>37</v>
      </c>
      <c r="D944">
        <v>6.1002450000000001</v>
      </c>
      <c r="E944">
        <v>0.4347184</v>
      </c>
      <c r="F944" t="s">
        <v>39</v>
      </c>
      <c r="G944">
        <v>-231.95779999999999</v>
      </c>
      <c r="H944" s="1">
        <v>-3.5577580000000002E-6</v>
      </c>
      <c r="I944">
        <v>370.08760000000001</v>
      </c>
      <c r="J944">
        <v>-241.9248</v>
      </c>
      <c r="K944">
        <v>1.1054660000000001</v>
      </c>
      <c r="L944">
        <v>367.21980000000002</v>
      </c>
      <c r="M944">
        <v>0.99981580000000003</v>
      </c>
      <c r="N944">
        <v>0</v>
      </c>
      <c r="O944">
        <v>7.7072679999999998E-3</v>
      </c>
      <c r="P944">
        <v>0.99336919999999995</v>
      </c>
      <c r="Q944">
        <v>4.502743E-2</v>
      </c>
      <c r="R944">
        <v>0.10578360000000001</v>
      </c>
      <c r="S944">
        <v>2.94581599999999</v>
      </c>
      <c r="T944">
        <v>-0.32000990000000001</v>
      </c>
      <c r="U944">
        <v>0.83065800000000001</v>
      </c>
      <c r="V944">
        <v>-9.8126399999999905E-2</v>
      </c>
      <c r="W944">
        <v>6.2490549999999999E-2</v>
      </c>
      <c r="X944">
        <v>0.99321000000000004</v>
      </c>
      <c r="Y944">
        <v>-0.26257989999999998</v>
      </c>
      <c r="Z944">
        <v>1.31318999999999E-2</v>
      </c>
      <c r="AA944">
        <v>0.96482089999999998</v>
      </c>
      <c r="AB944">
        <v>32</v>
      </c>
      <c r="AC944">
        <v>9.9670000000000094</v>
      </c>
      <c r="AD944">
        <v>-1.105469557758</v>
      </c>
      <c r="AE944">
        <v>2.8677999999999799</v>
      </c>
      <c r="AF944">
        <v>-2.7595332003236099</v>
      </c>
      <c r="AG944">
        <v>-1.105469557758</v>
      </c>
      <c r="AH944">
        <v>9.8766009520958598</v>
      </c>
      <c r="AI944">
        <v>96.152697763325605</v>
      </c>
      <c r="AJ944">
        <v>105.61042190118999</v>
      </c>
      <c r="AK944">
        <v>10.3142781033749</v>
      </c>
    </row>
    <row r="945" spans="1:37" x14ac:dyDescent="0.2">
      <c r="A945" t="str">
        <f>"20200111153626673"</f>
        <v>20200111153626673</v>
      </c>
      <c r="B945" t="str">
        <f>"1578728186663300"</f>
        <v>1578728186663300</v>
      </c>
      <c r="C945" t="s">
        <v>37</v>
      </c>
      <c r="D945">
        <v>6.0034830000000001</v>
      </c>
      <c r="E945">
        <v>0.43494640000000001</v>
      </c>
      <c r="F945" t="s">
        <v>39</v>
      </c>
      <c r="G945">
        <v>-231.48679999999999</v>
      </c>
      <c r="H945" s="1">
        <v>-3.7766929999999998E-6</v>
      </c>
      <c r="I945">
        <v>370.15100000000001</v>
      </c>
      <c r="J945">
        <v>-241.7465</v>
      </c>
      <c r="K945">
        <v>1.1054930000000001</v>
      </c>
      <c r="L945">
        <v>367.22120000000001</v>
      </c>
      <c r="M945">
        <v>0.99981189999999998</v>
      </c>
      <c r="N945">
        <v>0</v>
      </c>
      <c r="O945">
        <v>7.7289419999999999E-3</v>
      </c>
      <c r="P945">
        <v>0.99343199999999998</v>
      </c>
      <c r="Q945">
        <v>4.505584E-2</v>
      </c>
      <c r="R945">
        <v>0.105181199999999</v>
      </c>
      <c r="S945">
        <v>2.9460599999999899</v>
      </c>
      <c r="T945">
        <v>-0.31200929999999999</v>
      </c>
      <c r="U945">
        <v>0.82730099999999995</v>
      </c>
      <c r="V945">
        <v>-9.7502169999999999E-2</v>
      </c>
      <c r="W945">
        <v>6.2726130000000005E-2</v>
      </c>
      <c r="X945">
        <v>0.99325659999999905</v>
      </c>
      <c r="Y945">
        <v>-0.26159260000000001</v>
      </c>
      <c r="Z945">
        <v>1.275284E-2</v>
      </c>
      <c r="AA945">
        <v>0.96509409999999896</v>
      </c>
      <c r="AB945">
        <v>32</v>
      </c>
      <c r="AC945">
        <v>10.2597</v>
      </c>
      <c r="AD945">
        <v>-1.1054967766929999</v>
      </c>
      <c r="AE945">
        <v>2.9298000000000002</v>
      </c>
      <c r="AF945">
        <v>-2.8201293185324801</v>
      </c>
      <c r="AG945">
        <v>-1.1054967766929999</v>
      </c>
      <c r="AH945">
        <v>10.1728363275669</v>
      </c>
      <c r="AI945">
        <v>95.978331544924401</v>
      </c>
      <c r="AJ945">
        <v>105.494519454735</v>
      </c>
      <c r="AK945">
        <v>10.6142287258184</v>
      </c>
    </row>
    <row r="946" spans="1:37" x14ac:dyDescent="0.2">
      <c r="A946" t="str">
        <f>"20200111153626685"</f>
        <v>20200111153626685</v>
      </c>
      <c r="B946" t="str">
        <f>"1578728186674036"</f>
        <v>1578728186674036</v>
      </c>
      <c r="C946" t="s">
        <v>37</v>
      </c>
      <c r="D946">
        <v>6.011609</v>
      </c>
      <c r="E946">
        <v>0.4351352</v>
      </c>
      <c r="F946" t="s">
        <v>39</v>
      </c>
      <c r="G946">
        <v>-231.25839999999999</v>
      </c>
      <c r="H946" s="1">
        <v>-3.8749150000000002E-6</v>
      </c>
      <c r="I946">
        <v>370.15190000000001</v>
      </c>
      <c r="J946">
        <v>-241.58349999999999</v>
      </c>
      <c r="K946">
        <v>1.1055159999999999</v>
      </c>
      <c r="L946">
        <v>367.22250000000003</v>
      </c>
      <c r="M946">
        <v>0.99980840000000004</v>
      </c>
      <c r="N946">
        <v>0</v>
      </c>
      <c r="O946">
        <v>7.7485319999999998E-3</v>
      </c>
      <c r="P946">
        <v>0.99355349999999998</v>
      </c>
      <c r="Q946">
        <v>4.5038639999999998E-2</v>
      </c>
      <c r="R946">
        <v>0.1040362</v>
      </c>
      <c r="S946">
        <v>2.9467469999999998</v>
      </c>
      <c r="T946">
        <v>-0.31059959999999998</v>
      </c>
      <c r="U946">
        <v>0.82342530000000003</v>
      </c>
      <c r="V946">
        <v>-9.6336409999999997E-2</v>
      </c>
      <c r="W946">
        <v>6.290221E-2</v>
      </c>
      <c r="X946">
        <v>0.99335929999999995</v>
      </c>
      <c r="Y946">
        <v>-0.26035619999999998</v>
      </c>
      <c r="Z946">
        <v>1.2629090000000001E-2</v>
      </c>
      <c r="AA946">
        <v>0.96542999999999901</v>
      </c>
      <c r="AB946">
        <v>32</v>
      </c>
      <c r="AC946">
        <v>10.3250999999999</v>
      </c>
      <c r="AD946">
        <v>-1.1055198749149999</v>
      </c>
      <c r="AE946">
        <v>2.9293999999999798</v>
      </c>
      <c r="AF946">
        <v>-2.8193806613059502</v>
      </c>
      <c r="AG946">
        <v>-1.1055198749149999</v>
      </c>
      <c r="AH946">
        <v>10.2388562794042</v>
      </c>
      <c r="AI946">
        <v>95.943000616320703</v>
      </c>
      <c r="AJ946">
        <v>105.395473592396</v>
      </c>
      <c r="AK946">
        <v>10.677324543979701</v>
      </c>
    </row>
    <row r="947" spans="1:37" x14ac:dyDescent="0.2">
      <c r="A947" t="str">
        <f>"20200111153626698"</f>
        <v>20200111153626698</v>
      </c>
      <c r="B947" t="str">
        <f>"1578728186693556"</f>
        <v>1578728186693556</v>
      </c>
      <c r="C947" t="s">
        <v>37</v>
      </c>
      <c r="D947">
        <v>6.0663390000000001</v>
      </c>
      <c r="E947">
        <v>0.43548209999999998</v>
      </c>
      <c r="F947" t="s">
        <v>39</v>
      </c>
      <c r="G947">
        <v>-231.0401</v>
      </c>
      <c r="H947" s="1">
        <v>-3.9685320000000002E-6</v>
      </c>
      <c r="I947">
        <v>370.15179999999998</v>
      </c>
      <c r="J947">
        <v>-241.39940000000001</v>
      </c>
      <c r="K947">
        <v>1.1055409999999899</v>
      </c>
      <c r="L947">
        <v>367.22390000000001</v>
      </c>
      <c r="M947">
        <v>0.99980419999999903</v>
      </c>
      <c r="N947">
        <v>0</v>
      </c>
      <c r="O947">
        <v>7.7705329999999996E-3</v>
      </c>
      <c r="P947">
        <v>0.99370939999999996</v>
      </c>
      <c r="Q947">
        <v>4.5025660000000002E-2</v>
      </c>
      <c r="R947">
        <v>0.1025408</v>
      </c>
      <c r="S947">
        <v>2.9477229999999999</v>
      </c>
      <c r="T947">
        <v>-0.30907869999999998</v>
      </c>
      <c r="U947">
        <v>0.81896969999999902</v>
      </c>
      <c r="V947">
        <v>-9.4817390000000001E-2</v>
      </c>
      <c r="W947">
        <v>6.3110650000000004E-2</v>
      </c>
      <c r="X947">
        <v>0.99349219999999905</v>
      </c>
      <c r="Y947">
        <v>-0.25891769999999997</v>
      </c>
      <c r="Z947">
        <v>1.2489979999999999E-2</v>
      </c>
      <c r="AA947">
        <v>0.96581859999999997</v>
      </c>
      <c r="AB947">
        <v>31</v>
      </c>
      <c r="AC947">
        <v>10.359299999999999</v>
      </c>
      <c r="AD947">
        <v>-1.10554496853199</v>
      </c>
      <c r="AE947">
        <v>2.9278999999999602</v>
      </c>
      <c r="AF947">
        <v>-2.8175848119748301</v>
      </c>
      <c r="AG947">
        <v>-1.10554496853199</v>
      </c>
      <c r="AH947">
        <v>10.273392137855501</v>
      </c>
      <c r="AI947">
        <v>95.924951862523301</v>
      </c>
      <c r="AJ947">
        <v>105.336848119959</v>
      </c>
      <c r="AK947">
        <v>10.7099766511542</v>
      </c>
    </row>
    <row r="948" spans="1:37" x14ac:dyDescent="0.2">
      <c r="A948" t="str">
        <f>"20200111153626713"</f>
        <v>20200111153626713</v>
      </c>
      <c r="B948" t="str">
        <f>"1578728186703317"</f>
        <v>1578728186703317</v>
      </c>
      <c r="C948" t="s">
        <v>37</v>
      </c>
      <c r="D948">
        <v>6.0236499999999999</v>
      </c>
      <c r="E948">
        <v>0.43550129999999998</v>
      </c>
      <c r="F948" t="s">
        <v>39</v>
      </c>
      <c r="G948">
        <v>-230.77090000000001</v>
      </c>
      <c r="H948" s="1">
        <v>-4.0837340000000001E-6</v>
      </c>
      <c r="I948">
        <v>370.1506</v>
      </c>
      <c r="J948">
        <v>-241.1936</v>
      </c>
      <c r="K948">
        <v>1.105572</v>
      </c>
      <c r="L948">
        <v>367.22550000000001</v>
      </c>
      <c r="M948">
        <v>0.99979969999999996</v>
      </c>
      <c r="N948">
        <v>0</v>
      </c>
      <c r="O948">
        <v>7.793431E-3</v>
      </c>
      <c r="P948">
        <v>0.99419799999999903</v>
      </c>
      <c r="Q948">
        <v>4.4926090000000002E-2</v>
      </c>
      <c r="R948">
        <v>9.7734539999999995E-2</v>
      </c>
      <c r="S948">
        <v>2.949112</v>
      </c>
      <c r="T948">
        <v>-0.30675409999999997</v>
      </c>
      <c r="U948">
        <v>0.81207280000000004</v>
      </c>
      <c r="V948">
        <v>-8.9984309999999998E-2</v>
      </c>
      <c r="W948">
        <v>6.3261020000000001E-2</v>
      </c>
      <c r="X948">
        <v>0.99393199999999904</v>
      </c>
      <c r="Y948">
        <v>-0.25670979999999999</v>
      </c>
      <c r="Z948">
        <v>1.22799E-2</v>
      </c>
      <c r="AA948">
        <v>0.96641049999999995</v>
      </c>
      <c r="AB948">
        <v>31</v>
      </c>
      <c r="AC948">
        <v>10.422699999999899</v>
      </c>
      <c r="AD948">
        <v>-1.1055760837340001</v>
      </c>
      <c r="AE948">
        <v>2.92509999999998</v>
      </c>
      <c r="AF948">
        <v>-2.8144139587154999</v>
      </c>
      <c r="AG948">
        <v>-1.1055760837340001</v>
      </c>
      <c r="AH948">
        <v>10.337363477824701</v>
      </c>
      <c r="AI948">
        <v>95.891689375171694</v>
      </c>
      <c r="AJ948">
        <v>105.230007519784</v>
      </c>
      <c r="AK948">
        <v>10.770529610033099</v>
      </c>
    </row>
    <row r="949" spans="1:37" x14ac:dyDescent="0.2">
      <c r="A949" t="str">
        <f>"20200111153626729"</f>
        <v>20200111153626729</v>
      </c>
      <c r="B949" t="str">
        <f>"1578728186723234"</f>
        <v>1578728186723234</v>
      </c>
      <c r="C949" t="s">
        <v>37</v>
      </c>
      <c r="D949">
        <v>6.0988499999999997</v>
      </c>
      <c r="E949">
        <v>0.43547749999999902</v>
      </c>
      <c r="F949" t="s">
        <v>39</v>
      </c>
      <c r="G949">
        <v>-230.53380000000001</v>
      </c>
      <c r="H949" s="1">
        <v>-4.1737189999999998E-6</v>
      </c>
      <c r="I949">
        <v>370.10660000000001</v>
      </c>
      <c r="J949">
        <v>-240.97649999999999</v>
      </c>
      <c r="K949">
        <v>1.1055999999999999</v>
      </c>
      <c r="L949">
        <v>367.22719999999998</v>
      </c>
      <c r="M949">
        <v>0.99979479999999998</v>
      </c>
      <c r="N949">
        <v>0</v>
      </c>
      <c r="O949">
        <v>7.8175409999999904E-3</v>
      </c>
      <c r="P949">
        <v>0.99454659999999995</v>
      </c>
      <c r="Q949">
        <v>4.4470599999999999E-2</v>
      </c>
      <c r="R949">
        <v>9.4338920000000007E-2</v>
      </c>
      <c r="S949">
        <v>2.9528810000000001</v>
      </c>
      <c r="T949">
        <v>-0.30625530000000001</v>
      </c>
      <c r="U949">
        <v>0.79809569999999996</v>
      </c>
      <c r="V949">
        <v>-8.6562479999999997E-2</v>
      </c>
      <c r="W949">
        <v>6.3067810000000002E-2</v>
      </c>
      <c r="X949">
        <v>0.99424820000000003</v>
      </c>
      <c r="Y949">
        <v>-0.25213819999999998</v>
      </c>
      <c r="Z949">
        <v>1.2017699999999999E-2</v>
      </c>
      <c r="AA949">
        <v>0.96761659999999905</v>
      </c>
      <c r="AB949">
        <v>31</v>
      </c>
      <c r="AC949">
        <v>10.442699999999901</v>
      </c>
      <c r="AD949">
        <v>-1.1056041737190001</v>
      </c>
      <c r="AE949">
        <v>2.8794000000000302</v>
      </c>
      <c r="AF949">
        <v>-2.7688182326567001</v>
      </c>
      <c r="AG949">
        <v>-1.1056041737190001</v>
      </c>
      <c r="AH949">
        <v>10.3570038582978</v>
      </c>
      <c r="AI949">
        <v>95.887971355521202</v>
      </c>
      <c r="AJ949">
        <v>104.967309348852</v>
      </c>
      <c r="AK949">
        <v>10.7775806151118</v>
      </c>
    </row>
    <row r="950" spans="1:37" x14ac:dyDescent="0.2">
      <c r="A950" t="str">
        <f>"20200111153626742"</f>
        <v>20200111153626742</v>
      </c>
      <c r="B950" t="str">
        <f>"1578728186733969"</f>
        <v>1578728186733969</v>
      </c>
      <c r="C950" t="s">
        <v>37</v>
      </c>
      <c r="D950">
        <v>6.2773629999999896</v>
      </c>
      <c r="E950">
        <v>0.43547749999999902</v>
      </c>
      <c r="F950" t="s">
        <v>39</v>
      </c>
      <c r="G950">
        <v>-230.3383</v>
      </c>
      <c r="H950" s="1">
        <v>-4.2400920000000001E-6</v>
      </c>
      <c r="I950">
        <v>370.06290000000001</v>
      </c>
      <c r="J950">
        <v>-240.78620000000001</v>
      </c>
      <c r="K950">
        <v>1.1056139999999901</v>
      </c>
      <c r="L950">
        <v>367.2287</v>
      </c>
      <c r="M950">
        <v>0.99979019999999996</v>
      </c>
      <c r="N950">
        <v>0</v>
      </c>
      <c r="O950">
        <v>7.8384019999999995E-3</v>
      </c>
      <c r="P950">
        <v>0.99494919999999998</v>
      </c>
      <c r="Q950">
        <v>4.3790410000000002E-2</v>
      </c>
      <c r="R950">
        <v>9.0324420000000002E-2</v>
      </c>
      <c r="S950">
        <v>2.9554749999999999</v>
      </c>
      <c r="T950">
        <v>-0.30715529999999902</v>
      </c>
      <c r="U950">
        <v>0.78781129999999999</v>
      </c>
      <c r="V950">
        <v>-8.2523879999999994E-2</v>
      </c>
      <c r="W950">
        <v>6.2619049999999996E-2</v>
      </c>
      <c r="X950">
        <v>0.99461980000000005</v>
      </c>
      <c r="Y950">
        <v>-0.2487721</v>
      </c>
      <c r="Z950">
        <v>1.187437E-2</v>
      </c>
      <c r="AA950">
        <v>0.96848919999999905</v>
      </c>
      <c r="AB950">
        <v>31</v>
      </c>
      <c r="AC950">
        <v>10.447900000000001</v>
      </c>
      <c r="AD950">
        <v>-1.1056182400919901</v>
      </c>
      <c r="AE950">
        <v>2.8342000000000001</v>
      </c>
      <c r="AF950">
        <v>-2.7237922310671299</v>
      </c>
      <c r="AG950">
        <v>-1.1056182400919901</v>
      </c>
      <c r="AH950">
        <v>10.3617181369713</v>
      </c>
      <c r="AI950">
        <v>95.891855432760295</v>
      </c>
      <c r="AJ950">
        <v>104.728173122611</v>
      </c>
      <c r="AK950">
        <v>10.770637797312</v>
      </c>
    </row>
    <row r="951" spans="1:37" x14ac:dyDescent="0.2">
      <c r="A951" t="str">
        <f>"20200111153626754"</f>
        <v>20200111153626754</v>
      </c>
      <c r="B951" t="str">
        <f>"1578728186743729"</f>
        <v>1578728186743729</v>
      </c>
      <c r="C951" t="s">
        <v>37</v>
      </c>
      <c r="D951">
        <v>6.1861689999999996</v>
      </c>
      <c r="E951">
        <v>0.43957269999999998</v>
      </c>
      <c r="F951" t="s">
        <v>39</v>
      </c>
      <c r="G951">
        <v>-230.2099</v>
      </c>
      <c r="H951" s="1">
        <v>-4.2730859999999998E-6</v>
      </c>
      <c r="I951">
        <v>370.00259999999997</v>
      </c>
      <c r="J951">
        <v>-240.61359999999999</v>
      </c>
      <c r="K951">
        <v>1.105629</v>
      </c>
      <c r="L951">
        <v>367.23009999999999</v>
      </c>
      <c r="M951">
        <v>0.99978609999999901</v>
      </c>
      <c r="N951">
        <v>0</v>
      </c>
      <c r="O951">
        <v>7.8569439999999994E-3</v>
      </c>
      <c r="P951">
        <v>0.99535509999999905</v>
      </c>
      <c r="Q951">
        <v>4.3162869999999999E-2</v>
      </c>
      <c r="R951">
        <v>8.6054030000000004E-2</v>
      </c>
      <c r="S951">
        <v>2.958405</v>
      </c>
      <c r="T951">
        <v>-0.30926359999999897</v>
      </c>
      <c r="U951">
        <v>0.77590939999999997</v>
      </c>
      <c r="V951">
        <v>-7.8232070000000001E-2</v>
      </c>
      <c r="W951">
        <v>6.2202170000000001E-2</v>
      </c>
      <c r="X951">
        <v>0.99499280000000001</v>
      </c>
      <c r="Y951">
        <v>-0.2448755</v>
      </c>
      <c r="Z951">
        <v>1.1748389999999999E-2</v>
      </c>
      <c r="AA951">
        <v>0.9694834</v>
      </c>
      <c r="AB951">
        <v>31</v>
      </c>
      <c r="AC951">
        <v>10.403699999999899</v>
      </c>
      <c r="AD951">
        <v>-1.1056332730859999</v>
      </c>
      <c r="AE951">
        <v>2.7724999999999702</v>
      </c>
      <c r="AF951">
        <v>-2.6625810118407101</v>
      </c>
      <c r="AG951">
        <v>-1.1056332730859999</v>
      </c>
      <c r="AH951">
        <v>10.3163790876173</v>
      </c>
      <c r="AI951">
        <v>95.924497984872602</v>
      </c>
      <c r="AJ951">
        <v>104.471802241391</v>
      </c>
      <c r="AK951">
        <v>10.711649735619501</v>
      </c>
    </row>
    <row r="952" spans="1:37" x14ac:dyDescent="0.2">
      <c r="A952" t="str">
        <f>"20200111153626770"</f>
        <v>20200111153626770</v>
      </c>
      <c r="B952" t="str">
        <f>"1578728186763252"</f>
        <v>1578728186763252</v>
      </c>
      <c r="C952" t="s">
        <v>37</v>
      </c>
      <c r="D952">
        <v>6.232748</v>
      </c>
      <c r="E952">
        <v>0.55609739999999996</v>
      </c>
      <c r="F952" t="s">
        <v>39</v>
      </c>
      <c r="G952">
        <v>-230.11590000000001</v>
      </c>
      <c r="H952" s="1">
        <v>-4.2721400000000004E-6</v>
      </c>
      <c r="I952">
        <v>369.81689999999998</v>
      </c>
      <c r="J952">
        <v>-240.41540000000001</v>
      </c>
      <c r="K952">
        <v>1.105645</v>
      </c>
      <c r="L952">
        <v>367.23160000000001</v>
      </c>
      <c r="M952">
        <v>0.999781699999999</v>
      </c>
      <c r="N952">
        <v>0</v>
      </c>
      <c r="O952">
        <v>7.8781700000000003E-3</v>
      </c>
      <c r="P952">
        <v>0.99628369999999999</v>
      </c>
      <c r="Q952">
        <v>4.1455119999999998E-2</v>
      </c>
      <c r="R952">
        <v>7.5500970000000001E-2</v>
      </c>
      <c r="S952">
        <v>2.9643709999999999</v>
      </c>
      <c r="T952">
        <v>-0.31221070000000001</v>
      </c>
      <c r="U952">
        <v>0.73046880000000003</v>
      </c>
      <c r="V952">
        <v>-6.7650390000000005E-2</v>
      </c>
      <c r="W952">
        <v>6.0742459999999998E-2</v>
      </c>
      <c r="X952">
        <v>0.99585829999999997</v>
      </c>
      <c r="Y952">
        <v>-0.2304408</v>
      </c>
      <c r="Z952">
        <v>1.110945E-2</v>
      </c>
      <c r="AA952">
        <v>0.97302289999999902</v>
      </c>
      <c r="AB952">
        <v>31</v>
      </c>
      <c r="AC952">
        <v>10.299499999999901</v>
      </c>
      <c r="AD952">
        <v>-1.10564927214</v>
      </c>
      <c r="AE952">
        <v>2.5852999999999602</v>
      </c>
      <c r="AF952">
        <v>-2.4772081047229899</v>
      </c>
      <c r="AG952">
        <v>-1.10564927214</v>
      </c>
      <c r="AH952">
        <v>10.208877828878601</v>
      </c>
      <c r="AI952">
        <v>96.008176114214294</v>
      </c>
      <c r="AJ952">
        <v>103.639337873142</v>
      </c>
      <c r="AK952">
        <v>10.563153261789701</v>
      </c>
    </row>
    <row r="953" spans="1:37" x14ac:dyDescent="0.2">
      <c r="A953" t="str">
        <f>"20200111153626792"</f>
        <v>20200111153626792</v>
      </c>
      <c r="B953" t="str">
        <f>"1578728186783748"</f>
        <v>1578728186783748</v>
      </c>
      <c r="C953" t="s">
        <v>37</v>
      </c>
      <c r="D953">
        <v>6.5055620000000003</v>
      </c>
      <c r="E953">
        <v>0.57658180000000003</v>
      </c>
      <c r="F953" t="s">
        <v>38</v>
      </c>
      <c r="G953">
        <v>-239.56610000000001</v>
      </c>
      <c r="H953">
        <v>1.015903</v>
      </c>
      <c r="I953">
        <v>367.16770000000002</v>
      </c>
      <c r="J953">
        <v>-240.1071</v>
      </c>
      <c r="K953">
        <v>1.1056680000000001</v>
      </c>
      <c r="L953">
        <v>367.23399999999998</v>
      </c>
      <c r="M953">
        <v>0.99977439999999995</v>
      </c>
      <c r="N953">
        <v>0</v>
      </c>
      <c r="O953">
        <v>7.9121580000000007E-3</v>
      </c>
      <c r="P953">
        <v>0.9971373</v>
      </c>
      <c r="Q953">
        <v>4.0189290000000003E-2</v>
      </c>
      <c r="R953">
        <v>6.4048179999999996E-2</v>
      </c>
      <c r="S953">
        <v>3.04190099999999</v>
      </c>
      <c r="T953">
        <v>-0.3214825</v>
      </c>
      <c r="U953">
        <v>-0.22891239999999999</v>
      </c>
      <c r="V953">
        <v>-5.6157520000000002E-2</v>
      </c>
      <c r="W953">
        <v>5.9845259999999997E-2</v>
      </c>
      <c r="X953">
        <v>0.99662669999999998</v>
      </c>
      <c r="Y953">
        <v>8.2429550000000004E-2</v>
      </c>
      <c r="Z953">
        <v>-5.1705190000000002E-3</v>
      </c>
      <c r="AA953">
        <v>0.99658349999999996</v>
      </c>
      <c r="AB953">
        <v>31</v>
      </c>
      <c r="AC953">
        <v>0.54099999999999604</v>
      </c>
      <c r="AD953">
        <v>-8.9765000000000095E-2</v>
      </c>
      <c r="AE953">
        <v>-6.6300000000012405E-2</v>
      </c>
      <c r="AF953">
        <v>6.8715431213632203E-2</v>
      </c>
      <c r="AG953">
        <v>-8.9765000000000095E-2</v>
      </c>
      <c r="AH953">
        <v>0.52618637289521097</v>
      </c>
      <c r="AI953">
        <v>99.601212973882198</v>
      </c>
      <c r="AJ953">
        <v>82.559767079717403</v>
      </c>
      <c r="AK953">
        <v>0.53819296235875602</v>
      </c>
    </row>
    <row r="954" spans="1:37" x14ac:dyDescent="0.2">
      <c r="A954" t="str">
        <f>"20200111153626806"</f>
        <v>20200111153626806</v>
      </c>
      <c r="B954" t="str">
        <f>"1578728186803266"</f>
        <v>1578728186803266</v>
      </c>
      <c r="C954" t="s">
        <v>37</v>
      </c>
      <c r="D954">
        <v>6.5942569999999998</v>
      </c>
      <c r="E954">
        <v>0.58992979999999995</v>
      </c>
      <c r="F954" t="s">
        <v>38</v>
      </c>
      <c r="G954">
        <v>-239.2901</v>
      </c>
      <c r="H954">
        <v>1.0212969999999999</v>
      </c>
      <c r="I954">
        <v>367.1191</v>
      </c>
      <c r="J954">
        <v>-239.91669999999999</v>
      </c>
      <c r="K954">
        <v>1.1056839999999999</v>
      </c>
      <c r="L954">
        <v>367.23559999999998</v>
      </c>
      <c r="M954">
        <v>0.99977000000000005</v>
      </c>
      <c r="N954">
        <v>0</v>
      </c>
      <c r="O954">
        <v>7.9333149999999998E-3</v>
      </c>
      <c r="P954">
        <v>0.99750849999999902</v>
      </c>
      <c r="Q954">
        <v>3.9513800000000002E-2</v>
      </c>
      <c r="R954">
        <v>5.8444870000000003E-2</v>
      </c>
      <c r="S954">
        <v>3.048813</v>
      </c>
      <c r="T954">
        <v>-0.31508559999999902</v>
      </c>
      <c r="U954">
        <v>-0.42791750000000001</v>
      </c>
      <c r="V954">
        <v>-5.0529900000000003E-2</v>
      </c>
      <c r="W954">
        <v>5.9390209999999999E-2</v>
      </c>
      <c r="X954">
        <v>0.99695519999999904</v>
      </c>
      <c r="Y954">
        <v>0.14604200000000001</v>
      </c>
      <c r="Z954">
        <v>-8.3040590000000008E-3</v>
      </c>
      <c r="AA954">
        <v>0.98924349999999905</v>
      </c>
      <c r="AB954">
        <v>31</v>
      </c>
      <c r="AC954">
        <v>0.62659999999999605</v>
      </c>
      <c r="AD954">
        <v>-8.4387000000000198E-2</v>
      </c>
      <c r="AE954">
        <v>-0.116499999999973</v>
      </c>
      <c r="AF954">
        <v>0.119375539439351</v>
      </c>
      <c r="AG954">
        <v>-8.4387000000000198E-2</v>
      </c>
      <c r="AH954">
        <v>0.61487634521337897</v>
      </c>
      <c r="AI954">
        <v>97.673064146195699</v>
      </c>
      <c r="AJ954">
        <v>79.012958580440895</v>
      </c>
      <c r="AK954">
        <v>0.63201630128375497</v>
      </c>
    </row>
    <row r="955" spans="1:37" x14ac:dyDescent="0.2">
      <c r="A955" t="str">
        <f>"20200111153626825"</f>
        <v>20200111153626825</v>
      </c>
      <c r="B955" t="str">
        <f>"1578728186814001"</f>
        <v>1578728186814001</v>
      </c>
      <c r="C955" t="s">
        <v>37</v>
      </c>
      <c r="D955">
        <v>6.5527839999999999</v>
      </c>
      <c r="E955">
        <v>0.59316780000000002</v>
      </c>
      <c r="F955" t="s">
        <v>38</v>
      </c>
      <c r="G955">
        <v>-239.03389999999999</v>
      </c>
      <c r="H955">
        <v>0.98870639999999999</v>
      </c>
      <c r="I955">
        <v>367.0754</v>
      </c>
      <c r="J955">
        <v>-239.65350000000001</v>
      </c>
      <c r="K955">
        <v>1.1056999999999999</v>
      </c>
      <c r="L955">
        <v>367.23770000000002</v>
      </c>
      <c r="M955">
        <v>0.99976399999999999</v>
      </c>
      <c r="N955">
        <v>0</v>
      </c>
      <c r="O955">
        <v>7.96297199999999E-3</v>
      </c>
      <c r="P955">
        <v>0.99813669999999999</v>
      </c>
      <c r="Q955">
        <v>3.8389880000000001E-2</v>
      </c>
      <c r="R955">
        <v>4.742801E-2</v>
      </c>
      <c r="S955">
        <v>3.056</v>
      </c>
      <c r="T955">
        <v>-0.40497670000000002</v>
      </c>
      <c r="U955">
        <v>-0.55404659999999994</v>
      </c>
      <c r="V955">
        <v>-3.947908E-2</v>
      </c>
      <c r="W955">
        <v>5.8566720000000003E-2</v>
      </c>
      <c r="X955">
        <v>0.99750260000000002</v>
      </c>
      <c r="Y955">
        <v>0.18459049999999999</v>
      </c>
      <c r="Z955">
        <v>-1.3123060000000001E-2</v>
      </c>
      <c r="AA955">
        <v>0.98272789999999999</v>
      </c>
      <c r="AB955">
        <v>30</v>
      </c>
      <c r="AC955">
        <v>0.61960000000001902</v>
      </c>
      <c r="AD955">
        <v>-0.116993599999999</v>
      </c>
      <c r="AE955">
        <v>-0.16230000000001599</v>
      </c>
      <c r="AF955">
        <v>0.16183038007425099</v>
      </c>
      <c r="AG955">
        <v>-0.116993599999999</v>
      </c>
      <c r="AH955">
        <v>0.59832506872458302</v>
      </c>
      <c r="AI955">
        <v>100.688987094187</v>
      </c>
      <c r="AJ955">
        <v>74.865203755903195</v>
      </c>
      <c r="AK955">
        <v>0.63076894519325699</v>
      </c>
    </row>
    <row r="956" spans="1:37" x14ac:dyDescent="0.2">
      <c r="A956" t="str">
        <f>"20200111153626839"</f>
        <v>20200111153626839</v>
      </c>
      <c r="B956" t="str">
        <f>"1578728186833521"</f>
        <v>1578728186833521</v>
      </c>
      <c r="C956" t="s">
        <v>37</v>
      </c>
      <c r="D956">
        <v>6.4834019999999999</v>
      </c>
      <c r="E956">
        <v>0.59644809999999904</v>
      </c>
      <c r="F956" t="s">
        <v>38</v>
      </c>
      <c r="G956">
        <v>-238.76830000000001</v>
      </c>
      <c r="H956">
        <v>0.97982429999999998</v>
      </c>
      <c r="I956">
        <v>367.0591</v>
      </c>
      <c r="J956">
        <v>-239.46860000000001</v>
      </c>
      <c r="K956">
        <v>1.1057129999999999</v>
      </c>
      <c r="L956">
        <v>367.23910000000001</v>
      </c>
      <c r="M956">
        <v>0.99975970000000003</v>
      </c>
      <c r="N956">
        <v>0</v>
      </c>
      <c r="O956">
        <v>7.9833869999999998E-3</v>
      </c>
      <c r="P956">
        <v>0.99839560000000005</v>
      </c>
      <c r="Q956">
        <v>3.7800399999999998E-2</v>
      </c>
      <c r="R956">
        <v>4.2162360000000003E-2</v>
      </c>
      <c r="S956">
        <v>3.0515140000000001</v>
      </c>
      <c r="T956">
        <v>-0.4340675</v>
      </c>
      <c r="U956">
        <v>-0.61477660000000001</v>
      </c>
      <c r="V956">
        <v>-3.419109E-2</v>
      </c>
      <c r="W956">
        <v>5.8181620000000003E-2</v>
      </c>
      <c r="X956">
        <v>0.99772039999999995</v>
      </c>
      <c r="Y956">
        <v>0.20327439999999999</v>
      </c>
      <c r="Z956">
        <v>-1.5363450000000001E-2</v>
      </c>
      <c r="AA956">
        <v>0.97900129999999996</v>
      </c>
      <c r="AB956">
        <v>30</v>
      </c>
      <c r="AC956">
        <v>0.70029999999999804</v>
      </c>
      <c r="AD956">
        <v>-0.12588869999999899</v>
      </c>
      <c r="AE956">
        <v>-0.18000000000000599</v>
      </c>
      <c r="AF956">
        <v>0.18012612624232499</v>
      </c>
      <c r="AG956">
        <v>-0.12588869999999899</v>
      </c>
      <c r="AH956">
        <v>0.67828002608834204</v>
      </c>
      <c r="AI956">
        <v>100.169688678581</v>
      </c>
      <c r="AJ956">
        <v>75.127632503703595</v>
      </c>
      <c r="AK956">
        <v>0.71299171098488801</v>
      </c>
    </row>
    <row r="957" spans="1:37" x14ac:dyDescent="0.2">
      <c r="A957" t="str">
        <f>"20200111153626851"</f>
        <v>20200111153626851</v>
      </c>
      <c r="B957" t="str">
        <f>"1578728186843282"</f>
        <v>1578728186843282</v>
      </c>
      <c r="C957" t="s">
        <v>37</v>
      </c>
      <c r="D957">
        <v>6.4790999999999999</v>
      </c>
      <c r="E957">
        <v>0.59738159999999996</v>
      </c>
      <c r="F957" t="s">
        <v>38</v>
      </c>
      <c r="G957">
        <v>-238.76009999999999</v>
      </c>
      <c r="H957">
        <v>0.99889019999999995</v>
      </c>
      <c r="I957">
        <v>367.08609999999999</v>
      </c>
      <c r="J957">
        <v>-239.30699999999999</v>
      </c>
      <c r="K957">
        <v>1.105729</v>
      </c>
      <c r="L957">
        <v>367.2405</v>
      </c>
      <c r="M957">
        <v>0.99975619999999998</v>
      </c>
      <c r="N957">
        <v>0</v>
      </c>
      <c r="O957">
        <v>8.0016310000000004E-3</v>
      </c>
      <c r="P957">
        <v>0.99862070000000003</v>
      </c>
      <c r="Q957">
        <v>3.6987150000000003E-2</v>
      </c>
      <c r="R957">
        <v>3.7265880000000001E-2</v>
      </c>
      <c r="S957">
        <v>3.0500180000000001</v>
      </c>
      <c r="T957">
        <v>-0.46003660000000002</v>
      </c>
      <c r="U957">
        <v>-0.65789790000000004</v>
      </c>
      <c r="V957">
        <v>-2.9274439999999999E-2</v>
      </c>
      <c r="W957">
        <v>5.7538480000000003E-2</v>
      </c>
      <c r="X957">
        <v>0.99791399999999997</v>
      </c>
      <c r="Y957">
        <v>0.21624479999999999</v>
      </c>
      <c r="Z957">
        <v>-1.7222290000000001E-2</v>
      </c>
      <c r="AA957">
        <v>0.97618729999999998</v>
      </c>
      <c r="AB957">
        <v>30</v>
      </c>
      <c r="AC957">
        <v>0.54690000000002204</v>
      </c>
      <c r="AD957">
        <v>-0.1068388</v>
      </c>
      <c r="AE957">
        <v>-0.154400000000009</v>
      </c>
      <c r="AF957">
        <v>0.15335173747935599</v>
      </c>
      <c r="AG957">
        <v>-0.1068388</v>
      </c>
      <c r="AH957">
        <v>0.52701887848642603</v>
      </c>
      <c r="AI957">
        <v>101.014883428727</v>
      </c>
      <c r="AJ957">
        <v>73.776082211251605</v>
      </c>
      <c r="AK957">
        <v>0.55917813159535101</v>
      </c>
    </row>
    <row r="958" spans="1:37" x14ac:dyDescent="0.2">
      <c r="A958" t="str">
        <f>"20200111153626862"</f>
        <v>20200111153626862</v>
      </c>
      <c r="B958" t="str">
        <f>"1578728186854017"</f>
        <v>1578728186854017</v>
      </c>
      <c r="C958" t="s">
        <v>37</v>
      </c>
      <c r="D958">
        <v>6.4781139999999997</v>
      </c>
      <c r="E958">
        <v>0.59782100000000005</v>
      </c>
      <c r="F958" t="s">
        <v>38</v>
      </c>
      <c r="G958">
        <v>-238.49959999999999</v>
      </c>
      <c r="H958">
        <v>0.98205439999999999</v>
      </c>
      <c r="I958">
        <v>367.05990000000003</v>
      </c>
      <c r="J958">
        <v>-239.15</v>
      </c>
      <c r="K958">
        <v>1.1057410000000001</v>
      </c>
      <c r="L958">
        <v>367.24169999999998</v>
      </c>
      <c r="M958">
        <v>0.99975259999999999</v>
      </c>
      <c r="N958">
        <v>0</v>
      </c>
      <c r="O958">
        <v>8.0192830000000003E-3</v>
      </c>
      <c r="P958">
        <v>0.99879689999999999</v>
      </c>
      <c r="Q958">
        <v>3.6580880000000003E-2</v>
      </c>
      <c r="R958">
        <v>3.2656850000000001E-2</v>
      </c>
      <c r="S958">
        <v>3.0468439999999899</v>
      </c>
      <c r="T958">
        <v>-0.4668291</v>
      </c>
      <c r="U958">
        <v>-0.68081669999999905</v>
      </c>
      <c r="V958">
        <v>-2.464597E-2</v>
      </c>
      <c r="W958">
        <v>5.7293799999999999E-2</v>
      </c>
      <c r="X958">
        <v>0.99805309999999903</v>
      </c>
      <c r="Y958">
        <v>0.22331970000000001</v>
      </c>
      <c r="Z958">
        <v>-1.8012730000000001E-2</v>
      </c>
      <c r="AA958">
        <v>0.97457879999999997</v>
      </c>
      <c r="AB958">
        <v>30</v>
      </c>
      <c r="AC958">
        <v>0.65040000000001896</v>
      </c>
      <c r="AD958">
        <v>-0.12368659999999999</v>
      </c>
      <c r="AE958">
        <v>-0.181799999999952</v>
      </c>
      <c r="AF958">
        <v>0.18094154634517801</v>
      </c>
      <c r="AG958">
        <v>-0.12368659999999999</v>
      </c>
      <c r="AH958">
        <v>0.62786003649631705</v>
      </c>
      <c r="AI958">
        <v>100.71887905770799</v>
      </c>
      <c r="AJ958">
        <v>73.923668688607293</v>
      </c>
      <c r="AK958">
        <v>0.665016122844026</v>
      </c>
    </row>
    <row r="959" spans="1:37" x14ac:dyDescent="0.2">
      <c r="A959" t="str">
        <f>"20200111153626875"</f>
        <v>20200111153626875</v>
      </c>
      <c r="B959" t="str">
        <f>"1578728186863779"</f>
        <v>1578728186863779</v>
      </c>
      <c r="C959" t="s">
        <v>37</v>
      </c>
      <c r="D959">
        <v>6.4413390000000001</v>
      </c>
      <c r="E959">
        <v>0.59834489999999996</v>
      </c>
      <c r="F959" t="s">
        <v>38</v>
      </c>
      <c r="G959">
        <v>-238.24</v>
      </c>
      <c r="H959">
        <v>0.96440029999999999</v>
      </c>
      <c r="I959">
        <v>367.0326</v>
      </c>
      <c r="J959">
        <v>-238.9785</v>
      </c>
      <c r="K959">
        <v>1.105758</v>
      </c>
      <c r="L959">
        <v>367.24310000000003</v>
      </c>
      <c r="M959">
        <v>0.99974909999999995</v>
      </c>
      <c r="N959">
        <v>0</v>
      </c>
      <c r="O959">
        <v>8.0380290000000004E-3</v>
      </c>
      <c r="P959">
        <v>0.99893750000000003</v>
      </c>
      <c r="Q959">
        <v>3.6364529999999999E-2</v>
      </c>
      <c r="R959">
        <v>2.831564E-2</v>
      </c>
      <c r="S959">
        <v>3.043777</v>
      </c>
      <c r="T959">
        <v>-0.47292259999999903</v>
      </c>
      <c r="U959">
        <v>-0.69857789999999997</v>
      </c>
      <c r="V959">
        <v>-2.0285049999999999E-2</v>
      </c>
      <c r="W959">
        <v>5.7247140000000002E-2</v>
      </c>
      <c r="X959">
        <v>0.99815390000000004</v>
      </c>
      <c r="Y959">
        <v>0.22882129999999901</v>
      </c>
      <c r="Z959">
        <v>-1.8673849999999999E-2</v>
      </c>
      <c r="AA959">
        <v>0.97328930000000002</v>
      </c>
      <c r="AB959">
        <v>30</v>
      </c>
      <c r="AC959">
        <v>0.73849999999998694</v>
      </c>
      <c r="AD959">
        <v>-0.141357699999999</v>
      </c>
      <c r="AE959">
        <v>-0.210500000000024</v>
      </c>
      <c r="AF959">
        <v>0.20933709599074099</v>
      </c>
      <c r="AG959">
        <v>-0.141357699999999</v>
      </c>
      <c r="AH959">
        <v>0.71263576884104696</v>
      </c>
      <c r="AI959">
        <v>100.775532612229</v>
      </c>
      <c r="AJ959">
        <v>73.629824017288996</v>
      </c>
      <c r="AK959">
        <v>0.75607787835565998</v>
      </c>
    </row>
    <row r="960" spans="1:37" x14ac:dyDescent="0.2">
      <c r="A960" t="str">
        <f>"20200111153626890"</f>
        <v>20200111153626890</v>
      </c>
      <c r="B960" t="str">
        <f>"1578728186883297"</f>
        <v>1578728186883297</v>
      </c>
      <c r="C960" t="s">
        <v>37</v>
      </c>
      <c r="D960">
        <v>6.3875109999999999</v>
      </c>
      <c r="E960">
        <v>0.59884040000000005</v>
      </c>
      <c r="F960" t="s">
        <v>38</v>
      </c>
      <c r="G960">
        <v>-238.23050000000001</v>
      </c>
      <c r="H960">
        <v>0.98913200000000001</v>
      </c>
      <c r="I960">
        <v>367.06670000000003</v>
      </c>
      <c r="J960">
        <v>-238.80799999999999</v>
      </c>
      <c r="K960">
        <v>1.1057760000000001</v>
      </c>
      <c r="L960">
        <v>367.24439999999998</v>
      </c>
      <c r="M960">
        <v>0.99974569999999996</v>
      </c>
      <c r="N960">
        <v>0</v>
      </c>
      <c r="O960">
        <v>8.0566309999999999E-3</v>
      </c>
      <c r="P960">
        <v>0.99904780000000004</v>
      </c>
      <c r="Q960">
        <v>3.6268799999999997E-2</v>
      </c>
      <c r="R960">
        <v>2.4259309999999999E-2</v>
      </c>
      <c r="S960">
        <v>3.0407709999999999</v>
      </c>
      <c r="T960">
        <v>-0.47431000000000001</v>
      </c>
      <c r="U960">
        <v>-0.71609500000000004</v>
      </c>
      <c r="V960">
        <v>-1.6210160000000001E-2</v>
      </c>
      <c r="W960">
        <v>5.73156999999999E-2</v>
      </c>
      <c r="X960">
        <v>0.99822449999999996</v>
      </c>
      <c r="Y960">
        <v>0.23428489999999999</v>
      </c>
      <c r="Z960">
        <v>-1.9154790000000001E-2</v>
      </c>
      <c r="AA960">
        <v>0.97197929999999999</v>
      </c>
      <c r="AB960">
        <v>30</v>
      </c>
      <c r="AC960">
        <v>0.57749999999998602</v>
      </c>
      <c r="AD960">
        <v>-0.116644</v>
      </c>
      <c r="AE960">
        <v>-0.177699999999958</v>
      </c>
      <c r="AF960">
        <v>0.175796438532552</v>
      </c>
      <c r="AG960">
        <v>-0.116644</v>
      </c>
      <c r="AH960">
        <v>0.5553525570158</v>
      </c>
      <c r="AI960">
        <v>101.323313834987</v>
      </c>
      <c r="AJ960">
        <v>72.434855481748997</v>
      </c>
      <c r="AK960">
        <v>0.59407631927279902</v>
      </c>
    </row>
    <row r="961" spans="1:37" x14ac:dyDescent="0.2">
      <c r="A961" t="str">
        <f>"20200111153626903"</f>
        <v>20200111153626903</v>
      </c>
      <c r="B961" t="str">
        <f>"1578728186894033"</f>
        <v>1578728186894033</v>
      </c>
      <c r="C961" t="s">
        <v>37</v>
      </c>
      <c r="D961">
        <v>6.4119760000000001</v>
      </c>
      <c r="E961">
        <v>0.59906939999999997</v>
      </c>
      <c r="F961" t="s">
        <v>38</v>
      </c>
      <c r="G961">
        <v>-237.9708</v>
      </c>
      <c r="H961">
        <v>0.97524769999999905</v>
      </c>
      <c r="I961">
        <v>367.04259999999999</v>
      </c>
      <c r="J961">
        <v>-238.61779999999999</v>
      </c>
      <c r="K961">
        <v>1.1057969999999999</v>
      </c>
      <c r="L961">
        <v>367.24599999999998</v>
      </c>
      <c r="M961">
        <v>0.99974169999999996</v>
      </c>
      <c r="N961">
        <v>0</v>
      </c>
      <c r="O961">
        <v>8.0775650000000001E-3</v>
      </c>
      <c r="P961">
        <v>0.99918109999999905</v>
      </c>
      <c r="Q961">
        <v>3.6435660000000002E-2</v>
      </c>
      <c r="R961">
        <v>1.7602670000000001E-2</v>
      </c>
      <c r="S961">
        <v>3.0378419999999999</v>
      </c>
      <c r="T961">
        <v>-0.47366819999999998</v>
      </c>
      <c r="U961">
        <v>-0.73220830000000003</v>
      </c>
      <c r="V961">
        <v>-9.5310289999999999E-3</v>
      </c>
      <c r="W961">
        <v>5.766131E-2</v>
      </c>
      <c r="X961">
        <v>0.99829069999999998</v>
      </c>
      <c r="Y961">
        <v>0.23933789999999999</v>
      </c>
      <c r="Z961">
        <v>-1.9524860000000002E-2</v>
      </c>
      <c r="AA961">
        <v>0.97073999999999905</v>
      </c>
      <c r="AB961">
        <v>30</v>
      </c>
      <c r="AC961">
        <v>0.64699999999999103</v>
      </c>
      <c r="AD961">
        <v>-0.13054929999999901</v>
      </c>
      <c r="AE961">
        <v>-0.20339999999998701</v>
      </c>
      <c r="AF961">
        <v>0.20116711645573401</v>
      </c>
      <c r="AG961">
        <v>-0.13054929999999901</v>
      </c>
      <c r="AH961">
        <v>0.622278963184144</v>
      </c>
      <c r="AI961">
        <v>101.289026796145</v>
      </c>
      <c r="AJ961">
        <v>72.085286365945095</v>
      </c>
      <c r="AK961">
        <v>0.66689012325505204</v>
      </c>
    </row>
    <row r="962" spans="1:37" x14ac:dyDescent="0.2">
      <c r="A962" t="str">
        <f>"20200111153626925"</f>
        <v>20200111153626925</v>
      </c>
      <c r="B962" t="str">
        <f>"1578728186913553"</f>
        <v>1578728186913553</v>
      </c>
      <c r="C962" t="s">
        <v>37</v>
      </c>
      <c r="D962">
        <v>6.4353860000000003</v>
      </c>
      <c r="E962">
        <v>0.59867780000000004</v>
      </c>
      <c r="F962" t="s">
        <v>39</v>
      </c>
      <c r="G962">
        <v>-231.54839999999999</v>
      </c>
      <c r="H962" s="1">
        <v>-4.3400339999999996E-6</v>
      </c>
      <c r="I962">
        <v>365.48970000000003</v>
      </c>
      <c r="J962">
        <v>-238.3296</v>
      </c>
      <c r="K962">
        <v>1.105826</v>
      </c>
      <c r="L962">
        <v>367.24829999999997</v>
      </c>
      <c r="M962">
        <v>0.99973599999999996</v>
      </c>
      <c r="N962">
        <v>0</v>
      </c>
      <c r="O962">
        <v>8.1094059999999996E-3</v>
      </c>
      <c r="P962">
        <v>0.99926190000000004</v>
      </c>
      <c r="Q962">
        <v>3.6399519999999998E-2</v>
      </c>
      <c r="R962">
        <v>1.229733E-2</v>
      </c>
      <c r="S962">
        <v>3.0330509999999999</v>
      </c>
      <c r="T962">
        <v>-0.47443000000000002</v>
      </c>
      <c r="U962">
        <v>-0.75347900000000001</v>
      </c>
      <c r="V962">
        <v>-4.19323099999999E-3</v>
      </c>
      <c r="W962">
        <v>5.7878859999999997E-2</v>
      </c>
      <c r="X962">
        <v>0.99831479999999995</v>
      </c>
      <c r="Y962">
        <v>0.2460455</v>
      </c>
      <c r="Z962">
        <v>-2.0088430000000001E-2</v>
      </c>
      <c r="AA962">
        <v>0.96905010000000003</v>
      </c>
      <c r="AB962">
        <v>30</v>
      </c>
      <c r="AC962">
        <v>6.7812000000000099</v>
      </c>
      <c r="AD962">
        <v>-1.1058303400339999</v>
      </c>
      <c r="AE962">
        <v>-1.75859999999994</v>
      </c>
      <c r="AF962">
        <v>1.76945679137656</v>
      </c>
      <c r="AG962">
        <v>-1.1058303400339999</v>
      </c>
      <c r="AH962">
        <v>6.6022052097316299</v>
      </c>
      <c r="AI962">
        <v>99.189936079970096</v>
      </c>
      <c r="AJ962">
        <v>74.996751254256907</v>
      </c>
      <c r="AK962">
        <v>6.9240849004685003</v>
      </c>
    </row>
    <row r="963" spans="1:37" x14ac:dyDescent="0.2">
      <c r="A963" t="str">
        <f>"20200111153626938"</f>
        <v>20200111153626938</v>
      </c>
      <c r="B963" t="str">
        <f>"1578728186934049"</f>
        <v>1578728186934049</v>
      </c>
      <c r="C963" t="s">
        <v>37</v>
      </c>
      <c r="D963">
        <v>6.4077269999999897</v>
      </c>
      <c r="E963">
        <v>0.59802230000000001</v>
      </c>
      <c r="F963" t="s">
        <v>39</v>
      </c>
      <c r="G963">
        <v>-231.23689999999999</v>
      </c>
      <c r="H963" s="1">
        <v>-4.479949E-6</v>
      </c>
      <c r="I963">
        <v>365.45420000000001</v>
      </c>
      <c r="J963">
        <v>-238.14830000000001</v>
      </c>
      <c r="K963">
        <v>1.1058410000000001</v>
      </c>
      <c r="L963">
        <v>367.24979999999999</v>
      </c>
      <c r="M963">
        <v>0.99973259999999897</v>
      </c>
      <c r="N963">
        <v>0</v>
      </c>
      <c r="O963">
        <v>8.1299389999999992E-3</v>
      </c>
      <c r="P963">
        <v>0.99927690000000002</v>
      </c>
      <c r="Q963">
        <v>3.6519990000000002E-2</v>
      </c>
      <c r="R963">
        <v>1.058048E-2</v>
      </c>
      <c r="S963">
        <v>3.0288539999999999</v>
      </c>
      <c r="T963">
        <v>-0.47223229999999999</v>
      </c>
      <c r="U963">
        <v>-0.76614380000000004</v>
      </c>
      <c r="V963">
        <v>-2.4561399999999999E-3</v>
      </c>
      <c r="W963">
        <v>5.8148289999999998E-2</v>
      </c>
      <c r="X963">
        <v>0.998304999999999</v>
      </c>
      <c r="Y963">
        <v>0.25016489999999902</v>
      </c>
      <c r="Z963">
        <v>-2.0330640000000001E-2</v>
      </c>
      <c r="AA963">
        <v>0.96798969999999995</v>
      </c>
      <c r="AB963">
        <v>29</v>
      </c>
      <c r="AC963">
        <v>6.9114000000000102</v>
      </c>
      <c r="AD963">
        <v>-1.1058454799490001</v>
      </c>
      <c r="AE963">
        <v>-1.7955999999999701</v>
      </c>
      <c r="AF963">
        <v>1.80837417197943</v>
      </c>
      <c r="AG963">
        <v>-1.1058454799490001</v>
      </c>
      <c r="AH963">
        <v>6.7350482996807299</v>
      </c>
      <c r="AI963">
        <v>99.010706126049598</v>
      </c>
      <c r="AJ963">
        <v>74.970450418310705</v>
      </c>
      <c r="AK963">
        <v>7.0607355828155898</v>
      </c>
    </row>
    <row r="964" spans="1:37" x14ac:dyDescent="0.2">
      <c r="A964" t="str">
        <f>"20200111153626951"</f>
        <v>20200111153626951</v>
      </c>
      <c r="B964" t="str">
        <f>"1578728186943809"</f>
        <v>1578728186943809</v>
      </c>
      <c r="C964" t="s">
        <v>37</v>
      </c>
      <c r="D964">
        <v>6.4300139999999999</v>
      </c>
      <c r="E964">
        <v>0.59770639999999997</v>
      </c>
      <c r="F964" t="s">
        <v>38</v>
      </c>
      <c r="G964">
        <v>-237.43969999999999</v>
      </c>
      <c r="H964">
        <v>0.99573020000000001</v>
      </c>
      <c r="I964">
        <v>367.07040000000001</v>
      </c>
      <c r="J964">
        <v>-237.98339999999999</v>
      </c>
      <c r="K964">
        <v>1.105855</v>
      </c>
      <c r="L964">
        <v>367.25119999999998</v>
      </c>
      <c r="M964">
        <v>0.9997298</v>
      </c>
      <c r="N964">
        <v>0</v>
      </c>
      <c r="O964">
        <v>8.1485499999999992E-3</v>
      </c>
      <c r="P964">
        <v>0.99928779999999995</v>
      </c>
      <c r="Q964">
        <v>3.6597440000000002E-2</v>
      </c>
      <c r="R964">
        <v>9.1998129999999994E-3</v>
      </c>
      <c r="S964">
        <v>3.0274809999999999</v>
      </c>
      <c r="T964">
        <v>-0.470439099999999</v>
      </c>
      <c r="U964">
        <v>-0.76617429999999997</v>
      </c>
      <c r="V964">
        <v>-1.0566E-3</v>
      </c>
      <c r="W964">
        <v>5.8348699999999899E-2</v>
      </c>
      <c r="X964">
        <v>0.99829570000000001</v>
      </c>
      <c r="Y964">
        <v>0.25031419999999999</v>
      </c>
      <c r="Z964">
        <v>-2.027729E-2</v>
      </c>
      <c r="AA964">
        <v>0.96795229999999999</v>
      </c>
      <c r="AB964">
        <v>29</v>
      </c>
      <c r="AC964">
        <v>0.54370000000000096</v>
      </c>
      <c r="AD964">
        <v>-0.11012479999999999</v>
      </c>
      <c r="AE964">
        <v>-0.18079999999997601</v>
      </c>
      <c r="AF964">
        <v>0.178626863677222</v>
      </c>
      <c r="AG964">
        <v>-0.11012479999999999</v>
      </c>
      <c r="AH964">
        <v>0.52289247638806402</v>
      </c>
      <c r="AI964">
        <v>101.271294348924</v>
      </c>
      <c r="AJ964">
        <v>71.139166315082804</v>
      </c>
      <c r="AK964">
        <v>0.56342840704515695</v>
      </c>
    </row>
    <row r="965" spans="1:37" x14ac:dyDescent="0.2">
      <c r="A965" t="str">
        <f>"20200111153626971"</f>
        <v>20200111153626971</v>
      </c>
      <c r="B965" t="str">
        <f>"1578728186963329"</f>
        <v>1578728186963329</v>
      </c>
      <c r="C965" t="s">
        <v>37</v>
      </c>
      <c r="D965">
        <v>6.4045100000000001</v>
      </c>
      <c r="E965">
        <v>0.59696559999999999</v>
      </c>
      <c r="F965" t="s">
        <v>38</v>
      </c>
      <c r="G965">
        <v>-237.1833</v>
      </c>
      <c r="H965">
        <v>0.98181299999999905</v>
      </c>
      <c r="I965">
        <v>367.048</v>
      </c>
      <c r="J965">
        <v>-237.74449999999999</v>
      </c>
      <c r="K965">
        <v>1.1058699999999999</v>
      </c>
      <c r="L965">
        <v>367.25310000000002</v>
      </c>
      <c r="M965">
        <v>0.99972589999999995</v>
      </c>
      <c r="N965">
        <v>0</v>
      </c>
      <c r="O965">
        <v>8.1757210000000004E-3</v>
      </c>
      <c r="P965">
        <v>0.99929840000000003</v>
      </c>
      <c r="Q965">
        <v>3.689804E-2</v>
      </c>
      <c r="R965">
        <v>6.4455390000000001E-3</v>
      </c>
      <c r="S965">
        <v>3.0263979999999999</v>
      </c>
      <c r="T965">
        <v>-0.46944409999999998</v>
      </c>
      <c r="U965">
        <v>-0.76751709999999995</v>
      </c>
      <c r="V965">
        <v>1.7250739999999901E-3</v>
      </c>
      <c r="W965">
        <v>5.8816149999999998E-2</v>
      </c>
      <c r="X965">
        <v>0.99826740000000003</v>
      </c>
      <c r="Y965">
        <v>0.25083099999999903</v>
      </c>
      <c r="Z965">
        <v>-2.0284139999999999E-2</v>
      </c>
      <c r="AA965">
        <v>0.96781839999999997</v>
      </c>
      <c r="AB965">
        <v>29</v>
      </c>
      <c r="AC965">
        <v>0.56119999999998504</v>
      </c>
      <c r="AD965">
        <v>-0.124057</v>
      </c>
      <c r="AE965">
        <v>-0.20510000000001499</v>
      </c>
      <c r="AF965">
        <v>0.201016970963553</v>
      </c>
      <c r="AG965">
        <v>-0.124057</v>
      </c>
      <c r="AH965">
        <v>0.53638152130290095</v>
      </c>
      <c r="AI965">
        <v>102.22014035422301</v>
      </c>
      <c r="AJ965">
        <v>69.455764863461795</v>
      </c>
      <c r="AK965">
        <v>0.586091373643715</v>
      </c>
    </row>
    <row r="966" spans="1:37" x14ac:dyDescent="0.2">
      <c r="A966" t="str">
        <f>"20200111153626986"</f>
        <v>20200111153626986</v>
      </c>
      <c r="B966" t="str">
        <f>"1578728186974066"</f>
        <v>1578728186974066</v>
      </c>
      <c r="C966" t="s">
        <v>37</v>
      </c>
      <c r="D966">
        <v>6.4593970000000001</v>
      </c>
      <c r="E966">
        <v>0.5965414</v>
      </c>
      <c r="F966" t="s">
        <v>39</v>
      </c>
      <c r="G966">
        <v>-230.58609999999999</v>
      </c>
      <c r="H966" s="1">
        <v>-4.7632590000000001E-6</v>
      </c>
      <c r="I966">
        <v>365.43110000000001</v>
      </c>
      <c r="J966">
        <v>-237.5427</v>
      </c>
      <c r="K966">
        <v>1.1058840000000001</v>
      </c>
      <c r="L966">
        <v>367.25490000000002</v>
      </c>
      <c r="M966">
        <v>0.99972289999999997</v>
      </c>
      <c r="N966">
        <v>0</v>
      </c>
      <c r="O966">
        <v>8.198482E-3</v>
      </c>
      <c r="P966">
        <v>0.99929290000000004</v>
      </c>
      <c r="Q966">
        <v>3.7205059999999998E-2</v>
      </c>
      <c r="R966">
        <v>5.4632969999999998E-3</v>
      </c>
      <c r="S966">
        <v>3.0243229999999999</v>
      </c>
      <c r="T966">
        <v>-0.46720719999999999</v>
      </c>
      <c r="U966">
        <v>-0.76974489999999995</v>
      </c>
      <c r="V966">
        <v>2.7299729999999901E-3</v>
      </c>
      <c r="W966">
        <v>5.925217E-2</v>
      </c>
      <c r="X966">
        <v>0.99823930000000005</v>
      </c>
      <c r="Y966">
        <v>0.25169539999999901</v>
      </c>
      <c r="Z966">
        <v>-2.0268870000000001E-2</v>
      </c>
      <c r="AA966">
        <v>0.96759430000000002</v>
      </c>
      <c r="AB966">
        <v>29</v>
      </c>
      <c r="AC966">
        <v>6.9565999999999999</v>
      </c>
      <c r="AD966">
        <v>-1.105888763259</v>
      </c>
      <c r="AE966">
        <v>-1.8238000000000001</v>
      </c>
      <c r="AF966">
        <v>1.8373401563646199</v>
      </c>
      <c r="AG966">
        <v>-1.105888763259</v>
      </c>
      <c r="AH966">
        <v>6.78106418458023</v>
      </c>
      <c r="AI966">
        <v>98.945475891978404</v>
      </c>
      <c r="AJ966">
        <v>74.839619297048699</v>
      </c>
      <c r="AK966">
        <v>7.1120770722967599</v>
      </c>
    </row>
    <row r="967" spans="1:37" x14ac:dyDescent="0.2">
      <c r="A967" t="str">
        <f>"20200111153627001"</f>
        <v>20200111153627001</v>
      </c>
      <c r="B967" t="str">
        <f>"1578728186993586"</f>
        <v>1578728186993586</v>
      </c>
      <c r="C967" t="s">
        <v>37</v>
      </c>
      <c r="D967">
        <v>6.4376470000000001</v>
      </c>
      <c r="E967">
        <v>0.59563480000000002</v>
      </c>
      <c r="F967" t="s">
        <v>39</v>
      </c>
      <c r="G967">
        <v>-230.37450000000001</v>
      </c>
      <c r="H967" s="1">
        <v>-4.8537979999999902E-6</v>
      </c>
      <c r="I967">
        <v>365.43239999999997</v>
      </c>
      <c r="J967">
        <v>-237.3493</v>
      </c>
      <c r="K967">
        <v>1.105896</v>
      </c>
      <c r="L967">
        <v>367.25639999999999</v>
      </c>
      <c r="M967">
        <v>0.99972000000000005</v>
      </c>
      <c r="N967">
        <v>0</v>
      </c>
      <c r="O967">
        <v>8.220214E-3</v>
      </c>
      <c r="P967">
        <v>0.99929080000000003</v>
      </c>
      <c r="Q967">
        <v>3.7399250000000002E-2</v>
      </c>
      <c r="R967">
        <v>4.3471479999999899E-3</v>
      </c>
      <c r="S967">
        <v>3.02371199999999</v>
      </c>
      <c r="T967">
        <v>-0.46648539999999999</v>
      </c>
      <c r="U967">
        <v>-0.76870729999999998</v>
      </c>
      <c r="V967">
        <v>3.8677989999999999E-3</v>
      </c>
      <c r="W967">
        <v>5.9560620000000002E-2</v>
      </c>
      <c r="X967">
        <v>0.99821719999999903</v>
      </c>
      <c r="Y967">
        <v>0.25146099999999999</v>
      </c>
      <c r="Z967">
        <v>-2.0228240000000001E-2</v>
      </c>
      <c r="AA967">
        <v>0.96765599999999996</v>
      </c>
      <c r="AB967">
        <v>29</v>
      </c>
      <c r="AC967">
        <v>6.9747999999999797</v>
      </c>
      <c r="AD967">
        <v>-1.105900853798</v>
      </c>
      <c r="AE967">
        <v>-1.8240000000000101</v>
      </c>
      <c r="AF967">
        <v>1.83803607546032</v>
      </c>
      <c r="AG967">
        <v>-1.105900853798</v>
      </c>
      <c r="AH967">
        <v>6.7995666026827397</v>
      </c>
      <c r="AI967">
        <v>98.923027815611505</v>
      </c>
      <c r="AJ967">
        <v>74.873516175587497</v>
      </c>
      <c r="AK967">
        <v>7.1299017733376404</v>
      </c>
    </row>
    <row r="968" spans="1:37" x14ac:dyDescent="0.2">
      <c r="A968" t="str">
        <f>"20200111153627014"</f>
        <v>20200111153627014</v>
      </c>
      <c r="B968" t="str">
        <f>"1578728187003346"</f>
        <v>1578728187003346</v>
      </c>
      <c r="C968" t="s">
        <v>37</v>
      </c>
      <c r="D968">
        <v>6.4581109999999997</v>
      </c>
      <c r="E968">
        <v>0.59527600000000003</v>
      </c>
      <c r="F968" t="s">
        <v>39</v>
      </c>
      <c r="G968">
        <v>-230.17320000000001</v>
      </c>
      <c r="H968" s="1">
        <v>-4.9385359999999902E-6</v>
      </c>
      <c r="I968">
        <v>365.44159999999999</v>
      </c>
      <c r="J968">
        <v>-237.18190000000001</v>
      </c>
      <c r="K968">
        <v>1.105907</v>
      </c>
      <c r="L968">
        <v>367.25779999999997</v>
      </c>
      <c r="M968">
        <v>0.999718</v>
      </c>
      <c r="N968">
        <v>0</v>
      </c>
      <c r="O968">
        <v>8.2388210000000003E-3</v>
      </c>
      <c r="P968">
        <v>0.99929409999999896</v>
      </c>
      <c r="Q968">
        <v>3.7534419999999999E-2</v>
      </c>
      <c r="R968">
        <v>1.651649E-3</v>
      </c>
      <c r="S968">
        <v>3.022888</v>
      </c>
      <c r="T968">
        <v>-0.4658487</v>
      </c>
      <c r="U968">
        <v>-0.76446530000000001</v>
      </c>
      <c r="V968">
        <v>6.5817799999999997E-3</v>
      </c>
      <c r="W968">
        <v>5.9784329999999997E-2</v>
      </c>
      <c r="X968">
        <v>0.99818960000000001</v>
      </c>
      <c r="Y968">
        <v>0.25028400000000001</v>
      </c>
      <c r="Z968">
        <v>-2.012361E-2</v>
      </c>
      <c r="AA968">
        <v>0.96796329999999997</v>
      </c>
      <c r="AB968">
        <v>29</v>
      </c>
      <c r="AC968">
        <v>7.0087000000000002</v>
      </c>
      <c r="AD968">
        <v>-1.1059119385359999</v>
      </c>
      <c r="AE968">
        <v>-1.8161999999999801</v>
      </c>
      <c r="AF968">
        <v>1.83117231709558</v>
      </c>
      <c r="AG968">
        <v>-1.1059119385359999</v>
      </c>
      <c r="AH968">
        <v>6.8340472501892098</v>
      </c>
      <c r="AI968">
        <v>98.884008207092904</v>
      </c>
      <c r="AJ968">
        <v>75.000040086182693</v>
      </c>
      <c r="AK968">
        <v>7.1610358949325503</v>
      </c>
    </row>
    <row r="969" spans="1:37" x14ac:dyDescent="0.2">
      <c r="A969" t="str">
        <f>"20200111153627029"</f>
        <v>20200111153627029</v>
      </c>
      <c r="B969" t="str">
        <f>"1578728187023841"</f>
        <v>1578728187023841</v>
      </c>
      <c r="C969" t="s">
        <v>37</v>
      </c>
      <c r="D969">
        <v>6.4207849999999898</v>
      </c>
      <c r="E969">
        <v>0.5945144</v>
      </c>
      <c r="F969" t="s">
        <v>38</v>
      </c>
      <c r="G969">
        <v>-236.41470000000001</v>
      </c>
      <c r="H969">
        <v>0.98750640000000001</v>
      </c>
      <c r="I969">
        <v>367.06220000000002</v>
      </c>
      <c r="J969">
        <v>-236.99510000000001</v>
      </c>
      <c r="K969">
        <v>1.10592</v>
      </c>
      <c r="L969">
        <v>367.25940000000003</v>
      </c>
      <c r="M969">
        <v>0.99971569999999899</v>
      </c>
      <c r="N969">
        <v>0</v>
      </c>
      <c r="O969">
        <v>8.2596600000000003E-3</v>
      </c>
      <c r="P969">
        <v>0.99928909999999904</v>
      </c>
      <c r="Q969">
        <v>3.770018E-2</v>
      </c>
      <c r="R969">
        <v>3.1801540000000002E-4</v>
      </c>
      <c r="S969">
        <v>3.0208889999999999</v>
      </c>
      <c r="T969">
        <v>-0.46637780000000001</v>
      </c>
      <c r="U969">
        <v>-0.76947019999999899</v>
      </c>
      <c r="V969">
        <v>7.9361299999999996E-3</v>
      </c>
      <c r="W969">
        <v>6.0040879999999998E-2</v>
      </c>
      <c r="X969">
        <v>0.99816439999999995</v>
      </c>
      <c r="Y969">
        <v>0.25193520000000003</v>
      </c>
      <c r="Z969">
        <v>-2.0282919999999999E-2</v>
      </c>
      <c r="AA969">
        <v>0.96753149999999999</v>
      </c>
      <c r="AB969">
        <v>29</v>
      </c>
      <c r="AC969">
        <v>0.58039999999999703</v>
      </c>
      <c r="AD969">
        <v>-0.11841359999999999</v>
      </c>
      <c r="AE969">
        <v>-0.19720000000000901</v>
      </c>
      <c r="AF969">
        <v>0.19472201588194599</v>
      </c>
      <c r="AG969">
        <v>-0.11841359999999999</v>
      </c>
      <c r="AH969">
        <v>0.55793090432988701</v>
      </c>
      <c r="AI969">
        <v>101.33106628374701</v>
      </c>
      <c r="AJ969">
        <v>70.760634600777394</v>
      </c>
      <c r="AK969">
        <v>0.60268178845926201</v>
      </c>
    </row>
    <row r="970" spans="1:37" x14ac:dyDescent="0.2">
      <c r="A970" t="str">
        <f>"20200111153627042"</f>
        <v>20200111153627042</v>
      </c>
      <c r="B970" t="str">
        <f>"1578728187033602"</f>
        <v>1578728187033602</v>
      </c>
      <c r="C970" t="s">
        <v>37</v>
      </c>
      <c r="D970">
        <v>6.4107799999999999</v>
      </c>
      <c r="E970">
        <v>0.59421069999999998</v>
      </c>
      <c r="F970" t="s">
        <v>39</v>
      </c>
      <c r="G970">
        <v>-229.84010000000001</v>
      </c>
      <c r="H970" s="1">
        <v>-1.151564E-6</v>
      </c>
      <c r="I970">
        <v>365.44060000000002</v>
      </c>
      <c r="J970">
        <v>-236.83170000000001</v>
      </c>
      <c r="K970">
        <v>1.105928</v>
      </c>
      <c r="L970">
        <v>367.26080000000002</v>
      </c>
      <c r="M970">
        <v>0.99971409999999905</v>
      </c>
      <c r="N970">
        <v>0</v>
      </c>
      <c r="O970">
        <v>8.2777890000000007E-3</v>
      </c>
      <c r="P970">
        <v>0.99929509999999899</v>
      </c>
      <c r="Q970">
        <v>3.7533070000000002E-2</v>
      </c>
      <c r="R970">
        <v>-1.0950759999999999E-3</v>
      </c>
      <c r="S970">
        <v>3.0199889999999998</v>
      </c>
      <c r="T970">
        <v>-0.46678130000000001</v>
      </c>
      <c r="U970">
        <v>-0.76763919999999997</v>
      </c>
      <c r="V970">
        <v>9.3674020000000004E-3</v>
      </c>
      <c r="W970">
        <v>5.9946640000000002E-2</v>
      </c>
      <c r="X970">
        <v>0.99815759999999898</v>
      </c>
      <c r="Y970">
        <v>0.25146869999999999</v>
      </c>
      <c r="Z970">
        <v>-2.0275000000000001E-2</v>
      </c>
      <c r="AA970">
        <v>0.96765299999999999</v>
      </c>
      <c r="AB970">
        <v>28</v>
      </c>
      <c r="AC970">
        <v>6.9916</v>
      </c>
      <c r="AD970">
        <v>-1.105929151564</v>
      </c>
      <c r="AE970">
        <v>-1.8202</v>
      </c>
      <c r="AF970">
        <v>1.83502766806471</v>
      </c>
      <c r="AG970">
        <v>-1.105929151564</v>
      </c>
      <c r="AH970">
        <v>6.8165595086128201</v>
      </c>
      <c r="AI970">
        <v>98.903821021974693</v>
      </c>
      <c r="AJ970">
        <v>74.933078463821403</v>
      </c>
      <c r="AK970">
        <v>7.1453403953416998</v>
      </c>
    </row>
    <row r="971" spans="1:37" x14ac:dyDescent="0.2">
      <c r="A971" t="str">
        <f>"20200111153627054"</f>
        <v>20200111153627054</v>
      </c>
      <c r="B971" t="str">
        <f>"1578728187043362"</f>
        <v>1578728187043362</v>
      </c>
      <c r="C971" t="s">
        <v>37</v>
      </c>
      <c r="D971">
        <v>6.4305159999999999</v>
      </c>
      <c r="E971">
        <v>0.59390829999999994</v>
      </c>
      <c r="F971" t="s">
        <v>39</v>
      </c>
      <c r="G971">
        <v>-229.6789</v>
      </c>
      <c r="H971" s="1">
        <v>-1.2075699999999999E-6</v>
      </c>
      <c r="I971">
        <v>365.43630000000002</v>
      </c>
      <c r="J971">
        <v>-236.67570000000001</v>
      </c>
      <c r="K971">
        <v>1.105934</v>
      </c>
      <c r="L971">
        <v>367.26199999999898</v>
      </c>
      <c r="M971">
        <v>0.99971259999999995</v>
      </c>
      <c r="N971">
        <v>0</v>
      </c>
      <c r="O971">
        <v>8.2957529999999995E-3</v>
      </c>
      <c r="P971">
        <v>0.99929760000000001</v>
      </c>
      <c r="Q971">
        <v>3.7419199999999903E-2</v>
      </c>
      <c r="R971">
        <v>-2.0349949999999999E-3</v>
      </c>
      <c r="S971">
        <v>3.018799</v>
      </c>
      <c r="T971">
        <v>-0.46674339999999997</v>
      </c>
      <c r="U971">
        <v>-0.76998900000000003</v>
      </c>
      <c r="V971">
        <v>1.032544E-2</v>
      </c>
      <c r="W971">
        <v>5.9887610000000001E-2</v>
      </c>
      <c r="X971">
        <v>0.99815169999999998</v>
      </c>
      <c r="Y971">
        <v>0.2522742</v>
      </c>
      <c r="Z971">
        <v>-2.0342809999999999E-2</v>
      </c>
      <c r="AA971">
        <v>0.96744200000000002</v>
      </c>
      <c r="AB971">
        <v>28</v>
      </c>
      <c r="AC971">
        <v>6.9968000000000004</v>
      </c>
      <c r="AD971">
        <v>-1.10593520757</v>
      </c>
      <c r="AE971">
        <v>-1.8256999999999199</v>
      </c>
      <c r="AF971">
        <v>1.8406406072760699</v>
      </c>
      <c r="AG971">
        <v>-1.10593520757</v>
      </c>
      <c r="AH971">
        <v>6.82183816198022</v>
      </c>
      <c r="AI971">
        <v>98.895737969897297</v>
      </c>
      <c r="AJ971">
        <v>74.900255177346494</v>
      </c>
      <c r="AK971">
        <v>7.1518197989564998</v>
      </c>
    </row>
    <row r="972" spans="1:37" x14ac:dyDescent="0.2">
      <c r="A972" t="str">
        <f>"20200111153627066"</f>
        <v>20200111153627066</v>
      </c>
      <c r="B972" t="str">
        <f>"1578728187063858"</f>
        <v>1578728187063858</v>
      </c>
      <c r="C972" t="s">
        <v>37</v>
      </c>
      <c r="D972">
        <v>6.4131769999999904</v>
      </c>
      <c r="E972">
        <v>0.59326679999999998</v>
      </c>
      <c r="F972" t="s">
        <v>38</v>
      </c>
      <c r="G972">
        <v>-235.91149999999999</v>
      </c>
      <c r="H972">
        <v>0.9878266</v>
      </c>
      <c r="I972">
        <v>367.06670000000003</v>
      </c>
      <c r="J972">
        <v>-236.52440000000001</v>
      </c>
      <c r="K972">
        <v>1.1059369999999999</v>
      </c>
      <c r="L972">
        <v>367.26330000000002</v>
      </c>
      <c r="M972">
        <v>0.99971149999999998</v>
      </c>
      <c r="N972">
        <v>0</v>
      </c>
      <c r="O972">
        <v>8.3127219999999998E-3</v>
      </c>
      <c r="P972">
        <v>0.99929290000000004</v>
      </c>
      <c r="Q972">
        <v>3.7485159999999997E-2</v>
      </c>
      <c r="R972">
        <v>-2.9248579999999998E-3</v>
      </c>
      <c r="S972">
        <v>3.018005</v>
      </c>
      <c r="T972">
        <v>-0.46658939999999999</v>
      </c>
      <c r="U972">
        <v>-0.77041630000000005</v>
      </c>
      <c r="V972">
        <v>1.1232229999999999E-2</v>
      </c>
      <c r="W972">
        <v>5.9996140000000003E-2</v>
      </c>
      <c r="X972">
        <v>0.99813539999999901</v>
      </c>
      <c r="Y972">
        <v>0.25247809999999998</v>
      </c>
      <c r="Z972">
        <v>-2.0358959999999999E-2</v>
      </c>
      <c r="AA972">
        <v>0.96738840000000004</v>
      </c>
      <c r="AB972">
        <v>28</v>
      </c>
      <c r="AC972">
        <v>0.61290000000002398</v>
      </c>
      <c r="AD972">
        <v>-0.1181104</v>
      </c>
      <c r="AE972">
        <v>-0.19659999999998901</v>
      </c>
      <c r="AF972">
        <v>0.19511938744513899</v>
      </c>
      <c r="AG972">
        <v>-0.1181104</v>
      </c>
      <c r="AH972">
        <v>0.59133300098902997</v>
      </c>
      <c r="AI972">
        <v>100.740095625633</v>
      </c>
      <c r="AJ972">
        <v>71.738901560680603</v>
      </c>
      <c r="AK972">
        <v>0.63379520351910101</v>
      </c>
    </row>
    <row r="973" spans="1:37" x14ac:dyDescent="0.2">
      <c r="A973" t="str">
        <f>"20200111153627082"</f>
        <v>20200111153627082</v>
      </c>
      <c r="B973" t="str">
        <f>"1578728187073618"</f>
        <v>1578728187073618</v>
      </c>
      <c r="C973" t="s">
        <v>37</v>
      </c>
      <c r="D973">
        <v>6.4648440000000003</v>
      </c>
      <c r="E973">
        <v>0.59291609999999995</v>
      </c>
      <c r="F973" t="s">
        <v>39</v>
      </c>
      <c r="G973">
        <v>-229.37350000000001</v>
      </c>
      <c r="H973" s="1">
        <v>-1.3097989999999999E-6</v>
      </c>
      <c r="I973">
        <v>365.44260000000003</v>
      </c>
      <c r="J973">
        <v>-236.33439999999999</v>
      </c>
      <c r="K973">
        <v>1.105939</v>
      </c>
      <c r="L973">
        <v>367.26490000000001</v>
      </c>
      <c r="M973">
        <v>0.99971030000000005</v>
      </c>
      <c r="N973">
        <v>0</v>
      </c>
      <c r="O973">
        <v>8.3339150000000008E-3</v>
      </c>
      <c r="P973">
        <v>0.99929690000000004</v>
      </c>
      <c r="Q973">
        <v>3.7213969999999999E-2</v>
      </c>
      <c r="R973">
        <v>-4.5764890000000004E-3</v>
      </c>
      <c r="S973">
        <v>3.01737999999999</v>
      </c>
      <c r="T973">
        <v>-0.4666574</v>
      </c>
      <c r="U973">
        <v>-0.76824950000000003</v>
      </c>
      <c r="V973">
        <v>1.290496E-2</v>
      </c>
      <c r="W973">
        <v>5.9768149999999999E-2</v>
      </c>
      <c r="X973">
        <v>0.99812889999999999</v>
      </c>
      <c r="Y973">
        <v>0.25189810000000001</v>
      </c>
      <c r="Z973">
        <v>-2.0327000000000001E-2</v>
      </c>
      <c r="AA973">
        <v>0.96754030000000002</v>
      </c>
      <c r="AB973">
        <v>28</v>
      </c>
      <c r="AC973">
        <v>6.9608999999999801</v>
      </c>
      <c r="AD973">
        <v>-1.1059403097989999</v>
      </c>
      <c r="AE973">
        <v>-1.82229999999998</v>
      </c>
      <c r="AF973">
        <v>1.83686975303031</v>
      </c>
      <c r="AG973">
        <v>-1.1059403097989999</v>
      </c>
      <c r="AH973">
        <v>6.7851777956329702</v>
      </c>
      <c r="AI973">
        <v>98.941068652317398</v>
      </c>
      <c r="AJ973">
        <v>74.852088730823596</v>
      </c>
      <c r="AK973">
        <v>7.1158859024570296</v>
      </c>
    </row>
    <row r="974" spans="1:37" x14ac:dyDescent="0.2">
      <c r="A974" t="str">
        <f>"20200111153627097"</f>
        <v>20200111153627097</v>
      </c>
      <c r="B974" t="str">
        <f>"1578728187083377"</f>
        <v>1578728187083377</v>
      </c>
      <c r="C974" t="s">
        <v>37</v>
      </c>
      <c r="D974">
        <v>6.481522</v>
      </c>
      <c r="E974">
        <v>0.59257979999999999</v>
      </c>
      <c r="F974" t="s">
        <v>39</v>
      </c>
      <c r="G974">
        <v>-229.2124</v>
      </c>
      <c r="H974" s="1">
        <v>-1.363817E-6</v>
      </c>
      <c r="I974">
        <v>365.44569999999999</v>
      </c>
      <c r="J974">
        <v>-236.1515</v>
      </c>
      <c r="K974">
        <v>1.1059369999999999</v>
      </c>
      <c r="L974">
        <v>367.26639999999998</v>
      </c>
      <c r="M974">
        <v>0.99970939999999997</v>
      </c>
      <c r="N974">
        <v>0</v>
      </c>
      <c r="O974">
        <v>8.354818E-3</v>
      </c>
      <c r="P974">
        <v>0.99929429999999997</v>
      </c>
      <c r="Q974">
        <v>3.7212729999999999E-2</v>
      </c>
      <c r="R974">
        <v>-5.1096149999999996E-3</v>
      </c>
      <c r="S974">
        <v>3.016022</v>
      </c>
      <c r="T974">
        <v>-0.46833669999999999</v>
      </c>
      <c r="U974">
        <v>-0.77035520000000002</v>
      </c>
      <c r="V974">
        <v>1.3458970000000001E-2</v>
      </c>
      <c r="W974">
        <v>5.9799560000000002E-2</v>
      </c>
      <c r="X974">
        <v>0.99811970000000005</v>
      </c>
      <c r="Y974">
        <v>0.2526254</v>
      </c>
      <c r="Z974">
        <v>-2.0464860000000001E-2</v>
      </c>
      <c r="AA974">
        <v>0.96734769999999903</v>
      </c>
      <c r="AB974">
        <v>28</v>
      </c>
      <c r="AC974">
        <v>6.9390999999999901</v>
      </c>
      <c r="AD974">
        <v>-1.1059383638169999</v>
      </c>
      <c r="AE974">
        <v>-1.82069999999998</v>
      </c>
      <c r="AF974">
        <v>1.83501668052454</v>
      </c>
      <c r="AG974">
        <v>-1.1059383638169999</v>
      </c>
      <c r="AH974">
        <v>6.7629202222263096</v>
      </c>
      <c r="AI974">
        <v>98.9686271001016</v>
      </c>
      <c r="AJ974">
        <v>74.819158418531799</v>
      </c>
      <c r="AK974">
        <v>7.0941860572276401</v>
      </c>
    </row>
    <row r="975" spans="1:37" x14ac:dyDescent="0.2">
      <c r="A975" t="str">
        <f>"20200111153627109"</f>
        <v>20200111153627109</v>
      </c>
      <c r="B975" t="str">
        <f>"1578728187103874"</f>
        <v>1578728187103874</v>
      </c>
      <c r="C975" t="s">
        <v>37</v>
      </c>
      <c r="D975">
        <v>6.4307970000000001</v>
      </c>
      <c r="E975">
        <v>0.59203359999999905</v>
      </c>
      <c r="F975" t="s">
        <v>38</v>
      </c>
      <c r="G975">
        <v>-235.41489999999999</v>
      </c>
      <c r="H975">
        <v>0.99137580000000003</v>
      </c>
      <c r="I975">
        <v>367.07850000000002</v>
      </c>
      <c r="J975">
        <v>-235.995</v>
      </c>
      <c r="K975">
        <v>1.1059379999999901</v>
      </c>
      <c r="L975">
        <v>367.26780000000002</v>
      </c>
      <c r="M975">
        <v>0.99970879999999995</v>
      </c>
      <c r="N975">
        <v>0</v>
      </c>
      <c r="O975">
        <v>8.3723730000000007E-3</v>
      </c>
      <c r="P975">
        <v>0.99929699999999899</v>
      </c>
      <c r="Q975">
        <v>3.7107830000000001E-2</v>
      </c>
      <c r="R975">
        <v>-5.3620100000000004E-3</v>
      </c>
      <c r="S975">
        <v>3.0156399999999999</v>
      </c>
      <c r="T975">
        <v>-0.46907389999999999</v>
      </c>
      <c r="U975">
        <v>-0.76895139999999995</v>
      </c>
      <c r="V975">
        <v>1.3729109999999999E-2</v>
      </c>
      <c r="W975">
        <v>5.9717220000000001E-2</v>
      </c>
      <c r="X975">
        <v>0.99812089999999998</v>
      </c>
      <c r="Y975">
        <v>0.25224269999999999</v>
      </c>
      <c r="Z975">
        <v>-2.047388E-2</v>
      </c>
      <c r="AA975">
        <v>0.96744739999999996</v>
      </c>
      <c r="AB975">
        <v>28</v>
      </c>
      <c r="AC975">
        <v>0.58010000000001505</v>
      </c>
      <c r="AD975">
        <v>-0.114562199999999</v>
      </c>
      <c r="AE975">
        <v>-0.18930000000000199</v>
      </c>
      <c r="AF975">
        <v>0.18754103032226799</v>
      </c>
      <c r="AG975">
        <v>-0.114562199999999</v>
      </c>
      <c r="AH975">
        <v>0.55879801809960405</v>
      </c>
      <c r="AI975">
        <v>100.99894685632501</v>
      </c>
      <c r="AJ975">
        <v>71.447471854826802</v>
      </c>
      <c r="AK975">
        <v>0.60045929150544697</v>
      </c>
    </row>
    <row r="976" spans="1:37" x14ac:dyDescent="0.2">
      <c r="A976" t="str">
        <f>"20200111153627124"</f>
        <v>20200111153627124</v>
      </c>
      <c r="B976" t="str">
        <f>"1578728187113634"</f>
        <v>1578728187113634</v>
      </c>
      <c r="C976" t="s">
        <v>37</v>
      </c>
      <c r="D976">
        <v>6.4421730000000004</v>
      </c>
      <c r="E976">
        <v>0.59178009999999903</v>
      </c>
      <c r="F976" t="s">
        <v>39</v>
      </c>
      <c r="G976">
        <v>-228.89349999999999</v>
      </c>
      <c r="H976" s="1">
        <v>-1.4669460000000001E-6</v>
      </c>
      <c r="I976">
        <v>365.46600000000001</v>
      </c>
      <c r="J976">
        <v>-235.81379999999999</v>
      </c>
      <c r="K976">
        <v>1.1059410000000001</v>
      </c>
      <c r="L976">
        <v>367.26929999999999</v>
      </c>
      <c r="M976">
        <v>0.99970820000000005</v>
      </c>
      <c r="N976">
        <v>0</v>
      </c>
      <c r="O976">
        <v>8.3931030000000007E-3</v>
      </c>
      <c r="P976">
        <v>0.99930359999999996</v>
      </c>
      <c r="Q976">
        <v>3.6910030000000003E-2</v>
      </c>
      <c r="R976">
        <v>-5.5220819999999898E-3</v>
      </c>
      <c r="S976">
        <v>3.0154109999999998</v>
      </c>
      <c r="T976">
        <v>-0.46959229999999902</v>
      </c>
      <c r="U976">
        <v>-0.76504519999999998</v>
      </c>
      <c r="V976">
        <v>1.390971E-2</v>
      </c>
      <c r="W976">
        <v>5.9540629999999997E-2</v>
      </c>
      <c r="X976">
        <v>0.99812900000000004</v>
      </c>
      <c r="Y976">
        <v>0.25110769999999999</v>
      </c>
      <c r="Z976">
        <v>-2.0417569999999999E-2</v>
      </c>
      <c r="AA976">
        <v>0.96774380000000004</v>
      </c>
      <c r="AB976">
        <v>28</v>
      </c>
      <c r="AC976">
        <v>6.9202999999999903</v>
      </c>
      <c r="AD976">
        <v>-1.1059424669460001</v>
      </c>
      <c r="AE976">
        <v>-1.8032999999999699</v>
      </c>
      <c r="AF976">
        <v>1.8178587325537201</v>
      </c>
      <c r="AG976">
        <v>-1.1059424669460001</v>
      </c>
      <c r="AH976">
        <v>6.7436379474325596</v>
      </c>
      <c r="AI976">
        <v>98.997829343737493</v>
      </c>
      <c r="AJ976">
        <v>74.913578639812201</v>
      </c>
      <c r="AK976">
        <v>7.0713769435498799</v>
      </c>
    </row>
    <row r="977" spans="1:37" x14ac:dyDescent="0.2">
      <c r="A977" t="str">
        <f>"20200111153627138"</f>
        <v>20200111153627138</v>
      </c>
      <c r="B977" t="str">
        <f>"1578728187133153"</f>
        <v>1578728187133153</v>
      </c>
      <c r="C977" t="s">
        <v>37</v>
      </c>
      <c r="D977">
        <v>6.4422280000000001</v>
      </c>
      <c r="E977">
        <v>0.59131880000000003</v>
      </c>
      <c r="F977" t="s">
        <v>39</v>
      </c>
      <c r="G977">
        <v>-228.73740000000001</v>
      </c>
      <c r="H977" s="1">
        <v>-1.516791E-6</v>
      </c>
      <c r="I977">
        <v>365.47820000000002</v>
      </c>
      <c r="J977">
        <v>-235.65020000000001</v>
      </c>
      <c r="K977">
        <v>1.105939</v>
      </c>
      <c r="L977">
        <v>367.27069999999998</v>
      </c>
      <c r="M977">
        <v>0.99970769999999998</v>
      </c>
      <c r="N977">
        <v>0</v>
      </c>
      <c r="O977">
        <v>8.4120849999999997E-3</v>
      </c>
      <c r="P977">
        <v>0.99930370000000002</v>
      </c>
      <c r="Q977">
        <v>3.699641E-2</v>
      </c>
      <c r="R977">
        <v>-4.8508729999999899E-3</v>
      </c>
      <c r="S977">
        <v>3.0152589999999999</v>
      </c>
      <c r="T977">
        <v>-0.47124079999999902</v>
      </c>
      <c r="U977">
        <v>-0.76318359999999996</v>
      </c>
      <c r="V977">
        <v>1.32578E-2</v>
      </c>
      <c r="W977">
        <v>5.9639159999999997E-2</v>
      </c>
      <c r="X977">
        <v>0.99813189999999996</v>
      </c>
      <c r="Y977">
        <v>0.25056089999999998</v>
      </c>
      <c r="Z977">
        <v>-2.0452000000000001E-2</v>
      </c>
      <c r="AA977">
        <v>0.96788479999999999</v>
      </c>
      <c r="AB977">
        <v>27</v>
      </c>
      <c r="AC977">
        <v>6.9127999999999998</v>
      </c>
      <c r="AD977">
        <v>-1.1059405167909999</v>
      </c>
      <c r="AE977">
        <v>-1.79249999999996</v>
      </c>
      <c r="AF977">
        <v>1.8072599281013599</v>
      </c>
      <c r="AG977">
        <v>-1.1059405167909999</v>
      </c>
      <c r="AH977">
        <v>6.7359283089897399</v>
      </c>
      <c r="AI977">
        <v>99.010754707586102</v>
      </c>
      <c r="AJ977">
        <v>74.981166056137099</v>
      </c>
      <c r="AK977">
        <v>7.0613046286256704</v>
      </c>
    </row>
    <row r="978" spans="1:37" x14ac:dyDescent="0.2">
      <c r="A978" t="str">
        <f>"20200111153627161"</f>
        <v>20200111153627161</v>
      </c>
      <c r="B978" t="str">
        <f>"1578728187153763"</f>
        <v>1578728187153763</v>
      </c>
      <c r="C978" t="s">
        <v>37</v>
      </c>
      <c r="D978">
        <v>6.4893260000000001</v>
      </c>
      <c r="E978">
        <v>0.59090299999999996</v>
      </c>
      <c r="F978" t="s">
        <v>38</v>
      </c>
      <c r="G978">
        <v>-234.9254</v>
      </c>
      <c r="H978">
        <v>0.9924963</v>
      </c>
      <c r="I978">
        <v>367.08870000000002</v>
      </c>
      <c r="J978">
        <v>-235.37309999999999</v>
      </c>
      <c r="K978">
        <v>1.1059369999999999</v>
      </c>
      <c r="L978">
        <v>367.2731</v>
      </c>
      <c r="M978">
        <v>0.99970720000000002</v>
      </c>
      <c r="N978">
        <v>0</v>
      </c>
      <c r="O978">
        <v>8.4434409999999994E-3</v>
      </c>
      <c r="P978">
        <v>0.99931630000000005</v>
      </c>
      <c r="Q978">
        <v>3.6777070000000002E-2</v>
      </c>
      <c r="R978">
        <v>-3.7622799999999998E-3</v>
      </c>
      <c r="S978">
        <v>3.0159150000000001</v>
      </c>
      <c r="T978">
        <v>-0.47215489999999999</v>
      </c>
      <c r="U978">
        <v>-0.75683590000000001</v>
      </c>
      <c r="V978">
        <v>1.220077E-2</v>
      </c>
      <c r="W978">
        <v>5.9424959999999999E-2</v>
      </c>
      <c r="X978">
        <v>0.9981582</v>
      </c>
      <c r="Y978">
        <v>0.24863479999999999</v>
      </c>
      <c r="Z978">
        <v>-2.0349249999999999E-2</v>
      </c>
      <c r="AA978">
        <v>0.96838349999999995</v>
      </c>
      <c r="AB978">
        <v>27</v>
      </c>
      <c r="AC978">
        <v>0.44769999999999699</v>
      </c>
      <c r="AD978">
        <v>-0.11344070000000001</v>
      </c>
      <c r="AE978">
        <v>-0.18439999999998199</v>
      </c>
      <c r="AF978">
        <v>0.178382748994699</v>
      </c>
      <c r="AG978">
        <v>-0.11344070000000001</v>
      </c>
      <c r="AH978">
        <v>0.42291219105914202</v>
      </c>
      <c r="AI978">
        <v>103.88250394588501</v>
      </c>
      <c r="AJ978">
        <v>67.130168381041202</v>
      </c>
      <c r="AK978">
        <v>0.47280431353979901</v>
      </c>
    </row>
    <row r="979" spans="1:37" x14ac:dyDescent="0.2">
      <c r="A979" t="str">
        <f>"20200111153627173"</f>
        <v>20200111153627173</v>
      </c>
      <c r="B979" t="str">
        <f>"1578728187163524"</f>
        <v>1578728187163524</v>
      </c>
      <c r="C979" t="s">
        <v>37</v>
      </c>
      <c r="D979">
        <v>6.4486540000000003</v>
      </c>
      <c r="E979">
        <v>0.59072230000000003</v>
      </c>
      <c r="F979" t="s">
        <v>39</v>
      </c>
      <c r="G979">
        <v>-228.31960000000001</v>
      </c>
      <c r="H979" s="1">
        <v>-1.647932E-6</v>
      </c>
      <c r="I979">
        <v>365.51979999999998</v>
      </c>
      <c r="J979">
        <v>-235.2115</v>
      </c>
      <c r="K979">
        <v>1.105936</v>
      </c>
      <c r="L979">
        <v>367.27440000000001</v>
      </c>
      <c r="M979">
        <v>0.99970729999999997</v>
      </c>
      <c r="N979">
        <v>0</v>
      </c>
      <c r="O979">
        <v>8.4618269999999999E-3</v>
      </c>
      <c r="P979">
        <v>0.99932619999999905</v>
      </c>
      <c r="Q979">
        <v>3.6554679999999999E-2</v>
      </c>
      <c r="R979">
        <v>-3.3303479999999999E-3</v>
      </c>
      <c r="S979">
        <v>3.016632</v>
      </c>
      <c r="T979">
        <v>-0.4729757</v>
      </c>
      <c r="U979">
        <v>-0.74981690000000001</v>
      </c>
      <c r="V979">
        <v>1.1787250000000001E-2</v>
      </c>
      <c r="W979">
        <v>5.9194570000000002E-2</v>
      </c>
      <c r="X979">
        <v>0.99817690000000003</v>
      </c>
      <c r="Y979">
        <v>0.2464904</v>
      </c>
      <c r="Z979">
        <v>-2.0223319999999999E-2</v>
      </c>
      <c r="AA979">
        <v>0.96893419999999897</v>
      </c>
      <c r="AB979">
        <v>27</v>
      </c>
      <c r="AC979">
        <v>6.8918999999999899</v>
      </c>
      <c r="AD979">
        <v>-1.105937647932</v>
      </c>
      <c r="AE979">
        <v>-1.7546000000000299</v>
      </c>
      <c r="AF979">
        <v>1.7700648363062801</v>
      </c>
      <c r="AG979">
        <v>-1.105937647932</v>
      </c>
      <c r="AH979">
        <v>6.7144276223478201</v>
      </c>
      <c r="AI979">
        <v>99.049450738345897</v>
      </c>
      <c r="AJ979">
        <v>75.231618856455995</v>
      </c>
      <c r="AK979">
        <v>7.03134168573742</v>
      </c>
    </row>
    <row r="980" spans="1:37" x14ac:dyDescent="0.2">
      <c r="A980" t="str">
        <f>"20200111153627186"</f>
        <v>20200111153627186</v>
      </c>
      <c r="B980" t="str">
        <f>"1578728187184020"</f>
        <v>1578728187184020</v>
      </c>
      <c r="C980" t="s">
        <v>37</v>
      </c>
      <c r="D980">
        <v>6.5085259999999998</v>
      </c>
      <c r="E980">
        <v>0.59032600000000002</v>
      </c>
      <c r="F980" t="s">
        <v>38</v>
      </c>
      <c r="G980">
        <v>-234.4444</v>
      </c>
      <c r="H980">
        <v>0.98549949999999997</v>
      </c>
      <c r="I980">
        <v>367.08440000000002</v>
      </c>
      <c r="J980">
        <v>-235.06309999999999</v>
      </c>
      <c r="K980">
        <v>1.1059319999999999</v>
      </c>
      <c r="L980">
        <v>367.27569999999997</v>
      </c>
      <c r="M980">
        <v>0.99970740000000002</v>
      </c>
      <c r="N980">
        <v>0</v>
      </c>
      <c r="O980">
        <v>8.4787040000000001E-3</v>
      </c>
      <c r="P980">
        <v>0.99932909999999997</v>
      </c>
      <c r="Q980">
        <v>3.649794E-2</v>
      </c>
      <c r="R980">
        <v>-3.0636890000000001E-3</v>
      </c>
      <c r="S980">
        <v>3.01689099999999</v>
      </c>
      <c r="T980">
        <v>-0.4736745</v>
      </c>
      <c r="U980">
        <v>-0.74710080000000001</v>
      </c>
      <c r="V980">
        <v>1.153729E-2</v>
      </c>
      <c r="W980">
        <v>5.912651E-2</v>
      </c>
      <c r="X980">
        <v>0.99818379999999995</v>
      </c>
      <c r="Y980">
        <v>0.24566569999999999</v>
      </c>
      <c r="Z980">
        <v>-2.0192499999999999E-2</v>
      </c>
      <c r="AA980">
        <v>0.96914429999999996</v>
      </c>
      <c r="AB980">
        <v>27</v>
      </c>
      <c r="AC980">
        <v>0.61869999999998904</v>
      </c>
      <c r="AD980">
        <v>-0.120432499999999</v>
      </c>
      <c r="AE980">
        <v>-0.19129999999995501</v>
      </c>
      <c r="AF980">
        <v>0.18997032407341499</v>
      </c>
      <c r="AG980">
        <v>-0.120432499999999</v>
      </c>
      <c r="AH980">
        <v>0.59642852543202896</v>
      </c>
      <c r="AI980">
        <v>100.890571174494</v>
      </c>
      <c r="AJ980">
        <v>72.332639129929007</v>
      </c>
      <c r="AK980">
        <v>0.63743211170589198</v>
      </c>
    </row>
    <row r="981" spans="1:37" x14ac:dyDescent="0.2">
      <c r="A981" t="str">
        <f>"20200111153627205"</f>
        <v>20200111153627205</v>
      </c>
      <c r="B981" t="str">
        <f>"1578728187193780"</f>
        <v>1578728187193780</v>
      </c>
      <c r="C981" t="s">
        <v>37</v>
      </c>
      <c r="D981">
        <v>6.4657249999999999</v>
      </c>
      <c r="E981">
        <v>0.59017350000000002</v>
      </c>
      <c r="F981" t="s">
        <v>38</v>
      </c>
      <c r="G981">
        <v>-234.20769999999999</v>
      </c>
      <c r="H981">
        <v>0.97134969999999998</v>
      </c>
      <c r="I981">
        <v>367.06479999999999</v>
      </c>
      <c r="J981">
        <v>-234.84219999999999</v>
      </c>
      <c r="K981">
        <v>1.1059379999999901</v>
      </c>
      <c r="L981">
        <v>367.27769999999998</v>
      </c>
      <c r="M981">
        <v>0.99970780000000004</v>
      </c>
      <c r="N981">
        <v>0</v>
      </c>
      <c r="O981">
        <v>8.5036350000000007E-3</v>
      </c>
      <c r="P981">
        <v>0.9993303</v>
      </c>
      <c r="Q981">
        <v>3.6527949999999997E-2</v>
      </c>
      <c r="R981">
        <v>-2.2601800000000001E-3</v>
      </c>
      <c r="S981">
        <v>3.0170590000000002</v>
      </c>
      <c r="T981">
        <v>-0.4748657</v>
      </c>
      <c r="U981">
        <v>-0.74288940000000003</v>
      </c>
      <c r="V981">
        <v>1.075885E-2</v>
      </c>
      <c r="W981">
        <v>5.9133650000000003E-2</v>
      </c>
      <c r="X981">
        <v>0.99819210000000003</v>
      </c>
      <c r="Y981">
        <v>0.2444009</v>
      </c>
      <c r="Z981">
        <v>-2.0151240000000001E-2</v>
      </c>
      <c r="AA981">
        <v>0.96946480000000002</v>
      </c>
      <c r="AB981">
        <v>27</v>
      </c>
      <c r="AC981">
        <v>0.63450000000000195</v>
      </c>
      <c r="AD981">
        <v>-0.13458829999999899</v>
      </c>
      <c r="AE981">
        <v>-0.21289999999998999</v>
      </c>
      <c r="AF981">
        <v>0.20980461573023601</v>
      </c>
      <c r="AG981">
        <v>-0.13458829999999899</v>
      </c>
      <c r="AH981">
        <v>0.60807524255527201</v>
      </c>
      <c r="AI981">
        <v>101.81757187804899</v>
      </c>
      <c r="AJ981">
        <v>70.963994687948002</v>
      </c>
      <c r="AK981">
        <v>0.65718147256846504</v>
      </c>
    </row>
    <row r="982" spans="1:37" x14ac:dyDescent="0.2">
      <c r="A982" t="str">
        <f>"20200111153627218"</f>
        <v>20200111153627218</v>
      </c>
      <c r="B982" t="str">
        <f>"1578728187213300"</f>
        <v>1578728187213300</v>
      </c>
      <c r="C982" t="s">
        <v>37</v>
      </c>
      <c r="D982">
        <v>6.5048370000000002</v>
      </c>
      <c r="E982">
        <v>0.58990019999999999</v>
      </c>
      <c r="F982" t="s">
        <v>38</v>
      </c>
      <c r="G982">
        <v>-233.97049999999999</v>
      </c>
      <c r="H982">
        <v>0.96880919999999904</v>
      </c>
      <c r="I982">
        <v>367.06400000000002</v>
      </c>
      <c r="J982">
        <v>-234.67750000000001</v>
      </c>
      <c r="K982">
        <v>1.105939</v>
      </c>
      <c r="L982">
        <v>367.27910000000003</v>
      </c>
      <c r="M982">
        <v>0.99970809999999999</v>
      </c>
      <c r="N982">
        <v>0</v>
      </c>
      <c r="O982">
        <v>8.5227979999999998E-3</v>
      </c>
      <c r="P982">
        <v>0.99932520000000002</v>
      </c>
      <c r="Q982">
        <v>3.6666949999999997E-2</v>
      </c>
      <c r="R982">
        <v>-2.185537E-3</v>
      </c>
      <c r="S982">
        <v>3.0176699999999999</v>
      </c>
      <c r="T982">
        <v>-0.47474430000000001</v>
      </c>
      <c r="U982">
        <v>-0.73931880000000005</v>
      </c>
      <c r="V982">
        <v>1.070336E-2</v>
      </c>
      <c r="W982">
        <v>5.9253119999999999E-2</v>
      </c>
      <c r="X982">
        <v>0.99818560000000001</v>
      </c>
      <c r="Y982">
        <v>0.2433061</v>
      </c>
      <c r="Z982">
        <v>-2.0063569999999999E-2</v>
      </c>
      <c r="AA982">
        <v>0.96974199999999999</v>
      </c>
      <c r="AB982">
        <v>27</v>
      </c>
      <c r="AC982">
        <v>0.70700000000002095</v>
      </c>
      <c r="AD982">
        <v>-0.1371298</v>
      </c>
      <c r="AE982">
        <v>-0.21510000000000601</v>
      </c>
      <c r="AF982">
        <v>0.21375892815901901</v>
      </c>
      <c r="AG982">
        <v>-0.1371298</v>
      </c>
      <c r="AH982">
        <v>0.68166852544561096</v>
      </c>
      <c r="AI982">
        <v>100.865844072006</v>
      </c>
      <c r="AJ982">
        <v>72.589518156947804</v>
      </c>
      <c r="AK982">
        <v>0.72744033432229105</v>
      </c>
    </row>
    <row r="983" spans="1:37" x14ac:dyDescent="0.2">
      <c r="A983" t="str">
        <f>"20200111153627231"</f>
        <v>20200111153627231</v>
      </c>
      <c r="B983" t="str">
        <f>"1578728187224036"</f>
        <v>1578728187224036</v>
      </c>
      <c r="C983" t="s">
        <v>37</v>
      </c>
      <c r="D983">
        <v>6.5020870000000004</v>
      </c>
      <c r="E983">
        <v>0.58975419999999901</v>
      </c>
      <c r="F983" t="s">
        <v>38</v>
      </c>
      <c r="G983">
        <v>-233.96350000000001</v>
      </c>
      <c r="H983">
        <v>0.99377689999999996</v>
      </c>
      <c r="I983">
        <v>367.1046</v>
      </c>
      <c r="J983">
        <v>-234.5265</v>
      </c>
      <c r="K983">
        <v>1.1059429999999999</v>
      </c>
      <c r="L983">
        <v>367.28039999999999</v>
      </c>
      <c r="M983">
        <v>0.999708499999999</v>
      </c>
      <c r="N983">
        <v>0</v>
      </c>
      <c r="O983">
        <v>8.5400449999999996E-3</v>
      </c>
      <c r="P983">
        <v>0.99931589999999904</v>
      </c>
      <c r="Q983">
        <v>3.6940019999999997E-2</v>
      </c>
      <c r="R983">
        <v>-1.8662869999999999E-3</v>
      </c>
      <c r="S983">
        <v>3.0178219999999998</v>
      </c>
      <c r="T983">
        <v>-0.47418059999999901</v>
      </c>
      <c r="U983">
        <v>-0.73721309999999995</v>
      </c>
      <c r="V983">
        <v>1.040134E-2</v>
      </c>
      <c r="W983">
        <v>5.9502550000000001E-2</v>
      </c>
      <c r="X983">
        <v>0.99817400000000001</v>
      </c>
      <c r="Y983">
        <v>0.2426866</v>
      </c>
      <c r="Z983">
        <v>-1.999563E-2</v>
      </c>
      <c r="AA983">
        <v>0.96989859999999894</v>
      </c>
      <c r="AB983">
        <v>27</v>
      </c>
      <c r="AC983">
        <v>0.56299999999998795</v>
      </c>
      <c r="AD983">
        <v>-0.1121661</v>
      </c>
      <c r="AE983">
        <v>-0.175799999999981</v>
      </c>
      <c r="AF983">
        <v>0.17429915456741199</v>
      </c>
      <c r="AG983">
        <v>-0.1121661</v>
      </c>
      <c r="AH983">
        <v>0.54188010046389701</v>
      </c>
      <c r="AI983">
        <v>101.147397376475</v>
      </c>
      <c r="AJ983">
        <v>72.169285195252201</v>
      </c>
      <c r="AK983">
        <v>0.58016848634761897</v>
      </c>
    </row>
    <row r="984" spans="1:37" x14ac:dyDescent="0.2">
      <c r="A984" t="str">
        <f>"20200111153627244"</f>
        <v>20200111153627244</v>
      </c>
      <c r="B984" t="str">
        <f>"1578728187233796"</f>
        <v>1578728187233796</v>
      </c>
      <c r="C984" t="s">
        <v>37</v>
      </c>
      <c r="D984">
        <v>6.5069739999999996</v>
      </c>
      <c r="E984">
        <v>0.58958599999999906</v>
      </c>
      <c r="F984" t="s">
        <v>38</v>
      </c>
      <c r="G984">
        <v>-233.73169999999999</v>
      </c>
      <c r="H984">
        <v>0.98141039999999902</v>
      </c>
      <c r="I984">
        <v>367.08640000000003</v>
      </c>
      <c r="J984">
        <v>-234.3751</v>
      </c>
      <c r="K984">
        <v>1.1059459999999901</v>
      </c>
      <c r="L984">
        <v>367.2817</v>
      </c>
      <c r="M984">
        <v>0.99970890000000001</v>
      </c>
      <c r="N984">
        <v>0</v>
      </c>
      <c r="O984">
        <v>8.557439E-3</v>
      </c>
      <c r="P984">
        <v>0.99928639999999902</v>
      </c>
      <c r="Q984">
        <v>3.7730979999999997E-2</v>
      </c>
      <c r="R984">
        <v>-1.7822529999999999E-3</v>
      </c>
      <c r="S984">
        <v>3.018173</v>
      </c>
      <c r="T984">
        <v>-0.47302699999999998</v>
      </c>
      <c r="U984">
        <v>-0.73565669999999905</v>
      </c>
      <c r="V984">
        <v>1.033455E-2</v>
      </c>
      <c r="W984">
        <v>6.0266499999999897E-2</v>
      </c>
      <c r="X984">
        <v>0.99812880000000004</v>
      </c>
      <c r="Y984">
        <v>0.24222479999999999</v>
      </c>
      <c r="Z984">
        <v>-1.9913710000000001E-2</v>
      </c>
      <c r="AA984">
        <v>0.97001579999999998</v>
      </c>
      <c r="AB984">
        <v>27</v>
      </c>
      <c r="AC984">
        <v>0.64340000000001396</v>
      </c>
      <c r="AD984">
        <v>-0.124535599999999</v>
      </c>
      <c r="AE984">
        <v>-0.19529999999997399</v>
      </c>
      <c r="AF984">
        <v>0.19414027908628501</v>
      </c>
      <c r="AG984">
        <v>-0.124535599999999</v>
      </c>
      <c r="AH984">
        <v>0.62042167660639702</v>
      </c>
      <c r="AI984">
        <v>100.844624038974</v>
      </c>
      <c r="AJ984">
        <v>72.624228983659194</v>
      </c>
      <c r="AK984">
        <v>0.66190831724201304</v>
      </c>
    </row>
    <row r="985" spans="1:37" x14ac:dyDescent="0.2">
      <c r="A985" t="str">
        <f>"20200111153627256"</f>
        <v>20200111153627256</v>
      </c>
      <c r="B985" t="str">
        <f>"1578728187253316"</f>
        <v>1578728187253316</v>
      </c>
      <c r="C985" t="s">
        <v>37</v>
      </c>
      <c r="D985">
        <v>6.5398519999999998</v>
      </c>
      <c r="E985">
        <v>0.58933340000000001</v>
      </c>
      <c r="F985" t="s">
        <v>38</v>
      </c>
      <c r="G985">
        <v>-233.49850000000001</v>
      </c>
      <c r="H985">
        <v>0.96929779999999999</v>
      </c>
      <c r="I985">
        <v>367.06830000000002</v>
      </c>
      <c r="J985">
        <v>-234.22829999999999</v>
      </c>
      <c r="K985">
        <v>1.10595</v>
      </c>
      <c r="L985">
        <v>367.28300000000002</v>
      </c>
      <c r="M985">
        <v>0.99970949999999903</v>
      </c>
      <c r="N985">
        <v>0</v>
      </c>
      <c r="O985">
        <v>8.5743820000000002E-3</v>
      </c>
      <c r="P985">
        <v>0.9992685</v>
      </c>
      <c r="Q985">
        <v>3.8202899999999998E-2</v>
      </c>
      <c r="R985">
        <v>-1.8771829999999999E-3</v>
      </c>
      <c r="S985">
        <v>3.0186000000000002</v>
      </c>
      <c r="T985">
        <v>-0.47071740000000001</v>
      </c>
      <c r="U985">
        <v>-0.73440550000000004</v>
      </c>
      <c r="V985">
        <v>1.04461E-2</v>
      </c>
      <c r="W985">
        <v>6.0710090000000001E-2</v>
      </c>
      <c r="X985">
        <v>0.99810080000000001</v>
      </c>
      <c r="Y985">
        <v>0.24186239999999901</v>
      </c>
      <c r="Z985">
        <v>-1.9790740000000001E-2</v>
      </c>
      <c r="AA985">
        <v>0.97010869999999905</v>
      </c>
      <c r="AB985">
        <v>26</v>
      </c>
      <c r="AC985">
        <v>0.72979999999998302</v>
      </c>
      <c r="AD985">
        <v>-0.136652199999999</v>
      </c>
      <c r="AE985">
        <v>-0.21469999999999301</v>
      </c>
      <c r="AF985">
        <v>0.21404441678948399</v>
      </c>
      <c r="AG985">
        <v>-0.136652199999999</v>
      </c>
      <c r="AH985">
        <v>0.70517688142321899</v>
      </c>
      <c r="AI985">
        <v>100.50506060898699</v>
      </c>
      <c r="AJ985">
        <v>73.115227700329299</v>
      </c>
      <c r="AK985">
        <v>0.74950868588520503</v>
      </c>
    </row>
    <row r="986" spans="1:37" x14ac:dyDescent="0.2">
      <c r="A986" t="str">
        <f>"20200111153627272"</f>
        <v>20200111153627272</v>
      </c>
      <c r="B986" t="str">
        <f>"1578728187264054"</f>
        <v>1578728187264054</v>
      </c>
      <c r="C986" t="s">
        <v>37</v>
      </c>
      <c r="D986">
        <v>6.5088369999999998</v>
      </c>
      <c r="E986">
        <v>0.58927309999999999</v>
      </c>
      <c r="F986" t="s">
        <v>38</v>
      </c>
      <c r="G986">
        <v>-233.49270000000001</v>
      </c>
      <c r="H986">
        <v>0.99165029999999998</v>
      </c>
      <c r="I986">
        <v>367.10419999999999</v>
      </c>
      <c r="J986">
        <v>-234.04810000000001</v>
      </c>
      <c r="K986">
        <v>1.105953</v>
      </c>
      <c r="L986">
        <v>367.28460000000001</v>
      </c>
      <c r="M986">
        <v>0.99970999999999999</v>
      </c>
      <c r="N986">
        <v>0</v>
      </c>
      <c r="O986">
        <v>8.5952330000000007E-3</v>
      </c>
      <c r="P986">
        <v>0.99922089999999997</v>
      </c>
      <c r="Q986">
        <v>3.9442900000000003E-2</v>
      </c>
      <c r="R986">
        <v>-1.4720320000000001E-3</v>
      </c>
      <c r="S986">
        <v>3.0187840000000001</v>
      </c>
      <c r="T986">
        <v>-0.46925209999999901</v>
      </c>
      <c r="U986">
        <v>-0.73287959999999996</v>
      </c>
      <c r="V986">
        <v>1.006144E-2</v>
      </c>
      <c r="W986">
        <v>6.1911849999999997E-2</v>
      </c>
      <c r="X986">
        <v>0.99803090000000005</v>
      </c>
      <c r="Y986">
        <v>0.24142829999999901</v>
      </c>
      <c r="Z986">
        <v>-1.9699939999999999E-2</v>
      </c>
      <c r="AA986">
        <v>0.97021869999999999</v>
      </c>
      <c r="AB986">
        <v>26</v>
      </c>
      <c r="AC986">
        <v>0.55539999999999101</v>
      </c>
      <c r="AD986">
        <v>-0.11430269999999899</v>
      </c>
      <c r="AE986">
        <v>-0.18040000000001999</v>
      </c>
      <c r="AF986">
        <v>0.17833582417532201</v>
      </c>
      <c r="AG986">
        <v>-0.11430269999999899</v>
      </c>
      <c r="AH986">
        <v>0.53339283402863302</v>
      </c>
      <c r="AI986">
        <v>101.488055366887</v>
      </c>
      <c r="AJ986">
        <v>71.513034758343395</v>
      </c>
      <c r="AK986">
        <v>0.57391348547030896</v>
      </c>
    </row>
    <row r="987" spans="1:37" x14ac:dyDescent="0.2">
      <c r="A987" t="str">
        <f>"20200111153627286"</f>
        <v>20200111153627286</v>
      </c>
      <c r="B987" t="str">
        <f>"1578728187273812"</f>
        <v>1578728187273812</v>
      </c>
      <c r="C987" t="s">
        <v>37</v>
      </c>
      <c r="D987">
        <v>6.5274519999999896</v>
      </c>
      <c r="E987">
        <v>0.58918110000000001</v>
      </c>
      <c r="F987" t="s">
        <v>38</v>
      </c>
      <c r="G987">
        <v>-233.26169999999999</v>
      </c>
      <c r="H987">
        <v>0.984751499999999</v>
      </c>
      <c r="I987">
        <v>367.09379999999999</v>
      </c>
      <c r="J987">
        <v>-233.8878</v>
      </c>
      <c r="K987">
        <v>1.105961</v>
      </c>
      <c r="L987">
        <v>367.286</v>
      </c>
      <c r="M987">
        <v>0.9997106</v>
      </c>
      <c r="N987">
        <v>0</v>
      </c>
      <c r="O987">
        <v>8.6134190000000006E-3</v>
      </c>
      <c r="P987">
        <v>0.99921130000000002</v>
      </c>
      <c r="Q987">
        <v>3.969147E-2</v>
      </c>
      <c r="R987">
        <v>-1.3385789999999999E-3</v>
      </c>
      <c r="S987">
        <v>3.0196079999999998</v>
      </c>
      <c r="T987">
        <v>-0.46565619999999902</v>
      </c>
      <c r="U987">
        <v>-0.7310181</v>
      </c>
      <c r="V987">
        <v>9.9459890000000006E-3</v>
      </c>
      <c r="W987">
        <v>6.2128389999999999E-2</v>
      </c>
      <c r="X987">
        <v>0.99801859999999998</v>
      </c>
      <c r="Y987">
        <v>0.24087039999999901</v>
      </c>
      <c r="Z987">
        <v>-1.9507509999999999E-2</v>
      </c>
      <c r="AA987">
        <v>0.97036119999999904</v>
      </c>
      <c r="AB987">
        <v>26</v>
      </c>
      <c r="AC987">
        <v>0.62610000000000798</v>
      </c>
      <c r="AD987">
        <v>-0.1212095</v>
      </c>
      <c r="AE987">
        <v>-0.192200000000013</v>
      </c>
      <c r="AF987">
        <v>0.191043631939562</v>
      </c>
      <c r="AG987">
        <v>-0.1212095</v>
      </c>
      <c r="AH987">
        <v>0.60374200928974897</v>
      </c>
      <c r="AI987">
        <v>100.83588800693801</v>
      </c>
      <c r="AJ987">
        <v>72.440932691684907</v>
      </c>
      <c r="AK987">
        <v>0.64474322483926305</v>
      </c>
    </row>
    <row r="988" spans="1:37" x14ac:dyDescent="0.2">
      <c r="A988" t="str">
        <f>"20200111153627300"</f>
        <v>20200111153627300</v>
      </c>
      <c r="B988" t="str">
        <f>"1578728187293332"</f>
        <v>1578728187293332</v>
      </c>
      <c r="C988" t="s">
        <v>37</v>
      </c>
      <c r="D988">
        <v>6.3317410000000001</v>
      </c>
      <c r="E988">
        <v>0.58909709999999904</v>
      </c>
      <c r="F988" t="s">
        <v>38</v>
      </c>
      <c r="G988">
        <v>-233.0316</v>
      </c>
      <c r="H988">
        <v>0.97405140000000001</v>
      </c>
      <c r="I988">
        <v>367.07870000000003</v>
      </c>
      <c r="J988">
        <v>-233.7209</v>
      </c>
      <c r="K988">
        <v>1.10597099999999</v>
      </c>
      <c r="L988">
        <v>367.28739999999999</v>
      </c>
      <c r="M988">
        <v>0.99971119999999902</v>
      </c>
      <c r="N988">
        <v>0</v>
      </c>
      <c r="O988">
        <v>8.6322759999999995E-3</v>
      </c>
      <c r="P988">
        <v>0.99919749999999996</v>
      </c>
      <c r="Q988">
        <v>4.0043790000000003E-2</v>
      </c>
      <c r="R988">
        <v>-1.0775889999999899E-3</v>
      </c>
      <c r="S988">
        <v>3.019882</v>
      </c>
      <c r="T988">
        <v>-0.46538570000000001</v>
      </c>
      <c r="U988">
        <v>-0.7297363</v>
      </c>
      <c r="V988">
        <v>9.7039220000000002E-3</v>
      </c>
      <c r="W988">
        <v>6.2446290000000002E-2</v>
      </c>
      <c r="X988">
        <v>0.99800119999999903</v>
      </c>
      <c r="Y988">
        <v>0.2404868</v>
      </c>
      <c r="Z988">
        <v>-1.9469420000000001E-2</v>
      </c>
      <c r="AA988">
        <v>0.97045709999999996</v>
      </c>
      <c r="AB988">
        <v>26</v>
      </c>
      <c r="AC988">
        <v>0.68930000000000202</v>
      </c>
      <c r="AD988">
        <v>-0.131919599999999</v>
      </c>
      <c r="AE988">
        <v>-0.208699999999964</v>
      </c>
      <c r="AF988">
        <v>0.207676120809587</v>
      </c>
      <c r="AG988">
        <v>-0.131919599999999</v>
      </c>
      <c r="AH988">
        <v>0.665155401469814</v>
      </c>
      <c r="AI988">
        <v>100.720139247029</v>
      </c>
      <c r="AJ988">
        <v>72.660489908772902</v>
      </c>
      <c r="AK988">
        <v>0.709199450171211</v>
      </c>
    </row>
    <row r="989" spans="1:37" x14ac:dyDescent="0.2">
      <c r="A989" t="str">
        <f>"20200111153627315"</f>
        <v>20200111153627315</v>
      </c>
      <c r="B989" t="str">
        <f>"1578728187304068"</f>
        <v>1578728187304068</v>
      </c>
      <c r="C989" t="s">
        <v>37</v>
      </c>
      <c r="D989">
        <v>6.3656420000000002</v>
      </c>
      <c r="E989">
        <v>0.58879820000000005</v>
      </c>
      <c r="F989" t="s">
        <v>39</v>
      </c>
      <c r="G989">
        <v>-226.53809999999999</v>
      </c>
      <c r="H989" s="1">
        <v>-2.2448239999999999E-6</v>
      </c>
      <c r="I989">
        <v>365.55489999999998</v>
      </c>
      <c r="J989">
        <v>-233.53710000000001</v>
      </c>
      <c r="K989">
        <v>1.105977</v>
      </c>
      <c r="L989">
        <v>367.28899999999999</v>
      </c>
      <c r="M989">
        <v>0.99971189999999999</v>
      </c>
      <c r="N989">
        <v>0</v>
      </c>
      <c r="O989">
        <v>8.6538919999999998E-3</v>
      </c>
      <c r="P989">
        <v>0.99916450000000001</v>
      </c>
      <c r="Q989">
        <v>4.0867260000000002E-2</v>
      </c>
      <c r="R989">
        <v>-6.3284270000000002E-4</v>
      </c>
      <c r="S989">
        <v>3.0202789999999999</v>
      </c>
      <c r="T989">
        <v>-0.46504519999999999</v>
      </c>
      <c r="U989">
        <v>-0.7284851</v>
      </c>
      <c r="V989">
        <v>9.2804979999999999E-3</v>
      </c>
      <c r="W989">
        <v>6.3227710000000006E-2</v>
      </c>
      <c r="X989">
        <v>0.99795599999999995</v>
      </c>
      <c r="Y989">
        <v>0.24010709999999999</v>
      </c>
      <c r="Z989">
        <v>-1.9428399999999998E-2</v>
      </c>
      <c r="AA989">
        <v>0.97055199999999997</v>
      </c>
      <c r="AB989">
        <v>26</v>
      </c>
      <c r="AC989">
        <v>6.9990000000000201</v>
      </c>
      <c r="AD989">
        <v>-1.105979244824</v>
      </c>
      <c r="AE989">
        <v>-1.73410000000001</v>
      </c>
      <c r="AF989">
        <v>1.75336903702126</v>
      </c>
      <c r="AG989">
        <v>-1.105979244824</v>
      </c>
      <c r="AH989">
        <v>6.8232045565544297</v>
      </c>
      <c r="AI989">
        <v>98.922063049838698</v>
      </c>
      <c r="AJ989">
        <v>75.588436937605906</v>
      </c>
      <c r="AK989">
        <v>7.1311719577185597</v>
      </c>
    </row>
    <row r="990" spans="1:37" x14ac:dyDescent="0.2">
      <c r="A990" t="str">
        <f>"20200111153627330"</f>
        <v>20200111153627330</v>
      </c>
      <c r="B990" t="str">
        <f>"1578728187323588"</f>
        <v>1578728187323588</v>
      </c>
      <c r="C990" t="s">
        <v>37</v>
      </c>
      <c r="D990">
        <v>6.359928</v>
      </c>
      <c r="E990">
        <v>0.58758259999999995</v>
      </c>
      <c r="F990" t="s">
        <v>38</v>
      </c>
      <c r="G990">
        <v>-232.79509999999999</v>
      </c>
      <c r="H990">
        <v>0.99430699999999905</v>
      </c>
      <c r="I990">
        <v>367.11070000000001</v>
      </c>
      <c r="J990">
        <v>-233.3717</v>
      </c>
      <c r="K990">
        <v>1.105985</v>
      </c>
      <c r="L990">
        <v>367.29050000000001</v>
      </c>
      <c r="M990">
        <v>0.99971270000000001</v>
      </c>
      <c r="N990">
        <v>0</v>
      </c>
      <c r="O990">
        <v>8.6731180000000005E-3</v>
      </c>
      <c r="P990">
        <v>0.99916000000000005</v>
      </c>
      <c r="Q990">
        <v>4.0979040000000001E-2</v>
      </c>
      <c r="R990">
        <v>-4.4898879999999999E-4</v>
      </c>
      <c r="S990">
        <v>3.0206599999999999</v>
      </c>
      <c r="T990">
        <v>-0.45486529999999997</v>
      </c>
      <c r="U990">
        <v>-0.72467040000000005</v>
      </c>
      <c r="V990">
        <v>9.1158790000000003E-3</v>
      </c>
      <c r="W990">
        <v>6.3298149999999997E-2</v>
      </c>
      <c r="X990">
        <v>0.99795309999999904</v>
      </c>
      <c r="Y990">
        <v>0.23906910000000001</v>
      </c>
      <c r="Z990">
        <v>-1.8934320000000001E-2</v>
      </c>
      <c r="AA990">
        <v>0.97081790000000001</v>
      </c>
      <c r="AB990">
        <v>26</v>
      </c>
      <c r="AC990">
        <v>0.57660000000001299</v>
      </c>
      <c r="AD990">
        <v>-0.111678</v>
      </c>
      <c r="AE990">
        <v>-0.17979999999999999</v>
      </c>
      <c r="AF990">
        <v>0.17868630690232801</v>
      </c>
      <c r="AG990">
        <v>-0.111678</v>
      </c>
      <c r="AH990">
        <v>0.55600912216398601</v>
      </c>
      <c r="AI990">
        <v>100.825646288813</v>
      </c>
      <c r="AJ990">
        <v>72.183998172413794</v>
      </c>
      <c r="AK990">
        <v>0.59459811291994502</v>
      </c>
    </row>
    <row r="991" spans="1:37" x14ac:dyDescent="0.2">
      <c r="A991" t="str">
        <f>"20200111153627344"</f>
        <v>20200111153627344</v>
      </c>
      <c r="B991" t="str">
        <f>"1578728187333347"</f>
        <v>1578728187333347</v>
      </c>
      <c r="C991" t="s">
        <v>37</v>
      </c>
      <c r="D991">
        <v>6.2629589999999897</v>
      </c>
      <c r="E991">
        <v>0.58716109999999999</v>
      </c>
      <c r="F991" t="s">
        <v>38</v>
      </c>
      <c r="G991">
        <v>-232.56809999999999</v>
      </c>
      <c r="H991">
        <v>0.98722649999999901</v>
      </c>
      <c r="I991">
        <v>367.10019999999997</v>
      </c>
      <c r="J991">
        <v>-233.22099999999901</v>
      </c>
      <c r="K991">
        <v>1.1059920000000001</v>
      </c>
      <c r="L991">
        <v>367.29180000000002</v>
      </c>
      <c r="M991">
        <v>0.99971330000000003</v>
      </c>
      <c r="N991">
        <v>0</v>
      </c>
      <c r="O991">
        <v>8.6908439999999997E-3</v>
      </c>
      <c r="P991">
        <v>0.99916209999999905</v>
      </c>
      <c r="Q991">
        <v>4.092668E-2</v>
      </c>
      <c r="R991">
        <v>-2.146141E-4</v>
      </c>
      <c r="S991">
        <v>3.0205229999999998</v>
      </c>
      <c r="T991">
        <v>-0.44662190000000002</v>
      </c>
      <c r="U991">
        <v>-0.71426389999999995</v>
      </c>
      <c r="V991">
        <v>8.8992169999999992E-3</v>
      </c>
      <c r="W991">
        <v>6.3206299999999896E-2</v>
      </c>
      <c r="X991">
        <v>0.99796079999999998</v>
      </c>
      <c r="Y991">
        <v>0.236052599999999</v>
      </c>
      <c r="Z991">
        <v>-1.83865E-2</v>
      </c>
      <c r="AA991">
        <v>0.97156629999999999</v>
      </c>
      <c r="AB991">
        <v>26</v>
      </c>
      <c r="AC991">
        <v>0.65289999999998805</v>
      </c>
      <c r="AD991">
        <v>-0.1187655</v>
      </c>
      <c r="AE991">
        <v>-0.19160000000005001</v>
      </c>
      <c r="AF991">
        <v>0.191436203482936</v>
      </c>
      <c r="AG991">
        <v>-0.1187655</v>
      </c>
      <c r="AH991">
        <v>0.63195679706062202</v>
      </c>
      <c r="AI991">
        <v>100.19629338541699</v>
      </c>
      <c r="AJ991">
        <v>73.147070015494705</v>
      </c>
      <c r="AK991">
        <v>0.670911661357387</v>
      </c>
    </row>
    <row r="992" spans="1:37" x14ac:dyDescent="0.2">
      <c r="A992" t="str">
        <f>"20200111153627356"</f>
        <v>20200111153627356</v>
      </c>
      <c r="B992" t="str">
        <f>"1578728187353844"</f>
        <v>1578728187353844</v>
      </c>
      <c r="C992" t="s">
        <v>37</v>
      </c>
      <c r="D992">
        <v>6.191713</v>
      </c>
      <c r="E992">
        <v>0.58635800000000005</v>
      </c>
      <c r="F992" t="s">
        <v>38</v>
      </c>
      <c r="G992">
        <v>-232.34190000000001</v>
      </c>
      <c r="H992">
        <v>0.97704579999999996</v>
      </c>
      <c r="I992">
        <v>367.0849</v>
      </c>
      <c r="J992">
        <v>-233.06559999999999</v>
      </c>
      <c r="K992">
        <v>1.106001</v>
      </c>
      <c r="L992">
        <v>367.29320000000001</v>
      </c>
      <c r="M992">
        <v>0.99971429999999994</v>
      </c>
      <c r="N992">
        <v>0</v>
      </c>
      <c r="O992">
        <v>8.7089819999999901E-3</v>
      </c>
      <c r="P992">
        <v>0.99916039999999995</v>
      </c>
      <c r="Q992">
        <v>4.0969949999999998E-2</v>
      </c>
      <c r="R992">
        <v>-1.016257E-4</v>
      </c>
      <c r="S992">
        <v>3.0205380000000002</v>
      </c>
      <c r="T992">
        <v>-0.44319529999999902</v>
      </c>
      <c r="U992">
        <v>-0.71011349999999995</v>
      </c>
      <c r="V992">
        <v>8.804526E-3</v>
      </c>
      <c r="W992">
        <v>6.3204880000000005E-2</v>
      </c>
      <c r="X992">
        <v>0.99796180000000001</v>
      </c>
      <c r="Y992">
        <v>0.2348538</v>
      </c>
      <c r="Z992">
        <v>-1.8165870000000001E-2</v>
      </c>
      <c r="AA992">
        <v>0.97186090000000003</v>
      </c>
      <c r="AB992">
        <v>26</v>
      </c>
      <c r="AC992">
        <v>0.72369999999997903</v>
      </c>
      <c r="AD992">
        <v>-0.12895519999999899</v>
      </c>
      <c r="AE992">
        <v>-0.20830000000000801</v>
      </c>
      <c r="AF992">
        <v>0.20848318972647301</v>
      </c>
      <c r="AG992">
        <v>-0.12895519999999899</v>
      </c>
      <c r="AH992">
        <v>0.70129459970455998</v>
      </c>
      <c r="AI992">
        <v>99.996161737845796</v>
      </c>
      <c r="AJ992">
        <v>73.443664220343607</v>
      </c>
      <c r="AK992">
        <v>0.74290564648570601</v>
      </c>
    </row>
    <row r="993" spans="1:37" x14ac:dyDescent="0.2">
      <c r="A993" t="str">
        <f>"20200111153627373"</f>
        <v>20200111153627373</v>
      </c>
      <c r="B993" t="str">
        <f>"1578728187363604"</f>
        <v>1578728187363604</v>
      </c>
      <c r="C993" t="s">
        <v>37</v>
      </c>
      <c r="D993">
        <v>6.1737679999999999</v>
      </c>
      <c r="E993">
        <v>0.58599440000000003</v>
      </c>
      <c r="F993" t="s">
        <v>38</v>
      </c>
      <c r="G993">
        <v>-232.33539999999999</v>
      </c>
      <c r="H993">
        <v>1.0007839999999999</v>
      </c>
      <c r="I993">
        <v>367.12290000000002</v>
      </c>
      <c r="J993">
        <v>-232.89160000000001</v>
      </c>
      <c r="K993">
        <v>1.10602</v>
      </c>
      <c r="L993">
        <v>367.29469999999998</v>
      </c>
      <c r="M993">
        <v>0.99971540000000003</v>
      </c>
      <c r="N993">
        <v>0</v>
      </c>
      <c r="O993">
        <v>8.7289440000000006E-3</v>
      </c>
      <c r="P993">
        <v>0.99914570000000003</v>
      </c>
      <c r="Q993">
        <v>4.1327040000000002E-2</v>
      </c>
      <c r="R993">
        <v>-3.327696E-4</v>
      </c>
      <c r="S993">
        <v>3.0202939999999998</v>
      </c>
      <c r="T993">
        <v>-0.43537019999999998</v>
      </c>
      <c r="U993">
        <v>-0.70336909999999997</v>
      </c>
      <c r="V993">
        <v>9.0552619999999997E-3</v>
      </c>
      <c r="W993">
        <v>6.3498029999999997E-2</v>
      </c>
      <c r="X993">
        <v>0.99794090000000002</v>
      </c>
      <c r="Y993">
        <v>0.23293549999999999</v>
      </c>
      <c r="Z993">
        <v>-1.7721190000000001E-2</v>
      </c>
      <c r="AA993">
        <v>0.97233069999999899</v>
      </c>
      <c r="AB993">
        <v>26</v>
      </c>
      <c r="AC993">
        <v>0.55620000000001801</v>
      </c>
      <c r="AD993">
        <v>-0.105235999999999</v>
      </c>
      <c r="AE993">
        <v>-0.17179999999996101</v>
      </c>
      <c r="AF993">
        <v>0.171059354527649</v>
      </c>
      <c r="AG993">
        <v>-0.105235999999999</v>
      </c>
      <c r="AH993">
        <v>0.53712519111803403</v>
      </c>
      <c r="AI993">
        <v>100.57458684356</v>
      </c>
      <c r="AJ993">
        <v>72.334777338424999</v>
      </c>
      <c r="AK993">
        <v>0.57344519302283903</v>
      </c>
    </row>
    <row r="994" spans="1:37" x14ac:dyDescent="0.2">
      <c r="A994" t="str">
        <f>"20200111153627387"</f>
        <v>20200111153627387</v>
      </c>
      <c r="B994" t="str">
        <f>"1578728187384099"</f>
        <v>1578728187384099</v>
      </c>
      <c r="C994" t="s">
        <v>37</v>
      </c>
      <c r="D994">
        <v>6.1854620000000002</v>
      </c>
      <c r="E994">
        <v>0.58533710000000005</v>
      </c>
      <c r="F994" t="s">
        <v>38</v>
      </c>
      <c r="G994">
        <v>-232.1114</v>
      </c>
      <c r="H994">
        <v>0.9943786</v>
      </c>
      <c r="I994">
        <v>367.11340000000001</v>
      </c>
      <c r="J994">
        <v>-232.73660000000001</v>
      </c>
      <c r="K994">
        <v>1.1060270000000001</v>
      </c>
      <c r="L994">
        <v>367.29610000000002</v>
      </c>
      <c r="M994">
        <v>0.99971679999999996</v>
      </c>
      <c r="N994">
        <v>0</v>
      </c>
      <c r="O994">
        <v>8.7470240000000008E-3</v>
      </c>
      <c r="P994">
        <v>0.99912099999999904</v>
      </c>
      <c r="Q994">
        <v>4.1918400000000001E-2</v>
      </c>
      <c r="R994">
        <v>-5.4866159999999997E-4</v>
      </c>
      <c r="S994">
        <v>3.020203</v>
      </c>
      <c r="T994">
        <v>-0.43223009999999901</v>
      </c>
      <c r="U994">
        <v>-0.70144649999999997</v>
      </c>
      <c r="V994">
        <v>9.2888599999999995E-3</v>
      </c>
      <c r="W994">
        <v>6.4022899999999994E-2</v>
      </c>
      <c r="X994">
        <v>0.99790519999999905</v>
      </c>
      <c r="Y994">
        <v>0.23241059999999999</v>
      </c>
      <c r="Z994">
        <v>-1.7562020000000001E-2</v>
      </c>
      <c r="AA994">
        <v>0.97245919999999897</v>
      </c>
      <c r="AB994">
        <v>25</v>
      </c>
      <c r="AC994">
        <v>0.62520000000000597</v>
      </c>
      <c r="AD994">
        <v>-0.11164839999999999</v>
      </c>
      <c r="AE994">
        <v>-0.18270000000001099</v>
      </c>
      <c r="AF994">
        <v>0.18279221798717399</v>
      </c>
      <c r="AG994">
        <v>-0.11164839999999999</v>
      </c>
      <c r="AH994">
        <v>0.605778715444099</v>
      </c>
      <c r="AI994">
        <v>100.00670472975401</v>
      </c>
      <c r="AJ994">
        <v>73.208942341146695</v>
      </c>
      <c r="AK994">
        <v>0.64253109828578203</v>
      </c>
    </row>
    <row r="995" spans="1:37" x14ac:dyDescent="0.2">
      <c r="A995" t="str">
        <f>"20200111153627401"</f>
        <v>20200111153627401</v>
      </c>
      <c r="B995" t="str">
        <f>"1578728187393860"</f>
        <v>1578728187393860</v>
      </c>
      <c r="C995" t="s">
        <v>37</v>
      </c>
      <c r="D995">
        <v>6.163297</v>
      </c>
      <c r="E995">
        <v>0.58505200000000002</v>
      </c>
      <c r="F995" t="s">
        <v>38</v>
      </c>
      <c r="G995">
        <v>-231.88759999999999</v>
      </c>
      <c r="H995">
        <v>0.9861491</v>
      </c>
      <c r="I995">
        <v>367.09989999999999</v>
      </c>
      <c r="J995">
        <v>-232.56890000000001</v>
      </c>
      <c r="K995">
        <v>1.106031</v>
      </c>
      <c r="L995">
        <v>367.29759999999999</v>
      </c>
      <c r="M995">
        <v>0.99971860000000001</v>
      </c>
      <c r="N995">
        <v>0</v>
      </c>
      <c r="O995">
        <v>8.7663900000000006E-3</v>
      </c>
      <c r="P995">
        <v>0.99908359999999996</v>
      </c>
      <c r="Q995">
        <v>4.2788800000000002E-2</v>
      </c>
      <c r="R995">
        <v>-1.1894760000000001E-3</v>
      </c>
      <c r="S995">
        <v>3.0201720000000001</v>
      </c>
      <c r="T995">
        <v>-0.4267666</v>
      </c>
      <c r="U995">
        <v>-0.69680790000000004</v>
      </c>
      <c r="V995">
        <v>9.9488779999999995E-3</v>
      </c>
      <c r="W995">
        <v>6.4806130000000003E-2</v>
      </c>
      <c r="X995">
        <v>0.99784830000000002</v>
      </c>
      <c r="Y995">
        <v>0.23108339999999999</v>
      </c>
      <c r="Z995">
        <v>-1.7255799999999901E-2</v>
      </c>
      <c r="AA995">
        <v>0.97278089999999995</v>
      </c>
      <c r="AB995">
        <v>25</v>
      </c>
      <c r="AC995">
        <v>0.681300000000021</v>
      </c>
      <c r="AD995">
        <v>-0.1198819</v>
      </c>
      <c r="AE995">
        <v>-0.19769999999999699</v>
      </c>
      <c r="AF995">
        <v>0.19801168723385601</v>
      </c>
      <c r="AG995">
        <v>-0.1198819</v>
      </c>
      <c r="AH995">
        <v>0.66067314300732705</v>
      </c>
      <c r="AI995">
        <v>99.860373673731203</v>
      </c>
      <c r="AJ995">
        <v>73.315894219090794</v>
      </c>
      <c r="AK995">
        <v>0.700049498335646</v>
      </c>
    </row>
    <row r="996" spans="1:37" x14ac:dyDescent="0.2">
      <c r="A996" t="str">
        <f>"20200111153627417"</f>
        <v>20200111153627417</v>
      </c>
      <c r="B996" t="str">
        <f>"1578728187413380"</f>
        <v>1578728187413380</v>
      </c>
      <c r="C996" t="s">
        <v>37</v>
      </c>
      <c r="D996">
        <v>6.1954979999999997</v>
      </c>
      <c r="E996">
        <v>0.58446359999999997</v>
      </c>
      <c r="F996" t="s">
        <v>39</v>
      </c>
      <c r="G996">
        <v>-224.65880000000001</v>
      </c>
      <c r="H996" s="1">
        <v>-3.008627E-6</v>
      </c>
      <c r="I996">
        <v>365.47320000000002</v>
      </c>
      <c r="J996">
        <v>-232.3956</v>
      </c>
      <c r="K996">
        <v>1.106033</v>
      </c>
      <c r="L996">
        <v>367.29919999999998</v>
      </c>
      <c r="M996">
        <v>0.99972109999999903</v>
      </c>
      <c r="N996">
        <v>0</v>
      </c>
      <c r="O996">
        <v>8.7873180000000006E-3</v>
      </c>
      <c r="P996">
        <v>0.99905999999999995</v>
      </c>
      <c r="Q996">
        <v>4.3292079999999997E-2</v>
      </c>
      <c r="R996">
        <v>-2.2538269999999999E-3</v>
      </c>
      <c r="S996">
        <v>3.0199889999999998</v>
      </c>
      <c r="T996">
        <v>-0.42226649999999999</v>
      </c>
      <c r="U996">
        <v>-0.69653319999999996</v>
      </c>
      <c r="V996">
        <v>1.10338E-2</v>
      </c>
      <c r="W996">
        <v>6.5178230000000004E-2</v>
      </c>
      <c r="X996">
        <v>0.99781260000000005</v>
      </c>
      <c r="Y996">
        <v>0.23107949999999999</v>
      </c>
      <c r="Z996">
        <v>-1.7079319999999999E-2</v>
      </c>
      <c r="AA996">
        <v>0.97278489999999995</v>
      </c>
      <c r="AB996">
        <v>25</v>
      </c>
      <c r="AC996">
        <v>7.7367999999999801</v>
      </c>
      <c r="AD996">
        <v>-1.106036008627</v>
      </c>
      <c r="AE996">
        <v>-1.8259999999999601</v>
      </c>
      <c r="AF996">
        <v>1.85796393997647</v>
      </c>
      <c r="AG996">
        <v>-1.106036008627</v>
      </c>
      <c r="AH996">
        <v>7.5738328189844601</v>
      </c>
      <c r="AI996">
        <v>98.072344984418805</v>
      </c>
      <c r="AJ996">
        <v>76.216751858039501</v>
      </c>
      <c r="AK996">
        <v>7.8764388669346399</v>
      </c>
    </row>
    <row r="997" spans="1:37" x14ac:dyDescent="0.2">
      <c r="A997" t="str">
        <f>"20200111153627431"</f>
        <v>20200111153627431</v>
      </c>
      <c r="B997" t="str">
        <f>"1578728187423140"</f>
        <v>1578728187423140</v>
      </c>
      <c r="C997" t="s">
        <v>37</v>
      </c>
      <c r="D997">
        <v>6.1741070000000002</v>
      </c>
      <c r="E997">
        <v>0.58420680000000003</v>
      </c>
      <c r="F997" t="s">
        <v>38</v>
      </c>
      <c r="G997">
        <v>-231.65809999999999</v>
      </c>
      <c r="H997">
        <v>1.0041249999999999</v>
      </c>
      <c r="I997">
        <v>367.12939999999998</v>
      </c>
      <c r="J997">
        <v>-232.24099999999899</v>
      </c>
      <c r="K997">
        <v>1.1060159999999899</v>
      </c>
      <c r="L997">
        <v>367.30059999999997</v>
      </c>
      <c r="M997">
        <v>0.99972459999999996</v>
      </c>
      <c r="N997">
        <v>0</v>
      </c>
      <c r="O997">
        <v>8.8056000000000002E-3</v>
      </c>
      <c r="P997">
        <v>0.99905469999999896</v>
      </c>
      <c r="Q997">
        <v>4.3367570000000001E-2</v>
      </c>
      <c r="R997">
        <v>-3.0302379999999898E-3</v>
      </c>
      <c r="S997">
        <v>3.019333</v>
      </c>
      <c r="T997">
        <v>-0.41726449999999998</v>
      </c>
      <c r="U997">
        <v>-0.69534300000000004</v>
      </c>
      <c r="V997">
        <v>1.182852E-2</v>
      </c>
      <c r="W997">
        <v>6.5087359999999997E-2</v>
      </c>
      <c r="X997">
        <v>0.99780949999999902</v>
      </c>
      <c r="Y997">
        <v>0.23083229999999999</v>
      </c>
      <c r="Z997">
        <v>-1.6868810000000001E-2</v>
      </c>
      <c r="AA997">
        <v>0.97284729999999997</v>
      </c>
      <c r="AB997">
        <v>25</v>
      </c>
      <c r="AC997">
        <v>0.58289999999999498</v>
      </c>
      <c r="AD997">
        <v>-0.101890999999999</v>
      </c>
      <c r="AE997">
        <v>-0.17119999999999799</v>
      </c>
      <c r="AF997">
        <v>0.17150320408448499</v>
      </c>
      <c r="AG997">
        <v>-0.101890999999999</v>
      </c>
      <c r="AH997">
        <v>0.565463779381984</v>
      </c>
      <c r="AI997">
        <v>99.783510184585893</v>
      </c>
      <c r="AJ997">
        <v>73.127631301454997</v>
      </c>
      <c r="AK997">
        <v>0.59962022204492205</v>
      </c>
    </row>
    <row r="998" spans="1:37" x14ac:dyDescent="0.2">
      <c r="A998" t="str">
        <f>"20200111153627445"</f>
        <v>20200111153627445</v>
      </c>
      <c r="B998" t="str">
        <f>"1578728187433876"</f>
        <v>1578728187433876</v>
      </c>
      <c r="C998" t="s">
        <v>37</v>
      </c>
      <c r="D998">
        <v>6.1882900000000003</v>
      </c>
      <c r="E998">
        <v>0.58395379999999997</v>
      </c>
      <c r="F998" t="s">
        <v>38</v>
      </c>
      <c r="G998">
        <v>-231.4374</v>
      </c>
      <c r="H998">
        <v>0.99549330000000003</v>
      </c>
      <c r="I998">
        <v>367.11529999999999</v>
      </c>
      <c r="J998">
        <v>-232.08519999999999</v>
      </c>
      <c r="K998">
        <v>1.1059909999999999</v>
      </c>
      <c r="L998">
        <v>367.301999999999</v>
      </c>
      <c r="M998">
        <v>0.99972890000000003</v>
      </c>
      <c r="N998">
        <v>0</v>
      </c>
      <c r="O998">
        <v>8.8240699999999998E-3</v>
      </c>
      <c r="P998">
        <v>0.99903240000000004</v>
      </c>
      <c r="Q998">
        <v>4.3839169999999997E-2</v>
      </c>
      <c r="R998">
        <v>-3.5373150000000001E-3</v>
      </c>
      <c r="S998">
        <v>3.0187529999999998</v>
      </c>
      <c r="T998">
        <v>-0.41531259999999998</v>
      </c>
      <c r="U998">
        <v>-0.69564820000000005</v>
      </c>
      <c r="V998">
        <v>1.2353869999999999E-2</v>
      </c>
      <c r="W998">
        <v>6.5356189999999995E-2</v>
      </c>
      <c r="X998">
        <v>0.99778549999999999</v>
      </c>
      <c r="Y998">
        <v>0.23100219999999999</v>
      </c>
      <c r="Z998">
        <v>-1.6807519999999999E-2</v>
      </c>
      <c r="AA998">
        <v>0.97280809999999995</v>
      </c>
      <c r="AB998">
        <v>25</v>
      </c>
      <c r="AC998">
        <v>0.64779999999998905</v>
      </c>
      <c r="AD998">
        <v>-0.11049769999999901</v>
      </c>
      <c r="AE998">
        <v>-0.186699999999973</v>
      </c>
      <c r="AF998">
        <v>0.18737659982333199</v>
      </c>
      <c r="AG998">
        <v>-0.11049769999999901</v>
      </c>
      <c r="AH998">
        <v>0.62922346205391599</v>
      </c>
      <c r="AI998">
        <v>99.553660349577299</v>
      </c>
      <c r="AJ998">
        <v>73.4169826841337</v>
      </c>
      <c r="AK998">
        <v>0.66576414522393701</v>
      </c>
    </row>
    <row r="999" spans="1:37" x14ac:dyDescent="0.2">
      <c r="A999" t="str">
        <f>"20200111153627459"</f>
        <v>20200111153627459</v>
      </c>
      <c r="B999" t="str">
        <f>"1578728187453397"</f>
        <v>1578728187453397</v>
      </c>
      <c r="C999" t="s">
        <v>37</v>
      </c>
      <c r="D999">
        <v>6.1821209999999898</v>
      </c>
      <c r="E999">
        <v>0.58347910000000003</v>
      </c>
      <c r="F999" t="s">
        <v>38</v>
      </c>
      <c r="G999">
        <v>-231.21549999999999</v>
      </c>
      <c r="H999">
        <v>0.98727670000000001</v>
      </c>
      <c r="I999">
        <v>367.10160000000002</v>
      </c>
      <c r="J999">
        <v>-231.9254</v>
      </c>
      <c r="K999">
        <v>1.105958</v>
      </c>
      <c r="L999">
        <v>367.30340000000001</v>
      </c>
      <c r="M999">
        <v>0.99973389999999995</v>
      </c>
      <c r="N999">
        <v>0</v>
      </c>
      <c r="O999">
        <v>8.8435130000000008E-3</v>
      </c>
      <c r="P999">
        <v>0.99900290000000003</v>
      </c>
      <c r="Q999">
        <v>4.447218E-2</v>
      </c>
      <c r="R999">
        <v>-3.9769820000000004E-3</v>
      </c>
      <c r="S999">
        <v>3.0185240000000002</v>
      </c>
      <c r="T999">
        <v>-0.41215940000000001</v>
      </c>
      <c r="U999">
        <v>-0.69528199999999996</v>
      </c>
      <c r="V999">
        <v>1.2812479999999999E-2</v>
      </c>
      <c r="W999">
        <v>6.5744460000000005E-2</v>
      </c>
      <c r="X999">
        <v>0.99775419999999904</v>
      </c>
      <c r="Y999">
        <v>0.23095729999999901</v>
      </c>
      <c r="Z999">
        <v>-1.668209E-2</v>
      </c>
      <c r="AA999">
        <v>0.97282089999999999</v>
      </c>
      <c r="AB999">
        <v>25</v>
      </c>
      <c r="AC999">
        <v>0.70990000000000397</v>
      </c>
      <c r="AD999">
        <v>-0.1186813</v>
      </c>
      <c r="AE999">
        <v>-0.20179999999999099</v>
      </c>
      <c r="AF999">
        <v>0.202826523205794</v>
      </c>
      <c r="AG999">
        <v>-0.1186813</v>
      </c>
      <c r="AH999">
        <v>0.69023790981788502</v>
      </c>
      <c r="AI999">
        <v>99.367585572536697</v>
      </c>
      <c r="AJ999">
        <v>73.6245661265678</v>
      </c>
      <c r="AK999">
        <v>0.72914485641414495</v>
      </c>
    </row>
    <row r="1000" spans="1:37" x14ac:dyDescent="0.2">
      <c r="A1000" t="str">
        <f>"20200111153627472"</f>
        <v>20200111153627472</v>
      </c>
      <c r="B1000" t="str">
        <f>"1578728187463156"</f>
        <v>1578728187463156</v>
      </c>
      <c r="C1000" t="s">
        <v>37</v>
      </c>
      <c r="D1000">
        <v>6.2002930000000003</v>
      </c>
      <c r="E1000">
        <v>0.58325930000000004</v>
      </c>
      <c r="F1000" t="s">
        <v>38</v>
      </c>
      <c r="G1000">
        <v>-231.21029999999999</v>
      </c>
      <c r="H1000">
        <v>1.0095000000000001</v>
      </c>
      <c r="I1000">
        <v>367.13920000000002</v>
      </c>
      <c r="J1000">
        <v>-231.7705</v>
      </c>
      <c r="K1000">
        <v>1.1059129999999999</v>
      </c>
      <c r="L1000">
        <v>367.30489999999998</v>
      </c>
      <c r="M1000">
        <v>0.99974099999999999</v>
      </c>
      <c r="N1000">
        <v>0</v>
      </c>
      <c r="O1000">
        <v>8.8611799999999998E-3</v>
      </c>
      <c r="P1000">
        <v>0.99892839999999905</v>
      </c>
      <c r="Q1000">
        <v>4.6025030000000001E-2</v>
      </c>
      <c r="R1000">
        <v>-4.9323739999999998E-3</v>
      </c>
      <c r="S1000">
        <v>3.0183719999999998</v>
      </c>
      <c r="T1000">
        <v>-0.40729309999999902</v>
      </c>
      <c r="U1000">
        <v>-0.69274899999999995</v>
      </c>
      <c r="V1000">
        <v>1.3784609999999999E-2</v>
      </c>
      <c r="W1000">
        <v>6.6958669999999998E-2</v>
      </c>
      <c r="X1000">
        <v>0.99766049999999995</v>
      </c>
      <c r="Y1000">
        <v>0.23026430000000001</v>
      </c>
      <c r="Z1000">
        <v>-1.6445520000000002E-2</v>
      </c>
      <c r="AA1000">
        <v>0.97298909999999905</v>
      </c>
      <c r="AB1000">
        <v>25</v>
      </c>
      <c r="AC1000">
        <v>0.56020000000000802</v>
      </c>
      <c r="AD1000">
        <v>-9.6412999999999804E-2</v>
      </c>
      <c r="AE1000">
        <v>-0.16569999999995799</v>
      </c>
      <c r="AF1000">
        <v>0.16613362967022599</v>
      </c>
      <c r="AG1000">
        <v>-9.6412999999999804E-2</v>
      </c>
      <c r="AH1000">
        <v>0.54389528618590299</v>
      </c>
      <c r="AI1000">
        <v>99.621956383994799</v>
      </c>
      <c r="AJ1000">
        <v>73.014629839292397</v>
      </c>
      <c r="AK1000">
        <v>0.57681706962575996</v>
      </c>
    </row>
    <row r="1001" spans="1:37" x14ac:dyDescent="0.2">
      <c r="A1001" t="str">
        <f>"20200111153627489"</f>
        <v>20200111153627489</v>
      </c>
      <c r="B1001" t="str">
        <f>"1578728187483653"</f>
        <v>1578728187483653</v>
      </c>
      <c r="C1001" t="s">
        <v>37</v>
      </c>
      <c r="D1001">
        <v>6.1799939999999998</v>
      </c>
      <c r="E1001">
        <v>0.58281859999999996</v>
      </c>
      <c r="F1001" t="s">
        <v>38</v>
      </c>
      <c r="G1001">
        <v>-230.9896</v>
      </c>
      <c r="H1001">
        <v>1.002203</v>
      </c>
      <c r="I1001">
        <v>367.12509999999997</v>
      </c>
      <c r="J1001">
        <v>-231.59780000000001</v>
      </c>
      <c r="K1001">
        <v>1.105844</v>
      </c>
      <c r="L1001">
        <v>367.3064</v>
      </c>
      <c r="M1001">
        <v>0.99974949999999996</v>
      </c>
      <c r="N1001">
        <v>0</v>
      </c>
      <c r="O1001">
        <v>8.8816139999999995E-3</v>
      </c>
      <c r="P1001">
        <v>0.99887839999999894</v>
      </c>
      <c r="Q1001">
        <v>4.7054449999999998E-2</v>
      </c>
      <c r="R1001">
        <v>-5.2921510000000001E-3</v>
      </c>
      <c r="S1001">
        <v>3.0182500000000001</v>
      </c>
      <c r="T1001">
        <v>-0.40103860000000002</v>
      </c>
      <c r="U1001">
        <v>-0.6943665</v>
      </c>
      <c r="V1001">
        <v>1.416455E-2</v>
      </c>
      <c r="W1001">
        <v>6.7561460000000004E-2</v>
      </c>
      <c r="X1001">
        <v>0.99761460000000002</v>
      </c>
      <c r="Y1001">
        <v>0.23084560000000001</v>
      </c>
      <c r="Z1001">
        <v>-1.623542E-2</v>
      </c>
      <c r="AA1001">
        <v>0.97285499999999903</v>
      </c>
      <c r="AB1001">
        <v>25</v>
      </c>
      <c r="AC1001">
        <v>0.60820000000000995</v>
      </c>
      <c r="AD1001">
        <v>-0.103641</v>
      </c>
      <c r="AE1001">
        <v>-0.181300000000021</v>
      </c>
      <c r="AF1001">
        <v>0.18184621800025499</v>
      </c>
      <c r="AG1001">
        <v>-0.103641</v>
      </c>
      <c r="AH1001">
        <v>0.59080942295740901</v>
      </c>
      <c r="AI1001">
        <v>99.517690522368994</v>
      </c>
      <c r="AJ1001">
        <v>72.892070590020495</v>
      </c>
      <c r="AK1001">
        <v>0.62678966020289695</v>
      </c>
    </row>
    <row r="1002" spans="1:37" x14ac:dyDescent="0.2">
      <c r="A1002" t="str">
        <f>"20200111153627503"</f>
        <v>20200111153627503</v>
      </c>
      <c r="B1002" t="str">
        <f>"1578728187493412"</f>
        <v>1578728187493412</v>
      </c>
      <c r="C1002" t="s">
        <v>37</v>
      </c>
      <c r="D1002">
        <v>6.1925359999999996</v>
      </c>
      <c r="E1002">
        <v>0.58260140000000005</v>
      </c>
      <c r="F1002" t="s">
        <v>38</v>
      </c>
      <c r="G1002">
        <v>-230.7688</v>
      </c>
      <c r="H1002">
        <v>0.99723830000000002</v>
      </c>
      <c r="I1002">
        <v>367.1164</v>
      </c>
      <c r="J1002">
        <v>-231.4357</v>
      </c>
      <c r="K1002">
        <v>1.105775</v>
      </c>
      <c r="L1002">
        <v>367.30790000000002</v>
      </c>
      <c r="M1002">
        <v>0.99975820000000004</v>
      </c>
      <c r="N1002">
        <v>0</v>
      </c>
      <c r="O1002">
        <v>8.9009559999999998E-3</v>
      </c>
      <c r="P1002">
        <v>0.99883180000000005</v>
      </c>
      <c r="Q1002">
        <v>4.798856E-2</v>
      </c>
      <c r="R1002">
        <v>-5.6907559999999999E-3</v>
      </c>
      <c r="S1002">
        <v>3.0183110000000002</v>
      </c>
      <c r="T1002">
        <v>-0.3954356</v>
      </c>
      <c r="U1002">
        <v>-0.69174190000000002</v>
      </c>
      <c r="V1002">
        <v>1.458187E-2</v>
      </c>
      <c r="W1002">
        <v>6.8060979999999993E-2</v>
      </c>
      <c r="X1002">
        <v>0.99757459999999898</v>
      </c>
      <c r="Y1002">
        <v>0.23011709999999999</v>
      </c>
      <c r="Z1002">
        <v>-1.5967229999999999E-2</v>
      </c>
      <c r="AA1002">
        <v>0.97303189999999995</v>
      </c>
      <c r="AB1002">
        <v>25</v>
      </c>
      <c r="AC1002">
        <v>0.66689999999999805</v>
      </c>
      <c r="AD1002">
        <v>-0.108536699999999</v>
      </c>
      <c r="AE1002">
        <v>-0.19150000000001899</v>
      </c>
      <c r="AF1002">
        <v>0.19271407520092501</v>
      </c>
      <c r="AG1002">
        <v>-0.108536699999999</v>
      </c>
      <c r="AH1002">
        <v>0.64928121897329505</v>
      </c>
      <c r="AI1002">
        <v>99.104488580086993</v>
      </c>
      <c r="AJ1002">
        <v>73.468510444633196</v>
      </c>
      <c r="AK1002">
        <v>0.68591911428308106</v>
      </c>
    </row>
    <row r="1003" spans="1:37" x14ac:dyDescent="0.2">
      <c r="A1003" t="str">
        <f>"20200111153627517"</f>
        <v>20200111153627517</v>
      </c>
      <c r="B1003" t="str">
        <f>"1578728187513908"</f>
        <v>1578728187513908</v>
      </c>
      <c r="C1003" t="s">
        <v>37</v>
      </c>
      <c r="D1003">
        <v>6.1972100000000001</v>
      </c>
      <c r="E1003">
        <v>0.58219069999999995</v>
      </c>
      <c r="F1003" t="s">
        <v>39</v>
      </c>
      <c r="G1003">
        <v>-222.9066</v>
      </c>
      <c r="H1003" s="1">
        <v>-3.781503E-6</v>
      </c>
      <c r="I1003">
        <v>365.35359999999997</v>
      </c>
      <c r="J1003">
        <v>-231.2764</v>
      </c>
      <c r="K1003">
        <v>1.1057189999999999</v>
      </c>
      <c r="L1003">
        <v>367.30930000000001</v>
      </c>
      <c r="M1003">
        <v>0.99976679999999996</v>
      </c>
      <c r="N1003">
        <v>0</v>
      </c>
      <c r="O1003">
        <v>8.9200949999999994E-3</v>
      </c>
      <c r="P1003">
        <v>0.99879669999999898</v>
      </c>
      <c r="Q1003">
        <v>4.859745E-2</v>
      </c>
      <c r="R1003">
        <v>-6.5984879999999996E-3</v>
      </c>
      <c r="S1003">
        <v>3.0183719999999998</v>
      </c>
      <c r="T1003">
        <v>-0.39132030000000001</v>
      </c>
      <c r="U1003">
        <v>-0.69155880000000003</v>
      </c>
      <c r="V1003">
        <v>1.550839E-2</v>
      </c>
      <c r="W1003">
        <v>6.8234619999999996E-2</v>
      </c>
      <c r="X1003">
        <v>0.99754880000000001</v>
      </c>
      <c r="Y1003">
        <v>0.23011519999999999</v>
      </c>
      <c r="Z1003">
        <v>-1.5804499999999999E-2</v>
      </c>
      <c r="AA1003">
        <v>0.97303499999999998</v>
      </c>
      <c r="AB1003">
        <v>25</v>
      </c>
      <c r="AC1003">
        <v>8.3697999999999908</v>
      </c>
      <c r="AD1003">
        <v>-1.105722781503</v>
      </c>
      <c r="AE1003">
        <v>-1.95570000000003</v>
      </c>
      <c r="AF1003">
        <v>1.9972433484147301</v>
      </c>
      <c r="AG1003">
        <v>-1.105722781503</v>
      </c>
      <c r="AH1003">
        <v>8.2160498825162591</v>
      </c>
      <c r="AI1003">
        <v>97.450428497703896</v>
      </c>
      <c r="AJ1003">
        <v>76.336957965079193</v>
      </c>
      <c r="AK1003">
        <v>8.5273137349529406</v>
      </c>
    </row>
    <row r="1004" spans="1:37" x14ac:dyDescent="0.2">
      <c r="A1004" t="str">
        <f>"20200111153627532"</f>
        <v>20200111153627532</v>
      </c>
      <c r="B1004" t="str">
        <f>"1578728187523668"</f>
        <v>1578728187523668</v>
      </c>
      <c r="C1004" t="s">
        <v>37</v>
      </c>
      <c r="D1004">
        <v>6.2012400000000003</v>
      </c>
      <c r="E1004">
        <v>0.58198640000000001</v>
      </c>
      <c r="F1004" t="s">
        <v>38</v>
      </c>
      <c r="G1004">
        <v>-230.54249999999999</v>
      </c>
      <c r="H1004">
        <v>1.0116609999999999</v>
      </c>
      <c r="I1004">
        <v>367.14109999999999</v>
      </c>
      <c r="J1004">
        <v>-231.11580000000001</v>
      </c>
      <c r="K1004">
        <v>1.1056680000000001</v>
      </c>
      <c r="L1004">
        <v>367.31079999999997</v>
      </c>
      <c r="M1004">
        <v>0.99977479999999996</v>
      </c>
      <c r="N1004">
        <v>0</v>
      </c>
      <c r="O1004">
        <v>8.9391499999999999E-3</v>
      </c>
      <c r="P1004">
        <v>0.99878899999999904</v>
      </c>
      <c r="Q1004">
        <v>4.8699069999999997E-2</v>
      </c>
      <c r="R1004">
        <v>-7.0200439999999996E-3</v>
      </c>
      <c r="S1004">
        <v>3.017868</v>
      </c>
      <c r="T1004">
        <v>-0.38705800000000001</v>
      </c>
      <c r="U1004">
        <v>-0.69073490000000004</v>
      </c>
      <c r="V1004">
        <v>1.5948750000000001E-2</v>
      </c>
      <c r="W1004">
        <v>6.7919690000000005E-2</v>
      </c>
      <c r="X1004">
        <v>0.99756329999999904</v>
      </c>
      <c r="Y1004">
        <v>0.229958</v>
      </c>
      <c r="Z1004">
        <v>-1.5629179999999999E-2</v>
      </c>
      <c r="AA1004">
        <v>0.97307500000000002</v>
      </c>
      <c r="AB1004">
        <v>25</v>
      </c>
      <c r="AC1004">
        <v>0.57330000000001702</v>
      </c>
      <c r="AD1004">
        <v>-9.4006999999999896E-2</v>
      </c>
      <c r="AE1004">
        <v>-0.16969999999997701</v>
      </c>
      <c r="AF1004">
        <v>0.17060141209757801</v>
      </c>
      <c r="AG1004">
        <v>-9.4006999999999896E-2</v>
      </c>
      <c r="AH1004">
        <v>0.55796592416513402</v>
      </c>
      <c r="AI1004">
        <v>99.152758975970201</v>
      </c>
      <c r="AJ1004">
        <v>72.998674964280198</v>
      </c>
      <c r="AK1004">
        <v>0.59098911190320602</v>
      </c>
    </row>
    <row r="1005" spans="1:37" x14ac:dyDescent="0.2">
      <c r="A1005" t="str">
        <f>"20200111153627548"</f>
        <v>20200111153627548</v>
      </c>
      <c r="B1005" t="str">
        <f>"1578728187543189"</f>
        <v>1578728187543189</v>
      </c>
      <c r="C1005" t="s">
        <v>37</v>
      </c>
      <c r="D1005">
        <v>6.1735540000000002</v>
      </c>
      <c r="E1005">
        <v>0.58160199999999995</v>
      </c>
      <c r="F1005" t="s">
        <v>38</v>
      </c>
      <c r="G1005">
        <v>-230.32329999999999</v>
      </c>
      <c r="H1005">
        <v>1.0043500000000001</v>
      </c>
      <c r="I1005">
        <v>367.1293</v>
      </c>
      <c r="J1005">
        <v>-230.94470000000001</v>
      </c>
      <c r="K1005">
        <v>1.1056219999999899</v>
      </c>
      <c r="L1005">
        <v>367.31229999999999</v>
      </c>
      <c r="M1005">
        <v>0.99978259999999997</v>
      </c>
      <c r="N1005">
        <v>0</v>
      </c>
      <c r="O1005">
        <v>8.9595149999999995E-3</v>
      </c>
      <c r="P1005">
        <v>0.99876330000000002</v>
      </c>
      <c r="Q1005">
        <v>4.9118179999999997E-2</v>
      </c>
      <c r="R1005">
        <v>-7.6971380000000001E-3</v>
      </c>
      <c r="S1005">
        <v>3.0176090000000002</v>
      </c>
      <c r="T1005">
        <v>-0.38584059999999998</v>
      </c>
      <c r="U1005">
        <v>-0.69058229999999998</v>
      </c>
      <c r="V1005">
        <v>1.6646049999999999E-2</v>
      </c>
      <c r="W1005">
        <v>6.7911600000000003E-2</v>
      </c>
      <c r="X1005">
        <v>0.99755249999999995</v>
      </c>
      <c r="Y1005">
        <v>0.22996030000000001</v>
      </c>
      <c r="Z1005">
        <v>-1.558448E-2</v>
      </c>
      <c r="AA1005">
        <v>0.97307520000000003</v>
      </c>
      <c r="AB1005">
        <v>25</v>
      </c>
      <c r="AC1005">
        <v>0.62140000000002205</v>
      </c>
      <c r="AD1005">
        <v>-0.101271999999999</v>
      </c>
      <c r="AE1005">
        <v>-0.182999999999992</v>
      </c>
      <c r="AF1005">
        <v>0.18406244870874799</v>
      </c>
      <c r="AG1005">
        <v>-0.101271999999999</v>
      </c>
      <c r="AH1005">
        <v>0.60494971386596996</v>
      </c>
      <c r="AI1005">
        <v>99.099019514669706</v>
      </c>
      <c r="AJ1005">
        <v>73.0770536167594</v>
      </c>
      <c r="AK1005">
        <v>0.64038984947856603</v>
      </c>
    </row>
    <row r="1006" spans="1:37" x14ac:dyDescent="0.2">
      <c r="A1006" t="str">
        <f>"20200111153627564"</f>
        <v>20200111153627564</v>
      </c>
      <c r="B1006" t="str">
        <f>"1578728187553925"</f>
        <v>1578728187553925</v>
      </c>
      <c r="C1006" t="s">
        <v>37</v>
      </c>
      <c r="D1006">
        <v>6.1779529999999996</v>
      </c>
      <c r="E1006">
        <v>0.5814087</v>
      </c>
      <c r="F1006" t="s">
        <v>38</v>
      </c>
      <c r="G1006">
        <v>-230.0968</v>
      </c>
      <c r="H1006">
        <v>0.99810619999999906</v>
      </c>
      <c r="I1006">
        <v>367.11829999999998</v>
      </c>
      <c r="J1006">
        <v>-230.7646</v>
      </c>
      <c r="K1006">
        <v>1.105586</v>
      </c>
      <c r="L1006">
        <v>367.31400000000002</v>
      </c>
      <c r="M1006">
        <v>0.99979050000000003</v>
      </c>
      <c r="N1006">
        <v>0</v>
      </c>
      <c r="O1006">
        <v>8.9811149999999996E-3</v>
      </c>
      <c r="P1006">
        <v>0.99876640000000005</v>
      </c>
      <c r="Q1006">
        <v>4.8856410000000003E-2</v>
      </c>
      <c r="R1006">
        <v>-8.8986199999999994E-3</v>
      </c>
      <c r="S1006">
        <v>3.0172119999999998</v>
      </c>
      <c r="T1006">
        <v>-0.38277879999999997</v>
      </c>
      <c r="U1006">
        <v>-0.68963619999999903</v>
      </c>
      <c r="V1006">
        <v>1.7868829999999999E-2</v>
      </c>
      <c r="W1006">
        <v>6.722177E-2</v>
      </c>
      <c r="X1006">
        <v>0.99757799999999996</v>
      </c>
      <c r="Y1006">
        <v>0.22974910000000001</v>
      </c>
      <c r="Z1006">
        <v>-1.545377E-2</v>
      </c>
      <c r="AA1006">
        <v>0.97312719999999897</v>
      </c>
      <c r="AB1006">
        <v>25</v>
      </c>
      <c r="AC1006">
        <v>0.66779999999999895</v>
      </c>
      <c r="AD1006">
        <v>-0.1074798</v>
      </c>
      <c r="AE1006">
        <v>-0.19570000000004401</v>
      </c>
      <c r="AF1006">
        <v>0.196991477601869</v>
      </c>
      <c r="AG1006">
        <v>-0.1074798</v>
      </c>
      <c r="AH1006">
        <v>0.65049754207071597</v>
      </c>
      <c r="AI1006">
        <v>98.9860592535492</v>
      </c>
      <c r="AJ1006">
        <v>73.152007665485399</v>
      </c>
      <c r="AK1006">
        <v>0.68811670659550905</v>
      </c>
    </row>
    <row r="1007" spans="1:37" x14ac:dyDescent="0.2">
      <c r="A1007" t="str">
        <f>"20200111153627586"</f>
        <v>20200111153627586</v>
      </c>
      <c r="B1007" t="str">
        <f>"1578728187573444"</f>
        <v>1578728187573444</v>
      </c>
      <c r="C1007" t="s">
        <v>37</v>
      </c>
      <c r="D1007">
        <v>6.1698409999999999</v>
      </c>
      <c r="E1007">
        <v>0.58104519999999904</v>
      </c>
      <c r="F1007" t="s">
        <v>39</v>
      </c>
      <c r="G1007">
        <v>-222.0489</v>
      </c>
      <c r="H1007" s="1">
        <v>-4.1563070000000003E-6</v>
      </c>
      <c r="I1007">
        <v>365.31509999999997</v>
      </c>
      <c r="J1007">
        <v>-230.52449999999999</v>
      </c>
      <c r="K1007">
        <v>1.105542</v>
      </c>
      <c r="L1007">
        <v>367.31610000000001</v>
      </c>
      <c r="M1007">
        <v>0.99980000000000002</v>
      </c>
      <c r="N1007">
        <v>0</v>
      </c>
      <c r="O1007">
        <v>9.0094860000000006E-3</v>
      </c>
      <c r="P1007">
        <v>0.99875219999999898</v>
      </c>
      <c r="Q1007">
        <v>4.8859060000000003E-2</v>
      </c>
      <c r="R1007">
        <v>-1.0348049999999999E-2</v>
      </c>
      <c r="S1007">
        <v>3.0162810000000002</v>
      </c>
      <c r="T1007">
        <v>-0.38261220000000001</v>
      </c>
      <c r="U1007">
        <v>-0.69174190000000002</v>
      </c>
      <c r="V1007">
        <v>1.934663E-2</v>
      </c>
      <c r="W1007">
        <v>6.6689849999999995E-2</v>
      </c>
      <c r="X1007">
        <v>0.99758619999999898</v>
      </c>
      <c r="Y1007">
        <v>0.230482299999999</v>
      </c>
      <c r="Z1007">
        <v>-1.5499799999999999E-2</v>
      </c>
      <c r="AA1007">
        <v>0.97295309999999902</v>
      </c>
      <c r="AB1007">
        <v>25</v>
      </c>
      <c r="AC1007">
        <v>8.4755999999999805</v>
      </c>
      <c r="AD1007">
        <v>-1.1055461563069999</v>
      </c>
      <c r="AE1007">
        <v>-2.0010000000000301</v>
      </c>
      <c r="AF1007">
        <v>2.0443451190295101</v>
      </c>
      <c r="AG1007">
        <v>-1.1055461563069999</v>
      </c>
      <c r="AH1007">
        <v>8.3230903216972507</v>
      </c>
      <c r="AI1007">
        <v>97.3502578605043</v>
      </c>
      <c r="AJ1007">
        <v>76.200012615844699</v>
      </c>
      <c r="AK1007">
        <v>8.6414936077367699</v>
      </c>
    </row>
    <row r="1008" spans="1:37" x14ac:dyDescent="0.2">
      <c r="A1008" t="str">
        <f>"20200111153627608"</f>
        <v>20200111153627608</v>
      </c>
      <c r="B1008" t="str">
        <f>"1578728187603700"</f>
        <v>1578728187603700</v>
      </c>
      <c r="C1008" t="s">
        <v>37</v>
      </c>
      <c r="D1008">
        <v>6.1958349999999998</v>
      </c>
      <c r="E1008">
        <v>0.58053030000000005</v>
      </c>
      <c r="F1008" t="s">
        <v>39</v>
      </c>
      <c r="G1008">
        <v>-221.77180000000001</v>
      </c>
      <c r="H1008" s="1">
        <v>-4.2772259999999998E-6</v>
      </c>
      <c r="I1008">
        <v>365.30349999999999</v>
      </c>
      <c r="J1008">
        <v>-230.2807</v>
      </c>
      <c r="K1008">
        <v>1.105502</v>
      </c>
      <c r="L1008">
        <v>367.31830000000002</v>
      </c>
      <c r="M1008">
        <v>0.99980849999999899</v>
      </c>
      <c r="N1008">
        <v>0</v>
      </c>
      <c r="O1008">
        <v>9.036423E-3</v>
      </c>
      <c r="P1008">
        <v>0.99874989999999997</v>
      </c>
      <c r="Q1008">
        <v>4.851159E-2</v>
      </c>
      <c r="R1008">
        <v>-1.2086019999999999E-2</v>
      </c>
      <c r="S1008">
        <v>3.0151979999999998</v>
      </c>
      <c r="T1008">
        <v>-0.38084440000000003</v>
      </c>
      <c r="U1008">
        <v>-0.69329830000000003</v>
      </c>
      <c r="V1008">
        <v>2.1111209999999998E-2</v>
      </c>
      <c r="W1008">
        <v>6.5844369999999999E-2</v>
      </c>
      <c r="X1008">
        <v>0.99760659999999901</v>
      </c>
      <c r="Y1008">
        <v>0.23107269999999999</v>
      </c>
      <c r="Z1008">
        <v>-1.5473219999999999E-2</v>
      </c>
      <c r="AA1008">
        <v>0.97281340000000005</v>
      </c>
      <c r="AB1008">
        <v>25</v>
      </c>
      <c r="AC1008">
        <v>8.5088999999999793</v>
      </c>
      <c r="AD1008">
        <v>-1.105506277226</v>
      </c>
      <c r="AE1008">
        <v>-2.0148000000000299</v>
      </c>
      <c r="AF1008">
        <v>2.0587129917755602</v>
      </c>
      <c r="AG1008">
        <v>-1.105506277226</v>
      </c>
      <c r="AH1008">
        <v>8.3567691324616007</v>
      </c>
      <c r="AI1008">
        <v>97.319471151848404</v>
      </c>
      <c r="AJ1008">
        <v>76.160604668615093</v>
      </c>
      <c r="AK1008">
        <v>8.6773287159559995</v>
      </c>
    </row>
    <row r="1009" spans="1:37" x14ac:dyDescent="0.2">
      <c r="A1009" t="str">
        <f>"20200111153627631"</f>
        <v>20200111153627631</v>
      </c>
      <c r="B1009" t="str">
        <f>"1578728187623220"</f>
        <v>1578728187623220</v>
      </c>
      <c r="C1009" t="s">
        <v>37</v>
      </c>
      <c r="D1009">
        <v>6.1755949999999897</v>
      </c>
      <c r="E1009">
        <v>0.58018769999999997</v>
      </c>
      <c r="F1009" t="s">
        <v>39</v>
      </c>
      <c r="G1009">
        <v>-221.5035</v>
      </c>
      <c r="H1009" s="1">
        <v>-4.3938000000000002E-6</v>
      </c>
      <c r="I1009">
        <v>365.2953</v>
      </c>
      <c r="J1009">
        <v>-230.03299999999999</v>
      </c>
      <c r="K1009">
        <v>1.105469</v>
      </c>
      <c r="L1009">
        <v>367.32060000000001</v>
      </c>
      <c r="M1009">
        <v>0.99981609999999999</v>
      </c>
      <c r="N1009">
        <v>0</v>
      </c>
      <c r="O1009">
        <v>9.0594379999999995E-3</v>
      </c>
      <c r="P1009">
        <v>0.9987376</v>
      </c>
      <c r="Q1009">
        <v>4.8095619999999999E-2</v>
      </c>
      <c r="R1009">
        <v>-1.450831E-2</v>
      </c>
      <c r="S1009">
        <v>3.0137939999999999</v>
      </c>
      <c r="T1009">
        <v>-0.37958959999999897</v>
      </c>
      <c r="U1009">
        <v>-0.69464110000000001</v>
      </c>
      <c r="V1009">
        <v>2.355674E-2</v>
      </c>
      <c r="W1009">
        <v>6.4973619999999996E-2</v>
      </c>
      <c r="X1009">
        <v>0.99760890000000002</v>
      </c>
      <c r="Y1009">
        <v>0.23161180000000001</v>
      </c>
      <c r="Z1009">
        <v>-1.5465049999999999E-2</v>
      </c>
      <c r="AA1009">
        <v>0.97268529999999997</v>
      </c>
      <c r="AB1009">
        <v>25</v>
      </c>
      <c r="AC1009">
        <v>8.5294999999999792</v>
      </c>
      <c r="AD1009">
        <v>-1.1054733938000001</v>
      </c>
      <c r="AE1009">
        <v>-2.0253000000000099</v>
      </c>
      <c r="AF1009">
        <v>2.0695914658810999</v>
      </c>
      <c r="AG1009">
        <v>-1.1054733938000001</v>
      </c>
      <c r="AH1009">
        <v>8.3775858007747797</v>
      </c>
      <c r="AI1009">
        <v>97.300112640192907</v>
      </c>
      <c r="AJ1009">
        <v>76.123533916845901</v>
      </c>
      <c r="AK1009">
        <v>8.6999554084714106</v>
      </c>
    </row>
    <row r="1010" spans="1:37" x14ac:dyDescent="0.2">
      <c r="A1010" t="str">
        <f>"20200111153627645"</f>
        <v>20200111153627645</v>
      </c>
      <c r="B1010" t="str">
        <f>"1578728187633956"</f>
        <v>1578728187633956</v>
      </c>
      <c r="C1010" t="s">
        <v>37</v>
      </c>
      <c r="D1010">
        <v>6.1831610000000001</v>
      </c>
      <c r="E1010">
        <v>0.5800092</v>
      </c>
      <c r="F1010" t="s">
        <v>38</v>
      </c>
      <c r="G1010">
        <v>-229.2159</v>
      </c>
      <c r="H1010">
        <v>1.002394</v>
      </c>
      <c r="I1010">
        <v>367.13069999999999</v>
      </c>
      <c r="J1010">
        <v>-229.87469999999999</v>
      </c>
      <c r="K1010">
        <v>1.105451</v>
      </c>
      <c r="L1010">
        <v>367.32209999999998</v>
      </c>
      <c r="M1010">
        <v>0.9998203</v>
      </c>
      <c r="N1010">
        <v>0</v>
      </c>
      <c r="O1010">
        <v>9.0709829999999995E-3</v>
      </c>
      <c r="P1010">
        <v>0.99873999999999996</v>
      </c>
      <c r="Q1010">
        <v>4.7615039999999997E-2</v>
      </c>
      <c r="R1010">
        <v>-1.584675E-2</v>
      </c>
      <c r="S1010">
        <v>3.011978</v>
      </c>
      <c r="T1010">
        <v>-0.38024829999999998</v>
      </c>
      <c r="U1010">
        <v>-0.69857789999999997</v>
      </c>
      <c r="V1010">
        <v>2.4907269999999999E-2</v>
      </c>
      <c r="W1010">
        <v>6.4228939999999998E-2</v>
      </c>
      <c r="X1010">
        <v>0.99762430000000002</v>
      </c>
      <c r="Y1010">
        <v>0.23294009999999901</v>
      </c>
      <c r="Z1010">
        <v>-1.558235E-2</v>
      </c>
      <c r="AA1010">
        <v>0.97236619999999996</v>
      </c>
      <c r="AB1010">
        <v>25</v>
      </c>
      <c r="AC1010">
        <v>0.65879999999998495</v>
      </c>
      <c r="AD1010">
        <v>-0.103056999999999</v>
      </c>
      <c r="AE1010">
        <v>-0.191399999999987</v>
      </c>
      <c r="AF1010">
        <v>0.193013364743711</v>
      </c>
      <c r="AG1010">
        <v>-0.103056999999999</v>
      </c>
      <c r="AH1010">
        <v>0.64253693756976304</v>
      </c>
      <c r="AI1010">
        <v>98.7329381033869</v>
      </c>
      <c r="AJ1010">
        <v>73.280119083259095</v>
      </c>
      <c r="AK1010">
        <v>0.67876993183273704</v>
      </c>
    </row>
    <row r="1011" spans="1:37" x14ac:dyDescent="0.2">
      <c r="A1011" t="str">
        <f>"20200111153627663"</f>
        <v>20200111153627663</v>
      </c>
      <c r="B1011" t="str">
        <f>"1578728187653476"</f>
        <v>1578728187653476</v>
      </c>
      <c r="C1011" t="s">
        <v>37</v>
      </c>
      <c r="D1011">
        <v>6.1840229999999998</v>
      </c>
      <c r="E1011">
        <v>0.57969519999999997</v>
      </c>
      <c r="F1011" t="s">
        <v>39</v>
      </c>
      <c r="G1011">
        <v>-221.1455</v>
      </c>
      <c r="H1011" s="1">
        <v>-4.5482069999999999E-6</v>
      </c>
      <c r="I1011">
        <v>365.29039999999998</v>
      </c>
      <c r="J1011">
        <v>-229.6781</v>
      </c>
      <c r="K1011">
        <v>1.1054219999999999</v>
      </c>
      <c r="L1011">
        <v>367.32389999999998</v>
      </c>
      <c r="M1011">
        <v>0.99982539999999998</v>
      </c>
      <c r="N1011">
        <v>0</v>
      </c>
      <c r="O1011">
        <v>9.0811529999999998E-3</v>
      </c>
      <c r="P1011">
        <v>0.99876390000000004</v>
      </c>
      <c r="Q1011">
        <v>4.6385719999999998E-2</v>
      </c>
      <c r="R1011">
        <v>-1.7872249999999999E-2</v>
      </c>
      <c r="S1011">
        <v>3.0108489999999999</v>
      </c>
      <c r="T1011">
        <v>-0.38129009999999902</v>
      </c>
      <c r="U1011">
        <v>-0.70074459999999905</v>
      </c>
      <c r="V1011">
        <v>2.6943370000000001E-2</v>
      </c>
      <c r="W1011">
        <v>6.2699950000000004E-2</v>
      </c>
      <c r="X1011">
        <v>0.99766869999999996</v>
      </c>
      <c r="Y1011">
        <v>0.23367739999999901</v>
      </c>
      <c r="Z1011">
        <v>-1.5676300000000001E-2</v>
      </c>
      <c r="AA1011">
        <v>0.97218780000000005</v>
      </c>
      <c r="AB1011">
        <v>25</v>
      </c>
      <c r="AC1011">
        <v>8.5326000000000004</v>
      </c>
      <c r="AD1011">
        <v>-1.10542654820699</v>
      </c>
      <c r="AE1011">
        <v>-2.0335000000000001</v>
      </c>
      <c r="AF1011">
        <v>2.0779109093577302</v>
      </c>
      <c r="AG1011">
        <v>-1.10542654820699</v>
      </c>
      <c r="AH1011">
        <v>8.3806770954382301</v>
      </c>
      <c r="AI1011">
        <v>97.295625506078295</v>
      </c>
      <c r="AJ1011">
        <v>76.074859117091805</v>
      </c>
      <c r="AK1011">
        <v>8.7049083957679692</v>
      </c>
    </row>
    <row r="1012" spans="1:37" x14ac:dyDescent="0.2">
      <c r="A1012" t="str">
        <f>"20200111153627677"</f>
        <v>20200111153627677</v>
      </c>
      <c r="B1012" t="str">
        <f>"1578728187673972"</f>
        <v>1578728187673972</v>
      </c>
      <c r="C1012" t="s">
        <v>37</v>
      </c>
      <c r="D1012">
        <v>6.2053529999999997</v>
      </c>
      <c r="E1012">
        <v>0.5793874</v>
      </c>
      <c r="F1012" t="s">
        <v>39</v>
      </c>
      <c r="G1012">
        <v>-221.00620000000001</v>
      </c>
      <c r="H1012" s="1">
        <v>-4.6074589999999999E-6</v>
      </c>
      <c r="I1012">
        <v>365.29340000000002</v>
      </c>
      <c r="J1012">
        <v>-229.5051</v>
      </c>
      <c r="K1012">
        <v>1.105407</v>
      </c>
      <c r="L1012">
        <v>367.32549999999998</v>
      </c>
      <c r="M1012">
        <v>0.99982919999999997</v>
      </c>
      <c r="N1012">
        <v>0</v>
      </c>
      <c r="O1012">
        <v>9.0869330000000002E-3</v>
      </c>
      <c r="P1012">
        <v>0.99874660000000004</v>
      </c>
      <c r="Q1012">
        <v>4.6390670000000002E-2</v>
      </c>
      <c r="R1012">
        <v>-1.8798760000000001E-2</v>
      </c>
      <c r="S1012">
        <v>3.0089419999999998</v>
      </c>
      <c r="T1012">
        <v>-0.38355059999999902</v>
      </c>
      <c r="U1012">
        <v>-0.70449830000000002</v>
      </c>
      <c r="V1012">
        <v>2.7876129999999999E-2</v>
      </c>
      <c r="W1012">
        <v>6.2463900000000003E-2</v>
      </c>
      <c r="X1012">
        <v>0.99765780000000004</v>
      </c>
      <c r="Y1012">
        <v>0.2349359</v>
      </c>
      <c r="Z1012">
        <v>-1.585555E-2</v>
      </c>
      <c r="AA1012">
        <v>0.97188159999999901</v>
      </c>
      <c r="AB1012">
        <v>25</v>
      </c>
      <c r="AC1012">
        <v>8.4988999999999901</v>
      </c>
      <c r="AD1012">
        <v>-1.1054116074589999</v>
      </c>
      <c r="AE1012">
        <v>-2.0320999999999501</v>
      </c>
      <c r="AF1012">
        <v>2.0760340375330499</v>
      </c>
      <c r="AG1012">
        <v>-1.1054116074589999</v>
      </c>
      <c r="AH1012">
        <v>8.3465189343338899</v>
      </c>
      <c r="AI1012">
        <v>97.323722832792896</v>
      </c>
      <c r="AJ1012">
        <v>76.032233944104703</v>
      </c>
      <c r="AK1012">
        <v>8.6715760083213809</v>
      </c>
    </row>
    <row r="1013" spans="1:37" x14ac:dyDescent="0.2">
      <c r="A1013" t="str">
        <f>"20200111153627690"</f>
        <v>20200111153627690</v>
      </c>
      <c r="B1013" t="str">
        <f>"1578728187683732"</f>
        <v>1578728187683732</v>
      </c>
      <c r="C1013" t="s">
        <v>37</v>
      </c>
      <c r="D1013">
        <v>6.1677249999999999</v>
      </c>
      <c r="E1013">
        <v>0.57923539999999996</v>
      </c>
      <c r="F1013" t="s">
        <v>38</v>
      </c>
      <c r="G1013">
        <v>-228.77930000000001</v>
      </c>
      <c r="H1013">
        <v>1.0131760000000001</v>
      </c>
      <c r="I1013">
        <v>367.15519999999998</v>
      </c>
      <c r="J1013">
        <v>-229.3672</v>
      </c>
      <c r="K1013">
        <v>1.105399</v>
      </c>
      <c r="L1013">
        <v>367.32670000000002</v>
      </c>
      <c r="M1013">
        <v>0.9998319</v>
      </c>
      <c r="N1013">
        <v>0</v>
      </c>
      <c r="O1013">
        <v>9.0895960000000001E-3</v>
      </c>
      <c r="P1013">
        <v>0.99874379999999996</v>
      </c>
      <c r="Q1013">
        <v>4.6099199999999903E-2</v>
      </c>
      <c r="R1013">
        <v>-1.9638699999999999E-2</v>
      </c>
      <c r="S1013">
        <v>3.00827</v>
      </c>
      <c r="T1013">
        <v>-0.38249</v>
      </c>
      <c r="U1013">
        <v>-0.70480350000000003</v>
      </c>
      <c r="V1013">
        <v>2.8718939999999998E-2</v>
      </c>
      <c r="W1013">
        <v>6.1998930000000001E-2</v>
      </c>
      <c r="X1013">
        <v>0.99766299999999997</v>
      </c>
      <c r="Y1013">
        <v>0.235088299999999</v>
      </c>
      <c r="Z1013">
        <v>-1.5825140000000001E-2</v>
      </c>
      <c r="AA1013">
        <v>0.97184509999999902</v>
      </c>
      <c r="AB1013">
        <v>25</v>
      </c>
      <c r="AC1013">
        <v>0.58789999999998999</v>
      </c>
      <c r="AD1013">
        <v>-9.2222999999999902E-2</v>
      </c>
      <c r="AE1013">
        <v>-0.17150000000003701</v>
      </c>
      <c r="AF1013">
        <v>0.17291599619112299</v>
      </c>
      <c r="AG1013">
        <v>-9.2222999999999902E-2</v>
      </c>
      <c r="AH1013">
        <v>0.57331507315554497</v>
      </c>
      <c r="AI1013">
        <v>98.755157384114497</v>
      </c>
      <c r="AJ1013">
        <v>73.216306946105306</v>
      </c>
      <c r="AK1013">
        <v>0.60588381441916395</v>
      </c>
    </row>
    <row r="1014" spans="1:37" x14ac:dyDescent="0.2">
      <c r="A1014" t="str">
        <f>"20200111153627703"</f>
        <v>20200111153627703</v>
      </c>
      <c r="B1014" t="str">
        <f>"1578728187693492"</f>
        <v>1578728187693492</v>
      </c>
      <c r="C1014" t="s">
        <v>37</v>
      </c>
      <c r="D1014">
        <v>6.1516260000000003</v>
      </c>
      <c r="E1014">
        <v>0.57909880000000002</v>
      </c>
      <c r="F1014" t="s">
        <v>38</v>
      </c>
      <c r="G1014">
        <v>-228.5626</v>
      </c>
      <c r="H1014">
        <v>1.0029589999999999</v>
      </c>
      <c r="I1014">
        <v>367.13780000000003</v>
      </c>
      <c r="J1014">
        <v>-229.23330000000001</v>
      </c>
      <c r="K1014">
        <v>1.1053899999999901</v>
      </c>
      <c r="L1014">
        <v>367.3279</v>
      </c>
      <c r="M1014">
        <v>0.99983440000000001</v>
      </c>
      <c r="N1014">
        <v>0</v>
      </c>
      <c r="O1014">
        <v>9.0911989999999995E-3</v>
      </c>
      <c r="P1014">
        <v>0.99872030000000001</v>
      </c>
      <c r="Q1014">
        <v>4.6130119999999997E-2</v>
      </c>
      <c r="R1014">
        <v>-2.0735099999999999E-2</v>
      </c>
      <c r="S1014">
        <v>3.007584</v>
      </c>
      <c r="T1014">
        <v>-0.38307209999999903</v>
      </c>
      <c r="U1014">
        <v>-0.70565800000000001</v>
      </c>
      <c r="V1014">
        <v>2.9816909999999999E-2</v>
      </c>
      <c r="W1014">
        <v>6.1869010000000002E-2</v>
      </c>
      <c r="X1014">
        <v>0.99763880000000005</v>
      </c>
      <c r="Y1014">
        <v>0.2353922</v>
      </c>
      <c r="Z1014">
        <v>-1.587125E-2</v>
      </c>
      <c r="AA1014">
        <v>0.97177089999999999</v>
      </c>
      <c r="AB1014">
        <v>25</v>
      </c>
      <c r="AC1014">
        <v>0.67070000000000995</v>
      </c>
      <c r="AD1014">
        <v>-0.102430999999999</v>
      </c>
      <c r="AE1014">
        <v>-0.19009999999997201</v>
      </c>
      <c r="AF1014">
        <v>0.19204418167573201</v>
      </c>
      <c r="AG1014">
        <v>-0.102430999999999</v>
      </c>
      <c r="AH1014">
        <v>0.65480671280192704</v>
      </c>
      <c r="AI1014">
        <v>98.536748834804797</v>
      </c>
      <c r="AJ1014">
        <v>73.654443243882</v>
      </c>
      <c r="AK1014">
        <v>0.69003254170145301</v>
      </c>
    </row>
    <row r="1015" spans="1:37" x14ac:dyDescent="0.2">
      <c r="A1015" t="str">
        <f>"20200111153627718"</f>
        <v>20200111153627718</v>
      </c>
      <c r="B1015" t="str">
        <f>"1578728187713987"</f>
        <v>1578728187713987</v>
      </c>
      <c r="C1015" t="s">
        <v>37</v>
      </c>
      <c r="D1015">
        <v>6.167376</v>
      </c>
      <c r="E1015">
        <v>0.5788198</v>
      </c>
      <c r="F1015" t="s">
        <v>39</v>
      </c>
      <c r="G1015">
        <v>-220.5496</v>
      </c>
      <c r="H1015" s="1">
        <v>-4.8048860000000004E-6</v>
      </c>
      <c r="I1015">
        <v>365.28469999999999</v>
      </c>
      <c r="J1015">
        <v>-229.0615</v>
      </c>
      <c r="K1015">
        <v>1.10538</v>
      </c>
      <c r="L1015">
        <v>367.3295</v>
      </c>
      <c r="M1015">
        <v>0.99983729999999904</v>
      </c>
      <c r="N1015">
        <v>0</v>
      </c>
      <c r="O1015">
        <v>9.0918289999999992E-3</v>
      </c>
      <c r="P1015">
        <v>0.99868799999999902</v>
      </c>
      <c r="Q1015">
        <v>4.5732540000000002E-2</v>
      </c>
      <c r="R1015">
        <v>-2.3044080000000002E-2</v>
      </c>
      <c r="S1015">
        <v>3.0068359999999998</v>
      </c>
      <c r="T1015">
        <v>-0.38275300000000001</v>
      </c>
      <c r="U1015">
        <v>-0.70745849999999999</v>
      </c>
      <c r="V1015">
        <v>3.2126420000000003E-2</v>
      </c>
      <c r="W1015">
        <v>6.1280279999999999E-2</v>
      </c>
      <c r="X1015">
        <v>0.99760339999999903</v>
      </c>
      <c r="Y1015">
        <v>0.23599580000000001</v>
      </c>
      <c r="Z1015">
        <v>-1.589871E-2</v>
      </c>
      <c r="AA1015">
        <v>0.97162399999999904</v>
      </c>
      <c r="AB1015">
        <v>25</v>
      </c>
      <c r="AC1015">
        <v>8.51189999999999</v>
      </c>
      <c r="AD1015">
        <v>-1.105384804886</v>
      </c>
      <c r="AE1015">
        <v>-2.0448</v>
      </c>
      <c r="AF1015">
        <v>2.0888088475344202</v>
      </c>
      <c r="AG1015">
        <v>-1.105384804886</v>
      </c>
      <c r="AH1015">
        <v>8.3596652457670793</v>
      </c>
      <c r="AI1015">
        <v>97.310225000570398</v>
      </c>
      <c r="AJ1015">
        <v>75.970900638628507</v>
      </c>
      <c r="AK1015">
        <v>8.6872896227590406</v>
      </c>
    </row>
    <row r="1016" spans="1:37" x14ac:dyDescent="0.2">
      <c r="A1016" t="str">
        <f>"20200111153627732"</f>
        <v>20200111153627732</v>
      </c>
      <c r="B1016" t="str">
        <f>"1578728187723749"</f>
        <v>1578728187723749</v>
      </c>
      <c r="C1016" t="s">
        <v>37</v>
      </c>
      <c r="D1016">
        <v>6.1802229999999998</v>
      </c>
      <c r="E1016">
        <v>0.57868980000000003</v>
      </c>
      <c r="F1016" t="s">
        <v>38</v>
      </c>
      <c r="G1016">
        <v>-228.3408</v>
      </c>
      <c r="H1016">
        <v>1.013603</v>
      </c>
      <c r="I1016">
        <v>367.1585</v>
      </c>
      <c r="J1016">
        <v>-228.91319999999999</v>
      </c>
      <c r="K1016">
        <v>1.105372</v>
      </c>
      <c r="L1016">
        <v>367.33080000000001</v>
      </c>
      <c r="M1016">
        <v>0.99983960000000005</v>
      </c>
      <c r="N1016">
        <v>0</v>
      </c>
      <c r="O1016">
        <v>9.0905719999999999E-3</v>
      </c>
      <c r="P1016">
        <v>0.99868939999999995</v>
      </c>
      <c r="Q1016">
        <v>4.5231159999999999E-2</v>
      </c>
      <c r="R1016">
        <v>-2.3951739999999999E-2</v>
      </c>
      <c r="S1016">
        <v>3.0050509999999999</v>
      </c>
      <c r="T1016">
        <v>-0.38282820000000001</v>
      </c>
      <c r="U1016">
        <v>-0.71194460000000004</v>
      </c>
      <c r="V1016">
        <v>3.3032980000000003E-2</v>
      </c>
      <c r="W1016">
        <v>6.0633470000000002E-2</v>
      </c>
      <c r="X1016">
        <v>0.99761339999999998</v>
      </c>
      <c r="Y1016">
        <v>0.23748339999999901</v>
      </c>
      <c r="Z1016">
        <v>-1.6001209999999998E-2</v>
      </c>
      <c r="AA1016">
        <v>0.97125980000000001</v>
      </c>
      <c r="AB1016">
        <v>25</v>
      </c>
      <c r="AC1016">
        <v>0.57239999999998703</v>
      </c>
      <c r="AD1016">
        <v>-9.1769000000000003E-2</v>
      </c>
      <c r="AE1016">
        <v>-0.172300000000007</v>
      </c>
      <c r="AF1016">
        <v>0.173410006028727</v>
      </c>
      <c r="AG1016">
        <v>-9.1769000000000003E-2</v>
      </c>
      <c r="AH1016">
        <v>0.557666732524841</v>
      </c>
      <c r="AI1016">
        <v>98.930264643644094</v>
      </c>
      <c r="AJ1016">
        <v>72.726587155566506</v>
      </c>
      <c r="AK1016">
        <v>0.59117236413487395</v>
      </c>
    </row>
    <row r="1017" spans="1:37" x14ac:dyDescent="0.2">
      <c r="A1017" t="str">
        <f>"20200111153627745"</f>
        <v>20200111153627745</v>
      </c>
      <c r="B1017" t="str">
        <f>"1578728187733508"</f>
        <v>1578728187733508</v>
      </c>
      <c r="C1017" t="s">
        <v>37</v>
      </c>
      <c r="D1017">
        <v>6.1334489999999997</v>
      </c>
      <c r="E1017">
        <v>0.57855909999999999</v>
      </c>
      <c r="F1017" t="s">
        <v>38</v>
      </c>
      <c r="G1017">
        <v>-228.1234</v>
      </c>
      <c r="H1017">
        <v>1.004535</v>
      </c>
      <c r="I1017">
        <v>367.14299999999997</v>
      </c>
      <c r="J1017">
        <v>-228.7748</v>
      </c>
      <c r="K1017">
        <v>1.1053679999999999</v>
      </c>
      <c r="L1017">
        <v>367.33210000000003</v>
      </c>
      <c r="M1017">
        <v>0.999841599999999</v>
      </c>
      <c r="N1017">
        <v>0</v>
      </c>
      <c r="O1017">
        <v>9.0886990000000004E-3</v>
      </c>
      <c r="P1017">
        <v>0.99867669999999997</v>
      </c>
      <c r="Q1017">
        <v>4.5090940000000003E-2</v>
      </c>
      <c r="R1017">
        <v>-2.473622E-2</v>
      </c>
      <c r="S1017">
        <v>3.0041959999999999</v>
      </c>
      <c r="T1017">
        <v>-0.38360300000000003</v>
      </c>
      <c r="U1017">
        <v>-0.71398930000000005</v>
      </c>
      <c r="V1017">
        <v>3.3815539999999998E-2</v>
      </c>
      <c r="W1017">
        <v>6.0365019999999998E-2</v>
      </c>
      <c r="X1017">
        <v>0.99760339999999903</v>
      </c>
      <c r="Y1017">
        <v>0.2381558</v>
      </c>
      <c r="Z1017">
        <v>-1.6078459999999999E-2</v>
      </c>
      <c r="AA1017">
        <v>0.97109389999999995</v>
      </c>
      <c r="AB1017">
        <v>25</v>
      </c>
      <c r="AC1017">
        <v>0.65139999999999498</v>
      </c>
      <c r="AD1017">
        <v>-0.10083300000000001</v>
      </c>
      <c r="AE1017">
        <v>-0.18909999999999599</v>
      </c>
      <c r="AF1017">
        <v>0.19079685282266201</v>
      </c>
      <c r="AG1017">
        <v>-0.10083300000000001</v>
      </c>
      <c r="AH1017">
        <v>0.635607957270235</v>
      </c>
      <c r="AI1017">
        <v>98.639569016243996</v>
      </c>
      <c r="AJ1017">
        <v>73.291289898392506</v>
      </c>
      <c r="AK1017">
        <v>0.67124377708942196</v>
      </c>
    </row>
    <row r="1018" spans="1:37" x14ac:dyDescent="0.2">
      <c r="A1018" t="str">
        <f>"20200111153627759"</f>
        <v>20200111153627759</v>
      </c>
      <c r="B1018" t="str">
        <f>"1578728187754004"</f>
        <v>1578728187754004</v>
      </c>
      <c r="C1018" t="s">
        <v>37</v>
      </c>
      <c r="D1018">
        <v>6.2011589999999996</v>
      </c>
      <c r="E1018">
        <v>0.57820150000000003</v>
      </c>
      <c r="F1018" t="s">
        <v>39</v>
      </c>
      <c r="G1018">
        <v>-220.10560000000001</v>
      </c>
      <c r="H1018" s="1">
        <v>-4.9984409999999999E-6</v>
      </c>
      <c r="I1018">
        <v>365.26729999999998</v>
      </c>
      <c r="J1018">
        <v>-228.6181</v>
      </c>
      <c r="K1018">
        <v>1.1053649999999999</v>
      </c>
      <c r="L1018">
        <v>367.33350000000002</v>
      </c>
      <c r="M1018">
        <v>0.99984379999999995</v>
      </c>
      <c r="N1018">
        <v>0</v>
      </c>
      <c r="O1018">
        <v>9.0860449999999992E-3</v>
      </c>
      <c r="P1018">
        <v>0.9986469</v>
      </c>
      <c r="Q1018">
        <v>4.5343799999999997E-2</v>
      </c>
      <c r="R1018">
        <v>-2.546754E-2</v>
      </c>
      <c r="S1018">
        <v>3.003555</v>
      </c>
      <c r="T1018">
        <v>-0.38296790000000003</v>
      </c>
      <c r="U1018">
        <v>-0.71536250000000001</v>
      </c>
      <c r="V1018">
        <v>3.4543940000000002E-2</v>
      </c>
      <c r="W1018">
        <v>6.0481159999999999E-2</v>
      </c>
      <c r="X1018">
        <v>0.9975714</v>
      </c>
      <c r="Y1018">
        <v>0.2386221</v>
      </c>
      <c r="Z1018">
        <v>-1.6083400000000001E-2</v>
      </c>
      <c r="AA1018">
        <v>0.97097929999999999</v>
      </c>
      <c r="AB1018">
        <v>24</v>
      </c>
      <c r="AC1018">
        <v>8.5124999999999797</v>
      </c>
      <c r="AD1018">
        <v>-1.1053699984409999</v>
      </c>
      <c r="AE1018">
        <v>-2.06620000000003</v>
      </c>
      <c r="AF1018">
        <v>2.1098718984237701</v>
      </c>
      <c r="AG1018">
        <v>-1.1053699984409999</v>
      </c>
      <c r="AH1018">
        <v>8.3602480086513804</v>
      </c>
      <c r="AI1018">
        <v>97.305351828374299</v>
      </c>
      <c r="AJ1018">
        <v>75.836049754440495</v>
      </c>
      <c r="AK1018">
        <v>8.6929367320469506</v>
      </c>
    </row>
    <row r="1019" spans="1:37" x14ac:dyDescent="0.2">
      <c r="A1019" t="str">
        <f>"20200111153627773"</f>
        <v>20200111153627773</v>
      </c>
      <c r="B1019" t="str">
        <f>"1578728187763764"</f>
        <v>1578728187763764</v>
      </c>
      <c r="C1019" t="s">
        <v>37</v>
      </c>
      <c r="D1019">
        <v>6.1276809999999999</v>
      </c>
      <c r="E1019">
        <v>0.57786999999999999</v>
      </c>
      <c r="F1019" t="s">
        <v>39</v>
      </c>
      <c r="G1019">
        <v>-219.9126</v>
      </c>
      <c r="H1019" s="1">
        <v>-1.174573E-6</v>
      </c>
      <c r="I1019">
        <v>365.26150000000001</v>
      </c>
      <c r="J1019">
        <v>-228.45699999999999</v>
      </c>
      <c r="K1019">
        <v>1.105372</v>
      </c>
      <c r="L1019">
        <v>367.33499999999998</v>
      </c>
      <c r="M1019">
        <v>0.99984569999999995</v>
      </c>
      <c r="N1019">
        <v>0</v>
      </c>
      <c r="O1019">
        <v>9.0831739999999994E-3</v>
      </c>
      <c r="P1019">
        <v>0.99859789999999904</v>
      </c>
      <c r="Q1019">
        <v>4.5469860000000001E-2</v>
      </c>
      <c r="R1019">
        <v>-2.7115170000000001E-2</v>
      </c>
      <c r="S1019">
        <v>3.0031430000000001</v>
      </c>
      <c r="T1019">
        <v>-0.38131490000000001</v>
      </c>
      <c r="U1019">
        <v>-0.71478269999999899</v>
      </c>
      <c r="V1019">
        <v>3.6188079999999997E-2</v>
      </c>
      <c r="W1019">
        <v>6.0483540000000002E-2</v>
      </c>
      <c r="X1019">
        <v>0.99751299999999898</v>
      </c>
      <c r="Y1019">
        <v>0.2384887</v>
      </c>
      <c r="Z1019">
        <v>-1.6008290000000001E-2</v>
      </c>
      <c r="AA1019">
        <v>0.97101329999999997</v>
      </c>
      <c r="AB1019">
        <v>24</v>
      </c>
      <c r="AC1019">
        <v>8.5443999999999907</v>
      </c>
      <c r="AD1019">
        <v>-1.105373174573</v>
      </c>
      <c r="AE1019">
        <v>-2.0734999999999602</v>
      </c>
      <c r="AF1019">
        <v>2.1175646731384501</v>
      </c>
      <c r="AG1019">
        <v>-1.105373174573</v>
      </c>
      <c r="AH1019">
        <v>8.3925640745845396</v>
      </c>
      <c r="AI1019">
        <v>97.277639160602305</v>
      </c>
      <c r="AJ1019">
        <v>75.839020234186194</v>
      </c>
      <c r="AK1019">
        <v>8.7258845824361302</v>
      </c>
    </row>
    <row r="1020" spans="1:37" x14ac:dyDescent="0.2">
      <c r="A1020" t="str">
        <f>"20200111153627789"</f>
        <v>20200111153627789</v>
      </c>
      <c r="B1020" t="str">
        <f>"1578728187783285"</f>
        <v>1578728187783285</v>
      </c>
      <c r="C1020" t="s">
        <v>37</v>
      </c>
      <c r="D1020">
        <v>6.2071420000000002</v>
      </c>
      <c r="E1020">
        <v>0.53528710000000002</v>
      </c>
      <c r="F1020" t="s">
        <v>38</v>
      </c>
      <c r="G1020">
        <v>-227.6865</v>
      </c>
      <c r="H1020">
        <v>1.0075179999999999</v>
      </c>
      <c r="I1020">
        <v>367.1508</v>
      </c>
      <c r="J1020">
        <v>-228.3023</v>
      </c>
      <c r="K1020">
        <v>1.1053729999999999</v>
      </c>
      <c r="L1020">
        <v>367.33640000000003</v>
      </c>
      <c r="M1020">
        <v>0.99984729999999999</v>
      </c>
      <c r="N1020">
        <v>0</v>
      </c>
      <c r="O1020">
        <v>9.0807890000000006E-3</v>
      </c>
      <c r="P1020">
        <v>0.99855849999999902</v>
      </c>
      <c r="Q1020">
        <v>4.5769890000000001E-2</v>
      </c>
      <c r="R1020">
        <v>-2.8038380000000002E-2</v>
      </c>
      <c r="S1020">
        <v>3.0021360000000001</v>
      </c>
      <c r="T1020">
        <v>-0.38149939999999999</v>
      </c>
      <c r="U1020">
        <v>-0.71649169999999995</v>
      </c>
      <c r="V1020">
        <v>3.7108479999999999E-2</v>
      </c>
      <c r="W1020">
        <v>6.0673909999999998E-2</v>
      </c>
      <c r="X1020">
        <v>0.99746759999999901</v>
      </c>
      <c r="Y1020">
        <v>0.2390756</v>
      </c>
      <c r="Z1020">
        <v>-1.605647E-2</v>
      </c>
      <c r="AA1020">
        <v>0.97086819999999896</v>
      </c>
      <c r="AB1020">
        <v>24</v>
      </c>
      <c r="AC1020">
        <v>0.61580000000000701</v>
      </c>
      <c r="AD1020">
        <v>-9.7854999999999803E-2</v>
      </c>
      <c r="AE1020">
        <v>-0.185600000000022</v>
      </c>
      <c r="AF1020">
        <v>0.18685937674643299</v>
      </c>
      <c r="AG1020">
        <v>-9.7854999999999803E-2</v>
      </c>
      <c r="AH1020">
        <v>0.60019531078322896</v>
      </c>
      <c r="AI1020">
        <v>98.848149388182705</v>
      </c>
      <c r="AJ1020">
        <v>72.707018028847997</v>
      </c>
      <c r="AK1020">
        <v>0.63618113677571597</v>
      </c>
    </row>
    <row r="1021" spans="1:37" x14ac:dyDescent="0.2">
      <c r="A1021" t="str">
        <f>"20200111153627801"</f>
        <v>20200111153627801</v>
      </c>
      <c r="B1021" t="str">
        <f>"1578728187794020"</f>
        <v>1578728187794020</v>
      </c>
      <c r="C1021" t="s">
        <v>37</v>
      </c>
      <c r="D1021">
        <v>6.2856309999999898</v>
      </c>
      <c r="E1021">
        <v>0.53655620000000004</v>
      </c>
      <c r="F1021" t="s">
        <v>38</v>
      </c>
      <c r="G1021">
        <v>-227.47190000000001</v>
      </c>
      <c r="H1021">
        <v>1.0136689999999999</v>
      </c>
      <c r="I1021">
        <v>367.2319</v>
      </c>
      <c r="J1021">
        <v>-228.15629999999999</v>
      </c>
      <c r="K1021">
        <v>1.105375</v>
      </c>
      <c r="L1021">
        <v>367.33769999999998</v>
      </c>
      <c r="M1021">
        <v>0.99984869999999904</v>
      </c>
      <c r="N1021">
        <v>0</v>
      </c>
      <c r="O1021">
        <v>9.0788369999999993E-3</v>
      </c>
      <c r="P1021">
        <v>0.9985195</v>
      </c>
      <c r="Q1021">
        <v>4.5997789999999997E-2</v>
      </c>
      <c r="R1021">
        <v>-2.9035310000000002E-2</v>
      </c>
      <c r="S1021">
        <v>3.0089419999999998</v>
      </c>
      <c r="T1021">
        <v>-0.33245419999999998</v>
      </c>
      <c r="U1021">
        <v>-0.37777709999999998</v>
      </c>
      <c r="V1021">
        <v>3.8103089999999999E-2</v>
      </c>
      <c r="W1021">
        <v>6.0804339999999998E-2</v>
      </c>
      <c r="X1021">
        <v>0.99742219999999904</v>
      </c>
      <c r="Y1021">
        <v>0.1327277</v>
      </c>
      <c r="Z1021">
        <v>-8.2783209999999999E-3</v>
      </c>
      <c r="AA1021">
        <v>0.99111800000000005</v>
      </c>
      <c r="AB1021">
        <v>24</v>
      </c>
      <c r="AC1021">
        <v>0.68439999999998202</v>
      </c>
      <c r="AD1021">
        <v>-9.1705999999999802E-2</v>
      </c>
      <c r="AE1021">
        <v>-0.105799999999987</v>
      </c>
      <c r="AF1021">
        <v>0.110079574436075</v>
      </c>
      <c r="AG1021">
        <v>-9.1705999999999802E-2</v>
      </c>
      <c r="AH1021">
        <v>0.67163368396009404</v>
      </c>
      <c r="AI1021">
        <v>97.674036363777802</v>
      </c>
      <c r="AJ1021">
        <v>80.692079250135606</v>
      </c>
      <c r="AK1021">
        <v>0.68674544670775595</v>
      </c>
    </row>
    <row r="1022" spans="1:37" x14ac:dyDescent="0.2">
      <c r="A1022" t="str">
        <f>"20200111153627815"</f>
        <v>20200111153627815</v>
      </c>
      <c r="B1022" t="str">
        <f>"1578728187803780"</f>
        <v>1578728187803780</v>
      </c>
      <c r="C1022" t="s">
        <v>37</v>
      </c>
      <c r="D1022">
        <v>6.1548600000000002</v>
      </c>
      <c r="E1022">
        <v>0.53468570000000004</v>
      </c>
      <c r="F1022" t="s">
        <v>38</v>
      </c>
      <c r="G1022">
        <v>-227.25729999999999</v>
      </c>
      <c r="H1022">
        <v>1.006766</v>
      </c>
      <c r="I1022">
        <v>367.2208</v>
      </c>
      <c r="J1022">
        <v>-228.0087</v>
      </c>
      <c r="K1022">
        <v>1.1053740000000001</v>
      </c>
      <c r="L1022">
        <v>367.33909999999997</v>
      </c>
      <c r="M1022">
        <v>0.99985009999999996</v>
      </c>
      <c r="N1022">
        <v>0</v>
      </c>
      <c r="O1022">
        <v>9.0773520000000003E-3</v>
      </c>
      <c r="P1022">
        <v>0.998502</v>
      </c>
      <c r="Q1022">
        <v>4.6100769999999999E-2</v>
      </c>
      <c r="R1022">
        <v>-2.9473200000000001E-2</v>
      </c>
      <c r="S1022">
        <v>3.00827</v>
      </c>
      <c r="T1022">
        <v>-0.33009850000000002</v>
      </c>
      <c r="U1022">
        <v>-0.39108280000000001</v>
      </c>
      <c r="V1022">
        <v>3.8539280000000002E-2</v>
      </c>
      <c r="W1022">
        <v>6.0819560000000002E-2</v>
      </c>
      <c r="X1022">
        <v>0.99740450000000003</v>
      </c>
      <c r="Y1022">
        <v>0.13705209999999901</v>
      </c>
      <c r="Z1022">
        <v>-8.4549540000000006E-3</v>
      </c>
      <c r="AA1022">
        <v>0.99052770000000001</v>
      </c>
      <c r="AB1022">
        <v>24</v>
      </c>
      <c r="AC1022">
        <v>0.75140000000001705</v>
      </c>
      <c r="AD1022">
        <v>-9.8608000000000001E-2</v>
      </c>
      <c r="AE1022">
        <v>-0.11829999999997599</v>
      </c>
      <c r="AF1022">
        <v>0.12304870890500499</v>
      </c>
      <c r="AG1022">
        <v>-9.8608000000000001E-2</v>
      </c>
      <c r="AH1022">
        <v>0.737894473961894</v>
      </c>
      <c r="AI1022">
        <v>97.509102615331898</v>
      </c>
      <c r="AJ1022">
        <v>80.532669219816597</v>
      </c>
      <c r="AK1022">
        <v>0.75455468796548397</v>
      </c>
    </row>
    <row r="1023" spans="1:37" x14ac:dyDescent="0.2">
      <c r="A1023" t="str">
        <f>"20200111153627831"</f>
        <v>20200111153627831</v>
      </c>
      <c r="B1023" t="str">
        <f>"1578728187823303"</f>
        <v>1578728187823303</v>
      </c>
      <c r="C1023" t="s">
        <v>37</v>
      </c>
      <c r="D1023">
        <v>9.3976229999999994</v>
      </c>
      <c r="E1023">
        <v>0.53076400000000001</v>
      </c>
      <c r="F1023" t="s">
        <v>38</v>
      </c>
      <c r="G1023">
        <v>-227.2499</v>
      </c>
      <c r="H1023">
        <v>1.022959</v>
      </c>
      <c r="I1023">
        <v>367.24369999999999</v>
      </c>
      <c r="J1023">
        <v>-227.8416</v>
      </c>
      <c r="K1023">
        <v>1.10538</v>
      </c>
      <c r="L1023">
        <v>367.34059999999999</v>
      </c>
      <c r="M1023">
        <v>0.99985139999999995</v>
      </c>
      <c r="N1023">
        <v>0</v>
      </c>
      <c r="O1023">
        <v>9.0763040000000003E-3</v>
      </c>
      <c r="P1023">
        <v>0.99849169999999998</v>
      </c>
      <c r="Q1023">
        <v>4.5980849999999997E-2</v>
      </c>
      <c r="R1023">
        <v>-3.000483E-2</v>
      </c>
      <c r="S1023">
        <v>3.0084379999999999</v>
      </c>
      <c r="T1023">
        <v>-0.32686979999999999</v>
      </c>
      <c r="U1023">
        <v>-0.37747190000000003</v>
      </c>
      <c r="V1023">
        <v>3.9069729999999997E-2</v>
      </c>
      <c r="W1023">
        <v>6.0608719999999998E-2</v>
      </c>
      <c r="X1023">
        <v>0.99739669999999903</v>
      </c>
      <c r="Y1023">
        <v>0.13267490000000001</v>
      </c>
      <c r="Z1023">
        <v>-8.1383469999999902E-3</v>
      </c>
      <c r="AA1023">
        <v>0.99112619999999896</v>
      </c>
      <c r="AB1023">
        <v>24</v>
      </c>
      <c r="AC1023">
        <v>0.591700000000002</v>
      </c>
      <c r="AD1023">
        <v>-8.2420999999999994E-2</v>
      </c>
      <c r="AE1023">
        <v>-9.6900000000005093E-2</v>
      </c>
      <c r="AF1023">
        <v>0.100370396313851</v>
      </c>
      <c r="AG1023">
        <v>-8.2420999999999994E-2</v>
      </c>
      <c r="AH1023">
        <v>0.57983917112756</v>
      </c>
      <c r="AI1023">
        <v>97.973076927568499</v>
      </c>
      <c r="AJ1023">
        <v>80.179392990079506</v>
      </c>
      <c r="AK1023">
        <v>0.59420611076552798</v>
      </c>
    </row>
    <row r="1024" spans="1:37" x14ac:dyDescent="0.2">
      <c r="A1024" t="str">
        <f>"20200111153627844"</f>
        <v>20200111153627844</v>
      </c>
      <c r="B1024" t="str">
        <f>"1578728187834036"</f>
        <v>1578728187834036</v>
      </c>
      <c r="C1024" t="s">
        <v>37</v>
      </c>
      <c r="D1024">
        <v>6.447368</v>
      </c>
      <c r="E1024">
        <v>0.53096290000000002</v>
      </c>
      <c r="F1024" t="s">
        <v>38</v>
      </c>
      <c r="G1024">
        <v>-227.03059999999999</v>
      </c>
      <c r="H1024">
        <v>1.026931</v>
      </c>
      <c r="I1024">
        <v>367.24669999999998</v>
      </c>
      <c r="J1024">
        <v>-227.68940000000001</v>
      </c>
      <c r="K1024">
        <v>1.10538</v>
      </c>
      <c r="L1024">
        <v>367.34199999999998</v>
      </c>
      <c r="M1024">
        <v>0.99985259999999998</v>
      </c>
      <c r="N1024">
        <v>0</v>
      </c>
      <c r="O1024">
        <v>9.0759169999999993E-3</v>
      </c>
      <c r="P1024">
        <v>0.99847219999999903</v>
      </c>
      <c r="Q1024">
        <v>4.6350139999999998E-2</v>
      </c>
      <c r="R1024">
        <v>-3.008831E-2</v>
      </c>
      <c r="S1024">
        <v>3.0074919999999898</v>
      </c>
      <c r="T1024">
        <v>-0.29117559999999998</v>
      </c>
      <c r="U1024">
        <v>-0.34750370000000003</v>
      </c>
      <c r="V1024">
        <v>3.9152529999999998E-2</v>
      </c>
      <c r="W1024">
        <v>6.0901429999999999E-2</v>
      </c>
      <c r="X1024">
        <v>0.99737559999999903</v>
      </c>
      <c r="Y1024">
        <v>0.123183999999999</v>
      </c>
      <c r="Z1024">
        <v>-6.8036030000000001E-3</v>
      </c>
      <c r="AA1024">
        <v>0.99236049999999998</v>
      </c>
      <c r="AB1024">
        <v>24</v>
      </c>
      <c r="AC1024">
        <v>0.65880000000001304</v>
      </c>
      <c r="AD1024">
        <v>-7.8448999999999894E-2</v>
      </c>
      <c r="AE1024">
        <v>-9.5300000000008794E-2</v>
      </c>
      <c r="AF1024">
        <v>9.98885628611976E-2</v>
      </c>
      <c r="AG1024">
        <v>-7.8448999999999894E-2</v>
      </c>
      <c r="AH1024">
        <v>0.64889527397215097</v>
      </c>
      <c r="AI1024">
        <v>96.813898066074202</v>
      </c>
      <c r="AJ1024">
        <v>81.248790051410197</v>
      </c>
      <c r="AK1024">
        <v>0.66120877729720795</v>
      </c>
    </row>
    <row r="1025" spans="1:37" x14ac:dyDescent="0.2">
      <c r="A1025" t="str">
        <f>"20200111153627857"</f>
        <v>20200111153627857</v>
      </c>
      <c r="B1025" t="str">
        <f>"1578728187853556"</f>
        <v>1578728187853556</v>
      </c>
      <c r="C1025" t="s">
        <v>37</v>
      </c>
      <c r="D1025">
        <v>8.8294509999999899</v>
      </c>
      <c r="E1025">
        <v>0.53048059999999997</v>
      </c>
      <c r="F1025" t="s">
        <v>38</v>
      </c>
      <c r="G1025">
        <v>-226.815</v>
      </c>
      <c r="H1025">
        <v>1.023444</v>
      </c>
      <c r="I1025">
        <v>367.24029999999999</v>
      </c>
      <c r="J1025">
        <v>-227.54470000000001</v>
      </c>
      <c r="K1025">
        <v>1.10538</v>
      </c>
      <c r="L1025">
        <v>367.3433</v>
      </c>
      <c r="M1025">
        <v>0.99985349999999995</v>
      </c>
      <c r="N1025">
        <v>0</v>
      </c>
      <c r="O1025">
        <v>9.0756980000000001E-3</v>
      </c>
      <c r="P1025">
        <v>0.9984305</v>
      </c>
      <c r="Q1025">
        <v>4.7035260000000002E-2</v>
      </c>
      <c r="R1025">
        <v>-3.0407150000000001E-2</v>
      </c>
      <c r="S1025">
        <v>3.0071560000000002</v>
      </c>
      <c r="T1025">
        <v>-0.28190879999999902</v>
      </c>
      <c r="U1025">
        <v>-0.34924319999999998</v>
      </c>
      <c r="V1025">
        <v>3.9470669999999999E-2</v>
      </c>
      <c r="W1025">
        <v>6.1519200000000003E-2</v>
      </c>
      <c r="X1025">
        <v>0.99732509999999996</v>
      </c>
      <c r="Y1025">
        <v>0.1237983</v>
      </c>
      <c r="Z1025">
        <v>-6.6171469999999899E-3</v>
      </c>
      <c r="AA1025">
        <v>0.99228539999999998</v>
      </c>
      <c r="AB1025">
        <v>24</v>
      </c>
      <c r="AC1025">
        <v>0.72970000000000801</v>
      </c>
      <c r="AD1025">
        <v>-8.1935999999999995E-2</v>
      </c>
      <c r="AE1025">
        <v>-0.103000000000008</v>
      </c>
      <c r="AF1025">
        <v>0.10828041625654999</v>
      </c>
      <c r="AG1025">
        <v>-8.1935999999999995E-2</v>
      </c>
      <c r="AH1025">
        <v>0.71983634485557701</v>
      </c>
      <c r="AI1025">
        <v>96.422155345365397</v>
      </c>
      <c r="AJ1025">
        <v>81.445496186084796</v>
      </c>
      <c r="AK1025">
        <v>0.73253158294760801</v>
      </c>
    </row>
    <row r="1026" spans="1:37" x14ac:dyDescent="0.2">
      <c r="A1026" t="str">
        <f>"20200111153627875"</f>
        <v>20200111153627875</v>
      </c>
      <c r="B1026" t="str">
        <f>"1578728187863315"</f>
        <v>1578728187863315</v>
      </c>
      <c r="C1026" t="s">
        <v>37</v>
      </c>
      <c r="D1026">
        <v>6.1274499999999996</v>
      </c>
      <c r="E1026">
        <v>0.52578719999999901</v>
      </c>
      <c r="F1026" t="s">
        <v>38</v>
      </c>
      <c r="G1026">
        <v>-226.81190000000001</v>
      </c>
      <c r="H1026">
        <v>1.0305340000000001</v>
      </c>
      <c r="I1026">
        <v>367.25850000000003</v>
      </c>
      <c r="J1026">
        <v>-227.36320000000001</v>
      </c>
      <c r="K1026">
        <v>1.105386</v>
      </c>
      <c r="L1026">
        <v>367.34500000000003</v>
      </c>
      <c r="M1026">
        <v>0.99985460000000004</v>
      </c>
      <c r="N1026">
        <v>0</v>
      </c>
      <c r="O1026">
        <v>9.075774E-3</v>
      </c>
      <c r="P1026">
        <v>0.99830359999999996</v>
      </c>
      <c r="Q1026">
        <v>4.9201790000000002E-2</v>
      </c>
      <c r="R1026">
        <v>-3.1133230000000001E-2</v>
      </c>
      <c r="S1026">
        <v>3.0086059999999999</v>
      </c>
      <c r="T1026">
        <v>-0.30741679999999999</v>
      </c>
      <c r="U1026">
        <v>-0.34747309999999998</v>
      </c>
      <c r="V1026">
        <v>4.0195769999999999E-2</v>
      </c>
      <c r="W1026">
        <v>6.3608880000000007E-2</v>
      </c>
      <c r="X1026">
        <v>0.99716510000000003</v>
      </c>
      <c r="Y1026">
        <v>0.1230633</v>
      </c>
      <c r="Z1026">
        <v>-7.1724279999999998E-3</v>
      </c>
      <c r="AA1026">
        <v>0.992372899999999</v>
      </c>
      <c r="AB1026">
        <v>24</v>
      </c>
      <c r="AC1026">
        <v>0.55129999999999701</v>
      </c>
      <c r="AD1026">
        <v>-7.4851999999999905E-2</v>
      </c>
      <c r="AE1026">
        <v>-8.6500000000000896E-2</v>
      </c>
      <c r="AF1026">
        <v>8.9883291925579603E-2</v>
      </c>
      <c r="AG1026">
        <v>-7.4851999999999905E-2</v>
      </c>
      <c r="AH1026">
        <v>0.54076298482624396</v>
      </c>
      <c r="AI1026">
        <v>97.7754162313568</v>
      </c>
      <c r="AJ1026">
        <v>80.562820410388696</v>
      </c>
      <c r="AK1026">
        <v>0.55326886215434801</v>
      </c>
    </row>
    <row r="1027" spans="1:37" x14ac:dyDescent="0.2">
      <c r="A1027" t="str">
        <f>"20200111153627888"</f>
        <v>20200111153627888</v>
      </c>
      <c r="B1027" t="str">
        <f>"1578728187883812"</f>
        <v>1578728187883812</v>
      </c>
      <c r="C1027" t="s">
        <v>37</v>
      </c>
      <c r="D1027">
        <v>6.1321289999999999</v>
      </c>
      <c r="E1027">
        <v>0.52764060000000002</v>
      </c>
      <c r="F1027" t="s">
        <v>38</v>
      </c>
      <c r="G1027">
        <v>-226.63040000000001</v>
      </c>
      <c r="H1027">
        <v>0.95904400000000001</v>
      </c>
      <c r="I1027">
        <v>367.26710000000003</v>
      </c>
      <c r="J1027">
        <v>-227.21469999999999</v>
      </c>
      <c r="K1027">
        <v>1.10538799999999</v>
      </c>
      <c r="L1027">
        <v>367.34629999999999</v>
      </c>
      <c r="M1027">
        <v>0.9998553</v>
      </c>
      <c r="N1027">
        <v>0</v>
      </c>
      <c r="O1027">
        <v>9.0776880000000004E-3</v>
      </c>
      <c r="P1027">
        <v>0.99823759999999995</v>
      </c>
      <c r="Q1027">
        <v>5.0279450000000003E-2</v>
      </c>
      <c r="R1027">
        <v>-3.1525459999999998E-2</v>
      </c>
      <c r="S1027">
        <v>3.0248719999999998</v>
      </c>
      <c r="T1027">
        <v>-0.60431099999999904</v>
      </c>
      <c r="U1027">
        <v>-0.32061770000000001</v>
      </c>
      <c r="V1027">
        <v>4.0589199999999999E-2</v>
      </c>
      <c r="W1027">
        <v>6.4629610000000004E-2</v>
      </c>
      <c r="X1027">
        <v>0.99708349999999901</v>
      </c>
      <c r="Y1027">
        <v>0.11205909999999999</v>
      </c>
      <c r="Z1027">
        <v>-1.284535E-2</v>
      </c>
      <c r="AA1027">
        <v>0.99361849999999996</v>
      </c>
      <c r="AB1027">
        <v>24</v>
      </c>
      <c r="AC1027">
        <v>0.58429999999998405</v>
      </c>
      <c r="AD1027">
        <v>-0.146343999999999</v>
      </c>
      <c r="AE1027">
        <v>-7.9199999999957499E-2</v>
      </c>
      <c r="AF1027">
        <v>7.9598234074353499E-2</v>
      </c>
      <c r="AG1027">
        <v>-0.146343999999999</v>
      </c>
      <c r="AH1027">
        <v>0.54969633836477705</v>
      </c>
      <c r="AI1027">
        <v>104.76076666753799</v>
      </c>
      <c r="AJ1027">
        <v>81.760611240849101</v>
      </c>
      <c r="AK1027">
        <v>0.57438533199882402</v>
      </c>
    </row>
    <row r="1028" spans="1:37" x14ac:dyDescent="0.2">
      <c r="A1028" t="str">
        <f>"20200111153627902"</f>
        <v>20200111153627902</v>
      </c>
      <c r="B1028" t="str">
        <f>"1578728187893572"</f>
        <v>1578728187893572</v>
      </c>
      <c r="C1028" t="s">
        <v>37</v>
      </c>
      <c r="D1028">
        <v>6.3146009999999997</v>
      </c>
      <c r="E1028">
        <v>0.52764060000000002</v>
      </c>
      <c r="F1028" t="s">
        <v>38</v>
      </c>
      <c r="G1028">
        <v>-226.41749999999999</v>
      </c>
      <c r="H1028">
        <v>0.95092989999999999</v>
      </c>
      <c r="I1028">
        <v>367.2577</v>
      </c>
      <c r="J1028">
        <v>-227.06309999999999</v>
      </c>
      <c r="K1028">
        <v>1.1053809999999999</v>
      </c>
      <c r="L1028">
        <v>367.34769999999997</v>
      </c>
      <c r="M1028">
        <v>0.99985609999999903</v>
      </c>
      <c r="N1028">
        <v>0</v>
      </c>
      <c r="O1028">
        <v>9.0818019999999999E-3</v>
      </c>
      <c r="P1028">
        <v>0.99819639999999998</v>
      </c>
      <c r="Q1028">
        <v>5.1057680000000001E-2</v>
      </c>
      <c r="R1028">
        <v>-3.1579080000000002E-2</v>
      </c>
      <c r="S1028">
        <v>3.0242</v>
      </c>
      <c r="T1028">
        <v>-0.58592939999999905</v>
      </c>
      <c r="U1028">
        <v>-0.33599849999999998</v>
      </c>
      <c r="V1028">
        <v>4.064632E-2</v>
      </c>
      <c r="W1028">
        <v>6.5354759999999998E-2</v>
      </c>
      <c r="X1028">
        <v>0.99703390000000003</v>
      </c>
      <c r="Y1028">
        <v>0.117127199999999</v>
      </c>
      <c r="Z1028">
        <v>-1.294698E-2</v>
      </c>
      <c r="AA1028">
        <v>0.99303249999999998</v>
      </c>
      <c r="AB1028">
        <v>24</v>
      </c>
      <c r="AC1028">
        <v>0.64560000000000095</v>
      </c>
      <c r="AD1028">
        <v>-0.15445109999999901</v>
      </c>
      <c r="AE1028">
        <v>-8.9999999999974906E-2</v>
      </c>
      <c r="AF1028">
        <v>9.0764316177309096E-2</v>
      </c>
      <c r="AG1028">
        <v>-0.15445109999999901</v>
      </c>
      <c r="AH1028">
        <v>0.61048162838743703</v>
      </c>
      <c r="AI1028">
        <v>104.049619112353</v>
      </c>
      <c r="AJ1028">
        <v>81.543406989881404</v>
      </c>
      <c r="AK1028">
        <v>0.63622411301436999</v>
      </c>
    </row>
    <row r="1029" spans="1:37" x14ac:dyDescent="0.2">
      <c r="A1029" t="str">
        <f>"20200111153627916"</f>
        <v>20200111153627916</v>
      </c>
      <c r="B1029" t="str">
        <f>"1578728187914068"</f>
        <v>1578728187914068</v>
      </c>
      <c r="C1029" t="s">
        <v>37</v>
      </c>
      <c r="D1029">
        <v>6.0589899999999997</v>
      </c>
      <c r="E1029">
        <v>0.5423656</v>
      </c>
      <c r="F1029" t="s">
        <v>38</v>
      </c>
      <c r="G1029">
        <v>-226.2062</v>
      </c>
      <c r="H1029">
        <v>0.94007619999999903</v>
      </c>
      <c r="I1029">
        <v>367.25229999999999</v>
      </c>
      <c r="J1029">
        <v>-226.91319999999999</v>
      </c>
      <c r="K1029">
        <v>1.1053809999999999</v>
      </c>
      <c r="L1029">
        <v>367.34899999999999</v>
      </c>
      <c r="M1029">
        <v>0.99985669999999904</v>
      </c>
      <c r="N1029">
        <v>0</v>
      </c>
      <c r="O1029">
        <v>9.0909770000000001E-3</v>
      </c>
      <c r="P1029">
        <v>0.9981719</v>
      </c>
      <c r="Q1029">
        <v>5.1584150000000002E-2</v>
      </c>
      <c r="R1029">
        <v>-3.1496940000000001E-2</v>
      </c>
      <c r="S1029">
        <v>3.0246430000000002</v>
      </c>
      <c r="T1029">
        <v>-0.58355009999999996</v>
      </c>
      <c r="U1029">
        <v>-0.33630369999999998</v>
      </c>
      <c r="V1029">
        <v>4.0572379999999998E-2</v>
      </c>
      <c r="W1029">
        <v>6.5834370000000003E-2</v>
      </c>
      <c r="X1029">
        <v>0.99700540000000004</v>
      </c>
      <c r="Y1029">
        <v>0.11723649999999999</v>
      </c>
      <c r="Z1029">
        <v>-1.29056E-2</v>
      </c>
      <c r="AA1029">
        <v>0.99302019999999902</v>
      </c>
      <c r="AB1029">
        <v>24</v>
      </c>
      <c r="AC1029">
        <v>0.70699999999999297</v>
      </c>
      <c r="AD1029">
        <v>-0.1653048</v>
      </c>
      <c r="AE1029">
        <v>-9.6699999999998398E-2</v>
      </c>
      <c r="AF1029">
        <v>9.7871792510390701E-2</v>
      </c>
      <c r="AG1029">
        <v>-0.1653048</v>
      </c>
      <c r="AH1029">
        <v>0.670129780656049</v>
      </c>
      <c r="AI1029">
        <v>103.71690448256599</v>
      </c>
      <c r="AJ1029">
        <v>81.690755252493503</v>
      </c>
      <c r="AK1029">
        <v>0.69712157303755895</v>
      </c>
    </row>
    <row r="1030" spans="1:37" x14ac:dyDescent="0.2">
      <c r="A1030" t="str">
        <f>"20200111153627931"</f>
        <v>20200111153627931</v>
      </c>
      <c r="B1030" t="str">
        <f>"1578728187923828"</f>
        <v>1578728187923828</v>
      </c>
      <c r="C1030" t="s">
        <v>37</v>
      </c>
      <c r="D1030">
        <v>5.9984149999999996</v>
      </c>
      <c r="E1030">
        <v>0.54233739999999997</v>
      </c>
      <c r="F1030" t="s">
        <v>38</v>
      </c>
      <c r="G1030">
        <v>-226.16589999999999</v>
      </c>
      <c r="H1030">
        <v>1.021496</v>
      </c>
      <c r="I1030">
        <v>367.238</v>
      </c>
      <c r="J1030">
        <v>-226.7525</v>
      </c>
      <c r="K1030">
        <v>1.1053789999999999</v>
      </c>
      <c r="L1030">
        <v>367.35050000000001</v>
      </c>
      <c r="M1030">
        <v>0.99985709999999905</v>
      </c>
      <c r="N1030">
        <v>0</v>
      </c>
      <c r="O1030">
        <v>9.1091899999999996E-3</v>
      </c>
      <c r="P1030">
        <v>0.99816159999999998</v>
      </c>
      <c r="Q1030">
        <v>5.2020039999999997E-2</v>
      </c>
      <c r="R1030">
        <v>-3.110516E-2</v>
      </c>
      <c r="S1030">
        <v>3.0088499999999998</v>
      </c>
      <c r="T1030">
        <v>-0.33790189999999998</v>
      </c>
      <c r="U1030">
        <v>-0.4462585</v>
      </c>
      <c r="V1030">
        <v>4.019764E-2</v>
      </c>
      <c r="W1030">
        <v>6.6225010000000001E-2</v>
      </c>
      <c r="X1030">
        <v>0.99699470000000001</v>
      </c>
      <c r="Y1030">
        <v>0.15470789999999901</v>
      </c>
      <c r="Z1030">
        <v>-9.6277120000000001E-3</v>
      </c>
      <c r="AA1030">
        <v>0.98791340000000005</v>
      </c>
      <c r="AB1030">
        <v>24</v>
      </c>
      <c r="AC1030">
        <v>0.58660000000000401</v>
      </c>
      <c r="AD1030">
        <v>-8.3883000000000096E-2</v>
      </c>
      <c r="AE1030">
        <v>-0.112499999999954</v>
      </c>
      <c r="AF1030">
        <v>0.115560111806172</v>
      </c>
      <c r="AG1030">
        <v>-8.3883000000000096E-2</v>
      </c>
      <c r="AH1030">
        <v>0.574225224241801</v>
      </c>
      <c r="AI1030">
        <v>98.149865604748797</v>
      </c>
      <c r="AJ1030">
        <v>78.621479304812596</v>
      </c>
      <c r="AK1030">
        <v>0.59171370212730501</v>
      </c>
    </row>
    <row r="1031" spans="1:37" x14ac:dyDescent="0.2">
      <c r="A1031" t="str">
        <f>"20200111153627945"</f>
        <v>20200111153627945</v>
      </c>
      <c r="B1031" t="str">
        <f>"1578728187933588"</f>
        <v>1578728187933588</v>
      </c>
      <c r="C1031" t="s">
        <v>37</v>
      </c>
      <c r="D1031">
        <v>6.123462</v>
      </c>
      <c r="E1031">
        <v>0.54173830000000001</v>
      </c>
      <c r="F1031" t="s">
        <v>38</v>
      </c>
      <c r="G1031">
        <v>-225.94909999999999</v>
      </c>
      <c r="H1031">
        <v>1.0226549999999901</v>
      </c>
      <c r="I1031">
        <v>367.23169999999999</v>
      </c>
      <c r="J1031">
        <v>-226.6</v>
      </c>
      <c r="K1031">
        <v>1.105383</v>
      </c>
      <c r="L1031">
        <v>367.3519</v>
      </c>
      <c r="M1031">
        <v>0.99985740000000001</v>
      </c>
      <c r="N1031">
        <v>0</v>
      </c>
      <c r="O1031">
        <v>9.1364619999999997E-3</v>
      </c>
      <c r="P1031">
        <v>0.99815449999999994</v>
      </c>
      <c r="Q1031">
        <v>5.2116160000000002E-2</v>
      </c>
      <c r="R1031">
        <v>-3.1170599999999899E-2</v>
      </c>
      <c r="S1031">
        <v>3.0078429999999998</v>
      </c>
      <c r="T1031">
        <v>-0.3098767</v>
      </c>
      <c r="U1031">
        <v>-0.44439699999999999</v>
      </c>
      <c r="V1031">
        <v>4.0288629999999999E-2</v>
      </c>
      <c r="W1031">
        <v>6.6281649999999998E-2</v>
      </c>
      <c r="X1031">
        <v>0.99698719999999996</v>
      </c>
      <c r="Y1031">
        <v>0.15434539999999999</v>
      </c>
      <c r="Z1031">
        <v>-8.8210900000000002E-3</v>
      </c>
      <c r="AA1031">
        <v>0.98797760000000001</v>
      </c>
      <c r="AB1031">
        <v>24</v>
      </c>
      <c r="AC1031">
        <v>0.65090000000000703</v>
      </c>
      <c r="AD1031">
        <v>-8.2728000000000093E-2</v>
      </c>
      <c r="AE1031">
        <v>-0.12020000000001101</v>
      </c>
      <c r="AF1031">
        <v>0.12420232142892799</v>
      </c>
      <c r="AG1031">
        <v>-8.2728000000000093E-2</v>
      </c>
      <c r="AH1031">
        <v>0.63978040535136205</v>
      </c>
      <c r="AI1031">
        <v>97.234265729448495</v>
      </c>
      <c r="AJ1031">
        <v>79.013669007207795</v>
      </c>
      <c r="AK1031">
        <v>0.65695441676260002</v>
      </c>
    </row>
    <row r="1032" spans="1:37" x14ac:dyDescent="0.2">
      <c r="A1032" t="str">
        <f>"20200111153627958"</f>
        <v>20200111153627958</v>
      </c>
      <c r="B1032" t="str">
        <f>"1578728187954084"</f>
        <v>1578728187954084</v>
      </c>
      <c r="C1032" t="s">
        <v>37</v>
      </c>
      <c r="D1032">
        <v>6.0907799999999996</v>
      </c>
      <c r="E1032">
        <v>0.54068450000000001</v>
      </c>
      <c r="F1032" t="s">
        <v>38</v>
      </c>
      <c r="G1032">
        <v>-225.73660000000001</v>
      </c>
      <c r="H1032">
        <v>1.0153509999999999</v>
      </c>
      <c r="I1032">
        <v>367.22550000000001</v>
      </c>
      <c r="J1032">
        <v>-226.45400000000001</v>
      </c>
      <c r="K1032">
        <v>1.105386</v>
      </c>
      <c r="L1032">
        <v>367.35329999999999</v>
      </c>
      <c r="M1032">
        <v>0.99985759999999901</v>
      </c>
      <c r="N1032">
        <v>0</v>
      </c>
      <c r="O1032">
        <v>9.1728609999999992E-3</v>
      </c>
      <c r="P1032">
        <v>0.99812630000000002</v>
      </c>
      <c r="Q1032">
        <v>5.245147E-2</v>
      </c>
      <c r="R1032">
        <v>-3.1511839999999999E-2</v>
      </c>
      <c r="S1032">
        <v>3.0082239999999998</v>
      </c>
      <c r="T1032">
        <v>-0.31401790000000002</v>
      </c>
      <c r="U1032">
        <v>-0.43945309999999999</v>
      </c>
      <c r="V1032">
        <v>4.0663989999999997E-2</v>
      </c>
      <c r="W1032">
        <v>6.6581860000000007E-2</v>
      </c>
      <c r="X1032">
        <v>0.99695199999999995</v>
      </c>
      <c r="Y1032">
        <v>0.15275920000000001</v>
      </c>
      <c r="Z1032">
        <v>-8.8599239999999999E-3</v>
      </c>
      <c r="AA1032">
        <v>0.98822369999999904</v>
      </c>
      <c r="AB1032">
        <v>24</v>
      </c>
      <c r="AC1032">
        <v>0.71739999999999704</v>
      </c>
      <c r="AD1032">
        <v>-9.0034999999999796E-2</v>
      </c>
      <c r="AE1032">
        <v>-0.12779999999997901</v>
      </c>
      <c r="AF1032">
        <v>0.13235532600102801</v>
      </c>
      <c r="AG1032">
        <v>-9.0034999999999796E-2</v>
      </c>
      <c r="AH1032">
        <v>0.70542817344045605</v>
      </c>
      <c r="AI1032">
        <v>97.149997023949396</v>
      </c>
      <c r="AJ1032">
        <v>79.373475969725604</v>
      </c>
      <c r="AK1032">
        <v>0.72336238596527602</v>
      </c>
    </row>
    <row r="1033" spans="1:37" x14ac:dyDescent="0.2">
      <c r="A1033" t="str">
        <f>"20200111153627975"</f>
        <v>20200111153627975</v>
      </c>
      <c r="B1033" t="str">
        <f>"1578728187963844"</f>
        <v>1578728187963844</v>
      </c>
      <c r="C1033" t="s">
        <v>37</v>
      </c>
      <c r="D1033">
        <v>6.0929479999999998</v>
      </c>
      <c r="E1033">
        <v>0.54076449999999998</v>
      </c>
      <c r="F1033" t="s">
        <v>38</v>
      </c>
      <c r="G1033">
        <v>-225.72620000000001</v>
      </c>
      <c r="H1033">
        <v>1.03783799999999</v>
      </c>
      <c r="I1033">
        <v>367.24869999999999</v>
      </c>
      <c r="J1033">
        <v>-226.27420000000001</v>
      </c>
      <c r="K1033">
        <v>1.105391</v>
      </c>
      <c r="L1033">
        <v>367.35489999999999</v>
      </c>
      <c r="M1033">
        <v>0.99985749999999995</v>
      </c>
      <c r="N1033">
        <v>0</v>
      </c>
      <c r="O1033">
        <v>9.2439419999999998E-3</v>
      </c>
      <c r="P1033">
        <v>0.99806659999999903</v>
      </c>
      <c r="Q1033">
        <v>5.284258E-2</v>
      </c>
      <c r="R1033">
        <v>-3.2730170000000003E-2</v>
      </c>
      <c r="S1033">
        <v>3.0066989999999998</v>
      </c>
      <c r="T1033">
        <v>-0.27946670000000001</v>
      </c>
      <c r="U1033">
        <v>-0.43075559999999902</v>
      </c>
      <c r="V1033">
        <v>4.1949119999999999E-2</v>
      </c>
      <c r="W1033">
        <v>6.6935359999999999E-2</v>
      </c>
      <c r="X1033">
        <v>0.99687510000000001</v>
      </c>
      <c r="Y1033">
        <v>0.15028859999999999</v>
      </c>
      <c r="Z1033">
        <v>-7.7875669999999996E-3</v>
      </c>
      <c r="AA1033">
        <v>0.98861149999999998</v>
      </c>
      <c r="AB1033">
        <v>24</v>
      </c>
      <c r="AC1033">
        <v>0.54800000000000104</v>
      </c>
      <c r="AD1033">
        <v>-6.7553000000000196E-2</v>
      </c>
      <c r="AE1033">
        <v>-0.106200000000001</v>
      </c>
      <c r="AF1033">
        <v>0.10965564079781399</v>
      </c>
      <c r="AG1033">
        <v>-6.7553000000000196E-2</v>
      </c>
      <c r="AH1033">
        <v>0.53909917971538102</v>
      </c>
      <c r="AI1033">
        <v>97.000461214287299</v>
      </c>
      <c r="AJ1033">
        <v>78.502584794120196</v>
      </c>
      <c r="AK1033">
        <v>0.55427041499396001</v>
      </c>
    </row>
    <row r="1034" spans="1:37" x14ac:dyDescent="0.2">
      <c r="A1034" t="str">
        <f>"20200111153627991"</f>
        <v>20200111153627991</v>
      </c>
      <c r="B1034" t="str">
        <f>"1578728187983363"</f>
        <v>1578728187983363</v>
      </c>
      <c r="C1034" t="s">
        <v>37</v>
      </c>
      <c r="D1034">
        <v>6.0248799999999996</v>
      </c>
      <c r="E1034">
        <v>0.54131280000000004</v>
      </c>
      <c r="F1034" t="s">
        <v>38</v>
      </c>
      <c r="G1034">
        <v>-225.5103</v>
      </c>
      <c r="H1034">
        <v>1.0379160000000001</v>
      </c>
      <c r="I1034">
        <v>367.24459999999999</v>
      </c>
      <c r="J1034">
        <v>-226.10429999999999</v>
      </c>
      <c r="K1034">
        <v>1.1054059999999899</v>
      </c>
      <c r="L1034">
        <v>367.35660000000001</v>
      </c>
      <c r="M1034">
        <v>0.99985709999999905</v>
      </c>
      <c r="N1034">
        <v>0</v>
      </c>
      <c r="O1034">
        <v>9.3385900000000008E-3</v>
      </c>
      <c r="P1034">
        <v>0.99805519999999903</v>
      </c>
      <c r="Q1034">
        <v>5.2598319999999997E-2</v>
      </c>
      <c r="R1034">
        <v>-3.345865E-2</v>
      </c>
      <c r="S1034">
        <v>3.00563</v>
      </c>
      <c r="T1034">
        <v>-0.26547709999999902</v>
      </c>
      <c r="U1034">
        <v>-0.43396000000000001</v>
      </c>
      <c r="V1034">
        <v>4.2768010000000002E-2</v>
      </c>
      <c r="W1034">
        <v>6.6659880000000005E-2</v>
      </c>
      <c r="X1034">
        <v>0.99685879999999905</v>
      </c>
      <c r="Y1034">
        <v>0.1515243</v>
      </c>
      <c r="Z1034">
        <v>-7.4637890000000002E-3</v>
      </c>
      <c r="AA1034">
        <v>0.98842540000000001</v>
      </c>
      <c r="AB1034">
        <v>24</v>
      </c>
      <c r="AC1034">
        <v>0.59399999999999398</v>
      </c>
      <c r="AD1034">
        <v>-6.74899999999998E-2</v>
      </c>
      <c r="AE1034">
        <v>-0.112000000000023</v>
      </c>
      <c r="AF1034">
        <v>0.11609551855811701</v>
      </c>
      <c r="AG1034">
        <v>-6.74899999999998E-2</v>
      </c>
      <c r="AH1034">
        <v>0.58562751753036302</v>
      </c>
      <c r="AI1034">
        <v>96.4495650988855</v>
      </c>
      <c r="AJ1034">
        <v>78.786994620792996</v>
      </c>
      <c r="AK1034">
        <v>0.60082664622838899</v>
      </c>
    </row>
    <row r="1035" spans="1:37" x14ac:dyDescent="0.2">
      <c r="A1035" t="str">
        <f>"20200111153628004"</f>
        <v>20200111153628004</v>
      </c>
      <c r="B1035" t="str">
        <f>"1578728187994101"</f>
        <v>1578728187994101</v>
      </c>
      <c r="C1035" t="s">
        <v>37</v>
      </c>
      <c r="D1035">
        <v>6.0690819999999999</v>
      </c>
      <c r="E1035">
        <v>0.5412825</v>
      </c>
      <c r="F1035" t="s">
        <v>38</v>
      </c>
      <c r="G1035">
        <v>-225.29320000000001</v>
      </c>
      <c r="H1035">
        <v>1.0386789999999999</v>
      </c>
      <c r="I1035">
        <v>367.23759999999999</v>
      </c>
      <c r="J1035">
        <v>-225.96289999999999</v>
      </c>
      <c r="K1035">
        <v>1.1054280000000001</v>
      </c>
      <c r="L1035">
        <v>367.358</v>
      </c>
      <c r="M1035">
        <v>0.99985659999999899</v>
      </c>
      <c r="N1035">
        <v>0</v>
      </c>
      <c r="O1035">
        <v>9.4373319999999997E-3</v>
      </c>
      <c r="P1035">
        <v>0.99802349999999995</v>
      </c>
      <c r="Q1035">
        <v>5.2791360000000002E-2</v>
      </c>
      <c r="R1035">
        <v>-3.4095319999999998E-2</v>
      </c>
      <c r="S1035">
        <v>3.0041500000000001</v>
      </c>
      <c r="T1035">
        <v>-0.2474219</v>
      </c>
      <c r="U1035">
        <v>-0.43984989999999902</v>
      </c>
      <c r="V1035">
        <v>4.3499049999999997E-2</v>
      </c>
      <c r="W1035">
        <v>6.6829739999999999E-2</v>
      </c>
      <c r="X1035">
        <v>0.99681569999999997</v>
      </c>
      <c r="Y1035">
        <v>0.15366089999999999</v>
      </c>
      <c r="Z1035">
        <v>-7.0557859999999997E-3</v>
      </c>
      <c r="AA1035">
        <v>0.98809840000000004</v>
      </c>
      <c r="AB1035">
        <v>24</v>
      </c>
      <c r="AC1035">
        <v>0.66969999999997698</v>
      </c>
      <c r="AD1035">
        <v>-6.6748999999999906E-2</v>
      </c>
      <c r="AE1035">
        <v>-0.12040000000001699</v>
      </c>
      <c r="AF1035">
        <v>0.12550767342823599</v>
      </c>
      <c r="AG1035">
        <v>-6.6748999999999906E-2</v>
      </c>
      <c r="AH1035">
        <v>0.66216177024849898</v>
      </c>
      <c r="AI1035">
        <v>95.656201104596505</v>
      </c>
      <c r="AJ1035">
        <v>79.267344889427306</v>
      </c>
      <c r="AK1035">
        <v>0.67724870990574404</v>
      </c>
    </row>
    <row r="1036" spans="1:37" x14ac:dyDescent="0.2">
      <c r="A1036" t="str">
        <f>"20200111153628019"</f>
        <v>20200111153628019</v>
      </c>
      <c r="B1036" t="str">
        <f>"1578728188013620"</f>
        <v>1578728188013620</v>
      </c>
      <c r="C1036" t="s">
        <v>37</v>
      </c>
      <c r="D1036">
        <v>6.1306510000000003</v>
      </c>
      <c r="E1036">
        <v>0.54090479999999996</v>
      </c>
      <c r="F1036" t="s">
        <v>38</v>
      </c>
      <c r="G1036">
        <v>-225.07990000000001</v>
      </c>
      <c r="H1036">
        <v>1.0346340000000001</v>
      </c>
      <c r="I1036">
        <v>367.22820000000002</v>
      </c>
      <c r="J1036">
        <v>-225.80549999999999</v>
      </c>
      <c r="K1036">
        <v>1.10545</v>
      </c>
      <c r="L1036">
        <v>367.3596</v>
      </c>
      <c r="M1036">
        <v>0.99985559999999996</v>
      </c>
      <c r="N1036">
        <v>0</v>
      </c>
      <c r="O1036">
        <v>9.5701980000000002E-3</v>
      </c>
      <c r="P1036">
        <v>0.99799530000000003</v>
      </c>
      <c r="Q1036">
        <v>5.2657799999999998E-2</v>
      </c>
      <c r="R1036">
        <v>-3.5103699999999897E-2</v>
      </c>
      <c r="S1036">
        <v>3.0036320000000001</v>
      </c>
      <c r="T1036">
        <v>-0.24103939999999999</v>
      </c>
      <c r="U1036">
        <v>-0.44094849999999902</v>
      </c>
      <c r="V1036">
        <v>4.4635229999999998E-2</v>
      </c>
      <c r="W1036">
        <v>6.6672250000000002E-2</v>
      </c>
      <c r="X1036">
        <v>0.996776</v>
      </c>
      <c r="Y1036">
        <v>0.15419569999999999</v>
      </c>
      <c r="Z1036">
        <v>-6.9072519999999896E-3</v>
      </c>
      <c r="AA1036">
        <v>0.98801620000000001</v>
      </c>
      <c r="AB1036">
        <v>24</v>
      </c>
      <c r="AC1036">
        <v>0.72559999999998503</v>
      </c>
      <c r="AD1036">
        <v>-7.0815999999999907E-2</v>
      </c>
      <c r="AE1036">
        <v>-0.131399999999985</v>
      </c>
      <c r="AF1036">
        <v>0.137074614187294</v>
      </c>
      <c r="AG1036">
        <v>-7.0815999999999907E-2</v>
      </c>
      <c r="AH1036">
        <v>0.71769013051903197</v>
      </c>
      <c r="AI1036">
        <v>95.535826860480199</v>
      </c>
      <c r="AJ1036">
        <v>79.187067156015203</v>
      </c>
      <c r="AK1036">
        <v>0.73408683352517701</v>
      </c>
    </row>
    <row r="1037" spans="1:37" x14ac:dyDescent="0.2">
      <c r="A1037" t="str">
        <f>"20200111153628032"</f>
        <v>20200111153628032</v>
      </c>
      <c r="B1037" t="str">
        <f>"1578728188023380"</f>
        <v>1578728188023380</v>
      </c>
      <c r="C1037" t="s">
        <v>37</v>
      </c>
      <c r="D1037">
        <v>6.1776629999999999</v>
      </c>
      <c r="E1037">
        <v>0.54105789999999998</v>
      </c>
      <c r="F1037" t="s">
        <v>39</v>
      </c>
      <c r="G1037">
        <v>-211.36259999999999</v>
      </c>
      <c r="H1037" s="1">
        <v>-4.463816E-6</v>
      </c>
      <c r="I1037">
        <v>365.2414</v>
      </c>
      <c r="J1037">
        <v>-225.66569999999999</v>
      </c>
      <c r="K1037">
        <v>1.105475</v>
      </c>
      <c r="L1037">
        <v>367.36110000000002</v>
      </c>
      <c r="M1037">
        <v>0.99985460000000004</v>
      </c>
      <c r="N1037">
        <v>0</v>
      </c>
      <c r="O1037">
        <v>9.7222490000000005E-3</v>
      </c>
      <c r="P1037">
        <v>0.9978591</v>
      </c>
      <c r="Q1037">
        <v>5.3283879999999999E-2</v>
      </c>
      <c r="R1037">
        <v>-3.7922520000000001E-2</v>
      </c>
      <c r="S1037">
        <v>3.0026700000000002</v>
      </c>
      <c r="T1037">
        <v>-0.22982179999999999</v>
      </c>
      <c r="U1037">
        <v>-0.4403687</v>
      </c>
      <c r="V1037">
        <v>4.7599679999999998E-2</v>
      </c>
      <c r="W1037">
        <v>6.7279329999999998E-2</v>
      </c>
      <c r="X1037">
        <v>0.99659809999999904</v>
      </c>
      <c r="Y1037">
        <v>0.15425059999999999</v>
      </c>
      <c r="Z1037">
        <v>-6.602564E-3</v>
      </c>
      <c r="AA1037">
        <v>0.98800969999999999</v>
      </c>
      <c r="AB1037">
        <v>24</v>
      </c>
      <c r="AC1037">
        <v>14.303100000000001</v>
      </c>
      <c r="AD1037">
        <v>-1.1054794638159999</v>
      </c>
      <c r="AE1037">
        <v>-2.1197000000000199</v>
      </c>
      <c r="AF1037">
        <v>2.24554588380057</v>
      </c>
      <c r="AG1037">
        <v>-1.1054794638159999</v>
      </c>
      <c r="AH1037">
        <v>14.1988174224884</v>
      </c>
      <c r="AI1037">
        <v>94.397469572316794</v>
      </c>
      <c r="AJ1037">
        <v>81.013092750476204</v>
      </c>
      <c r="AK1037">
        <v>14.417731352689801</v>
      </c>
    </row>
    <row r="1038" spans="1:37" x14ac:dyDescent="0.2">
      <c r="A1038" t="str">
        <f>"20200111153628046"</f>
        <v>20200111153628046</v>
      </c>
      <c r="B1038" t="str">
        <f>"1578728188043877"</f>
        <v>1578728188043877</v>
      </c>
      <c r="C1038" t="s">
        <v>37</v>
      </c>
      <c r="D1038">
        <v>6.1333589999999996</v>
      </c>
      <c r="E1038">
        <v>0.54067219999999905</v>
      </c>
      <c r="F1038" t="s">
        <v>39</v>
      </c>
      <c r="G1038">
        <v>-210.6926</v>
      </c>
      <c r="H1038" s="1">
        <v>-4.7726900000000002E-6</v>
      </c>
      <c r="I1038">
        <v>365.12029999999999</v>
      </c>
      <c r="J1038">
        <v>-225.51079999999999</v>
      </c>
      <c r="K1038">
        <v>1.1055010000000001</v>
      </c>
      <c r="L1038">
        <v>367.36270000000002</v>
      </c>
      <c r="M1038">
        <v>0.99985299999999999</v>
      </c>
      <c r="N1038">
        <v>0</v>
      </c>
      <c r="O1038">
        <v>9.9131610000000002E-3</v>
      </c>
      <c r="P1038">
        <v>0.99776540000000002</v>
      </c>
      <c r="Q1038">
        <v>5.3951609999999997E-2</v>
      </c>
      <c r="R1038">
        <v>-3.9419709999999997E-2</v>
      </c>
      <c r="S1038">
        <v>3.0011899999999998</v>
      </c>
      <c r="T1038">
        <v>-0.22158029999999901</v>
      </c>
      <c r="U1038">
        <v>-0.4491272</v>
      </c>
      <c r="V1038">
        <v>4.9280730000000002E-2</v>
      </c>
      <c r="W1038">
        <v>6.7928249999999996E-2</v>
      </c>
      <c r="X1038">
        <v>0.99647240000000004</v>
      </c>
      <c r="Y1038">
        <v>0.15735379999999999</v>
      </c>
      <c r="Z1038">
        <v>-6.4959630000000004E-3</v>
      </c>
      <c r="AA1038">
        <v>0.98752090000000003</v>
      </c>
      <c r="AB1038">
        <v>24</v>
      </c>
      <c r="AC1038">
        <v>14.8181999999999</v>
      </c>
      <c r="AD1038">
        <v>-1.1055057726899999</v>
      </c>
      <c r="AE1038">
        <v>-2.2424000000000301</v>
      </c>
      <c r="AF1038">
        <v>2.3762695184228599</v>
      </c>
      <c r="AG1038">
        <v>-1.1055057726899999</v>
      </c>
      <c r="AH1038">
        <v>14.7151715013466</v>
      </c>
      <c r="AI1038">
        <v>94.241640909390895</v>
      </c>
      <c r="AJ1038">
        <v>80.826819669698693</v>
      </c>
      <c r="AK1038">
        <v>14.9467411883554</v>
      </c>
    </row>
    <row r="1039" spans="1:37" x14ac:dyDescent="0.2">
      <c r="A1039" t="str">
        <f>"20200111153628061"</f>
        <v>20200111153628061</v>
      </c>
      <c r="B1039" t="str">
        <f>"1578728188053636"</f>
        <v>1578728188053636</v>
      </c>
      <c r="C1039" t="s">
        <v>37</v>
      </c>
      <c r="D1039">
        <v>6.1760060000000001</v>
      </c>
      <c r="E1039">
        <v>0.54044720000000002</v>
      </c>
      <c r="F1039" t="s">
        <v>41</v>
      </c>
      <c r="G1039">
        <v>-209.6515</v>
      </c>
      <c r="H1039" s="1">
        <v>-5.8916420000000004E-6</v>
      </c>
      <c r="I1039">
        <v>364.98590000000002</v>
      </c>
      <c r="J1039">
        <v>-225.3526</v>
      </c>
      <c r="K1039">
        <v>1.1055299999999999</v>
      </c>
      <c r="L1039">
        <v>367.36450000000002</v>
      </c>
      <c r="M1039">
        <v>0.99985100000000005</v>
      </c>
      <c r="N1039">
        <v>0</v>
      </c>
      <c r="O1039">
        <v>1.013525E-2</v>
      </c>
      <c r="P1039">
        <v>0.99767830000000002</v>
      </c>
      <c r="Q1039">
        <v>5.4327340000000002E-2</v>
      </c>
      <c r="R1039">
        <v>-4.10728E-2</v>
      </c>
      <c r="S1039">
        <v>3.0002749999999998</v>
      </c>
      <c r="T1039">
        <v>-0.20914070000000001</v>
      </c>
      <c r="U1039">
        <v>-0.44964599999999999</v>
      </c>
      <c r="V1039">
        <v>5.1148859999999997E-2</v>
      </c>
      <c r="W1039">
        <v>6.8286959999999994E-2</v>
      </c>
      <c r="X1039">
        <v>0.99635370000000001</v>
      </c>
      <c r="Y1039">
        <v>0.1578309</v>
      </c>
      <c r="Z1039">
        <v>-6.1658379999999999E-3</v>
      </c>
      <c r="AA1039">
        <v>0.98744690000000002</v>
      </c>
      <c r="AB1039">
        <v>24</v>
      </c>
      <c r="AC1039">
        <v>15.701099999999901</v>
      </c>
      <c r="AD1039">
        <v>-1.1055358916419999</v>
      </c>
      <c r="AE1039">
        <v>-2.3786</v>
      </c>
      <c r="AF1039">
        <v>2.5253885385275798</v>
      </c>
      <c r="AG1039">
        <v>-1.1055358916419999</v>
      </c>
      <c r="AH1039">
        <v>15.600574636149799</v>
      </c>
      <c r="AI1039">
        <v>94.001575428907202</v>
      </c>
      <c r="AJ1039">
        <v>80.804842881431497</v>
      </c>
      <c r="AK1039">
        <v>15.8422765364172</v>
      </c>
    </row>
    <row r="1040" spans="1:37" x14ac:dyDescent="0.2">
      <c r="A1040" t="str">
        <f>"20200111153628076"</f>
        <v>20200111153628076</v>
      </c>
      <c r="B1040" t="str">
        <f>"1578728188063396"</f>
        <v>1578728188063396</v>
      </c>
      <c r="C1040" t="s">
        <v>37</v>
      </c>
      <c r="D1040">
        <v>6.1529360000000004</v>
      </c>
      <c r="E1040">
        <v>0.54032369999999996</v>
      </c>
      <c r="F1040" t="s">
        <v>41</v>
      </c>
      <c r="G1040">
        <v>-209.48599999999999</v>
      </c>
      <c r="H1040" s="1">
        <v>-5.83883299999999E-6</v>
      </c>
      <c r="I1040">
        <v>364.96940000000001</v>
      </c>
      <c r="J1040">
        <v>-225.1996</v>
      </c>
      <c r="K1040">
        <v>1.1055520000000001</v>
      </c>
      <c r="L1040">
        <v>367.36630000000002</v>
      </c>
      <c r="M1040">
        <v>0.99984859999999898</v>
      </c>
      <c r="N1040">
        <v>0</v>
      </c>
      <c r="O1040">
        <v>1.0384880000000001E-2</v>
      </c>
      <c r="P1040">
        <v>0.99743369999999998</v>
      </c>
      <c r="Q1040">
        <v>5.5530610000000001E-2</v>
      </c>
      <c r="R1040">
        <v>-4.5199129999999997E-2</v>
      </c>
      <c r="S1040">
        <v>2.99974099999999</v>
      </c>
      <c r="T1040">
        <v>-0.209012799999999</v>
      </c>
      <c r="U1040">
        <v>-0.45281979999999999</v>
      </c>
      <c r="V1040">
        <v>5.5515479999999999E-2</v>
      </c>
      <c r="W1040">
        <v>6.9474300000000003E-2</v>
      </c>
      <c r="X1040">
        <v>0.99603779999999997</v>
      </c>
      <c r="Y1040">
        <v>0.1591215</v>
      </c>
      <c r="Z1040">
        <v>-6.2246209999999996E-3</v>
      </c>
      <c r="AA1040">
        <v>0.98723939999999999</v>
      </c>
      <c r="AB1040">
        <v>24</v>
      </c>
      <c r="AC1040">
        <v>15.7136</v>
      </c>
      <c r="AD1040">
        <v>-1.1055578388330001</v>
      </c>
      <c r="AE1040">
        <v>-2.3969000000000098</v>
      </c>
      <c r="AF1040">
        <v>2.54764620232968</v>
      </c>
      <c r="AG1040">
        <v>-1.1055578388330001</v>
      </c>
      <c r="AH1040">
        <v>15.612333633501301</v>
      </c>
      <c r="AI1040">
        <v>93.997827678885599</v>
      </c>
      <c r="AJ1040">
        <v>80.732067554093007</v>
      </c>
      <c r="AK1040">
        <v>15.8574184781447</v>
      </c>
    </row>
    <row r="1041" spans="1:37" x14ac:dyDescent="0.2">
      <c r="A1041" t="str">
        <f>"20200111153628090"</f>
        <v>20200111153628090</v>
      </c>
      <c r="B1041" t="str">
        <f>"1578728188083892"</f>
        <v>1578728188083892</v>
      </c>
      <c r="C1041" t="s">
        <v>37</v>
      </c>
      <c r="D1041">
        <v>6.2175399999999996</v>
      </c>
      <c r="E1041">
        <v>0.54002830000000002</v>
      </c>
      <c r="F1041" t="s">
        <v>41</v>
      </c>
      <c r="G1041">
        <v>-208.9058</v>
      </c>
      <c r="H1041" s="1">
        <v>-5.6634659999999902E-6</v>
      </c>
      <c r="I1041">
        <v>364.8485</v>
      </c>
      <c r="J1041">
        <v>-225.04990000000001</v>
      </c>
      <c r="K1041">
        <v>1.105575</v>
      </c>
      <c r="L1041">
        <v>367.36810000000003</v>
      </c>
      <c r="M1041">
        <v>0.99984599999999901</v>
      </c>
      <c r="N1041">
        <v>0</v>
      </c>
      <c r="O1041">
        <v>1.0655080000000001E-2</v>
      </c>
      <c r="P1041">
        <v>0.99733549999999904</v>
      </c>
      <c r="Q1041">
        <v>5.5611559999999997E-2</v>
      </c>
      <c r="R1041">
        <v>-4.7216090000000002E-2</v>
      </c>
      <c r="S1041">
        <v>2.9980470000000001</v>
      </c>
      <c r="T1041">
        <v>-0.2034212</v>
      </c>
      <c r="U1041">
        <v>-0.46325680000000002</v>
      </c>
      <c r="V1041">
        <v>5.7796210000000001E-2</v>
      </c>
      <c r="W1041">
        <v>6.9542800000000002E-2</v>
      </c>
      <c r="X1041">
        <v>0.99590330000000005</v>
      </c>
      <c r="Y1041">
        <v>0.16284000000000001</v>
      </c>
      <c r="Z1041">
        <v>-6.203755E-3</v>
      </c>
      <c r="AA1041">
        <v>0.98663299999999998</v>
      </c>
      <c r="AB1041">
        <v>24</v>
      </c>
      <c r="AC1041">
        <v>16.144100000000002</v>
      </c>
      <c r="AD1041">
        <v>-1.1055806634659999</v>
      </c>
      <c r="AE1041">
        <v>-2.51960000000002</v>
      </c>
      <c r="AF1041">
        <v>2.6792241292328902</v>
      </c>
      <c r="AG1041">
        <v>-1.1055806634659999</v>
      </c>
      <c r="AH1041">
        <v>16.042885529531102</v>
      </c>
      <c r="AI1041">
        <v>93.888567830905998</v>
      </c>
      <c r="AJ1041">
        <v>80.518880108345897</v>
      </c>
      <c r="AK1041">
        <v>16.3025987698812</v>
      </c>
    </row>
    <row r="1042" spans="1:37" x14ac:dyDescent="0.2">
      <c r="A1042" t="str">
        <f>"20200111153628102"</f>
        <v>20200111153628102</v>
      </c>
      <c r="B1042" t="str">
        <f>"1578728188093652"</f>
        <v>1578728188093652</v>
      </c>
      <c r="C1042" t="s">
        <v>37</v>
      </c>
      <c r="D1042">
        <v>6.2651320000000004</v>
      </c>
      <c r="E1042">
        <v>0.54002830000000002</v>
      </c>
      <c r="F1042" t="s">
        <v>41</v>
      </c>
      <c r="G1042">
        <v>-209.8613</v>
      </c>
      <c r="H1042" s="1">
        <v>-5.9589309999999996E-6</v>
      </c>
      <c r="I1042">
        <v>365.00479999999999</v>
      </c>
      <c r="J1042">
        <v>-224.90979999999999</v>
      </c>
      <c r="K1042">
        <v>1.105596</v>
      </c>
      <c r="L1042">
        <v>367.3698</v>
      </c>
      <c r="M1042">
        <v>0.99984340000000005</v>
      </c>
      <c r="N1042">
        <v>0</v>
      </c>
      <c r="O1042">
        <v>1.092485E-2</v>
      </c>
      <c r="P1042">
        <v>0.99723399999999995</v>
      </c>
      <c r="Q1042">
        <v>5.5413829999999997E-2</v>
      </c>
      <c r="R1042">
        <v>-4.9535719999999998E-2</v>
      </c>
      <c r="S1042">
        <v>2.9980929999999999</v>
      </c>
      <c r="T1042">
        <v>-0.21823190000000001</v>
      </c>
      <c r="U1042">
        <v>-0.46649170000000001</v>
      </c>
      <c r="V1042">
        <v>6.0379580000000002E-2</v>
      </c>
      <c r="W1042">
        <v>6.9334450000000006E-2</v>
      </c>
      <c r="X1042">
        <v>0.9957646</v>
      </c>
      <c r="Y1042">
        <v>0.1640808</v>
      </c>
      <c r="Z1042">
        <v>-6.7179939999999997E-3</v>
      </c>
      <c r="AA1042">
        <v>0.98642399999999997</v>
      </c>
      <c r="AB1042">
        <v>24</v>
      </c>
      <c r="AC1042">
        <v>15.048499999999899</v>
      </c>
      <c r="AD1042">
        <v>-1.105601958931</v>
      </c>
      <c r="AE1042">
        <v>-2.3650000000000002</v>
      </c>
      <c r="AF1042">
        <v>2.5160239010060002</v>
      </c>
      <c r="AG1042">
        <v>-1.105601958931</v>
      </c>
      <c r="AH1042">
        <v>14.943047599181901</v>
      </c>
      <c r="AI1042">
        <v>94.172947798322099</v>
      </c>
      <c r="AJ1042">
        <v>80.442513146037697</v>
      </c>
      <c r="AK1042">
        <v>15.1936632683972</v>
      </c>
    </row>
    <row r="1043" spans="1:37" x14ac:dyDescent="0.2">
      <c r="A1043" t="str">
        <f>"20200111153628116"</f>
        <v>20200111153628116</v>
      </c>
      <c r="B1043" t="str">
        <f>"1578728188113172"</f>
        <v>1578728188113172</v>
      </c>
      <c r="C1043" t="s">
        <v>37</v>
      </c>
      <c r="D1043">
        <v>6.1638659999999996</v>
      </c>
      <c r="E1043">
        <v>0.58903039999999995</v>
      </c>
      <c r="F1043" t="s">
        <v>41</v>
      </c>
      <c r="G1043">
        <v>-209.8083</v>
      </c>
      <c r="H1043" s="1">
        <v>-5.9438029999999996E-6</v>
      </c>
      <c r="I1043">
        <v>364.98809999999997</v>
      </c>
      <c r="J1043">
        <v>-224.7621</v>
      </c>
      <c r="K1043">
        <v>1.10561</v>
      </c>
      <c r="L1043">
        <v>367.37169999999998</v>
      </c>
      <c r="M1043">
        <v>0.99984010000000001</v>
      </c>
      <c r="N1043">
        <v>0</v>
      </c>
      <c r="O1043">
        <v>1.1233760000000001E-2</v>
      </c>
      <c r="P1043">
        <v>0.997112</v>
      </c>
      <c r="Q1043">
        <v>5.5335420000000003E-2</v>
      </c>
      <c r="R1043">
        <v>-5.201646E-2</v>
      </c>
      <c r="S1043">
        <v>2.9970249999999998</v>
      </c>
      <c r="T1043">
        <v>-0.21941630000000001</v>
      </c>
      <c r="U1043">
        <v>-0.47268679999999902</v>
      </c>
      <c r="V1043">
        <v>6.3162759999999998E-2</v>
      </c>
      <c r="W1043">
        <v>6.9246450000000001E-2</v>
      </c>
      <c r="X1043">
        <v>0.99559799999999998</v>
      </c>
      <c r="Y1043">
        <v>0.1664166</v>
      </c>
      <c r="Z1043">
        <v>-6.8629900000000002E-3</v>
      </c>
      <c r="AA1043">
        <v>0.98603169999999996</v>
      </c>
      <c r="AB1043">
        <v>24</v>
      </c>
      <c r="AC1043">
        <v>14.953799999999999</v>
      </c>
      <c r="AD1043">
        <v>-1.105615943803</v>
      </c>
      <c r="AE1043">
        <v>-2.3835999999999999</v>
      </c>
      <c r="AF1043">
        <v>2.5379235482220199</v>
      </c>
      <c r="AG1043">
        <v>-1.105615943803</v>
      </c>
      <c r="AH1043">
        <v>14.8469278247708</v>
      </c>
      <c r="AI1043">
        <v>94.198150375521294</v>
      </c>
      <c r="AJ1043">
        <v>80.299656170416398</v>
      </c>
      <c r="AK1043">
        <v>15.1028046529697</v>
      </c>
    </row>
    <row r="1044" spans="1:37" x14ac:dyDescent="0.2">
      <c r="A1044" t="str">
        <f>"20200111153628130"</f>
        <v>20200111153628130</v>
      </c>
      <c r="B1044" t="str">
        <f>"1578728188123908"</f>
        <v>1578728188123908</v>
      </c>
      <c r="C1044" t="s">
        <v>37</v>
      </c>
      <c r="D1044">
        <v>6.1102230000000004</v>
      </c>
      <c r="E1044">
        <v>0.59400359999999996</v>
      </c>
      <c r="F1044" t="s">
        <v>39</v>
      </c>
      <c r="G1044">
        <v>-215.0016</v>
      </c>
      <c r="H1044" s="1">
        <v>-3.043103E-6</v>
      </c>
      <c r="I1044">
        <v>364.51990000000001</v>
      </c>
      <c r="J1044">
        <v>-224.6113</v>
      </c>
      <c r="K1044">
        <v>1.1056239999999999</v>
      </c>
      <c r="L1044">
        <v>367.37380000000002</v>
      </c>
      <c r="M1044">
        <v>0.99983639999999996</v>
      </c>
      <c r="N1044">
        <v>0</v>
      </c>
      <c r="O1044">
        <v>1.157297E-2</v>
      </c>
      <c r="P1044">
        <v>0.99700080000000002</v>
      </c>
      <c r="Q1044">
        <v>5.4975469999999999E-2</v>
      </c>
      <c r="R1044">
        <v>-5.4472609999999998E-2</v>
      </c>
      <c r="S1044">
        <v>2.981995</v>
      </c>
      <c r="T1044">
        <v>-0.33778059999999899</v>
      </c>
      <c r="U1044">
        <v>-0.87127690000000002</v>
      </c>
      <c r="V1044">
        <v>6.5951940000000001E-2</v>
      </c>
      <c r="W1044">
        <v>6.8877800000000003E-2</v>
      </c>
      <c r="X1044">
        <v>0.99544270000000001</v>
      </c>
      <c r="Y1044">
        <v>0.28976669999999999</v>
      </c>
      <c r="Z1044">
        <v>-1.730802E-2</v>
      </c>
      <c r="AA1044">
        <v>0.95694080000000004</v>
      </c>
      <c r="AB1044">
        <v>24</v>
      </c>
      <c r="AC1044">
        <v>9.6097000000000001</v>
      </c>
      <c r="AD1044">
        <v>-1.105627043103</v>
      </c>
      <c r="AE1044">
        <v>-2.8538999999999999</v>
      </c>
      <c r="AF1044">
        <v>2.9292992624830201</v>
      </c>
      <c r="AG1044">
        <v>-1.105627043103</v>
      </c>
      <c r="AH1044">
        <v>9.4609386283456196</v>
      </c>
      <c r="AI1044">
        <v>96.369776136113202</v>
      </c>
      <c r="AJ1044">
        <v>72.7964104212042</v>
      </c>
      <c r="AK1044">
        <v>9.9655689780838195</v>
      </c>
    </row>
    <row r="1045" spans="1:37" x14ac:dyDescent="0.2">
      <c r="A1045" t="str">
        <f>"20200111153628143"</f>
        <v>20200111153628143</v>
      </c>
      <c r="B1045" t="str">
        <f>"1578728188133668"</f>
        <v>1578728188133668</v>
      </c>
      <c r="C1045" t="s">
        <v>37</v>
      </c>
      <c r="D1045">
        <v>6.0326699999999898</v>
      </c>
      <c r="E1045">
        <v>0.59530090000000002</v>
      </c>
      <c r="F1045" t="s">
        <v>39</v>
      </c>
      <c r="G1045">
        <v>-215.0316</v>
      </c>
      <c r="H1045" s="1">
        <v>-3.058845E-6</v>
      </c>
      <c r="I1045">
        <v>364.42239999999998</v>
      </c>
      <c r="J1045">
        <v>-224.476</v>
      </c>
      <c r="K1045">
        <v>1.1056269999999999</v>
      </c>
      <c r="L1045">
        <v>367.37560000000002</v>
      </c>
      <c r="M1045">
        <v>0.99983290000000002</v>
      </c>
      <c r="N1045">
        <v>0</v>
      </c>
      <c r="O1045">
        <v>1.1889220000000001E-2</v>
      </c>
      <c r="P1045">
        <v>0.99677289999999996</v>
      </c>
      <c r="Q1045">
        <v>5.3534779999999997E-2</v>
      </c>
      <c r="R1045">
        <v>-5.981363E-2</v>
      </c>
      <c r="S1045">
        <v>2.9778439999999899</v>
      </c>
      <c r="T1045">
        <v>-0.34368130000000002</v>
      </c>
      <c r="U1045">
        <v>-0.9174194</v>
      </c>
      <c r="V1045">
        <v>7.1603410000000006E-2</v>
      </c>
      <c r="W1045">
        <v>6.743014E-2</v>
      </c>
      <c r="X1045">
        <v>0.99515129999999996</v>
      </c>
      <c r="Y1045">
        <v>0.30385180000000001</v>
      </c>
      <c r="Z1045">
        <v>-1.8421429999999999E-2</v>
      </c>
      <c r="AA1045">
        <v>0.95254119999999998</v>
      </c>
      <c r="AB1045">
        <v>24</v>
      </c>
      <c r="AC1045">
        <v>9.4443999999999999</v>
      </c>
      <c r="AD1045">
        <v>-1.1056300588450001</v>
      </c>
      <c r="AE1045">
        <v>-2.95320000000003</v>
      </c>
      <c r="AF1045">
        <v>3.0274931193130801</v>
      </c>
      <c r="AG1045">
        <v>-1.1056300588450001</v>
      </c>
      <c r="AH1045">
        <v>9.2926079933761407</v>
      </c>
      <c r="AI1045">
        <v>96.454264513088702</v>
      </c>
      <c r="AJ1045">
        <v>71.9546054538325</v>
      </c>
      <c r="AK1045">
        <v>9.8356848126130902</v>
      </c>
    </row>
    <row r="1046" spans="1:37" x14ac:dyDescent="0.2">
      <c r="A1046" t="str">
        <f>"20200111153628158"</f>
        <v>20200111153628158</v>
      </c>
      <c r="B1046" t="str">
        <f>"1578728188153188"</f>
        <v>1578728188153188</v>
      </c>
      <c r="C1046" t="s">
        <v>37</v>
      </c>
      <c r="D1046">
        <v>6.0614619999999997</v>
      </c>
      <c r="E1046">
        <v>0.59759050000000002</v>
      </c>
      <c r="F1046" t="s">
        <v>39</v>
      </c>
      <c r="G1046">
        <v>-215.08070000000001</v>
      </c>
      <c r="H1046" s="1">
        <v>-3.049103E-6</v>
      </c>
      <c r="I1046">
        <v>364.39620000000002</v>
      </c>
      <c r="J1046">
        <v>-224.32400000000001</v>
      </c>
      <c r="K1046">
        <v>1.1056379999999999</v>
      </c>
      <c r="L1046">
        <v>367.37779999999998</v>
      </c>
      <c r="M1046">
        <v>0.99982850000000001</v>
      </c>
      <c r="N1046">
        <v>0</v>
      </c>
      <c r="O1046">
        <v>1.226204E-2</v>
      </c>
      <c r="P1046">
        <v>0.99668950000000001</v>
      </c>
      <c r="Q1046">
        <v>5.2459609999999997E-2</v>
      </c>
      <c r="R1046">
        <v>-6.2115360000000001E-2</v>
      </c>
      <c r="S1046">
        <v>2.9719389999999999</v>
      </c>
      <c r="T1046">
        <v>-0.34973179999999998</v>
      </c>
      <c r="U1046">
        <v>-0.94244380000000005</v>
      </c>
      <c r="V1046">
        <v>7.4272969999999994E-2</v>
      </c>
      <c r="W1046">
        <v>6.6347760000000006E-2</v>
      </c>
      <c r="X1046">
        <v>0.99502839999999904</v>
      </c>
      <c r="Y1046">
        <v>0.31191099999999999</v>
      </c>
      <c r="Z1046">
        <v>-1.9260320000000001E-2</v>
      </c>
      <c r="AA1046">
        <v>0.94991610000000004</v>
      </c>
      <c r="AB1046">
        <v>24</v>
      </c>
      <c r="AC1046">
        <v>9.2432999999999996</v>
      </c>
      <c r="AD1046">
        <v>-1.105641049103</v>
      </c>
      <c r="AE1046">
        <v>-2.9815999999999501</v>
      </c>
      <c r="AF1046">
        <v>3.0551356712521698</v>
      </c>
      <c r="AG1046">
        <v>-1.105641049103</v>
      </c>
      <c r="AH1046">
        <v>9.0882624020202698</v>
      </c>
      <c r="AI1046">
        <v>96.5779911415339</v>
      </c>
      <c r="AJ1046">
        <v>71.419270755917793</v>
      </c>
      <c r="AK1046">
        <v>9.6515703171657208</v>
      </c>
    </row>
    <row r="1047" spans="1:37" x14ac:dyDescent="0.2">
      <c r="A1047" t="str">
        <f>"20200111153628170"</f>
        <v>20200111153628170</v>
      </c>
      <c r="B1047" t="str">
        <f>"1578728188163924"</f>
        <v>1578728188163924</v>
      </c>
      <c r="C1047" t="s">
        <v>37</v>
      </c>
      <c r="D1047">
        <v>6.029979</v>
      </c>
      <c r="E1047">
        <v>0.5981668</v>
      </c>
      <c r="F1047" t="s">
        <v>39</v>
      </c>
      <c r="G1047">
        <v>-214.6763</v>
      </c>
      <c r="H1047" s="1">
        <v>-3.2297729999999999E-6</v>
      </c>
      <c r="I1047">
        <v>364.23439999999999</v>
      </c>
      <c r="J1047">
        <v>-224.1884</v>
      </c>
      <c r="K1047">
        <v>1.105642</v>
      </c>
      <c r="L1047">
        <v>367.37990000000002</v>
      </c>
      <c r="M1047">
        <v>0.9998243</v>
      </c>
      <c r="N1047">
        <v>0</v>
      </c>
      <c r="O1047">
        <v>1.260962E-2</v>
      </c>
      <c r="P1047">
        <v>0.99658840000000004</v>
      </c>
      <c r="Q1047">
        <v>5.1816040000000001E-2</v>
      </c>
      <c r="R1047">
        <v>-6.4241619999999999E-2</v>
      </c>
      <c r="S1047">
        <v>2.967606</v>
      </c>
      <c r="T1047">
        <v>-0.34008870000000002</v>
      </c>
      <c r="U1047">
        <v>-0.96688839999999998</v>
      </c>
      <c r="V1047">
        <v>7.6742370000000004E-2</v>
      </c>
      <c r="W1047">
        <v>6.5698300000000001E-2</v>
      </c>
      <c r="X1047">
        <v>0.99488410000000005</v>
      </c>
      <c r="Y1047">
        <v>0.31978269999999998</v>
      </c>
      <c r="Z1047">
        <v>-1.9212690000000001E-2</v>
      </c>
      <c r="AA1047">
        <v>0.94729609999999997</v>
      </c>
      <c r="AB1047">
        <v>24</v>
      </c>
      <c r="AC1047">
        <v>9.5121000000000002</v>
      </c>
      <c r="AD1047">
        <v>-1.1056452297729999</v>
      </c>
      <c r="AE1047">
        <v>-3.1455000000000202</v>
      </c>
      <c r="AF1047">
        <v>3.22591713027805</v>
      </c>
      <c r="AG1047">
        <v>-1.1056452297729999</v>
      </c>
      <c r="AH1047">
        <v>9.3577092631593199</v>
      </c>
      <c r="AI1047">
        <v>96.373647555126396</v>
      </c>
      <c r="AJ1047">
        <v>70.979205053617306</v>
      </c>
      <c r="AK1047">
        <v>9.9597045819320797</v>
      </c>
    </row>
    <row r="1048" spans="1:37" x14ac:dyDescent="0.2">
      <c r="A1048" t="str">
        <f>"20200111153628183"</f>
        <v>20200111153628183</v>
      </c>
      <c r="B1048" t="str">
        <f>"1578728188173683"</f>
        <v>1578728188173683</v>
      </c>
      <c r="C1048" t="s">
        <v>37</v>
      </c>
      <c r="D1048">
        <v>6.0292399999999997</v>
      </c>
      <c r="E1048">
        <v>0.59789859999999995</v>
      </c>
      <c r="F1048" t="s">
        <v>39</v>
      </c>
      <c r="G1048">
        <v>-214.4229</v>
      </c>
      <c r="H1048" s="1">
        <v>-3.342717E-6</v>
      </c>
      <c r="I1048">
        <v>364.16030000000001</v>
      </c>
      <c r="J1048">
        <v>-224.0488</v>
      </c>
      <c r="K1048">
        <v>1.1056469999999901</v>
      </c>
      <c r="L1048">
        <v>367.38199999999898</v>
      </c>
      <c r="M1048">
        <v>0.99981960000000003</v>
      </c>
      <c r="N1048">
        <v>0</v>
      </c>
      <c r="O1048">
        <v>1.297417E-2</v>
      </c>
      <c r="P1048">
        <v>0.99649949999999998</v>
      </c>
      <c r="Q1048">
        <v>5.1151820000000001E-2</v>
      </c>
      <c r="R1048">
        <v>-6.6121230000000003E-2</v>
      </c>
      <c r="S1048">
        <v>2.9647220000000001</v>
      </c>
      <c r="T1048">
        <v>-0.33566119999999999</v>
      </c>
      <c r="U1048">
        <v>-0.97741699999999998</v>
      </c>
      <c r="V1048">
        <v>7.8982380000000005E-2</v>
      </c>
      <c r="W1048">
        <v>6.5027879999999996E-2</v>
      </c>
      <c r="X1048">
        <v>0.99475279999999999</v>
      </c>
      <c r="Y1048">
        <v>0.32346079999999999</v>
      </c>
      <c r="Z1048">
        <v>-1.921372E-2</v>
      </c>
      <c r="AA1048">
        <v>0.94604650000000001</v>
      </c>
      <c r="AB1048">
        <v>24</v>
      </c>
      <c r="AC1048">
        <v>9.6258999999999997</v>
      </c>
      <c r="AD1048">
        <v>-1.1056503427169999</v>
      </c>
      <c r="AE1048">
        <v>-3.2216999999999398</v>
      </c>
      <c r="AF1048">
        <v>3.3070926151048701</v>
      </c>
      <c r="AG1048">
        <v>-1.1056503427169999</v>
      </c>
      <c r="AH1048">
        <v>9.4709211501150996</v>
      </c>
      <c r="AI1048">
        <v>96.289500030216004</v>
      </c>
      <c r="AJ1048">
        <v>70.751623643624797</v>
      </c>
      <c r="AK1048">
        <v>10.0924561766167</v>
      </c>
    </row>
    <row r="1049" spans="1:37" x14ac:dyDescent="0.2">
      <c r="A1049" t="str">
        <f>"20200111153628199"</f>
        <v>20200111153628199</v>
      </c>
      <c r="B1049" t="str">
        <f>"1578728188193206"</f>
        <v>1578728188193206</v>
      </c>
      <c r="C1049" t="s">
        <v>37</v>
      </c>
      <c r="D1049">
        <v>6.1029210000000003</v>
      </c>
      <c r="E1049">
        <v>0.59737830000000003</v>
      </c>
      <c r="F1049" t="s">
        <v>39</v>
      </c>
      <c r="G1049">
        <v>-214.31450000000001</v>
      </c>
      <c r="H1049" s="1">
        <v>-3.3889939999999999E-6</v>
      </c>
      <c r="I1049">
        <v>364.1617</v>
      </c>
      <c r="J1049">
        <v>-223.8852</v>
      </c>
      <c r="K1049">
        <v>1.1056379999999999</v>
      </c>
      <c r="L1049">
        <v>367.3845</v>
      </c>
      <c r="M1049">
        <v>0.99981399999999998</v>
      </c>
      <c r="N1049">
        <v>0</v>
      </c>
      <c r="O1049">
        <v>1.341268E-2</v>
      </c>
      <c r="P1049">
        <v>0.99632219999999905</v>
      </c>
      <c r="Q1049">
        <v>5.0107539999999999E-2</v>
      </c>
      <c r="R1049">
        <v>-6.9508589999999995E-2</v>
      </c>
      <c r="S1049">
        <v>2.9627840000000001</v>
      </c>
      <c r="T1049">
        <v>-0.33651619999999999</v>
      </c>
      <c r="U1049">
        <v>-0.98013309999999998</v>
      </c>
      <c r="V1049">
        <v>8.280274E-2</v>
      </c>
      <c r="W1049">
        <v>6.3977199999999998E-2</v>
      </c>
      <c r="X1049">
        <v>0.99451019999999901</v>
      </c>
      <c r="Y1049">
        <v>0.32481900000000002</v>
      </c>
      <c r="Z1049">
        <v>-1.9394930000000001E-2</v>
      </c>
      <c r="AA1049">
        <v>0.94557729999999995</v>
      </c>
      <c r="AB1049">
        <v>24</v>
      </c>
      <c r="AC1049">
        <v>9.5706999999999791</v>
      </c>
      <c r="AD1049">
        <v>-1.105641388994</v>
      </c>
      <c r="AE1049">
        <v>-3.2227999999999999</v>
      </c>
      <c r="AF1049">
        <v>3.3112013004946599</v>
      </c>
      <c r="AG1049">
        <v>-1.105641388994</v>
      </c>
      <c r="AH1049">
        <v>9.4137699611585202</v>
      </c>
      <c r="AI1049">
        <v>96.322318420308306</v>
      </c>
      <c r="AJ1049">
        <v>70.621177128891404</v>
      </c>
      <c r="AK1049">
        <v>10.040197299608399</v>
      </c>
    </row>
    <row r="1050" spans="1:37" x14ac:dyDescent="0.2">
      <c r="A1050" t="str">
        <f>"20200111153628213"</f>
        <v>20200111153628213</v>
      </c>
      <c r="B1050" t="str">
        <f>"1578728188203940"</f>
        <v>1578728188203940</v>
      </c>
      <c r="C1050" t="s">
        <v>37</v>
      </c>
      <c r="D1050">
        <v>6.0409420000000003</v>
      </c>
      <c r="E1050">
        <v>0.59728619999999899</v>
      </c>
      <c r="F1050" t="s">
        <v>39</v>
      </c>
      <c r="G1050">
        <v>-214.29310000000001</v>
      </c>
      <c r="H1050" s="1">
        <v>-3.392641E-6</v>
      </c>
      <c r="I1050">
        <v>364.19260000000003</v>
      </c>
      <c r="J1050">
        <v>-223.7312</v>
      </c>
      <c r="K1050">
        <v>1.105634</v>
      </c>
      <c r="L1050">
        <v>367.38699999999898</v>
      </c>
      <c r="M1050">
        <v>0.99980840000000004</v>
      </c>
      <c r="N1050">
        <v>0</v>
      </c>
      <c r="O1050">
        <v>1.3835439999999999E-2</v>
      </c>
      <c r="P1050">
        <v>0.99626740000000003</v>
      </c>
      <c r="Q1050">
        <v>4.9502099999999903E-2</v>
      </c>
      <c r="R1050">
        <v>-7.0714760000000002E-2</v>
      </c>
      <c r="S1050">
        <v>2.95950299999999</v>
      </c>
      <c r="T1050">
        <v>-0.34112940000000003</v>
      </c>
      <c r="U1050">
        <v>-0.98480219999999896</v>
      </c>
      <c r="V1050">
        <v>8.442827E-2</v>
      </c>
      <c r="W1050">
        <v>6.3365710000000006E-2</v>
      </c>
      <c r="X1050">
        <v>0.99441270000000004</v>
      </c>
      <c r="Y1050">
        <v>0.3268027</v>
      </c>
      <c r="Z1050">
        <v>-1.9833400000000001E-2</v>
      </c>
      <c r="AA1050">
        <v>0.94488449999999902</v>
      </c>
      <c r="AB1050">
        <v>24</v>
      </c>
      <c r="AC1050">
        <v>9.4380999999999897</v>
      </c>
      <c r="AD1050">
        <v>-1.1056373926409999</v>
      </c>
      <c r="AE1050">
        <v>-3.1943999999999102</v>
      </c>
      <c r="AF1050">
        <v>3.2842488258866398</v>
      </c>
      <c r="AG1050">
        <v>-1.1056373926409999</v>
      </c>
      <c r="AH1050">
        <v>9.2787493266085299</v>
      </c>
      <c r="AI1050">
        <v>96.409117923771703</v>
      </c>
      <c r="AJ1050">
        <v>70.508387917930094</v>
      </c>
      <c r="AK1050">
        <v>9.9047419683897893</v>
      </c>
    </row>
    <row r="1051" spans="1:37" x14ac:dyDescent="0.2">
      <c r="A1051" t="str">
        <f>"20200111153628227"</f>
        <v>20200111153628227</v>
      </c>
      <c r="B1051" t="str">
        <f>"1578728188223460"</f>
        <v>1578728188223460</v>
      </c>
      <c r="C1051" t="s">
        <v>37</v>
      </c>
      <c r="D1051">
        <v>6.1270480000000003</v>
      </c>
      <c r="E1051">
        <v>0.59654859999999998</v>
      </c>
      <c r="F1051" t="s">
        <v>39</v>
      </c>
      <c r="G1051">
        <v>-214.28540000000001</v>
      </c>
      <c r="H1051" s="1">
        <v>-3.3883229999999998E-6</v>
      </c>
      <c r="I1051">
        <v>364.23579999999998</v>
      </c>
      <c r="J1051">
        <v>-223.58369999999999</v>
      </c>
      <c r="K1051">
        <v>1.105626</v>
      </c>
      <c r="L1051">
        <v>367.3895</v>
      </c>
      <c r="M1051">
        <v>0.99980279999999999</v>
      </c>
      <c r="N1051">
        <v>0</v>
      </c>
      <c r="O1051">
        <v>1.424515E-2</v>
      </c>
      <c r="P1051">
        <v>0.99620739999999997</v>
      </c>
      <c r="Q1051">
        <v>4.8998949999999999E-2</v>
      </c>
      <c r="R1051">
        <v>-7.190626E-2</v>
      </c>
      <c r="S1051">
        <v>2.9583889999999999</v>
      </c>
      <c r="T1051">
        <v>-0.34627629999999998</v>
      </c>
      <c r="U1051">
        <v>-0.98693850000000005</v>
      </c>
      <c r="V1051">
        <v>8.6026309999999995E-2</v>
      </c>
      <c r="W1051">
        <v>6.2856529999999994E-2</v>
      </c>
      <c r="X1051">
        <v>0.99430810000000003</v>
      </c>
      <c r="Y1051">
        <v>0.32783869999999998</v>
      </c>
      <c r="Z1051">
        <v>-2.0241149999999999E-2</v>
      </c>
      <c r="AA1051">
        <v>0.94451689999999999</v>
      </c>
      <c r="AB1051">
        <v>24</v>
      </c>
      <c r="AC1051">
        <v>9.2982999999999798</v>
      </c>
      <c r="AD1051">
        <v>-1.105629388323</v>
      </c>
      <c r="AE1051">
        <v>-3.1537000000000099</v>
      </c>
      <c r="AF1051">
        <v>3.2447050691515802</v>
      </c>
      <c r="AG1051">
        <v>-1.105629388323</v>
      </c>
      <c r="AH1051">
        <v>9.13657431042793</v>
      </c>
      <c r="AI1051">
        <v>96.505557774176296</v>
      </c>
      <c r="AJ1051">
        <v>70.448336939623005</v>
      </c>
      <c r="AK1051">
        <v>9.7584587645833292</v>
      </c>
    </row>
    <row r="1052" spans="1:37" x14ac:dyDescent="0.2">
      <c r="A1052" t="str">
        <f>"20200111153628241"</f>
        <v>20200111153628241</v>
      </c>
      <c r="B1052" t="str">
        <f>"1578728188233219"</f>
        <v>1578728188233219</v>
      </c>
      <c r="C1052" t="s">
        <v>37</v>
      </c>
      <c r="D1052">
        <v>6.1048900000000001</v>
      </c>
      <c r="E1052">
        <v>0.59600249999999999</v>
      </c>
      <c r="F1052" t="s">
        <v>39</v>
      </c>
      <c r="G1052">
        <v>-214.2064</v>
      </c>
      <c r="H1052" s="1">
        <v>-3.4160029999999999E-6</v>
      </c>
      <c r="I1052">
        <v>364.2706</v>
      </c>
      <c r="J1052">
        <v>-223.44460000000001</v>
      </c>
      <c r="K1052">
        <v>1.10561</v>
      </c>
      <c r="L1052">
        <v>367.39190000000002</v>
      </c>
      <c r="M1052">
        <v>0.9997973</v>
      </c>
      <c r="N1052">
        <v>0</v>
      </c>
      <c r="O1052">
        <v>1.4634690000000001E-2</v>
      </c>
      <c r="P1052">
        <v>0.99618830000000003</v>
      </c>
      <c r="Q1052">
        <v>4.7839369999999999E-2</v>
      </c>
      <c r="R1052">
        <v>-7.2943690000000005E-2</v>
      </c>
      <c r="S1052">
        <v>2.9575809999999998</v>
      </c>
      <c r="T1052">
        <v>-0.34871020000000003</v>
      </c>
      <c r="U1052">
        <v>-0.98367309999999997</v>
      </c>
      <c r="V1052">
        <v>8.7451619999999994E-2</v>
      </c>
      <c r="W1052">
        <v>6.1691969999999999E-2</v>
      </c>
      <c r="X1052">
        <v>0.99425669999999899</v>
      </c>
      <c r="Y1052">
        <v>0.32731450000000001</v>
      </c>
      <c r="Z1052">
        <v>-2.040585E-2</v>
      </c>
      <c r="AA1052">
        <v>0.94469509999999901</v>
      </c>
      <c r="AB1052">
        <v>24</v>
      </c>
      <c r="AC1052">
        <v>9.2382000000000009</v>
      </c>
      <c r="AD1052">
        <v>-1.105613416003</v>
      </c>
      <c r="AE1052">
        <v>-3.1213000000000202</v>
      </c>
      <c r="AF1052">
        <v>3.2148485712984001</v>
      </c>
      <c r="AG1052">
        <v>-1.105613416003</v>
      </c>
      <c r="AH1052">
        <v>9.0748656699404595</v>
      </c>
      <c r="AI1052">
        <v>96.551108698727603</v>
      </c>
      <c r="AJ1052">
        <v>70.492874876648102</v>
      </c>
      <c r="AK1052">
        <v>9.6907594794984497</v>
      </c>
    </row>
    <row r="1053" spans="1:37" x14ac:dyDescent="0.2">
      <c r="A1053" t="str">
        <f>"20200111153628253"</f>
        <v>20200111153628253</v>
      </c>
      <c r="B1053" t="str">
        <f>"1578728188243956"</f>
        <v>1578728188243956</v>
      </c>
      <c r="C1053" t="s">
        <v>37</v>
      </c>
      <c r="D1053">
        <v>6.129683</v>
      </c>
      <c r="E1053">
        <v>0.59566839999999999</v>
      </c>
      <c r="F1053" t="s">
        <v>39</v>
      </c>
      <c r="G1053">
        <v>-214.18510000000001</v>
      </c>
      <c r="H1053" s="1">
        <v>-3.4168570000000001E-6</v>
      </c>
      <c r="I1053">
        <v>364.31740000000002</v>
      </c>
      <c r="J1053">
        <v>-223.30090000000001</v>
      </c>
      <c r="K1053">
        <v>1.105588</v>
      </c>
      <c r="L1053">
        <v>367.39440000000002</v>
      </c>
      <c r="M1053">
        <v>0.9997914</v>
      </c>
      <c r="N1053">
        <v>0</v>
      </c>
      <c r="O1053">
        <v>1.503986E-2</v>
      </c>
      <c r="P1053">
        <v>0.99612979999999995</v>
      </c>
      <c r="Q1053">
        <v>4.6074629999999998E-2</v>
      </c>
      <c r="R1053">
        <v>-7.4851730000000005E-2</v>
      </c>
      <c r="S1053">
        <v>2.9565579999999998</v>
      </c>
      <c r="T1053">
        <v>-0.35302030000000001</v>
      </c>
      <c r="U1053">
        <v>-0.98168949999999999</v>
      </c>
      <c r="V1053">
        <v>8.9763570000000001E-2</v>
      </c>
      <c r="W1053">
        <v>5.9922360000000001E-2</v>
      </c>
      <c r="X1053">
        <v>0.99415889999999996</v>
      </c>
      <c r="Y1053">
        <v>0.3271675</v>
      </c>
      <c r="Z1053">
        <v>-2.070377E-2</v>
      </c>
      <c r="AA1053">
        <v>0.94473949999999995</v>
      </c>
      <c r="AB1053">
        <v>24</v>
      </c>
      <c r="AC1053">
        <v>9.1158000000000001</v>
      </c>
      <c r="AD1053">
        <v>-1.105591416857</v>
      </c>
      <c r="AE1053">
        <v>-3.0769999999999902</v>
      </c>
      <c r="AF1053">
        <v>3.1718806118666198</v>
      </c>
      <c r="AG1053">
        <v>-1.105591416857</v>
      </c>
      <c r="AH1053">
        <v>8.9502978340909998</v>
      </c>
      <c r="AI1053">
        <v>96.641076444413599</v>
      </c>
      <c r="AJ1053">
        <v>70.486270203429299</v>
      </c>
      <c r="AK1053">
        <v>9.5598635092713096</v>
      </c>
    </row>
    <row r="1054" spans="1:37" x14ac:dyDescent="0.2">
      <c r="A1054" t="str">
        <f>"20200111153628269"</f>
        <v>20200111153628269</v>
      </c>
      <c r="B1054" t="str">
        <f>"1578728188263476"</f>
        <v>1578728188263476</v>
      </c>
      <c r="C1054" t="s">
        <v>37</v>
      </c>
      <c r="D1054">
        <v>6.165832</v>
      </c>
      <c r="E1054">
        <v>0.59490569999999998</v>
      </c>
      <c r="F1054" t="s">
        <v>39</v>
      </c>
      <c r="G1054">
        <v>-214.21770000000001</v>
      </c>
      <c r="H1054" s="1">
        <v>-3.3931070000000002E-6</v>
      </c>
      <c r="I1054">
        <v>364.37240000000003</v>
      </c>
      <c r="J1054">
        <v>-223.14689999999999</v>
      </c>
      <c r="K1054">
        <v>1.1055759999999999</v>
      </c>
      <c r="L1054">
        <v>367.3972</v>
      </c>
      <c r="M1054">
        <v>0.99978469999999997</v>
      </c>
      <c r="N1054">
        <v>0</v>
      </c>
      <c r="O1054">
        <v>1.547481E-2</v>
      </c>
      <c r="P1054">
        <v>0.99610580000000004</v>
      </c>
      <c r="Q1054">
        <v>4.5395129999999999E-2</v>
      </c>
      <c r="R1054">
        <v>-7.5579839999999995E-2</v>
      </c>
      <c r="S1054">
        <v>2.954453</v>
      </c>
      <c r="T1054">
        <v>-0.35960749999999903</v>
      </c>
      <c r="U1054">
        <v>-0.982940699999999</v>
      </c>
      <c r="V1054">
        <v>9.0924809999999995E-2</v>
      </c>
      <c r="W1054">
        <v>5.9236469999999999E-2</v>
      </c>
      <c r="X1054">
        <v>0.99409439999999905</v>
      </c>
      <c r="Y1054">
        <v>0.3280459</v>
      </c>
      <c r="Z1054">
        <v>-2.1203630000000001E-2</v>
      </c>
      <c r="AA1054">
        <v>0.94442380000000004</v>
      </c>
      <c r="AB1054">
        <v>24</v>
      </c>
      <c r="AC1054">
        <v>8.9291999999999803</v>
      </c>
      <c r="AD1054">
        <v>-1.1055793931069999</v>
      </c>
      <c r="AE1054">
        <v>-3.0247999999999702</v>
      </c>
      <c r="AF1054">
        <v>3.11972518080852</v>
      </c>
      <c r="AG1054">
        <v>-1.1055793931069999</v>
      </c>
      <c r="AH1054">
        <v>8.7608361720768109</v>
      </c>
      <c r="AI1054">
        <v>96.779673389494903</v>
      </c>
      <c r="AJ1054">
        <v>70.399235350150903</v>
      </c>
      <c r="AK1054">
        <v>9.3652144359968101</v>
      </c>
    </row>
    <row r="1055" spans="1:37" x14ac:dyDescent="0.2">
      <c r="A1055" t="str">
        <f>"20200111153628288"</f>
        <v>20200111153628288</v>
      </c>
      <c r="B1055" t="str">
        <f>"1578728188283971"</f>
        <v>1578728188283971</v>
      </c>
      <c r="C1055" t="s">
        <v>37</v>
      </c>
      <c r="D1055">
        <v>6.1510449999999999</v>
      </c>
      <c r="E1055">
        <v>0.59435209999999905</v>
      </c>
      <c r="F1055" t="s">
        <v>39</v>
      </c>
      <c r="G1055">
        <v>-214.11850000000001</v>
      </c>
      <c r="H1055" s="1">
        <v>-3.429502E-6</v>
      </c>
      <c r="I1055">
        <v>364.40719999999999</v>
      </c>
      <c r="J1055">
        <v>-222.94200000000001</v>
      </c>
      <c r="K1055">
        <v>1.105558</v>
      </c>
      <c r="L1055">
        <v>367.40109999999999</v>
      </c>
      <c r="M1055">
        <v>0.99977579999999999</v>
      </c>
      <c r="N1055">
        <v>0</v>
      </c>
      <c r="O1055">
        <v>1.605295E-2</v>
      </c>
      <c r="P1055">
        <v>0.99602349999999995</v>
      </c>
      <c r="Q1055">
        <v>4.4654979999999997E-2</v>
      </c>
      <c r="R1055">
        <v>-7.7091709999999994E-2</v>
      </c>
      <c r="S1055">
        <v>2.9539949999999999</v>
      </c>
      <c r="T1055">
        <v>-0.36172969999999999</v>
      </c>
      <c r="U1055">
        <v>-0.978302</v>
      </c>
      <c r="V1055">
        <v>9.3011620000000003E-2</v>
      </c>
      <c r="W1055">
        <v>5.8488640000000001E-2</v>
      </c>
      <c r="X1055">
        <v>0.99394570000000004</v>
      </c>
      <c r="Y1055">
        <v>0.3272718</v>
      </c>
      <c r="Z1055">
        <v>-2.1358909999999998E-2</v>
      </c>
      <c r="AA1055">
        <v>0.9446888</v>
      </c>
      <c r="AB1055">
        <v>24</v>
      </c>
      <c r="AC1055">
        <v>8.8234999999999904</v>
      </c>
      <c r="AD1055">
        <v>-1.105561429502</v>
      </c>
      <c r="AE1055">
        <v>-2.9938999999999898</v>
      </c>
      <c r="AF1055">
        <v>3.0916449614531101</v>
      </c>
      <c r="AG1055">
        <v>-1.105561429502</v>
      </c>
      <c r="AH1055">
        <v>8.65248286262287</v>
      </c>
      <c r="AI1055">
        <v>96.861047265309693</v>
      </c>
      <c r="AJ1055">
        <v>70.337528638995394</v>
      </c>
      <c r="AK1055">
        <v>9.2545121065382698</v>
      </c>
    </row>
    <row r="1056" spans="1:37" x14ac:dyDescent="0.2">
      <c r="A1056" t="str">
        <f>"20200111153628302"</f>
        <v>20200111153628302</v>
      </c>
      <c r="B1056" t="str">
        <f>"1578728188293732"</f>
        <v>1578728188293732</v>
      </c>
      <c r="C1056" t="s">
        <v>37</v>
      </c>
      <c r="D1056">
        <v>6.094722</v>
      </c>
      <c r="E1056">
        <v>0.59407580000000004</v>
      </c>
      <c r="F1056" t="s">
        <v>39</v>
      </c>
      <c r="G1056">
        <v>-213.99209999999999</v>
      </c>
      <c r="H1056" s="1">
        <v>-3.477908E-6</v>
      </c>
      <c r="I1056">
        <v>364.43990000000002</v>
      </c>
      <c r="J1056">
        <v>-222.78659999999999</v>
      </c>
      <c r="K1056">
        <v>1.1055469999999901</v>
      </c>
      <c r="L1056">
        <v>367.404</v>
      </c>
      <c r="M1056">
        <v>0.99976869999999995</v>
      </c>
      <c r="N1056">
        <v>0</v>
      </c>
      <c r="O1056">
        <v>1.6490169999999998E-2</v>
      </c>
      <c r="P1056">
        <v>0.99601410000000001</v>
      </c>
      <c r="Q1056">
        <v>4.4031519999999998E-2</v>
      </c>
      <c r="R1056">
        <v>-7.7571749999999995E-2</v>
      </c>
      <c r="S1056">
        <v>2.952728</v>
      </c>
      <c r="T1056">
        <v>-0.36474309999999899</v>
      </c>
      <c r="U1056">
        <v>-0.97692869999999998</v>
      </c>
      <c r="V1056">
        <v>9.3927490000000002E-2</v>
      </c>
      <c r="W1056">
        <v>5.7859340000000002E-2</v>
      </c>
      <c r="X1056">
        <v>0.99389629999999995</v>
      </c>
      <c r="Y1056">
        <v>0.32736509999999902</v>
      </c>
      <c r="Z1056">
        <v>-2.160391E-2</v>
      </c>
      <c r="AA1056">
        <v>0.94465089999999996</v>
      </c>
      <c r="AB1056">
        <v>24</v>
      </c>
      <c r="AC1056">
        <v>8.7944999999999993</v>
      </c>
      <c r="AD1056">
        <v>-1.1055504779080001</v>
      </c>
      <c r="AE1056">
        <v>-2.96409999999997</v>
      </c>
      <c r="AF1056">
        <v>3.0652353438426001</v>
      </c>
      <c r="AG1056">
        <v>-1.1055504779080001</v>
      </c>
      <c r="AH1056">
        <v>8.6220666934320391</v>
      </c>
      <c r="AI1056">
        <v>96.888839633915794</v>
      </c>
      <c r="AJ1056">
        <v>70.429165365105206</v>
      </c>
      <c r="AK1056">
        <v>9.2172633486482596</v>
      </c>
    </row>
    <row r="1057" spans="1:37" x14ac:dyDescent="0.2">
      <c r="A1057" t="str">
        <f>"20200111153628316"</f>
        <v>20200111153628316</v>
      </c>
      <c r="B1057" t="str">
        <f>"1578728188303492"</f>
        <v>1578728188303492</v>
      </c>
      <c r="C1057" t="s">
        <v>37</v>
      </c>
      <c r="D1057">
        <v>6.1154960000000003</v>
      </c>
      <c r="E1057">
        <v>0.59384999999999999</v>
      </c>
      <c r="F1057" t="s">
        <v>39</v>
      </c>
      <c r="G1057">
        <v>-213.90369999999999</v>
      </c>
      <c r="H1057" s="1">
        <v>-3.510505E-6</v>
      </c>
      <c r="I1057">
        <v>364.47</v>
      </c>
      <c r="J1057">
        <v>-222.65209999999999</v>
      </c>
      <c r="K1057">
        <v>1.1055379999999999</v>
      </c>
      <c r="L1057">
        <v>367.40660000000003</v>
      </c>
      <c r="M1057">
        <v>0.99976239999999905</v>
      </c>
      <c r="N1057">
        <v>0</v>
      </c>
      <c r="O1057">
        <v>1.6867130000000001E-2</v>
      </c>
      <c r="P1057">
        <v>0.99598659999999894</v>
      </c>
      <c r="Q1057">
        <v>4.3765369999999998E-2</v>
      </c>
      <c r="R1057">
        <v>-7.807443E-2</v>
      </c>
      <c r="S1057">
        <v>2.9523160000000002</v>
      </c>
      <c r="T1057">
        <v>-0.36743779999999998</v>
      </c>
      <c r="U1057">
        <v>-0.975128199999999</v>
      </c>
      <c r="V1057">
        <v>9.4805219999999996E-2</v>
      </c>
      <c r="W1057">
        <v>5.7587989999999999E-2</v>
      </c>
      <c r="X1057">
        <v>0.99382879999999996</v>
      </c>
      <c r="Y1057">
        <v>0.32720339999999998</v>
      </c>
      <c r="Z1057">
        <v>-2.1803090000000001E-2</v>
      </c>
      <c r="AA1057">
        <v>0.94470239999999905</v>
      </c>
      <c r="AB1057">
        <v>24</v>
      </c>
      <c r="AC1057">
        <v>8.7484000000000002</v>
      </c>
      <c r="AD1057">
        <v>-1.1055415105049999</v>
      </c>
      <c r="AE1057">
        <v>-2.9365999999999901</v>
      </c>
      <c r="AF1057">
        <v>3.0401236069183102</v>
      </c>
      <c r="AG1057">
        <v>-1.1055415105049999</v>
      </c>
      <c r="AH1057">
        <v>8.5745532014555703</v>
      </c>
      <c r="AI1057">
        <v>96.928660332449596</v>
      </c>
      <c r="AJ1057">
        <v>70.477944765657398</v>
      </c>
      <c r="AK1057">
        <v>9.1644714076363201</v>
      </c>
    </row>
    <row r="1058" spans="1:37" x14ac:dyDescent="0.2">
      <c r="A1058" t="str">
        <f>"20200111153628329"</f>
        <v>20200111153628329</v>
      </c>
      <c r="B1058" t="str">
        <f>"1578728188323988"</f>
        <v>1578728188323988</v>
      </c>
      <c r="C1058" t="s">
        <v>37</v>
      </c>
      <c r="D1058">
        <v>6.1604580000000002</v>
      </c>
      <c r="E1058">
        <v>0.59355570000000002</v>
      </c>
      <c r="F1058" t="s">
        <v>39</v>
      </c>
      <c r="G1058">
        <v>-213.78980000000001</v>
      </c>
      <c r="H1058" s="1">
        <v>-3.557421E-6</v>
      </c>
      <c r="I1058">
        <v>364.48090000000002</v>
      </c>
      <c r="J1058">
        <v>-222.51070000000001</v>
      </c>
      <c r="K1058">
        <v>1.105531</v>
      </c>
      <c r="L1058">
        <v>367.40940000000001</v>
      </c>
      <c r="M1058">
        <v>0.99975590000000003</v>
      </c>
      <c r="N1058">
        <v>0</v>
      </c>
      <c r="O1058">
        <v>1.7260830000000001E-2</v>
      </c>
      <c r="P1058">
        <v>0.99594749999999999</v>
      </c>
      <c r="Q1058">
        <v>4.335108E-2</v>
      </c>
      <c r="R1058">
        <v>-7.8799549999999996E-2</v>
      </c>
      <c r="S1058">
        <v>2.9518740000000001</v>
      </c>
      <c r="T1058">
        <v>-0.3682356</v>
      </c>
      <c r="U1058">
        <v>-0.97448729999999995</v>
      </c>
      <c r="V1058">
        <v>9.5922229999999997E-2</v>
      </c>
      <c r="W1058">
        <v>5.71686E-2</v>
      </c>
      <c r="X1058">
        <v>0.99374580000000001</v>
      </c>
      <c r="Y1058">
        <v>0.3274167</v>
      </c>
      <c r="Z1058">
        <v>-2.1914550000000001E-2</v>
      </c>
      <c r="AA1058">
        <v>0.94462590000000002</v>
      </c>
      <c r="AB1058">
        <v>24</v>
      </c>
      <c r="AC1058">
        <v>8.7209000000000003</v>
      </c>
      <c r="AD1058">
        <v>-1.105534557421</v>
      </c>
      <c r="AE1058">
        <v>-2.9284999999999801</v>
      </c>
      <c r="AF1058">
        <v>3.03478044068377</v>
      </c>
      <c r="AG1058">
        <v>-1.105534557421</v>
      </c>
      <c r="AH1058">
        <v>8.5456336347942194</v>
      </c>
      <c r="AI1058">
        <v>96.950589007811999</v>
      </c>
      <c r="AJ1058">
        <v>70.4487043123885</v>
      </c>
      <c r="AK1058">
        <v>9.1356419151001802</v>
      </c>
    </row>
    <row r="1059" spans="1:37" x14ac:dyDescent="0.2">
      <c r="A1059" t="str">
        <f>"20200111153628345"</f>
        <v>20200111153628345</v>
      </c>
      <c r="B1059" t="str">
        <f>"1578728188333747"</f>
        <v>1578728188333747</v>
      </c>
      <c r="C1059" t="s">
        <v>37</v>
      </c>
      <c r="D1059">
        <v>6.1291120000000001</v>
      </c>
      <c r="E1059">
        <v>0.59341069999999996</v>
      </c>
      <c r="F1059" t="s">
        <v>39</v>
      </c>
      <c r="G1059">
        <v>-213.6619</v>
      </c>
      <c r="H1059" s="1">
        <v>-3.6105649999999999E-6</v>
      </c>
      <c r="I1059">
        <v>364.4907</v>
      </c>
      <c r="J1059">
        <v>-222.3552</v>
      </c>
      <c r="K1059">
        <v>1.105524</v>
      </c>
      <c r="L1059">
        <v>367.4126</v>
      </c>
      <c r="M1059">
        <v>0.99974830000000003</v>
      </c>
      <c r="N1059">
        <v>0</v>
      </c>
      <c r="O1059">
        <v>1.7692739999999998E-2</v>
      </c>
      <c r="P1059">
        <v>0.99584709999999999</v>
      </c>
      <c r="Q1059">
        <v>4.3335480000000003E-2</v>
      </c>
      <c r="R1059">
        <v>-8.0066380000000006E-2</v>
      </c>
      <c r="S1059">
        <v>2.9512330000000002</v>
      </c>
      <c r="T1059">
        <v>-0.36871110000000001</v>
      </c>
      <c r="U1059">
        <v>-0.97341919999999904</v>
      </c>
      <c r="V1059">
        <v>9.7617430000000005E-2</v>
      </c>
      <c r="W1059">
        <v>5.7147169999999997E-2</v>
      </c>
      <c r="X1059">
        <v>0.99358199999999997</v>
      </c>
      <c r="Y1059">
        <v>0.32756570000000002</v>
      </c>
      <c r="Z1059">
        <v>-2.2009830000000001E-2</v>
      </c>
      <c r="AA1059">
        <v>0.94457199999999997</v>
      </c>
      <c r="AB1059">
        <v>24</v>
      </c>
      <c r="AC1059">
        <v>8.69329999999999</v>
      </c>
      <c r="AD1059">
        <v>-1.105527610565</v>
      </c>
      <c r="AE1059">
        <v>-2.9218999999999902</v>
      </c>
      <c r="AF1059">
        <v>3.0312197369322802</v>
      </c>
      <c r="AG1059">
        <v>-1.105527610565</v>
      </c>
      <c r="AH1059">
        <v>8.5164871225098207</v>
      </c>
      <c r="AI1059">
        <v>96.972361688238394</v>
      </c>
      <c r="AJ1059">
        <v>70.408149763477496</v>
      </c>
      <c r="AK1059">
        <v>9.1071970056195095</v>
      </c>
    </row>
    <row r="1060" spans="1:37" x14ac:dyDescent="0.2">
      <c r="A1060" t="str">
        <f>"20200111153628359"</f>
        <v>20200111153628359</v>
      </c>
      <c r="B1060" t="str">
        <f>"1578728188353267"</f>
        <v>1578728188353267</v>
      </c>
      <c r="C1060" t="s">
        <v>37</v>
      </c>
      <c r="D1060">
        <v>6.1683669999999999</v>
      </c>
      <c r="E1060">
        <v>0.59329989999999999</v>
      </c>
      <c r="F1060" t="s">
        <v>39</v>
      </c>
      <c r="G1060">
        <v>-213.53299999999999</v>
      </c>
      <c r="H1060" s="1">
        <v>-3.6646009999999998E-6</v>
      </c>
      <c r="I1060">
        <v>364.49790000000002</v>
      </c>
      <c r="J1060">
        <v>-222.19550000000001</v>
      </c>
      <c r="K1060">
        <v>1.105518</v>
      </c>
      <c r="L1060">
        <v>367.41590000000002</v>
      </c>
      <c r="M1060">
        <v>0.99974039999999997</v>
      </c>
      <c r="N1060">
        <v>0</v>
      </c>
      <c r="O1060">
        <v>1.8134770000000001E-2</v>
      </c>
      <c r="P1060">
        <v>0.99578650000000002</v>
      </c>
      <c r="Q1060">
        <v>4.3747910000000001E-2</v>
      </c>
      <c r="R1060">
        <v>-8.0595689999999998E-2</v>
      </c>
      <c r="S1060">
        <v>2.9502259999999998</v>
      </c>
      <c r="T1060">
        <v>-0.36969469999999999</v>
      </c>
      <c r="U1060">
        <v>-0.97470089999999998</v>
      </c>
      <c r="V1060">
        <v>9.8584980000000003E-2</v>
      </c>
      <c r="W1060">
        <v>5.7553239999999999E-2</v>
      </c>
      <c r="X1060">
        <v>0.99346290000000004</v>
      </c>
      <c r="Y1060">
        <v>0.32842549999999998</v>
      </c>
      <c r="Z1060">
        <v>-2.2179899999999999E-2</v>
      </c>
      <c r="AA1060">
        <v>0.94426939999999904</v>
      </c>
      <c r="AB1060">
        <v>24</v>
      </c>
      <c r="AC1060">
        <v>8.6625000000000192</v>
      </c>
      <c r="AD1060">
        <v>-1.105521664601</v>
      </c>
      <c r="AE1060">
        <v>-2.9180000000000001</v>
      </c>
      <c r="AF1060">
        <v>3.0303017936600298</v>
      </c>
      <c r="AG1060">
        <v>-1.105521664601</v>
      </c>
      <c r="AH1060">
        <v>8.4840526813376709</v>
      </c>
      <c r="AI1060">
        <v>96.995970900115694</v>
      </c>
      <c r="AJ1060">
        <v>70.344481087004795</v>
      </c>
      <c r="AK1060">
        <v>9.0765663668192502</v>
      </c>
    </row>
    <row r="1061" spans="1:37" x14ac:dyDescent="0.2">
      <c r="A1061" t="str">
        <f>"20200111153628371"</f>
        <v>20200111153628371</v>
      </c>
      <c r="B1061" t="str">
        <f>"1578728188364004"</f>
        <v>1578728188364004</v>
      </c>
      <c r="C1061" t="s">
        <v>37</v>
      </c>
      <c r="D1061">
        <v>6.183764</v>
      </c>
      <c r="E1061">
        <v>0.59334370000000003</v>
      </c>
      <c r="F1061" t="s">
        <v>39</v>
      </c>
      <c r="G1061">
        <v>-213.32</v>
      </c>
      <c r="H1061" s="1">
        <v>-3.7589929999999999E-6</v>
      </c>
      <c r="I1061">
        <v>364.48090000000002</v>
      </c>
      <c r="J1061">
        <v>-222.06129999999999</v>
      </c>
      <c r="K1061">
        <v>1.105513</v>
      </c>
      <c r="L1061">
        <v>367.41879999999998</v>
      </c>
      <c r="M1061">
        <v>0.99973389999999995</v>
      </c>
      <c r="N1061">
        <v>0</v>
      </c>
      <c r="O1061">
        <v>1.8504219999999998E-2</v>
      </c>
      <c r="P1061">
        <v>0.99569680000000005</v>
      </c>
      <c r="Q1061">
        <v>4.4286590000000001E-2</v>
      </c>
      <c r="R1061">
        <v>-8.1406480000000003E-2</v>
      </c>
      <c r="S1061">
        <v>2.9498599999999899</v>
      </c>
      <c r="T1061">
        <v>-0.367425</v>
      </c>
      <c r="U1061">
        <v>-0.97546390000000005</v>
      </c>
      <c r="V1061">
        <v>9.9761399999999903E-2</v>
      </c>
      <c r="W1061">
        <v>5.808688E-2</v>
      </c>
      <c r="X1061">
        <v>0.99331440000000004</v>
      </c>
      <c r="Y1061">
        <v>0.3290517</v>
      </c>
      <c r="Z1061">
        <v>-2.2128999999999999E-2</v>
      </c>
      <c r="AA1061">
        <v>0.94405260000000002</v>
      </c>
      <c r="AB1061">
        <v>24</v>
      </c>
      <c r="AC1061">
        <v>8.7412999999999901</v>
      </c>
      <c r="AD1061">
        <v>-1.1055167589929999</v>
      </c>
      <c r="AE1061">
        <v>-2.9378999999999502</v>
      </c>
      <c r="AF1061">
        <v>3.05525485320319</v>
      </c>
      <c r="AG1061">
        <v>-1.1055167589929999</v>
      </c>
      <c r="AH1061">
        <v>8.5623808725862602</v>
      </c>
      <c r="AI1061">
        <v>96.933335060268107</v>
      </c>
      <c r="AJ1061">
        <v>70.362428411755999</v>
      </c>
      <c r="AK1061">
        <v>9.1581174773894993</v>
      </c>
    </row>
    <row r="1062" spans="1:37" x14ac:dyDescent="0.2">
      <c r="A1062" t="str">
        <f>"20200111153628384"</f>
        <v>20200111153628384</v>
      </c>
      <c r="B1062" t="str">
        <f>"1578728188373764"</f>
        <v>1578728188373764</v>
      </c>
      <c r="C1062" t="s">
        <v>37</v>
      </c>
      <c r="D1062">
        <v>6.1424349999999999</v>
      </c>
      <c r="E1062">
        <v>0.59332299999999905</v>
      </c>
      <c r="F1062" t="s">
        <v>39</v>
      </c>
      <c r="G1062">
        <v>-213.14580000000001</v>
      </c>
      <c r="H1062" s="1">
        <v>-3.8367010000000003E-6</v>
      </c>
      <c r="I1062">
        <v>364.46409999999997</v>
      </c>
      <c r="J1062">
        <v>-221.92859999999999</v>
      </c>
      <c r="K1062">
        <v>1.105513</v>
      </c>
      <c r="L1062">
        <v>367.42160000000001</v>
      </c>
      <c r="M1062">
        <v>0.99972700000000003</v>
      </c>
      <c r="N1062">
        <v>0</v>
      </c>
      <c r="O1062">
        <v>1.8869199999999999E-2</v>
      </c>
      <c r="P1062">
        <v>0.99563959999999996</v>
      </c>
      <c r="Q1062">
        <v>4.4456089999999997E-2</v>
      </c>
      <c r="R1062">
        <v>-8.2011890000000004E-2</v>
      </c>
      <c r="S1062">
        <v>2.9493099999999899</v>
      </c>
      <c r="T1062">
        <v>-0.36570720000000001</v>
      </c>
      <c r="U1062">
        <v>-0.97741699999999998</v>
      </c>
      <c r="V1062">
        <v>0.1007286</v>
      </c>
      <c r="W1062">
        <v>5.825255E-2</v>
      </c>
      <c r="X1062">
        <v>0.99320719999999996</v>
      </c>
      <c r="Y1062">
        <v>0.33002480000000001</v>
      </c>
      <c r="Z1062">
        <v>-2.2130469999999999E-2</v>
      </c>
      <c r="AA1062">
        <v>0.94371280000000002</v>
      </c>
      <c r="AB1062">
        <v>24</v>
      </c>
      <c r="AC1062">
        <v>8.7827999999999804</v>
      </c>
      <c r="AD1062">
        <v>-1.105516836701</v>
      </c>
      <c r="AE1062">
        <v>-2.9575000000000302</v>
      </c>
      <c r="AF1062">
        <v>3.0788995808280801</v>
      </c>
      <c r="AG1062">
        <v>-1.105516836701</v>
      </c>
      <c r="AH1062">
        <v>8.6030010795638798</v>
      </c>
      <c r="AI1062">
        <v>96.898612125514902</v>
      </c>
      <c r="AJ1062">
        <v>70.308387460198702</v>
      </c>
      <c r="AK1062">
        <v>9.2039892264186207</v>
      </c>
    </row>
    <row r="1063" spans="1:37" x14ac:dyDescent="0.2">
      <c r="A1063" t="str">
        <f>"20200111153628400"</f>
        <v>20200111153628400</v>
      </c>
      <c r="B1063" t="str">
        <f>"1578728188394259"</f>
        <v>1578728188394259</v>
      </c>
      <c r="C1063" t="s">
        <v>37</v>
      </c>
      <c r="D1063">
        <v>6.1439789999999999</v>
      </c>
      <c r="E1063">
        <v>0.59325130000000004</v>
      </c>
      <c r="F1063" t="s">
        <v>39</v>
      </c>
      <c r="G1063">
        <v>-212.99979999999999</v>
      </c>
      <c r="H1063" s="1">
        <v>-3.9001299999999997E-6</v>
      </c>
      <c r="I1063">
        <v>364.45949999999999</v>
      </c>
      <c r="J1063">
        <v>-221.76400000000001</v>
      </c>
      <c r="K1063">
        <v>1.105497</v>
      </c>
      <c r="L1063">
        <v>367.42520000000002</v>
      </c>
      <c r="M1063">
        <v>0.99971840000000001</v>
      </c>
      <c r="N1063">
        <v>0</v>
      </c>
      <c r="O1063">
        <v>1.9321310000000001E-2</v>
      </c>
      <c r="P1063">
        <v>0.99544789999999905</v>
      </c>
      <c r="Q1063">
        <v>4.4959760000000001E-2</v>
      </c>
      <c r="R1063">
        <v>-8.4037529999999999E-2</v>
      </c>
      <c r="S1063">
        <v>2.948868</v>
      </c>
      <c r="T1063">
        <v>-0.36510920000000002</v>
      </c>
      <c r="U1063">
        <v>-0.97827149999999996</v>
      </c>
      <c r="V1063">
        <v>0.10319979999999999</v>
      </c>
      <c r="W1063">
        <v>5.874998E-2</v>
      </c>
      <c r="X1063">
        <v>0.99292409999999998</v>
      </c>
      <c r="Y1063">
        <v>0.33073920000000001</v>
      </c>
      <c r="Z1063">
        <v>-2.219403E-2</v>
      </c>
      <c r="AA1063">
        <v>0.943461199999999</v>
      </c>
      <c r="AB1063">
        <v>24</v>
      </c>
      <c r="AC1063">
        <v>8.7642000000000095</v>
      </c>
      <c r="AD1063">
        <v>-1.10550090013</v>
      </c>
      <c r="AE1063">
        <v>-2.96570000000002</v>
      </c>
      <c r="AF1063">
        <v>3.0903794573026202</v>
      </c>
      <c r="AG1063">
        <v>-1.10550090013</v>
      </c>
      <c r="AH1063">
        <v>8.5827286827054099</v>
      </c>
      <c r="AI1063">
        <v>96.909898586920406</v>
      </c>
      <c r="AJ1063">
        <v>70.197594797594206</v>
      </c>
      <c r="AK1063">
        <v>9.1888959658514207</v>
      </c>
    </row>
    <row r="1064" spans="1:37" x14ac:dyDescent="0.2">
      <c r="A1064" t="str">
        <f>"20200111153628413"</f>
        <v>20200111153628413</v>
      </c>
      <c r="B1064" t="str">
        <f>"1578728188404020"</f>
        <v>1578728188404020</v>
      </c>
      <c r="C1064" t="s">
        <v>37</v>
      </c>
      <c r="D1064">
        <v>6.1318519999999896</v>
      </c>
      <c r="E1064">
        <v>0.59327849999999904</v>
      </c>
      <c r="F1064" t="s">
        <v>39</v>
      </c>
      <c r="G1064">
        <v>-212.77670000000001</v>
      </c>
      <c r="H1064" s="1">
        <v>-4.0013040000000002E-6</v>
      </c>
      <c r="I1064">
        <v>364.42880000000002</v>
      </c>
      <c r="J1064">
        <v>-221.61859999999999</v>
      </c>
      <c r="K1064">
        <v>1.105491</v>
      </c>
      <c r="L1064">
        <v>367.42849999999999</v>
      </c>
      <c r="M1064">
        <v>0.99971069999999995</v>
      </c>
      <c r="N1064">
        <v>0</v>
      </c>
      <c r="O1064">
        <v>1.9719919999999998E-2</v>
      </c>
      <c r="P1064">
        <v>0.99537319999999996</v>
      </c>
      <c r="Q1064">
        <v>4.4845250000000003E-2</v>
      </c>
      <c r="R1064">
        <v>-8.4979669999999993E-2</v>
      </c>
      <c r="S1064">
        <v>2.94714399999999</v>
      </c>
      <c r="T1064">
        <v>-0.36251489999999997</v>
      </c>
      <c r="U1064">
        <v>-0.98257450000000002</v>
      </c>
      <c r="V1064">
        <v>0.1045367</v>
      </c>
      <c r="W1064">
        <v>5.8630979999999999E-2</v>
      </c>
      <c r="X1064">
        <v>0.99279119999999998</v>
      </c>
      <c r="Y1064">
        <v>0.33253739999999998</v>
      </c>
      <c r="Z1064">
        <v>-2.2199630000000001E-2</v>
      </c>
      <c r="AA1064">
        <v>0.94282869999999996</v>
      </c>
      <c r="AB1064">
        <v>23</v>
      </c>
      <c r="AC1064">
        <v>8.8418999999999794</v>
      </c>
      <c r="AD1064">
        <v>-1.1054950013039999</v>
      </c>
      <c r="AE1064">
        <v>-2.9996999999999598</v>
      </c>
      <c r="AF1064">
        <v>3.1296212573117699</v>
      </c>
      <c r="AG1064">
        <v>-1.1054950013039999</v>
      </c>
      <c r="AH1064">
        <v>8.6596236483461304</v>
      </c>
      <c r="AI1064">
        <v>96.846201206556202</v>
      </c>
      <c r="AJ1064">
        <v>70.1299495894919</v>
      </c>
      <c r="AK1064">
        <v>9.2739274389614099</v>
      </c>
    </row>
    <row r="1065" spans="1:37" x14ac:dyDescent="0.2">
      <c r="A1065" t="str">
        <f>"20200111153628432"</f>
        <v>20200111153628432</v>
      </c>
      <c r="B1065" t="str">
        <f>"1578728188423540"</f>
        <v>1578728188423540</v>
      </c>
      <c r="C1065" t="s">
        <v>37</v>
      </c>
      <c r="D1065">
        <v>6.1183699999999996</v>
      </c>
      <c r="E1065">
        <v>0.59323609999999904</v>
      </c>
      <c r="F1065" t="s">
        <v>39</v>
      </c>
      <c r="G1065">
        <v>-212.62819999999999</v>
      </c>
      <c r="H1065" s="1">
        <v>-4.0661440000000003E-6</v>
      </c>
      <c r="I1065">
        <v>364.42230000000001</v>
      </c>
      <c r="J1065">
        <v>-221.4205</v>
      </c>
      <c r="K1065">
        <v>1.105478</v>
      </c>
      <c r="L1065">
        <v>367.43299999999999</v>
      </c>
      <c r="M1065">
        <v>0.99969989999999997</v>
      </c>
      <c r="N1065">
        <v>0</v>
      </c>
      <c r="O1065">
        <v>2.0262459999999999E-2</v>
      </c>
      <c r="P1065">
        <v>0.99525140000000001</v>
      </c>
      <c r="Q1065">
        <v>4.4510649999999999E-2</v>
      </c>
      <c r="R1065">
        <v>-8.6567469999999994E-2</v>
      </c>
      <c r="S1065">
        <v>2.946167</v>
      </c>
      <c r="T1065">
        <v>-0.3622707</v>
      </c>
      <c r="U1065">
        <v>-0.98510739999999997</v>
      </c>
      <c r="V1065">
        <v>0.1066616</v>
      </c>
      <c r="W1065">
        <v>5.8291099999999901E-2</v>
      </c>
      <c r="X1065">
        <v>0.99258519999999995</v>
      </c>
      <c r="Y1065">
        <v>0.33386120000000002</v>
      </c>
      <c r="Z1065">
        <v>-2.2332589999999999E-2</v>
      </c>
      <c r="AA1065">
        <v>0.94235769999999996</v>
      </c>
      <c r="AB1065">
        <v>23</v>
      </c>
      <c r="AC1065">
        <v>8.7923000000000098</v>
      </c>
      <c r="AD1065">
        <v>-1.1054820661439999</v>
      </c>
      <c r="AE1065">
        <v>-3.0107000000000399</v>
      </c>
      <c r="AF1065">
        <v>3.1437689979089498</v>
      </c>
      <c r="AG1065">
        <v>-1.1054820661439999</v>
      </c>
      <c r="AH1065">
        <v>8.6076886506352306</v>
      </c>
      <c r="AI1065">
        <v>96.878666044603307</v>
      </c>
      <c r="AJ1065">
        <v>69.936390522551903</v>
      </c>
      <c r="AK1065">
        <v>9.2302588271973196</v>
      </c>
    </row>
    <row r="1066" spans="1:37" x14ac:dyDescent="0.2">
      <c r="A1066" t="str">
        <f>"20200111153628456"</f>
        <v>20200111153628456</v>
      </c>
      <c r="B1066" t="str">
        <f>"1578728188453357"</f>
        <v>1578728188453357</v>
      </c>
      <c r="C1066" t="s">
        <v>37</v>
      </c>
      <c r="D1066">
        <v>6.1275379999999897</v>
      </c>
      <c r="E1066">
        <v>0.59331299999999998</v>
      </c>
      <c r="F1066" t="s">
        <v>39</v>
      </c>
      <c r="G1066">
        <v>-212.43029999999999</v>
      </c>
      <c r="H1066" s="1">
        <v>-4.1524140000000002E-6</v>
      </c>
      <c r="I1066">
        <v>364.41460000000001</v>
      </c>
      <c r="J1066">
        <v>-221.18299999999999</v>
      </c>
      <c r="K1066">
        <v>1.1054619999999999</v>
      </c>
      <c r="L1066">
        <v>367.43860000000001</v>
      </c>
      <c r="M1066">
        <v>0.99968650000000003</v>
      </c>
      <c r="N1066">
        <v>0</v>
      </c>
      <c r="O1066">
        <v>2.091343E-2</v>
      </c>
      <c r="P1066">
        <v>0.99518949999999995</v>
      </c>
      <c r="Q1066">
        <v>4.365869E-2</v>
      </c>
      <c r="R1066">
        <v>-8.7705160000000004E-2</v>
      </c>
      <c r="S1066">
        <v>2.9445189999999899</v>
      </c>
      <c r="T1066">
        <v>-0.36206909999999998</v>
      </c>
      <c r="U1066">
        <v>-0.98858639999999998</v>
      </c>
      <c r="V1066">
        <v>0.10844569999999901</v>
      </c>
      <c r="W1066">
        <v>5.743376E-2</v>
      </c>
      <c r="X1066">
        <v>0.99244189999999999</v>
      </c>
      <c r="Y1066">
        <v>0.33561819999999998</v>
      </c>
      <c r="Z1066">
        <v>-2.2510519999999999E-2</v>
      </c>
      <c r="AA1066">
        <v>0.94172909999999899</v>
      </c>
      <c r="AB1066">
        <v>23</v>
      </c>
      <c r="AC1066">
        <v>8.7527000000000008</v>
      </c>
      <c r="AD1066">
        <v>-1.1054661524139999</v>
      </c>
      <c r="AE1066">
        <v>-3.024</v>
      </c>
      <c r="AF1066">
        <v>3.1613534669443499</v>
      </c>
      <c r="AG1066">
        <v>-1.1054661524139999</v>
      </c>
      <c r="AH1066">
        <v>8.5654735227572694</v>
      </c>
      <c r="AI1066">
        <v>96.903613868430696</v>
      </c>
      <c r="AJ1066">
        <v>69.741854908825005</v>
      </c>
      <c r="AK1066">
        <v>9.1969314353293896</v>
      </c>
    </row>
    <row r="1067" spans="1:37" x14ac:dyDescent="0.2">
      <c r="A1067" t="str">
        <f>"20200111153628469"</f>
        <v>20200111153628469</v>
      </c>
      <c r="B1067" t="str">
        <f>"1578728188464091"</f>
        <v>1578728188464091</v>
      </c>
      <c r="C1067" t="s">
        <v>37</v>
      </c>
      <c r="D1067">
        <v>6.1328189999999996</v>
      </c>
      <c r="E1067">
        <v>0.59345319999999901</v>
      </c>
      <c r="F1067" t="s">
        <v>39</v>
      </c>
      <c r="G1067">
        <v>-212.2122</v>
      </c>
      <c r="H1067" s="1">
        <v>-4.2460279999999996E-6</v>
      </c>
      <c r="I1067">
        <v>364.41430000000003</v>
      </c>
      <c r="J1067">
        <v>-221.03270000000001</v>
      </c>
      <c r="K1067">
        <v>1.105453</v>
      </c>
      <c r="L1067">
        <v>367.44220000000001</v>
      </c>
      <c r="M1067">
        <v>0.99967779999999995</v>
      </c>
      <c r="N1067">
        <v>0</v>
      </c>
      <c r="O1067">
        <v>2.1326040000000001E-2</v>
      </c>
      <c r="P1067">
        <v>0.99516990000000005</v>
      </c>
      <c r="Q1067">
        <v>4.3082870000000002E-2</v>
      </c>
      <c r="R1067">
        <v>-8.8208040000000001E-2</v>
      </c>
      <c r="S1067">
        <v>2.9429780000000001</v>
      </c>
      <c r="T1067">
        <v>-0.36265710000000001</v>
      </c>
      <c r="U1067">
        <v>-0.99212649999999902</v>
      </c>
      <c r="V1067">
        <v>0.10935879999999901</v>
      </c>
      <c r="W1067">
        <v>5.6854389999999998E-2</v>
      </c>
      <c r="X1067">
        <v>0.99237509999999995</v>
      </c>
      <c r="Y1067">
        <v>0.33715020000000001</v>
      </c>
      <c r="Z1067">
        <v>-2.2694700000000002E-2</v>
      </c>
      <c r="AA1067">
        <v>0.94117729999999999</v>
      </c>
      <c r="AB1067">
        <v>23</v>
      </c>
      <c r="AC1067">
        <v>8.8205000000000098</v>
      </c>
      <c r="AD1067">
        <v>-1.1054572460280001</v>
      </c>
      <c r="AE1067">
        <v>-3.0278999999999798</v>
      </c>
      <c r="AF1067">
        <v>3.1707817075866802</v>
      </c>
      <c r="AG1067">
        <v>-1.1054572460280001</v>
      </c>
      <c r="AH1067">
        <v>8.6326146569195803</v>
      </c>
      <c r="AI1067">
        <v>96.854291428653994</v>
      </c>
      <c r="AJ1067">
        <v>69.831585579707493</v>
      </c>
      <c r="AK1067">
        <v>9.2627171054083792</v>
      </c>
    </row>
    <row r="1068" spans="1:37" x14ac:dyDescent="0.2">
      <c r="A1068" t="str">
        <f>"20200111153628482"</f>
        <v>20200111153628482</v>
      </c>
      <c r="B1068" t="str">
        <f>"1578728188473852"</f>
        <v>1578728188473852</v>
      </c>
      <c r="C1068" t="s">
        <v>37</v>
      </c>
      <c r="D1068">
        <v>6.1187699999999996</v>
      </c>
      <c r="E1068">
        <v>0.59356390000000003</v>
      </c>
      <c r="F1068" t="s">
        <v>39</v>
      </c>
      <c r="G1068">
        <v>-212.09200000000001</v>
      </c>
      <c r="H1068" s="1">
        <v>-4.2965499999999902E-6</v>
      </c>
      <c r="I1068">
        <v>364.42020000000002</v>
      </c>
      <c r="J1068">
        <v>-220.8964</v>
      </c>
      <c r="K1068">
        <v>1.1054440000000001</v>
      </c>
      <c r="L1068">
        <v>367.44549999999998</v>
      </c>
      <c r="M1068">
        <v>0.99966980000000005</v>
      </c>
      <c r="N1068">
        <v>0</v>
      </c>
      <c r="O1068">
        <v>2.1700400000000002E-2</v>
      </c>
      <c r="P1068">
        <v>0.99514230000000004</v>
      </c>
      <c r="Q1068">
        <v>4.2143079999999999E-2</v>
      </c>
      <c r="R1068">
        <v>-8.8971120000000001E-2</v>
      </c>
      <c r="S1068">
        <v>2.9421689999999998</v>
      </c>
      <c r="T1068">
        <v>-0.36377619999999999</v>
      </c>
      <c r="U1068">
        <v>-0.99444580000000005</v>
      </c>
      <c r="V1068">
        <v>0.11049389999999901</v>
      </c>
      <c r="W1068">
        <v>5.591223E-2</v>
      </c>
      <c r="X1068">
        <v>0.99230280000000004</v>
      </c>
      <c r="Y1068">
        <v>0.33822099999999999</v>
      </c>
      <c r="Z1068">
        <v>-2.2876509999999999E-2</v>
      </c>
      <c r="AA1068">
        <v>0.94078859999999997</v>
      </c>
      <c r="AB1068">
        <v>23</v>
      </c>
      <c r="AC1068">
        <v>8.8043999999999798</v>
      </c>
      <c r="AD1068">
        <v>-1.1054482965500001</v>
      </c>
      <c r="AE1068">
        <v>-3.0252999999999499</v>
      </c>
      <c r="AF1068">
        <v>3.1709551758583201</v>
      </c>
      <c r="AG1068">
        <v>-1.1054482965500001</v>
      </c>
      <c r="AH1068">
        <v>8.6151985446007497</v>
      </c>
      <c r="AI1068">
        <v>96.866280347307395</v>
      </c>
      <c r="AJ1068">
        <v>69.793092432260906</v>
      </c>
      <c r="AK1068">
        <v>9.2465463080297692</v>
      </c>
    </row>
    <row r="1069" spans="1:37" x14ac:dyDescent="0.2">
      <c r="A1069" t="str">
        <f>"20200111153628498"</f>
        <v>20200111153628498</v>
      </c>
      <c r="B1069" t="str">
        <f>"1578728188493371"</f>
        <v>1578728188493371</v>
      </c>
      <c r="C1069" t="s">
        <v>37</v>
      </c>
      <c r="D1069">
        <v>6.0576349999999897</v>
      </c>
      <c r="E1069">
        <v>0.5937595</v>
      </c>
      <c r="F1069" t="s">
        <v>39</v>
      </c>
      <c r="G1069">
        <v>-212.0198</v>
      </c>
      <c r="H1069" s="1">
        <v>-4.324667E-6</v>
      </c>
      <c r="I1069">
        <v>364.43630000000002</v>
      </c>
      <c r="J1069">
        <v>-220.74080000000001</v>
      </c>
      <c r="K1069">
        <v>1.1054349999999999</v>
      </c>
      <c r="L1069">
        <v>367.44929999999999</v>
      </c>
      <c r="M1069">
        <v>0.99966039999999901</v>
      </c>
      <c r="N1069">
        <v>0</v>
      </c>
      <c r="O1069">
        <v>2.2127500000000001E-2</v>
      </c>
      <c r="P1069">
        <v>0.99511489999999903</v>
      </c>
      <c r="Q1069">
        <v>4.1754739999999999E-2</v>
      </c>
      <c r="R1069">
        <v>-8.9458990000000002E-2</v>
      </c>
      <c r="S1069">
        <v>2.9410099999999999</v>
      </c>
      <c r="T1069">
        <v>-0.3662571</v>
      </c>
      <c r="U1069">
        <v>-0.99700929999999999</v>
      </c>
      <c r="V1069">
        <v>0.1114058</v>
      </c>
      <c r="W1069">
        <v>5.5520880000000002E-2</v>
      </c>
      <c r="X1069">
        <v>0.99222279999999996</v>
      </c>
      <c r="Y1069">
        <v>0.33942449999999902</v>
      </c>
      <c r="Z1069">
        <v>-2.3161169999999998E-2</v>
      </c>
      <c r="AA1069">
        <v>0.94034810000000002</v>
      </c>
      <c r="AB1069">
        <v>23</v>
      </c>
      <c r="AC1069">
        <v>8.7210000000000001</v>
      </c>
      <c r="AD1069">
        <v>-1.105439324667</v>
      </c>
      <c r="AE1069">
        <v>-3.0129999999999701</v>
      </c>
      <c r="AF1069">
        <v>3.1598978335504899</v>
      </c>
      <c r="AG1069">
        <v>-1.105439324667</v>
      </c>
      <c r="AH1069">
        <v>8.5297535139448097</v>
      </c>
      <c r="AI1069">
        <v>96.929007173332707</v>
      </c>
      <c r="AJ1069">
        <v>69.672552053088594</v>
      </c>
      <c r="AK1069">
        <v>9.16316787075578</v>
      </c>
    </row>
    <row r="1070" spans="1:37" x14ac:dyDescent="0.2">
      <c r="A1070" t="str">
        <f>"20200111153628512"</f>
        <v>20200111153628512</v>
      </c>
      <c r="B1070" t="str">
        <f>"1578728188504108"</f>
        <v>1578728188504108</v>
      </c>
      <c r="C1070" t="s">
        <v>37</v>
      </c>
      <c r="D1070">
        <v>6.0497779999999999</v>
      </c>
      <c r="E1070">
        <v>0.59385310000000002</v>
      </c>
      <c r="F1070" t="s">
        <v>39</v>
      </c>
      <c r="G1070">
        <v>-211.86160000000001</v>
      </c>
      <c r="H1070" s="1">
        <v>-4.3935590000000001E-6</v>
      </c>
      <c r="I1070">
        <v>364.43040000000002</v>
      </c>
      <c r="J1070">
        <v>-220.58609999999999</v>
      </c>
      <c r="K1070">
        <v>1.1054299999999999</v>
      </c>
      <c r="L1070">
        <v>367.45319999999998</v>
      </c>
      <c r="M1070">
        <v>0.99965110000000001</v>
      </c>
      <c r="N1070">
        <v>0</v>
      </c>
      <c r="O1070">
        <v>2.254838E-2</v>
      </c>
      <c r="P1070">
        <v>0.99500509999999998</v>
      </c>
      <c r="Q1070">
        <v>4.0534050000000002E-2</v>
      </c>
      <c r="R1070">
        <v>-9.1222410000000004E-2</v>
      </c>
      <c r="S1070">
        <v>2.9402159999999999</v>
      </c>
      <c r="T1070">
        <v>-0.36605129999999902</v>
      </c>
      <c r="U1070">
        <v>-0.99966429999999995</v>
      </c>
      <c r="V1070">
        <v>0.1135861</v>
      </c>
      <c r="W1070">
        <v>5.4295830000000003E-2</v>
      </c>
      <c r="X1070">
        <v>0.99204340000000002</v>
      </c>
      <c r="Y1070">
        <v>0.34064929999999999</v>
      </c>
      <c r="Z1070">
        <v>-2.3275669999999998E-2</v>
      </c>
      <c r="AA1070">
        <v>0.93990229999999997</v>
      </c>
      <c r="AB1070">
        <v>23</v>
      </c>
      <c r="AC1070">
        <v>8.7244999999999706</v>
      </c>
      <c r="AD1070">
        <v>-1.1054343935590001</v>
      </c>
      <c r="AE1070">
        <v>-3.0227999999999602</v>
      </c>
      <c r="AF1070">
        <v>3.17328916457405</v>
      </c>
      <c r="AG1070">
        <v>-1.1054343935590001</v>
      </c>
      <c r="AH1070">
        <v>8.53182540579032</v>
      </c>
      <c r="AI1070">
        <v>96.923999624453799</v>
      </c>
      <c r="AJ1070">
        <v>69.5980429077824</v>
      </c>
      <c r="AK1070">
        <v>9.1697215920307702</v>
      </c>
    </row>
    <row r="1071" spans="1:37" x14ac:dyDescent="0.2">
      <c r="A1071" t="str">
        <f>"20200111153628526"</f>
        <v>20200111153628526</v>
      </c>
      <c r="B1071" t="str">
        <f>"1578728188523628"</f>
        <v>1578728188523628</v>
      </c>
      <c r="C1071" t="s">
        <v>37</v>
      </c>
      <c r="D1071">
        <v>6.1145430000000003</v>
      </c>
      <c r="E1071">
        <v>0.59377899999999995</v>
      </c>
      <c r="F1071" t="s">
        <v>39</v>
      </c>
      <c r="G1071">
        <v>-211.81059999999999</v>
      </c>
      <c r="H1071" s="1">
        <v>-4.411567E-6</v>
      </c>
      <c r="I1071">
        <v>364.45249999999999</v>
      </c>
      <c r="J1071">
        <v>-220.44630000000001</v>
      </c>
      <c r="K1071">
        <v>1.105423</v>
      </c>
      <c r="L1071">
        <v>367.45679999999999</v>
      </c>
      <c r="M1071">
        <v>0.9996427</v>
      </c>
      <c r="N1071">
        <v>0</v>
      </c>
      <c r="O1071">
        <v>2.2922080000000001E-2</v>
      </c>
      <c r="P1071">
        <v>0.99494199999999999</v>
      </c>
      <c r="Q1071">
        <v>4.0340279999999999E-2</v>
      </c>
      <c r="R1071">
        <v>-9.1995919999999995E-2</v>
      </c>
      <c r="S1071">
        <v>2.9380189999999899</v>
      </c>
      <c r="T1071">
        <v>-0.37009419999999998</v>
      </c>
      <c r="U1071">
        <v>-1.0046389999999901</v>
      </c>
      <c r="V1071">
        <v>0.1147297</v>
      </c>
      <c r="W1071">
        <v>5.4097760000000002E-2</v>
      </c>
      <c r="X1071">
        <v>0.99192259999999999</v>
      </c>
      <c r="Y1071">
        <v>0.34256529999999902</v>
      </c>
      <c r="Z1071">
        <v>-2.370386E-2</v>
      </c>
      <c r="AA1071">
        <v>0.93919490000000005</v>
      </c>
      <c r="AB1071">
        <v>23</v>
      </c>
      <c r="AC1071">
        <v>8.6357000000000106</v>
      </c>
      <c r="AD1071">
        <v>-1.105427411567</v>
      </c>
      <c r="AE1071">
        <v>-3.0043000000000002</v>
      </c>
      <c r="AF1071">
        <v>3.1553566138813198</v>
      </c>
      <c r="AG1071">
        <v>-1.105427411567</v>
      </c>
      <c r="AH1071">
        <v>8.4411774020972903</v>
      </c>
      <c r="AI1071">
        <v>96.993338618970697</v>
      </c>
      <c r="AJ1071">
        <v>69.503991822535696</v>
      </c>
      <c r="AK1071">
        <v>9.0791916521618905</v>
      </c>
    </row>
    <row r="1072" spans="1:37" x14ac:dyDescent="0.2">
      <c r="A1072" t="str">
        <f>"20200111153628542"</f>
        <v>20200111153628542</v>
      </c>
      <c r="B1072" t="str">
        <f>"1578728188533388"</f>
        <v>1578728188533388</v>
      </c>
      <c r="C1072" t="s">
        <v>37</v>
      </c>
      <c r="D1072">
        <v>6.0752160000000002</v>
      </c>
      <c r="E1072">
        <v>0.56457950000000001</v>
      </c>
      <c r="F1072" t="s">
        <v>39</v>
      </c>
      <c r="G1072">
        <v>-211.6968</v>
      </c>
      <c r="H1072" s="1">
        <v>-4.4590110000000001E-6</v>
      </c>
      <c r="I1072">
        <v>364.46010000000001</v>
      </c>
      <c r="J1072">
        <v>-220.28700000000001</v>
      </c>
      <c r="K1072">
        <v>1.1054029999999999</v>
      </c>
      <c r="L1072">
        <v>367.46089999999998</v>
      </c>
      <c r="M1072">
        <v>0.99963310000000005</v>
      </c>
      <c r="N1072">
        <v>0</v>
      </c>
      <c r="O1072">
        <v>2.3338339999999999E-2</v>
      </c>
      <c r="P1072">
        <v>0.99487300000000001</v>
      </c>
      <c r="Q1072">
        <v>4.0233970000000001E-2</v>
      </c>
      <c r="R1072">
        <v>-9.278546E-2</v>
      </c>
      <c r="S1072">
        <v>2.9373019999999999</v>
      </c>
      <c r="T1072">
        <v>-0.37110169999999998</v>
      </c>
      <c r="U1072">
        <v>-1.0060119999999999</v>
      </c>
      <c r="V1072">
        <v>0.11593199999999999</v>
      </c>
      <c r="W1072">
        <v>5.3985390000000001E-2</v>
      </c>
      <c r="X1072">
        <v>0.99178899999999903</v>
      </c>
      <c r="Y1072">
        <v>0.34339550000000002</v>
      </c>
      <c r="Z1072">
        <v>-2.3873490000000001E-2</v>
      </c>
      <c r="AA1072">
        <v>0.93888739999999904</v>
      </c>
      <c r="AB1072">
        <v>23</v>
      </c>
      <c r="AC1072">
        <v>8.59020000000001</v>
      </c>
      <c r="AD1072">
        <v>-1.1054074590109999</v>
      </c>
      <c r="AE1072">
        <v>-3.0007999999999599</v>
      </c>
      <c r="AF1072">
        <v>3.15393600714002</v>
      </c>
      <c r="AG1072">
        <v>-1.1054074590109999</v>
      </c>
      <c r="AH1072">
        <v>8.3939399614809194</v>
      </c>
      <c r="AI1072">
        <v>97.027751459190696</v>
      </c>
      <c r="AJ1072">
        <v>69.4068101169904</v>
      </c>
      <c r="AK1072">
        <v>9.0347919768259093</v>
      </c>
    </row>
    <row r="1073" spans="1:37" x14ac:dyDescent="0.2">
      <c r="A1073" t="str">
        <f>"20200111153628555"</f>
        <v>20200111153628555</v>
      </c>
      <c r="B1073" t="str">
        <f>"1578728188544123"</f>
        <v>1578728188544123</v>
      </c>
      <c r="C1073" t="s">
        <v>37</v>
      </c>
      <c r="D1073">
        <v>6.1341299999999999</v>
      </c>
      <c r="E1073">
        <v>0.55815009999999998</v>
      </c>
      <c r="F1073" t="s">
        <v>39</v>
      </c>
      <c r="G1073">
        <v>-211.69990000000001</v>
      </c>
      <c r="H1073" s="1">
        <v>-4.3246369999999996E-6</v>
      </c>
      <c r="I1073">
        <v>365.21010000000001</v>
      </c>
      <c r="J1073">
        <v>-220.13679999999999</v>
      </c>
      <c r="K1073">
        <v>1.1053839999999999</v>
      </c>
      <c r="L1073">
        <v>367.46480000000003</v>
      </c>
      <c r="M1073">
        <v>0.99962430000000002</v>
      </c>
      <c r="N1073">
        <v>0</v>
      </c>
      <c r="O1073">
        <v>2.3716439999999998E-2</v>
      </c>
      <c r="P1073">
        <v>0.99478699999999998</v>
      </c>
      <c r="Q1073">
        <v>3.965217E-2</v>
      </c>
      <c r="R1073">
        <v>-9.3952149999999998E-2</v>
      </c>
      <c r="S1073">
        <v>2.958542</v>
      </c>
      <c r="T1073">
        <v>-0.38084639999999997</v>
      </c>
      <c r="U1073">
        <v>-0.77545169999999997</v>
      </c>
      <c r="V1073">
        <v>0.1174741</v>
      </c>
      <c r="W1073">
        <v>5.3396399999999997E-2</v>
      </c>
      <c r="X1073">
        <v>0.99163939999999995</v>
      </c>
      <c r="Y1073">
        <v>0.27411020000000003</v>
      </c>
      <c r="Z1073">
        <v>-2.0274790000000001E-2</v>
      </c>
      <c r="AA1073">
        <v>0.96148459999999902</v>
      </c>
      <c r="AB1073">
        <v>23</v>
      </c>
      <c r="AC1073">
        <v>8.4368999999999801</v>
      </c>
      <c r="AD1073">
        <v>-1.105388324637</v>
      </c>
      <c r="AE1073">
        <v>-2.2547000000000099</v>
      </c>
      <c r="AF1073">
        <v>2.4154780926819099</v>
      </c>
      <c r="AG1073">
        <v>-1.105388324637</v>
      </c>
      <c r="AH1073">
        <v>8.2488879298616293</v>
      </c>
      <c r="AI1073">
        <v>97.3282560908618</v>
      </c>
      <c r="AJ1073">
        <v>73.678666054289494</v>
      </c>
      <c r="AK1073">
        <v>8.6660584952956992</v>
      </c>
    </row>
    <row r="1074" spans="1:37" x14ac:dyDescent="0.2">
      <c r="A1074" t="str">
        <f>"20200111153628572"</f>
        <v>20200111153628572</v>
      </c>
      <c r="B1074" t="str">
        <f>"1578728188563644"</f>
        <v>1578728188563644</v>
      </c>
      <c r="C1074" t="s">
        <v>37</v>
      </c>
      <c r="D1074">
        <v>6.0957679999999996</v>
      </c>
      <c r="E1074">
        <v>0.55217360000000004</v>
      </c>
      <c r="F1074" t="s">
        <v>39</v>
      </c>
      <c r="G1074">
        <v>-211.3134</v>
      </c>
      <c r="H1074" s="1">
        <v>-4.4751170000000004E-6</v>
      </c>
      <c r="I1074">
        <v>365.29669999999999</v>
      </c>
      <c r="J1074">
        <v>-219.9761</v>
      </c>
      <c r="K1074">
        <v>1.1053649999999999</v>
      </c>
      <c r="L1074">
        <v>367.46910000000003</v>
      </c>
      <c r="M1074">
        <v>0.99961499999999903</v>
      </c>
      <c r="N1074">
        <v>0</v>
      </c>
      <c r="O1074">
        <v>2.4103110000000001E-2</v>
      </c>
      <c r="P1074">
        <v>0.9947686</v>
      </c>
      <c r="Q1074">
        <v>3.9469320000000002E-2</v>
      </c>
      <c r="R1074">
        <v>-9.4219910000000004E-2</v>
      </c>
      <c r="S1074">
        <v>2.9618069999999999</v>
      </c>
      <c r="T1074">
        <v>-0.37104899999999902</v>
      </c>
      <c r="U1074">
        <v>-0.72778319999999996</v>
      </c>
      <c r="V1074">
        <v>0.1181277</v>
      </c>
      <c r="W1074">
        <v>5.3205460000000003E-2</v>
      </c>
      <c r="X1074">
        <v>0.99157199999999901</v>
      </c>
      <c r="Y1074">
        <v>0.25986700000000001</v>
      </c>
      <c r="Z1074">
        <v>-1.894593E-2</v>
      </c>
      <c r="AA1074">
        <v>0.965458499999999</v>
      </c>
      <c r="AB1074">
        <v>23</v>
      </c>
      <c r="AC1074">
        <v>8.6626999999999992</v>
      </c>
      <c r="AD1074">
        <v>-1.105369475117</v>
      </c>
      <c r="AE1074">
        <v>-2.1724000000000299</v>
      </c>
      <c r="AF1074">
        <v>2.3446693094200102</v>
      </c>
      <c r="AG1074">
        <v>-1.105369475117</v>
      </c>
      <c r="AH1074">
        <v>8.4779455719280907</v>
      </c>
      <c r="AI1074">
        <v>97.162501279666998</v>
      </c>
      <c r="AJ1074">
        <v>74.540630241289605</v>
      </c>
      <c r="AK1074">
        <v>8.8653751735406896</v>
      </c>
    </row>
    <row r="1075" spans="1:37" x14ac:dyDescent="0.2">
      <c r="A1075" t="str">
        <f>"20200111153628587"</f>
        <v>20200111153628587</v>
      </c>
      <c r="B1075" t="str">
        <f>"1578728188584140"</f>
        <v>1578728188584140</v>
      </c>
      <c r="C1075" t="s">
        <v>37</v>
      </c>
      <c r="D1075">
        <v>6.0292779999999997</v>
      </c>
      <c r="E1075">
        <v>0.55105300000000002</v>
      </c>
      <c r="F1075" t="s">
        <v>39</v>
      </c>
      <c r="G1075">
        <v>-210.86359999999999</v>
      </c>
      <c r="H1075" s="1">
        <v>-4.6543130000000002E-6</v>
      </c>
      <c r="I1075">
        <v>365.37419999999997</v>
      </c>
      <c r="J1075">
        <v>-219.82220000000001</v>
      </c>
      <c r="K1075">
        <v>1.1053389999999901</v>
      </c>
      <c r="L1075">
        <v>367.47320000000002</v>
      </c>
      <c r="M1075">
        <v>0.99960649999999995</v>
      </c>
      <c r="N1075">
        <v>0</v>
      </c>
      <c r="O1075">
        <v>2.4452950000000001E-2</v>
      </c>
      <c r="P1075">
        <v>0.99477109999999902</v>
      </c>
      <c r="Q1075">
        <v>3.894446E-2</v>
      </c>
      <c r="R1075">
        <v>-9.4414699999999893E-2</v>
      </c>
      <c r="S1075">
        <v>2.9654849999999899</v>
      </c>
      <c r="T1075">
        <v>-0.35971750000000002</v>
      </c>
      <c r="U1075">
        <v>-0.68173219999999901</v>
      </c>
      <c r="V1075">
        <v>0.11867269999999901</v>
      </c>
      <c r="W1075">
        <v>5.2672150000000001E-2</v>
      </c>
      <c r="X1075">
        <v>0.99153539999999996</v>
      </c>
      <c r="Y1075">
        <v>0.24592610000000001</v>
      </c>
      <c r="Z1075">
        <v>-1.7591599999999999E-2</v>
      </c>
      <c r="AA1075">
        <v>0.96912900000000002</v>
      </c>
      <c r="AB1075">
        <v>23</v>
      </c>
      <c r="AC1075">
        <v>8.9586000000000094</v>
      </c>
      <c r="AD1075">
        <v>-1.10534365431299</v>
      </c>
      <c r="AE1075">
        <v>-2.0990000000000402</v>
      </c>
      <c r="AF1075">
        <v>2.2844890588119502</v>
      </c>
      <c r="AG1075">
        <v>-1.10534365431299</v>
      </c>
      <c r="AH1075">
        <v>8.7779127052512091</v>
      </c>
      <c r="AI1075">
        <v>96.948024637985796</v>
      </c>
      <c r="AJ1075">
        <v>75.412139776698098</v>
      </c>
      <c r="AK1075">
        <v>9.1374190182442803</v>
      </c>
    </row>
    <row r="1076" spans="1:37" x14ac:dyDescent="0.2">
      <c r="A1076" t="str">
        <f>"20200111153628602"</f>
        <v>20200111153628602</v>
      </c>
      <c r="B1076" t="str">
        <f>"1578728188593900"</f>
        <v>1578728188593900</v>
      </c>
      <c r="C1076" t="s">
        <v>37</v>
      </c>
      <c r="D1076">
        <v>6.0115489999999996</v>
      </c>
      <c r="E1076">
        <v>0.55092280000000005</v>
      </c>
      <c r="F1076" t="s">
        <v>39</v>
      </c>
      <c r="G1076">
        <v>-210.6259</v>
      </c>
      <c r="H1076" s="1">
        <v>-4.7545339999999996E-6</v>
      </c>
      <c r="I1076">
        <v>365.38409999999999</v>
      </c>
      <c r="J1076">
        <v>-219.65809999999999</v>
      </c>
      <c r="K1076">
        <v>1.1053059999999999</v>
      </c>
      <c r="L1076">
        <v>367.47770000000003</v>
      </c>
      <c r="M1076">
        <v>0.99959809999999905</v>
      </c>
      <c r="N1076">
        <v>0</v>
      </c>
      <c r="O1076">
        <v>2.4800490000000001E-2</v>
      </c>
      <c r="P1076">
        <v>0.9947878</v>
      </c>
      <c r="Q1076">
        <v>3.7929270000000001E-2</v>
      </c>
      <c r="R1076">
        <v>-9.4652910000000007E-2</v>
      </c>
      <c r="S1076">
        <v>2.9657749999999998</v>
      </c>
      <c r="T1076">
        <v>-0.35646539999999999</v>
      </c>
      <c r="U1076">
        <v>-0.67373660000000002</v>
      </c>
      <c r="V1076">
        <v>0.11926050000000001</v>
      </c>
      <c r="W1076">
        <v>5.1646440000000002E-2</v>
      </c>
      <c r="X1076">
        <v>0.99151880000000003</v>
      </c>
      <c r="Y1076">
        <v>0.24380349999999901</v>
      </c>
      <c r="Z1076">
        <v>-1.7352739999999998E-2</v>
      </c>
      <c r="AA1076">
        <v>0.96966939999999902</v>
      </c>
      <c r="AB1076">
        <v>23</v>
      </c>
      <c r="AC1076">
        <v>9.03219999999998</v>
      </c>
      <c r="AD1076">
        <v>-1.105310754534</v>
      </c>
      <c r="AE1076">
        <v>-2.0936000000000301</v>
      </c>
      <c r="AF1076">
        <v>2.2845126947421699</v>
      </c>
      <c r="AG1076">
        <v>-1.105310754534</v>
      </c>
      <c r="AH1076">
        <v>8.8516944528121595</v>
      </c>
      <c r="AI1076">
        <v>96.894058310715096</v>
      </c>
      <c r="AJ1076">
        <v>75.528465167896996</v>
      </c>
      <c r="AK1076">
        <v>9.2083225835367095</v>
      </c>
    </row>
    <row r="1077" spans="1:37" x14ac:dyDescent="0.2">
      <c r="A1077" t="str">
        <f>"20200111153628625"</f>
        <v>20200111153628625</v>
      </c>
      <c r="B1077" t="str">
        <f>"1578728188613419"</f>
        <v>1578728188613419</v>
      </c>
      <c r="C1077" t="s">
        <v>37</v>
      </c>
      <c r="D1077">
        <v>6.0066730000000002</v>
      </c>
      <c r="E1077">
        <v>0.55071389999999998</v>
      </c>
      <c r="F1077" t="s">
        <v>39</v>
      </c>
      <c r="G1077">
        <v>-210.5282</v>
      </c>
      <c r="H1077" s="1">
        <v>-4.7928680000000003E-6</v>
      </c>
      <c r="I1077">
        <v>365.40410000000003</v>
      </c>
      <c r="J1077">
        <v>-219.42250000000001</v>
      </c>
      <c r="K1077">
        <v>1.105253</v>
      </c>
      <c r="L1077">
        <v>367.48399999999998</v>
      </c>
      <c r="M1077">
        <v>0.99958729999999996</v>
      </c>
      <c r="N1077">
        <v>0</v>
      </c>
      <c r="O1077">
        <v>2.5233539999999999E-2</v>
      </c>
      <c r="P1077">
        <v>0.99481609999999998</v>
      </c>
      <c r="Q1077">
        <v>3.715106E-2</v>
      </c>
      <c r="R1077">
        <v>-9.4662590000000005E-2</v>
      </c>
      <c r="S1077">
        <v>2.9653320000000001</v>
      </c>
      <c r="T1077">
        <v>-0.35899589999999998</v>
      </c>
      <c r="U1077">
        <v>-0.67346189999999995</v>
      </c>
      <c r="V1077">
        <v>0.119707199999999</v>
      </c>
      <c r="W1077">
        <v>5.0850689999999997E-2</v>
      </c>
      <c r="X1077">
        <v>0.99150609999999995</v>
      </c>
      <c r="Y1077">
        <v>0.2441372</v>
      </c>
      <c r="Z1077">
        <v>-1.7549289999999999E-2</v>
      </c>
      <c r="AA1077">
        <v>0.9695819</v>
      </c>
      <c r="AB1077">
        <v>23</v>
      </c>
      <c r="AC1077">
        <v>8.8943000000000101</v>
      </c>
      <c r="AD1077">
        <v>-1.1052577928680001</v>
      </c>
      <c r="AE1077">
        <v>-2.0798999999999999</v>
      </c>
      <c r="AF1077">
        <v>2.2704509574951999</v>
      </c>
      <c r="AG1077">
        <v>-1.1052577928680001</v>
      </c>
      <c r="AH1077">
        <v>8.7114320363500202</v>
      </c>
      <c r="AI1077">
        <v>96.999352156881997</v>
      </c>
      <c r="AJ1077">
        <v>75.392037221772</v>
      </c>
      <c r="AK1077">
        <v>9.0700380629318094</v>
      </c>
    </row>
    <row r="1078" spans="1:37" x14ac:dyDescent="0.2">
      <c r="A1078" t="str">
        <f>"20200111153628646"</f>
        <v>20200111153628646</v>
      </c>
      <c r="B1078" t="str">
        <f>"1578728188633447"</f>
        <v>1578728188633447</v>
      </c>
      <c r="C1078" t="s">
        <v>37</v>
      </c>
      <c r="D1078">
        <v>6.0059339999999999</v>
      </c>
      <c r="E1078">
        <v>0.55078959999999999</v>
      </c>
      <c r="F1078" t="s">
        <v>39</v>
      </c>
      <c r="G1078">
        <v>-210.32640000000001</v>
      </c>
      <c r="H1078" s="1">
        <v>-4.8759009999999996E-6</v>
      </c>
      <c r="I1078">
        <v>365.42410000000001</v>
      </c>
      <c r="J1078">
        <v>-219.21619999999999</v>
      </c>
      <c r="K1078">
        <v>1.1052059999999999</v>
      </c>
      <c r="L1078">
        <v>367.4896</v>
      </c>
      <c r="M1078">
        <v>0.99957909999999905</v>
      </c>
      <c r="N1078">
        <v>0</v>
      </c>
      <c r="O1078">
        <v>2.5550860000000002E-2</v>
      </c>
      <c r="P1078">
        <v>0.99479309999999999</v>
      </c>
      <c r="Q1078">
        <v>3.7007970000000001E-2</v>
      </c>
      <c r="R1078">
        <v>-9.4958719999999996E-2</v>
      </c>
      <c r="S1078">
        <v>2.965179</v>
      </c>
      <c r="T1078">
        <v>-0.36029299999999997</v>
      </c>
      <c r="U1078">
        <v>-0.67147829999999997</v>
      </c>
      <c r="V1078">
        <v>0.12032319999999901</v>
      </c>
      <c r="W1078">
        <v>5.0690680000000002E-2</v>
      </c>
      <c r="X1078">
        <v>0.99143979999999998</v>
      </c>
      <c r="Y1078">
        <v>0.2438246</v>
      </c>
      <c r="Z1078">
        <v>-1.763371E-2</v>
      </c>
      <c r="AA1078">
        <v>0.96965900000000005</v>
      </c>
      <c r="AB1078">
        <v>23</v>
      </c>
      <c r="AC1078">
        <v>8.8897999999999797</v>
      </c>
      <c r="AD1078">
        <v>-1.105210875901</v>
      </c>
      <c r="AE1078">
        <v>-2.0654999999999801</v>
      </c>
      <c r="AF1078">
        <v>2.2588635297726598</v>
      </c>
      <c r="AG1078">
        <v>-1.105210875901</v>
      </c>
      <c r="AH1078">
        <v>8.7064398094371001</v>
      </c>
      <c r="AI1078">
        <v>97.005026874570504</v>
      </c>
      <c r="AJ1078">
        <v>75.455442428957099</v>
      </c>
      <c r="AK1078">
        <v>9.0623423948611705</v>
      </c>
    </row>
    <row r="1079" spans="1:37" x14ac:dyDescent="0.2">
      <c r="A1079" t="str">
        <f>"20200111153628659"</f>
        <v>20200111153628659</v>
      </c>
      <c r="B1079" t="str">
        <f>"1578728188653943"</f>
        <v>1578728188653943</v>
      </c>
      <c r="C1079" t="s">
        <v>37</v>
      </c>
      <c r="D1079">
        <v>5.9867419999999996</v>
      </c>
      <c r="E1079">
        <v>0.55085930000000005</v>
      </c>
      <c r="F1079" t="s">
        <v>39</v>
      </c>
      <c r="G1079">
        <v>-210.11420000000001</v>
      </c>
      <c r="H1079" s="1">
        <v>-4.9665690000000002E-6</v>
      </c>
      <c r="I1079">
        <v>365.42610000000002</v>
      </c>
      <c r="J1079">
        <v>-219.0701</v>
      </c>
      <c r="K1079">
        <v>1.105172</v>
      </c>
      <c r="L1079">
        <v>367.49360000000001</v>
      </c>
      <c r="M1079">
        <v>0.99957419999999997</v>
      </c>
      <c r="N1079">
        <v>0</v>
      </c>
      <c r="O1079">
        <v>2.5744159999999999E-2</v>
      </c>
      <c r="P1079">
        <v>0.9947357</v>
      </c>
      <c r="Q1079">
        <v>3.725929E-2</v>
      </c>
      <c r="R1079">
        <v>-9.5461290000000004E-2</v>
      </c>
      <c r="S1079">
        <v>2.9649200000000002</v>
      </c>
      <c r="T1079">
        <v>-0.36001470000000002</v>
      </c>
      <c r="U1079">
        <v>-0.67214969999999996</v>
      </c>
      <c r="V1079">
        <v>0.12102</v>
      </c>
      <c r="W1079">
        <v>5.0929259999999997E-2</v>
      </c>
      <c r="X1079">
        <v>0.99134270000000002</v>
      </c>
      <c r="Y1079">
        <v>0.2442377</v>
      </c>
      <c r="Z1079">
        <v>-1.766904E-2</v>
      </c>
      <c r="AA1079">
        <v>0.96955440000000004</v>
      </c>
      <c r="AB1079">
        <v>23</v>
      </c>
      <c r="AC1079">
        <v>8.9558999999999802</v>
      </c>
      <c r="AD1079">
        <v>-1.1051769665690001</v>
      </c>
      <c r="AE1079">
        <v>-2.0674999999999901</v>
      </c>
      <c r="AF1079">
        <v>2.2646570220072602</v>
      </c>
      <c r="AG1079">
        <v>-1.1051769665690001</v>
      </c>
      <c r="AH1079">
        <v>8.7728655810293201</v>
      </c>
      <c r="AI1079">
        <v>96.9544744086039</v>
      </c>
      <c r="AJ1079">
        <v>75.525470475536196</v>
      </c>
      <c r="AK1079">
        <v>9.1276096573840402</v>
      </c>
    </row>
    <row r="1080" spans="1:37" x14ac:dyDescent="0.2">
      <c r="A1080" t="str">
        <f>"20200111153628671"</f>
        <v>20200111153628671</v>
      </c>
      <c r="B1080" t="str">
        <f>"1578728188663703"</f>
        <v>1578728188663703</v>
      </c>
      <c r="C1080" t="s">
        <v>37</v>
      </c>
      <c r="D1080">
        <v>5.9791980000000002</v>
      </c>
      <c r="E1080">
        <v>0.55095490000000003</v>
      </c>
      <c r="F1080" t="s">
        <v>41</v>
      </c>
      <c r="G1080">
        <v>-209.9042</v>
      </c>
      <c r="H1080" s="1">
        <v>-5.9099760000000004E-6</v>
      </c>
      <c r="I1080">
        <v>365.41019999999997</v>
      </c>
      <c r="J1080">
        <v>-218.93979999999999</v>
      </c>
      <c r="K1080">
        <v>1.1051359999999999</v>
      </c>
      <c r="L1080">
        <v>367.49709999999999</v>
      </c>
      <c r="M1080">
        <v>0.99957109999999905</v>
      </c>
      <c r="N1080">
        <v>0</v>
      </c>
      <c r="O1080">
        <v>2.586861E-2</v>
      </c>
      <c r="P1080">
        <v>0.99469379999999996</v>
      </c>
      <c r="Q1080">
        <v>3.7108999999999899E-2</v>
      </c>
      <c r="R1080">
        <v>-9.595397E-2</v>
      </c>
      <c r="S1080">
        <v>2.9645839999999999</v>
      </c>
      <c r="T1080">
        <v>-0.35745670000000002</v>
      </c>
      <c r="U1080">
        <v>-0.67385859999999997</v>
      </c>
      <c r="V1080">
        <v>0.1216392</v>
      </c>
      <c r="W1080">
        <v>5.0766399999999899E-2</v>
      </c>
      <c r="X1080">
        <v>0.99127529999999997</v>
      </c>
      <c r="Y1080">
        <v>0.24493429999999999</v>
      </c>
      <c r="Z1080">
        <v>-1.760132E-2</v>
      </c>
      <c r="AA1080">
        <v>0.96937989999999996</v>
      </c>
      <c r="AB1080">
        <v>23</v>
      </c>
      <c r="AC1080">
        <v>9.0355999999999792</v>
      </c>
      <c r="AD1080">
        <v>-1.105141909976</v>
      </c>
      <c r="AE1080">
        <v>-2.0869000000000102</v>
      </c>
      <c r="AF1080">
        <v>2.28747504402223</v>
      </c>
      <c r="AG1080">
        <v>-1.105141909976</v>
      </c>
      <c r="AH1080">
        <v>8.8528564912997805</v>
      </c>
      <c r="AI1080">
        <v>96.891622282561002</v>
      </c>
      <c r="AJ1080">
        <v>75.512311083684295</v>
      </c>
      <c r="AK1080">
        <v>9.2101546552573392</v>
      </c>
    </row>
    <row r="1081" spans="1:37" x14ac:dyDescent="0.2">
      <c r="A1081" t="str">
        <f>"20200111153628685"</f>
        <v>20200111153628685</v>
      </c>
      <c r="B1081" t="str">
        <f>"1578728188673464"</f>
        <v>1578728188673464</v>
      </c>
      <c r="C1081" t="s">
        <v>37</v>
      </c>
      <c r="D1081">
        <v>5.9779999999999998</v>
      </c>
      <c r="E1081">
        <v>0.55108380000000001</v>
      </c>
      <c r="F1081" t="s">
        <v>41</v>
      </c>
      <c r="G1081">
        <v>-209.7577</v>
      </c>
      <c r="H1081" s="1">
        <v>-5.8620430000000001E-6</v>
      </c>
      <c r="I1081">
        <v>365.40300000000002</v>
      </c>
      <c r="J1081">
        <v>-218.8065</v>
      </c>
      <c r="K1081">
        <v>1.1051010000000001</v>
      </c>
      <c r="L1081">
        <v>367.50069999999999</v>
      </c>
      <c r="M1081">
        <v>0.99956829999999997</v>
      </c>
      <c r="N1081">
        <v>0</v>
      </c>
      <c r="O1081">
        <v>2.5973179999999998E-2</v>
      </c>
      <c r="P1081">
        <v>0.99463829999999998</v>
      </c>
      <c r="Q1081">
        <v>3.7231470000000003E-2</v>
      </c>
      <c r="R1081">
        <v>-9.6479720000000005E-2</v>
      </c>
      <c r="S1081">
        <v>2.9640810000000002</v>
      </c>
      <c r="T1081">
        <v>-0.35675390000000001</v>
      </c>
      <c r="U1081">
        <v>-0.67599489999999995</v>
      </c>
      <c r="V1081">
        <v>0.122271699999999</v>
      </c>
      <c r="W1081">
        <v>5.0875459999999997E-2</v>
      </c>
      <c r="X1081">
        <v>0.99119190000000001</v>
      </c>
      <c r="Y1081">
        <v>0.24573619999999999</v>
      </c>
      <c r="Z1081">
        <v>-1.7628359999999999E-2</v>
      </c>
      <c r="AA1081">
        <v>0.96917640000000005</v>
      </c>
      <c r="AB1081">
        <v>23</v>
      </c>
      <c r="AC1081">
        <v>9.0488</v>
      </c>
      <c r="AD1081">
        <v>-1.105106862043</v>
      </c>
      <c r="AE1081">
        <v>-2.0976999999999699</v>
      </c>
      <c r="AF1081">
        <v>2.29949243314804</v>
      </c>
      <c r="AG1081">
        <v>-1.105106862043</v>
      </c>
      <c r="AH1081">
        <v>8.8657676517120905</v>
      </c>
      <c r="AI1081">
        <v>96.8798472536064</v>
      </c>
      <c r="AJ1081">
        <v>75.459731257676594</v>
      </c>
      <c r="AK1081">
        <v>9.2255494514302008</v>
      </c>
    </row>
    <row r="1082" spans="1:37" x14ac:dyDescent="0.2">
      <c r="A1082" t="str">
        <f>"20200111153628697"</f>
        <v>20200111153628697</v>
      </c>
      <c r="B1082" t="str">
        <f>"1578728188693959"</f>
        <v>1578728188693959</v>
      </c>
      <c r="C1082" t="s">
        <v>37</v>
      </c>
      <c r="D1082">
        <v>5.9526969999999997</v>
      </c>
      <c r="E1082">
        <v>0.55142919999999995</v>
      </c>
      <c r="F1082" t="s">
        <v>41</v>
      </c>
      <c r="G1082">
        <v>-209.62090000000001</v>
      </c>
      <c r="H1082" s="1">
        <v>-5.816924E-6</v>
      </c>
      <c r="I1082">
        <v>365.39870000000002</v>
      </c>
      <c r="J1082">
        <v>-218.6678</v>
      </c>
      <c r="K1082">
        <v>1.1050599999999999</v>
      </c>
      <c r="L1082">
        <v>367.50450000000001</v>
      </c>
      <c r="M1082">
        <v>0.99956639999999997</v>
      </c>
      <c r="N1082">
        <v>0</v>
      </c>
      <c r="O1082">
        <v>2.6051410000000001E-2</v>
      </c>
      <c r="P1082">
        <v>0.99458009999999997</v>
      </c>
      <c r="Q1082">
        <v>3.7378759999999997E-2</v>
      </c>
      <c r="R1082">
        <v>-9.7023949999999998E-2</v>
      </c>
      <c r="S1082">
        <v>2.96375999999999</v>
      </c>
      <c r="T1082">
        <v>-0.35656500000000002</v>
      </c>
      <c r="U1082">
        <v>-0.67822269999999996</v>
      </c>
      <c r="V1082">
        <v>0.1228963</v>
      </c>
      <c r="W1082">
        <v>5.1008320000000003E-2</v>
      </c>
      <c r="X1082">
        <v>0.99110779999999998</v>
      </c>
      <c r="Y1082">
        <v>0.2465231</v>
      </c>
      <c r="Z1082">
        <v>-1.7675340000000001E-2</v>
      </c>
      <c r="AA1082">
        <v>0.9689757</v>
      </c>
      <c r="AB1082">
        <v>23</v>
      </c>
      <c r="AC1082">
        <v>9.0468999999999902</v>
      </c>
      <c r="AD1082">
        <v>-1.105065816924</v>
      </c>
      <c r="AE1082">
        <v>-2.1057999999999799</v>
      </c>
      <c r="AF1082">
        <v>2.3081239589000302</v>
      </c>
      <c r="AG1082">
        <v>-1.105065816924</v>
      </c>
      <c r="AH1082">
        <v>8.8635154397281894</v>
      </c>
      <c r="AI1082">
        <v>96.879600647135902</v>
      </c>
      <c r="AJ1082">
        <v>75.403928062769097</v>
      </c>
      <c r="AK1082">
        <v>9.2255358987802101</v>
      </c>
    </row>
    <row r="1083" spans="1:37" x14ac:dyDescent="0.2">
      <c r="A1083" t="str">
        <f>"20200111153628713"</f>
        <v>20200111153628713</v>
      </c>
      <c r="B1083" t="str">
        <f>"1578728188703720"</f>
        <v>1578728188703720</v>
      </c>
      <c r="C1083" t="s">
        <v>37</v>
      </c>
      <c r="D1083">
        <v>5.8734679999999999</v>
      </c>
      <c r="E1083">
        <v>0.55450299999999997</v>
      </c>
      <c r="F1083" t="s">
        <v>41</v>
      </c>
      <c r="G1083">
        <v>-209.3929</v>
      </c>
      <c r="H1083" s="1">
        <v>-5.7453639999999999E-6</v>
      </c>
      <c r="I1083">
        <v>365.36829999999998</v>
      </c>
      <c r="J1083">
        <v>-218.51840000000001</v>
      </c>
      <c r="K1083">
        <v>1.105005</v>
      </c>
      <c r="L1083">
        <v>367.50839999999999</v>
      </c>
      <c r="M1083">
        <v>0.999565699999999</v>
      </c>
      <c r="N1083">
        <v>0</v>
      </c>
      <c r="O1083">
        <v>2.607514E-2</v>
      </c>
      <c r="P1083">
        <v>0.99447940000000001</v>
      </c>
      <c r="Q1083">
        <v>3.771907E-2</v>
      </c>
      <c r="R1083">
        <v>-9.7918720000000001E-2</v>
      </c>
      <c r="S1083">
        <v>2.9630429999999999</v>
      </c>
      <c r="T1083">
        <v>-0.35303379999999901</v>
      </c>
      <c r="U1083">
        <v>-0.68243409999999904</v>
      </c>
      <c r="V1083">
        <v>0.1238175</v>
      </c>
      <c r="W1083">
        <v>5.1331189999999999E-2</v>
      </c>
      <c r="X1083">
        <v>0.99097649999999904</v>
      </c>
      <c r="Y1083">
        <v>0.24793200000000001</v>
      </c>
      <c r="Z1083">
        <v>-1.758823E-2</v>
      </c>
      <c r="AA1083">
        <v>0.96861769999999903</v>
      </c>
      <c r="AB1083">
        <v>23</v>
      </c>
      <c r="AC1083">
        <v>9.1255000000000095</v>
      </c>
      <c r="AD1083">
        <v>-1.1050107453639999</v>
      </c>
      <c r="AE1083">
        <v>-2.1401000000000101</v>
      </c>
      <c r="AF1083">
        <v>2.3447547675445501</v>
      </c>
      <c r="AG1083">
        <v>-1.1050107453639999</v>
      </c>
      <c r="AH1083">
        <v>8.9423034335718707</v>
      </c>
      <c r="AI1083">
        <v>96.816246408662394</v>
      </c>
      <c r="AJ1083">
        <v>75.307281521559204</v>
      </c>
      <c r="AK1083">
        <v>9.3104089257864509</v>
      </c>
    </row>
    <row r="1084" spans="1:37" x14ac:dyDescent="0.2">
      <c r="A1084" t="str">
        <f>"20200111153628735"</f>
        <v>20200111153628735</v>
      </c>
      <c r="B1084" t="str">
        <f>"1578728188723240"</f>
        <v>1578728188723240</v>
      </c>
      <c r="C1084" t="s">
        <v>37</v>
      </c>
      <c r="D1084">
        <v>5.974818</v>
      </c>
      <c r="E1084">
        <v>0.55394719999999997</v>
      </c>
      <c r="F1084" t="s">
        <v>41</v>
      </c>
      <c r="G1084">
        <v>-205.05889999999999</v>
      </c>
      <c r="H1084" s="1">
        <v>-4.1704050000000003E-6</v>
      </c>
      <c r="I1084">
        <v>364.25799999999998</v>
      </c>
      <c r="J1084">
        <v>-218.2929</v>
      </c>
      <c r="K1084">
        <v>1.1049149999999901</v>
      </c>
      <c r="L1084">
        <v>367.51429999999999</v>
      </c>
      <c r="M1084">
        <v>0.99956739999999999</v>
      </c>
      <c r="N1084">
        <v>0</v>
      </c>
      <c r="O1084">
        <v>2.6015179999999999E-2</v>
      </c>
      <c r="P1084">
        <v>0.9944269</v>
      </c>
      <c r="Q1084">
        <v>3.7295630000000003E-2</v>
      </c>
      <c r="R1084">
        <v>-9.8613149999999997E-2</v>
      </c>
      <c r="S1084">
        <v>2.9555509999999998</v>
      </c>
      <c r="T1084">
        <v>-0.242646999999999</v>
      </c>
      <c r="U1084">
        <v>-0.71374510000000002</v>
      </c>
      <c r="V1084">
        <v>0.12446110000000001</v>
      </c>
      <c r="W1084">
        <v>5.0879260000000003E-2</v>
      </c>
      <c r="X1084">
        <v>0.99091909999999905</v>
      </c>
      <c r="Y1084">
        <v>0.25904840000000001</v>
      </c>
      <c r="Z1084">
        <v>-1.2570029999999999E-2</v>
      </c>
      <c r="AA1084">
        <v>0.96578249999999999</v>
      </c>
      <c r="AB1084">
        <v>23</v>
      </c>
      <c r="AC1084">
        <v>13.234</v>
      </c>
      <c r="AD1084">
        <v>-1.1049191704050001</v>
      </c>
      <c r="AE1084">
        <v>-3.2562999999999498</v>
      </c>
      <c r="AF1084">
        <v>3.5760105914942</v>
      </c>
      <c r="AG1084">
        <v>-1.1049191704050001</v>
      </c>
      <c r="AH1084">
        <v>13.058964931210101</v>
      </c>
      <c r="AI1084">
        <v>94.665322777418893</v>
      </c>
      <c r="AJ1084">
        <v>74.685787326764896</v>
      </c>
      <c r="AK1084">
        <v>13.584743766379299</v>
      </c>
    </row>
    <row r="1085" spans="1:37" x14ac:dyDescent="0.2">
      <c r="A1085" t="str">
        <f>"20200111153628752"</f>
        <v>20200111153628752</v>
      </c>
      <c r="B1085" t="str">
        <f>"1578728188743265"</f>
        <v>1578728188743265</v>
      </c>
      <c r="C1085" t="s">
        <v>37</v>
      </c>
      <c r="D1085">
        <v>5.9403009999999998</v>
      </c>
      <c r="E1085">
        <v>0.55376139999999996</v>
      </c>
      <c r="F1085" t="s">
        <v>41</v>
      </c>
      <c r="G1085">
        <v>-206.26570000000001</v>
      </c>
      <c r="H1085" s="1">
        <v>-4.6513529999999998E-6</v>
      </c>
      <c r="I1085">
        <v>364.62439999999998</v>
      </c>
      <c r="J1085">
        <v>-218.11330000000001</v>
      </c>
      <c r="K1085">
        <v>1.10483</v>
      </c>
      <c r="L1085">
        <v>367.51900000000001</v>
      </c>
      <c r="M1085">
        <v>0.9995716</v>
      </c>
      <c r="N1085">
        <v>0</v>
      </c>
      <c r="O1085">
        <v>2.5856810000000001E-2</v>
      </c>
      <c r="P1085">
        <v>0.99441669999999904</v>
      </c>
      <c r="Q1085">
        <v>3.661412E-2</v>
      </c>
      <c r="R1085">
        <v>-9.8969199999999993E-2</v>
      </c>
      <c r="S1085">
        <v>2.9565429999999999</v>
      </c>
      <c r="T1085">
        <v>-0.27161190000000002</v>
      </c>
      <c r="U1085">
        <v>-0.71041869999999996</v>
      </c>
      <c r="V1085">
        <v>0.1246693</v>
      </c>
      <c r="W1085">
        <v>5.017158E-2</v>
      </c>
      <c r="X1085">
        <v>0.99092909999999901</v>
      </c>
      <c r="Y1085">
        <v>0.25757190000000002</v>
      </c>
      <c r="Z1085">
        <v>-1.3980970000000001E-2</v>
      </c>
      <c r="AA1085">
        <v>0.96615799999999996</v>
      </c>
      <c r="AB1085">
        <v>23</v>
      </c>
      <c r="AC1085">
        <v>11.8476</v>
      </c>
      <c r="AD1085">
        <v>-1.1048346513530001</v>
      </c>
      <c r="AE1085">
        <v>-2.89460000000002</v>
      </c>
      <c r="AF1085">
        <v>3.17395514389671</v>
      </c>
      <c r="AG1085">
        <v>-1.1048346513530001</v>
      </c>
      <c r="AH1085">
        <v>11.6729923640601</v>
      </c>
      <c r="AI1085">
        <v>95.218502864527693</v>
      </c>
      <c r="AJ1085">
        <v>74.788695133774794</v>
      </c>
      <c r="AK1085">
        <v>12.1471561113581</v>
      </c>
    </row>
    <row r="1086" spans="1:37" x14ac:dyDescent="0.2">
      <c r="A1086" t="str">
        <f>"20200111153628765"</f>
        <v>20200111153628765</v>
      </c>
      <c r="B1086" t="str">
        <f>"1578728188754002"</f>
        <v>1578728188754002</v>
      </c>
      <c r="C1086" t="s">
        <v>37</v>
      </c>
      <c r="D1086">
        <v>5.9724490000000001</v>
      </c>
      <c r="E1086">
        <v>0.55372809999999995</v>
      </c>
      <c r="F1086" t="s">
        <v>41</v>
      </c>
      <c r="G1086">
        <v>-207.179</v>
      </c>
      <c r="H1086" s="1">
        <v>-5.0162380000000001E-6</v>
      </c>
      <c r="I1086">
        <v>364.89760000000001</v>
      </c>
      <c r="J1086">
        <v>-217.98070000000001</v>
      </c>
      <c r="K1086">
        <v>1.104757</v>
      </c>
      <c r="L1086">
        <v>367.5222</v>
      </c>
      <c r="M1086">
        <v>0.99957619999999903</v>
      </c>
      <c r="N1086">
        <v>0</v>
      </c>
      <c r="O1086">
        <v>2.5677869999999998E-2</v>
      </c>
      <c r="P1086">
        <v>0.99442219999999903</v>
      </c>
      <c r="Q1086">
        <v>3.5598619999999997E-2</v>
      </c>
      <c r="R1086">
        <v>-9.9286199999999894E-2</v>
      </c>
      <c r="S1086">
        <v>2.9572910000000001</v>
      </c>
      <c r="T1086">
        <v>-0.29881629999999998</v>
      </c>
      <c r="U1086">
        <v>-0.70898439999999996</v>
      </c>
      <c r="V1086">
        <v>0.12481589999999999</v>
      </c>
      <c r="W1086">
        <v>4.9135749999999999E-2</v>
      </c>
      <c r="X1086">
        <v>0.99096249999999997</v>
      </c>
      <c r="Y1086">
        <v>0.25666889999999998</v>
      </c>
      <c r="Z1086">
        <v>-1.53092E-2</v>
      </c>
      <c r="AA1086">
        <v>0.96637819999999997</v>
      </c>
      <c r="AB1086">
        <v>23</v>
      </c>
      <c r="AC1086">
        <v>10.8017</v>
      </c>
      <c r="AD1086">
        <v>-1.1047620162380001</v>
      </c>
      <c r="AE1086">
        <v>-2.6245999999999801</v>
      </c>
      <c r="AF1086">
        <v>2.8727499580425699</v>
      </c>
      <c r="AG1086">
        <v>-1.1047620162380001</v>
      </c>
      <c r="AH1086">
        <v>10.6257824635936</v>
      </c>
      <c r="AI1086">
        <v>95.731388882560097</v>
      </c>
      <c r="AJ1086">
        <v>74.871385494040993</v>
      </c>
      <c r="AK1086">
        <v>11.0625695205757</v>
      </c>
    </row>
    <row r="1087" spans="1:37" x14ac:dyDescent="0.2">
      <c r="A1087" t="str">
        <f>"20200111153628780"</f>
        <v>20200111153628780</v>
      </c>
      <c r="B1087" t="str">
        <f>"1578728188773521"</f>
        <v>1578728188773521</v>
      </c>
      <c r="C1087" t="s">
        <v>37</v>
      </c>
      <c r="D1087">
        <v>5.9282870000000001</v>
      </c>
      <c r="E1087">
        <v>0.55364219999999997</v>
      </c>
      <c r="F1087" t="s">
        <v>41</v>
      </c>
      <c r="G1087">
        <v>-207.31489999999999</v>
      </c>
      <c r="H1087" s="1">
        <v>-5.0650489999999997E-6</v>
      </c>
      <c r="I1087">
        <v>364.96280000000002</v>
      </c>
      <c r="J1087">
        <v>-217.8272</v>
      </c>
      <c r="K1087">
        <v>1.1046609999999999</v>
      </c>
      <c r="L1087">
        <v>367.52589999999998</v>
      </c>
      <c r="M1087">
        <v>0.99958309999999995</v>
      </c>
      <c r="N1087">
        <v>0</v>
      </c>
      <c r="O1087">
        <v>2.5407869999999999E-2</v>
      </c>
      <c r="P1087">
        <v>0.99445989999999995</v>
      </c>
      <c r="Q1087">
        <v>3.3168389999999999E-2</v>
      </c>
      <c r="R1087">
        <v>-9.9746310000000005E-2</v>
      </c>
      <c r="S1087">
        <v>2.9569700000000001</v>
      </c>
      <c r="T1087">
        <v>-0.30628099999999903</v>
      </c>
      <c r="U1087">
        <v>-0.70956419999999998</v>
      </c>
      <c r="V1087">
        <v>0.12501689999999999</v>
      </c>
      <c r="W1087">
        <v>4.6680960000000001E-2</v>
      </c>
      <c r="X1087">
        <v>0.99105580000000004</v>
      </c>
      <c r="Y1087">
        <v>0.25654389999999999</v>
      </c>
      <c r="Z1087">
        <v>-1.5657089999999999E-2</v>
      </c>
      <c r="AA1087">
        <v>0.96640569999999903</v>
      </c>
      <c r="AB1087">
        <v>23</v>
      </c>
      <c r="AC1087">
        <v>10.5123</v>
      </c>
      <c r="AD1087">
        <v>-1.1046660650489999</v>
      </c>
      <c r="AE1087">
        <v>-2.56309999999996</v>
      </c>
      <c r="AF1087">
        <v>2.8002064993042</v>
      </c>
      <c r="AG1087">
        <v>-1.1046660650489999</v>
      </c>
      <c r="AH1087">
        <v>10.336045444811599</v>
      </c>
      <c r="AI1087">
        <v>95.889600848504799</v>
      </c>
      <c r="AJ1087">
        <v>74.841486159393995</v>
      </c>
      <c r="AK1087">
        <v>10.765466965776501</v>
      </c>
    </row>
    <row r="1088" spans="1:37" x14ac:dyDescent="0.2">
      <c r="A1088" t="str">
        <f>"20200111153628794"</f>
        <v>20200111153628794</v>
      </c>
      <c r="B1088" t="str">
        <f>"1578728188783281"</f>
        <v>1578728188783281</v>
      </c>
      <c r="C1088" t="s">
        <v>37</v>
      </c>
      <c r="D1088">
        <v>5.9253599999999897</v>
      </c>
      <c r="E1088">
        <v>0.55363600000000002</v>
      </c>
      <c r="F1088" t="s">
        <v>41</v>
      </c>
      <c r="G1088">
        <v>-207.6087</v>
      </c>
      <c r="H1088" s="1">
        <v>-5.1779040000000001E-6</v>
      </c>
      <c r="I1088">
        <v>365.0711</v>
      </c>
      <c r="J1088">
        <v>-217.68350000000001</v>
      </c>
      <c r="K1088">
        <v>1.1045750000000001</v>
      </c>
      <c r="L1088">
        <v>367.52929999999998</v>
      </c>
      <c r="M1088">
        <v>0.99959189999999998</v>
      </c>
      <c r="N1088">
        <v>0</v>
      </c>
      <c r="O1088">
        <v>2.50593E-2</v>
      </c>
      <c r="P1088">
        <v>0.99445899999999998</v>
      </c>
      <c r="Q1088">
        <v>3.2156980000000002E-2</v>
      </c>
      <c r="R1088">
        <v>-0.100087</v>
      </c>
      <c r="S1088">
        <v>2.9561459999999999</v>
      </c>
      <c r="T1088">
        <v>-0.31957329999999901</v>
      </c>
      <c r="U1088">
        <v>-0.71017459999999999</v>
      </c>
      <c r="V1088">
        <v>0.12501979999999999</v>
      </c>
      <c r="W1088">
        <v>4.5644940000000002E-2</v>
      </c>
      <c r="X1088">
        <v>0.99110370000000003</v>
      </c>
      <c r="Y1088">
        <v>0.25633279999999897</v>
      </c>
      <c r="Z1088">
        <v>-1.62886E-2</v>
      </c>
      <c r="AA1088">
        <v>0.96645130000000001</v>
      </c>
      <c r="AB1088">
        <v>23</v>
      </c>
      <c r="AC1088">
        <v>10.0748</v>
      </c>
      <c r="AD1088">
        <v>-1.1045801779040001</v>
      </c>
      <c r="AE1088">
        <v>-2.45819999999997</v>
      </c>
      <c r="AF1088">
        <v>2.6795197553773802</v>
      </c>
      <c r="AG1088">
        <v>-1.1045801779040001</v>
      </c>
      <c r="AH1088">
        <v>9.8977385446655894</v>
      </c>
      <c r="AI1088">
        <v>96.148285088705805</v>
      </c>
      <c r="AJ1088">
        <v>74.851960442174303</v>
      </c>
      <c r="AK1088">
        <v>10.3133482335968</v>
      </c>
    </row>
    <row r="1089" spans="1:37" x14ac:dyDescent="0.2">
      <c r="A1089" t="str">
        <f>"20200111153628813"</f>
        <v>20200111153628813</v>
      </c>
      <c r="B1089" t="str">
        <f>"1578728188803780"</f>
        <v>1578728188803780</v>
      </c>
      <c r="C1089" t="s">
        <v>37</v>
      </c>
      <c r="D1089">
        <v>5.8836199999999996</v>
      </c>
      <c r="E1089">
        <v>0.55357349999999905</v>
      </c>
      <c r="F1089" t="s">
        <v>41</v>
      </c>
      <c r="G1089">
        <v>-207.60050000000001</v>
      </c>
      <c r="H1089" s="1">
        <v>-5.1667719999999901E-6</v>
      </c>
      <c r="I1089">
        <v>365.10410000000002</v>
      </c>
      <c r="J1089">
        <v>-217.49199999999999</v>
      </c>
      <c r="K1089">
        <v>1.1044529999999999</v>
      </c>
      <c r="L1089">
        <v>367.5335</v>
      </c>
      <c r="M1089">
        <v>0.99960579999999999</v>
      </c>
      <c r="N1089">
        <v>0</v>
      </c>
      <c r="O1089">
        <v>2.4500560000000001E-2</v>
      </c>
      <c r="P1089">
        <v>0.99450090000000002</v>
      </c>
      <c r="Q1089">
        <v>3.0594360000000001E-2</v>
      </c>
      <c r="R1089">
        <v>-0.10016129999999999</v>
      </c>
      <c r="S1089">
        <v>2.9556429999999998</v>
      </c>
      <c r="T1089">
        <v>-0.32378770000000001</v>
      </c>
      <c r="U1089">
        <v>-0.71090699999999996</v>
      </c>
      <c r="V1089">
        <v>0.1245506</v>
      </c>
      <c r="W1089">
        <v>4.4051519999999997E-2</v>
      </c>
      <c r="X1089">
        <v>0.99123490000000003</v>
      </c>
      <c r="Y1089">
        <v>0.25602009999999997</v>
      </c>
      <c r="Z1089">
        <v>-1.642735E-2</v>
      </c>
      <c r="AA1089">
        <v>0.9665319</v>
      </c>
      <c r="AB1089">
        <v>23</v>
      </c>
      <c r="AC1089">
        <v>9.8915000000000006</v>
      </c>
      <c r="AD1089">
        <v>-1.1044581667719999</v>
      </c>
      <c r="AE1089">
        <v>-2.4293999999999798</v>
      </c>
      <c r="AF1089">
        <v>2.6399993306865301</v>
      </c>
      <c r="AG1089">
        <v>-1.1044581667719999</v>
      </c>
      <c r="AH1089">
        <v>9.7147757655614306</v>
      </c>
      <c r="AI1089">
        <v>96.260863025491801</v>
      </c>
      <c r="AJ1089">
        <v>74.796961817429207</v>
      </c>
      <c r="AK1089">
        <v>10.1275017888576</v>
      </c>
    </row>
    <row r="1090" spans="1:37" x14ac:dyDescent="0.2">
      <c r="A1090" t="str">
        <f>"20200111153628835"</f>
        <v>20200111153628835</v>
      </c>
      <c r="B1090" t="str">
        <f>"1578728188823297"</f>
        <v>1578728188823297</v>
      </c>
      <c r="C1090" t="s">
        <v>37</v>
      </c>
      <c r="D1090">
        <v>5.9108039999999997</v>
      </c>
      <c r="E1090">
        <v>0.55366029999999999</v>
      </c>
      <c r="F1090" t="s">
        <v>41</v>
      </c>
      <c r="G1090">
        <v>-207.61580000000001</v>
      </c>
      <c r="H1090" s="1">
        <v>-5.1615859999999999E-6</v>
      </c>
      <c r="I1090">
        <v>365.15969999999999</v>
      </c>
      <c r="J1090">
        <v>-217.26249999999999</v>
      </c>
      <c r="K1090">
        <v>1.1043179999999999</v>
      </c>
      <c r="L1090">
        <v>367.53829999999999</v>
      </c>
      <c r="M1090">
        <v>0.99962589999999996</v>
      </c>
      <c r="N1090">
        <v>0</v>
      </c>
      <c r="O1090">
        <v>2.367083E-2</v>
      </c>
      <c r="P1090">
        <v>0.99450079999999996</v>
      </c>
      <c r="Q1090">
        <v>2.973717E-2</v>
      </c>
      <c r="R1090">
        <v>-0.10042039999999899</v>
      </c>
      <c r="S1090">
        <v>2.9552</v>
      </c>
      <c r="T1090">
        <v>-0.33048270000000002</v>
      </c>
      <c r="U1090">
        <v>-0.71032709999999999</v>
      </c>
      <c r="V1090">
        <v>0.12399839999999999</v>
      </c>
      <c r="W1090">
        <v>4.3157349999999997E-2</v>
      </c>
      <c r="X1090">
        <v>0.99134339999999999</v>
      </c>
      <c r="Y1090">
        <v>0.25501570000000001</v>
      </c>
      <c r="Z1090">
        <v>-1.6621279999999999E-2</v>
      </c>
      <c r="AA1090">
        <v>0.96679409999999899</v>
      </c>
      <c r="AB1090">
        <v>23</v>
      </c>
      <c r="AC1090">
        <v>9.6466999999999796</v>
      </c>
      <c r="AD1090">
        <v>-1.1043231615860001</v>
      </c>
      <c r="AE1090">
        <v>-2.3786</v>
      </c>
      <c r="AF1090">
        <v>2.5744953107379498</v>
      </c>
      <c r="AG1090">
        <v>-1.1043231615860001</v>
      </c>
      <c r="AH1090">
        <v>9.4706883571525999</v>
      </c>
      <c r="AI1090">
        <v>96.419973919016698</v>
      </c>
      <c r="AJ1090">
        <v>74.792303030380197</v>
      </c>
      <c r="AK1090">
        <v>9.8763097211728201</v>
      </c>
    </row>
    <row r="1091" spans="1:37" x14ac:dyDescent="0.2">
      <c r="A1091" t="str">
        <f>"20200111153628852"</f>
        <v>20200111153628852</v>
      </c>
      <c r="B1091" t="str">
        <f>"1578728188843324"</f>
        <v>1578728188843324</v>
      </c>
      <c r="C1091" t="s">
        <v>37</v>
      </c>
      <c r="D1091">
        <v>5.8947379999999896</v>
      </c>
      <c r="E1091">
        <v>0.5540022</v>
      </c>
      <c r="F1091" t="s">
        <v>41</v>
      </c>
      <c r="G1091">
        <v>-207.47229999999999</v>
      </c>
      <c r="H1091" s="1">
        <v>-5.0902E-6</v>
      </c>
      <c r="I1091">
        <v>365.18009999999998</v>
      </c>
      <c r="J1091">
        <v>-217.09899999999999</v>
      </c>
      <c r="K1091">
        <v>1.1042339999999999</v>
      </c>
      <c r="L1091">
        <v>367.54140000000001</v>
      </c>
      <c r="M1091">
        <v>0.99964240000000004</v>
      </c>
      <c r="N1091">
        <v>0</v>
      </c>
      <c r="O1091">
        <v>2.2957020000000002E-2</v>
      </c>
      <c r="P1091">
        <v>0.9944499</v>
      </c>
      <c r="Q1091">
        <v>2.9882079999999998E-2</v>
      </c>
      <c r="R1091">
        <v>-0.1008797</v>
      </c>
      <c r="S1091">
        <v>2.9546809999999999</v>
      </c>
      <c r="T1091">
        <v>-0.33328370000000002</v>
      </c>
      <c r="U1091">
        <v>-0.71170040000000001</v>
      </c>
      <c r="V1091">
        <v>0.12375750000000001</v>
      </c>
      <c r="W1091">
        <v>4.3277410000000002E-2</v>
      </c>
      <c r="X1091">
        <v>0.99136840000000004</v>
      </c>
      <c r="Y1091">
        <v>0.254766399999999</v>
      </c>
      <c r="Z1091">
        <v>-1.66702E-2</v>
      </c>
      <c r="AA1091">
        <v>0.96685889999999997</v>
      </c>
      <c r="AB1091">
        <v>23</v>
      </c>
      <c r="AC1091">
        <v>9.6267000000000191</v>
      </c>
      <c r="AD1091">
        <v>-1.1042390901999899</v>
      </c>
      <c r="AE1091">
        <v>-2.3613000000000199</v>
      </c>
      <c r="AF1091">
        <v>2.5500506785192099</v>
      </c>
      <c r="AG1091">
        <v>-1.1042390901999899</v>
      </c>
      <c r="AH1091">
        <v>9.4526347281238206</v>
      </c>
      <c r="AI1091">
        <v>96.434973840310604</v>
      </c>
      <c r="AJ1091">
        <v>74.902632457468002</v>
      </c>
      <c r="AK1091">
        <v>9.8526344565641093</v>
      </c>
    </row>
    <row r="1092" spans="1:37" x14ac:dyDescent="0.2">
      <c r="A1092" t="str">
        <f>"20200111153628865"</f>
        <v>20200111153628865</v>
      </c>
      <c r="B1092" t="str">
        <f>"1578728188854061"</f>
        <v>1578728188854061</v>
      </c>
      <c r="C1092" t="s">
        <v>37</v>
      </c>
      <c r="D1092">
        <v>5.8617710000000001</v>
      </c>
      <c r="E1092">
        <v>0.55412329999999999</v>
      </c>
      <c r="F1092" t="s">
        <v>41</v>
      </c>
      <c r="G1092">
        <v>-207.29599999999999</v>
      </c>
      <c r="H1092" s="1">
        <v>-5.0114500000000001E-6</v>
      </c>
      <c r="I1092">
        <v>365.16489999999999</v>
      </c>
      <c r="J1092">
        <v>-216.95590000000001</v>
      </c>
      <c r="K1092">
        <v>1.1041639999999999</v>
      </c>
      <c r="L1092">
        <v>367.54399999999998</v>
      </c>
      <c r="M1092">
        <v>0.99965820000000005</v>
      </c>
      <c r="N1092">
        <v>0</v>
      </c>
      <c r="O1092">
        <v>2.2263430000000001E-2</v>
      </c>
      <c r="P1092">
        <v>0.99439560000000005</v>
      </c>
      <c r="Q1092">
        <v>2.994956E-2</v>
      </c>
      <c r="R1092">
        <v>-0.10139479999999999</v>
      </c>
      <c r="S1092">
        <v>2.9540860000000002</v>
      </c>
      <c r="T1092">
        <v>-0.33275579999999999</v>
      </c>
      <c r="U1092">
        <v>-0.71615600000000001</v>
      </c>
      <c r="V1092">
        <v>0.1235904</v>
      </c>
      <c r="W1092">
        <v>4.3323609999999999E-2</v>
      </c>
      <c r="X1092">
        <v>0.99138709999999997</v>
      </c>
      <c r="Y1092">
        <v>0.2555229</v>
      </c>
      <c r="Z1092">
        <v>-1.6609329999999999E-2</v>
      </c>
      <c r="AA1092">
        <v>0.96666030000000003</v>
      </c>
      <c r="AB1092">
        <v>23</v>
      </c>
      <c r="AC1092">
        <v>9.6599000000000199</v>
      </c>
      <c r="AD1092">
        <v>-1.10416901145</v>
      </c>
      <c r="AE1092">
        <v>-2.37910000000005</v>
      </c>
      <c r="AF1092">
        <v>2.56203300813613</v>
      </c>
      <c r="AG1092">
        <v>-1.10416901145</v>
      </c>
      <c r="AH1092">
        <v>9.4876614363598399</v>
      </c>
      <c r="AI1092">
        <v>96.410584752204102</v>
      </c>
      <c r="AJ1092">
        <v>74.8883737032277</v>
      </c>
      <c r="AK1092">
        <v>9.8893337425538999</v>
      </c>
    </row>
    <row r="1093" spans="1:37" x14ac:dyDescent="0.2">
      <c r="A1093" t="str">
        <f>"20200111153628881"</f>
        <v>20200111153628881</v>
      </c>
      <c r="B1093" t="str">
        <f>"1578728188873580"</f>
        <v>1578728188873580</v>
      </c>
      <c r="C1093" t="s">
        <v>37</v>
      </c>
      <c r="D1093">
        <v>5.9110899999999997</v>
      </c>
      <c r="E1093">
        <v>0.55457659999999998</v>
      </c>
      <c r="F1093" t="s">
        <v>41</v>
      </c>
      <c r="G1093">
        <v>-207.1507</v>
      </c>
      <c r="H1093" s="1">
        <v>-4.9450549999999997E-6</v>
      </c>
      <c r="I1093">
        <v>365.15899999999999</v>
      </c>
      <c r="J1093">
        <v>-216.80179999999999</v>
      </c>
      <c r="K1093">
        <v>1.1040969999999899</v>
      </c>
      <c r="L1093">
        <v>367.54660000000001</v>
      </c>
      <c r="M1093">
        <v>0.99967600000000001</v>
      </c>
      <c r="N1093">
        <v>0</v>
      </c>
      <c r="O1093">
        <v>2.1447609999999999E-2</v>
      </c>
      <c r="P1093">
        <v>0.99432999999999905</v>
      </c>
      <c r="Q1093">
        <v>3.073012E-2</v>
      </c>
      <c r="R1093">
        <v>-0.1018039</v>
      </c>
      <c r="S1093">
        <v>2.9536739999999999</v>
      </c>
      <c r="T1093">
        <v>-0.33261190000000002</v>
      </c>
      <c r="U1093">
        <v>-0.71844479999999999</v>
      </c>
      <c r="V1093">
        <v>0.1231976</v>
      </c>
      <c r="W1093">
        <v>4.4083440000000002E-2</v>
      </c>
      <c r="X1093">
        <v>0.99140260000000002</v>
      </c>
      <c r="Y1093">
        <v>0.25547900000000001</v>
      </c>
      <c r="Z1093">
        <v>-1.6510130000000001E-2</v>
      </c>
      <c r="AA1093">
        <v>0.96667359999999902</v>
      </c>
      <c r="AB1093">
        <v>23</v>
      </c>
      <c r="AC1093">
        <v>9.65109999999998</v>
      </c>
      <c r="AD1093">
        <v>-1.10410194505499</v>
      </c>
      <c r="AE1093">
        <v>-2.3876000000000199</v>
      </c>
      <c r="AF1093">
        <v>2.5624605054805998</v>
      </c>
      <c r="AG1093">
        <v>-1.10410194505499</v>
      </c>
      <c r="AH1093">
        <v>9.4807410879655691</v>
      </c>
      <c r="AI1093">
        <v>96.414450754423598</v>
      </c>
      <c r="AJ1093">
        <v>74.875440480442194</v>
      </c>
      <c r="AK1093">
        <v>9.88279801090059</v>
      </c>
    </row>
    <row r="1094" spans="1:37" x14ac:dyDescent="0.2">
      <c r="A1094" t="str">
        <f>"20200111153628895"</f>
        <v>20200111153628895</v>
      </c>
      <c r="B1094" t="str">
        <f>"1578728188883340"</f>
        <v>1578728188883340</v>
      </c>
      <c r="C1094" t="s">
        <v>37</v>
      </c>
      <c r="D1094">
        <v>5.9602139999999997</v>
      </c>
      <c r="E1094">
        <v>0.55457659999999998</v>
      </c>
      <c r="F1094" t="s">
        <v>41</v>
      </c>
      <c r="G1094">
        <v>-206.94290000000001</v>
      </c>
      <c r="H1094" s="1">
        <v>-4.8542010000000003E-6</v>
      </c>
      <c r="I1094">
        <v>365.13229999999999</v>
      </c>
      <c r="J1094">
        <v>-216.65119999999999</v>
      </c>
      <c r="K1094">
        <v>1.104036</v>
      </c>
      <c r="L1094">
        <v>367.5489</v>
      </c>
      <c r="M1094">
        <v>0.99969449999999904</v>
      </c>
      <c r="N1094">
        <v>0</v>
      </c>
      <c r="O1094">
        <v>2.05644E-2</v>
      </c>
      <c r="P1094">
        <v>0.99425419999999998</v>
      </c>
      <c r="Q1094">
        <v>3.133408E-2</v>
      </c>
      <c r="R1094">
        <v>-0.102355499999999</v>
      </c>
      <c r="S1094">
        <v>2.9533079999999998</v>
      </c>
      <c r="T1094">
        <v>-0.3307428</v>
      </c>
      <c r="U1094">
        <v>-0.7232056</v>
      </c>
      <c r="V1094">
        <v>0.122879399999999</v>
      </c>
      <c r="W1094">
        <v>4.466937E-2</v>
      </c>
      <c r="X1094">
        <v>0.99141579999999996</v>
      </c>
      <c r="Y1094">
        <v>0.25614369999999997</v>
      </c>
      <c r="Z1094">
        <v>-1.635609E-2</v>
      </c>
      <c r="AA1094">
        <v>0.96650029999999998</v>
      </c>
      <c r="AB1094">
        <v>23</v>
      </c>
      <c r="AC1094">
        <v>9.7082999999999799</v>
      </c>
      <c r="AD1094">
        <v>-1.1040408542010001</v>
      </c>
      <c r="AE1094">
        <v>-2.4166000000000101</v>
      </c>
      <c r="AF1094">
        <v>2.5842816844260899</v>
      </c>
      <c r="AG1094">
        <v>-1.1040408542010001</v>
      </c>
      <c r="AH1094">
        <v>9.5403636940711198</v>
      </c>
      <c r="AI1094">
        <v>96.373391513580799</v>
      </c>
      <c r="AJ1094">
        <v>74.843508224146206</v>
      </c>
      <c r="AK1094">
        <v>9.9456501772058807</v>
      </c>
    </row>
    <row r="1095" spans="1:37" x14ac:dyDescent="0.2">
      <c r="A1095" t="str">
        <f>"20200111153628909"</f>
        <v>20200111153628909</v>
      </c>
      <c r="B1095" t="str">
        <f>"1578728188903837"</f>
        <v>1578728188903837</v>
      </c>
      <c r="C1095" t="s">
        <v>37</v>
      </c>
      <c r="D1095">
        <v>5.8300739999999998</v>
      </c>
      <c r="E1095">
        <v>0.56838489999999997</v>
      </c>
      <c r="F1095" t="s">
        <v>41</v>
      </c>
      <c r="G1095">
        <v>-206.73929999999999</v>
      </c>
      <c r="H1095" s="1">
        <v>-4.7629520000000003E-6</v>
      </c>
      <c r="I1095">
        <v>365.11610000000002</v>
      </c>
      <c r="J1095">
        <v>-216.50909999999999</v>
      </c>
      <c r="K1095">
        <v>1.1039829999999999</v>
      </c>
      <c r="L1095">
        <v>367.55090000000001</v>
      </c>
      <c r="M1095">
        <v>0.9997125</v>
      </c>
      <c r="N1095">
        <v>0</v>
      </c>
      <c r="O1095">
        <v>1.967696E-2</v>
      </c>
      <c r="P1095">
        <v>0.99416949999999904</v>
      </c>
      <c r="Q1095">
        <v>3.1846439999999997E-2</v>
      </c>
      <c r="R1095">
        <v>-0.103021</v>
      </c>
      <c r="S1095">
        <v>2.9530789999999998</v>
      </c>
      <c r="T1095">
        <v>-0.32893119999999998</v>
      </c>
      <c r="U1095">
        <v>-0.724823</v>
      </c>
      <c r="V1095">
        <v>0.1226693</v>
      </c>
      <c r="W1095">
        <v>4.5165730000000001E-2</v>
      </c>
      <c r="X1095">
        <v>0.9914193</v>
      </c>
      <c r="Y1095">
        <v>0.25582749999999999</v>
      </c>
      <c r="Z1095">
        <v>-1.6152679999999999E-2</v>
      </c>
      <c r="AA1095">
        <v>0.96658750000000004</v>
      </c>
      <c r="AB1095">
        <v>23</v>
      </c>
      <c r="AC1095">
        <v>9.7698</v>
      </c>
      <c r="AD1095">
        <v>-1.1039877629520001</v>
      </c>
      <c r="AE1095">
        <v>-2.4347999999999899</v>
      </c>
      <c r="AF1095">
        <v>2.5953840012782798</v>
      </c>
      <c r="AG1095">
        <v>-1.1039877629520001</v>
      </c>
      <c r="AH1095">
        <v>9.60452553728447</v>
      </c>
      <c r="AI1095">
        <v>96.331894560305798</v>
      </c>
      <c r="AJ1095">
        <v>74.878403897311202</v>
      </c>
      <c r="AK1095">
        <v>10.0100808134194</v>
      </c>
    </row>
    <row r="1096" spans="1:37" x14ac:dyDescent="0.2">
      <c r="A1096" t="str">
        <f>"20200111153628925"</f>
        <v>20200111153628925</v>
      </c>
      <c r="B1096" t="str">
        <f>"1578728188913597"</f>
        <v>1578728188913597</v>
      </c>
      <c r="C1096" t="s">
        <v>37</v>
      </c>
      <c r="D1096">
        <v>5.9116910000000003</v>
      </c>
      <c r="E1096">
        <v>0.60875610000000002</v>
      </c>
      <c r="F1096" t="s">
        <v>41</v>
      </c>
      <c r="G1096">
        <v>-206.7295</v>
      </c>
      <c r="H1096" s="1">
        <v>-4.8350899999999998E-6</v>
      </c>
      <c r="I1096">
        <v>364.77010000000001</v>
      </c>
      <c r="J1096">
        <v>-216.35400000000001</v>
      </c>
      <c r="K1096">
        <v>1.1039369999999999</v>
      </c>
      <c r="L1096">
        <v>367.55279999999999</v>
      </c>
      <c r="M1096">
        <v>0.99973189999999901</v>
      </c>
      <c r="N1096">
        <v>0</v>
      </c>
      <c r="O1096">
        <v>1.8657650000000001E-2</v>
      </c>
      <c r="P1096">
        <v>0.9939732</v>
      </c>
      <c r="Q1096">
        <v>3.3010449999999997E-2</v>
      </c>
      <c r="R1096">
        <v>-0.1045357</v>
      </c>
      <c r="S1096">
        <v>2.9415740000000001</v>
      </c>
      <c r="T1096">
        <v>-0.33206479999999999</v>
      </c>
      <c r="U1096">
        <v>-0.8364258</v>
      </c>
      <c r="V1096">
        <v>0.1231776</v>
      </c>
      <c r="W1096">
        <v>4.6310850000000001E-2</v>
      </c>
      <c r="X1096">
        <v>0.9913035</v>
      </c>
      <c r="Y1096">
        <v>0.28959049999999997</v>
      </c>
      <c r="Z1096">
        <v>-1.8040460000000001E-2</v>
      </c>
      <c r="AA1096">
        <v>0.95698059999999996</v>
      </c>
      <c r="AB1096">
        <v>23</v>
      </c>
      <c r="AC1096">
        <v>9.62450000000001</v>
      </c>
      <c r="AD1096">
        <v>-1.1039418350900001</v>
      </c>
      <c r="AE1096">
        <v>-2.78269999999997</v>
      </c>
      <c r="AF1096">
        <v>2.9262738550973499</v>
      </c>
      <c r="AG1096">
        <v>-1.1039418350900001</v>
      </c>
      <c r="AH1096">
        <v>9.4560905048401391</v>
      </c>
      <c r="AI1096">
        <v>96.3636683617149</v>
      </c>
      <c r="AJ1096">
        <v>72.804838968206496</v>
      </c>
      <c r="AK1096">
        <v>9.9598902547174699</v>
      </c>
    </row>
    <row r="1097" spans="1:37" x14ac:dyDescent="0.2">
      <c r="A1097" t="str">
        <f>"20200111153628940"</f>
        <v>20200111153628940</v>
      </c>
      <c r="B1097" t="str">
        <f>"1578728188933624"</f>
        <v>1578728188933624</v>
      </c>
      <c r="C1097" t="s">
        <v>37</v>
      </c>
      <c r="D1097">
        <v>5.8507800000000003</v>
      </c>
      <c r="E1097">
        <v>0.60837810000000003</v>
      </c>
      <c r="F1097" t="s">
        <v>41</v>
      </c>
      <c r="G1097">
        <v>-206.38910000000001</v>
      </c>
      <c r="H1097" s="1">
        <v>-4.9425349999999996E-6</v>
      </c>
      <c r="I1097">
        <v>363.57040000000001</v>
      </c>
      <c r="J1097">
        <v>-216.1935</v>
      </c>
      <c r="K1097">
        <v>1.1038859999999999</v>
      </c>
      <c r="L1097">
        <v>367.55470000000003</v>
      </c>
      <c r="M1097">
        <v>0.99975210000000003</v>
      </c>
      <c r="N1097">
        <v>0</v>
      </c>
      <c r="O1097">
        <v>1.754294E-2</v>
      </c>
      <c r="P1097">
        <v>0.99377610000000005</v>
      </c>
      <c r="Q1097">
        <v>3.359388E-2</v>
      </c>
      <c r="R1097">
        <v>-0.1062109</v>
      </c>
      <c r="S1097">
        <v>2.9067229999999999</v>
      </c>
      <c r="T1097">
        <v>-0.32201609999999897</v>
      </c>
      <c r="U1097">
        <v>-1.1616519999999999</v>
      </c>
      <c r="V1097">
        <v>0.1237506</v>
      </c>
      <c r="W1097">
        <v>4.687529E-2</v>
      </c>
      <c r="X1097">
        <v>0.99120560000000002</v>
      </c>
      <c r="Y1097">
        <v>0.38521030000000001</v>
      </c>
      <c r="Z1097">
        <v>-2.235937E-2</v>
      </c>
      <c r="AA1097">
        <v>0.92255789999999904</v>
      </c>
      <c r="AB1097">
        <v>23</v>
      </c>
      <c r="AC1097">
        <v>9.8043999999999798</v>
      </c>
      <c r="AD1097">
        <v>-1.1038909425350001</v>
      </c>
      <c r="AE1097">
        <v>-3.9843000000000099</v>
      </c>
      <c r="AF1097">
        <v>4.1109733271127498</v>
      </c>
      <c r="AG1097">
        <v>-1.1038909425350001</v>
      </c>
      <c r="AH1097">
        <v>9.6282323894930393</v>
      </c>
      <c r="AI1097">
        <v>96.019159525446696</v>
      </c>
      <c r="AJ1097">
        <v>66.878936700314796</v>
      </c>
      <c r="AK1097">
        <v>10.5271808123222</v>
      </c>
    </row>
    <row r="1098" spans="1:37" x14ac:dyDescent="0.2">
      <c r="A1098" t="str">
        <f>"20200111153628953"</f>
        <v>20200111153628953</v>
      </c>
      <c r="B1098" t="str">
        <f>"1578728188943383"</f>
        <v>1578728188943383</v>
      </c>
      <c r="C1098" t="s">
        <v>37</v>
      </c>
      <c r="D1098">
        <v>5.7742690000000003</v>
      </c>
      <c r="E1098">
        <v>0.61144089999999995</v>
      </c>
      <c r="F1098" t="s">
        <v>41</v>
      </c>
      <c r="G1098">
        <v>-206.51140000000001</v>
      </c>
      <c r="H1098" s="1">
        <v>-4.9753529999999996E-6</v>
      </c>
      <c r="I1098">
        <v>363.67930000000001</v>
      </c>
      <c r="J1098">
        <v>-216.0616</v>
      </c>
      <c r="K1098">
        <v>1.103844</v>
      </c>
      <c r="L1098">
        <v>367.55590000000001</v>
      </c>
      <c r="M1098">
        <v>0.99976869999999995</v>
      </c>
      <c r="N1098">
        <v>0</v>
      </c>
      <c r="O1098">
        <v>1.6567099999999901E-2</v>
      </c>
      <c r="P1098">
        <v>0.99354920000000002</v>
      </c>
      <c r="Q1098">
        <v>3.4041750000000003E-2</v>
      </c>
      <c r="R1098">
        <v>-0.1081723</v>
      </c>
      <c r="S1098">
        <v>2.9056850000000001</v>
      </c>
      <c r="T1098">
        <v>-0.33128570000000002</v>
      </c>
      <c r="U1098">
        <v>-1.163025</v>
      </c>
      <c r="V1098">
        <v>0.12474589999999899</v>
      </c>
      <c r="W1098">
        <v>4.7306340000000002E-2</v>
      </c>
      <c r="X1098">
        <v>0.99106030000000001</v>
      </c>
      <c r="Y1098">
        <v>0.38468340000000001</v>
      </c>
      <c r="Z1098">
        <v>-2.2869179999999999E-2</v>
      </c>
      <c r="AA1098">
        <v>0.92276530000000001</v>
      </c>
      <c r="AB1098">
        <v>23</v>
      </c>
      <c r="AC1098">
        <v>9.5501999999999896</v>
      </c>
      <c r="AD1098">
        <v>-1.1038489753530001</v>
      </c>
      <c r="AE1098">
        <v>-3.8765999999999901</v>
      </c>
      <c r="AF1098">
        <v>3.9885540981639598</v>
      </c>
      <c r="AG1098">
        <v>-1.1038489753530001</v>
      </c>
      <c r="AH1098">
        <v>9.3771058260027296</v>
      </c>
      <c r="AI1098">
        <v>96.182477832310596</v>
      </c>
      <c r="AJ1098">
        <v>66.957513570419195</v>
      </c>
      <c r="AK1098">
        <v>10.249739510174001</v>
      </c>
    </row>
    <row r="1099" spans="1:37" x14ac:dyDescent="0.2">
      <c r="A1099" t="str">
        <f>"20200111153628970"</f>
        <v>20200111153628970</v>
      </c>
      <c r="B1099" t="str">
        <f>"1578728188963881"</f>
        <v>1578728188963881</v>
      </c>
      <c r="C1099" t="s">
        <v>37</v>
      </c>
      <c r="D1099">
        <v>5.7467230000000002</v>
      </c>
      <c r="E1099">
        <v>0.6143227</v>
      </c>
      <c r="F1099" t="s">
        <v>41</v>
      </c>
      <c r="G1099">
        <v>-205.69309999999999</v>
      </c>
      <c r="H1099" s="1">
        <v>-4.6811430000000001E-6</v>
      </c>
      <c r="I1099">
        <v>363.28699999999998</v>
      </c>
      <c r="J1099">
        <v>-215.89089999999999</v>
      </c>
      <c r="K1099">
        <v>1.1037939999999999</v>
      </c>
      <c r="L1099">
        <v>367.5573</v>
      </c>
      <c r="M1099">
        <v>0.999789699999999</v>
      </c>
      <c r="N1099">
        <v>0</v>
      </c>
      <c r="O1099">
        <v>1.525717E-2</v>
      </c>
      <c r="P1099">
        <v>0.99317219999999995</v>
      </c>
      <c r="Q1099">
        <v>3.4547849999999998E-2</v>
      </c>
      <c r="R1099">
        <v>-0.1114257</v>
      </c>
      <c r="S1099">
        <v>2.900055</v>
      </c>
      <c r="T1099">
        <v>-0.30874429999999897</v>
      </c>
      <c r="U1099">
        <v>-1.194</v>
      </c>
      <c r="V1099">
        <v>0.12670090000000001</v>
      </c>
      <c r="W1099">
        <v>4.7788360000000002E-2</v>
      </c>
      <c r="X1099">
        <v>0.99078920000000004</v>
      </c>
      <c r="Y1099">
        <v>0.39280129999999902</v>
      </c>
      <c r="Z1099">
        <v>-2.1598800000000001E-2</v>
      </c>
      <c r="AA1099">
        <v>0.91936969999999996</v>
      </c>
      <c r="AB1099">
        <v>23</v>
      </c>
      <c r="AC1099">
        <v>10.197800000000001</v>
      </c>
      <c r="AD1099">
        <v>-1.1037986811429901</v>
      </c>
      <c r="AE1099">
        <v>-4.2703000000000202</v>
      </c>
      <c r="AF1099">
        <v>4.3817307639115102</v>
      </c>
      <c r="AG1099">
        <v>-1.1037986811429901</v>
      </c>
      <c r="AH1099">
        <v>10.031462237715701</v>
      </c>
      <c r="AI1099">
        <v>95.757906836815394</v>
      </c>
      <c r="AJ1099">
        <v>66.404351816720194</v>
      </c>
      <c r="AK1099">
        <v>11.0021893567879</v>
      </c>
    </row>
    <row r="1100" spans="1:37" x14ac:dyDescent="0.2">
      <c r="A1100" t="str">
        <f>"20200111153628984"</f>
        <v>20200111153628984</v>
      </c>
      <c r="B1100" t="str">
        <f>"1578728188973640"</f>
        <v>1578728188973640</v>
      </c>
      <c r="C1100" t="s">
        <v>37</v>
      </c>
      <c r="D1100">
        <v>5.7766869999999999</v>
      </c>
      <c r="E1100">
        <v>0.61525289999999999</v>
      </c>
      <c r="F1100" t="s">
        <v>41</v>
      </c>
      <c r="G1100">
        <v>-204.37799999999999</v>
      </c>
      <c r="H1100" s="1">
        <v>-4.1819739999999996E-6</v>
      </c>
      <c r="I1100">
        <v>362.6705</v>
      </c>
      <c r="J1100">
        <v>-215.74930000000001</v>
      </c>
      <c r="K1100">
        <v>1.103748</v>
      </c>
      <c r="L1100">
        <v>367.5582</v>
      </c>
      <c r="M1100">
        <v>0.99980619999999998</v>
      </c>
      <c r="N1100">
        <v>0</v>
      </c>
      <c r="O1100">
        <v>1.412567E-2</v>
      </c>
      <c r="P1100">
        <v>0.992907599999999</v>
      </c>
      <c r="Q1100">
        <v>3.4591230000000001E-2</v>
      </c>
      <c r="R1100">
        <v>-0.1137466</v>
      </c>
      <c r="S1100">
        <v>2.8925320000000001</v>
      </c>
      <c r="T1100">
        <v>-0.27732089999999998</v>
      </c>
      <c r="U1100">
        <v>-1.2277530000000001</v>
      </c>
      <c r="V1100">
        <v>0.12790080000000001</v>
      </c>
      <c r="W1100">
        <v>4.7813120000000001E-2</v>
      </c>
      <c r="X1100">
        <v>0.99063380000000001</v>
      </c>
      <c r="Y1100">
        <v>0.40206140000000001</v>
      </c>
      <c r="Z1100">
        <v>-1.9735369999999999E-2</v>
      </c>
      <c r="AA1100">
        <v>0.91539999999999999</v>
      </c>
      <c r="AB1100">
        <v>23</v>
      </c>
      <c r="AC1100">
        <v>11.3713</v>
      </c>
      <c r="AD1100">
        <v>-1.1037521819739999</v>
      </c>
      <c r="AE1100">
        <v>-4.8876999999999899</v>
      </c>
      <c r="AF1100">
        <v>5.0080289843820998</v>
      </c>
      <c r="AG1100">
        <v>-1.1037521819739999</v>
      </c>
      <c r="AH1100">
        <v>11.2119553191297</v>
      </c>
      <c r="AI1100">
        <v>95.136234712823907</v>
      </c>
      <c r="AJ1100">
        <v>65.931181799980607</v>
      </c>
      <c r="AK1100">
        <v>12.329094259749301</v>
      </c>
    </row>
    <row r="1101" spans="1:37" x14ac:dyDescent="0.2">
      <c r="A1101" t="str">
        <f>"20200111153628999"</f>
        <v>20200111153628999</v>
      </c>
      <c r="B1101" t="str">
        <f>"1578728188994135"</f>
        <v>1578728188994135</v>
      </c>
      <c r="C1101" t="s">
        <v>37</v>
      </c>
      <c r="D1101">
        <v>5.7701229999999999</v>
      </c>
      <c r="E1101">
        <v>0.61679079999999997</v>
      </c>
      <c r="F1101" t="s">
        <v>41</v>
      </c>
      <c r="G1101">
        <v>-203.9127</v>
      </c>
      <c r="H1101" s="1">
        <v>-3.9924589999999998E-6</v>
      </c>
      <c r="I1101">
        <v>362.46929999999998</v>
      </c>
      <c r="J1101">
        <v>-215.59469999999999</v>
      </c>
      <c r="K1101">
        <v>1.103696</v>
      </c>
      <c r="L1101">
        <v>367.55900000000003</v>
      </c>
      <c r="M1101">
        <v>0.99982359999999904</v>
      </c>
      <c r="N1101">
        <v>0</v>
      </c>
      <c r="O1101">
        <v>1.284015E-2</v>
      </c>
      <c r="P1101">
        <v>0.99265300000000001</v>
      </c>
      <c r="Q1101">
        <v>3.4481390000000001E-2</v>
      </c>
      <c r="R1101">
        <v>-0.11598</v>
      </c>
      <c r="S1101">
        <v>2.8885649999999998</v>
      </c>
      <c r="T1101">
        <v>-0.26935540000000002</v>
      </c>
      <c r="U1101">
        <v>-1.2418819999999999</v>
      </c>
      <c r="V1101">
        <v>0.12886149999999999</v>
      </c>
      <c r="W1101">
        <v>4.7684049999999999E-2</v>
      </c>
      <c r="X1101">
        <v>0.99051549999999999</v>
      </c>
      <c r="Y1101">
        <v>0.40520529999999999</v>
      </c>
      <c r="Z1101">
        <v>-1.9202650000000002E-2</v>
      </c>
      <c r="AA1101">
        <v>0.91402410000000001</v>
      </c>
      <c r="AB1101">
        <v>23</v>
      </c>
      <c r="AC1101">
        <v>11.681999999999899</v>
      </c>
      <c r="AD1101">
        <v>-1.1036999924590001</v>
      </c>
      <c r="AE1101">
        <v>-5.0897000000000503</v>
      </c>
      <c r="AF1101">
        <v>5.2002798377152599</v>
      </c>
      <c r="AG1101">
        <v>-1.1036999924590001</v>
      </c>
      <c r="AH1101">
        <v>11.5291845738062</v>
      </c>
      <c r="AI1101">
        <v>94.987264427948205</v>
      </c>
      <c r="AJ1101">
        <v>65.722074896815101</v>
      </c>
      <c r="AK1101">
        <v>12.695793043398</v>
      </c>
    </row>
    <row r="1102" spans="1:37" x14ac:dyDescent="0.2">
      <c r="A1102" t="str">
        <f>"20200111153629013"</f>
        <v>20200111153629013</v>
      </c>
      <c r="B1102" t="str">
        <f>"1578728189003896"</f>
        <v>1578728189003896</v>
      </c>
      <c r="C1102" t="s">
        <v>37</v>
      </c>
      <c r="D1102">
        <v>5.7828669999999898</v>
      </c>
      <c r="E1102">
        <v>0.61736539999999995</v>
      </c>
      <c r="F1102" t="s">
        <v>41</v>
      </c>
      <c r="G1102">
        <v>-203.458</v>
      </c>
      <c r="H1102" s="1">
        <v>-3.8115519999999898E-6</v>
      </c>
      <c r="I1102">
        <v>362.25319999999999</v>
      </c>
      <c r="J1102">
        <v>-215.4477</v>
      </c>
      <c r="K1102">
        <v>1.1036360000000001</v>
      </c>
      <c r="L1102">
        <v>367.55939999999998</v>
      </c>
      <c r="M1102">
        <v>0.99983940000000004</v>
      </c>
      <c r="N1102">
        <v>0</v>
      </c>
      <c r="O1102">
        <v>1.1542480000000001E-2</v>
      </c>
      <c r="P1102">
        <v>0.99224080000000003</v>
      </c>
      <c r="Q1102">
        <v>3.4051049999999999E-2</v>
      </c>
      <c r="R1102">
        <v>-0.1195793</v>
      </c>
      <c r="S1102">
        <v>2.8840029999999999</v>
      </c>
      <c r="T1102">
        <v>-0.26226840000000001</v>
      </c>
      <c r="U1102">
        <v>-1.2608029999999999</v>
      </c>
      <c r="V1102">
        <v>0.13117390000000001</v>
      </c>
      <c r="W1102">
        <v>4.7227280000000003E-2</v>
      </c>
      <c r="X1102">
        <v>0.99023379999999905</v>
      </c>
      <c r="Y1102">
        <v>0.40965489999999999</v>
      </c>
      <c r="Z1102">
        <v>-1.878341E-2</v>
      </c>
      <c r="AA1102">
        <v>0.91204719999999995</v>
      </c>
      <c r="AB1102">
        <v>23</v>
      </c>
      <c r="AC1102">
        <v>11.989699999999999</v>
      </c>
      <c r="AD1102">
        <v>-1.1036398115520001</v>
      </c>
      <c r="AE1102">
        <v>-5.3061999999999898</v>
      </c>
      <c r="AF1102">
        <v>5.4059476845122401</v>
      </c>
      <c r="AG1102">
        <v>-1.1036398115520001</v>
      </c>
      <c r="AH1102">
        <v>11.843732524443899</v>
      </c>
      <c r="AI1102">
        <v>94.845407364210701</v>
      </c>
      <c r="AJ1102">
        <v>65.466169606558097</v>
      </c>
      <c r="AK1102">
        <v>13.065844454603599</v>
      </c>
    </row>
    <row r="1103" spans="1:37" x14ac:dyDescent="0.2">
      <c r="A1103" t="str">
        <f>"20200111153629040"</f>
        <v>20200111153629040</v>
      </c>
      <c r="B1103" t="str">
        <f>"1578728189034151"</f>
        <v>1578728189034151</v>
      </c>
      <c r="C1103" t="s">
        <v>37</v>
      </c>
      <c r="D1103">
        <v>5.7694580000000002</v>
      </c>
      <c r="E1103">
        <v>0.61840580000000001</v>
      </c>
      <c r="F1103" t="s">
        <v>41</v>
      </c>
      <c r="G1103">
        <v>-203.3595</v>
      </c>
      <c r="H1103" s="1">
        <v>-3.7729049999999998E-6</v>
      </c>
      <c r="I1103">
        <v>362.20400000000001</v>
      </c>
      <c r="J1103">
        <v>-215.20830000000001</v>
      </c>
      <c r="K1103">
        <v>1.1035469999999901</v>
      </c>
      <c r="L1103">
        <v>367.55970000000002</v>
      </c>
      <c r="M1103">
        <v>0.99986239999999904</v>
      </c>
      <c r="N1103">
        <v>0</v>
      </c>
      <c r="O1103">
        <v>9.3347450000000002E-3</v>
      </c>
      <c r="P1103">
        <v>0.99176710000000001</v>
      </c>
      <c r="Q1103">
        <v>3.318542E-2</v>
      </c>
      <c r="R1103">
        <v>-0.123679</v>
      </c>
      <c r="S1103">
        <v>2.878784</v>
      </c>
      <c r="T1103">
        <v>-0.26283010000000001</v>
      </c>
      <c r="U1103">
        <v>-1.2753909999999999</v>
      </c>
      <c r="V1103">
        <v>0.13308800000000001</v>
      </c>
      <c r="W1103">
        <v>4.6326569999999997E-2</v>
      </c>
      <c r="X1103">
        <v>0.99002089999999998</v>
      </c>
      <c r="Y1103">
        <v>0.41210959999999902</v>
      </c>
      <c r="Z1103">
        <v>-1.875079E-2</v>
      </c>
      <c r="AA1103">
        <v>0.91094129999999995</v>
      </c>
      <c r="AB1103">
        <v>23</v>
      </c>
      <c r="AC1103">
        <v>11.848800000000001</v>
      </c>
      <c r="AD1103">
        <v>-1.10355077290499</v>
      </c>
      <c r="AE1103">
        <v>-5.3557000000000103</v>
      </c>
      <c r="AF1103">
        <v>5.4269932380026402</v>
      </c>
      <c r="AG1103">
        <v>-1.10355077290499</v>
      </c>
      <c r="AH1103">
        <v>11.7139124254279</v>
      </c>
      <c r="AI1103">
        <v>94.885785472772298</v>
      </c>
      <c r="AJ1103">
        <v>65.141961801507094</v>
      </c>
      <c r="AK1103">
        <v>12.957076222061101</v>
      </c>
    </row>
    <row r="1104" spans="1:37" x14ac:dyDescent="0.2">
      <c r="A1104" t="str">
        <f>"20200111153629053"</f>
        <v>20200111153629053</v>
      </c>
      <c r="B1104" t="str">
        <f>"1578728189043912"</f>
        <v>1578728189043912</v>
      </c>
      <c r="C1104" t="s">
        <v>37</v>
      </c>
      <c r="D1104">
        <v>5.7465089999999996</v>
      </c>
      <c r="E1104">
        <v>0.61868290000000004</v>
      </c>
      <c r="F1104" t="s">
        <v>41</v>
      </c>
      <c r="G1104">
        <v>-203.2012</v>
      </c>
      <c r="H1104" s="1">
        <v>-3.7060589999999999E-6</v>
      </c>
      <c r="I1104">
        <v>362.14609999999999</v>
      </c>
      <c r="J1104">
        <v>-215.0488</v>
      </c>
      <c r="K1104">
        <v>1.1034820000000001</v>
      </c>
      <c r="L1104">
        <v>367.55939999999998</v>
      </c>
      <c r="M1104">
        <v>0.99987579999999998</v>
      </c>
      <c r="N1104">
        <v>0</v>
      </c>
      <c r="O1104">
        <v>7.7581229999999996E-3</v>
      </c>
      <c r="P1104">
        <v>0.99151329999999904</v>
      </c>
      <c r="Q1104">
        <v>3.2459839999999997E-2</v>
      </c>
      <c r="R1104">
        <v>-0.12588940000000001</v>
      </c>
      <c r="S1104">
        <v>2.872223</v>
      </c>
      <c r="T1104">
        <v>-0.26397929999999997</v>
      </c>
      <c r="U1104">
        <v>-1.294983</v>
      </c>
      <c r="V1104">
        <v>0.13373850000000001</v>
      </c>
      <c r="W1104">
        <v>4.55792E-2</v>
      </c>
      <c r="X1104">
        <v>0.98996790000000001</v>
      </c>
      <c r="Y1104">
        <v>0.41659239999999997</v>
      </c>
      <c r="Z1104">
        <v>-1.890476E-2</v>
      </c>
      <c r="AA1104">
        <v>0.908896699999999</v>
      </c>
      <c r="AB1104">
        <v>23</v>
      </c>
      <c r="AC1104">
        <v>11.8476</v>
      </c>
      <c r="AD1104">
        <v>-1.103485706059</v>
      </c>
      <c r="AE1104">
        <v>-5.4132999999999898</v>
      </c>
      <c r="AF1104">
        <v>5.4658337455547299</v>
      </c>
      <c r="AG1104">
        <v>-1.103485706059</v>
      </c>
      <c r="AH1104">
        <v>11.721122435882</v>
      </c>
      <c r="AI1104">
        <v>94.876886314918906</v>
      </c>
      <c r="AJ1104">
        <v>64.999258836533201</v>
      </c>
      <c r="AK1104">
        <v>12.979897164248101</v>
      </c>
    </row>
    <row r="1105" spans="1:37" x14ac:dyDescent="0.2">
      <c r="A1105" t="str">
        <f>"20200111153629071"</f>
        <v>20200111153629071</v>
      </c>
      <c r="B1105" t="str">
        <f>"1578728189063432"</f>
        <v>1578728189063432</v>
      </c>
      <c r="C1105" t="s">
        <v>37</v>
      </c>
      <c r="D1105">
        <v>5.8310240000000002</v>
      </c>
      <c r="E1105">
        <v>0.61921969999999904</v>
      </c>
      <c r="F1105" t="s">
        <v>41</v>
      </c>
      <c r="G1105">
        <v>-203.11779999999999</v>
      </c>
      <c r="H1105" s="1">
        <v>-3.6661949999999998E-6</v>
      </c>
      <c r="I1105">
        <v>362.13659999999999</v>
      </c>
      <c r="J1105">
        <v>-214.8759</v>
      </c>
      <c r="K1105">
        <v>1.103399</v>
      </c>
      <c r="L1105">
        <v>367.55869999999999</v>
      </c>
      <c r="M1105">
        <v>0.9998882</v>
      </c>
      <c r="N1105">
        <v>0</v>
      </c>
      <c r="O1105">
        <v>5.9556089999999997E-3</v>
      </c>
      <c r="P1105">
        <v>0.99112840000000002</v>
      </c>
      <c r="Q1105">
        <v>3.1474469999999997E-2</v>
      </c>
      <c r="R1105">
        <v>-0.12912789999999999</v>
      </c>
      <c r="S1105">
        <v>2.8688349999999998</v>
      </c>
      <c r="T1105">
        <v>-0.26533440000000003</v>
      </c>
      <c r="U1105">
        <v>-1.303925</v>
      </c>
      <c r="V1105">
        <v>0.13519389999999901</v>
      </c>
      <c r="W1105">
        <v>4.4562659999999997E-2</v>
      </c>
      <c r="X1105">
        <v>0.98981649999999999</v>
      </c>
      <c r="Y1105">
        <v>0.4176938</v>
      </c>
      <c r="Z1105">
        <v>-1.889996E-2</v>
      </c>
      <c r="AA1105">
        <v>0.90839119999999995</v>
      </c>
      <c r="AB1105">
        <v>23</v>
      </c>
      <c r="AC1105">
        <v>11.758100000000001</v>
      </c>
      <c r="AD1105">
        <v>-1.103402666195</v>
      </c>
      <c r="AE1105">
        <v>-5.4221000000000004</v>
      </c>
      <c r="AF1105">
        <v>5.4524411675727098</v>
      </c>
      <c r="AG1105">
        <v>-1.103402666195</v>
      </c>
      <c r="AH1105">
        <v>11.6410585644684</v>
      </c>
      <c r="AI1105">
        <v>94.906043905368307</v>
      </c>
      <c r="AJ1105">
        <v>64.902539362364493</v>
      </c>
      <c r="AK1105">
        <v>12.9019710366669</v>
      </c>
    </row>
    <row r="1106" spans="1:37" x14ac:dyDescent="0.2">
      <c r="A1106" t="str">
        <f>"20200111153629085"</f>
        <v>20200111153629085</v>
      </c>
      <c r="B1106" t="str">
        <f>"1578728189083928"</f>
        <v>1578728189083928</v>
      </c>
      <c r="C1106" t="s">
        <v>37</v>
      </c>
      <c r="D1106">
        <v>5.8094910000000004</v>
      </c>
      <c r="E1106">
        <v>0.61959580000000003</v>
      </c>
      <c r="F1106" t="s">
        <v>41</v>
      </c>
      <c r="G1106">
        <v>-202.97329999999999</v>
      </c>
      <c r="H1106" s="1">
        <v>-3.6051699999999998E-6</v>
      </c>
      <c r="I1106">
        <v>362.08390000000003</v>
      </c>
      <c r="J1106">
        <v>-214.71780000000001</v>
      </c>
      <c r="K1106">
        <v>1.103321</v>
      </c>
      <c r="L1106">
        <v>367.55779999999999</v>
      </c>
      <c r="M1106">
        <v>0.99989709999999998</v>
      </c>
      <c r="N1106">
        <v>0</v>
      </c>
      <c r="O1106">
        <v>4.2154879999999999E-3</v>
      </c>
      <c r="P1106">
        <v>0.9908264</v>
      </c>
      <c r="Q1106">
        <v>3.1159949999999999E-2</v>
      </c>
      <c r="R1106">
        <v>-0.131500799999999</v>
      </c>
      <c r="S1106">
        <v>2.86367799999999</v>
      </c>
      <c r="T1106">
        <v>-0.26547029999999999</v>
      </c>
      <c r="U1106">
        <v>-1.3171999999999999</v>
      </c>
      <c r="V1106">
        <v>0.13584869999999999</v>
      </c>
      <c r="W1106">
        <v>4.4221580000000003E-2</v>
      </c>
      <c r="X1106">
        <v>0.98974219999999902</v>
      </c>
      <c r="Y1106">
        <v>0.42020459999999898</v>
      </c>
      <c r="Z1106">
        <v>-1.888039E-2</v>
      </c>
      <c r="AA1106">
        <v>0.90723290000000001</v>
      </c>
      <c r="AB1106">
        <v>23</v>
      </c>
      <c r="AC1106">
        <v>11.7445</v>
      </c>
      <c r="AD1106">
        <v>-1.1033246051700001</v>
      </c>
      <c r="AE1106">
        <v>-5.4738999999999596</v>
      </c>
      <c r="AF1106">
        <v>5.4836062801266596</v>
      </c>
      <c r="AG1106">
        <v>-1.1033246051700001</v>
      </c>
      <c r="AH1106">
        <v>11.6369453892192</v>
      </c>
      <c r="AI1106">
        <v>94.902082389783303</v>
      </c>
      <c r="AJ1106">
        <v>64.769068032397797</v>
      </c>
      <c r="AK1106">
        <v>12.911458516042501</v>
      </c>
    </row>
    <row r="1107" spans="1:37" x14ac:dyDescent="0.2">
      <c r="A1107" t="str">
        <f>"20200111153629099"</f>
        <v>20200111153629099</v>
      </c>
      <c r="B1107" t="str">
        <f>"1578728189093688"</f>
        <v>1578728189093688</v>
      </c>
      <c r="C1107" t="s">
        <v>37</v>
      </c>
      <c r="D1107">
        <v>5.7861139999999898</v>
      </c>
      <c r="E1107">
        <v>0.61979569999999995</v>
      </c>
      <c r="F1107" t="s">
        <v>41</v>
      </c>
      <c r="G1107">
        <v>-202.7619</v>
      </c>
      <c r="H1107" s="1">
        <v>-3.5153329999999999E-6</v>
      </c>
      <c r="I1107">
        <v>362.0093</v>
      </c>
      <c r="J1107">
        <v>-214.58359999999999</v>
      </c>
      <c r="K1107">
        <v>1.1032519999999999</v>
      </c>
      <c r="L1107">
        <v>367.55669999999998</v>
      </c>
      <c r="M1107">
        <v>0.99990219999999896</v>
      </c>
      <c r="N1107">
        <v>0</v>
      </c>
      <c r="O1107">
        <v>2.6819959999999999E-3</v>
      </c>
      <c r="P1107">
        <v>0.99054010000000003</v>
      </c>
      <c r="Q1107">
        <v>3.1006120000000002E-2</v>
      </c>
      <c r="R1107">
        <v>-0.13367560000000001</v>
      </c>
      <c r="S1107">
        <v>2.8599239999999999</v>
      </c>
      <c r="T1107">
        <v>-0.2639225</v>
      </c>
      <c r="U1107">
        <v>-1.32724</v>
      </c>
      <c r="V1107">
        <v>0.13651060000000001</v>
      </c>
      <c r="W1107">
        <v>4.4043899999999997E-2</v>
      </c>
      <c r="X1107">
        <v>0.98965899999999996</v>
      </c>
      <c r="Y1107">
        <v>0.42190559999999899</v>
      </c>
      <c r="Z1107">
        <v>-1.8720000000000001E-2</v>
      </c>
      <c r="AA1107">
        <v>0.90644650000000004</v>
      </c>
      <c r="AB1107">
        <v>22</v>
      </c>
      <c r="AC1107">
        <v>11.8216999999999</v>
      </c>
      <c r="AD1107">
        <v>-1.1032555153329999</v>
      </c>
      <c r="AE1107">
        <v>-5.5473999999999801</v>
      </c>
      <c r="AF1107">
        <v>5.5395488986277996</v>
      </c>
      <c r="AG1107">
        <v>-1.1032555153329999</v>
      </c>
      <c r="AH1107">
        <v>11.723101464073499</v>
      </c>
      <c r="AI1107">
        <v>94.863480543477195</v>
      </c>
      <c r="AJ1107">
        <v>64.707733555232096</v>
      </c>
      <c r="AK1107">
        <v>13.0128737283263</v>
      </c>
    </row>
    <row r="1108" spans="1:37" x14ac:dyDescent="0.2">
      <c r="A1108" t="str">
        <f>"20200111153629115"</f>
        <v>20200111153629115</v>
      </c>
      <c r="B1108" t="str">
        <f>"1578728189103447"</f>
        <v>1578728189103447</v>
      </c>
      <c r="C1108" t="s">
        <v>37</v>
      </c>
      <c r="D1108">
        <v>5.7718829999999999</v>
      </c>
      <c r="E1108">
        <v>0.61993129999999996</v>
      </c>
      <c r="F1108" t="s">
        <v>41</v>
      </c>
      <c r="G1108">
        <v>-202.62970000000001</v>
      </c>
      <c r="H1108" s="1">
        <v>-3.4572129999999998E-6</v>
      </c>
      <c r="I1108">
        <v>361.97149999999999</v>
      </c>
      <c r="J1108">
        <v>-214.42429999999999</v>
      </c>
      <c r="K1108">
        <v>1.1031679999999999</v>
      </c>
      <c r="L1108">
        <v>367.55500000000001</v>
      </c>
      <c r="M1108">
        <v>0.99990559999999995</v>
      </c>
      <c r="N1108">
        <v>0</v>
      </c>
      <c r="O1108">
        <v>7.4831149999999896E-4</v>
      </c>
      <c r="P1108">
        <v>0.99013469999999904</v>
      </c>
      <c r="Q1108">
        <v>3.0991439999999999E-2</v>
      </c>
      <c r="R1108">
        <v>-0.13665039999999901</v>
      </c>
      <c r="S1108">
        <v>2.8567499999999999</v>
      </c>
      <c r="T1108">
        <v>-0.26365759999999899</v>
      </c>
      <c r="U1108">
        <v>-1.334778</v>
      </c>
      <c r="V1108">
        <v>0.1375787</v>
      </c>
      <c r="W1108">
        <v>4.3998639999999999E-2</v>
      </c>
      <c r="X1108">
        <v>0.98951309999999904</v>
      </c>
      <c r="Y1108">
        <v>0.422510099999999</v>
      </c>
      <c r="Z1108">
        <v>-1.856727E-2</v>
      </c>
      <c r="AA1108">
        <v>0.90616799999999997</v>
      </c>
      <c r="AB1108">
        <v>22</v>
      </c>
      <c r="AC1108">
        <v>11.7945999999999</v>
      </c>
      <c r="AD1108">
        <v>-1.103171457213</v>
      </c>
      <c r="AE1108">
        <v>-5.5835000000000097</v>
      </c>
      <c r="AF1108">
        <v>5.5526425712616296</v>
      </c>
      <c r="AG1108">
        <v>-1.103171457213</v>
      </c>
      <c r="AH1108">
        <v>11.706754163187499</v>
      </c>
      <c r="AI1108">
        <v>94.866537963810998</v>
      </c>
      <c r="AJ1108">
        <v>64.624498821962703</v>
      </c>
      <c r="AK1108">
        <v>13.003727151301799</v>
      </c>
    </row>
    <row r="1109" spans="1:37" x14ac:dyDescent="0.2">
      <c r="A1109" t="str">
        <f>"20200111153629137"</f>
        <v>20200111153629137</v>
      </c>
      <c r="B1109" t="str">
        <f>"1578728189133703"</f>
        <v>1578728189133703</v>
      </c>
      <c r="C1109" t="s">
        <v>37</v>
      </c>
      <c r="D1109">
        <v>5.9498430000000004</v>
      </c>
      <c r="E1109">
        <v>0.61840450000000002</v>
      </c>
      <c r="F1109" t="s">
        <v>41</v>
      </c>
      <c r="G1109">
        <v>-202.41059999999999</v>
      </c>
      <c r="H1109" s="1">
        <v>-3.3645359999999999E-6</v>
      </c>
      <c r="I1109">
        <v>361.89210000000003</v>
      </c>
      <c r="J1109">
        <v>-214.2073</v>
      </c>
      <c r="K1109">
        <v>1.103065</v>
      </c>
      <c r="L1109">
        <v>367.551999999999</v>
      </c>
      <c r="M1109">
        <v>0.99990369999999995</v>
      </c>
      <c r="N1109">
        <v>0</v>
      </c>
      <c r="O1109">
        <v>-2.0123379999999998E-3</v>
      </c>
      <c r="P1109">
        <v>0.98962340000000004</v>
      </c>
      <c r="Q1109">
        <v>3.1778540000000001E-2</v>
      </c>
      <c r="R1109">
        <v>-0.14012739999999901</v>
      </c>
      <c r="S1109">
        <v>2.852509</v>
      </c>
      <c r="T1109">
        <v>-0.2619339</v>
      </c>
      <c r="U1109">
        <v>-1.3445739999999999</v>
      </c>
      <c r="V1109">
        <v>0.13833779999999901</v>
      </c>
      <c r="W1109">
        <v>4.4749869999999997E-2</v>
      </c>
      <c r="X1109">
        <v>0.98937359999999896</v>
      </c>
      <c r="Y1109">
        <v>0.42310150000000002</v>
      </c>
      <c r="Z1109">
        <v>-1.824373E-2</v>
      </c>
      <c r="AA1109">
        <v>0.905898599999999</v>
      </c>
      <c r="AB1109">
        <v>22</v>
      </c>
      <c r="AC1109">
        <v>11.7967</v>
      </c>
      <c r="AD1109">
        <v>-1.103068364536</v>
      </c>
      <c r="AE1109">
        <v>-5.6598999999999302</v>
      </c>
      <c r="AF1109">
        <v>5.5963717936397304</v>
      </c>
      <c r="AG1109">
        <v>-1.103068364536</v>
      </c>
      <c r="AH1109">
        <v>11.7247346347804</v>
      </c>
      <c r="AI1109">
        <v>94.853029646409396</v>
      </c>
      <c r="AJ1109">
        <v>64.484236189482701</v>
      </c>
      <c r="AK1109">
        <v>13.0386172321112</v>
      </c>
    </row>
    <row r="1110" spans="1:37" x14ac:dyDescent="0.2">
      <c r="A1110" t="str">
        <f>"20200111153629151"</f>
        <v>20200111153629151</v>
      </c>
      <c r="B1110" t="str">
        <f>"1578728189143463"</f>
        <v>1578728189143463</v>
      </c>
      <c r="C1110" t="s">
        <v>37</v>
      </c>
      <c r="D1110">
        <v>6.045096</v>
      </c>
      <c r="E1110">
        <v>0.61786049999999904</v>
      </c>
      <c r="F1110" t="s">
        <v>41</v>
      </c>
      <c r="G1110">
        <v>-202.20480000000001</v>
      </c>
      <c r="H1110" s="1">
        <v>-3.2597479999999999E-6</v>
      </c>
      <c r="I1110">
        <v>361.89769999999999</v>
      </c>
      <c r="J1110">
        <v>-214.06229999999999</v>
      </c>
      <c r="K1110">
        <v>1.1029959999999901</v>
      </c>
      <c r="L1110">
        <v>367.54950000000002</v>
      </c>
      <c r="M1110">
        <v>0.99989779999999995</v>
      </c>
      <c r="N1110">
        <v>0</v>
      </c>
      <c r="O1110">
        <v>-3.9716359999999997E-3</v>
      </c>
      <c r="P1110">
        <v>0.98931389999999997</v>
      </c>
      <c r="Q1110">
        <v>3.2067390000000001E-2</v>
      </c>
      <c r="R1110">
        <v>-0.14223089999999999</v>
      </c>
      <c r="S1110">
        <v>2.8497469999999998</v>
      </c>
      <c r="T1110">
        <v>-0.26190089999999999</v>
      </c>
      <c r="U1110">
        <v>-1.3424989999999899</v>
      </c>
      <c r="V1110">
        <v>0.13851179999999999</v>
      </c>
      <c r="W1110">
        <v>4.501616E-2</v>
      </c>
      <c r="X1110">
        <v>0.98933709999999997</v>
      </c>
      <c r="Y1110">
        <v>0.42113640000000002</v>
      </c>
      <c r="Z1110">
        <v>-1.8003729999999999E-2</v>
      </c>
      <c r="AA1110">
        <v>0.90681859999999903</v>
      </c>
      <c r="AB1110">
        <v>22</v>
      </c>
      <c r="AC1110">
        <v>11.8574999999999</v>
      </c>
      <c r="AD1110">
        <v>-1.1029992597479901</v>
      </c>
      <c r="AE1110">
        <v>-5.6518000000000299</v>
      </c>
      <c r="AF1110">
        <v>5.5654153750890503</v>
      </c>
      <c r="AG1110">
        <v>-1.1029992597479901</v>
      </c>
      <c r="AH1110">
        <v>11.796676720297601</v>
      </c>
      <c r="AI1110">
        <v>94.833575190754701</v>
      </c>
      <c r="AJ1110">
        <v>64.743081382548596</v>
      </c>
      <c r="AK1110">
        <v>13.090150392852401</v>
      </c>
    </row>
    <row r="1111" spans="1:37" x14ac:dyDescent="0.2">
      <c r="A1111" t="str">
        <f>"20200111153629164"</f>
        <v>20200111153629164</v>
      </c>
      <c r="B1111" t="str">
        <f>"1578728189154200"</f>
        <v>1578728189154200</v>
      </c>
      <c r="C1111" t="s">
        <v>37</v>
      </c>
      <c r="D1111">
        <v>5.9086999999999996</v>
      </c>
      <c r="E1111">
        <v>0.61749849999999995</v>
      </c>
      <c r="F1111" t="s">
        <v>41</v>
      </c>
      <c r="G1111">
        <v>-202.0883</v>
      </c>
      <c r="H1111" s="1">
        <v>-3.2012520000000001E-6</v>
      </c>
      <c r="I1111">
        <v>361.89699999999999</v>
      </c>
      <c r="J1111">
        <v>-213.93</v>
      </c>
      <c r="K1111">
        <v>1.102924</v>
      </c>
      <c r="L1111">
        <v>367.546999999999</v>
      </c>
      <c r="M1111">
        <v>0.99988860000000002</v>
      </c>
      <c r="N1111">
        <v>0</v>
      </c>
      <c r="O1111">
        <v>-5.8205660000000001E-3</v>
      </c>
      <c r="P1111">
        <v>0.98900350000000004</v>
      </c>
      <c r="Q1111">
        <v>3.2404420000000003E-2</v>
      </c>
      <c r="R1111">
        <v>-0.1442986</v>
      </c>
      <c r="S1111">
        <v>2.847626</v>
      </c>
      <c r="T1111">
        <v>-0.26231139999999997</v>
      </c>
      <c r="U1111">
        <v>-1.3442689999999999</v>
      </c>
      <c r="V1111">
        <v>0.1387591</v>
      </c>
      <c r="W1111">
        <v>4.5332450000000003E-2</v>
      </c>
      <c r="X1111">
        <v>0.989288099999999</v>
      </c>
      <c r="Y1111">
        <v>0.4201857</v>
      </c>
      <c r="Z1111">
        <v>-1.783879E-2</v>
      </c>
      <c r="AA1111">
        <v>0.90726280000000004</v>
      </c>
      <c r="AB1111">
        <v>22</v>
      </c>
      <c r="AC1111">
        <v>11.841699999999999</v>
      </c>
      <c r="AD1111">
        <v>-1.1029272012519999</v>
      </c>
      <c r="AE1111">
        <v>-5.6499999999999702</v>
      </c>
      <c r="AF1111">
        <v>5.5418123704532496</v>
      </c>
      <c r="AG1111">
        <v>-1.1029272012519999</v>
      </c>
      <c r="AH1111">
        <v>11.7910696791724</v>
      </c>
      <c r="AI1111">
        <v>94.838846462575603</v>
      </c>
      <c r="AJ1111">
        <v>64.826437182385803</v>
      </c>
      <c r="AK1111">
        <v>13.0750700548666</v>
      </c>
    </row>
    <row r="1112" spans="1:37" x14ac:dyDescent="0.2">
      <c r="A1112" t="str">
        <f>"20200111153629182"</f>
        <v>20200111153629182</v>
      </c>
      <c r="B1112" t="str">
        <f>"1578728189173719"</f>
        <v>1578728189173719</v>
      </c>
      <c r="C1112" t="s">
        <v>37</v>
      </c>
      <c r="D1112">
        <v>5.7648330000000003</v>
      </c>
      <c r="E1112">
        <v>0.61801919999999899</v>
      </c>
      <c r="F1112" t="s">
        <v>41</v>
      </c>
      <c r="G1112">
        <v>-201.91399999999999</v>
      </c>
      <c r="H1112" s="1">
        <v>-3.1223269999999998E-6</v>
      </c>
      <c r="I1112">
        <v>361.85739999999998</v>
      </c>
      <c r="J1112">
        <v>-213.75280000000001</v>
      </c>
      <c r="K1112">
        <v>1.1028370000000001</v>
      </c>
      <c r="L1112">
        <v>367.54320000000001</v>
      </c>
      <c r="M1112">
        <v>0.99987029999999999</v>
      </c>
      <c r="N1112">
        <v>0</v>
      </c>
      <c r="O1112">
        <v>-8.406518E-3</v>
      </c>
      <c r="P1112">
        <v>0.98867680000000002</v>
      </c>
      <c r="Q1112">
        <v>3.2567779999999998E-2</v>
      </c>
      <c r="R1112">
        <v>-0.146484</v>
      </c>
      <c r="S1112">
        <v>2.8453520000000001</v>
      </c>
      <c r="T1112">
        <v>-0.26117010000000002</v>
      </c>
      <c r="U1112">
        <v>-1.3472899999999901</v>
      </c>
      <c r="V1112">
        <v>0.13839779999999999</v>
      </c>
      <c r="W1112">
        <v>4.5472980000000003E-2</v>
      </c>
      <c r="X1112">
        <v>0.98933219999999999</v>
      </c>
      <c r="Y1112">
        <v>0.41893199999999903</v>
      </c>
      <c r="Z1112">
        <v>-1.7491099999999999E-2</v>
      </c>
      <c r="AA1112">
        <v>0.90784909999999996</v>
      </c>
      <c r="AB1112">
        <v>22</v>
      </c>
      <c r="AC1112">
        <v>11.8387999999999</v>
      </c>
      <c r="AD1112">
        <v>-1.1028401223269999</v>
      </c>
      <c r="AE1112">
        <v>-5.6858000000000199</v>
      </c>
      <c r="AF1112">
        <v>5.5469530463402199</v>
      </c>
      <c r="AG1112">
        <v>-1.1028401223269999</v>
      </c>
      <c r="AH1112">
        <v>11.8029570570044</v>
      </c>
      <c r="AI1112">
        <v>94.833686304864798</v>
      </c>
      <c r="AJ1112">
        <v>64.828212120862204</v>
      </c>
      <c r="AK1112">
        <v>13.0879616336238</v>
      </c>
    </row>
    <row r="1113" spans="1:37" x14ac:dyDescent="0.2">
      <c r="A1113" t="str">
        <f>"20200111153629196"</f>
        <v>20200111153629196</v>
      </c>
      <c r="B1113" t="str">
        <f>"1578728189183479"</f>
        <v>1578728189183479</v>
      </c>
      <c r="C1113" t="s">
        <v>37</v>
      </c>
      <c r="D1113">
        <v>6.2426500000000003</v>
      </c>
      <c r="E1113">
        <v>0.617623699999999</v>
      </c>
      <c r="F1113" t="s">
        <v>41</v>
      </c>
      <c r="G1113">
        <v>-201.5856</v>
      </c>
      <c r="H1113" s="1">
        <v>-2.9858749999999899E-6</v>
      </c>
      <c r="I1113">
        <v>361.72739999999999</v>
      </c>
      <c r="J1113">
        <v>-213.61080000000001</v>
      </c>
      <c r="K1113">
        <v>1.102768</v>
      </c>
      <c r="L1113">
        <v>367.53960000000001</v>
      </c>
      <c r="M1113">
        <v>0.99984959999999901</v>
      </c>
      <c r="N1113">
        <v>0</v>
      </c>
      <c r="O1113">
        <v>-1.057047E-2</v>
      </c>
      <c r="P1113">
        <v>0.98835869999999904</v>
      </c>
      <c r="Q1113">
        <v>3.26824E-2</v>
      </c>
      <c r="R1113">
        <v>-0.14858949999999899</v>
      </c>
      <c r="S1113">
        <v>2.8416139999999999</v>
      </c>
      <c r="T1113">
        <v>-0.25756479999999998</v>
      </c>
      <c r="U1113">
        <v>-1.3582459999999901</v>
      </c>
      <c r="V1113">
        <v>0.1383723</v>
      </c>
      <c r="W1113">
        <v>4.5567290000000003E-2</v>
      </c>
      <c r="X1113">
        <v>0.98933150000000003</v>
      </c>
      <c r="Y1113">
        <v>0.42032409999999998</v>
      </c>
      <c r="Z1113">
        <v>-1.7131629999999998E-2</v>
      </c>
      <c r="AA1113">
        <v>0.90721229999999997</v>
      </c>
      <c r="AB1113">
        <v>22</v>
      </c>
      <c r="AC1113">
        <v>12.0252</v>
      </c>
      <c r="AD1113">
        <v>-1.1027709858750001</v>
      </c>
      <c r="AE1113">
        <v>-5.8122000000000096</v>
      </c>
      <c r="AF1113">
        <v>5.6462594010926397</v>
      </c>
      <c r="AG1113">
        <v>-1.1027709858750001</v>
      </c>
      <c r="AH1113">
        <v>12.0041367093723</v>
      </c>
      <c r="AI1113">
        <v>94.752033115474703</v>
      </c>
      <c r="AJ1113">
        <v>64.809608113581305</v>
      </c>
      <c r="AK1113">
        <v>13.3114855372725</v>
      </c>
    </row>
    <row r="1114" spans="1:37" x14ac:dyDescent="0.2">
      <c r="A1114" t="str">
        <f>"20200111153629209"</f>
        <v>20200111153629209</v>
      </c>
      <c r="B1114" t="str">
        <f>"1578728189203975"</f>
        <v>1578728189203975</v>
      </c>
      <c r="C1114" t="s">
        <v>37</v>
      </c>
      <c r="D1114">
        <v>6.2398809999999996</v>
      </c>
      <c r="E1114">
        <v>0.61678500000000003</v>
      </c>
      <c r="F1114" t="s">
        <v>41</v>
      </c>
      <c r="G1114">
        <v>-201.50389999999999</v>
      </c>
      <c r="H1114" s="1">
        <v>-2.942993E-6</v>
      </c>
      <c r="I1114">
        <v>361.73540000000003</v>
      </c>
      <c r="J1114">
        <v>-213.4794</v>
      </c>
      <c r="K1114">
        <v>1.102706</v>
      </c>
      <c r="L1114">
        <v>367.53590000000003</v>
      </c>
      <c r="M1114">
        <v>0.99982549999999903</v>
      </c>
      <c r="N1114">
        <v>0</v>
      </c>
      <c r="O1114">
        <v>-1.2641380000000001E-2</v>
      </c>
      <c r="P1114">
        <v>0.98802919999999905</v>
      </c>
      <c r="Q1114">
        <v>3.3104439999999999E-2</v>
      </c>
      <c r="R1114">
        <v>-0.1506721</v>
      </c>
      <c r="S1114">
        <v>2.839264</v>
      </c>
      <c r="T1114">
        <v>-0.25861679999999998</v>
      </c>
      <c r="U1114">
        <v>-1.3611759999999999</v>
      </c>
      <c r="V1114">
        <v>0.13841789999999901</v>
      </c>
      <c r="W1114">
        <v>4.597122E-2</v>
      </c>
      <c r="X1114">
        <v>0.98930640000000003</v>
      </c>
      <c r="Y1114">
        <v>0.41949700000000001</v>
      </c>
      <c r="Z1114">
        <v>-1.6996540000000001E-2</v>
      </c>
      <c r="AA1114">
        <v>0.9075976</v>
      </c>
      <c r="AB1114">
        <v>22</v>
      </c>
      <c r="AC1114">
        <v>11.9755</v>
      </c>
      <c r="AD1114">
        <v>-1.1027089429929999</v>
      </c>
      <c r="AE1114">
        <v>-5.8005000000000004</v>
      </c>
      <c r="AF1114">
        <v>5.6101072579408697</v>
      </c>
      <c r="AG1114">
        <v>-1.1027089429929999</v>
      </c>
      <c r="AH1114">
        <v>11.965700477728401</v>
      </c>
      <c r="AI1114">
        <v>94.769718698729307</v>
      </c>
      <c r="AJ1114">
        <v>64.880512659592497</v>
      </c>
      <c r="AK1114">
        <v>13.2614953297608</v>
      </c>
    </row>
    <row r="1115" spans="1:37" x14ac:dyDescent="0.2">
      <c r="A1115" t="str">
        <f>"20200111153629222"</f>
        <v>20200111153629222</v>
      </c>
      <c r="B1115" t="str">
        <f>"1578728189213735"</f>
        <v>1578728189213735</v>
      </c>
      <c r="C1115" t="s">
        <v>37</v>
      </c>
      <c r="D1115">
        <v>5.9290599999999998</v>
      </c>
      <c r="E1115">
        <v>0.61688240000000005</v>
      </c>
      <c r="F1115" t="s">
        <v>41</v>
      </c>
      <c r="G1115">
        <v>-201.38390000000001</v>
      </c>
      <c r="H1115" s="1">
        <v>-2.8820710000000002E-6</v>
      </c>
      <c r="I1115">
        <v>361.73779999999999</v>
      </c>
      <c r="J1115">
        <v>-213.3449</v>
      </c>
      <c r="K1115">
        <v>1.102641</v>
      </c>
      <c r="L1115">
        <v>367.53190000000001</v>
      </c>
      <c r="M1115">
        <v>0.99979569999999995</v>
      </c>
      <c r="N1115">
        <v>0</v>
      </c>
      <c r="O1115">
        <v>-1.4809839999999999E-2</v>
      </c>
      <c r="P1115">
        <v>0.9876064</v>
      </c>
      <c r="Q1115">
        <v>3.3934789999999999E-2</v>
      </c>
      <c r="R1115">
        <v>-0.1532395</v>
      </c>
      <c r="S1115">
        <v>2.8376009999999998</v>
      </c>
      <c r="T1115">
        <v>-0.25869379999999997</v>
      </c>
      <c r="U1115">
        <v>-1.3602289999999999</v>
      </c>
      <c r="V1115">
        <v>0.1388556</v>
      </c>
      <c r="W1115">
        <v>4.6780500000000003E-2</v>
      </c>
      <c r="X1115">
        <v>0.98920710000000001</v>
      </c>
      <c r="Y1115">
        <v>0.41750179999999998</v>
      </c>
      <c r="Z1115">
        <v>-1.6738739999999998E-2</v>
      </c>
      <c r="AA1115">
        <v>0.90852189999999999</v>
      </c>
      <c r="AB1115">
        <v>22</v>
      </c>
      <c r="AC1115">
        <v>11.960999999999901</v>
      </c>
      <c r="AD1115">
        <v>-1.1026438820710001</v>
      </c>
      <c r="AE1115">
        <v>-5.79410000000001</v>
      </c>
      <c r="AF1115">
        <v>5.57791343862967</v>
      </c>
      <c r="AG1115">
        <v>-1.1026438820710001</v>
      </c>
      <c r="AH1115">
        <v>11.9631612936402</v>
      </c>
      <c r="AI1115">
        <v>94.775170034270303</v>
      </c>
      <c r="AJ1115">
        <v>65.002361545678099</v>
      </c>
      <c r="AK1115">
        <v>13.245609461144699</v>
      </c>
    </row>
    <row r="1116" spans="1:37" x14ac:dyDescent="0.2">
      <c r="A1116" t="str">
        <f>"20200111153629237"</f>
        <v>20200111153629237</v>
      </c>
      <c r="B1116" t="str">
        <f>"1578728189234232"</f>
        <v>1578728189234232</v>
      </c>
      <c r="C1116" t="s">
        <v>37</v>
      </c>
      <c r="D1116">
        <v>5.9548540000000001</v>
      </c>
      <c r="E1116">
        <v>0.61610949999999998</v>
      </c>
      <c r="F1116" t="s">
        <v>41</v>
      </c>
      <c r="G1116">
        <v>-201.05369999999999</v>
      </c>
      <c r="H1116" s="1">
        <v>-2.747318E-6</v>
      </c>
      <c r="I1116">
        <v>361.59629999999999</v>
      </c>
      <c r="J1116">
        <v>-213.2</v>
      </c>
      <c r="K1116">
        <v>1.102582</v>
      </c>
      <c r="L1116">
        <v>367.52710000000002</v>
      </c>
      <c r="M1116">
        <v>0.99975689999999995</v>
      </c>
      <c r="N1116">
        <v>0</v>
      </c>
      <c r="O1116">
        <v>-1.7226869999999998E-2</v>
      </c>
      <c r="P1116">
        <v>0.98705739999999997</v>
      </c>
      <c r="Q1116">
        <v>3.53529E-2</v>
      </c>
      <c r="R1116">
        <v>-0.15642129999999899</v>
      </c>
      <c r="S1116">
        <v>2.834015</v>
      </c>
      <c r="T1116">
        <v>-0.25424009999999903</v>
      </c>
      <c r="U1116">
        <v>-1.3685909999999999</v>
      </c>
      <c r="V1116">
        <v>0.1396694</v>
      </c>
      <c r="W1116">
        <v>4.817225E-2</v>
      </c>
      <c r="X1116">
        <v>0.98902570000000001</v>
      </c>
      <c r="Y1116">
        <v>0.41798249999999998</v>
      </c>
      <c r="Z1116">
        <v>-1.6275979999999999E-2</v>
      </c>
      <c r="AA1116">
        <v>0.90830929999999999</v>
      </c>
      <c r="AB1116">
        <v>22</v>
      </c>
      <c r="AC1116">
        <v>12.146299999999901</v>
      </c>
      <c r="AD1116">
        <v>-1.1025847473179999</v>
      </c>
      <c r="AE1116">
        <v>-5.9308000000000298</v>
      </c>
      <c r="AF1116">
        <v>5.6828447645112901</v>
      </c>
      <c r="AG1116">
        <v>-1.1025847473179999</v>
      </c>
      <c r="AH1116">
        <v>12.165727879318901</v>
      </c>
      <c r="AI1116">
        <v>94.694225028978295</v>
      </c>
      <c r="AJ1116">
        <v>64.9618199663377</v>
      </c>
      <c r="AK1116">
        <v>13.4727633608028</v>
      </c>
    </row>
    <row r="1117" spans="1:37" x14ac:dyDescent="0.2">
      <c r="A1117" t="str">
        <f>"20200111153629253"</f>
        <v>20200111153629253</v>
      </c>
      <c r="B1117" t="str">
        <f>"1578728189243991"</f>
        <v>1578728189243991</v>
      </c>
      <c r="C1117" t="s">
        <v>37</v>
      </c>
      <c r="D1117">
        <v>5.942069</v>
      </c>
      <c r="E1117">
        <v>0.61608229999999997</v>
      </c>
      <c r="F1117" t="s">
        <v>41</v>
      </c>
      <c r="G1117">
        <v>-200.9975</v>
      </c>
      <c r="H1117" s="1">
        <v>-2.7139669999999999E-6</v>
      </c>
      <c r="I1117">
        <v>361.61509999999998</v>
      </c>
      <c r="J1117">
        <v>-213.042</v>
      </c>
      <c r="K1117">
        <v>1.102508</v>
      </c>
      <c r="L1117">
        <v>367.5213</v>
      </c>
      <c r="M1117">
        <v>0.99970599999999998</v>
      </c>
      <c r="N1117">
        <v>0</v>
      </c>
      <c r="O1117">
        <v>-1.9963060000000001E-2</v>
      </c>
      <c r="P1117">
        <v>0.98657649999999997</v>
      </c>
      <c r="Q1117">
        <v>3.5913529999999999E-2</v>
      </c>
      <c r="R1117">
        <v>-0.15930159999999999</v>
      </c>
      <c r="S1117">
        <v>2.8311000000000002</v>
      </c>
      <c r="T1117">
        <v>-0.25581219999999999</v>
      </c>
      <c r="U1117">
        <v>-1.3716429999999999</v>
      </c>
      <c r="V1117">
        <v>0.13986209999999999</v>
      </c>
      <c r="W1117">
        <v>4.8710919999999998E-2</v>
      </c>
      <c r="X1117">
        <v>0.98897209999999902</v>
      </c>
      <c r="Y1117">
        <v>0.41665269999999999</v>
      </c>
      <c r="Z1117">
        <v>-1.6097650000000002E-2</v>
      </c>
      <c r="AA1117">
        <v>0.90892320000000004</v>
      </c>
      <c r="AB1117">
        <v>22</v>
      </c>
      <c r="AC1117">
        <v>12.044499999999999</v>
      </c>
      <c r="AD1117">
        <v>-1.1025107139669901</v>
      </c>
      <c r="AE1117">
        <v>-5.9062000000000099</v>
      </c>
      <c r="AF1117">
        <v>5.6265492741839402</v>
      </c>
      <c r="AG1117">
        <v>-1.1025107139669901</v>
      </c>
      <c r="AH1117">
        <v>12.078430106893601</v>
      </c>
      <c r="AI1117">
        <v>94.730000493901301</v>
      </c>
      <c r="AJ1117">
        <v>65.022272676654694</v>
      </c>
      <c r="AK1117">
        <v>13.370192985007501</v>
      </c>
    </row>
    <row r="1118" spans="1:37" x14ac:dyDescent="0.2">
      <c r="A1118" t="str">
        <f>"20200111153629267"</f>
        <v>20200111153629267</v>
      </c>
      <c r="B1118" t="str">
        <f>"1578728189263512"</f>
        <v>1578728189263512</v>
      </c>
      <c r="C1118" t="s">
        <v>37</v>
      </c>
      <c r="D1118">
        <v>5.7419969999999996</v>
      </c>
      <c r="E1118">
        <v>0.61641140000000005</v>
      </c>
      <c r="F1118" t="s">
        <v>41</v>
      </c>
      <c r="G1118">
        <v>-200.6729</v>
      </c>
      <c r="H1118" s="1">
        <v>-2.5561220000000002E-6</v>
      </c>
      <c r="I1118">
        <v>361.48610000000002</v>
      </c>
      <c r="J1118">
        <v>-212.90039999999999</v>
      </c>
      <c r="K1118">
        <v>1.1024369999999999</v>
      </c>
      <c r="L1118">
        <v>367.51569999999998</v>
      </c>
      <c r="M1118">
        <v>0.99965219999999899</v>
      </c>
      <c r="N1118">
        <v>0</v>
      </c>
      <c r="O1118">
        <v>-2.2492419999999999E-2</v>
      </c>
      <c r="P1118">
        <v>0.98618269999999997</v>
      </c>
      <c r="Q1118">
        <v>3.5821970000000002E-2</v>
      </c>
      <c r="R1118">
        <v>-0.16174169999999999</v>
      </c>
      <c r="S1118">
        <v>2.8272249999999999</v>
      </c>
      <c r="T1118">
        <v>-0.25200220000000001</v>
      </c>
      <c r="U1118">
        <v>-1.379456</v>
      </c>
      <c r="V1118">
        <v>0.13981379999999999</v>
      </c>
      <c r="W1118">
        <v>4.860043E-2</v>
      </c>
      <c r="X1118">
        <v>0.98898439999999999</v>
      </c>
      <c r="Y1118">
        <v>0.41691869999999998</v>
      </c>
      <c r="Z1118">
        <v>-1.5667859999999999E-2</v>
      </c>
      <c r="AA1118">
        <v>0.90880879999999997</v>
      </c>
      <c r="AB1118">
        <v>22</v>
      </c>
      <c r="AC1118">
        <v>12.2274999999999</v>
      </c>
      <c r="AD1118">
        <v>-1.102439556122</v>
      </c>
      <c r="AE1118">
        <v>-6.0295999999999497</v>
      </c>
      <c r="AF1118">
        <v>5.7156480592276599</v>
      </c>
      <c r="AG1118">
        <v>-1.102439556122</v>
      </c>
      <c r="AH1118">
        <v>12.2797430423853</v>
      </c>
      <c r="AI1118">
        <v>94.653177170923897</v>
      </c>
      <c r="AJ1118">
        <v>65.040216938731405</v>
      </c>
      <c r="AK1118">
        <v>13.5895583040387</v>
      </c>
    </row>
    <row r="1119" spans="1:37" x14ac:dyDescent="0.2">
      <c r="A1119" t="str">
        <f>"20200111153629283"</f>
        <v>20200111153629283</v>
      </c>
      <c r="B1119" t="str">
        <f>"1578728189273271"</f>
        <v>1578728189273271</v>
      </c>
      <c r="C1119" t="s">
        <v>37</v>
      </c>
      <c r="D1119">
        <v>5.9229279999999997</v>
      </c>
      <c r="E1119">
        <v>0.61640729999999999</v>
      </c>
      <c r="F1119" t="s">
        <v>41</v>
      </c>
      <c r="G1119">
        <v>-200.34479999999999</v>
      </c>
      <c r="H1119" s="1">
        <v>-2.4019479999999999E-6</v>
      </c>
      <c r="I1119">
        <v>361.33580000000001</v>
      </c>
      <c r="J1119">
        <v>-212.7499</v>
      </c>
      <c r="K1119">
        <v>1.1023639999999999</v>
      </c>
      <c r="L1119">
        <v>367.50920000000002</v>
      </c>
      <c r="M1119">
        <v>0.99958599999999997</v>
      </c>
      <c r="N1119">
        <v>0</v>
      </c>
      <c r="O1119">
        <v>-2.525763E-2</v>
      </c>
      <c r="P1119">
        <v>0.98564359999999995</v>
      </c>
      <c r="Q1119">
        <v>3.594046E-2</v>
      </c>
      <c r="R1119">
        <v>-0.16497000000000001</v>
      </c>
      <c r="S1119">
        <v>2.8231660000000001</v>
      </c>
      <c r="T1119">
        <v>-0.24788739999999901</v>
      </c>
      <c r="U1119">
        <v>-1.3895569999999999</v>
      </c>
      <c r="V1119">
        <v>0.1403266</v>
      </c>
      <c r="W1119">
        <v>4.8694719999999997E-2</v>
      </c>
      <c r="X1119">
        <v>0.98890710000000004</v>
      </c>
      <c r="Y1119">
        <v>0.41758859999999998</v>
      </c>
      <c r="Z1119">
        <v>-1.522044E-2</v>
      </c>
      <c r="AA1119">
        <v>0.90850869999999995</v>
      </c>
      <c r="AB1119">
        <v>22</v>
      </c>
      <c r="AC1119">
        <v>12.405099999999999</v>
      </c>
      <c r="AD1119">
        <v>-1.102366401948</v>
      </c>
      <c r="AE1119">
        <v>-6.1734000000000098</v>
      </c>
      <c r="AF1119">
        <v>5.8212325714526196</v>
      </c>
      <c r="AG1119">
        <v>-1.102366401948</v>
      </c>
      <c r="AH1119">
        <v>12.478104131739601</v>
      </c>
      <c r="AI1119">
        <v>94.577367169148303</v>
      </c>
      <c r="AJ1119">
        <v>64.990205730096804</v>
      </c>
      <c r="AK1119">
        <v>13.8132198656802</v>
      </c>
    </row>
    <row r="1120" spans="1:37" x14ac:dyDescent="0.2">
      <c r="A1120" t="str">
        <f>"20200111153629296"</f>
        <v>20200111153629296</v>
      </c>
      <c r="B1120" t="str">
        <f>"1578728189293768"</f>
        <v>1578728189293768</v>
      </c>
      <c r="C1120" t="s">
        <v>37</v>
      </c>
      <c r="D1120">
        <v>6.0712330000000003</v>
      </c>
      <c r="E1120">
        <v>0.6163111</v>
      </c>
      <c r="F1120" t="s">
        <v>41</v>
      </c>
      <c r="G1120">
        <v>-200.1164</v>
      </c>
      <c r="H1120" s="1">
        <v>-2.2928159999999999E-6</v>
      </c>
      <c r="I1120">
        <v>361.23770000000002</v>
      </c>
      <c r="J1120">
        <v>-212.6009</v>
      </c>
      <c r="K1120">
        <v>1.10229</v>
      </c>
      <c r="L1120">
        <v>367.50240000000002</v>
      </c>
      <c r="M1120">
        <v>0.99951060000000003</v>
      </c>
      <c r="N1120">
        <v>0</v>
      </c>
      <c r="O1120">
        <v>-2.808544E-2</v>
      </c>
      <c r="P1120">
        <v>0.98505909999999997</v>
      </c>
      <c r="Q1120">
        <v>3.6175440000000003E-2</v>
      </c>
      <c r="R1120">
        <v>-0.16837530000000001</v>
      </c>
      <c r="S1120">
        <v>2.8184809999999998</v>
      </c>
      <c r="T1120">
        <v>-0.245932499999999</v>
      </c>
      <c r="U1120">
        <v>-1.3991389999999999</v>
      </c>
      <c r="V1120">
        <v>0.14095759999999999</v>
      </c>
      <c r="W1120">
        <v>4.8904280000000001E-2</v>
      </c>
      <c r="X1120">
        <v>0.98880699999999999</v>
      </c>
      <c r="Y1120">
        <v>0.4181241</v>
      </c>
      <c r="Z1120">
        <v>-1.4902550000000001E-2</v>
      </c>
      <c r="AA1120">
        <v>0.90826770000000001</v>
      </c>
      <c r="AB1120">
        <v>22</v>
      </c>
      <c r="AC1120">
        <v>12.484499999999899</v>
      </c>
      <c r="AD1120">
        <v>-1.1022922928159999</v>
      </c>
      <c r="AE1120">
        <v>-6.2647000000000004</v>
      </c>
      <c r="AF1120">
        <v>5.8749757375207503</v>
      </c>
      <c r="AG1120">
        <v>-1.1022922928159999</v>
      </c>
      <c r="AH1120">
        <v>12.5772128486546</v>
      </c>
      <c r="AI1120">
        <v>94.540110371078796</v>
      </c>
      <c r="AJ1120">
        <v>64.962124913294105</v>
      </c>
      <c r="AK1120">
        <v>13.9253966283054</v>
      </c>
    </row>
    <row r="1121" spans="1:37" x14ac:dyDescent="0.2">
      <c r="A1121" t="str">
        <f>"20200111153629316"</f>
        <v>20200111153629316</v>
      </c>
      <c r="B1121" t="str">
        <f>"1578728189303528"</f>
        <v>1578728189303528</v>
      </c>
      <c r="C1121" t="s">
        <v>37</v>
      </c>
      <c r="D1121">
        <v>6.0377450000000001</v>
      </c>
      <c r="E1121">
        <v>0.61626599999999998</v>
      </c>
      <c r="F1121" t="s">
        <v>41</v>
      </c>
      <c r="G1121">
        <v>-199.91890000000001</v>
      </c>
      <c r="H1121" s="1">
        <v>-1.0106869999999999E-5</v>
      </c>
      <c r="I1121">
        <v>361.15640000000002</v>
      </c>
      <c r="J1121">
        <v>-212.4178</v>
      </c>
      <c r="K1121">
        <v>1.102203</v>
      </c>
      <c r="L1121">
        <v>367.49310000000003</v>
      </c>
      <c r="M1121">
        <v>0.99940309999999899</v>
      </c>
      <c r="N1121">
        <v>0</v>
      </c>
      <c r="O1121">
        <v>-3.1678940000000003E-2</v>
      </c>
      <c r="P1121">
        <v>0.98408719999999905</v>
      </c>
      <c r="Q1121">
        <v>3.6934290000000002E-2</v>
      </c>
      <c r="R1121">
        <v>-0.1738063</v>
      </c>
      <c r="S1121">
        <v>2.813828</v>
      </c>
      <c r="T1121">
        <v>-0.24457219999999999</v>
      </c>
      <c r="U1121">
        <v>-1.40802</v>
      </c>
      <c r="V1121">
        <v>0.1428741</v>
      </c>
      <c r="W1121">
        <v>4.9622960000000001E-2</v>
      </c>
      <c r="X1121">
        <v>0.98849609999999899</v>
      </c>
      <c r="Y1121">
        <v>0.41777740000000002</v>
      </c>
      <c r="Z1121">
        <v>-1.452493E-2</v>
      </c>
      <c r="AA1121">
        <v>0.9084333</v>
      </c>
      <c r="AB1121">
        <v>22</v>
      </c>
      <c r="AC1121">
        <v>12.4988999999999</v>
      </c>
      <c r="AD1121">
        <v>-1.1022131068700001</v>
      </c>
      <c r="AE1121">
        <v>-6.3367000000000004</v>
      </c>
      <c r="AF1121">
        <v>5.9010230443894596</v>
      </c>
      <c r="AG1121">
        <v>-1.1022131068700001</v>
      </c>
      <c r="AH1121">
        <v>12.6153402810634</v>
      </c>
      <c r="AI1121">
        <v>94.524993140463394</v>
      </c>
      <c r="AJ1121">
        <v>64.931420999601301</v>
      </c>
      <c r="AK1121">
        <v>13.9708180544445</v>
      </c>
    </row>
    <row r="1122" spans="1:37" x14ac:dyDescent="0.2">
      <c r="A1122" t="str">
        <f>"20200111153629329"</f>
        <v>20200111153629329</v>
      </c>
      <c r="B1122" t="str">
        <f>"1578728189324024"</f>
        <v>1578728189324024</v>
      </c>
      <c r="C1122" t="s">
        <v>37</v>
      </c>
      <c r="D1122">
        <v>6.0530010000000001</v>
      </c>
      <c r="E1122">
        <v>0.61620140000000001</v>
      </c>
      <c r="F1122" t="s">
        <v>41</v>
      </c>
      <c r="G1122">
        <v>-199.73990000000001</v>
      </c>
      <c r="H1122" s="1">
        <v>-1.005469E-5</v>
      </c>
      <c r="I1122">
        <v>361.06670000000003</v>
      </c>
      <c r="J1122">
        <v>-212.28030000000001</v>
      </c>
      <c r="K1122">
        <v>1.1021430000000001</v>
      </c>
      <c r="L1122">
        <v>367.48570000000001</v>
      </c>
      <c r="M1122">
        <v>0.99931039999999904</v>
      </c>
      <c r="N1122">
        <v>0</v>
      </c>
      <c r="O1122">
        <v>-3.4472179999999998E-2</v>
      </c>
      <c r="P1122">
        <v>0.98340300000000003</v>
      </c>
      <c r="Q1122">
        <v>3.7511299999999997E-2</v>
      </c>
      <c r="R1122">
        <v>-0.17751439999999999</v>
      </c>
      <c r="S1122">
        <v>2.8064269999999998</v>
      </c>
      <c r="T1122">
        <v>-0.24398989999999901</v>
      </c>
      <c r="U1122">
        <v>-1.422577</v>
      </c>
      <c r="V1122">
        <v>0.14385110000000001</v>
      </c>
      <c r="W1122">
        <v>5.0173009999999997E-2</v>
      </c>
      <c r="X1122">
        <v>0.98832659999999894</v>
      </c>
      <c r="Y1122">
        <v>0.41995859999999902</v>
      </c>
      <c r="Z1122">
        <v>-1.4370269999999999E-2</v>
      </c>
      <c r="AA1122">
        <v>0.9074295</v>
      </c>
      <c r="AB1122">
        <v>22</v>
      </c>
      <c r="AC1122">
        <v>12.5404</v>
      </c>
      <c r="AD1122">
        <v>-1.10215305469</v>
      </c>
      <c r="AE1122">
        <v>-6.4189999999999801</v>
      </c>
      <c r="AF1122">
        <v>5.9464517944948598</v>
      </c>
      <c r="AG1122">
        <v>-1.10215305469</v>
      </c>
      <c r="AH1122">
        <v>12.676653579518399</v>
      </c>
      <c r="AI1122">
        <v>94.500677563409297</v>
      </c>
      <c r="AJ1122">
        <v>64.869342770262094</v>
      </c>
      <c r="AK1122">
        <v>14.0453756188765</v>
      </c>
    </row>
    <row r="1123" spans="1:37" x14ac:dyDescent="0.2">
      <c r="A1123" t="str">
        <f>"20200111153629342"</f>
        <v>20200111153629342</v>
      </c>
      <c r="B1123" t="str">
        <f>"1578728189333784"</f>
        <v>1578728189333784</v>
      </c>
      <c r="C1123" t="s">
        <v>37</v>
      </c>
      <c r="D1123">
        <v>6.0958489999999896</v>
      </c>
      <c r="E1123">
        <v>0.61605799999999999</v>
      </c>
      <c r="F1123" t="s">
        <v>41</v>
      </c>
      <c r="G1123">
        <v>-199.6037</v>
      </c>
      <c r="H1123" s="1">
        <v>-1.001411E-5</v>
      </c>
      <c r="I1123">
        <v>361.0043</v>
      </c>
      <c r="J1123">
        <v>-212.15029999999999</v>
      </c>
      <c r="K1123">
        <v>1.1020799999999999</v>
      </c>
      <c r="L1123">
        <v>367.47829999999999</v>
      </c>
      <c r="M1123">
        <v>0.99921389999999999</v>
      </c>
      <c r="N1123">
        <v>0</v>
      </c>
      <c r="O1123">
        <v>-3.7166070000000002E-2</v>
      </c>
      <c r="P1123">
        <v>0.98282999999999998</v>
      </c>
      <c r="Q1123">
        <v>3.7672039999999997E-2</v>
      </c>
      <c r="R1123">
        <v>-0.18062739999999999</v>
      </c>
      <c r="S1123">
        <v>2.80140699999999</v>
      </c>
      <c r="T1123">
        <v>-0.243565</v>
      </c>
      <c r="U1123">
        <v>-1.432312</v>
      </c>
      <c r="V1123">
        <v>0.144325799999999</v>
      </c>
      <c r="W1123">
        <v>5.0312080000000002E-2</v>
      </c>
      <c r="X1123">
        <v>0.98825039999999997</v>
      </c>
      <c r="Y1123">
        <v>0.42068109999999997</v>
      </c>
      <c r="Z1123">
        <v>-1.4167880000000001E-2</v>
      </c>
      <c r="AA1123">
        <v>0.90709789999999901</v>
      </c>
      <c r="AB1123">
        <v>22</v>
      </c>
      <c r="AC1123">
        <v>12.5465999999999</v>
      </c>
      <c r="AD1123">
        <v>-1.1020900141099901</v>
      </c>
      <c r="AE1123">
        <v>-6.4739999999999798</v>
      </c>
      <c r="AF1123">
        <v>5.9668157279770497</v>
      </c>
      <c r="AG1123">
        <v>-1.1020900141099901</v>
      </c>
      <c r="AH1123">
        <v>12.7011722720601</v>
      </c>
      <c r="AI1123">
        <v>94.490568499220402</v>
      </c>
      <c r="AJ1123">
        <v>64.836582659072107</v>
      </c>
      <c r="AK1123">
        <v>14.0761240906503</v>
      </c>
    </row>
    <row r="1124" spans="1:37" x14ac:dyDescent="0.2">
      <c r="A1124" t="str">
        <f>"20200111153629354"</f>
        <v>20200111153629354</v>
      </c>
      <c r="B1124" t="str">
        <f>"1578728189343543"</f>
        <v>1578728189343543</v>
      </c>
      <c r="C1124" t="s">
        <v>37</v>
      </c>
      <c r="D1124">
        <v>6.1375440000000001</v>
      </c>
      <c r="E1124">
        <v>0.61585690000000004</v>
      </c>
      <c r="F1124" t="s">
        <v>41</v>
      </c>
      <c r="G1124">
        <v>-199.52330000000001</v>
      </c>
      <c r="H1124" s="1">
        <v>-9.9888179999999992E-6</v>
      </c>
      <c r="I1124">
        <v>360.9769</v>
      </c>
      <c r="J1124">
        <v>-212.03149999999999</v>
      </c>
      <c r="K1124">
        <v>1.1020190000000001</v>
      </c>
      <c r="L1124">
        <v>367.471</v>
      </c>
      <c r="M1124">
        <v>0.99911609999999995</v>
      </c>
      <c r="N1124">
        <v>0</v>
      </c>
      <c r="O1124">
        <v>-3.9706100000000001E-2</v>
      </c>
      <c r="P1124">
        <v>0.98223179999999999</v>
      </c>
      <c r="Q1124">
        <v>3.7698509999999998E-2</v>
      </c>
      <c r="R1124">
        <v>-0.1838465</v>
      </c>
      <c r="S1124">
        <v>2.7970890000000002</v>
      </c>
      <c r="T1124">
        <v>-0.24413009999999999</v>
      </c>
      <c r="U1124">
        <v>-1.4401549999999901</v>
      </c>
      <c r="V1124">
        <v>0.14505999999999999</v>
      </c>
      <c r="W1124">
        <v>5.0315409999999998E-2</v>
      </c>
      <c r="X1124">
        <v>0.98814269999999904</v>
      </c>
      <c r="Y1124">
        <v>0.42095680000000002</v>
      </c>
      <c r="Z1124">
        <v>-1.4015629999999999E-2</v>
      </c>
      <c r="AA1124">
        <v>0.90697240000000001</v>
      </c>
      <c r="AB1124">
        <v>22</v>
      </c>
      <c r="AC1124">
        <v>12.508199999999899</v>
      </c>
      <c r="AD1124">
        <v>-1.1020289888179999</v>
      </c>
      <c r="AE1124">
        <v>-6.4941000000000004</v>
      </c>
      <c r="AF1124">
        <v>5.9558628897866601</v>
      </c>
      <c r="AG1124">
        <v>-1.1020289888179999</v>
      </c>
      <c r="AH1124">
        <v>12.6786931515466</v>
      </c>
      <c r="AI1124">
        <v>94.498302855357394</v>
      </c>
      <c r="AJ1124">
        <v>64.838035695776199</v>
      </c>
      <c r="AK1124">
        <v>14.051193212151301</v>
      </c>
    </row>
    <row r="1125" spans="1:37" x14ac:dyDescent="0.2">
      <c r="A1125" t="str">
        <f>"20200111153629366"</f>
        <v>20200111153629366</v>
      </c>
      <c r="B1125" t="str">
        <f>"1578728189364039"</f>
        <v>1578728189364039</v>
      </c>
      <c r="C1125" t="s">
        <v>37</v>
      </c>
      <c r="D1125">
        <v>6.1977739999999999</v>
      </c>
      <c r="E1125">
        <v>0.61544379999999999</v>
      </c>
      <c r="F1125" t="s">
        <v>41</v>
      </c>
      <c r="G1125">
        <v>-199.4659</v>
      </c>
      <c r="H1125" s="1">
        <v>-9.9707899999999903E-6</v>
      </c>
      <c r="I1125">
        <v>360.95710000000003</v>
      </c>
      <c r="J1125">
        <v>-211.91309999999999</v>
      </c>
      <c r="K1125">
        <v>1.1019540000000001</v>
      </c>
      <c r="L1125">
        <v>367.46339999999998</v>
      </c>
      <c r="M1125">
        <v>0.99900959999999905</v>
      </c>
      <c r="N1125">
        <v>0</v>
      </c>
      <c r="O1125">
        <v>-4.2295270000000003E-2</v>
      </c>
      <c r="P1125">
        <v>0.981715</v>
      </c>
      <c r="Q1125">
        <v>3.7926809999999998E-2</v>
      </c>
      <c r="R1125">
        <v>-0.18654100000000001</v>
      </c>
      <c r="S1125">
        <v>2.792694</v>
      </c>
      <c r="T1125">
        <v>-0.24492410000000001</v>
      </c>
      <c r="U1125">
        <v>-1.4477229999999901</v>
      </c>
      <c r="V1125">
        <v>0.1452203</v>
      </c>
      <c r="W1125">
        <v>5.052591E-2</v>
      </c>
      <c r="X1125">
        <v>0.9881084</v>
      </c>
      <c r="Y1125">
        <v>0.42112640000000001</v>
      </c>
      <c r="Z1125">
        <v>-1.386743E-2</v>
      </c>
      <c r="AA1125">
        <v>0.90689589999999998</v>
      </c>
      <c r="AB1125">
        <v>22</v>
      </c>
      <c r="AC1125">
        <v>12.447199999999899</v>
      </c>
      <c r="AD1125">
        <v>-1.10196397079</v>
      </c>
      <c r="AE1125">
        <v>-6.5062999999999498</v>
      </c>
      <c r="AF1125">
        <v>5.9374191689812603</v>
      </c>
      <c r="AG1125">
        <v>-1.10196397079</v>
      </c>
      <c r="AH1125">
        <v>12.6335020782572</v>
      </c>
      <c r="AI1125">
        <v>94.513680622293904</v>
      </c>
      <c r="AJ1125">
        <v>64.827689466618494</v>
      </c>
      <c r="AK1125">
        <v>14.0025942504393</v>
      </c>
    </row>
    <row r="1126" spans="1:37" x14ac:dyDescent="0.2">
      <c r="A1126" t="str">
        <f>"20200111153629379"</f>
        <v>20200111153629379</v>
      </c>
      <c r="B1126" t="str">
        <f>"1578728189373801"</f>
        <v>1578728189373801</v>
      </c>
      <c r="C1126" t="s">
        <v>37</v>
      </c>
      <c r="D1126">
        <v>6.2102690000000003</v>
      </c>
      <c r="E1126">
        <v>0.61534429999999996</v>
      </c>
      <c r="F1126" t="s">
        <v>41</v>
      </c>
      <c r="G1126">
        <v>-199.3931</v>
      </c>
      <c r="H1126" s="1">
        <v>-9.9461649999999905E-6</v>
      </c>
      <c r="I1126">
        <v>360.94439999999997</v>
      </c>
      <c r="J1126">
        <v>-211.78120000000001</v>
      </c>
      <c r="K1126">
        <v>1.101885</v>
      </c>
      <c r="L1126">
        <v>367.4547</v>
      </c>
      <c r="M1126">
        <v>0.99888120000000002</v>
      </c>
      <c r="N1126">
        <v>0</v>
      </c>
      <c r="O1126">
        <v>-4.5227969999999999E-2</v>
      </c>
      <c r="P1126">
        <v>0.98106319999999902</v>
      </c>
      <c r="Q1126">
        <v>3.8300279999999999E-2</v>
      </c>
      <c r="R1126">
        <v>-0.18986459999999999</v>
      </c>
      <c r="S1126">
        <v>2.7893680000000001</v>
      </c>
      <c r="T1126">
        <v>-0.24551049999999999</v>
      </c>
      <c r="U1126">
        <v>-1.452393</v>
      </c>
      <c r="V1126">
        <v>0.1456781</v>
      </c>
      <c r="W1126">
        <v>5.0876879999999999E-2</v>
      </c>
      <c r="X1126">
        <v>0.98802299999999998</v>
      </c>
      <c r="Y1126">
        <v>0.42010730000000002</v>
      </c>
      <c r="Z1126">
        <v>-1.362727E-2</v>
      </c>
      <c r="AA1126">
        <v>0.90737209999999902</v>
      </c>
      <c r="AB1126">
        <v>22</v>
      </c>
      <c r="AC1126">
        <v>12.3881</v>
      </c>
      <c r="AD1126">
        <v>-1.1018949461650001</v>
      </c>
      <c r="AE1126">
        <v>-6.5103000000000204</v>
      </c>
      <c r="AF1126">
        <v>5.90667598464983</v>
      </c>
      <c r="AG1126">
        <v>-1.1018949461650001</v>
      </c>
      <c r="AH1126">
        <v>12.5918329978856</v>
      </c>
      <c r="AI1126">
        <v>94.529810668723101</v>
      </c>
      <c r="AJ1126">
        <v>64.869296480336502</v>
      </c>
      <c r="AK1126">
        <v>13.951962295915999</v>
      </c>
    </row>
    <row r="1127" spans="1:37" x14ac:dyDescent="0.2">
      <c r="A1127" t="str">
        <f>"20200111153629393"</f>
        <v>20200111153629393</v>
      </c>
      <c r="B1127" t="str">
        <f>"1578728189383560"</f>
        <v>1578728189383560</v>
      </c>
      <c r="C1127" t="s">
        <v>37</v>
      </c>
      <c r="D1127">
        <v>6.2012879999999999</v>
      </c>
      <c r="E1127">
        <v>0.61518459999999997</v>
      </c>
      <c r="F1127" t="s">
        <v>41</v>
      </c>
      <c r="G1127">
        <v>-199.26689999999999</v>
      </c>
      <c r="H1127" s="1">
        <v>-9.9083249999999997E-6</v>
      </c>
      <c r="I1127">
        <v>360.88839999999999</v>
      </c>
      <c r="J1127">
        <v>-211.6446</v>
      </c>
      <c r="K1127">
        <v>1.10181</v>
      </c>
      <c r="L1127">
        <v>367.44490000000002</v>
      </c>
      <c r="M1127">
        <v>0.99873319999999999</v>
      </c>
      <c r="N1127">
        <v>0</v>
      </c>
      <c r="O1127">
        <v>-4.838054E-2</v>
      </c>
      <c r="P1127">
        <v>0.98023559999999998</v>
      </c>
      <c r="Q1127">
        <v>3.8772279999999999E-2</v>
      </c>
      <c r="R1127">
        <v>-0.1939968</v>
      </c>
      <c r="S1127">
        <v>2.784729</v>
      </c>
      <c r="T1127">
        <v>-0.24519879999999999</v>
      </c>
      <c r="U1127">
        <v>-1.4611510000000001</v>
      </c>
      <c r="V1127">
        <v>0.14673749999999999</v>
      </c>
      <c r="W1127">
        <v>5.1320240000000003E-2</v>
      </c>
      <c r="X1127">
        <v>0.98784329999999998</v>
      </c>
      <c r="Y1127">
        <v>0.42011579999999898</v>
      </c>
      <c r="Z1127">
        <v>-1.3362570000000001E-2</v>
      </c>
      <c r="AA1127">
        <v>0.90737209999999902</v>
      </c>
      <c r="AB1127">
        <v>22</v>
      </c>
      <c r="AC1127">
        <v>12.377700000000001</v>
      </c>
      <c r="AD1127">
        <v>-1.101819908325</v>
      </c>
      <c r="AE1127">
        <v>-6.5565000000000202</v>
      </c>
      <c r="AF1127">
        <v>5.9133333626872799</v>
      </c>
      <c r="AG1127">
        <v>-1.101819908325</v>
      </c>
      <c r="AH1127">
        <v>12.6024590968431</v>
      </c>
      <c r="AI1127">
        <v>94.525470153345296</v>
      </c>
      <c r="AJ1127">
        <v>64.863063224555205</v>
      </c>
      <c r="AK1127">
        <v>13.9643651433302</v>
      </c>
    </row>
    <row r="1128" spans="1:37" x14ac:dyDescent="0.2">
      <c r="A1128" t="str">
        <f>"20200111153629409"</f>
        <v>20200111153629409</v>
      </c>
      <c r="B1128" t="str">
        <f>"1578728189404055"</f>
        <v>1578728189404055</v>
      </c>
      <c r="C1128" t="s">
        <v>37</v>
      </c>
      <c r="D1128">
        <v>6.1431170000000002</v>
      </c>
      <c r="E1128">
        <v>0.61497519999999894</v>
      </c>
      <c r="F1128" t="s">
        <v>41</v>
      </c>
      <c r="G1128">
        <v>-199.16390000000001</v>
      </c>
      <c r="H1128" s="1">
        <v>-9.8779499999999992E-6</v>
      </c>
      <c r="I1128">
        <v>360.839</v>
      </c>
      <c r="J1128">
        <v>-211.49459999999999</v>
      </c>
      <c r="K1128">
        <v>1.101729</v>
      </c>
      <c r="L1128">
        <v>367.43369999999999</v>
      </c>
      <c r="M1128">
        <v>0.99855509999999903</v>
      </c>
      <c r="N1128">
        <v>0</v>
      </c>
      <c r="O1128">
        <v>-5.1923499999999997E-2</v>
      </c>
      <c r="P1128">
        <v>0.97940899999999997</v>
      </c>
      <c r="Q1128">
        <v>3.8551240000000001E-2</v>
      </c>
      <c r="R1128">
        <v>-0.19817170000000001</v>
      </c>
      <c r="S1128">
        <v>2.779083</v>
      </c>
      <c r="T1128">
        <v>-0.245341799999999</v>
      </c>
      <c r="U1128">
        <v>-1.470947</v>
      </c>
      <c r="V1128">
        <v>0.14745050000000001</v>
      </c>
      <c r="W1128">
        <v>5.1071169999999999E-2</v>
      </c>
      <c r="X1128">
        <v>0.98775000000000002</v>
      </c>
      <c r="Y1128">
        <v>0.42016629999999899</v>
      </c>
      <c r="Z1128">
        <v>-1.3095239999999999E-2</v>
      </c>
      <c r="AA1128">
        <v>0.90735259999999995</v>
      </c>
      <c r="AB1128">
        <v>22</v>
      </c>
      <c r="AC1128">
        <v>12.330699999999901</v>
      </c>
      <c r="AD1128">
        <v>-1.1017388779499999</v>
      </c>
      <c r="AE1128">
        <v>-6.59469999999998</v>
      </c>
      <c r="AF1128">
        <v>5.90880795146178</v>
      </c>
      <c r="AG1128">
        <v>-1.1017388779499999</v>
      </c>
      <c r="AH1128">
        <v>12.5784331941893</v>
      </c>
      <c r="AI1128">
        <v>94.532814453409301</v>
      </c>
      <c r="AJ1128">
        <v>64.837876927964899</v>
      </c>
      <c r="AK1128">
        <v>13.940761155084999</v>
      </c>
    </row>
    <row r="1129" spans="1:37" x14ac:dyDescent="0.2">
      <c r="A1129" t="str">
        <f>"20200111153629427"</f>
        <v>20200111153629427</v>
      </c>
      <c r="B1129" t="str">
        <f>"1578728189423576"</f>
        <v>1578728189423576</v>
      </c>
      <c r="C1129" t="s">
        <v>37</v>
      </c>
      <c r="D1129">
        <v>6.0977949999999996</v>
      </c>
      <c r="E1129">
        <v>0.61486890000000005</v>
      </c>
      <c r="F1129" t="s">
        <v>41</v>
      </c>
      <c r="G1129">
        <v>-199.17240000000001</v>
      </c>
      <c r="H1129" s="1">
        <v>-9.8790940000000003E-6</v>
      </c>
      <c r="I1129">
        <v>360.85270000000003</v>
      </c>
      <c r="J1129">
        <v>-211.3108</v>
      </c>
      <c r="K1129">
        <v>1.1016239999999999</v>
      </c>
      <c r="L1129">
        <v>367.41910000000001</v>
      </c>
      <c r="M1129">
        <v>0.99831219999999998</v>
      </c>
      <c r="N1129">
        <v>0</v>
      </c>
      <c r="O1129">
        <v>-5.6400850000000002E-2</v>
      </c>
      <c r="P1129">
        <v>0.9782805</v>
      </c>
      <c r="Q1129">
        <v>3.8522019999999997E-2</v>
      </c>
      <c r="R1129">
        <v>-0.20367460000000001</v>
      </c>
      <c r="S1129">
        <v>2.7731319999999999</v>
      </c>
      <c r="T1129">
        <v>-0.247948799999999</v>
      </c>
      <c r="U1129">
        <v>-1.481079</v>
      </c>
      <c r="V1129">
        <v>0.14858759999999999</v>
      </c>
      <c r="W1129">
        <v>5.1004510000000003E-2</v>
      </c>
      <c r="X1129">
        <v>0.98758299999999999</v>
      </c>
      <c r="Y1129">
        <v>0.41947810000000002</v>
      </c>
      <c r="Z1129">
        <v>-1.2847910000000001E-2</v>
      </c>
      <c r="AA1129">
        <v>0.907674599999999</v>
      </c>
      <c r="AB1129">
        <v>22</v>
      </c>
      <c r="AC1129">
        <v>12.138399999999899</v>
      </c>
      <c r="AD1129">
        <v>-1.1016338790939999</v>
      </c>
      <c r="AE1129">
        <v>-6.5663999999999803</v>
      </c>
      <c r="AF1129">
        <v>5.8340892170796801</v>
      </c>
      <c r="AG1129">
        <v>-1.1016338790939999</v>
      </c>
      <c r="AH1129">
        <v>12.410381768375</v>
      </c>
      <c r="AI1129">
        <v>94.592897986217395</v>
      </c>
      <c r="AJ1129">
        <v>64.821900912258897</v>
      </c>
      <c r="AK1129">
        <v>13.757462332611601</v>
      </c>
    </row>
    <row r="1130" spans="1:37" x14ac:dyDescent="0.2">
      <c r="A1130" t="str">
        <f>"20200111153629441"</f>
        <v>20200111153629441</v>
      </c>
      <c r="B1130" t="str">
        <f>"1578728189433335"</f>
        <v>1578728189433335</v>
      </c>
      <c r="C1130" t="s">
        <v>37</v>
      </c>
      <c r="D1130">
        <v>6.1370750000000003</v>
      </c>
      <c r="E1130">
        <v>0.61479709999999999</v>
      </c>
      <c r="F1130" t="s">
        <v>41</v>
      </c>
      <c r="G1130">
        <v>-199.16929999999999</v>
      </c>
      <c r="H1130" s="1">
        <v>-9.8777549999999906E-6</v>
      </c>
      <c r="I1130">
        <v>360.85399999999998</v>
      </c>
      <c r="J1130">
        <v>-211.1782</v>
      </c>
      <c r="K1130">
        <v>1.1015429999999999</v>
      </c>
      <c r="L1130">
        <v>367.40800000000002</v>
      </c>
      <c r="M1130">
        <v>0.99811899999999998</v>
      </c>
      <c r="N1130">
        <v>0</v>
      </c>
      <c r="O1130">
        <v>-5.9718090000000001E-2</v>
      </c>
      <c r="P1130">
        <v>0.97753080000000003</v>
      </c>
      <c r="Q1130">
        <v>3.8124039999999998E-2</v>
      </c>
      <c r="R1130">
        <v>-0.20731630000000001</v>
      </c>
      <c r="S1130">
        <v>2.7651979999999998</v>
      </c>
      <c r="T1130">
        <v>-0.25089420000000001</v>
      </c>
      <c r="U1130">
        <v>-1.4951779999999999</v>
      </c>
      <c r="V1130">
        <v>0.14898919999999999</v>
      </c>
      <c r="W1130">
        <v>5.0583530000000002E-2</v>
      </c>
      <c r="X1130">
        <v>0.98754419999999898</v>
      </c>
      <c r="Y1130">
        <v>0.42110950000000003</v>
      </c>
      <c r="Z1130">
        <v>-1.280861E-2</v>
      </c>
      <c r="AA1130">
        <v>0.90691939999999904</v>
      </c>
      <c r="AB1130">
        <v>22</v>
      </c>
      <c r="AC1130">
        <v>12.008900000000001</v>
      </c>
      <c r="AD1130">
        <v>-1.1015528777550001</v>
      </c>
      <c r="AE1130">
        <v>-6.5539999999999701</v>
      </c>
      <c r="AF1130">
        <v>5.7875622931771797</v>
      </c>
      <c r="AG1130">
        <v>-1.1015528777550001</v>
      </c>
      <c r="AH1130">
        <v>12.299157611121499</v>
      </c>
      <c r="AI1130">
        <v>94.633081273313607</v>
      </c>
      <c r="AJ1130">
        <v>64.799931224887303</v>
      </c>
      <c r="AK1130">
        <v>13.637396158471899</v>
      </c>
    </row>
    <row r="1131" spans="1:37" x14ac:dyDescent="0.2">
      <c r="A1131" t="str">
        <f>"20200111153629461"</f>
        <v>20200111153629461</v>
      </c>
      <c r="B1131" t="str">
        <f>"1578728189453831"</f>
        <v>1578728189453831</v>
      </c>
      <c r="C1131" t="s">
        <v>37</v>
      </c>
      <c r="D1131">
        <v>6.1437650000000001</v>
      </c>
      <c r="E1131">
        <v>0.61468730000000005</v>
      </c>
      <c r="F1131" t="s">
        <v>41</v>
      </c>
      <c r="G1131">
        <v>-199.16239999999999</v>
      </c>
      <c r="H1131" s="1">
        <v>-9.8750820000000005E-6</v>
      </c>
      <c r="I1131">
        <v>360.85520000000002</v>
      </c>
      <c r="J1131">
        <v>-210.97280000000001</v>
      </c>
      <c r="K1131">
        <v>1.1014079999999999</v>
      </c>
      <c r="L1131">
        <v>367.38959999999997</v>
      </c>
      <c r="M1131">
        <v>0.99778519999999904</v>
      </c>
      <c r="N1131">
        <v>0</v>
      </c>
      <c r="O1131">
        <v>-6.5055769999999999E-2</v>
      </c>
      <c r="P1131">
        <v>0.97624299999999997</v>
      </c>
      <c r="Q1131">
        <v>3.7512629999999998E-2</v>
      </c>
      <c r="R1131">
        <v>-0.2134074</v>
      </c>
      <c r="S1131">
        <v>2.7596590000000001</v>
      </c>
      <c r="T1131">
        <v>-0.25299349999999998</v>
      </c>
      <c r="U1131">
        <v>-1.504974</v>
      </c>
      <c r="V1131">
        <v>0.14987429999999999</v>
      </c>
      <c r="W1131">
        <v>4.993156E-2</v>
      </c>
      <c r="X1131">
        <v>0.98744339999999997</v>
      </c>
      <c r="Y1131">
        <v>0.41950900000000002</v>
      </c>
      <c r="Z1131">
        <v>-1.2407059999999999E-2</v>
      </c>
      <c r="AA1131">
        <v>0.90766639999999998</v>
      </c>
      <c r="AB1131">
        <v>22</v>
      </c>
      <c r="AC1131">
        <v>11.8104</v>
      </c>
      <c r="AD1131">
        <v>-1.1014178750819901</v>
      </c>
      <c r="AE1131">
        <v>-6.5343999999999403</v>
      </c>
      <c r="AF1131">
        <v>5.7140975719830802</v>
      </c>
      <c r="AG1131">
        <v>-1.1014178750819901</v>
      </c>
      <c r="AH1131">
        <v>12.1297484765534</v>
      </c>
      <c r="AI1131">
        <v>94.6959991390857</v>
      </c>
      <c r="AJ1131">
        <v>64.775752551821</v>
      </c>
      <c r="AK1131">
        <v>13.453431922827001</v>
      </c>
    </row>
    <row r="1132" spans="1:37" x14ac:dyDescent="0.2">
      <c r="A1132" t="str">
        <f>"20200111153629474"</f>
        <v>20200111153629474</v>
      </c>
      <c r="B1132" t="str">
        <f>"1578728189463592"</f>
        <v>1578728189463592</v>
      </c>
      <c r="C1132" t="s">
        <v>37</v>
      </c>
      <c r="D1132">
        <v>6.0864339999999997</v>
      </c>
      <c r="E1132">
        <v>0.61463290000000004</v>
      </c>
      <c r="F1132" t="s">
        <v>41</v>
      </c>
      <c r="G1132">
        <v>-199.15559999999999</v>
      </c>
      <c r="H1132" s="1">
        <v>-9.872847E-6</v>
      </c>
      <c r="I1132">
        <v>360.85359999999997</v>
      </c>
      <c r="J1132">
        <v>-210.8441</v>
      </c>
      <c r="K1132">
        <v>1.1013250000000001</v>
      </c>
      <c r="L1132">
        <v>367.37729999999999</v>
      </c>
      <c r="M1132">
        <v>0.99755329999999998</v>
      </c>
      <c r="N1132">
        <v>0</v>
      </c>
      <c r="O1132">
        <v>-6.8517549999999997E-2</v>
      </c>
      <c r="P1132">
        <v>0.97540009999999999</v>
      </c>
      <c r="Q1132">
        <v>3.7285249999999999E-2</v>
      </c>
      <c r="R1132">
        <v>-0.2172666</v>
      </c>
      <c r="S1132">
        <v>2.7503199999999999</v>
      </c>
      <c r="T1132">
        <v>-0.25634249999999997</v>
      </c>
      <c r="U1132">
        <v>-1.5211790000000001</v>
      </c>
      <c r="V1132">
        <v>0.15036089999999999</v>
      </c>
      <c r="W1132">
        <v>4.9679630000000002E-2</v>
      </c>
      <c r="X1132">
        <v>0.98738219999999999</v>
      </c>
      <c r="Y1132">
        <v>0.42173109999999903</v>
      </c>
      <c r="Z1132">
        <v>-1.23906E-2</v>
      </c>
      <c r="AA1132">
        <v>0.90663629999999995</v>
      </c>
      <c r="AB1132">
        <v>22</v>
      </c>
      <c r="AC1132">
        <v>11.688499999999999</v>
      </c>
      <c r="AD1132">
        <v>-1.101334872847</v>
      </c>
      <c r="AE1132">
        <v>-6.5237000000000096</v>
      </c>
      <c r="AF1132">
        <v>5.6690451669847901</v>
      </c>
      <c r="AG1132">
        <v>-1.101334872847</v>
      </c>
      <c r="AH1132">
        <v>12.0266435863605</v>
      </c>
      <c r="AI1132">
        <v>94.735188713140403</v>
      </c>
      <c r="AJ1132">
        <v>64.762036471911799</v>
      </c>
      <c r="AK1132">
        <v>13.3413330503667</v>
      </c>
    </row>
    <row r="1133" spans="1:37" x14ac:dyDescent="0.2">
      <c r="A1133" t="str">
        <f>"20200111153629487"</f>
        <v>20200111153629487</v>
      </c>
      <c r="B1133" t="str">
        <f>"1578728189484087"</f>
        <v>1578728189484087</v>
      </c>
      <c r="C1133" t="s">
        <v>37</v>
      </c>
      <c r="D1133">
        <v>6.2081720000000002</v>
      </c>
      <c r="E1133">
        <v>0.61449619999999905</v>
      </c>
      <c r="F1133" t="s">
        <v>41</v>
      </c>
      <c r="G1133">
        <v>-199.12049999999999</v>
      </c>
      <c r="H1133" s="1">
        <v>-9.8628210000000006E-6</v>
      </c>
      <c r="I1133">
        <v>360.83440000000002</v>
      </c>
      <c r="J1133">
        <v>-210.72110000000001</v>
      </c>
      <c r="K1133">
        <v>1.1012459999999999</v>
      </c>
      <c r="L1133">
        <v>367.36509999999998</v>
      </c>
      <c r="M1133">
        <v>0.99731519999999996</v>
      </c>
      <c r="N1133">
        <v>0</v>
      </c>
      <c r="O1133">
        <v>-7.1898169999999997E-2</v>
      </c>
      <c r="P1133">
        <v>0.97453500000000004</v>
      </c>
      <c r="Q1133">
        <v>3.7357999999999898E-2</v>
      </c>
      <c r="R1133">
        <v>-0.22110179999999999</v>
      </c>
      <c r="S1133">
        <v>2.7443390000000001</v>
      </c>
      <c r="T1133">
        <v>-0.25780769999999997</v>
      </c>
      <c r="U1133">
        <v>-1.5316160000000001</v>
      </c>
      <c r="V1133">
        <v>0.1509093</v>
      </c>
      <c r="W1133">
        <v>4.9727720000000003E-2</v>
      </c>
      <c r="X1133">
        <v>0.98729599999999995</v>
      </c>
      <c r="Y1133">
        <v>0.42212499999999997</v>
      </c>
      <c r="Z1133">
        <v>-1.21992E-2</v>
      </c>
      <c r="AA1133">
        <v>0.90645560000000003</v>
      </c>
      <c r="AB1133">
        <v>22</v>
      </c>
      <c r="AC1133">
        <v>11.6006</v>
      </c>
      <c r="AD1133">
        <v>-1.1012558628210001</v>
      </c>
      <c r="AE1133">
        <v>-6.5306999999999604</v>
      </c>
      <c r="AF1133">
        <v>5.6410503338681597</v>
      </c>
      <c r="AG1133">
        <v>-1.1012558628210001</v>
      </c>
      <c r="AH1133">
        <v>11.958330028127399</v>
      </c>
      <c r="AI1133">
        <v>94.761131852541297</v>
      </c>
      <c r="AJ1133">
        <v>64.745548663682996</v>
      </c>
      <c r="AK1133">
        <v>13.2678510093476</v>
      </c>
    </row>
    <row r="1134" spans="1:37" x14ac:dyDescent="0.2">
      <c r="A1134" t="str">
        <f>"20200111153629505"</f>
        <v>20200111153629505</v>
      </c>
      <c r="B1134" t="str">
        <f>"1578728189493847"</f>
        <v>1578728189493847</v>
      </c>
      <c r="C1134" t="s">
        <v>37</v>
      </c>
      <c r="D1134">
        <v>6.2028989999999897</v>
      </c>
      <c r="E1134">
        <v>0.61441369999999995</v>
      </c>
      <c r="F1134" t="s">
        <v>41</v>
      </c>
      <c r="G1134">
        <v>-199.06360000000001</v>
      </c>
      <c r="H1134" s="1">
        <v>-9.8466119999999994E-6</v>
      </c>
      <c r="I1134">
        <v>360.80329999999998</v>
      </c>
      <c r="J1134">
        <v>-210.53899999999999</v>
      </c>
      <c r="K1134">
        <v>1.101124</v>
      </c>
      <c r="L1134">
        <v>367.34620000000001</v>
      </c>
      <c r="M1134">
        <v>0.99693099999999901</v>
      </c>
      <c r="N1134">
        <v>0</v>
      </c>
      <c r="O1134">
        <v>-7.7039389999999999E-2</v>
      </c>
      <c r="P1134">
        <v>0.97323230000000005</v>
      </c>
      <c r="Q1134">
        <v>3.7235199999999899E-2</v>
      </c>
      <c r="R1134">
        <v>-0.22678779999999901</v>
      </c>
      <c r="S1134">
        <v>2.7385709999999999</v>
      </c>
      <c r="T1134">
        <v>-0.25870589999999999</v>
      </c>
      <c r="U1134">
        <v>-1.541504</v>
      </c>
      <c r="V1134">
        <v>0.15159619999999999</v>
      </c>
      <c r="W1134">
        <v>4.957056E-2</v>
      </c>
      <c r="X1134">
        <v>0.98719880000000004</v>
      </c>
      <c r="Y1134">
        <v>0.420767</v>
      </c>
      <c r="Z1134">
        <v>-1.174826E-2</v>
      </c>
      <c r="AA1134">
        <v>0.90709269999999997</v>
      </c>
      <c r="AB1134">
        <v>22</v>
      </c>
      <c r="AC1134">
        <v>11.4754</v>
      </c>
      <c r="AD1134">
        <v>-1.101133846612</v>
      </c>
      <c r="AE1134">
        <v>-6.5429000000000297</v>
      </c>
      <c r="AF1134">
        <v>5.6003926640274502</v>
      </c>
      <c r="AG1134">
        <v>-1.101133846612</v>
      </c>
      <c r="AH1134">
        <v>11.862967565506301</v>
      </c>
      <c r="AI1134">
        <v>94.7980253102494</v>
      </c>
      <c r="AJ1134">
        <v>64.728455524714505</v>
      </c>
      <c r="AK1134">
        <v>13.164607597634699</v>
      </c>
    </row>
    <row r="1135" spans="1:37" x14ac:dyDescent="0.2">
      <c r="A1135" t="str">
        <f>"20200111153629520"</f>
        <v>20200111153629520</v>
      </c>
      <c r="B1135" t="str">
        <f>"1578728189513368"</f>
        <v>1578728189513368</v>
      </c>
      <c r="C1135" t="s">
        <v>37</v>
      </c>
      <c r="D1135">
        <v>6.1383010000000002</v>
      </c>
      <c r="E1135">
        <v>0.61431559999999996</v>
      </c>
      <c r="F1135" t="s">
        <v>41</v>
      </c>
      <c r="G1135">
        <v>-198.95689999999999</v>
      </c>
      <c r="H1135" s="1">
        <v>-9.8166399999999996E-6</v>
      </c>
      <c r="I1135">
        <v>360.74180000000001</v>
      </c>
      <c r="J1135">
        <v>-210.4033</v>
      </c>
      <c r="K1135">
        <v>1.101032</v>
      </c>
      <c r="L1135">
        <v>367.33139999999997</v>
      </c>
      <c r="M1135">
        <v>0.99661929999999999</v>
      </c>
      <c r="N1135">
        <v>0</v>
      </c>
      <c r="O1135">
        <v>-8.0970529999999999E-2</v>
      </c>
      <c r="P1135">
        <v>0.97229580000000004</v>
      </c>
      <c r="Q1135">
        <v>3.7129740000000001E-2</v>
      </c>
      <c r="R1135">
        <v>-0.23078679999999999</v>
      </c>
      <c r="S1135">
        <v>2.7297359999999999</v>
      </c>
      <c r="T1135">
        <v>-0.25952170000000002</v>
      </c>
      <c r="U1135">
        <v>-1.556549</v>
      </c>
      <c r="V1135">
        <v>0.1517714</v>
      </c>
      <c r="W1135">
        <v>4.9441029999999997E-2</v>
      </c>
      <c r="X1135">
        <v>0.98717829999999995</v>
      </c>
      <c r="Y1135">
        <v>0.42222549999999998</v>
      </c>
      <c r="Z1135">
        <v>-1.152564E-2</v>
      </c>
      <c r="AA1135">
        <v>0.90641749999999899</v>
      </c>
      <c r="AB1135">
        <v>22</v>
      </c>
      <c r="AC1135">
        <v>11.446400000000001</v>
      </c>
      <c r="AD1135">
        <v>-1.10104181664</v>
      </c>
      <c r="AE1135">
        <v>-6.5895999999999599</v>
      </c>
      <c r="AF1135">
        <v>5.6021159774173404</v>
      </c>
      <c r="AG1135">
        <v>-1.10104181664</v>
      </c>
      <c r="AH1135">
        <v>11.860002272000299</v>
      </c>
      <c r="AI1135">
        <v>94.798334456585195</v>
      </c>
      <c r="AJ1135">
        <v>64.716118414708603</v>
      </c>
      <c r="AK1135">
        <v>13.1626612202197</v>
      </c>
    </row>
    <row r="1136" spans="1:37" x14ac:dyDescent="0.2">
      <c r="A1136" t="str">
        <f>"20200111153629531"</f>
        <v>20200111153629531</v>
      </c>
      <c r="B1136" t="str">
        <f>"1578728189524104"</f>
        <v>1578728189524104</v>
      </c>
      <c r="C1136" t="s">
        <v>37</v>
      </c>
      <c r="D1136">
        <v>6.1500190000000003</v>
      </c>
      <c r="E1136">
        <v>0.61424749999999995</v>
      </c>
      <c r="F1136" t="s">
        <v>41</v>
      </c>
      <c r="G1136">
        <v>-198.9007</v>
      </c>
      <c r="H1136" s="1">
        <v>-9.8006319999999998E-6</v>
      </c>
      <c r="I1136">
        <v>360.71100000000001</v>
      </c>
      <c r="J1136">
        <v>-210.27860000000001</v>
      </c>
      <c r="K1136">
        <v>1.100946</v>
      </c>
      <c r="L1136">
        <v>367.31699999999898</v>
      </c>
      <c r="M1136">
        <v>0.9963071</v>
      </c>
      <c r="N1136">
        <v>0</v>
      </c>
      <c r="O1136">
        <v>-8.472325E-2</v>
      </c>
      <c r="P1136">
        <v>0.97133389999999997</v>
      </c>
      <c r="Q1136">
        <v>3.7028310000000002E-2</v>
      </c>
      <c r="R1136">
        <v>-0.2348182</v>
      </c>
      <c r="S1136">
        <v>2.7233580000000002</v>
      </c>
      <c r="T1136">
        <v>-0.26068249999999998</v>
      </c>
      <c r="U1136">
        <v>-1.5674440000000001</v>
      </c>
      <c r="V1136">
        <v>0.15215809999999999</v>
      </c>
      <c r="W1136">
        <v>4.9315299999999999E-2</v>
      </c>
      <c r="X1136">
        <v>0.98712509999999998</v>
      </c>
      <c r="Y1136">
        <v>0.42245549999999998</v>
      </c>
      <c r="Z1136">
        <v>-1.127181E-2</v>
      </c>
      <c r="AA1136">
        <v>0.90631360000000005</v>
      </c>
      <c r="AB1136">
        <v>22</v>
      </c>
      <c r="AC1136">
        <v>11.3779</v>
      </c>
      <c r="AD1136">
        <v>-1.1009558006319999</v>
      </c>
      <c r="AE1136">
        <v>-6.6059999999999297</v>
      </c>
      <c r="AF1136">
        <v>5.5791096844780901</v>
      </c>
      <c r="AG1136">
        <v>-1.1009558006319999</v>
      </c>
      <c r="AH1136">
        <v>11.813991695389101</v>
      </c>
      <c r="AI1136">
        <v>94.816759152003598</v>
      </c>
      <c r="AJ1136">
        <v>64.721166343370498</v>
      </c>
      <c r="AK1136">
        <v>13.111406039212801</v>
      </c>
    </row>
    <row r="1137" spans="1:37" x14ac:dyDescent="0.2">
      <c r="A1137" t="str">
        <f>"20200111153629544"</f>
        <v>20200111153629544</v>
      </c>
      <c r="B1137" t="str">
        <f>"1578728189533864"</f>
        <v>1578728189533864</v>
      </c>
      <c r="C1137" t="s">
        <v>37</v>
      </c>
      <c r="D1137">
        <v>6.1787890000000001</v>
      </c>
      <c r="E1137">
        <v>0.61419080000000004</v>
      </c>
      <c r="F1137" t="s">
        <v>41</v>
      </c>
      <c r="G1137">
        <v>-198.84899999999999</v>
      </c>
      <c r="H1137" s="1">
        <v>-9.7873500000000004E-6</v>
      </c>
      <c r="I1137">
        <v>360.67910000000001</v>
      </c>
      <c r="J1137">
        <v>-210.16149999999999</v>
      </c>
      <c r="K1137">
        <v>1.100865</v>
      </c>
      <c r="L1137">
        <v>367.30309999999997</v>
      </c>
      <c r="M1137">
        <v>0.99599649999999995</v>
      </c>
      <c r="N1137">
        <v>0</v>
      </c>
      <c r="O1137">
        <v>-8.8296910000000006E-2</v>
      </c>
      <c r="P1137">
        <v>0.97042269999999897</v>
      </c>
      <c r="Q1137">
        <v>3.7054339999999998E-2</v>
      </c>
      <c r="R1137">
        <v>-0.2385515</v>
      </c>
      <c r="S1137">
        <v>2.7170259999999899</v>
      </c>
      <c r="T1137">
        <v>-0.26171929999999999</v>
      </c>
      <c r="U1137">
        <v>-1.5779719999999999</v>
      </c>
      <c r="V1137">
        <v>0.15242339999999999</v>
      </c>
      <c r="W1137">
        <v>4.9320059999999999E-2</v>
      </c>
      <c r="X1137">
        <v>0.98708390000000001</v>
      </c>
      <c r="Y1137">
        <v>0.42274979999999901</v>
      </c>
      <c r="Z1137">
        <v>-1.1028380000000001E-2</v>
      </c>
      <c r="AA1137">
        <v>0.90617939999999997</v>
      </c>
      <c r="AB1137">
        <v>22</v>
      </c>
      <c r="AC1137">
        <v>11.312499999999901</v>
      </c>
      <c r="AD1137">
        <v>-1.10087478735</v>
      </c>
      <c r="AE1137">
        <v>-6.6239999999999597</v>
      </c>
      <c r="AF1137">
        <v>5.55995685125494</v>
      </c>
      <c r="AG1137">
        <v>-1.10087478735</v>
      </c>
      <c r="AH1137">
        <v>11.7702363100199</v>
      </c>
      <c r="AI1137">
        <v>94.833988056404905</v>
      </c>
      <c r="AJ1137">
        <v>64.715154663444494</v>
      </c>
      <c r="AK1137">
        <v>13.0638244124357</v>
      </c>
    </row>
    <row r="1138" spans="1:37" x14ac:dyDescent="0.2">
      <c r="A1138" t="str">
        <f>"20200111153629557"</f>
        <v>20200111153629557</v>
      </c>
      <c r="B1138" t="str">
        <f>"1578728189553384"</f>
        <v>1578728189553384</v>
      </c>
      <c r="C1138" t="s">
        <v>37</v>
      </c>
      <c r="D1138">
        <v>6.2094709999999997</v>
      </c>
      <c r="E1138">
        <v>0.61408909999999906</v>
      </c>
      <c r="F1138" t="s">
        <v>41</v>
      </c>
      <c r="G1138">
        <v>-198.78129999999999</v>
      </c>
      <c r="H1138" s="1">
        <v>-9.7703810000000002E-6</v>
      </c>
      <c r="I1138">
        <v>360.6354</v>
      </c>
      <c r="J1138">
        <v>-210.02789999999999</v>
      </c>
      <c r="K1138">
        <v>1.1007719999999901</v>
      </c>
      <c r="L1138">
        <v>367.2867</v>
      </c>
      <c r="M1138">
        <v>0.99561819999999901</v>
      </c>
      <c r="N1138">
        <v>0</v>
      </c>
      <c r="O1138">
        <v>-9.2462730000000007E-2</v>
      </c>
      <c r="P1138">
        <v>0.9693254</v>
      </c>
      <c r="Q1138">
        <v>3.7213360000000001E-2</v>
      </c>
      <c r="R1138">
        <v>-0.24294839999999901</v>
      </c>
      <c r="S1138">
        <v>2.7109990000000002</v>
      </c>
      <c r="T1138">
        <v>-0.26225019999999999</v>
      </c>
      <c r="U1138">
        <v>-1.588379</v>
      </c>
      <c r="V1138">
        <v>0.15278249999999999</v>
      </c>
      <c r="W1138">
        <v>4.9453419999999998E-2</v>
      </c>
      <c r="X1138">
        <v>0.987021699999999</v>
      </c>
      <c r="Y1138">
        <v>0.4224388</v>
      </c>
      <c r="Z1138">
        <v>-1.0681380000000001E-2</v>
      </c>
      <c r="AA1138">
        <v>0.90632849999999998</v>
      </c>
      <c r="AB1138">
        <v>22</v>
      </c>
      <c r="AC1138">
        <v>11.246600000000001</v>
      </c>
      <c r="AD1138">
        <v>-1.1007817703809999</v>
      </c>
      <c r="AE1138">
        <v>-6.6512999999999902</v>
      </c>
      <c r="AF1138">
        <v>5.5434639217578798</v>
      </c>
      <c r="AG1138">
        <v>-1.1007817703809999</v>
      </c>
      <c r="AH1138">
        <v>11.730214337798101</v>
      </c>
      <c r="AI1138">
        <v>94.849611159448202</v>
      </c>
      <c r="AJ1138">
        <v>64.705521698984299</v>
      </c>
      <c r="AK1138">
        <v>13.0207388871953</v>
      </c>
    </row>
    <row r="1139" spans="1:37" x14ac:dyDescent="0.2">
      <c r="A1139" t="str">
        <f>"20200111153629573"</f>
        <v>20200111153629573</v>
      </c>
      <c r="B1139" t="str">
        <f>"1578728189564120"</f>
        <v>1578728189564120</v>
      </c>
      <c r="C1139" t="s">
        <v>37</v>
      </c>
      <c r="D1139">
        <v>6.1783869999999999</v>
      </c>
      <c r="E1139">
        <v>0.61404419999999904</v>
      </c>
      <c r="F1139" t="s">
        <v>41</v>
      </c>
      <c r="G1139">
        <v>-198.70849999999999</v>
      </c>
      <c r="H1139" s="1">
        <v>-9.7517580000000005E-6</v>
      </c>
      <c r="I1139">
        <v>360.59100000000001</v>
      </c>
      <c r="J1139">
        <v>-209.8766</v>
      </c>
      <c r="K1139">
        <v>1.1006639999999901</v>
      </c>
      <c r="L1139">
        <v>367.26710000000003</v>
      </c>
      <c r="M1139">
        <v>0.99515390000000004</v>
      </c>
      <c r="N1139">
        <v>0</v>
      </c>
      <c r="O1139">
        <v>-9.7330059999999996E-2</v>
      </c>
      <c r="P1139">
        <v>0.96788039999999997</v>
      </c>
      <c r="Q1139">
        <v>3.7465709999999999E-2</v>
      </c>
      <c r="R1139">
        <v>-0.248604299999999</v>
      </c>
      <c r="S1139">
        <v>2.7041169999999899</v>
      </c>
      <c r="T1139">
        <v>-0.26296759999999902</v>
      </c>
      <c r="U1139">
        <v>-1.599548</v>
      </c>
      <c r="V1139">
        <v>0.1537367</v>
      </c>
      <c r="W1139">
        <v>4.9671529999999998E-2</v>
      </c>
      <c r="X1139">
        <v>0.98686260000000003</v>
      </c>
      <c r="Y1139">
        <v>0.42180420000000002</v>
      </c>
      <c r="Z1139">
        <v>-1.0265410000000001E-2</v>
      </c>
      <c r="AA1139">
        <v>0.90662880000000001</v>
      </c>
      <c r="AB1139">
        <v>22</v>
      </c>
      <c r="AC1139">
        <v>11.168100000000001</v>
      </c>
      <c r="AD1139">
        <v>-1.1006737517579901</v>
      </c>
      <c r="AE1139">
        <v>-6.6761000000000097</v>
      </c>
      <c r="AF1139">
        <v>5.5178132591730504</v>
      </c>
      <c r="AG1139">
        <v>-1.1006737517579901</v>
      </c>
      <c r="AH1139">
        <v>11.681322797360099</v>
      </c>
      <c r="AI1139">
        <v>94.869743849722894</v>
      </c>
      <c r="AJ1139">
        <v>64.715728655789405</v>
      </c>
      <c r="AK1139">
        <v>12.9657644651999</v>
      </c>
    </row>
    <row r="1140" spans="1:37" x14ac:dyDescent="0.2">
      <c r="A1140" t="str">
        <f>"20200111153629589"</f>
        <v>20200111153629589</v>
      </c>
      <c r="B1140" t="str">
        <f>"1578728189583640"</f>
        <v>1578728189583640</v>
      </c>
      <c r="C1140" t="s">
        <v>37</v>
      </c>
      <c r="D1140">
        <v>5.9210699999999896</v>
      </c>
      <c r="E1140">
        <v>0.61411499999999997</v>
      </c>
      <c r="F1140" t="s">
        <v>41</v>
      </c>
      <c r="G1140">
        <v>-198.61519999999999</v>
      </c>
      <c r="H1140" s="1">
        <v>-9.730421E-6</v>
      </c>
      <c r="I1140">
        <v>360.5181</v>
      </c>
      <c r="J1140">
        <v>-209.72819999999999</v>
      </c>
      <c r="K1140">
        <v>1.10056</v>
      </c>
      <c r="L1140">
        <v>367.24709999999999</v>
      </c>
      <c r="M1140">
        <v>0.9946625</v>
      </c>
      <c r="N1140">
        <v>0</v>
      </c>
      <c r="O1140">
        <v>-0.10222819999999901</v>
      </c>
      <c r="P1140">
        <v>0.96657399999999905</v>
      </c>
      <c r="Q1140">
        <v>3.7334649999999997E-2</v>
      </c>
      <c r="R1140">
        <v>-0.25365569999999998</v>
      </c>
      <c r="S1140">
        <v>2.6949160000000001</v>
      </c>
      <c r="T1140">
        <v>-0.26339659999999998</v>
      </c>
      <c r="U1140">
        <v>-1.6150819999999999</v>
      </c>
      <c r="V1140">
        <v>0.1540435</v>
      </c>
      <c r="W1140">
        <v>4.95139E-2</v>
      </c>
      <c r="X1140">
        <v>0.98682269999999905</v>
      </c>
      <c r="Y1140">
        <v>0.42256149999999998</v>
      </c>
      <c r="Z1140">
        <v>-9.899283E-3</v>
      </c>
      <c r="AA1140">
        <v>0.90628019999999998</v>
      </c>
      <c r="AB1140">
        <v>22</v>
      </c>
      <c r="AC1140">
        <v>11.113</v>
      </c>
      <c r="AD1140">
        <v>-1.100569730421</v>
      </c>
      <c r="AE1140">
        <v>-6.7289999999999797</v>
      </c>
      <c r="AF1140">
        <v>5.5179661466547598</v>
      </c>
      <c r="AG1140">
        <v>-1.100569730421</v>
      </c>
      <c r="AH1140">
        <v>11.659055831254101</v>
      </c>
      <c r="AI1140">
        <v>94.876823752951395</v>
      </c>
      <c r="AJ1140">
        <v>64.672870064863503</v>
      </c>
      <c r="AK1140">
        <v>12.9457632839261</v>
      </c>
    </row>
    <row r="1141" spans="1:37" x14ac:dyDescent="0.2">
      <c r="A1141" t="str">
        <f>"20200111153629604"</f>
        <v>20200111153629604</v>
      </c>
      <c r="B1141" t="str">
        <f>"1578728189593400"</f>
        <v>1578728189593400</v>
      </c>
      <c r="C1141" t="s">
        <v>37</v>
      </c>
      <c r="D1141">
        <v>5.8153990000000002</v>
      </c>
      <c r="E1141">
        <v>0.6325191</v>
      </c>
      <c r="F1141" t="s">
        <v>41</v>
      </c>
      <c r="G1141">
        <v>-198.57239999999999</v>
      </c>
      <c r="H1141" s="1">
        <v>-9.7211450000000006E-6</v>
      </c>
      <c r="I1141">
        <v>360.48129999999998</v>
      </c>
      <c r="J1141">
        <v>-209.5829</v>
      </c>
      <c r="K1141">
        <v>1.1004579999999999</v>
      </c>
      <c r="L1141">
        <v>367.22669999999999</v>
      </c>
      <c r="M1141">
        <v>0.99414590000000003</v>
      </c>
      <c r="N1141">
        <v>0</v>
      </c>
      <c r="O1141">
        <v>-0.1071341</v>
      </c>
      <c r="P1141">
        <v>0.96524759999999998</v>
      </c>
      <c r="Q1141">
        <v>3.7477940000000001E-2</v>
      </c>
      <c r="R1141">
        <v>-0.25863599999999998</v>
      </c>
      <c r="S1141">
        <v>2.6864169999999898</v>
      </c>
      <c r="T1141">
        <v>-0.26502759999999997</v>
      </c>
      <c r="U1141">
        <v>-1.6292719999999901</v>
      </c>
      <c r="V1141">
        <v>0.1542782</v>
      </c>
      <c r="W1141">
        <v>4.9633440000000001E-2</v>
      </c>
      <c r="X1141">
        <v>0.98677999999999899</v>
      </c>
      <c r="Y1141">
        <v>0.42286489999999999</v>
      </c>
      <c r="Z1141">
        <v>-9.5520320000000002E-3</v>
      </c>
      <c r="AA1141">
        <v>0.90614240000000001</v>
      </c>
      <c r="AB1141">
        <v>22</v>
      </c>
      <c r="AC1141">
        <v>11.0105</v>
      </c>
      <c r="AD1141">
        <v>-1.100467721145</v>
      </c>
      <c r="AE1141">
        <v>-6.7454000000000098</v>
      </c>
      <c r="AF1141">
        <v>5.4870000030316204</v>
      </c>
      <c r="AG1141">
        <v>-1.100467721145</v>
      </c>
      <c r="AH1141">
        <v>11.585699766963501</v>
      </c>
      <c r="AI1141">
        <v>94.906487386237103</v>
      </c>
      <c r="AJ1141">
        <v>64.6577140222672</v>
      </c>
      <c r="AK1141">
        <v>12.866492813846699</v>
      </c>
    </row>
    <row r="1142" spans="1:37" x14ac:dyDescent="0.2">
      <c r="A1142" t="str">
        <f>"20200111153629616"</f>
        <v>20200111153629616</v>
      </c>
      <c r="B1142" t="str">
        <f>"1578728189613897"</f>
        <v>1578728189613897</v>
      </c>
      <c r="C1142" t="s">
        <v>37</v>
      </c>
      <c r="D1142">
        <v>5.8455539999999999</v>
      </c>
      <c r="E1142">
        <v>0.6351154</v>
      </c>
      <c r="F1142" t="s">
        <v>41</v>
      </c>
      <c r="G1142">
        <v>-201.19799999999901</v>
      </c>
      <c r="H1142" s="1">
        <v>-2.8249400000000001E-6</v>
      </c>
      <c r="I1142">
        <v>361.57350000000002</v>
      </c>
      <c r="J1142">
        <v>-209.45050000000001</v>
      </c>
      <c r="K1142">
        <v>1.100366</v>
      </c>
      <c r="L1142">
        <v>367.20729999999998</v>
      </c>
      <c r="M1142">
        <v>0.99364200000000003</v>
      </c>
      <c r="N1142">
        <v>0</v>
      </c>
      <c r="O1142">
        <v>-0.11170860000000001</v>
      </c>
      <c r="P1142">
        <v>0.9640126</v>
      </c>
      <c r="Q1142">
        <v>3.7231599999999997E-2</v>
      </c>
      <c r="R1142">
        <v>-0.2632369</v>
      </c>
      <c r="S1142">
        <v>2.6438599999999899</v>
      </c>
      <c r="T1142">
        <v>-0.3469872</v>
      </c>
      <c r="U1142">
        <v>-1.7825009999999999</v>
      </c>
      <c r="V1142">
        <v>0.1544507</v>
      </c>
      <c r="W1142">
        <v>4.9366729999999998E-2</v>
      </c>
      <c r="X1142">
        <v>0.98676640000000004</v>
      </c>
      <c r="Y1142">
        <v>0.46086109999999902</v>
      </c>
      <c r="Z1142">
        <v>-1.4211039999999999E-2</v>
      </c>
      <c r="AA1142">
        <v>0.88735849999999905</v>
      </c>
      <c r="AB1142">
        <v>22</v>
      </c>
      <c r="AC1142">
        <v>8.2525000000000208</v>
      </c>
      <c r="AD1142">
        <v>-1.1003688249400001</v>
      </c>
      <c r="AE1142">
        <v>-5.6337999999999502</v>
      </c>
      <c r="AF1142">
        <v>4.6205315463135399</v>
      </c>
      <c r="AG1142">
        <v>-1.1003688249400001</v>
      </c>
      <c r="AH1142">
        <v>8.7244411326388001</v>
      </c>
      <c r="AI1142">
        <v>96.3598569494375</v>
      </c>
      <c r="AJ1142">
        <v>62.093959290312</v>
      </c>
      <c r="AK1142">
        <v>9.9335792340051494</v>
      </c>
    </row>
    <row r="1143" spans="1:37" x14ac:dyDescent="0.2">
      <c r="A1143" t="str">
        <f>"20200111153629631"</f>
        <v>20200111153629631</v>
      </c>
      <c r="B1143" t="str">
        <f>"1578728189623655"</f>
        <v>1578728189623655</v>
      </c>
      <c r="C1143" t="s">
        <v>37</v>
      </c>
      <c r="D1143">
        <v>5.8075140000000003</v>
      </c>
      <c r="E1143">
        <v>0.63576219999999894</v>
      </c>
      <c r="F1143" t="s">
        <v>41</v>
      </c>
      <c r="G1143">
        <v>-200.64580000000001</v>
      </c>
      <c r="H1143" s="1">
        <v>-2.6362599999999998E-6</v>
      </c>
      <c r="I1143">
        <v>361.12479999999999</v>
      </c>
      <c r="J1143">
        <v>-209.31700000000001</v>
      </c>
      <c r="K1143">
        <v>1.1002829999999999</v>
      </c>
      <c r="L1143">
        <v>367.18689999999998</v>
      </c>
      <c r="M1143">
        <v>0.99309899999999995</v>
      </c>
      <c r="N1143">
        <v>0</v>
      </c>
      <c r="O1143">
        <v>-0.1164336</v>
      </c>
      <c r="P1143">
        <v>0.96269669999999896</v>
      </c>
      <c r="Q1143">
        <v>3.7241999999999997E-2</v>
      </c>
      <c r="R1143">
        <v>-0.26800799999999902</v>
      </c>
      <c r="S1143">
        <v>2.628784</v>
      </c>
      <c r="T1143">
        <v>-0.3285342</v>
      </c>
      <c r="U1143">
        <v>-1.8160400000000001</v>
      </c>
      <c r="V1143">
        <v>0.1546546</v>
      </c>
      <c r="W1143">
        <v>4.9359109999999998E-2</v>
      </c>
      <c r="X1143">
        <v>0.98673480000000002</v>
      </c>
      <c r="Y1143">
        <v>0.46689979999999998</v>
      </c>
      <c r="Z1143">
        <v>-1.33017E-2</v>
      </c>
      <c r="AA1143">
        <v>0.88421019999999995</v>
      </c>
      <c r="AB1143">
        <v>22</v>
      </c>
      <c r="AC1143">
        <v>8.67119999999999</v>
      </c>
      <c r="AD1143">
        <v>-1.10028563626</v>
      </c>
      <c r="AE1143">
        <v>-6.0620999999999796</v>
      </c>
      <c r="AF1143">
        <v>4.9575254107889704</v>
      </c>
      <c r="AG1143">
        <v>-1.10028563626</v>
      </c>
      <c r="AH1143">
        <v>9.2184147783664301</v>
      </c>
      <c r="AI1143">
        <v>96.000914687727004</v>
      </c>
      <c r="AJ1143">
        <v>61.729301722625102</v>
      </c>
      <c r="AK1143">
        <v>10.524583493230599</v>
      </c>
    </row>
    <row r="1144" spans="1:37" x14ac:dyDescent="0.2">
      <c r="A1144" t="str">
        <f>"20200111153629642"</f>
        <v>20200111153629642</v>
      </c>
      <c r="B1144" t="str">
        <f>"1578728189633416"</f>
        <v>1578728189633416</v>
      </c>
      <c r="C1144" t="s">
        <v>37</v>
      </c>
      <c r="D1144">
        <v>5.8815089999999897</v>
      </c>
      <c r="E1144">
        <v>0.6358473</v>
      </c>
      <c r="F1144" t="s">
        <v>41</v>
      </c>
      <c r="G1144">
        <v>-200.41659999999999</v>
      </c>
      <c r="H1144" s="1">
        <v>-2.5464509999999998E-6</v>
      </c>
      <c r="I1144">
        <v>360.95249999999999</v>
      </c>
      <c r="J1144">
        <v>-209.203</v>
      </c>
      <c r="K1144">
        <v>1.1002149999999999</v>
      </c>
      <c r="L1144">
        <v>367.16899999999998</v>
      </c>
      <c r="M1144">
        <v>0.99261200000000005</v>
      </c>
      <c r="N1144">
        <v>0</v>
      </c>
      <c r="O1144">
        <v>-0.1205133</v>
      </c>
      <c r="P1144">
        <v>0.96150729999999995</v>
      </c>
      <c r="Q1144">
        <v>3.6935299999999997E-2</v>
      </c>
      <c r="R1144">
        <v>-0.27228540000000001</v>
      </c>
      <c r="S1144">
        <v>2.6182249999999998</v>
      </c>
      <c r="T1144">
        <v>-0.3236734</v>
      </c>
      <c r="U1144">
        <v>-1.8339840000000001</v>
      </c>
      <c r="V1144">
        <v>0.15499070000000001</v>
      </c>
      <c r="W1144">
        <v>4.9036209999999997E-2</v>
      </c>
      <c r="X1144">
        <v>0.98669819999999997</v>
      </c>
      <c r="Y1144">
        <v>0.46907270000000001</v>
      </c>
      <c r="Z1144">
        <v>-1.28057999999999E-2</v>
      </c>
      <c r="AA1144">
        <v>0.88306669999999998</v>
      </c>
      <c r="AB1144">
        <v>22</v>
      </c>
      <c r="AC1144">
        <v>8.7864000000000093</v>
      </c>
      <c r="AD1144">
        <v>-1.100217546451</v>
      </c>
      <c r="AE1144">
        <v>-6.2165000000000497</v>
      </c>
      <c r="AF1144">
        <v>5.0593351773815698</v>
      </c>
      <c r="AG1144">
        <v>-1.100217546451</v>
      </c>
      <c r="AH1144">
        <v>9.3736487416360497</v>
      </c>
      <c r="AI1144">
        <v>95.897097796759795</v>
      </c>
      <c r="AJ1144">
        <v>61.642479148343703</v>
      </c>
      <c r="AK1144">
        <v>10.7085312633518</v>
      </c>
    </row>
    <row r="1145" spans="1:37" x14ac:dyDescent="0.2">
      <c r="A1145" t="str">
        <f>"20200111153629654"</f>
        <v>20200111153629654</v>
      </c>
      <c r="B1145" t="str">
        <f>"1578728189644152"</f>
        <v>1578728189644152</v>
      </c>
      <c r="C1145" t="s">
        <v>37</v>
      </c>
      <c r="D1145">
        <v>5.8546100000000001</v>
      </c>
      <c r="E1145">
        <v>0.63591850000000005</v>
      </c>
      <c r="F1145" t="s">
        <v>41</v>
      </c>
      <c r="G1145">
        <v>-200.34139999999999</v>
      </c>
      <c r="H1145" s="1">
        <v>-2.5164799999999998E-6</v>
      </c>
      <c r="I1145">
        <v>360.89760000000001</v>
      </c>
      <c r="J1145">
        <v>-209.08359999999999</v>
      </c>
      <c r="K1145">
        <v>1.1001479999999999</v>
      </c>
      <c r="L1145">
        <v>367.14960000000002</v>
      </c>
      <c r="M1145">
        <v>0.99207259999999997</v>
      </c>
      <c r="N1145">
        <v>0</v>
      </c>
      <c r="O1145">
        <v>-0.12487429999999999</v>
      </c>
      <c r="P1145">
        <v>0.96025169999999904</v>
      </c>
      <c r="Q1145">
        <v>3.6698260000000003E-2</v>
      </c>
      <c r="R1145">
        <v>-0.27671279999999998</v>
      </c>
      <c r="S1145">
        <v>2.6095579999999998</v>
      </c>
      <c r="T1145">
        <v>-0.323988</v>
      </c>
      <c r="U1145">
        <v>-1.8467709999999999</v>
      </c>
      <c r="V1145">
        <v>0.15520529999999999</v>
      </c>
      <c r="W1145">
        <v>4.8785210000000002E-2</v>
      </c>
      <c r="X1145">
        <v>0.98667689999999997</v>
      </c>
      <c r="Y1145">
        <v>0.46947609999999901</v>
      </c>
      <c r="Z1145">
        <v>-1.238673E-2</v>
      </c>
      <c r="AA1145">
        <v>0.88285829999999998</v>
      </c>
      <c r="AB1145">
        <v>22</v>
      </c>
      <c r="AC1145">
        <v>8.7421999999999898</v>
      </c>
      <c r="AD1145">
        <v>-1.1001505164799901</v>
      </c>
      <c r="AE1145">
        <v>-6.2519999999999998</v>
      </c>
      <c r="AF1145">
        <v>5.0582690956904397</v>
      </c>
      <c r="AG1145">
        <v>-1.1001505164799901</v>
      </c>
      <c r="AH1145">
        <v>9.3565130561665502</v>
      </c>
      <c r="AI1145">
        <v>95.905319429577006</v>
      </c>
      <c r="AJ1145">
        <v>61.603689602847197</v>
      </c>
      <c r="AK1145">
        <v>10.6930236123158</v>
      </c>
    </row>
    <row r="1146" spans="1:37" x14ac:dyDescent="0.2">
      <c r="A1146" t="str">
        <f>"20200111153629668"</f>
        <v>20200111153629668</v>
      </c>
      <c r="B1146" t="str">
        <f>"1578728189663671"</f>
        <v>1578728189663671</v>
      </c>
      <c r="C1146" t="s">
        <v>37</v>
      </c>
      <c r="D1146">
        <v>5.831194</v>
      </c>
      <c r="E1146">
        <v>0.63574609999999998</v>
      </c>
      <c r="F1146" t="s">
        <v>41</v>
      </c>
      <c r="G1146">
        <v>-200.28280000000001</v>
      </c>
      <c r="H1146" s="1">
        <v>-2.4925540000000001E-6</v>
      </c>
      <c r="I1146">
        <v>360.85730000000001</v>
      </c>
      <c r="J1146">
        <v>-208.95500000000001</v>
      </c>
      <c r="K1146">
        <v>1.100077</v>
      </c>
      <c r="L1146">
        <v>367.12799999999999</v>
      </c>
      <c r="M1146">
        <v>0.99145949999999905</v>
      </c>
      <c r="N1146">
        <v>0</v>
      </c>
      <c r="O1146">
        <v>-0.12965180000000001</v>
      </c>
      <c r="P1146">
        <v>0.95884040000000004</v>
      </c>
      <c r="Q1146">
        <v>3.6391630000000001E-2</v>
      </c>
      <c r="R1146">
        <v>-0.28160489999999999</v>
      </c>
      <c r="S1146">
        <v>2.6007689999999899</v>
      </c>
      <c r="T1146">
        <v>-0.32511030000000002</v>
      </c>
      <c r="U1146">
        <v>-1.85946699999999</v>
      </c>
      <c r="V1146">
        <v>0.1554857</v>
      </c>
      <c r="W1146">
        <v>4.8464210000000001E-2</v>
      </c>
      <c r="X1146">
        <v>0.98664859999999899</v>
      </c>
      <c r="Y1146">
        <v>0.46950049999999999</v>
      </c>
      <c r="Z1146">
        <v>-1.1929759999999999E-2</v>
      </c>
      <c r="AA1146">
        <v>0.88285159999999996</v>
      </c>
      <c r="AB1146">
        <v>22</v>
      </c>
      <c r="AC1146">
        <v>8.6722000000000001</v>
      </c>
      <c r="AD1146">
        <v>-1.1000794925540001</v>
      </c>
      <c r="AE1146">
        <v>-6.2707000000000299</v>
      </c>
      <c r="AF1146">
        <v>5.0400284346820499</v>
      </c>
      <c r="AG1146">
        <v>-1.1000794925540001</v>
      </c>
      <c r="AH1146">
        <v>9.3136632784611901</v>
      </c>
      <c r="AI1146">
        <v>95.930611741415305</v>
      </c>
      <c r="AJ1146">
        <v>61.5802515123519</v>
      </c>
      <c r="AK1146">
        <v>10.646895565229199</v>
      </c>
    </row>
    <row r="1147" spans="1:37" x14ac:dyDescent="0.2">
      <c r="A1147" t="str">
        <f>"20200111153629684"</f>
        <v>20200111153629684</v>
      </c>
      <c r="B1147" t="str">
        <f>"1578728189673432"</f>
        <v>1578728189673432</v>
      </c>
      <c r="C1147" t="s">
        <v>37</v>
      </c>
      <c r="D1147">
        <v>5.8999139999999999</v>
      </c>
      <c r="E1147">
        <v>0.63565990000000006</v>
      </c>
      <c r="F1147" t="s">
        <v>41</v>
      </c>
      <c r="G1147">
        <v>-200.26400000000001</v>
      </c>
      <c r="H1147" s="1">
        <v>-2.4827579999999999E-6</v>
      </c>
      <c r="I1147">
        <v>360.85219999999998</v>
      </c>
      <c r="J1147">
        <v>-208.8022</v>
      </c>
      <c r="K1147">
        <v>1.100001</v>
      </c>
      <c r="L1147">
        <v>367.10149999999999</v>
      </c>
      <c r="M1147">
        <v>0.99068969999999901</v>
      </c>
      <c r="N1147">
        <v>0</v>
      </c>
      <c r="O1147">
        <v>-0.13540550000000001</v>
      </c>
      <c r="P1147">
        <v>0.95713199999999998</v>
      </c>
      <c r="Q1147">
        <v>3.582432E-2</v>
      </c>
      <c r="R1147">
        <v>-0.28742859999999998</v>
      </c>
      <c r="S1147">
        <v>2.5916139999999999</v>
      </c>
      <c r="T1147">
        <v>-0.32803880000000002</v>
      </c>
      <c r="U1147">
        <v>-1.871399</v>
      </c>
      <c r="V1147">
        <v>0.15575529999999899</v>
      </c>
      <c r="W1147">
        <v>4.7883139999999998E-2</v>
      </c>
      <c r="X1147">
        <v>0.98663440000000002</v>
      </c>
      <c r="Y1147">
        <v>0.4685318</v>
      </c>
      <c r="Z1147">
        <v>-1.1370470000000001E-2</v>
      </c>
      <c r="AA1147">
        <v>0.88337350000000003</v>
      </c>
      <c r="AB1147">
        <v>22</v>
      </c>
      <c r="AC1147">
        <v>8.5381999999999891</v>
      </c>
      <c r="AD1147">
        <v>-1.1000034827580001</v>
      </c>
      <c r="AE1147">
        <v>-6.2492999999999999</v>
      </c>
      <c r="AF1147">
        <v>4.9816577793438999</v>
      </c>
      <c r="AG1147">
        <v>-1.1000034827580001</v>
      </c>
      <c r="AH1147">
        <v>9.2063215073633806</v>
      </c>
      <c r="AI1147">
        <v>95.998923933639404</v>
      </c>
      <c r="AJ1147">
        <v>61.581615548053797</v>
      </c>
      <c r="AK1147">
        <v>10.525363537166699</v>
      </c>
    </row>
    <row r="1148" spans="1:37" x14ac:dyDescent="0.2">
      <c r="A1148" t="str">
        <f>"20200111153629697"</f>
        <v>20200111153629697</v>
      </c>
      <c r="B1148" t="str">
        <f>"1578728189693928"</f>
        <v>1578728189693928</v>
      </c>
      <c r="C1148" t="s">
        <v>37</v>
      </c>
      <c r="D1148">
        <v>5.8778969999999999</v>
      </c>
      <c r="E1148">
        <v>0.63506419999999997</v>
      </c>
      <c r="F1148" t="s">
        <v>41</v>
      </c>
      <c r="G1148">
        <v>-200.15170000000001</v>
      </c>
      <c r="H1148" s="1">
        <v>-2.4365490000000002E-6</v>
      </c>
      <c r="I1148">
        <v>360.77609999999999</v>
      </c>
      <c r="J1148">
        <v>-208.67140000000001</v>
      </c>
      <c r="K1148">
        <v>1.0999319999999999</v>
      </c>
      <c r="L1148">
        <v>367.07799999999997</v>
      </c>
      <c r="M1148">
        <v>0.98999190000000004</v>
      </c>
      <c r="N1148">
        <v>0</v>
      </c>
      <c r="O1148">
        <v>-0.1404157</v>
      </c>
      <c r="P1148">
        <v>0.95570219999999995</v>
      </c>
      <c r="Q1148">
        <v>3.5342100000000001E-2</v>
      </c>
      <c r="R1148">
        <v>-0.29220639999999998</v>
      </c>
      <c r="S1148">
        <v>2.5800930000000002</v>
      </c>
      <c r="T1148">
        <v>-0.32808330000000002</v>
      </c>
      <c r="U1148">
        <v>-1.8865970000000001</v>
      </c>
      <c r="V1148">
        <v>0.15569140000000001</v>
      </c>
      <c r="W1148">
        <v>4.7394459999999999E-2</v>
      </c>
      <c r="X1148">
        <v>0.98666810000000005</v>
      </c>
      <c r="Y1148">
        <v>0.46935309999999902</v>
      </c>
      <c r="Z1148">
        <v>-1.089243E-2</v>
      </c>
      <c r="AA1148">
        <v>0.88294340000000004</v>
      </c>
      <c r="AB1148">
        <v>22</v>
      </c>
      <c r="AC1148">
        <v>8.5197000000000003</v>
      </c>
      <c r="AD1148">
        <v>-1.09993443654899</v>
      </c>
      <c r="AE1148">
        <v>-6.3019000000000398</v>
      </c>
      <c r="AF1148">
        <v>4.9892812835790901</v>
      </c>
      <c r="AG1148">
        <v>-1.09993443654899</v>
      </c>
      <c r="AH1148">
        <v>9.2209078376861005</v>
      </c>
      <c r="AI1148">
        <v>95.989202886705698</v>
      </c>
      <c r="AJ1148">
        <v>61.582910132920603</v>
      </c>
      <c r="AK1148">
        <v>10.5417230490314</v>
      </c>
    </row>
    <row r="1149" spans="1:37" x14ac:dyDescent="0.2">
      <c r="A1149" t="str">
        <f>"20200111153629709"</f>
        <v>20200111153629709</v>
      </c>
      <c r="B1149" t="str">
        <f>"1578728189703687"</f>
        <v>1578728189703687</v>
      </c>
      <c r="C1149" t="s">
        <v>37</v>
      </c>
      <c r="D1149">
        <v>5.874333</v>
      </c>
      <c r="E1149">
        <v>0.63489459999999998</v>
      </c>
      <c r="F1149" t="s">
        <v>41</v>
      </c>
      <c r="G1149">
        <v>-200.06039999999999</v>
      </c>
      <c r="H1149" s="1">
        <v>-2.3941090000000001E-6</v>
      </c>
      <c r="I1149">
        <v>360.73250000000002</v>
      </c>
      <c r="J1149">
        <v>-208.55930000000001</v>
      </c>
      <c r="K1149">
        <v>1.0998809999999899</v>
      </c>
      <c r="L1149">
        <v>367.05699999999899</v>
      </c>
      <c r="M1149">
        <v>0.98936170000000001</v>
      </c>
      <c r="N1149">
        <v>0</v>
      </c>
      <c r="O1149">
        <v>-0.14478740000000001</v>
      </c>
      <c r="P1149">
        <v>0.95448759999999999</v>
      </c>
      <c r="Q1149">
        <v>3.4855749999999998E-2</v>
      </c>
      <c r="R1149">
        <v>-0.29620679999999999</v>
      </c>
      <c r="S1149">
        <v>2.571777</v>
      </c>
      <c r="T1149">
        <v>-0.32850759999999901</v>
      </c>
      <c r="U1149">
        <v>-1.8951419999999899</v>
      </c>
      <c r="V1149">
        <v>0.15546289999999999</v>
      </c>
      <c r="W1149">
        <v>4.6906249999999997E-2</v>
      </c>
      <c r="X1149">
        <v>0.98672749999999998</v>
      </c>
      <c r="Y1149">
        <v>0.46873710000000002</v>
      </c>
      <c r="Z1149">
        <v>-1.0409669999999999E-2</v>
      </c>
      <c r="AA1149">
        <v>0.88327630000000001</v>
      </c>
      <c r="AB1149">
        <v>22</v>
      </c>
      <c r="AC1149">
        <v>8.4989000000000097</v>
      </c>
      <c r="AD1149">
        <v>-1.0998833941089901</v>
      </c>
      <c r="AE1149">
        <v>-6.3244999999999401</v>
      </c>
      <c r="AF1149">
        <v>4.9735766523331497</v>
      </c>
      <c r="AG1149">
        <v>-1.0998833941089901</v>
      </c>
      <c r="AH1149">
        <v>9.2256823497932192</v>
      </c>
      <c r="AI1149">
        <v>95.9907774089274</v>
      </c>
      <c r="AJ1149">
        <v>61.670838646213603</v>
      </c>
      <c r="AK1149">
        <v>10.538473467089799</v>
      </c>
    </row>
    <row r="1150" spans="1:37" x14ac:dyDescent="0.2">
      <c r="A1150" t="str">
        <f>"20200111153629722"</f>
        <v>20200111153629722</v>
      </c>
      <c r="B1150" t="str">
        <f>"1578728189713447"</f>
        <v>1578728189713447</v>
      </c>
      <c r="C1150" t="s">
        <v>37</v>
      </c>
      <c r="D1150">
        <v>5.9291650000000002</v>
      </c>
      <c r="E1150">
        <v>0.63457089999999905</v>
      </c>
      <c r="F1150" t="s">
        <v>41</v>
      </c>
      <c r="G1150">
        <v>-199.9434</v>
      </c>
      <c r="H1150" s="1">
        <v>-1.018749E-5</v>
      </c>
      <c r="I1150">
        <v>360.65730000000002</v>
      </c>
      <c r="J1150">
        <v>-208.44159999999999</v>
      </c>
      <c r="K1150">
        <v>1.099828</v>
      </c>
      <c r="L1150">
        <v>367.03469999999999</v>
      </c>
      <c r="M1150">
        <v>0.98867490000000002</v>
      </c>
      <c r="N1150">
        <v>0</v>
      </c>
      <c r="O1150">
        <v>-0.14940339999999999</v>
      </c>
      <c r="P1150">
        <v>0.95317229999999997</v>
      </c>
      <c r="Q1150">
        <v>3.4506479999999999E-2</v>
      </c>
      <c r="R1150">
        <v>-0.30045279999999902</v>
      </c>
      <c r="S1150">
        <v>2.5639799999999999</v>
      </c>
      <c r="T1150">
        <v>-0.3273162</v>
      </c>
      <c r="U1150">
        <v>-1.9045099999999999</v>
      </c>
      <c r="V1150">
        <v>0.15524959999999999</v>
      </c>
      <c r="W1150">
        <v>4.6555199999999998E-2</v>
      </c>
      <c r="X1150">
        <v>0.98677769999999998</v>
      </c>
      <c r="Y1150">
        <v>0.46801989999999999</v>
      </c>
      <c r="Z1150">
        <v>-9.8411680000000008E-3</v>
      </c>
      <c r="AA1150">
        <v>0.88366309999999904</v>
      </c>
      <c r="AB1150">
        <v>22</v>
      </c>
      <c r="AC1150">
        <v>8.49819999999999</v>
      </c>
      <c r="AD1150">
        <v>-1.0998381874900001</v>
      </c>
      <c r="AE1150">
        <v>-6.3773999999999598</v>
      </c>
      <c r="AF1150">
        <v>4.9826305774954003</v>
      </c>
      <c r="AG1150">
        <v>-1.0998381874900001</v>
      </c>
      <c r="AH1150">
        <v>9.25651526950484</v>
      </c>
      <c r="AI1150">
        <v>95.972747092074599</v>
      </c>
      <c r="AJ1150">
        <v>61.707147348853901</v>
      </c>
      <c r="AK1150">
        <v>10.569736346997001</v>
      </c>
    </row>
    <row r="1151" spans="1:37" x14ac:dyDescent="0.2">
      <c r="A1151" t="str">
        <f>"20200111153629733"</f>
        <v>20200111153629733</v>
      </c>
      <c r="B1151" t="str">
        <f>"1578728189724184"</f>
        <v>1578728189724184</v>
      </c>
      <c r="C1151" t="s">
        <v>37</v>
      </c>
      <c r="D1151">
        <v>5.9183240000000001</v>
      </c>
      <c r="E1151">
        <v>0.63434259999999998</v>
      </c>
      <c r="F1151" t="s">
        <v>41</v>
      </c>
      <c r="G1151">
        <v>-199.86750000000001</v>
      </c>
      <c r="H1151" s="1">
        <v>-1.0165859999999999E-5</v>
      </c>
      <c r="I1151">
        <v>360.61559999999997</v>
      </c>
      <c r="J1151">
        <v>-208.32220000000001</v>
      </c>
      <c r="K1151">
        <v>1.0997749999999999</v>
      </c>
      <c r="L1151">
        <v>367.01119999999997</v>
      </c>
      <c r="M1151">
        <v>0.98794300000000002</v>
      </c>
      <c r="N1151">
        <v>0</v>
      </c>
      <c r="O1151">
        <v>-0.154168</v>
      </c>
      <c r="P1151">
        <v>0.95185789999999904</v>
      </c>
      <c r="Q1151">
        <v>3.4136689999999997E-2</v>
      </c>
      <c r="R1151">
        <v>-0.3046336</v>
      </c>
      <c r="S1151">
        <v>2.5560459999999998</v>
      </c>
      <c r="T1151">
        <v>-0.32787559999999999</v>
      </c>
      <c r="U1151">
        <v>-1.913605</v>
      </c>
      <c r="V1151">
        <v>0.1548225</v>
      </c>
      <c r="W1151">
        <v>4.6186049999999999E-2</v>
      </c>
      <c r="X1151">
        <v>0.98686209999999996</v>
      </c>
      <c r="Y1151">
        <v>0.46711399999999997</v>
      </c>
      <c r="Z1151">
        <v>-9.298766E-3</v>
      </c>
      <c r="AA1151">
        <v>0.88414820000000005</v>
      </c>
      <c r="AB1151">
        <v>21</v>
      </c>
      <c r="AC1151">
        <v>8.4547000000000008</v>
      </c>
      <c r="AD1151">
        <v>-1.09978516586</v>
      </c>
      <c r="AE1151">
        <v>-6.3956</v>
      </c>
      <c r="AF1151">
        <v>4.9621437399472503</v>
      </c>
      <c r="AG1151">
        <v>-1.09978516586</v>
      </c>
      <c r="AH1151">
        <v>9.2402502703918099</v>
      </c>
      <c r="AI1151">
        <v>95.986043994452999</v>
      </c>
      <c r="AJ1151">
        <v>61.763579023290497</v>
      </c>
      <c r="AK1151">
        <v>10.5458343892941</v>
      </c>
    </row>
    <row r="1152" spans="1:37" x14ac:dyDescent="0.2">
      <c r="A1152" t="str">
        <f>"20200111153629746"</f>
        <v>20200111153629746</v>
      </c>
      <c r="B1152" t="str">
        <f>"1578728189743704"</f>
        <v>1578728189743704</v>
      </c>
      <c r="C1152" t="s">
        <v>37</v>
      </c>
      <c r="D1152">
        <v>5.9386339999999898</v>
      </c>
      <c r="E1152">
        <v>0.63386399999999998</v>
      </c>
      <c r="F1152" t="s">
        <v>41</v>
      </c>
      <c r="G1152">
        <v>-199.8021</v>
      </c>
      <c r="H1152" s="1">
        <v>-1.0147160000000001E-5</v>
      </c>
      <c r="I1152">
        <v>360.58019999999999</v>
      </c>
      <c r="J1152">
        <v>-208.209</v>
      </c>
      <c r="K1152">
        <v>1.0997250000000001</v>
      </c>
      <c r="L1152">
        <v>366.98829999999998</v>
      </c>
      <c r="M1152">
        <v>0.98722019999999899</v>
      </c>
      <c r="N1152">
        <v>0</v>
      </c>
      <c r="O1152">
        <v>-0.1587305</v>
      </c>
      <c r="P1152">
        <v>0.95054760000000005</v>
      </c>
      <c r="Q1152">
        <v>3.4053680000000003E-2</v>
      </c>
      <c r="R1152">
        <v>-0.30870740000000002</v>
      </c>
      <c r="S1152">
        <v>2.548035</v>
      </c>
      <c r="T1152">
        <v>-0.32890269999999999</v>
      </c>
      <c r="U1152">
        <v>-1.9232479999999901</v>
      </c>
      <c r="V1152">
        <v>0.15449379999999999</v>
      </c>
      <c r="W1152">
        <v>4.6103169999999999E-2</v>
      </c>
      <c r="X1152">
        <v>0.986917499999999</v>
      </c>
      <c r="Y1152">
        <v>0.466514599999999</v>
      </c>
      <c r="Z1152">
        <v>-8.8055080000000001E-3</v>
      </c>
      <c r="AA1152">
        <v>0.88446959999999997</v>
      </c>
      <c r="AB1152">
        <v>21</v>
      </c>
      <c r="AC1152">
        <v>8.4069000000000091</v>
      </c>
      <c r="AD1152">
        <v>-1.0997351471600001</v>
      </c>
      <c r="AE1152">
        <v>-6.4080999999999904</v>
      </c>
      <c r="AF1152">
        <v>4.9388203973164897</v>
      </c>
      <c r="AG1152">
        <v>-1.0997351471600001</v>
      </c>
      <c r="AH1152">
        <v>9.2177894763359998</v>
      </c>
      <c r="AI1152">
        <v>96.003284909918406</v>
      </c>
      <c r="AJ1152">
        <v>61.817937964698203</v>
      </c>
      <c r="AK1152">
        <v>10.515179843488101</v>
      </c>
    </row>
    <row r="1153" spans="1:37" x14ac:dyDescent="0.2">
      <c r="A1153" t="str">
        <f>"20200111153629759"</f>
        <v>20200111153629759</v>
      </c>
      <c r="B1153" t="str">
        <f>"1578728189753463"</f>
        <v>1578728189753463</v>
      </c>
      <c r="C1153" t="s">
        <v>37</v>
      </c>
      <c r="D1153">
        <v>5.9464220000000001</v>
      </c>
      <c r="E1153">
        <v>0.63356029999999997</v>
      </c>
      <c r="F1153" t="s">
        <v>41</v>
      </c>
      <c r="G1153">
        <v>-199.75700000000001</v>
      </c>
      <c r="H1153" s="1">
        <v>-1.013276E-5</v>
      </c>
      <c r="I1153">
        <v>360.56630000000001</v>
      </c>
      <c r="J1153">
        <v>-208.0849</v>
      </c>
      <c r="K1153">
        <v>1.099672</v>
      </c>
      <c r="L1153">
        <v>366.96280000000002</v>
      </c>
      <c r="M1153">
        <v>0.98639539999999903</v>
      </c>
      <c r="N1153">
        <v>0</v>
      </c>
      <c r="O1153">
        <v>-0.163775799999999</v>
      </c>
      <c r="P1153">
        <v>0.94901369999999896</v>
      </c>
      <c r="Q1153">
        <v>3.3945570000000001E-2</v>
      </c>
      <c r="R1153">
        <v>-0.31340190000000001</v>
      </c>
      <c r="S1153">
        <v>2.540924</v>
      </c>
      <c r="T1153">
        <v>-0.3306115</v>
      </c>
      <c r="U1153">
        <v>-1.930634</v>
      </c>
      <c r="V1153">
        <v>0.15432979999999999</v>
      </c>
      <c r="W1153">
        <v>4.5992659999999998E-2</v>
      </c>
      <c r="X1153">
        <v>0.9869483</v>
      </c>
      <c r="Y1153">
        <v>0.46483249999999998</v>
      </c>
      <c r="Z1153">
        <v>-8.2088109999999999E-3</v>
      </c>
      <c r="AA1153">
        <v>0.88536059999999905</v>
      </c>
      <c r="AB1153">
        <v>21</v>
      </c>
      <c r="AC1153">
        <v>8.3278999999999996</v>
      </c>
      <c r="AD1153">
        <v>-1.0996821327599999</v>
      </c>
      <c r="AE1153">
        <v>-6.3964999999999996</v>
      </c>
      <c r="AF1153">
        <v>4.8924141012733404</v>
      </c>
      <c r="AG1153">
        <v>-1.0996821327599999</v>
      </c>
      <c r="AH1153">
        <v>9.1626429568276802</v>
      </c>
      <c r="AI1153">
        <v>96.043449960860698</v>
      </c>
      <c r="AJ1153">
        <v>61.899910515643697</v>
      </c>
      <c r="AK1153">
        <v>10.44504870672</v>
      </c>
    </row>
    <row r="1154" spans="1:37" x14ac:dyDescent="0.2">
      <c r="A1154" t="str">
        <f>"20200111153629773"</f>
        <v>20200111153629773</v>
      </c>
      <c r="B1154" t="str">
        <f>"1578728189764199"</f>
        <v>1578728189764199</v>
      </c>
      <c r="C1154" t="s">
        <v>37</v>
      </c>
      <c r="D1154">
        <v>5.922307</v>
      </c>
      <c r="E1154">
        <v>0.63339809999999996</v>
      </c>
      <c r="F1154" t="s">
        <v>41</v>
      </c>
      <c r="G1154">
        <v>-199.69569999999999</v>
      </c>
      <c r="H1154" s="1">
        <v>-1.01153E-5</v>
      </c>
      <c r="I1154">
        <v>360.53269999999998</v>
      </c>
      <c r="J1154">
        <v>-207.94460000000001</v>
      </c>
      <c r="K1154">
        <v>1.099607</v>
      </c>
      <c r="L1154">
        <v>366.93259999999998</v>
      </c>
      <c r="M1154">
        <v>0.9854136</v>
      </c>
      <c r="N1154">
        <v>0</v>
      </c>
      <c r="O1154">
        <v>-0.1695817</v>
      </c>
      <c r="P1154">
        <v>0.94716730000000005</v>
      </c>
      <c r="Q1154">
        <v>3.3689780000000003E-2</v>
      </c>
      <c r="R1154">
        <v>-0.31896560000000002</v>
      </c>
      <c r="S1154">
        <v>2.5321500000000001</v>
      </c>
      <c r="T1154">
        <v>-0.33192090000000002</v>
      </c>
      <c r="U1154">
        <v>-1.940796</v>
      </c>
      <c r="V1154">
        <v>0.15431149999999999</v>
      </c>
      <c r="W1154">
        <v>4.5732099999999998E-2</v>
      </c>
      <c r="X1154">
        <v>0.98696329999999999</v>
      </c>
      <c r="Y1154">
        <v>0.463364099999999</v>
      </c>
      <c r="Z1154">
        <v>-7.5254479999999997E-3</v>
      </c>
      <c r="AA1154">
        <v>0.88613609999999898</v>
      </c>
      <c r="AB1154">
        <v>21</v>
      </c>
      <c r="AC1154">
        <v>8.2489000000000097</v>
      </c>
      <c r="AD1154">
        <v>-1.0996171153000001</v>
      </c>
      <c r="AE1154">
        <v>-6.3998999999999997</v>
      </c>
      <c r="AF1154">
        <v>4.8543334410418</v>
      </c>
      <c r="AG1154">
        <v>-1.0996171153000001</v>
      </c>
      <c r="AH1154">
        <v>9.1137179334611904</v>
      </c>
      <c r="AI1154">
        <v>96.078579987156004</v>
      </c>
      <c r="AJ1154">
        <v>61.958436467589799</v>
      </c>
      <c r="AK1154">
        <v>10.384294175714</v>
      </c>
    </row>
    <row r="1155" spans="1:37" x14ac:dyDescent="0.2">
      <c r="A1155" t="str">
        <f>"20200111153629786"</f>
        <v>20200111153629786</v>
      </c>
      <c r="B1155" t="str">
        <f>"1578728189773961"</f>
        <v>1578728189773961</v>
      </c>
      <c r="C1155" t="s">
        <v>37</v>
      </c>
      <c r="D1155">
        <v>5.9322239999999997</v>
      </c>
      <c r="E1155">
        <v>0.63330880000000001</v>
      </c>
      <c r="F1155" t="s">
        <v>41</v>
      </c>
      <c r="G1155">
        <v>-199.649</v>
      </c>
      <c r="H1155" s="1">
        <v>-1.010249E-5</v>
      </c>
      <c r="I1155">
        <v>360.50369999999998</v>
      </c>
      <c r="J1155">
        <v>-207.82390000000001</v>
      </c>
      <c r="K1155">
        <v>1.099558</v>
      </c>
      <c r="L1155">
        <v>366.90600000000001</v>
      </c>
      <c r="M1155">
        <v>0.98453049999999998</v>
      </c>
      <c r="N1155">
        <v>0</v>
      </c>
      <c r="O1155">
        <v>-0.1746345</v>
      </c>
      <c r="P1155">
        <v>0.94551949999999996</v>
      </c>
      <c r="Q1155">
        <v>3.353308E-2</v>
      </c>
      <c r="R1155">
        <v>-0.32383499999999998</v>
      </c>
      <c r="S1155">
        <v>2.5212400000000001</v>
      </c>
      <c r="T1155">
        <v>-0.33419969999999999</v>
      </c>
      <c r="U1155">
        <v>-1.953918</v>
      </c>
      <c r="V1155">
        <v>0.1543293</v>
      </c>
      <c r="W1155">
        <v>4.5570149999999997E-2</v>
      </c>
      <c r="X1155">
        <v>0.98696799999999996</v>
      </c>
      <c r="Y1155">
        <v>0.46356039999999998</v>
      </c>
      <c r="Z1155">
        <v>-7.0395319999999898E-3</v>
      </c>
      <c r="AA1155">
        <v>0.88603729999999903</v>
      </c>
      <c r="AB1155">
        <v>21</v>
      </c>
      <c r="AC1155">
        <v>8.1748999999999992</v>
      </c>
      <c r="AD1155">
        <v>-1.0995681024899999</v>
      </c>
      <c r="AE1155">
        <v>-6.4023000000000199</v>
      </c>
      <c r="AF1155">
        <v>4.8220603203275196</v>
      </c>
      <c r="AG1155">
        <v>-1.0995681024899999</v>
      </c>
      <c r="AH1155">
        <v>9.0657676894120005</v>
      </c>
      <c r="AI1155">
        <v>96.112085825389002</v>
      </c>
      <c r="AJ1155">
        <v>61.991594427213997</v>
      </c>
      <c r="AK1155">
        <v>10.327122520009</v>
      </c>
    </row>
    <row r="1156" spans="1:37" x14ac:dyDescent="0.2">
      <c r="A1156" t="str">
        <f>"20200111153629798"</f>
        <v>20200111153629798</v>
      </c>
      <c r="B1156" t="str">
        <f>"1578728189793479"</f>
        <v>1578728189793479</v>
      </c>
      <c r="C1156" t="s">
        <v>37</v>
      </c>
      <c r="D1156">
        <v>6.0030539999999997</v>
      </c>
      <c r="E1156">
        <v>0.63291600000000003</v>
      </c>
      <c r="F1156" t="s">
        <v>41</v>
      </c>
      <c r="G1156">
        <v>-199.5789</v>
      </c>
      <c r="H1156" s="1">
        <v>-1.008463E-5</v>
      </c>
      <c r="I1156">
        <v>360.45069999999998</v>
      </c>
      <c r="J1156">
        <v>-207.70689999999999</v>
      </c>
      <c r="K1156">
        <v>1.0995090000000001</v>
      </c>
      <c r="L1156">
        <v>366.87979999999999</v>
      </c>
      <c r="M1156">
        <v>0.98364289999999999</v>
      </c>
      <c r="N1156">
        <v>0</v>
      </c>
      <c r="O1156">
        <v>-0.17956520000000001</v>
      </c>
      <c r="P1156">
        <v>0.94385019999999997</v>
      </c>
      <c r="Q1156">
        <v>3.3169860000000002E-2</v>
      </c>
      <c r="R1156">
        <v>-0.328704</v>
      </c>
      <c r="S1156">
        <v>2.5113219999999998</v>
      </c>
      <c r="T1156">
        <v>-0.33491709999999902</v>
      </c>
      <c r="U1156">
        <v>-1.9662169999999899</v>
      </c>
      <c r="V1156">
        <v>0.1544701</v>
      </c>
      <c r="W1156">
        <v>4.5200030000000002E-2</v>
      </c>
      <c r="X1156">
        <v>0.98696299999999904</v>
      </c>
      <c r="Y1156">
        <v>0.463530099999999</v>
      </c>
      <c r="Z1156">
        <v>-6.5138319999999998E-3</v>
      </c>
      <c r="AA1156">
        <v>0.88605730000000005</v>
      </c>
      <c r="AB1156">
        <v>21</v>
      </c>
      <c r="AC1156">
        <v>8.1279999999999806</v>
      </c>
      <c r="AD1156">
        <v>-1.09951908463</v>
      </c>
      <c r="AE1156">
        <v>-6.4291</v>
      </c>
      <c r="AF1156">
        <v>4.81077304200572</v>
      </c>
      <c r="AG1156">
        <v>-1.09951908463</v>
      </c>
      <c r="AH1156">
        <v>9.0485640248367201</v>
      </c>
      <c r="AI1156">
        <v>96.123942252253897</v>
      </c>
      <c r="AJ1156">
        <v>62.002141430505901</v>
      </c>
      <c r="AK1156">
        <v>10.3067448979163</v>
      </c>
    </row>
    <row r="1157" spans="1:37" x14ac:dyDescent="0.2">
      <c r="A1157" t="str">
        <f>"20200111153629811"</f>
        <v>20200111153629811</v>
      </c>
      <c r="B1157" t="str">
        <f>"1578728189804215"</f>
        <v>1578728189804215</v>
      </c>
      <c r="C1157" t="s">
        <v>37</v>
      </c>
      <c r="D1157">
        <v>5.9840239999999998</v>
      </c>
      <c r="E1157">
        <v>0.63271379999999999</v>
      </c>
      <c r="F1157" t="s">
        <v>41</v>
      </c>
      <c r="G1157">
        <v>-199.49440000000001</v>
      </c>
      <c r="H1157" s="1">
        <v>-1.00622E-5</v>
      </c>
      <c r="I1157">
        <v>360.39280000000002</v>
      </c>
      <c r="J1157">
        <v>-207.59020000000001</v>
      </c>
      <c r="K1157">
        <v>1.0994600000000001</v>
      </c>
      <c r="L1157">
        <v>366.85250000000002</v>
      </c>
      <c r="M1157">
        <v>0.98271500000000001</v>
      </c>
      <c r="N1157">
        <v>0</v>
      </c>
      <c r="O1157">
        <v>-0.18457479999999901</v>
      </c>
      <c r="P1157">
        <v>0.94219169999999997</v>
      </c>
      <c r="Q1157">
        <v>3.272311E-2</v>
      </c>
      <c r="R1157">
        <v>-0.33347250000000001</v>
      </c>
      <c r="S1157">
        <v>2.5019990000000001</v>
      </c>
      <c r="T1157">
        <v>-0.33497440000000001</v>
      </c>
      <c r="U1157">
        <v>-1.976288</v>
      </c>
      <c r="V1157">
        <v>0.1544285</v>
      </c>
      <c r="W1157">
        <v>4.4750350000000001E-2</v>
      </c>
      <c r="X1157">
        <v>0.98698999999999903</v>
      </c>
      <c r="Y1157">
        <v>0.46284639999999999</v>
      </c>
      <c r="Z1157">
        <v>-5.9260110000000001E-3</v>
      </c>
      <c r="AA1157">
        <v>0.8864187</v>
      </c>
      <c r="AB1157">
        <v>21</v>
      </c>
      <c r="AC1157">
        <v>8.0957999999999899</v>
      </c>
      <c r="AD1157">
        <v>-1.0994700622</v>
      </c>
      <c r="AE1157">
        <v>-6.45969999999999</v>
      </c>
      <c r="AF1157">
        <v>4.8001634689174599</v>
      </c>
      <c r="AG1157">
        <v>-1.0994700622</v>
      </c>
      <c r="AH1157">
        <v>9.0471390794510302</v>
      </c>
      <c r="AI1157">
        <v>96.127370958612403</v>
      </c>
      <c r="AJ1157">
        <v>62.0508065919052</v>
      </c>
      <c r="AK1157">
        <v>10.3005402416054</v>
      </c>
    </row>
    <row r="1158" spans="1:37" x14ac:dyDescent="0.2">
      <c r="A1158" t="str">
        <f>"20200111153629822"</f>
        <v>20200111153629822</v>
      </c>
      <c r="B1158" t="str">
        <f>"1578728189813975"</f>
        <v>1578728189813975</v>
      </c>
      <c r="C1158" t="s">
        <v>37</v>
      </c>
      <c r="D1158">
        <v>5.9793449999999897</v>
      </c>
      <c r="E1158">
        <v>0.63248079999999995</v>
      </c>
      <c r="F1158" t="s">
        <v>41</v>
      </c>
      <c r="G1158">
        <v>-199.4496</v>
      </c>
      <c r="H1158" s="1">
        <v>-1.005043E-5</v>
      </c>
      <c r="I1158">
        <v>360.36149999999998</v>
      </c>
      <c r="J1158">
        <v>-207.48330000000001</v>
      </c>
      <c r="K1158">
        <v>1.0994139999999999</v>
      </c>
      <c r="L1158">
        <v>366.8272</v>
      </c>
      <c r="M1158">
        <v>0.98183799999999899</v>
      </c>
      <c r="N1158">
        <v>0</v>
      </c>
      <c r="O1158">
        <v>-0.18918409999999999</v>
      </c>
      <c r="P1158">
        <v>0.94059439999999905</v>
      </c>
      <c r="Q1158">
        <v>3.2449199999999997E-2</v>
      </c>
      <c r="R1158">
        <v>-0.33797870000000002</v>
      </c>
      <c r="S1158">
        <v>2.4923709999999999</v>
      </c>
      <c r="T1158">
        <v>-0.33662159999999902</v>
      </c>
      <c r="U1158">
        <v>-1.9873349999999901</v>
      </c>
      <c r="V1158">
        <v>0.15452079999999899</v>
      </c>
      <c r="W1158">
        <v>4.4470719999999998E-2</v>
      </c>
      <c r="X1158">
        <v>0.98698819999999998</v>
      </c>
      <c r="Y1158">
        <v>0.46276800000000001</v>
      </c>
      <c r="Z1158">
        <v>-5.4431039999999998E-3</v>
      </c>
      <c r="AA1158">
        <v>0.88646270000000005</v>
      </c>
      <c r="AB1158">
        <v>21</v>
      </c>
      <c r="AC1158">
        <v>8.0337000000000103</v>
      </c>
      <c r="AD1158">
        <v>-1.0994240504299999</v>
      </c>
      <c r="AE1158">
        <v>-6.4657000000000204</v>
      </c>
      <c r="AF1158">
        <v>4.7746440539008397</v>
      </c>
      <c r="AG1158">
        <v>-1.0994240504299999</v>
      </c>
      <c r="AH1158">
        <v>9.0095238324111495</v>
      </c>
      <c r="AI1158">
        <v>96.154061854239899</v>
      </c>
      <c r="AJ1158">
        <v>62.078414020042999</v>
      </c>
      <c r="AK1158">
        <v>10.2556071868465</v>
      </c>
    </row>
    <row r="1159" spans="1:37" x14ac:dyDescent="0.2">
      <c r="A1159" t="str">
        <f>"20200111153629833"</f>
        <v>20200111153629833</v>
      </c>
      <c r="B1159" t="str">
        <f>"1578728189823735"</f>
        <v>1578728189823735</v>
      </c>
      <c r="C1159" t="s">
        <v>37</v>
      </c>
      <c r="D1159">
        <v>5.9867410000000003</v>
      </c>
      <c r="E1159">
        <v>0.63226000000000004</v>
      </c>
      <c r="F1159" t="s">
        <v>41</v>
      </c>
      <c r="G1159">
        <v>-199.4109</v>
      </c>
      <c r="H1159" s="1">
        <v>-1.0040219999999901E-5</v>
      </c>
      <c r="I1159">
        <v>360.33449999999999</v>
      </c>
      <c r="J1159">
        <v>-207.37389999999999</v>
      </c>
      <c r="K1159">
        <v>1.0993660000000001</v>
      </c>
      <c r="L1159">
        <v>366.80059999999997</v>
      </c>
      <c r="M1159">
        <v>0.980904199999999</v>
      </c>
      <c r="N1159">
        <v>0</v>
      </c>
      <c r="O1159">
        <v>-0.19396669999999999</v>
      </c>
      <c r="P1159">
        <v>0.938832</v>
      </c>
      <c r="Q1159">
        <v>3.2115659999999997E-2</v>
      </c>
      <c r="R1159">
        <v>-0.34287519999999999</v>
      </c>
      <c r="S1159">
        <v>2.4834139999999998</v>
      </c>
      <c r="T1159">
        <v>-0.33822849999999999</v>
      </c>
      <c r="U1159">
        <v>-1.9974369999999999</v>
      </c>
      <c r="V1159">
        <v>0.1548522</v>
      </c>
      <c r="W1159">
        <v>4.4128689999999998E-2</v>
      </c>
      <c r="X1159">
        <v>0.98695159999999904</v>
      </c>
      <c r="Y1159">
        <v>0.4622135</v>
      </c>
      <c r="Z1159">
        <v>-4.9050579999999899E-3</v>
      </c>
      <c r="AA1159">
        <v>0.88675509999999902</v>
      </c>
      <c r="AB1159">
        <v>21</v>
      </c>
      <c r="AC1159">
        <v>7.9629999999999903</v>
      </c>
      <c r="AD1159">
        <v>-1.0993760402199999</v>
      </c>
      <c r="AE1159">
        <v>-6.4660999999999804</v>
      </c>
      <c r="AF1159">
        <v>4.7440633842269699</v>
      </c>
      <c r="AG1159">
        <v>-1.0993760402199999</v>
      </c>
      <c r="AH1159">
        <v>8.9631158651919698</v>
      </c>
      <c r="AI1159">
        <v>96.187106786319802</v>
      </c>
      <c r="AJ1159">
        <v>62.108299439239801</v>
      </c>
      <c r="AK1159">
        <v>10.200598564997399</v>
      </c>
    </row>
    <row r="1160" spans="1:37" x14ac:dyDescent="0.2">
      <c r="A1160" t="str">
        <f>"20200111153629845"</f>
        <v>20200111153629845</v>
      </c>
      <c r="B1160" t="str">
        <f>"1578728189833496"</f>
        <v>1578728189833496</v>
      </c>
      <c r="C1160" t="s">
        <v>37</v>
      </c>
      <c r="D1160">
        <v>5.9911820000000002</v>
      </c>
      <c r="E1160">
        <v>0.63202760000000002</v>
      </c>
      <c r="F1160" t="s">
        <v>41</v>
      </c>
      <c r="G1160">
        <v>-199.33349999999999</v>
      </c>
      <c r="H1160" s="1">
        <v>-1.0021339999999999E-5</v>
      </c>
      <c r="I1160">
        <v>360.27</v>
      </c>
      <c r="J1160">
        <v>-207.26679999999999</v>
      </c>
      <c r="K1160">
        <v>1.0993230000000001</v>
      </c>
      <c r="L1160">
        <v>366.77390000000003</v>
      </c>
      <c r="M1160">
        <v>0.97995869999999996</v>
      </c>
      <c r="N1160">
        <v>0</v>
      </c>
      <c r="O1160">
        <v>-0.19868759999999999</v>
      </c>
      <c r="P1160">
        <v>0.93713299999999999</v>
      </c>
      <c r="Q1160">
        <v>3.1762730000000003E-2</v>
      </c>
      <c r="R1160">
        <v>-0.34752430000000001</v>
      </c>
      <c r="S1160">
        <v>2.473328</v>
      </c>
      <c r="T1160">
        <v>-0.33818130000000002</v>
      </c>
      <c r="U1160">
        <v>-2.0088810000000001</v>
      </c>
      <c r="V1160">
        <v>0.15498909999999999</v>
      </c>
      <c r="W1160">
        <v>4.3770940000000001E-2</v>
      </c>
      <c r="X1160">
        <v>0.98694599999999899</v>
      </c>
      <c r="Y1160">
        <v>0.46221089999999998</v>
      </c>
      <c r="Z1160">
        <v>-4.3808170000000004E-3</v>
      </c>
      <c r="AA1160">
        <v>0.88675919999999897</v>
      </c>
      <c r="AB1160">
        <v>21</v>
      </c>
      <c r="AC1160">
        <v>7.9333</v>
      </c>
      <c r="AD1160">
        <v>-1.0993330213400001</v>
      </c>
      <c r="AE1160">
        <v>-6.5039000000000398</v>
      </c>
      <c r="AF1160">
        <v>4.7433234539293103</v>
      </c>
      <c r="AG1160">
        <v>-1.0993330213400001</v>
      </c>
      <c r="AH1160">
        <v>8.9645294211699103</v>
      </c>
      <c r="AI1160">
        <v>96.186319807748802</v>
      </c>
      <c r="AJ1160">
        <v>62.115729631888598</v>
      </c>
      <c r="AK1160">
        <v>10.2014919606607</v>
      </c>
    </row>
    <row r="1161" spans="1:37" x14ac:dyDescent="0.2">
      <c r="A1161" t="str">
        <f>"20200111153629856"</f>
        <v>20200111153629856</v>
      </c>
      <c r="B1161" t="str">
        <f>"1578728189853992"</f>
        <v>1578728189853992</v>
      </c>
      <c r="C1161" t="s">
        <v>37</v>
      </c>
      <c r="D1161">
        <v>5.9851640000000002</v>
      </c>
      <c r="E1161">
        <v>0.63177810000000001</v>
      </c>
      <c r="F1161" t="s">
        <v>41</v>
      </c>
      <c r="G1161">
        <v>-199.26310000000001</v>
      </c>
      <c r="H1161" s="1">
        <v>-1.000539E-5</v>
      </c>
      <c r="I1161">
        <v>360.21350000000001</v>
      </c>
      <c r="J1161">
        <v>-207.15260000000001</v>
      </c>
      <c r="K1161">
        <v>1.099278</v>
      </c>
      <c r="L1161">
        <v>366.74489999999997</v>
      </c>
      <c r="M1161">
        <v>0.97891589999999995</v>
      </c>
      <c r="N1161">
        <v>0</v>
      </c>
      <c r="O1161">
        <v>-0.20376169999999999</v>
      </c>
      <c r="P1161">
        <v>0.93517119999999998</v>
      </c>
      <c r="Q1161">
        <v>3.1853970000000002E-2</v>
      </c>
      <c r="R1161">
        <v>-0.35276069999999998</v>
      </c>
      <c r="S1161">
        <v>2.4638209999999998</v>
      </c>
      <c r="T1161">
        <v>-0.33841059999999901</v>
      </c>
      <c r="U1161">
        <v>-2.019501</v>
      </c>
      <c r="V1161">
        <v>0.15540329999999999</v>
      </c>
      <c r="W1161">
        <v>4.3852870000000002E-2</v>
      </c>
      <c r="X1161">
        <v>0.98687729999999996</v>
      </c>
      <c r="Y1161">
        <v>0.4616093</v>
      </c>
      <c r="Z1161">
        <v>-3.7825720000000001E-3</v>
      </c>
      <c r="AA1161">
        <v>0.88707519999999995</v>
      </c>
      <c r="AB1161">
        <v>21</v>
      </c>
      <c r="AC1161">
        <v>7.8894999999999902</v>
      </c>
      <c r="AD1161">
        <v>-1.0992880053899901</v>
      </c>
      <c r="AE1161">
        <v>-6.5313999999999597</v>
      </c>
      <c r="AF1161">
        <v>4.7320923106510104</v>
      </c>
      <c r="AG1161">
        <v>-1.0992880053899901</v>
      </c>
      <c r="AH1161">
        <v>8.9518132055259994</v>
      </c>
      <c r="AI1161">
        <v>96.196065464740599</v>
      </c>
      <c r="AJ1161">
        <v>62.138250106911201</v>
      </c>
      <c r="AK1161">
        <v>10.1850916256038</v>
      </c>
    </row>
    <row r="1162" spans="1:37" x14ac:dyDescent="0.2">
      <c r="A1162" t="str">
        <f>"20200111153629869"</f>
        <v>20200111153629869</v>
      </c>
      <c r="B1162" t="str">
        <f>"1578728189863752"</f>
        <v>1578728189863752</v>
      </c>
      <c r="C1162" t="s">
        <v>37</v>
      </c>
      <c r="D1162">
        <v>5.9659139999999997</v>
      </c>
      <c r="E1162">
        <v>0.63161969999999901</v>
      </c>
      <c r="F1162" t="s">
        <v>41</v>
      </c>
      <c r="G1162">
        <v>-199.17910000000001</v>
      </c>
      <c r="H1162" s="1">
        <v>-9.9868669999999905E-6</v>
      </c>
      <c r="I1162">
        <v>360.14330000000001</v>
      </c>
      <c r="J1162">
        <v>-207.0385</v>
      </c>
      <c r="K1162">
        <v>1.099243</v>
      </c>
      <c r="L1162">
        <v>366.71510000000001</v>
      </c>
      <c r="M1162">
        <v>0.97783199999999904</v>
      </c>
      <c r="N1162">
        <v>0</v>
      </c>
      <c r="O1162">
        <v>-0.20890110000000001</v>
      </c>
      <c r="P1162">
        <v>0.93313709999999905</v>
      </c>
      <c r="Q1162">
        <v>3.1785420000000002E-2</v>
      </c>
      <c r="R1162">
        <v>-0.35811379999999998</v>
      </c>
      <c r="S1162">
        <v>2.4533079999999998</v>
      </c>
      <c r="T1162">
        <v>-0.33823150000000002</v>
      </c>
      <c r="U1162">
        <v>-2.0311889999999999</v>
      </c>
      <c r="V1162">
        <v>0.1558775</v>
      </c>
      <c r="W1162">
        <v>4.3774739999999999E-2</v>
      </c>
      <c r="X1162">
        <v>0.98680599999999996</v>
      </c>
      <c r="Y1162">
        <v>0.4613545</v>
      </c>
      <c r="Z1162">
        <v>-3.1930559999999901E-3</v>
      </c>
      <c r="AA1162">
        <v>0.88721019999999995</v>
      </c>
      <c r="AB1162">
        <v>21</v>
      </c>
      <c r="AC1162">
        <v>7.8593999999999902</v>
      </c>
      <c r="AD1162">
        <v>-1.099252986867</v>
      </c>
      <c r="AE1162">
        <v>-6.5717999999999899</v>
      </c>
      <c r="AF1162">
        <v>4.7303106861836399</v>
      </c>
      <c r="AG1162">
        <v>-1.099252986867</v>
      </c>
      <c r="AH1162">
        <v>8.9558513238100499</v>
      </c>
      <c r="AI1162">
        <v>96.194207720850798</v>
      </c>
      <c r="AJ1162">
        <v>62.157836089011802</v>
      </c>
      <c r="AK1162">
        <v>10.1878098358356</v>
      </c>
    </row>
    <row r="1163" spans="1:37" x14ac:dyDescent="0.2">
      <c r="A1163" t="str">
        <f>"20200111153629882"</f>
        <v>20200111153629882</v>
      </c>
      <c r="B1163" t="str">
        <f>"1578728189873512"</f>
        <v>1578728189873512</v>
      </c>
      <c r="C1163" t="s">
        <v>37</v>
      </c>
      <c r="D1163">
        <v>6.0540900000000004</v>
      </c>
      <c r="E1163">
        <v>0.63141539999999996</v>
      </c>
      <c r="F1163" t="s">
        <v>41</v>
      </c>
      <c r="G1163">
        <v>-199.1147</v>
      </c>
      <c r="H1163" s="1">
        <v>-9.9738779999999993E-6</v>
      </c>
      <c r="I1163">
        <v>360.08190000000002</v>
      </c>
      <c r="J1163">
        <v>-206.922</v>
      </c>
      <c r="K1163">
        <v>1.0992010000000001</v>
      </c>
      <c r="L1163">
        <v>366.6841</v>
      </c>
      <c r="M1163">
        <v>0.97669010000000001</v>
      </c>
      <c r="N1163">
        <v>0</v>
      </c>
      <c r="O1163">
        <v>-0.2141748</v>
      </c>
      <c r="P1163">
        <v>0.93106319999999998</v>
      </c>
      <c r="Q1163">
        <v>3.160963E-2</v>
      </c>
      <c r="R1163">
        <v>-0.36348639999999999</v>
      </c>
      <c r="S1163">
        <v>2.441986</v>
      </c>
      <c r="T1163">
        <v>-0.33877459999999998</v>
      </c>
      <c r="U1163">
        <v>-2.0442499999999999</v>
      </c>
      <c r="V1163">
        <v>0.15624099999999999</v>
      </c>
      <c r="W1163">
        <v>4.3591339999999999E-2</v>
      </c>
      <c r="X1163">
        <v>0.98675659999999898</v>
      </c>
      <c r="Y1163">
        <v>0.46140519999999902</v>
      </c>
      <c r="Z1163">
        <v>-2.6123879999999898E-3</v>
      </c>
      <c r="AA1163">
        <v>0.88718560000000002</v>
      </c>
      <c r="AB1163">
        <v>21</v>
      </c>
      <c r="AC1163">
        <v>7.8072999999999899</v>
      </c>
      <c r="AD1163">
        <v>-1.099210973878</v>
      </c>
      <c r="AE1163">
        <v>-6.6021999999999803</v>
      </c>
      <c r="AF1163">
        <v>4.7220915445729998</v>
      </c>
      <c r="AG1163">
        <v>-1.099210973878</v>
      </c>
      <c r="AH1163">
        <v>8.9369769797368193</v>
      </c>
      <c r="AI1163">
        <v>96.206454081701906</v>
      </c>
      <c r="AJ1163">
        <v>62.1490649679615</v>
      </c>
      <c r="AK1163">
        <v>10.167397447565801</v>
      </c>
    </row>
    <row r="1164" spans="1:37" x14ac:dyDescent="0.2">
      <c r="A1164" t="str">
        <f>"20200111153629896"</f>
        <v>20200111153629896</v>
      </c>
      <c r="B1164" t="str">
        <f>"1578728189894007"</f>
        <v>1578728189894007</v>
      </c>
      <c r="C1164" t="s">
        <v>37</v>
      </c>
      <c r="D1164">
        <v>6.1184880000000001</v>
      </c>
      <c r="E1164">
        <v>0.6312411</v>
      </c>
      <c r="F1164" t="s">
        <v>41</v>
      </c>
      <c r="G1164">
        <v>-199.06559999999999</v>
      </c>
      <c r="H1164" s="1">
        <v>-9.9635569999999996E-6</v>
      </c>
      <c r="I1164">
        <v>360.03750000000002</v>
      </c>
      <c r="J1164">
        <v>-206.78659999999999</v>
      </c>
      <c r="K1164">
        <v>1.099154</v>
      </c>
      <c r="L1164">
        <v>366.64710000000002</v>
      </c>
      <c r="M1164">
        <v>0.97530689999999998</v>
      </c>
      <c r="N1164">
        <v>0</v>
      </c>
      <c r="O1164">
        <v>-0.22038679999999999</v>
      </c>
      <c r="P1164">
        <v>0.92850859999999902</v>
      </c>
      <c r="Q1164">
        <v>3.1422350000000002E-2</v>
      </c>
      <c r="R1164">
        <v>-0.36997849999999999</v>
      </c>
      <c r="S1164">
        <v>2.4308169999999998</v>
      </c>
      <c r="T1164">
        <v>-0.3401014</v>
      </c>
      <c r="U1164">
        <v>-2.0564879999999999</v>
      </c>
      <c r="V1164">
        <v>0.15685199999999999</v>
      </c>
      <c r="W1164">
        <v>4.3391730000000003E-2</v>
      </c>
      <c r="X1164">
        <v>0.98666849999999995</v>
      </c>
      <c r="Y1164">
        <v>0.46040039999999999</v>
      </c>
      <c r="Z1164">
        <v>-1.862844E-3</v>
      </c>
      <c r="AA1164">
        <v>0.88770939999999998</v>
      </c>
      <c r="AB1164">
        <v>21</v>
      </c>
      <c r="AC1164">
        <v>7.7210000000000001</v>
      </c>
      <c r="AD1164">
        <v>-1.0991639635570001</v>
      </c>
      <c r="AE1164">
        <v>-6.6096000000000004</v>
      </c>
      <c r="AF1164">
        <v>4.6904139227746198</v>
      </c>
      <c r="AG1164">
        <v>-1.0991639635570001</v>
      </c>
      <c r="AH1164">
        <v>8.8840354852191901</v>
      </c>
      <c r="AI1164">
        <v>96.243949956527203</v>
      </c>
      <c r="AJ1164">
        <v>62.167745607872597</v>
      </c>
      <c r="AK1164">
        <v>10.1061481627954</v>
      </c>
    </row>
    <row r="1165" spans="1:37" x14ac:dyDescent="0.2">
      <c r="A1165" t="str">
        <f>"20200111153629908"</f>
        <v>20200111153629908</v>
      </c>
      <c r="B1165" t="str">
        <f>"1578728189903768"</f>
        <v>1578728189903768</v>
      </c>
      <c r="C1165" t="s">
        <v>37</v>
      </c>
      <c r="D1165">
        <v>6.1272289999999998</v>
      </c>
      <c r="E1165">
        <v>0.60880800000000002</v>
      </c>
      <c r="F1165" t="s">
        <v>41</v>
      </c>
      <c r="G1165">
        <v>-198.98920000000001</v>
      </c>
      <c r="H1165" s="1">
        <v>-9.9487149999999995E-6</v>
      </c>
      <c r="I1165">
        <v>359.96080000000001</v>
      </c>
      <c r="J1165">
        <v>-206.67699999999999</v>
      </c>
      <c r="K1165">
        <v>1.099116</v>
      </c>
      <c r="L1165">
        <v>366.61619999999999</v>
      </c>
      <c r="M1165">
        <v>0.97414369999999995</v>
      </c>
      <c r="N1165">
        <v>0</v>
      </c>
      <c r="O1165">
        <v>-0.2254727</v>
      </c>
      <c r="P1165">
        <v>0.92640610000000001</v>
      </c>
      <c r="Q1165">
        <v>3.1298510000000002E-2</v>
      </c>
      <c r="R1165">
        <v>-0.37522309999999998</v>
      </c>
      <c r="S1165">
        <v>2.4167480000000001</v>
      </c>
      <c r="T1165">
        <v>-0.34067829999999999</v>
      </c>
      <c r="U1165">
        <v>-2.0723569999999998</v>
      </c>
      <c r="V1165">
        <v>0.15728449999999999</v>
      </c>
      <c r="W1165">
        <v>4.3259770000000003E-2</v>
      </c>
      <c r="X1165">
        <v>0.98660530000000002</v>
      </c>
      <c r="Y1165">
        <v>0.46169559999999998</v>
      </c>
      <c r="Z1165">
        <v>-1.373485E-3</v>
      </c>
      <c r="AA1165">
        <v>0.88703739999999998</v>
      </c>
      <c r="AB1165">
        <v>21</v>
      </c>
      <c r="AC1165">
        <v>7.68780000000001</v>
      </c>
      <c r="AD1165">
        <v>-1.099125948715</v>
      </c>
      <c r="AE1165">
        <v>-6.6553999999999798</v>
      </c>
      <c r="AF1165">
        <v>4.6955540653876202</v>
      </c>
      <c r="AG1165">
        <v>-1.099125948715</v>
      </c>
      <c r="AH1165">
        <v>8.8867277102493194</v>
      </c>
      <c r="AI1165">
        <v>96.240789056822805</v>
      </c>
      <c r="AJ1165">
        <v>62.148999090406697</v>
      </c>
      <c r="AK1165">
        <v>10.1108968557804</v>
      </c>
    </row>
    <row r="1166" spans="1:37" x14ac:dyDescent="0.2">
      <c r="A1166" t="str">
        <f>"20200111153629920"</f>
        <v>20200111153629920</v>
      </c>
      <c r="B1166" t="str">
        <f>"1578728189913528"</f>
        <v>1578728189913528</v>
      </c>
      <c r="C1166" t="s">
        <v>37</v>
      </c>
      <c r="D1166">
        <v>6.0965550000000004</v>
      </c>
      <c r="E1166">
        <v>0.60833099999999996</v>
      </c>
      <c r="F1166" t="s">
        <v>41</v>
      </c>
      <c r="G1166">
        <v>-201.58940000000001</v>
      </c>
      <c r="H1166" s="1">
        <v>-2.7749560000000002E-6</v>
      </c>
      <c r="I1166">
        <v>362.68729999999999</v>
      </c>
      <c r="J1166">
        <v>-206.5676</v>
      </c>
      <c r="K1166">
        <v>1.099081</v>
      </c>
      <c r="L1166">
        <v>366.58510000000001</v>
      </c>
      <c r="M1166">
        <v>0.97295049999999905</v>
      </c>
      <c r="N1166">
        <v>0</v>
      </c>
      <c r="O1166">
        <v>-0.23056579999999999</v>
      </c>
      <c r="P1166">
        <v>0.92428899999999903</v>
      </c>
      <c r="Q1166">
        <v>3.1083079999999999E-2</v>
      </c>
      <c r="R1166">
        <v>-0.38042589999999998</v>
      </c>
      <c r="S1166">
        <v>2.4805450000000002</v>
      </c>
      <c r="T1166">
        <v>-0.53589699999999996</v>
      </c>
      <c r="U1166">
        <v>-1.915619</v>
      </c>
      <c r="V1166">
        <v>0.15766949999999999</v>
      </c>
      <c r="W1166">
        <v>4.3036829999999998E-2</v>
      </c>
      <c r="X1166">
        <v>0.98655369999999998</v>
      </c>
      <c r="Y1166">
        <v>0.40970020000000001</v>
      </c>
      <c r="Z1166">
        <v>3.7541279999999998E-3</v>
      </c>
      <c r="AA1166">
        <v>0.91221249999999998</v>
      </c>
      <c r="AB1166">
        <v>21</v>
      </c>
      <c r="AC1166">
        <v>4.9781999999999798</v>
      </c>
      <c r="AD1166">
        <v>-1.0990837749560001</v>
      </c>
      <c r="AE1166">
        <v>-3.8978000000000099</v>
      </c>
      <c r="AF1166">
        <v>2.56725906373542</v>
      </c>
      <c r="AG1166">
        <v>-1.0990837749560001</v>
      </c>
      <c r="AH1166">
        <v>5.5743868662434402</v>
      </c>
      <c r="AI1166">
        <v>100.15329651989499</v>
      </c>
      <c r="AJ1166">
        <v>65.271776422808898</v>
      </c>
      <c r="AK1166">
        <v>6.2347889442426601</v>
      </c>
    </row>
    <row r="1167" spans="1:37" x14ac:dyDescent="0.2">
      <c r="A1167" t="str">
        <f>"20200111153629934"</f>
        <v>20200111153629934</v>
      </c>
      <c r="B1167" t="str">
        <f>"1578728189923289"</f>
        <v>1578728189923289</v>
      </c>
      <c r="C1167" t="s">
        <v>37</v>
      </c>
      <c r="D1167">
        <v>6.091628</v>
      </c>
      <c r="E1167">
        <v>0.60819849999999998</v>
      </c>
      <c r="F1167" t="s">
        <v>41</v>
      </c>
      <c r="G1167">
        <v>-201.46700000000001</v>
      </c>
      <c r="H1167" s="1">
        <v>-2.7275749999999999E-6</v>
      </c>
      <c r="I1167">
        <v>362.60840000000002</v>
      </c>
      <c r="J1167">
        <v>-206.43610000000001</v>
      </c>
      <c r="K1167">
        <v>1.09904</v>
      </c>
      <c r="L1167">
        <v>366.54640000000001</v>
      </c>
      <c r="M1167">
        <v>0.97145800000000004</v>
      </c>
      <c r="N1167">
        <v>0</v>
      </c>
      <c r="O1167">
        <v>-0.23677500000000001</v>
      </c>
      <c r="P1167">
        <v>0.92164919999999995</v>
      </c>
      <c r="Q1167">
        <v>3.1051869999999999E-2</v>
      </c>
      <c r="R1167">
        <v>-0.3867797</v>
      </c>
      <c r="S1167">
        <v>2.4707789999999998</v>
      </c>
      <c r="T1167">
        <v>-0.53240659999999995</v>
      </c>
      <c r="U1167">
        <v>-1.926361</v>
      </c>
      <c r="V1167">
        <v>0.15816449999999899</v>
      </c>
      <c r="W1167">
        <v>4.2996329999999999E-2</v>
      </c>
      <c r="X1167">
        <v>0.98647619999999903</v>
      </c>
      <c r="Y1167">
        <v>0.408225</v>
      </c>
      <c r="Z1167">
        <v>4.9716869999999998E-3</v>
      </c>
      <c r="AA1167">
        <v>0.91286780000000001</v>
      </c>
      <c r="AB1167">
        <v>21</v>
      </c>
      <c r="AC1167">
        <v>4.9690999999999903</v>
      </c>
      <c r="AD1167">
        <v>-1.0990427275750001</v>
      </c>
      <c r="AE1167">
        <v>-3.9379999999999802</v>
      </c>
      <c r="AF1167">
        <v>2.5720344496829202</v>
      </c>
      <c r="AG1167">
        <v>-1.0990427275750001</v>
      </c>
      <c r="AH1167">
        <v>5.5922558644482896</v>
      </c>
      <c r="AI1167">
        <v>100.123480578509</v>
      </c>
      <c r="AJ1167">
        <v>65.3009798195515</v>
      </c>
      <c r="AK1167">
        <v>6.2527259480044002</v>
      </c>
    </row>
    <row r="1168" spans="1:37" x14ac:dyDescent="0.2">
      <c r="A1168" t="str">
        <f>"20200111153629948"</f>
        <v>20200111153629948</v>
      </c>
      <c r="B1168" t="str">
        <f>"1578728189943783"</f>
        <v>1578728189943783</v>
      </c>
      <c r="C1168" t="s">
        <v>37</v>
      </c>
      <c r="D1168">
        <v>6.1382769999999898</v>
      </c>
      <c r="E1168">
        <v>0.60770259999999998</v>
      </c>
      <c r="F1168" t="s">
        <v>41</v>
      </c>
      <c r="G1168">
        <v>-201.3527</v>
      </c>
      <c r="H1168" s="1">
        <v>-2.68108099999999E-6</v>
      </c>
      <c r="I1168">
        <v>362.52879999999999</v>
      </c>
      <c r="J1168">
        <v>-206.30850000000001</v>
      </c>
      <c r="K1168">
        <v>1.0990009999999999</v>
      </c>
      <c r="L1168">
        <v>366.50799999999998</v>
      </c>
      <c r="M1168">
        <v>0.96995679999999995</v>
      </c>
      <c r="N1168">
        <v>0</v>
      </c>
      <c r="O1168">
        <v>-0.24285029999999899</v>
      </c>
      <c r="P1168">
        <v>0.91892009999999902</v>
      </c>
      <c r="Q1168">
        <v>3.100292E-2</v>
      </c>
      <c r="R1168">
        <v>-0.39322370000000001</v>
      </c>
      <c r="S1168">
        <v>2.457748</v>
      </c>
      <c r="T1168">
        <v>-0.53136859999999997</v>
      </c>
      <c r="U1168">
        <v>-1.9424439999999901</v>
      </c>
      <c r="V1168">
        <v>0.15890119999999999</v>
      </c>
      <c r="W1168">
        <v>4.2934399999999998E-2</v>
      </c>
      <c r="X1168">
        <v>0.98636049999999997</v>
      </c>
      <c r="Y1168">
        <v>0.40862799999999999</v>
      </c>
      <c r="Z1168">
        <v>6.0021769999999896E-3</v>
      </c>
      <c r="AA1168">
        <v>0.91268130000000003</v>
      </c>
      <c r="AB1168">
        <v>21</v>
      </c>
      <c r="AC1168">
        <v>4.9558000000000098</v>
      </c>
      <c r="AD1168">
        <v>-1.099003681081</v>
      </c>
      <c r="AE1168">
        <v>-3.97920000000004</v>
      </c>
      <c r="AF1168">
        <v>2.5792877013475799</v>
      </c>
      <c r="AG1168">
        <v>-1.099003681081</v>
      </c>
      <c r="AH1168">
        <v>5.6062306929627699</v>
      </c>
      <c r="AI1168">
        <v>100.09786095150299</v>
      </c>
      <c r="AJ1168">
        <v>65.294013764750801</v>
      </c>
      <c r="AK1168">
        <v>6.2682020324866903</v>
      </c>
    </row>
    <row r="1169" spans="1:37" x14ac:dyDescent="0.2">
      <c r="A1169" t="str">
        <f>"20200111153629961"</f>
        <v>20200111153629961</v>
      </c>
      <c r="B1169" t="str">
        <f>"1578728189953547"</f>
        <v>1578728189953547</v>
      </c>
      <c r="C1169" t="s">
        <v>37</v>
      </c>
      <c r="D1169">
        <v>6.1215599999999997</v>
      </c>
      <c r="E1169">
        <v>0.60726599999999997</v>
      </c>
      <c r="F1169" t="s">
        <v>41</v>
      </c>
      <c r="G1169">
        <v>-201.23079999999999</v>
      </c>
      <c r="H1169" s="1">
        <v>-2.6308310000000001E-6</v>
      </c>
      <c r="I1169">
        <v>362.44650000000001</v>
      </c>
      <c r="J1169">
        <v>-206.19059999999999</v>
      </c>
      <c r="K1169">
        <v>1.0989679999999999</v>
      </c>
      <c r="L1169">
        <v>366.47190000000001</v>
      </c>
      <c r="M1169">
        <v>0.96852459999999996</v>
      </c>
      <c r="N1169">
        <v>0</v>
      </c>
      <c r="O1169">
        <v>-0.24849959999999999</v>
      </c>
      <c r="P1169">
        <v>0.91641010000000001</v>
      </c>
      <c r="Q1169">
        <v>3.0806170000000001E-2</v>
      </c>
      <c r="R1169">
        <v>-0.39905309999999999</v>
      </c>
      <c r="S1169">
        <v>2.4454959999999999</v>
      </c>
      <c r="T1169">
        <v>-0.52929389999999998</v>
      </c>
      <c r="U1169">
        <v>-1.9560849999999901</v>
      </c>
      <c r="V1169">
        <v>0.15941729999999901</v>
      </c>
      <c r="W1169">
        <v>4.2728599999999999E-2</v>
      </c>
      <c r="X1169">
        <v>0.986286199999999</v>
      </c>
      <c r="Y1169">
        <v>0.4087327</v>
      </c>
      <c r="Z1169">
        <v>6.9708749999999996E-3</v>
      </c>
      <c r="AA1169">
        <v>0.91262749999999904</v>
      </c>
      <c r="AB1169">
        <v>21</v>
      </c>
      <c r="AC1169">
        <v>4.9598000000000004</v>
      </c>
      <c r="AD1169">
        <v>-1.0989706308310001</v>
      </c>
      <c r="AE1169">
        <v>-4.0253999999999897</v>
      </c>
      <c r="AF1169">
        <v>2.5898124706168399</v>
      </c>
      <c r="AG1169">
        <v>-1.0989706308310001</v>
      </c>
      <c r="AH1169">
        <v>5.6377319411143603</v>
      </c>
      <c r="AI1169">
        <v>100.044922455633</v>
      </c>
      <c r="AJ1169">
        <v>65.327305839397894</v>
      </c>
      <c r="AK1169">
        <v>6.3007052399118599</v>
      </c>
    </row>
    <row r="1170" spans="1:37" x14ac:dyDescent="0.2">
      <c r="A1170" t="str">
        <f>"20200111153629975"</f>
        <v>20200111153629975</v>
      </c>
      <c r="B1170" t="str">
        <f>"1578728189963307"</f>
        <v>1578728189963307</v>
      </c>
      <c r="C1170" t="s">
        <v>37</v>
      </c>
      <c r="D1170">
        <v>6.1423480000000001</v>
      </c>
      <c r="E1170">
        <v>0.60695109999999997</v>
      </c>
      <c r="F1170" t="s">
        <v>41</v>
      </c>
      <c r="G1170">
        <v>-201.155</v>
      </c>
      <c r="H1170" s="1">
        <v>-2.5983289999999999E-6</v>
      </c>
      <c r="I1170">
        <v>362.40019999999998</v>
      </c>
      <c r="J1170">
        <v>-206.06020000000001</v>
      </c>
      <c r="K1170">
        <v>1.0989260000000001</v>
      </c>
      <c r="L1170">
        <v>366.43079999999998</v>
      </c>
      <c r="M1170">
        <v>0.96688269999999998</v>
      </c>
      <c r="N1170">
        <v>0</v>
      </c>
      <c r="O1170">
        <v>-0.25481290000000001</v>
      </c>
      <c r="P1170">
        <v>0.91341569999999905</v>
      </c>
      <c r="Q1170">
        <v>3.054393E-2</v>
      </c>
      <c r="R1170">
        <v>-0.40588099999999999</v>
      </c>
      <c r="S1170">
        <v>2.4343409999999999</v>
      </c>
      <c r="T1170">
        <v>-0.53128089999999994</v>
      </c>
      <c r="U1170">
        <v>-1.9684139999999899</v>
      </c>
      <c r="V1170">
        <v>0.16034119999999999</v>
      </c>
      <c r="W1170">
        <v>4.2450849999999998E-2</v>
      </c>
      <c r="X1170">
        <v>0.98614840000000004</v>
      </c>
      <c r="Y1170">
        <v>0.40769850000000002</v>
      </c>
      <c r="Z1170">
        <v>8.2181579999999997E-3</v>
      </c>
      <c r="AA1170">
        <v>0.91307959999999999</v>
      </c>
      <c r="AB1170">
        <v>21</v>
      </c>
      <c r="AC1170">
        <v>4.9051999999999998</v>
      </c>
      <c r="AD1170">
        <v>-1.098928598329</v>
      </c>
      <c r="AE1170">
        <v>-4.03059999999999</v>
      </c>
      <c r="AF1170">
        <v>2.5704700642454701</v>
      </c>
      <c r="AG1170">
        <v>-1.098928598329</v>
      </c>
      <c r="AH1170">
        <v>5.6025429329129404</v>
      </c>
      <c r="AI1170">
        <v>100.108467157555</v>
      </c>
      <c r="AJ1170">
        <v>65.3541454323869</v>
      </c>
      <c r="AK1170">
        <v>6.2612656652261798</v>
      </c>
    </row>
    <row r="1171" spans="1:37" x14ac:dyDescent="0.2">
      <c r="A1171" t="str">
        <f>"20200111153629997"</f>
        <v>20200111153629997</v>
      </c>
      <c r="B1171" t="str">
        <f>"1578728189983803"</f>
        <v>1578728189983803</v>
      </c>
      <c r="C1171" t="s">
        <v>37</v>
      </c>
      <c r="D1171">
        <v>6.1701300000000003</v>
      </c>
      <c r="E1171">
        <v>0.60654960000000002</v>
      </c>
      <c r="F1171" t="s">
        <v>41</v>
      </c>
      <c r="G1171">
        <v>-201.08590000000001</v>
      </c>
      <c r="H1171" s="1">
        <v>-2.5698289999999899E-6</v>
      </c>
      <c r="I1171">
        <v>362.3535</v>
      </c>
      <c r="J1171">
        <v>-205.86009999999999</v>
      </c>
      <c r="K1171">
        <v>1.098876</v>
      </c>
      <c r="L1171">
        <v>366.36590000000001</v>
      </c>
      <c r="M1171">
        <v>0.96424940000000003</v>
      </c>
      <c r="N1171">
        <v>0</v>
      </c>
      <c r="O1171">
        <v>-0.2646019</v>
      </c>
      <c r="P1171">
        <v>0.90915889999999999</v>
      </c>
      <c r="Q1171">
        <v>3.0843450000000001E-2</v>
      </c>
      <c r="R1171">
        <v>-0.41530609999999901</v>
      </c>
      <c r="S1171">
        <v>2.4205930000000002</v>
      </c>
      <c r="T1171">
        <v>-0.53476199999999996</v>
      </c>
      <c r="U1171">
        <v>-1.9841</v>
      </c>
      <c r="V1171">
        <v>0.160556</v>
      </c>
      <c r="W1171">
        <v>4.2746220000000001E-2</v>
      </c>
      <c r="X1171">
        <v>0.98610069999999905</v>
      </c>
      <c r="Y1171">
        <v>0.40466760000000002</v>
      </c>
      <c r="Z1171">
        <v>1.031206E-2</v>
      </c>
      <c r="AA1171">
        <v>0.91440569999999899</v>
      </c>
      <c r="AB1171">
        <v>21</v>
      </c>
      <c r="AC1171">
        <v>4.7741999999999702</v>
      </c>
      <c r="AD1171">
        <v>-1.098878569829</v>
      </c>
      <c r="AE1171">
        <v>-4.0124000000000102</v>
      </c>
      <c r="AF1171">
        <v>2.5274903181191801</v>
      </c>
      <c r="AG1171">
        <v>-1.098878569829</v>
      </c>
      <c r="AH1171">
        <v>5.4951848828120999</v>
      </c>
      <c r="AI1171">
        <v>100.296938420269</v>
      </c>
      <c r="AJ1171">
        <v>65.300106134367198</v>
      </c>
      <c r="AK1171">
        <v>6.1475847546578999</v>
      </c>
    </row>
    <row r="1172" spans="1:37" x14ac:dyDescent="0.2">
      <c r="A1172" t="str">
        <f>"20200111153630012"</f>
        <v>20200111153630012</v>
      </c>
      <c r="B1172" t="str">
        <f>"1578728190003323"</f>
        <v>1578728190003323</v>
      </c>
      <c r="C1172" t="s">
        <v>37</v>
      </c>
      <c r="D1172">
        <v>6.1003020000000001</v>
      </c>
      <c r="E1172">
        <v>0.60572530000000002</v>
      </c>
      <c r="F1172" t="s">
        <v>41</v>
      </c>
      <c r="G1172">
        <v>-200.9393</v>
      </c>
      <c r="H1172" s="1">
        <v>-2.5092859999999999E-6</v>
      </c>
      <c r="I1172">
        <v>362.25490000000002</v>
      </c>
      <c r="J1172">
        <v>-205.73009999999999</v>
      </c>
      <c r="K1172">
        <v>1.0988439999999999</v>
      </c>
      <c r="L1172">
        <v>366.32220000000001</v>
      </c>
      <c r="M1172">
        <v>0.96245859999999905</v>
      </c>
      <c r="N1172">
        <v>0</v>
      </c>
      <c r="O1172">
        <v>-0.27104259999999902</v>
      </c>
      <c r="P1172">
        <v>0.90637409999999996</v>
      </c>
      <c r="Q1172">
        <v>3.0932939999999999E-2</v>
      </c>
      <c r="R1172">
        <v>-0.4213423</v>
      </c>
      <c r="S1172">
        <v>2.40148899999999</v>
      </c>
      <c r="T1172">
        <v>-0.53628500000000001</v>
      </c>
      <c r="U1172">
        <v>-2.0062869999999999</v>
      </c>
      <c r="V1172">
        <v>0.160526</v>
      </c>
      <c r="W1172">
        <v>4.2836730000000003E-2</v>
      </c>
      <c r="X1172">
        <v>0.98610159999999902</v>
      </c>
      <c r="Y1172">
        <v>0.40714450000000002</v>
      </c>
      <c r="Z1172">
        <v>1.127099E-2</v>
      </c>
      <c r="AA1172">
        <v>0.91329419999999994</v>
      </c>
      <c r="AB1172">
        <v>21</v>
      </c>
      <c r="AC1172">
        <v>4.7907999999999902</v>
      </c>
      <c r="AD1172">
        <v>-1.098846509286</v>
      </c>
      <c r="AE1172">
        <v>-4.0672999999999799</v>
      </c>
      <c r="AF1172">
        <v>2.5387540250599701</v>
      </c>
      <c r="AG1172">
        <v>-1.098846509286</v>
      </c>
      <c r="AH1172">
        <v>5.5444470645848201</v>
      </c>
      <c r="AI1172">
        <v>100.214878271424</v>
      </c>
      <c r="AJ1172">
        <v>65.397369047250805</v>
      </c>
      <c r="AK1172">
        <v>6.1962592669054297</v>
      </c>
    </row>
    <row r="1173" spans="1:37" x14ac:dyDescent="0.2">
      <c r="A1173" t="str">
        <f>"20200111153630023"</f>
        <v>20200111153630023</v>
      </c>
      <c r="B1173" t="str">
        <f>"1578728190014061"</f>
        <v>1578728190014061</v>
      </c>
      <c r="C1173" t="s">
        <v>37</v>
      </c>
      <c r="D1173">
        <v>6.1674870000000004</v>
      </c>
      <c r="E1173">
        <v>0.60535519999999998</v>
      </c>
      <c r="F1173" t="s">
        <v>41</v>
      </c>
      <c r="G1173">
        <v>-200.8398</v>
      </c>
      <c r="H1173" s="1">
        <v>-2.465373E-6</v>
      </c>
      <c r="I1173">
        <v>362.19850000000002</v>
      </c>
      <c r="J1173">
        <v>-205.61609999999999</v>
      </c>
      <c r="K1173">
        <v>1.098814</v>
      </c>
      <c r="L1173">
        <v>366.2833</v>
      </c>
      <c r="M1173">
        <v>0.96084040000000004</v>
      </c>
      <c r="N1173">
        <v>0</v>
      </c>
      <c r="O1173">
        <v>-0.27672409999999997</v>
      </c>
      <c r="P1173">
        <v>0.90400219999999898</v>
      </c>
      <c r="Q1173">
        <v>3.111243E-2</v>
      </c>
      <c r="R1173">
        <v>-0.42639490000000002</v>
      </c>
      <c r="S1173">
        <v>2.3909609999999999</v>
      </c>
      <c r="T1173">
        <v>-0.53724380000000005</v>
      </c>
      <c r="U1173">
        <v>-2.0161739999999999</v>
      </c>
      <c r="V1173">
        <v>0.16021170000000001</v>
      </c>
      <c r="W1173">
        <v>4.3021110000000001E-2</v>
      </c>
      <c r="X1173">
        <v>0.98614469999999999</v>
      </c>
      <c r="Y1173">
        <v>0.40601959999999998</v>
      </c>
      <c r="Z1173">
        <v>1.2429529999999999E-2</v>
      </c>
      <c r="AA1173">
        <v>0.91377989999999998</v>
      </c>
      <c r="AB1173">
        <v>21</v>
      </c>
      <c r="AC1173">
        <v>4.7762999999999902</v>
      </c>
      <c r="AD1173">
        <v>-1.0988164653729999</v>
      </c>
      <c r="AE1173">
        <v>-4.0847999999999702</v>
      </c>
      <c r="AF1173">
        <v>2.5261759011682501</v>
      </c>
      <c r="AG1173">
        <v>-1.0988164653729999</v>
      </c>
      <c r="AH1173">
        <v>5.5505540104170699</v>
      </c>
      <c r="AI1173">
        <v>100.214060474931</v>
      </c>
      <c r="AJ1173">
        <v>65.528702558362795</v>
      </c>
      <c r="AK1173">
        <v>6.1965806805669104</v>
      </c>
    </row>
    <row r="1174" spans="1:37" x14ac:dyDescent="0.2">
      <c r="A1174" t="str">
        <f>"20200111153630034"</f>
        <v>20200111153630034</v>
      </c>
      <c r="B1174" t="str">
        <f>"1578728190023819"</f>
        <v>1578728190023819</v>
      </c>
      <c r="C1174" t="s">
        <v>37</v>
      </c>
      <c r="D1174">
        <v>6.1633569999999898</v>
      </c>
      <c r="E1174">
        <v>0.60535519999999998</v>
      </c>
      <c r="F1174" t="s">
        <v>41</v>
      </c>
      <c r="G1174">
        <v>-200.7372</v>
      </c>
      <c r="H1174" s="1">
        <v>-2.422827E-6</v>
      </c>
      <c r="I1174">
        <v>362.1302</v>
      </c>
      <c r="J1174">
        <v>-205.51439999999999</v>
      </c>
      <c r="K1174">
        <v>1.098784</v>
      </c>
      <c r="L1174">
        <v>366.24779999999998</v>
      </c>
      <c r="M1174">
        <v>0.95935339999999902</v>
      </c>
      <c r="N1174">
        <v>0</v>
      </c>
      <c r="O1174">
        <v>-0.28183520000000001</v>
      </c>
      <c r="P1174">
        <v>0.90180389999999999</v>
      </c>
      <c r="Q1174">
        <v>3.107532E-2</v>
      </c>
      <c r="R1174">
        <v>-0.43102669999999998</v>
      </c>
      <c r="S1174">
        <v>2.381027</v>
      </c>
      <c r="T1174">
        <v>-0.53625159999999905</v>
      </c>
      <c r="U1174">
        <v>-2.02679399999999</v>
      </c>
      <c r="V1174">
        <v>0.160023</v>
      </c>
      <c r="W1174">
        <v>4.2987270000000001E-2</v>
      </c>
      <c r="X1174">
        <v>0.98617679999999996</v>
      </c>
      <c r="Y1174">
        <v>0.40548129999999999</v>
      </c>
      <c r="Z1174">
        <v>1.338346E-2</v>
      </c>
      <c r="AA1174">
        <v>0.91400530000000002</v>
      </c>
      <c r="AB1174">
        <v>21</v>
      </c>
      <c r="AC1174">
        <v>4.7771999999999899</v>
      </c>
      <c r="AD1174">
        <v>-1.0987864228269999</v>
      </c>
      <c r="AE1174">
        <v>-4.1175999999999799</v>
      </c>
      <c r="AF1174">
        <v>2.5274092447022598</v>
      </c>
      <c r="AG1174">
        <v>-1.0987864228269999</v>
      </c>
      <c r="AH1174">
        <v>5.5748956146365796</v>
      </c>
      <c r="AI1174">
        <v>100.17674723090001</v>
      </c>
      <c r="AJ1174">
        <v>65.612578298801495</v>
      </c>
      <c r="AK1174">
        <v>6.2188897889647201</v>
      </c>
    </row>
    <row r="1175" spans="1:37" x14ac:dyDescent="0.2">
      <c r="A1175" t="str">
        <f>"20200111153630049"</f>
        <v>20200111153630049</v>
      </c>
      <c r="B1175" t="str">
        <f>"1578728190044319"</f>
        <v>1578728190044319</v>
      </c>
      <c r="C1175" t="s">
        <v>37</v>
      </c>
      <c r="D1175">
        <v>6.1370769999999997</v>
      </c>
      <c r="E1175">
        <v>0.59920220000000002</v>
      </c>
      <c r="F1175" t="s">
        <v>41</v>
      </c>
      <c r="G1175">
        <v>-200.65880000000001</v>
      </c>
      <c r="H1175" s="1">
        <v>-2.3920609999999999E-6</v>
      </c>
      <c r="I1175">
        <v>362.07150000000001</v>
      </c>
      <c r="J1175">
        <v>-205.3989</v>
      </c>
      <c r="K1175">
        <v>1.0987559999999901</v>
      </c>
      <c r="L1175">
        <v>366.20670000000001</v>
      </c>
      <c r="M1175">
        <v>0.95761649999999998</v>
      </c>
      <c r="N1175">
        <v>0</v>
      </c>
      <c r="O1175">
        <v>-0.28768119999999903</v>
      </c>
      <c r="P1175">
        <v>0.89947630000000001</v>
      </c>
      <c r="Q1175">
        <v>3.1123700000000001E-2</v>
      </c>
      <c r="R1175">
        <v>-0.43586039999999998</v>
      </c>
      <c r="S1175">
        <v>2.37059</v>
      </c>
      <c r="T1175">
        <v>-0.53645549999999997</v>
      </c>
      <c r="U1175">
        <v>-2.0389710000000001</v>
      </c>
      <c r="V1175">
        <v>0.15930459999999999</v>
      </c>
      <c r="W1175">
        <v>4.3048259999999998E-2</v>
      </c>
      <c r="X1175">
        <v>0.98629049999999996</v>
      </c>
      <c r="Y1175">
        <v>0.40468229999999999</v>
      </c>
      <c r="Z1175">
        <v>1.452078E-2</v>
      </c>
      <c r="AA1175">
        <v>0.91434199999999999</v>
      </c>
      <c r="AB1175">
        <v>21</v>
      </c>
      <c r="AC1175">
        <v>4.7400999999999804</v>
      </c>
      <c r="AD1175">
        <v>-1.09875839206099</v>
      </c>
      <c r="AE1175">
        <v>-4.1351999999999904</v>
      </c>
      <c r="AF1175">
        <v>2.51969276348159</v>
      </c>
      <c r="AG1175">
        <v>-1.09875839206099</v>
      </c>
      <c r="AH1175">
        <v>5.5597850831644502</v>
      </c>
      <c r="AI1175">
        <v>100.204155774372</v>
      </c>
      <c r="AJ1175">
        <v>65.619982008494702</v>
      </c>
      <c r="AK1175">
        <v>6.20220378554622</v>
      </c>
    </row>
    <row r="1176" spans="1:37" x14ac:dyDescent="0.2">
      <c r="A1176" t="str">
        <f>"20200111153630062"</f>
        <v>20200111153630062</v>
      </c>
      <c r="B1176" t="str">
        <f>"1578728190054075"</f>
        <v>1578728190054075</v>
      </c>
      <c r="C1176" t="s">
        <v>37</v>
      </c>
      <c r="D1176">
        <v>6.1633760000000004</v>
      </c>
      <c r="E1176">
        <v>0.59907429999999995</v>
      </c>
      <c r="F1176" t="s">
        <v>41</v>
      </c>
      <c r="G1176">
        <v>-200.71530000000001</v>
      </c>
      <c r="H1176" s="1">
        <v>-2.3751649999999998E-6</v>
      </c>
      <c r="I1176">
        <v>362.26060000000001</v>
      </c>
      <c r="J1176">
        <v>-205.2705</v>
      </c>
      <c r="K1176">
        <v>1.098725</v>
      </c>
      <c r="L1176">
        <v>366.16019999999997</v>
      </c>
      <c r="M1176">
        <v>0.95562919999999996</v>
      </c>
      <c r="N1176">
        <v>0</v>
      </c>
      <c r="O1176">
        <v>-0.29421459999999999</v>
      </c>
      <c r="P1176">
        <v>0.89655180000000001</v>
      </c>
      <c r="Q1176">
        <v>3.1389809999999997E-2</v>
      </c>
      <c r="R1176">
        <v>-0.44182579999999999</v>
      </c>
      <c r="S1176">
        <v>2.3821110000000001</v>
      </c>
      <c r="T1176">
        <v>-0.55883559999999999</v>
      </c>
      <c r="U1176">
        <v>-2.0069889999999999</v>
      </c>
      <c r="V1176">
        <v>0.15913079999999999</v>
      </c>
      <c r="W1176">
        <v>4.3318370000000002E-2</v>
      </c>
      <c r="X1176">
        <v>0.98630669999999898</v>
      </c>
      <c r="Y1176">
        <v>0.38923400000000002</v>
      </c>
      <c r="Z1176">
        <v>1.7902649999999999E-2</v>
      </c>
      <c r="AA1176">
        <v>0.92096489999999998</v>
      </c>
      <c r="AB1176">
        <v>21</v>
      </c>
      <c r="AC1176">
        <v>4.5551999999999797</v>
      </c>
      <c r="AD1176">
        <v>-1.098727375165</v>
      </c>
      <c r="AE1176">
        <v>-3.89959999999996</v>
      </c>
      <c r="AF1176">
        <v>2.3090917592699398</v>
      </c>
      <c r="AG1176">
        <v>-1.098727375165</v>
      </c>
      <c r="AH1176">
        <v>5.32229143910281</v>
      </c>
      <c r="AI1176">
        <v>100.723851728989</v>
      </c>
      <c r="AJ1176">
        <v>66.546247527976604</v>
      </c>
      <c r="AK1176">
        <v>5.9047347747729004</v>
      </c>
    </row>
    <row r="1177" spans="1:37" x14ac:dyDescent="0.2">
      <c r="A1177" t="str">
        <f>"20200111153630078"</f>
        <v>20200111153630078</v>
      </c>
      <c r="B1177" t="str">
        <f>"1578728190073596"</f>
        <v>1578728190073596</v>
      </c>
      <c r="C1177" t="s">
        <v>37</v>
      </c>
      <c r="D1177">
        <v>6.2207919999999897</v>
      </c>
      <c r="E1177">
        <v>0.59914279999999998</v>
      </c>
      <c r="F1177" t="s">
        <v>41</v>
      </c>
      <c r="G1177">
        <v>-200.5652</v>
      </c>
      <c r="H1177" s="1">
        <v>-2.31772799999999E-6</v>
      </c>
      <c r="I1177">
        <v>362.14249999999998</v>
      </c>
      <c r="J1177">
        <v>-205.1284</v>
      </c>
      <c r="K1177">
        <v>1.0986899999999999</v>
      </c>
      <c r="L1177">
        <v>366.10730000000001</v>
      </c>
      <c r="M1177">
        <v>0.95335179999999997</v>
      </c>
      <c r="N1177">
        <v>0</v>
      </c>
      <c r="O1177">
        <v>-0.3015119</v>
      </c>
      <c r="P1177">
        <v>0.89311589999999996</v>
      </c>
      <c r="Q1177">
        <v>3.1811109999999997E-2</v>
      </c>
      <c r="R1177">
        <v>-0.44870070000000001</v>
      </c>
      <c r="S1177">
        <v>2.3687900000000002</v>
      </c>
      <c r="T1177">
        <v>-0.55312260000000002</v>
      </c>
      <c r="U1177">
        <v>-2.022583</v>
      </c>
      <c r="V1177">
        <v>0.1591825</v>
      </c>
      <c r="W1177">
        <v>4.3739010000000002E-2</v>
      </c>
      <c r="X1177">
        <v>0.98627980000000004</v>
      </c>
      <c r="Y1177">
        <v>0.38840279999999999</v>
      </c>
      <c r="Z1177">
        <v>1.9167730000000001E-2</v>
      </c>
      <c r="AA1177">
        <v>0.92129030000000001</v>
      </c>
      <c r="AB1177">
        <v>21</v>
      </c>
      <c r="AC1177">
        <v>4.5631999999999904</v>
      </c>
      <c r="AD1177">
        <v>-1.0986923177279999</v>
      </c>
      <c r="AE1177">
        <v>-3.9648000000000199</v>
      </c>
      <c r="AF1177">
        <v>2.3273627209324501</v>
      </c>
      <c r="AG1177">
        <v>-1.0986923177279999</v>
      </c>
      <c r="AH1177">
        <v>5.3689974364578603</v>
      </c>
      <c r="AI1177">
        <v>100.63377493419701</v>
      </c>
      <c r="AJ1177">
        <v>66.564145443688901</v>
      </c>
      <c r="AK1177">
        <v>5.9539798048458001</v>
      </c>
    </row>
    <row r="1178" spans="1:37" x14ac:dyDescent="0.2">
      <c r="A1178" t="str">
        <f>"20200111153630092"</f>
        <v>20200111153630092</v>
      </c>
      <c r="B1178" t="str">
        <f>"1578728190084332"</f>
        <v>1578728190084332</v>
      </c>
      <c r="C1178" t="s">
        <v>37</v>
      </c>
      <c r="D1178">
        <v>5.8701379999999999</v>
      </c>
      <c r="E1178">
        <v>0.60722889999999996</v>
      </c>
      <c r="F1178" t="s">
        <v>41</v>
      </c>
      <c r="G1178">
        <v>-200.46850000000001</v>
      </c>
      <c r="H1178" s="1">
        <v>-2.280976E-6</v>
      </c>
      <c r="I1178">
        <v>362.06560000000002</v>
      </c>
      <c r="J1178">
        <v>-205.00630000000001</v>
      </c>
      <c r="K1178">
        <v>1.0986639999999901</v>
      </c>
      <c r="L1178">
        <v>366.0607</v>
      </c>
      <c r="M1178">
        <v>0.95132609999999995</v>
      </c>
      <c r="N1178">
        <v>0</v>
      </c>
      <c r="O1178">
        <v>-0.30784289999999997</v>
      </c>
      <c r="P1178">
        <v>0.88992320000000003</v>
      </c>
      <c r="Q1178">
        <v>3.2011030000000003E-2</v>
      </c>
      <c r="R1178">
        <v>-0.45498649999999902</v>
      </c>
      <c r="S1178">
        <v>2.3533019999999998</v>
      </c>
      <c r="T1178">
        <v>-0.55485490000000004</v>
      </c>
      <c r="U1178">
        <v>-2.0411069999999998</v>
      </c>
      <c r="V1178">
        <v>0.15958810000000001</v>
      </c>
      <c r="W1178">
        <v>4.3933380000000001E-2</v>
      </c>
      <c r="X1178">
        <v>0.98620560000000002</v>
      </c>
      <c r="Y1178">
        <v>0.38948250000000001</v>
      </c>
      <c r="Z1178">
        <v>2.031233E-2</v>
      </c>
      <c r="AA1178">
        <v>0.92080989999999996</v>
      </c>
      <c r="AB1178">
        <v>21</v>
      </c>
      <c r="AC1178">
        <v>4.5377999999999998</v>
      </c>
      <c r="AD1178">
        <v>-1.0986662809759999</v>
      </c>
      <c r="AE1178">
        <v>-3.9950999999999701</v>
      </c>
      <c r="AF1178">
        <v>2.3271193011270799</v>
      </c>
      <c r="AG1178">
        <v>-1.0986662809759999</v>
      </c>
      <c r="AH1178">
        <v>5.3700428080402398</v>
      </c>
      <c r="AI1178">
        <v>100.631997597693</v>
      </c>
      <c r="AJ1178">
        <v>66.570402175833394</v>
      </c>
      <c r="AK1178">
        <v>5.9548225497336604</v>
      </c>
    </row>
    <row r="1179" spans="1:37" x14ac:dyDescent="0.2">
      <c r="A1179" t="str">
        <f>"20200111153630122"</f>
        <v>20200111153630122</v>
      </c>
      <c r="B1179" t="str">
        <f>"1578728190113612"</f>
        <v>1578728190113612</v>
      </c>
      <c r="C1179" t="s">
        <v>37</v>
      </c>
      <c r="D1179">
        <v>5.7772220000000001</v>
      </c>
      <c r="E1179">
        <v>0.6127184</v>
      </c>
      <c r="F1179" t="s">
        <v>41</v>
      </c>
      <c r="G1179">
        <v>-199.93209999999999</v>
      </c>
      <c r="H1179" s="1">
        <v>-1.0075869999999899E-5</v>
      </c>
      <c r="I1179">
        <v>361.40589999999997</v>
      </c>
      <c r="J1179">
        <v>-204.7467</v>
      </c>
      <c r="K1179">
        <v>1.098616</v>
      </c>
      <c r="L1179">
        <v>365.95870000000002</v>
      </c>
      <c r="M1179">
        <v>0.94682649999999902</v>
      </c>
      <c r="N1179">
        <v>0</v>
      </c>
      <c r="O1179">
        <v>-0.321414799999999</v>
      </c>
      <c r="P1179">
        <v>0.88221079999999996</v>
      </c>
      <c r="Q1179">
        <v>3.1824039999999998E-2</v>
      </c>
      <c r="R1179">
        <v>-0.46977790000000003</v>
      </c>
      <c r="S1179">
        <v>2.3070529999999998</v>
      </c>
      <c r="T1179">
        <v>-0.49952629999999998</v>
      </c>
      <c r="U1179">
        <v>-2.1163639999999999</v>
      </c>
      <c r="V1179">
        <v>0.16194990000000001</v>
      </c>
      <c r="W1179">
        <v>4.370566E-2</v>
      </c>
      <c r="X1179">
        <v>0.98583069999999895</v>
      </c>
      <c r="Y1179">
        <v>0.40217449999999999</v>
      </c>
      <c r="Z1179">
        <v>1.943887E-2</v>
      </c>
      <c r="AA1179">
        <v>0.91535659999999897</v>
      </c>
      <c r="AB1179">
        <v>21</v>
      </c>
      <c r="AC1179">
        <v>4.8146000000000102</v>
      </c>
      <c r="AD1179">
        <v>-1.0986260758699999</v>
      </c>
      <c r="AE1179">
        <v>-4.5528000000000404</v>
      </c>
      <c r="AF1179">
        <v>2.6895880835235002</v>
      </c>
      <c r="AG1179">
        <v>-1.0986260758699999</v>
      </c>
      <c r="AH1179">
        <v>5.8614440363691802</v>
      </c>
      <c r="AI1179">
        <v>99.6677782421811</v>
      </c>
      <c r="AJ1179">
        <v>65.3514555378041</v>
      </c>
      <c r="AK1179">
        <v>6.5419713775819197</v>
      </c>
    </row>
    <row r="1180" spans="1:37" x14ac:dyDescent="0.2">
      <c r="A1180" t="str">
        <f>"20200111153630137"</f>
        <v>20200111153630137</v>
      </c>
      <c r="B1180" t="str">
        <f>"1578728190134108"</f>
        <v>1578728190134108</v>
      </c>
      <c r="C1180" t="s">
        <v>37</v>
      </c>
      <c r="D1180">
        <v>5.758578</v>
      </c>
      <c r="E1180">
        <v>0.69081490000000001</v>
      </c>
      <c r="F1180" t="s">
        <v>41</v>
      </c>
      <c r="G1180">
        <v>-199.78639999999999</v>
      </c>
      <c r="H1180" s="1">
        <v>-1.006346E-5</v>
      </c>
      <c r="I1180">
        <v>361.1234</v>
      </c>
      <c r="J1180">
        <v>-204.60249999999999</v>
      </c>
      <c r="K1180">
        <v>1.0985879999999999</v>
      </c>
      <c r="L1180">
        <v>365.9</v>
      </c>
      <c r="M1180">
        <v>0.94420309999999896</v>
      </c>
      <c r="N1180">
        <v>0</v>
      </c>
      <c r="O1180">
        <v>-0.32904090000000003</v>
      </c>
      <c r="P1180">
        <v>0.87783319999999998</v>
      </c>
      <c r="Q1180">
        <v>3.1449039999999998E-2</v>
      </c>
      <c r="R1180">
        <v>-0.47793259999999999</v>
      </c>
      <c r="S1180">
        <v>2.250381</v>
      </c>
      <c r="T1180">
        <v>-0.49842579999999997</v>
      </c>
      <c r="U1180">
        <v>-2.193695</v>
      </c>
      <c r="V1180">
        <v>0.16312689999999999</v>
      </c>
      <c r="W1180">
        <v>4.3309319999999998E-2</v>
      </c>
      <c r="X1180">
        <v>0.98565409999999998</v>
      </c>
      <c r="Y1180">
        <v>0.42230810000000002</v>
      </c>
      <c r="Z1180">
        <v>1.8892010000000001E-2</v>
      </c>
      <c r="AA1180">
        <v>0.90625549999999999</v>
      </c>
      <c r="AB1180">
        <v>21</v>
      </c>
      <c r="AC1180">
        <v>4.8160999999999996</v>
      </c>
      <c r="AD1180">
        <v>-1.0985980634600001</v>
      </c>
      <c r="AE1180">
        <v>-4.77659999999997</v>
      </c>
      <c r="AF1180">
        <v>2.8509146726559802</v>
      </c>
      <c r="AG1180">
        <v>-1.0985980634600001</v>
      </c>
      <c r="AH1180">
        <v>5.9632992092871202</v>
      </c>
      <c r="AI1180">
        <v>99.436806030292402</v>
      </c>
      <c r="AJ1180">
        <v>64.448621184448797</v>
      </c>
      <c r="AK1180">
        <v>6.7004156315326897</v>
      </c>
    </row>
    <row r="1181" spans="1:37" x14ac:dyDescent="0.2">
      <c r="A1181" t="str">
        <f>"20200111153630151"</f>
        <v>20200111153630151</v>
      </c>
      <c r="B1181" t="str">
        <f>"1578728190143867"</f>
        <v>1578728190143867</v>
      </c>
      <c r="C1181" t="s">
        <v>37</v>
      </c>
      <c r="D1181">
        <v>5.7619410000000002</v>
      </c>
      <c r="E1181">
        <v>0.6898012</v>
      </c>
      <c r="F1181" t="s">
        <v>42</v>
      </c>
      <c r="G1181">
        <v>-157.25</v>
      </c>
      <c r="H1181">
        <v>1.847764</v>
      </c>
      <c r="I1181">
        <v>297.16070000000002</v>
      </c>
      <c r="J1181">
        <v>-204.48230000000001</v>
      </c>
      <c r="K1181">
        <v>1.098571</v>
      </c>
      <c r="L1181">
        <v>365.84989999999999</v>
      </c>
      <c r="M1181">
        <v>0.94194669999999903</v>
      </c>
      <c r="N1181">
        <v>0</v>
      </c>
      <c r="O1181">
        <v>-0.33544550000000001</v>
      </c>
      <c r="P1181">
        <v>0.87401219999999902</v>
      </c>
      <c r="Q1181">
        <v>3.1421520000000001E-2</v>
      </c>
      <c r="R1181">
        <v>-0.48488690000000001</v>
      </c>
      <c r="S1181">
        <v>1.9082490000000001</v>
      </c>
      <c r="T1181">
        <v>3.0193919999999999E-2</v>
      </c>
      <c r="U1181">
        <v>-2.770111</v>
      </c>
      <c r="V1181">
        <v>0.16426009999999999</v>
      </c>
      <c r="W1181">
        <v>4.3261679999999997E-2</v>
      </c>
      <c r="X1181">
        <v>0.98546789999999995</v>
      </c>
      <c r="Y1181">
        <v>0.58546290000000001</v>
      </c>
      <c r="Z1181">
        <v>-2.7721890000000001E-4</v>
      </c>
      <c r="AA1181">
        <v>0.81069919999999995</v>
      </c>
      <c r="AB1181">
        <v>21</v>
      </c>
      <c r="AC1181">
        <v>47.232300000000002</v>
      </c>
      <c r="AD1181">
        <v>0.749193</v>
      </c>
      <c r="AE1181">
        <v>-68.6891999999999</v>
      </c>
      <c r="AF1181">
        <v>48.858953957002399</v>
      </c>
      <c r="AG1181">
        <v>0.749193</v>
      </c>
      <c r="AH1181">
        <v>67.533521556701004</v>
      </c>
      <c r="AI1181">
        <v>89.485037553593301</v>
      </c>
      <c r="AJ1181">
        <v>54.115124291989197</v>
      </c>
      <c r="AK1181">
        <v>83.357874287754797</v>
      </c>
    </row>
    <row r="1182" spans="1:37" x14ac:dyDescent="0.2">
      <c r="A1182" t="str">
        <f>"20200111153630165"</f>
        <v>20200111153630165</v>
      </c>
      <c r="B1182" t="str">
        <f>"1578728190153628"</f>
        <v>1578728190153628</v>
      </c>
      <c r="C1182" t="s">
        <v>37</v>
      </c>
      <c r="D1182">
        <v>5.7564019999999996</v>
      </c>
      <c r="E1182">
        <v>0.68924419999999897</v>
      </c>
      <c r="F1182" t="s">
        <v>42</v>
      </c>
      <c r="G1182">
        <v>-157.25</v>
      </c>
      <c r="H1182">
        <v>2.0438540000000001</v>
      </c>
      <c r="I1182">
        <v>296.41640000000001</v>
      </c>
      <c r="J1182">
        <v>-204.36269999999999</v>
      </c>
      <c r="K1182">
        <v>1.0985510000000001</v>
      </c>
      <c r="L1182">
        <v>365.79910000000001</v>
      </c>
      <c r="M1182">
        <v>0.93964239999999999</v>
      </c>
      <c r="N1182">
        <v>0</v>
      </c>
      <c r="O1182">
        <v>-0.34184709999999902</v>
      </c>
      <c r="P1182">
        <v>0.8693033</v>
      </c>
      <c r="Q1182">
        <v>3.153036E-2</v>
      </c>
      <c r="R1182">
        <v>-0.49327270000000001</v>
      </c>
      <c r="S1182">
        <v>1.8898159999999999</v>
      </c>
      <c r="T1182">
        <v>3.7824869999999997E-2</v>
      </c>
      <c r="U1182">
        <v>-2.7781069999999999</v>
      </c>
      <c r="V1182">
        <v>0.16704059999999901</v>
      </c>
      <c r="W1182">
        <v>4.3321220000000001E-2</v>
      </c>
      <c r="X1182">
        <v>0.98499780000000003</v>
      </c>
      <c r="Y1182">
        <v>0.58469839999999995</v>
      </c>
      <c r="Z1182">
        <v>-4.336373E-4</v>
      </c>
      <c r="AA1182">
        <v>0.81125059999999904</v>
      </c>
      <c r="AB1182">
        <v>21</v>
      </c>
      <c r="AC1182">
        <v>47.112699999999897</v>
      </c>
      <c r="AD1182">
        <v>0.945303</v>
      </c>
      <c r="AE1182">
        <v>-69.3827</v>
      </c>
      <c r="AF1182">
        <v>49.088572302084401</v>
      </c>
      <c r="AG1182">
        <v>0.945303</v>
      </c>
      <c r="AH1182">
        <v>67.985960130972103</v>
      </c>
      <c r="AI1182">
        <v>89.354133624183206</v>
      </c>
      <c r="AJ1182">
        <v>54.169214920460298</v>
      </c>
      <c r="AK1182">
        <v>83.861029705989793</v>
      </c>
    </row>
    <row r="1183" spans="1:37" x14ac:dyDescent="0.2">
      <c r="A1183" t="str">
        <f>"20200111153630177"</f>
        <v>20200111153630177</v>
      </c>
      <c r="B1183" t="str">
        <f>"1578728190174123"</f>
        <v>1578728190174123</v>
      </c>
      <c r="C1183" t="s">
        <v>37</v>
      </c>
      <c r="D1183">
        <v>5.7508749999999997</v>
      </c>
      <c r="E1183">
        <v>0.68805609999999995</v>
      </c>
      <c r="F1183" t="s">
        <v>42</v>
      </c>
      <c r="G1183">
        <v>-157.25</v>
      </c>
      <c r="H1183">
        <v>2.2924989999999998</v>
      </c>
      <c r="I1183">
        <v>295.2484</v>
      </c>
      <c r="J1183">
        <v>-204.2535</v>
      </c>
      <c r="K1183">
        <v>1.0985389999999999</v>
      </c>
      <c r="L1183">
        <v>365.75199999999899</v>
      </c>
      <c r="M1183">
        <v>0.93748819999999999</v>
      </c>
      <c r="N1183">
        <v>0</v>
      </c>
      <c r="O1183">
        <v>-0.34771099999999999</v>
      </c>
      <c r="P1183">
        <v>0.86541619999999997</v>
      </c>
      <c r="Q1183">
        <v>3.1610220000000001E-2</v>
      </c>
      <c r="R1183">
        <v>-0.50005569999999999</v>
      </c>
      <c r="S1183">
        <v>1.8647769999999999</v>
      </c>
      <c r="T1183">
        <v>4.7260879999999998E-2</v>
      </c>
      <c r="U1183">
        <v>-2.7924799999999999</v>
      </c>
      <c r="V1183">
        <v>0.16859379999999999</v>
      </c>
      <c r="W1183">
        <v>4.337411E-2</v>
      </c>
      <c r="X1183">
        <v>0.98473080000000002</v>
      </c>
      <c r="Y1183">
        <v>0.58657550000000003</v>
      </c>
      <c r="Z1183">
        <v>-6.1758889999999995E-4</v>
      </c>
      <c r="AA1183">
        <v>0.80989429999999996</v>
      </c>
      <c r="AB1183">
        <v>21</v>
      </c>
      <c r="AC1183">
        <v>47.003500000000003</v>
      </c>
      <c r="AD1183">
        <v>1.1939599999999999</v>
      </c>
      <c r="AE1183">
        <v>-70.503599999999906</v>
      </c>
      <c r="AF1183">
        <v>49.748079938860201</v>
      </c>
      <c r="AG1183">
        <v>1.1939599999999999</v>
      </c>
      <c r="AH1183">
        <v>68.573791899696602</v>
      </c>
      <c r="AI1183">
        <v>89.192569717031901</v>
      </c>
      <c r="AJ1183">
        <v>54.040322428586101</v>
      </c>
      <c r="AK1183">
        <v>84.726984683675099</v>
      </c>
    </row>
    <row r="1184" spans="1:37" x14ac:dyDescent="0.2">
      <c r="A1184" t="str">
        <f>"20200111153630189"</f>
        <v>20200111153630189</v>
      </c>
      <c r="B1184" t="str">
        <f>"1578728190183884"</f>
        <v>1578728190183884</v>
      </c>
      <c r="C1184" t="s">
        <v>37</v>
      </c>
      <c r="D1184">
        <v>5.7129589999999997</v>
      </c>
      <c r="E1184">
        <v>0.68780430000000004</v>
      </c>
      <c r="F1184" t="s">
        <v>42</v>
      </c>
      <c r="G1184">
        <v>-157.25</v>
      </c>
      <c r="H1184">
        <v>2.4957050000000001</v>
      </c>
      <c r="I1184">
        <v>294.52249999999998</v>
      </c>
      <c r="J1184">
        <v>-204.1523</v>
      </c>
      <c r="K1184">
        <v>1.09853</v>
      </c>
      <c r="L1184">
        <v>365.70729999999998</v>
      </c>
      <c r="M1184">
        <v>0.93543799999999899</v>
      </c>
      <c r="N1184">
        <v>0</v>
      </c>
      <c r="O1184">
        <v>-0.35318929999999998</v>
      </c>
      <c r="P1184">
        <v>0.86181169999999996</v>
      </c>
      <c r="Q1184">
        <v>3.1847550000000002E-2</v>
      </c>
      <c r="R1184">
        <v>-0.50622780000000001</v>
      </c>
      <c r="S1184">
        <v>1.84713699999999</v>
      </c>
      <c r="T1184">
        <v>5.4908749999999999E-2</v>
      </c>
      <c r="U1184">
        <v>-2.79916399999999</v>
      </c>
      <c r="V1184">
        <v>0.16987920000000001</v>
      </c>
      <c r="W1184">
        <v>4.3588950000000001E-2</v>
      </c>
      <c r="X1184">
        <v>0.98450040000000005</v>
      </c>
      <c r="Y1184">
        <v>0.58626929999999999</v>
      </c>
      <c r="Z1184">
        <v>-8.2218880000000001E-4</v>
      </c>
      <c r="AA1184">
        <v>0.81011580000000005</v>
      </c>
      <c r="AB1184">
        <v>21</v>
      </c>
      <c r="AC1184">
        <v>46.902299999999997</v>
      </c>
      <c r="AD1184">
        <v>1.3971750000000001</v>
      </c>
      <c r="AE1184">
        <v>-71.184799999999996</v>
      </c>
      <c r="AF1184">
        <v>50.015471244431403</v>
      </c>
      <c r="AG1184">
        <v>1.3971750000000001</v>
      </c>
      <c r="AH1184">
        <v>69.004720919137299</v>
      </c>
      <c r="AI1184">
        <v>89.060773002993898</v>
      </c>
      <c r="AJ1184">
        <v>54.064937529681302</v>
      </c>
      <c r="AK1184">
        <v>85.235854960874306</v>
      </c>
    </row>
    <row r="1185" spans="1:37" x14ac:dyDescent="0.2">
      <c r="A1185" t="str">
        <f>"20200111153630202"</f>
        <v>20200111153630202</v>
      </c>
      <c r="B1185" t="str">
        <f>"1578728190193643"</f>
        <v>1578728190193643</v>
      </c>
      <c r="C1185" t="s">
        <v>37</v>
      </c>
      <c r="D1185">
        <v>5.7901899999999999</v>
      </c>
      <c r="E1185">
        <v>0.68722700000000003</v>
      </c>
      <c r="F1185" t="s">
        <v>42</v>
      </c>
      <c r="G1185">
        <v>-157.25</v>
      </c>
      <c r="H1185">
        <v>2.4784389999999998</v>
      </c>
      <c r="I1185">
        <v>293.61279999999999</v>
      </c>
      <c r="J1185">
        <v>-204.03899999999999</v>
      </c>
      <c r="K1185">
        <v>1.0985180000000001</v>
      </c>
      <c r="L1185">
        <v>365.6567</v>
      </c>
      <c r="M1185">
        <v>0.93309390000000003</v>
      </c>
      <c r="N1185">
        <v>0</v>
      </c>
      <c r="O1185">
        <v>-0.3593363</v>
      </c>
      <c r="P1185">
        <v>0.85772340000000002</v>
      </c>
      <c r="Q1185">
        <v>3.2072700000000003E-2</v>
      </c>
      <c r="R1185">
        <v>-0.51311019999999996</v>
      </c>
      <c r="S1185">
        <v>1.8282929999999999</v>
      </c>
      <c r="T1185">
        <v>5.3793069999999998E-2</v>
      </c>
      <c r="U1185">
        <v>-2.81030299999999</v>
      </c>
      <c r="V1185">
        <v>0.171291</v>
      </c>
      <c r="W1185">
        <v>4.3789509999999997E-2</v>
      </c>
      <c r="X1185">
        <v>0.98424690000000004</v>
      </c>
      <c r="Y1185">
        <v>0.58622399999999997</v>
      </c>
      <c r="Z1185">
        <v>-9.17003E-4</v>
      </c>
      <c r="AA1185">
        <v>0.81014849999999905</v>
      </c>
      <c r="AB1185">
        <v>21</v>
      </c>
      <c r="AC1185">
        <v>46.789000000000001</v>
      </c>
      <c r="AD1185">
        <v>1.37992099999999</v>
      </c>
      <c r="AE1185">
        <v>-72.043899999999994</v>
      </c>
      <c r="AF1185">
        <v>50.403106264944803</v>
      </c>
      <c r="AG1185">
        <v>1.37992099999999</v>
      </c>
      <c r="AH1185">
        <v>69.535990944654102</v>
      </c>
      <c r="AI1185">
        <v>89.079471868276102</v>
      </c>
      <c r="AJ1185">
        <v>54.063552537803901</v>
      </c>
      <c r="AK1185">
        <v>85.893139072783796</v>
      </c>
    </row>
    <row r="1186" spans="1:37" x14ac:dyDescent="0.2">
      <c r="A1186" t="str">
        <f>"20200111153630214"</f>
        <v>20200111153630214</v>
      </c>
      <c r="B1186" t="str">
        <f>"1578728190203404"</f>
        <v>1578728190203404</v>
      </c>
      <c r="C1186" t="s">
        <v>37</v>
      </c>
      <c r="D1186">
        <v>6.184221</v>
      </c>
      <c r="E1186">
        <v>0.68722700000000003</v>
      </c>
      <c r="F1186" t="s">
        <v>42</v>
      </c>
      <c r="G1186">
        <v>-157.25</v>
      </c>
      <c r="H1186">
        <v>2.46062099999999</v>
      </c>
      <c r="I1186">
        <v>292.64389999999997</v>
      </c>
      <c r="J1186">
        <v>-203.9359</v>
      </c>
      <c r="K1186">
        <v>1.0985100000000001</v>
      </c>
      <c r="L1186">
        <v>365.60969999999998</v>
      </c>
      <c r="M1186">
        <v>0.93090839999999997</v>
      </c>
      <c r="N1186">
        <v>0</v>
      </c>
      <c r="O1186">
        <v>-0.36496059999999902</v>
      </c>
      <c r="P1186">
        <v>0.85387819999999903</v>
      </c>
      <c r="Q1186">
        <v>3.2329910000000003E-2</v>
      </c>
      <c r="R1186">
        <v>-0.51946789999999998</v>
      </c>
      <c r="S1186">
        <v>1.807938</v>
      </c>
      <c r="T1186">
        <v>5.2634840000000002E-2</v>
      </c>
      <c r="U1186">
        <v>-2.8212280000000001</v>
      </c>
      <c r="V1186">
        <v>0.17267260000000001</v>
      </c>
      <c r="W1186">
        <v>4.4023409999999999E-2</v>
      </c>
      <c r="X1186">
        <v>0.98399499999999995</v>
      </c>
      <c r="Y1186">
        <v>0.58690240000000005</v>
      </c>
      <c r="Z1186">
        <v>-9.9046159999999998E-4</v>
      </c>
      <c r="AA1186">
        <v>0.80965710000000002</v>
      </c>
      <c r="AB1186">
        <v>21</v>
      </c>
      <c r="AC1186">
        <v>46.685899999999997</v>
      </c>
      <c r="AD1186">
        <v>1.3621109999999901</v>
      </c>
      <c r="AE1186">
        <v>-72.965800000000002</v>
      </c>
      <c r="AF1186">
        <v>50.878809831571502</v>
      </c>
      <c r="AG1186">
        <v>1.3621109999999901</v>
      </c>
      <c r="AH1186">
        <v>70.080087197672995</v>
      </c>
      <c r="AI1186">
        <v>89.098901221782199</v>
      </c>
      <c r="AJ1186">
        <v>54.019993513803797</v>
      </c>
      <c r="AK1186">
        <v>86.6125121324107</v>
      </c>
    </row>
    <row r="1187" spans="1:37" x14ac:dyDescent="0.2">
      <c r="A1187" t="str">
        <f>"20200111153630225"</f>
        <v>20200111153630225</v>
      </c>
      <c r="B1187" t="str">
        <f>"1578728190214140"</f>
        <v>1578728190214140</v>
      </c>
      <c r="C1187" t="s">
        <v>37</v>
      </c>
      <c r="D1187">
        <v>5.8626079999999998</v>
      </c>
      <c r="E1187">
        <v>0.68722700000000003</v>
      </c>
      <c r="F1187" t="s">
        <v>42</v>
      </c>
      <c r="G1187">
        <v>-157.25</v>
      </c>
      <c r="H1187">
        <v>2.5077500000000001</v>
      </c>
      <c r="I1187">
        <v>291.56540000000001</v>
      </c>
      <c r="J1187">
        <v>-203.8409</v>
      </c>
      <c r="K1187">
        <v>1.0985020000000001</v>
      </c>
      <c r="L1187">
        <v>365.56560000000002</v>
      </c>
      <c r="M1187">
        <v>0.92885119999999899</v>
      </c>
      <c r="N1187">
        <v>0</v>
      </c>
      <c r="O1187">
        <v>-0.37016509999999903</v>
      </c>
      <c r="P1187">
        <v>0.85019599999999995</v>
      </c>
      <c r="Q1187">
        <v>3.248409E-2</v>
      </c>
      <c r="R1187">
        <v>-0.52546359999999903</v>
      </c>
      <c r="S1187">
        <v>1.7870790000000001</v>
      </c>
      <c r="T1187">
        <v>5.3946729999999998E-2</v>
      </c>
      <c r="U1187">
        <v>-2.83432</v>
      </c>
      <c r="V1187">
        <v>0.17409520000000001</v>
      </c>
      <c r="W1187">
        <v>4.4152509999999999E-2</v>
      </c>
      <c r="X1187">
        <v>0.98373849999999996</v>
      </c>
      <c r="Y1187">
        <v>0.58831940000000005</v>
      </c>
      <c r="Z1187">
        <v>-1.095251E-3</v>
      </c>
      <c r="AA1187">
        <v>0.80862789999999996</v>
      </c>
      <c r="AB1187">
        <v>21</v>
      </c>
      <c r="AC1187">
        <v>46.590899999999998</v>
      </c>
      <c r="AD1187">
        <v>1.4092480000000001</v>
      </c>
      <c r="AE1187">
        <v>-74.000200000000007</v>
      </c>
      <c r="AF1187">
        <v>51.480969788758699</v>
      </c>
      <c r="AG1187">
        <v>1.4092480000000001</v>
      </c>
      <c r="AH1187">
        <v>70.657490044889002</v>
      </c>
      <c r="AI1187">
        <v>89.076478482359207</v>
      </c>
      <c r="AJ1187">
        <v>53.922960108993401</v>
      </c>
      <c r="AK1187">
        <v>87.434301791460399</v>
      </c>
    </row>
    <row r="1188" spans="1:37" x14ac:dyDescent="0.2">
      <c r="A1188" t="str">
        <f>"20200111153630236"</f>
        <v>20200111153630236</v>
      </c>
      <c r="B1188" t="str">
        <f>"1578728190233660"</f>
        <v>1578728190233660</v>
      </c>
      <c r="C1188" t="s">
        <v>37</v>
      </c>
      <c r="D1188">
        <v>6.0796669999999997</v>
      </c>
      <c r="E1188">
        <v>0.66013690000000003</v>
      </c>
      <c r="F1188" t="s">
        <v>42</v>
      </c>
      <c r="G1188">
        <v>-157.25</v>
      </c>
      <c r="H1188">
        <v>2.5557880000000002</v>
      </c>
      <c r="I1188">
        <v>290.515999999999</v>
      </c>
      <c r="J1188">
        <v>-203.73849999999999</v>
      </c>
      <c r="K1188">
        <v>1.09849</v>
      </c>
      <c r="L1188">
        <v>365.51760000000002</v>
      </c>
      <c r="M1188">
        <v>0.92659309999999995</v>
      </c>
      <c r="N1188">
        <v>0</v>
      </c>
      <c r="O1188">
        <v>-0.37578099999999998</v>
      </c>
      <c r="P1188">
        <v>0.84630479999999997</v>
      </c>
      <c r="Q1188">
        <v>3.2487509999999997E-2</v>
      </c>
      <c r="R1188">
        <v>-0.53170790000000001</v>
      </c>
      <c r="S1188">
        <v>1.767166</v>
      </c>
      <c r="T1188">
        <v>5.5276989999999998E-2</v>
      </c>
      <c r="U1188">
        <v>-2.8465880000000001</v>
      </c>
      <c r="V1188">
        <v>0.17538319999999999</v>
      </c>
      <c r="W1188">
        <v>4.4133940000000003E-2</v>
      </c>
      <c r="X1188">
        <v>0.98351049999999995</v>
      </c>
      <c r="Y1188">
        <v>0.58906780000000003</v>
      </c>
      <c r="Z1188">
        <v>-1.2192559999999999E-3</v>
      </c>
      <c r="AA1188">
        <v>0.80808269999999904</v>
      </c>
      <c r="AB1188">
        <v>21</v>
      </c>
      <c r="AC1188">
        <v>46.488499999999902</v>
      </c>
      <c r="AD1188">
        <v>1.457298</v>
      </c>
      <c r="AE1188">
        <v>-75.001599999999996</v>
      </c>
      <c r="AF1188">
        <v>52.017846621892701</v>
      </c>
      <c r="AG1188">
        <v>1.457298</v>
      </c>
      <c r="AH1188">
        <v>71.248288188462396</v>
      </c>
      <c r="AI1188">
        <v>89.053586327504604</v>
      </c>
      <c r="AJ1188">
        <v>53.867095571051998</v>
      </c>
      <c r="AK1188">
        <v>88.228672518777898</v>
      </c>
    </row>
    <row r="1189" spans="1:37" x14ac:dyDescent="0.2">
      <c r="A1189" t="str">
        <f>"20200111153630250"</f>
        <v>20200111153630250</v>
      </c>
      <c r="B1189" t="str">
        <f>"1578728190243420"</f>
        <v>1578728190243420</v>
      </c>
      <c r="C1189" t="s">
        <v>37</v>
      </c>
      <c r="D1189">
        <v>6.0692000000000004</v>
      </c>
      <c r="E1189">
        <v>0.65819530000000004</v>
      </c>
      <c r="F1189" t="s">
        <v>41</v>
      </c>
      <c r="G1189">
        <v>-192.7234</v>
      </c>
      <c r="H1189" s="1">
        <v>-8.2554039999999999E-7</v>
      </c>
      <c r="I1189">
        <v>349.7731</v>
      </c>
      <c r="J1189">
        <v>-203.62520000000001</v>
      </c>
      <c r="K1189">
        <v>1.098482</v>
      </c>
      <c r="L1189">
        <v>365.46319999999997</v>
      </c>
      <c r="M1189">
        <v>0.92403109999999999</v>
      </c>
      <c r="N1189">
        <v>0</v>
      </c>
      <c r="O1189">
        <v>-0.38203720000000002</v>
      </c>
      <c r="P1189">
        <v>0.84211480000000005</v>
      </c>
      <c r="Q1189">
        <v>3.2475230000000001E-2</v>
      </c>
      <c r="R1189">
        <v>-0.53831960000000001</v>
      </c>
      <c r="S1189">
        <v>1.871429</v>
      </c>
      <c r="T1189">
        <v>-0.18662960000000001</v>
      </c>
      <c r="U1189">
        <v>-2.6749269999999998</v>
      </c>
      <c r="V1189">
        <v>0.17643729999999999</v>
      </c>
      <c r="W1189">
        <v>4.4104879999999999E-2</v>
      </c>
      <c r="X1189">
        <v>0.98332330000000001</v>
      </c>
      <c r="Y1189">
        <v>0.53793239999999998</v>
      </c>
      <c r="Z1189">
        <v>6.4169839999999997E-3</v>
      </c>
      <c r="AA1189">
        <v>0.84296360000000004</v>
      </c>
      <c r="AB1189">
        <v>21</v>
      </c>
      <c r="AC1189">
        <v>10.9018</v>
      </c>
      <c r="AD1189">
        <v>-1.0984828255404</v>
      </c>
      <c r="AE1189">
        <v>-15.6900999999999</v>
      </c>
      <c r="AF1189">
        <v>10.300304158305799</v>
      </c>
      <c r="AG1189">
        <v>-1.0984828255404</v>
      </c>
      <c r="AH1189">
        <v>16.016578924555098</v>
      </c>
      <c r="AI1189">
        <v>93.301450381624605</v>
      </c>
      <c r="AJ1189">
        <v>57.254822117600298</v>
      </c>
      <c r="AK1189">
        <v>19.074426091448199</v>
      </c>
    </row>
    <row r="1190" spans="1:37" x14ac:dyDescent="0.2">
      <c r="A1190" t="str">
        <f>"20200111153630262"</f>
        <v>20200111153630262</v>
      </c>
      <c r="B1190" t="str">
        <f>"1578728190254155"</f>
        <v>1578728190254155</v>
      </c>
      <c r="C1190" t="s">
        <v>37</v>
      </c>
      <c r="D1190">
        <v>6.0933760000000001</v>
      </c>
      <c r="E1190">
        <v>0.65644169999999902</v>
      </c>
      <c r="F1190" t="s">
        <v>41</v>
      </c>
      <c r="G1190">
        <v>-193.12459999999999</v>
      </c>
      <c r="H1190" s="1">
        <v>-1.2719479999999999E-6</v>
      </c>
      <c r="I1190">
        <v>350.34699999999998</v>
      </c>
      <c r="J1190">
        <v>-203.52269999999999</v>
      </c>
      <c r="K1190">
        <v>1.0984769999999999</v>
      </c>
      <c r="L1190">
        <v>365.4135</v>
      </c>
      <c r="M1190">
        <v>0.92166780000000004</v>
      </c>
      <c r="N1190">
        <v>0</v>
      </c>
      <c r="O1190">
        <v>-0.3877044</v>
      </c>
      <c r="P1190">
        <v>0.83826420000000001</v>
      </c>
      <c r="Q1190">
        <v>3.2421470000000001E-2</v>
      </c>
      <c r="R1190">
        <v>-0.54430009999999995</v>
      </c>
      <c r="S1190">
        <v>1.859116</v>
      </c>
      <c r="T1190">
        <v>-0.194484299999999</v>
      </c>
      <c r="U1190">
        <v>-2.6762999999999999</v>
      </c>
      <c r="V1190">
        <v>0.17739739999999901</v>
      </c>
      <c r="W1190">
        <v>4.403485E-2</v>
      </c>
      <c r="X1190">
        <v>0.98315359999999996</v>
      </c>
      <c r="Y1190">
        <v>0.53555719999999996</v>
      </c>
      <c r="Z1190">
        <v>7.1616450000000003E-3</v>
      </c>
      <c r="AA1190">
        <v>0.84446869999999996</v>
      </c>
      <c r="AB1190">
        <v>21</v>
      </c>
      <c r="AC1190">
        <v>10.398099999999999</v>
      </c>
      <c r="AD1190">
        <v>-1.098478271948</v>
      </c>
      <c r="AE1190">
        <v>-15.0665</v>
      </c>
      <c r="AF1190">
        <v>9.8206115404652508</v>
      </c>
      <c r="AG1190">
        <v>-1.098478271948</v>
      </c>
      <c r="AH1190">
        <v>15.371244509920199</v>
      </c>
      <c r="AI1190">
        <v>93.446281464478503</v>
      </c>
      <c r="AJ1190">
        <v>57.425693478825899</v>
      </c>
      <c r="AK1190">
        <v>18.273648331037101</v>
      </c>
    </row>
    <row r="1191" spans="1:37" x14ac:dyDescent="0.2">
      <c r="A1191" t="str">
        <f>"20200111153630277"</f>
        <v>20200111153630277</v>
      </c>
      <c r="B1191" t="str">
        <f>"1578728190273675"</f>
        <v>1578728190273675</v>
      </c>
      <c r="C1191" t="s">
        <v>37</v>
      </c>
      <c r="D1191">
        <v>6.015396</v>
      </c>
      <c r="E1191">
        <v>0.65388029999999997</v>
      </c>
      <c r="F1191" t="s">
        <v>41</v>
      </c>
      <c r="G1191">
        <v>-193.37780000000001</v>
      </c>
      <c r="H1191" s="1">
        <v>-1.5543450000000001E-6</v>
      </c>
      <c r="I1191">
        <v>350.71030000000002</v>
      </c>
      <c r="J1191">
        <v>-203.39570000000001</v>
      </c>
      <c r="K1191">
        <v>1.0984700000000001</v>
      </c>
      <c r="L1191">
        <v>365.35059999999999</v>
      </c>
      <c r="M1191">
        <v>0.91866800000000004</v>
      </c>
      <c r="N1191">
        <v>0</v>
      </c>
      <c r="O1191">
        <v>-0.39475929999999998</v>
      </c>
      <c r="P1191">
        <v>0.83299519999999905</v>
      </c>
      <c r="Q1191">
        <v>3.2683549999999999E-2</v>
      </c>
      <c r="R1191">
        <v>-0.55231409999999903</v>
      </c>
      <c r="S1191">
        <v>1.8477330000000001</v>
      </c>
      <c r="T1191">
        <v>-0.20006969999999999</v>
      </c>
      <c r="U1191">
        <v>-2.67794799999999</v>
      </c>
      <c r="V1191">
        <v>0.17929779999999901</v>
      </c>
      <c r="W1191">
        <v>4.4263980000000001E-2</v>
      </c>
      <c r="X1191">
        <v>0.98279859999999897</v>
      </c>
      <c r="Y1191">
        <v>0.53174909999999997</v>
      </c>
      <c r="Z1191">
        <v>8.0030780000000003E-3</v>
      </c>
      <c r="AA1191">
        <v>0.84686410000000001</v>
      </c>
      <c r="AB1191">
        <v>21</v>
      </c>
      <c r="AC1191">
        <v>10.0178999999999</v>
      </c>
      <c r="AD1191">
        <v>-1.0984715543450001</v>
      </c>
      <c r="AE1191">
        <v>-14.6402999999999</v>
      </c>
      <c r="AF1191">
        <v>9.4596618749399095</v>
      </c>
      <c r="AG1191">
        <v>-1.0984715543450001</v>
      </c>
      <c r="AH1191">
        <v>14.9268895425437</v>
      </c>
      <c r="AI1191">
        <v>93.556878063701703</v>
      </c>
      <c r="AJ1191">
        <v>57.636217528986002</v>
      </c>
      <c r="AK1191">
        <v>17.7060406065048</v>
      </c>
    </row>
    <row r="1192" spans="1:37" x14ac:dyDescent="0.2">
      <c r="A1192" t="str">
        <f>"20200111153630291"</f>
        <v>20200111153630291</v>
      </c>
      <c r="B1192" t="str">
        <f>"1578728190283435"</f>
        <v>1578728190283435</v>
      </c>
      <c r="C1192" t="s">
        <v>37</v>
      </c>
      <c r="D1192">
        <v>6.0470169999999897</v>
      </c>
      <c r="E1192">
        <v>0.65289519999999901</v>
      </c>
      <c r="F1192" t="s">
        <v>41</v>
      </c>
      <c r="G1192">
        <v>-193.94579999999999</v>
      </c>
      <c r="H1192" s="1">
        <v>-2.197595E-6</v>
      </c>
      <c r="I1192">
        <v>351.54169999999999</v>
      </c>
      <c r="J1192">
        <v>-203.29220000000001</v>
      </c>
      <c r="K1192">
        <v>1.098465</v>
      </c>
      <c r="L1192">
        <v>365.29820000000001</v>
      </c>
      <c r="M1192">
        <v>0.91616200000000003</v>
      </c>
      <c r="N1192">
        <v>0</v>
      </c>
      <c r="O1192">
        <v>-0.40054059999999903</v>
      </c>
      <c r="P1192">
        <v>0.82891109999999901</v>
      </c>
      <c r="Q1192">
        <v>3.2936989999999999E-2</v>
      </c>
      <c r="R1192">
        <v>-0.55841010000000002</v>
      </c>
      <c r="S1192">
        <v>1.83342</v>
      </c>
      <c r="T1192">
        <v>-0.21311949999999999</v>
      </c>
      <c r="U1192">
        <v>-2.679138</v>
      </c>
      <c r="V1192">
        <v>0.18032319999999999</v>
      </c>
      <c r="W1192">
        <v>4.4497870000000002E-2</v>
      </c>
      <c r="X1192">
        <v>0.98260029999999998</v>
      </c>
      <c r="Y1192">
        <v>0.52963800000000005</v>
      </c>
      <c r="Z1192">
        <v>9.0499859999999994E-3</v>
      </c>
      <c r="AA1192">
        <v>0.84817549999999997</v>
      </c>
      <c r="AB1192">
        <v>21</v>
      </c>
      <c r="AC1192">
        <v>9.3464000000000098</v>
      </c>
      <c r="AD1192">
        <v>-1.098467197595</v>
      </c>
      <c r="AE1192">
        <v>-13.756500000000001</v>
      </c>
      <c r="AF1192">
        <v>8.8220344412607492</v>
      </c>
      <c r="AG1192">
        <v>-1.098467197595</v>
      </c>
      <c r="AH1192">
        <v>14.013230651416601</v>
      </c>
      <c r="AI1192">
        <v>93.7952554761995</v>
      </c>
      <c r="AJ1192">
        <v>57.807518504092599</v>
      </c>
      <c r="AK1192">
        <v>16.595347394880999</v>
      </c>
    </row>
    <row r="1193" spans="1:37" x14ac:dyDescent="0.2">
      <c r="A1193" t="str">
        <f>"20200111153630301"</f>
        <v>20200111153630301</v>
      </c>
      <c r="B1193" t="str">
        <f>"1578728190294172"</f>
        <v>1578728190294172</v>
      </c>
      <c r="C1193" t="s">
        <v>37</v>
      </c>
      <c r="D1193">
        <v>6.0430849999999996</v>
      </c>
      <c r="E1193">
        <v>0.65188690000000005</v>
      </c>
      <c r="F1193" t="s">
        <v>41</v>
      </c>
      <c r="G1193">
        <v>-194.31799999999899</v>
      </c>
      <c r="H1193" s="1">
        <v>-2.5943599999999998E-6</v>
      </c>
      <c r="I1193">
        <v>352.0446</v>
      </c>
      <c r="J1193">
        <v>-203.18860000000001</v>
      </c>
      <c r="K1193">
        <v>1.098462</v>
      </c>
      <c r="L1193">
        <v>365.24520000000001</v>
      </c>
      <c r="M1193">
        <v>0.91360779999999997</v>
      </c>
      <c r="N1193">
        <v>0</v>
      </c>
      <c r="O1193">
        <v>-0.40633320000000001</v>
      </c>
      <c r="P1193">
        <v>0.82489310000000005</v>
      </c>
      <c r="Q1193">
        <v>3.294238E-2</v>
      </c>
      <c r="R1193">
        <v>-0.5643283</v>
      </c>
      <c r="S1193">
        <v>1.818665</v>
      </c>
      <c r="T1193">
        <v>-0.22261069999999999</v>
      </c>
      <c r="U1193">
        <v>-2.6859130000000002</v>
      </c>
      <c r="V1193">
        <v>0.18113560000000001</v>
      </c>
      <c r="W1193">
        <v>4.448502E-2</v>
      </c>
      <c r="X1193">
        <v>0.98245149999999903</v>
      </c>
      <c r="Y1193">
        <v>0.52843890000000004</v>
      </c>
      <c r="Z1193">
        <v>9.9549259999999994E-3</v>
      </c>
      <c r="AA1193">
        <v>0.84891299999999903</v>
      </c>
      <c r="AB1193">
        <v>21</v>
      </c>
      <c r="AC1193">
        <v>8.8706000000000191</v>
      </c>
      <c r="AD1193">
        <v>-1.09846459436</v>
      </c>
      <c r="AE1193">
        <v>-13.2006</v>
      </c>
      <c r="AF1193">
        <v>8.4165076979476101</v>
      </c>
      <c r="AG1193">
        <v>-1.09846459436</v>
      </c>
      <c r="AH1193">
        <v>13.405584388041699</v>
      </c>
      <c r="AI1193">
        <v>93.969795240624606</v>
      </c>
      <c r="AJ1193">
        <v>57.877920756193099</v>
      </c>
      <c r="AK1193">
        <v>15.866755152821201</v>
      </c>
    </row>
    <row r="1194" spans="1:37" x14ac:dyDescent="0.2">
      <c r="A1194" t="str">
        <f>"20200111153630313"</f>
        <v>20200111153630313</v>
      </c>
      <c r="B1194" t="str">
        <f>"1578728190303932"</f>
        <v>1578728190303932</v>
      </c>
      <c r="C1194" t="s">
        <v>37</v>
      </c>
      <c r="D1194">
        <v>6.0718439999999996</v>
      </c>
      <c r="E1194">
        <v>0.65092119999999998</v>
      </c>
      <c r="F1194" t="s">
        <v>41</v>
      </c>
      <c r="G1194">
        <v>-194.61519999999999</v>
      </c>
      <c r="H1194" s="1">
        <v>-2.9010599999999998E-6</v>
      </c>
      <c r="I1194">
        <v>352.45330000000001</v>
      </c>
      <c r="J1194">
        <v>-203.08850000000001</v>
      </c>
      <c r="K1194">
        <v>1.0984590000000001</v>
      </c>
      <c r="L1194">
        <v>365.19310000000002</v>
      </c>
      <c r="M1194">
        <v>0.91108419999999901</v>
      </c>
      <c r="N1194">
        <v>0</v>
      </c>
      <c r="O1194">
        <v>-0.41196080000000002</v>
      </c>
      <c r="P1194">
        <v>0.82091080000000005</v>
      </c>
      <c r="Q1194">
        <v>3.274088E-2</v>
      </c>
      <c r="R1194">
        <v>-0.57011719999999999</v>
      </c>
      <c r="S1194">
        <v>1.804306</v>
      </c>
      <c r="T1194">
        <v>-0.23117599999999999</v>
      </c>
      <c r="U1194">
        <v>-2.6921080000000002</v>
      </c>
      <c r="V1194">
        <v>0.18198129999999901</v>
      </c>
      <c r="W1194">
        <v>4.4259220000000002E-2</v>
      </c>
      <c r="X1194">
        <v>0.9823054</v>
      </c>
      <c r="Y1194">
        <v>0.52721640000000003</v>
      </c>
      <c r="Z1194">
        <v>1.084882E-2</v>
      </c>
      <c r="AA1194">
        <v>0.84966180000000002</v>
      </c>
      <c r="AB1194">
        <v>21</v>
      </c>
      <c r="AC1194">
        <v>8.4733000000000196</v>
      </c>
      <c r="AD1194">
        <v>-1.0984619010600001</v>
      </c>
      <c r="AE1194">
        <v>-12.739800000000001</v>
      </c>
      <c r="AF1194">
        <v>8.0756070302661591</v>
      </c>
      <c r="AG1194">
        <v>-1.0984619010600001</v>
      </c>
      <c r="AH1194">
        <v>12.903068679668101</v>
      </c>
      <c r="AI1194">
        <v>94.127509825947499</v>
      </c>
      <c r="AJ1194">
        <v>57.958902201460099</v>
      </c>
      <c r="AK1194">
        <v>15.2614294483707</v>
      </c>
    </row>
    <row r="1195" spans="1:37" x14ac:dyDescent="0.2">
      <c r="A1195" t="str">
        <f>"20200111153630326"</f>
        <v>20200111153630326</v>
      </c>
      <c r="B1195" t="str">
        <f>"1578728190323451"</f>
        <v>1578728190323451</v>
      </c>
      <c r="C1195" t="s">
        <v>37</v>
      </c>
      <c r="D1195">
        <v>6.0105209999999998</v>
      </c>
      <c r="E1195">
        <v>0.64932869999999998</v>
      </c>
      <c r="F1195" t="s">
        <v>41</v>
      </c>
      <c r="G1195">
        <v>-194.87690000000001</v>
      </c>
      <c r="H1195" s="1">
        <v>-3.1384969999999998E-6</v>
      </c>
      <c r="I1195">
        <v>352.8098</v>
      </c>
      <c r="J1195">
        <v>-202.99180000000001</v>
      </c>
      <c r="K1195">
        <v>1.098452</v>
      </c>
      <c r="L1195">
        <v>365.14190000000002</v>
      </c>
      <c r="M1195">
        <v>0.90860239999999903</v>
      </c>
      <c r="N1195">
        <v>0</v>
      </c>
      <c r="O1195">
        <v>-0.417406099999999</v>
      </c>
      <c r="P1195">
        <v>0.81723819999999903</v>
      </c>
      <c r="Q1195">
        <v>3.2746909999999997E-2</v>
      </c>
      <c r="R1195">
        <v>-0.57536919999999903</v>
      </c>
      <c r="S1195">
        <v>1.7896729999999901</v>
      </c>
      <c r="T1195">
        <v>-0.23940600000000001</v>
      </c>
      <c r="U1195">
        <v>-2.6988829999999999</v>
      </c>
      <c r="V1195">
        <v>0.1824016</v>
      </c>
      <c r="W1195">
        <v>4.4243020000000001E-2</v>
      </c>
      <c r="X1195">
        <v>0.982228199999999</v>
      </c>
      <c r="Y1195">
        <v>0.52630100000000002</v>
      </c>
      <c r="Z1195">
        <v>1.173566E-2</v>
      </c>
      <c r="AA1195">
        <v>0.85021729999999995</v>
      </c>
      <c r="AB1195">
        <v>21</v>
      </c>
      <c r="AC1195">
        <v>8.1149000000000004</v>
      </c>
      <c r="AD1195">
        <v>-1.098455138497</v>
      </c>
      <c r="AE1195">
        <v>-12.332100000000001</v>
      </c>
      <c r="AF1195">
        <v>7.7755527359254204</v>
      </c>
      <c r="AG1195">
        <v>-1.098455138497</v>
      </c>
      <c r="AH1195">
        <v>12.453102392531401</v>
      </c>
      <c r="AI1195">
        <v>94.278914421128306</v>
      </c>
      <c r="AJ1195">
        <v>58.019888546305097</v>
      </c>
      <c r="AK1195">
        <v>14.7222818625144</v>
      </c>
    </row>
    <row r="1196" spans="1:37" x14ac:dyDescent="0.2">
      <c r="A1196" t="str">
        <f>"20200111153630338"</f>
        <v>20200111153630338</v>
      </c>
      <c r="B1196" t="str">
        <f>"1578728190334187"</f>
        <v>1578728190334187</v>
      </c>
      <c r="C1196" t="s">
        <v>37</v>
      </c>
      <c r="D1196">
        <v>6.0209409999999997</v>
      </c>
      <c r="E1196">
        <v>0.64864259999999996</v>
      </c>
      <c r="F1196" t="s">
        <v>41</v>
      </c>
      <c r="G1196">
        <v>-195.1514</v>
      </c>
      <c r="H1196" s="1">
        <v>-3.4211869999999998E-6</v>
      </c>
      <c r="I1196">
        <v>353.25060000000002</v>
      </c>
      <c r="J1196">
        <v>-202.89009999999999</v>
      </c>
      <c r="K1196">
        <v>1.098444</v>
      </c>
      <c r="L1196">
        <v>365.08749999999998</v>
      </c>
      <c r="M1196">
        <v>0.90594490000000005</v>
      </c>
      <c r="N1196">
        <v>0</v>
      </c>
      <c r="O1196">
        <v>-0.42314359999999901</v>
      </c>
      <c r="P1196">
        <v>0.81348849999999995</v>
      </c>
      <c r="Q1196">
        <v>3.289533E-2</v>
      </c>
      <c r="R1196">
        <v>-0.58064989999999905</v>
      </c>
      <c r="S1196">
        <v>1.780106</v>
      </c>
      <c r="T1196">
        <v>-0.2493966</v>
      </c>
      <c r="U1196">
        <v>-2.6998289999999998</v>
      </c>
      <c r="V1196">
        <v>0.1825572</v>
      </c>
      <c r="W1196">
        <v>4.4369739999999998E-2</v>
      </c>
      <c r="X1196">
        <v>0.9821936</v>
      </c>
      <c r="Y1196">
        <v>0.52314839999999996</v>
      </c>
      <c r="Z1196">
        <v>1.288016E-2</v>
      </c>
      <c r="AA1196">
        <v>0.85214429999999997</v>
      </c>
      <c r="AB1196">
        <v>21</v>
      </c>
      <c r="AC1196">
        <v>7.7386999999999899</v>
      </c>
      <c r="AD1196">
        <v>-1.0984474211869999</v>
      </c>
      <c r="AE1196">
        <v>-11.836899999999901</v>
      </c>
      <c r="AF1196">
        <v>7.4051178347619304</v>
      </c>
      <c r="AG1196">
        <v>-1.0984474211869999</v>
      </c>
      <c r="AH1196">
        <v>11.948740483451999</v>
      </c>
      <c r="AI1196">
        <v>94.468048319286396</v>
      </c>
      <c r="AJ1196">
        <v>58.211830242281302</v>
      </c>
      <c r="AK1196">
        <v>14.100168652349801</v>
      </c>
    </row>
    <row r="1197" spans="1:37" x14ac:dyDescent="0.2">
      <c r="A1197" t="str">
        <f>"20200111153630349"</f>
        <v>20200111153630349</v>
      </c>
      <c r="B1197" t="str">
        <f>"1578728190343947"</f>
        <v>1578728190343947</v>
      </c>
      <c r="C1197" t="s">
        <v>37</v>
      </c>
      <c r="D1197">
        <v>6.0347140000000001</v>
      </c>
      <c r="E1197">
        <v>0.64794069999999904</v>
      </c>
      <c r="F1197" t="s">
        <v>41</v>
      </c>
      <c r="G1197">
        <v>-195.17660000000001</v>
      </c>
      <c r="H1197" s="1">
        <v>-3.4323659999999999E-6</v>
      </c>
      <c r="I1197">
        <v>353.26170000000002</v>
      </c>
      <c r="J1197">
        <v>-202.79509999999999</v>
      </c>
      <c r="K1197">
        <v>1.098436</v>
      </c>
      <c r="L1197">
        <v>365.03550000000001</v>
      </c>
      <c r="M1197">
        <v>0.90340819999999999</v>
      </c>
      <c r="N1197">
        <v>0</v>
      </c>
      <c r="O1197">
        <v>-0.42853379999999902</v>
      </c>
      <c r="P1197">
        <v>0.8097645</v>
      </c>
      <c r="Q1197">
        <v>3.3111439999999999E-2</v>
      </c>
      <c r="R1197">
        <v>-0.58582019999999901</v>
      </c>
      <c r="S1197">
        <v>1.7657320000000001</v>
      </c>
      <c r="T1197">
        <v>-0.25145099999999998</v>
      </c>
      <c r="U1197">
        <v>-2.7070919999999998</v>
      </c>
      <c r="V1197">
        <v>0.1829694</v>
      </c>
      <c r="W1197">
        <v>4.4553130000000003E-2</v>
      </c>
      <c r="X1197">
        <v>0.98210849999999905</v>
      </c>
      <c r="Y1197">
        <v>0.52229799999999904</v>
      </c>
      <c r="Z1197">
        <v>1.350515E-2</v>
      </c>
      <c r="AA1197">
        <v>0.85265609999999903</v>
      </c>
      <c r="AB1197">
        <v>21</v>
      </c>
      <c r="AC1197">
        <v>7.6184999999999796</v>
      </c>
      <c r="AD1197">
        <v>-1.0984394323660001</v>
      </c>
      <c r="AE1197">
        <v>-11.7737999999999</v>
      </c>
      <c r="AF1197">
        <v>7.3275896317944804</v>
      </c>
      <c r="AG1197">
        <v>-1.0984394323660001</v>
      </c>
      <c r="AH1197">
        <v>11.856611142941899</v>
      </c>
      <c r="AI1197">
        <v>94.506050666085002</v>
      </c>
      <c r="AJ1197">
        <v>58.283221607812102</v>
      </c>
      <c r="AK1197">
        <v>13.9813935926821</v>
      </c>
    </row>
    <row r="1198" spans="1:37" x14ac:dyDescent="0.2">
      <c r="A1198" t="str">
        <f>"20200111153630362"</f>
        <v>20200111153630362</v>
      </c>
      <c r="B1198" t="str">
        <f>"1578728190353708"</f>
        <v>1578728190353708</v>
      </c>
      <c r="C1198" t="s">
        <v>37</v>
      </c>
      <c r="D1198">
        <v>6.0040170000000002</v>
      </c>
      <c r="E1198">
        <v>0.64794069999999904</v>
      </c>
      <c r="F1198" t="s">
        <v>41</v>
      </c>
      <c r="G1198">
        <v>-195.2414</v>
      </c>
      <c r="H1198" s="1">
        <v>-3.48345399999999E-6</v>
      </c>
      <c r="I1198">
        <v>353.3347</v>
      </c>
      <c r="J1198">
        <v>-202.68889999999999</v>
      </c>
      <c r="K1198">
        <v>1.098427</v>
      </c>
      <c r="L1198">
        <v>364.97680000000003</v>
      </c>
      <c r="M1198">
        <v>0.90052569999999998</v>
      </c>
      <c r="N1198">
        <v>0</v>
      </c>
      <c r="O1198">
        <v>-0.43455899999999997</v>
      </c>
      <c r="P1198">
        <v>0.80565019999999998</v>
      </c>
      <c r="Q1198">
        <v>3.3336499999999998E-2</v>
      </c>
      <c r="R1198">
        <v>-0.5914528</v>
      </c>
      <c r="S1198">
        <v>1.7519529999999901</v>
      </c>
      <c r="T1198">
        <v>-0.25476539999999998</v>
      </c>
      <c r="U1198">
        <v>-2.7138059999999999</v>
      </c>
      <c r="V1198">
        <v>0.1832655</v>
      </c>
      <c r="W1198">
        <v>4.4742730000000001E-2</v>
      </c>
      <c r="X1198">
        <v>0.98204480000000005</v>
      </c>
      <c r="Y1198">
        <v>0.52062589999999997</v>
      </c>
      <c r="Z1198">
        <v>1.4303649999999999E-2</v>
      </c>
      <c r="AA1198">
        <v>0.85366509999999995</v>
      </c>
      <c r="AB1198">
        <v>21</v>
      </c>
      <c r="AC1198">
        <v>7.44749999999999</v>
      </c>
      <c r="AD1198">
        <v>-1.098430483454</v>
      </c>
      <c r="AE1198">
        <v>-11.642099999999999</v>
      </c>
      <c r="AF1198">
        <v>7.2029003264427098</v>
      </c>
      <c r="AG1198">
        <v>-1.098430483454</v>
      </c>
      <c r="AH1198">
        <v>11.693226686486501</v>
      </c>
      <c r="AI1198">
        <v>94.572834982190699</v>
      </c>
      <c r="AJ1198">
        <v>58.367382920038899</v>
      </c>
      <c r="AK1198">
        <v>13.7775133090558</v>
      </c>
    </row>
    <row r="1199" spans="1:37" x14ac:dyDescent="0.2">
      <c r="A1199" t="str">
        <f>"20200111153630378"</f>
        <v>20200111153630378</v>
      </c>
      <c r="B1199" t="str">
        <f>"1578728190374203"</f>
        <v>1578728190374203</v>
      </c>
      <c r="C1199" t="s">
        <v>37</v>
      </c>
      <c r="D1199">
        <v>6.0414870000000001</v>
      </c>
      <c r="E1199">
        <v>0.63533649999999997</v>
      </c>
      <c r="F1199" t="s">
        <v>41</v>
      </c>
      <c r="G1199">
        <v>-195.19130000000001</v>
      </c>
      <c r="H1199" s="1">
        <v>-3.3955770000000002E-6</v>
      </c>
      <c r="I1199">
        <v>353.18220000000002</v>
      </c>
      <c r="J1199">
        <v>-202.5624</v>
      </c>
      <c r="K1199">
        <v>1.0984160000000001</v>
      </c>
      <c r="L1199">
        <v>364.90570000000002</v>
      </c>
      <c r="M1199">
        <v>0.89701549999999997</v>
      </c>
      <c r="N1199">
        <v>0</v>
      </c>
      <c r="O1199">
        <v>-0.44176080000000001</v>
      </c>
      <c r="P1199">
        <v>0.800736</v>
      </c>
      <c r="Q1199">
        <v>3.3420659999999998E-2</v>
      </c>
      <c r="R1199">
        <v>-0.5980839</v>
      </c>
      <c r="S1199">
        <v>1.7328950000000001</v>
      </c>
      <c r="T1199">
        <v>-0.25387500000000002</v>
      </c>
      <c r="U1199">
        <v>-2.7260439999999999</v>
      </c>
      <c r="V1199">
        <v>0.18350759999999999</v>
      </c>
      <c r="W1199">
        <v>4.4780840000000002E-2</v>
      </c>
      <c r="X1199">
        <v>0.98199780000000003</v>
      </c>
      <c r="Y1199">
        <v>0.51979200000000003</v>
      </c>
      <c r="Z1199">
        <v>1.493301E-2</v>
      </c>
      <c r="AA1199">
        <v>0.85416229999999904</v>
      </c>
      <c r="AB1199">
        <v>21</v>
      </c>
      <c r="AC1199">
        <v>7.3710999999999798</v>
      </c>
      <c r="AD1199">
        <v>-1.0984193955770001</v>
      </c>
      <c r="AE1199">
        <v>-11.7235</v>
      </c>
      <c r="AF1199">
        <v>7.2152685509266599</v>
      </c>
      <c r="AG1199">
        <v>-1.0984193955770001</v>
      </c>
      <c r="AH1199">
        <v>11.718489644208599</v>
      </c>
      <c r="AI1199">
        <v>94.563525492235996</v>
      </c>
      <c r="AJ1199">
        <v>58.378703397371503</v>
      </c>
      <c r="AK1199">
        <v>13.805420130224</v>
      </c>
    </row>
    <row r="1200" spans="1:37" x14ac:dyDescent="0.2">
      <c r="A1200" t="str">
        <f>"20200111153630389"</f>
        <v>20200111153630389</v>
      </c>
      <c r="B1200" t="str">
        <f>"1578728190383964"</f>
        <v>1578728190383964</v>
      </c>
      <c r="C1200" t="s">
        <v>37</v>
      </c>
      <c r="D1200">
        <v>6.0222379999999998</v>
      </c>
      <c r="E1200">
        <v>0.63486560000000003</v>
      </c>
      <c r="F1200" t="s">
        <v>41</v>
      </c>
      <c r="G1200">
        <v>-196.18539999999999</v>
      </c>
      <c r="H1200" s="1">
        <v>-4.6714860000000001E-6</v>
      </c>
      <c r="I1200">
        <v>355.33420000000001</v>
      </c>
      <c r="J1200">
        <v>-202.4684</v>
      </c>
      <c r="K1200">
        <v>1.098409</v>
      </c>
      <c r="L1200">
        <v>364.85169999999999</v>
      </c>
      <c r="M1200">
        <v>0.89435039999999999</v>
      </c>
      <c r="N1200">
        <v>0</v>
      </c>
      <c r="O1200">
        <v>-0.447133</v>
      </c>
      <c r="P1200">
        <v>0.79719309999999999</v>
      </c>
      <c r="Q1200">
        <v>3.3320969999999998E-2</v>
      </c>
      <c r="R1200">
        <v>-0.60280409999999995</v>
      </c>
      <c r="S1200">
        <v>1.772354</v>
      </c>
      <c r="T1200">
        <v>-0.30528270000000002</v>
      </c>
      <c r="U1200">
        <v>-2.6601870000000001</v>
      </c>
      <c r="V1200">
        <v>0.1834151</v>
      </c>
      <c r="W1200">
        <v>4.464651E-2</v>
      </c>
      <c r="X1200">
        <v>0.98202119999999904</v>
      </c>
      <c r="Y1200">
        <v>0.49611189999999999</v>
      </c>
      <c r="Z1200">
        <v>1.9971639999999999E-2</v>
      </c>
      <c r="AA1200">
        <v>0.86802889999999999</v>
      </c>
      <c r="AB1200">
        <v>21</v>
      </c>
      <c r="AC1200">
        <v>6.2830000000000101</v>
      </c>
      <c r="AD1200">
        <v>-1.098413671486</v>
      </c>
      <c r="AE1200">
        <v>-9.5174999999999805</v>
      </c>
      <c r="AF1200">
        <v>5.6508198208502298</v>
      </c>
      <c r="AG1200">
        <v>-1.098413671486</v>
      </c>
      <c r="AH1200">
        <v>9.7850535051410805</v>
      </c>
      <c r="AI1200">
        <v>95.552216170838605</v>
      </c>
      <c r="AJ1200">
        <v>59.993779518075897</v>
      </c>
      <c r="AK1200">
        <v>11.352777164196199</v>
      </c>
    </row>
    <row r="1201" spans="1:37" x14ac:dyDescent="0.2">
      <c r="A1201" t="str">
        <f>"20200111153630402"</f>
        <v>20200111153630402</v>
      </c>
      <c r="B1201" t="str">
        <f>"1578728190393723"</f>
        <v>1578728190393723</v>
      </c>
      <c r="C1201" t="s">
        <v>37</v>
      </c>
      <c r="D1201">
        <v>5.7351849999999898</v>
      </c>
      <c r="E1201">
        <v>0.63735059999999999</v>
      </c>
      <c r="F1201" t="s">
        <v>41</v>
      </c>
      <c r="G1201">
        <v>-196.155</v>
      </c>
      <c r="H1201" s="1">
        <v>-4.6369399999999999E-6</v>
      </c>
      <c r="I1201">
        <v>355.27449999999999</v>
      </c>
      <c r="J1201">
        <v>-202.36670000000001</v>
      </c>
      <c r="K1201">
        <v>1.0983909999999999</v>
      </c>
      <c r="L1201">
        <v>364.79270000000002</v>
      </c>
      <c r="M1201">
        <v>0.89142030000000005</v>
      </c>
      <c r="N1201">
        <v>0</v>
      </c>
      <c r="O1201">
        <v>-0.45294790000000001</v>
      </c>
      <c r="P1201">
        <v>0.79321200000000003</v>
      </c>
      <c r="Q1201">
        <v>3.3246959999999999E-2</v>
      </c>
      <c r="R1201">
        <v>-0.60803750000000001</v>
      </c>
      <c r="S1201">
        <v>1.7586979999999901</v>
      </c>
      <c r="T1201">
        <v>-0.305977</v>
      </c>
      <c r="U1201">
        <v>-2.6678470000000001</v>
      </c>
      <c r="V1201">
        <v>0.1834797</v>
      </c>
      <c r="W1201">
        <v>4.4529319999999997E-2</v>
      </c>
      <c r="X1201">
        <v>0.98201439999999995</v>
      </c>
      <c r="Y1201">
        <v>0.49472240000000001</v>
      </c>
      <c r="Z1201">
        <v>2.0726250000000002E-2</v>
      </c>
      <c r="AA1201">
        <v>0.86880389999999996</v>
      </c>
      <c r="AB1201">
        <v>20</v>
      </c>
      <c r="AC1201">
        <v>6.2117000000000004</v>
      </c>
      <c r="AD1201">
        <v>-1.0983956369399901</v>
      </c>
      <c r="AE1201">
        <v>-9.5182000000000304</v>
      </c>
      <c r="AF1201">
        <v>5.6192499782103003</v>
      </c>
      <c r="AG1201">
        <v>-1.0983956369399901</v>
      </c>
      <c r="AH1201">
        <v>9.7583717338876799</v>
      </c>
      <c r="AI1201">
        <v>95.571177584049295</v>
      </c>
      <c r="AJ1201">
        <v>60.064989105091499</v>
      </c>
      <c r="AK1201">
        <v>11.314073633736101</v>
      </c>
    </row>
    <row r="1202" spans="1:37" x14ac:dyDescent="0.2">
      <c r="A1202" t="str">
        <f>"20200111153630414"</f>
        <v>20200111153630414</v>
      </c>
      <c r="B1202" t="str">
        <f>"1578728190403484"</f>
        <v>1578728190403484</v>
      </c>
      <c r="C1202" t="s">
        <v>37</v>
      </c>
      <c r="D1202">
        <v>5.7326040000000003</v>
      </c>
      <c r="E1202">
        <v>0.63915279999999997</v>
      </c>
      <c r="F1202" t="s">
        <v>41</v>
      </c>
      <c r="G1202">
        <v>-195.8665</v>
      </c>
      <c r="H1202" s="1">
        <v>-4.2853390000000003E-6</v>
      </c>
      <c r="I1202">
        <v>354.65699999999998</v>
      </c>
      <c r="J1202">
        <v>-202.26650000000001</v>
      </c>
      <c r="K1202">
        <v>1.098379</v>
      </c>
      <c r="L1202">
        <v>364.73349999999999</v>
      </c>
      <c r="M1202">
        <v>0.88847509999999996</v>
      </c>
      <c r="N1202">
        <v>0</v>
      </c>
      <c r="O1202">
        <v>-0.45869939999999998</v>
      </c>
      <c r="P1202">
        <v>0.78932829999999998</v>
      </c>
      <c r="Q1202">
        <v>3.3076340000000003E-2</v>
      </c>
      <c r="R1202">
        <v>-0.61307999999999996</v>
      </c>
      <c r="S1202">
        <v>1.7284389999999901</v>
      </c>
      <c r="T1202">
        <v>-0.29206539999999998</v>
      </c>
      <c r="U1202">
        <v>-2.6950989999999999</v>
      </c>
      <c r="V1202">
        <v>0.18338460000000001</v>
      </c>
      <c r="W1202">
        <v>4.4312089999999998E-2</v>
      </c>
      <c r="X1202">
        <v>0.98204199999999997</v>
      </c>
      <c r="Y1202">
        <v>0.50004879999999996</v>
      </c>
      <c r="Z1202">
        <v>2.0077790000000002E-2</v>
      </c>
      <c r="AA1202">
        <v>0.86576450000000005</v>
      </c>
      <c r="AB1202">
        <v>20</v>
      </c>
      <c r="AC1202">
        <v>6.4</v>
      </c>
      <c r="AD1202">
        <v>-1.0983832853390001</v>
      </c>
      <c r="AE1202">
        <v>-10.076499999999999</v>
      </c>
      <c r="AF1202">
        <v>5.9671445889954402</v>
      </c>
      <c r="AG1202">
        <v>-1.0983832853390001</v>
      </c>
      <c r="AH1202">
        <v>10.222839476543999</v>
      </c>
      <c r="AI1202">
        <v>95.301454701623101</v>
      </c>
      <c r="AJ1202">
        <v>59.727584689712202</v>
      </c>
      <c r="AK1202">
        <v>11.887796572564501</v>
      </c>
    </row>
    <row r="1203" spans="1:37" x14ac:dyDescent="0.2">
      <c r="A1203" t="str">
        <f>"20200111153630425"</f>
        <v>20200111153630425</v>
      </c>
      <c r="B1203" t="str">
        <f>"1578728190414221"</f>
        <v>1578728190414221</v>
      </c>
      <c r="C1203" t="s">
        <v>37</v>
      </c>
      <c r="D1203">
        <v>5.6947830000000002</v>
      </c>
      <c r="E1203">
        <v>0.64048680000000002</v>
      </c>
      <c r="F1203" t="s">
        <v>41</v>
      </c>
      <c r="G1203">
        <v>-195.66</v>
      </c>
      <c r="H1203" s="1">
        <v>-4.0031959999999999E-6</v>
      </c>
      <c r="I1203">
        <v>354.18310000000002</v>
      </c>
      <c r="J1203">
        <v>-202.17850000000001</v>
      </c>
      <c r="K1203">
        <v>1.0983719999999999</v>
      </c>
      <c r="L1203">
        <v>364.68079999999998</v>
      </c>
      <c r="M1203">
        <v>0.88584669999999899</v>
      </c>
      <c r="N1203">
        <v>0</v>
      </c>
      <c r="O1203">
        <v>-0.46375640000000001</v>
      </c>
      <c r="P1203">
        <v>0.78581880000000004</v>
      </c>
      <c r="Q1203">
        <v>3.292204E-2</v>
      </c>
      <c r="R1203">
        <v>-0.61757980000000001</v>
      </c>
      <c r="S1203">
        <v>1.70172099999999</v>
      </c>
      <c r="T1203">
        <v>-0.2829257</v>
      </c>
      <c r="U1203">
        <v>-2.7176209999999998</v>
      </c>
      <c r="V1203">
        <v>0.1833919</v>
      </c>
      <c r="W1203">
        <v>4.4113930000000003E-2</v>
      </c>
      <c r="X1203">
        <v>0.98204959999999997</v>
      </c>
      <c r="Y1203">
        <v>0.50447920000000002</v>
      </c>
      <c r="Z1203">
        <v>1.9716620000000001E-2</v>
      </c>
      <c r="AA1203">
        <v>0.86319869999999899</v>
      </c>
      <c r="AB1203">
        <v>20</v>
      </c>
      <c r="AC1203">
        <v>6.5185000000000102</v>
      </c>
      <c r="AD1203">
        <v>-1.0983760031959999</v>
      </c>
      <c r="AE1203">
        <v>-10.497699999999901</v>
      </c>
      <c r="AF1203">
        <v>6.2277961353525697</v>
      </c>
      <c r="AG1203">
        <v>-1.0983760031959999</v>
      </c>
      <c r="AH1203">
        <v>10.5604233339405</v>
      </c>
      <c r="AI1203">
        <v>95.119466722399807</v>
      </c>
      <c r="AJ1203">
        <v>59.470881141279001</v>
      </c>
      <c r="AK1203">
        <v>12.309119202442799</v>
      </c>
    </row>
    <row r="1204" spans="1:37" x14ac:dyDescent="0.2">
      <c r="A1204" t="str">
        <f>"20200111153630437"</f>
        <v>20200111153630437</v>
      </c>
      <c r="B1204" t="str">
        <f>"1578728190433739"</f>
        <v>1578728190433739</v>
      </c>
      <c r="C1204" t="s">
        <v>37</v>
      </c>
      <c r="D1204">
        <v>5.770251</v>
      </c>
      <c r="E1204">
        <v>0.64112419999999903</v>
      </c>
      <c r="F1204" t="s">
        <v>41</v>
      </c>
      <c r="G1204">
        <v>-195.47120000000001</v>
      </c>
      <c r="H1204" s="1">
        <v>-3.74576099999999E-6</v>
      </c>
      <c r="I1204">
        <v>353.75470000000001</v>
      </c>
      <c r="J1204">
        <v>-202.08070000000001</v>
      </c>
      <c r="K1204">
        <v>1.0983670000000001</v>
      </c>
      <c r="L1204">
        <v>364.62169999999998</v>
      </c>
      <c r="M1204">
        <v>0.88288159999999904</v>
      </c>
      <c r="N1204">
        <v>0</v>
      </c>
      <c r="O1204">
        <v>-0.46937829999999903</v>
      </c>
      <c r="P1204">
        <v>0.78177589999999997</v>
      </c>
      <c r="Q1204">
        <v>3.298065E-2</v>
      </c>
      <c r="R1204">
        <v>-0.62268669999999904</v>
      </c>
      <c r="S1204">
        <v>1.6792910000000001</v>
      </c>
      <c r="T1204">
        <v>-0.2749991</v>
      </c>
      <c r="U1204">
        <v>-2.7355649999999998</v>
      </c>
      <c r="V1204">
        <v>0.18354889999999999</v>
      </c>
      <c r="W1204">
        <v>4.4118690000000002E-2</v>
      </c>
      <c r="X1204">
        <v>0.98202</v>
      </c>
      <c r="Y1204">
        <v>0.50668559999999996</v>
      </c>
      <c r="Z1204">
        <v>1.9591629999999999E-2</v>
      </c>
      <c r="AA1204">
        <v>0.86190829999999996</v>
      </c>
      <c r="AB1204">
        <v>20</v>
      </c>
      <c r="AC1204">
        <v>6.6094999999999899</v>
      </c>
      <c r="AD1204">
        <v>-1.0983707457609999</v>
      </c>
      <c r="AE1204">
        <v>-10.8669999999999</v>
      </c>
      <c r="AF1204">
        <v>6.4445224177475398</v>
      </c>
      <c r="AG1204">
        <v>-1.0983707457609999</v>
      </c>
      <c r="AH1204">
        <v>10.856297591499599</v>
      </c>
      <c r="AI1204">
        <v>94.972187129567104</v>
      </c>
      <c r="AJ1204">
        <v>59.305757298074198</v>
      </c>
      <c r="AK1204">
        <v>12.672706296730601</v>
      </c>
    </row>
    <row r="1205" spans="1:37" x14ac:dyDescent="0.2">
      <c r="A1205" t="str">
        <f>"20200111153630449"</f>
        <v>20200111153630449</v>
      </c>
      <c r="B1205" t="str">
        <f>"1578728190443499"</f>
        <v>1578728190443499</v>
      </c>
      <c r="C1205" t="s">
        <v>37</v>
      </c>
      <c r="D1205">
        <v>5.7134849999999897</v>
      </c>
      <c r="E1205">
        <v>0.64171929999999999</v>
      </c>
      <c r="F1205" t="s">
        <v>41</v>
      </c>
      <c r="G1205">
        <v>-195.21619999999999</v>
      </c>
      <c r="H1205" s="1">
        <v>-3.4266019999999898E-6</v>
      </c>
      <c r="I1205">
        <v>353.2328</v>
      </c>
      <c r="J1205">
        <v>-201.98769999999999</v>
      </c>
      <c r="K1205">
        <v>1.098365</v>
      </c>
      <c r="L1205">
        <v>364.56439999999998</v>
      </c>
      <c r="M1205">
        <v>0.88001319999999905</v>
      </c>
      <c r="N1205">
        <v>0</v>
      </c>
      <c r="O1205">
        <v>-0.47473609999999999</v>
      </c>
      <c r="P1205">
        <v>0.77784370000000003</v>
      </c>
      <c r="Q1205">
        <v>3.2898089999999998E-2</v>
      </c>
      <c r="R1205">
        <v>-0.62759639999999906</v>
      </c>
      <c r="S1205">
        <v>1.6578219999999999</v>
      </c>
      <c r="T1205">
        <v>-0.26526369999999999</v>
      </c>
      <c r="U1205">
        <v>-2.7504879999999998</v>
      </c>
      <c r="V1205">
        <v>0.1837589</v>
      </c>
      <c r="W1205">
        <v>4.3983399999999999E-2</v>
      </c>
      <c r="X1205">
        <v>0.98198680000000005</v>
      </c>
      <c r="Y1205">
        <v>0.50847509999999996</v>
      </c>
      <c r="Z1205">
        <v>1.9316420000000001E-2</v>
      </c>
      <c r="AA1205">
        <v>0.86085999999999996</v>
      </c>
      <c r="AB1205">
        <v>20</v>
      </c>
      <c r="AC1205">
        <v>6.7714999999999996</v>
      </c>
      <c r="AD1205">
        <v>-1.098368426602</v>
      </c>
      <c r="AE1205">
        <v>-11.3315999999999</v>
      </c>
      <c r="AF1205">
        <v>6.7115014364929797</v>
      </c>
      <c r="AG1205">
        <v>-1.098368426602</v>
      </c>
      <c r="AH1205">
        <v>11.261710351133001</v>
      </c>
      <c r="AI1205">
        <v>94.789135134670602</v>
      </c>
      <c r="AJ1205">
        <v>59.206852143802799</v>
      </c>
      <c r="AK1205">
        <v>13.155865032958401</v>
      </c>
    </row>
    <row r="1206" spans="1:37" x14ac:dyDescent="0.2">
      <c r="A1206" t="str">
        <f>"20200111153630462"</f>
        <v>20200111153630462</v>
      </c>
      <c r="B1206" t="str">
        <f>"1578728190454235"</f>
        <v>1578728190454235</v>
      </c>
      <c r="C1206" t="s">
        <v>37</v>
      </c>
      <c r="D1206">
        <v>6.0291519999999998</v>
      </c>
      <c r="E1206">
        <v>0.64171929999999999</v>
      </c>
      <c r="F1206" t="s">
        <v>41</v>
      </c>
      <c r="G1206">
        <v>-195.15770000000001</v>
      </c>
      <c r="H1206" s="1">
        <v>-3.3136489999999998E-6</v>
      </c>
      <c r="I1206">
        <v>353.0342</v>
      </c>
      <c r="J1206">
        <v>-201.88910000000001</v>
      </c>
      <c r="K1206">
        <v>1.09836</v>
      </c>
      <c r="L1206">
        <v>364.50299999999999</v>
      </c>
      <c r="M1206">
        <v>0.87692789999999998</v>
      </c>
      <c r="N1206">
        <v>0</v>
      </c>
      <c r="O1206">
        <v>-0.48041279999999997</v>
      </c>
      <c r="P1206">
        <v>0.77366889999999999</v>
      </c>
      <c r="Q1206">
        <v>3.316475E-2</v>
      </c>
      <c r="R1206">
        <v>-0.63272150000000005</v>
      </c>
      <c r="S1206">
        <v>1.637527</v>
      </c>
      <c r="T1206">
        <v>-0.26333770000000001</v>
      </c>
      <c r="U1206">
        <v>-2.7644039999999999</v>
      </c>
      <c r="V1206">
        <v>0.18390960000000001</v>
      </c>
      <c r="W1206">
        <v>4.4196340000000001E-2</v>
      </c>
      <c r="X1206">
        <v>0.98194899999999996</v>
      </c>
      <c r="Y1206">
        <v>0.50950660000000003</v>
      </c>
      <c r="Z1206">
        <v>1.9654479999999998E-2</v>
      </c>
      <c r="AA1206">
        <v>0.86024219999999896</v>
      </c>
      <c r="AB1206">
        <v>20</v>
      </c>
      <c r="AC1206">
        <v>6.7313999999999998</v>
      </c>
      <c r="AD1206">
        <v>-1.0983633136490001</v>
      </c>
      <c r="AE1206">
        <v>-11.4688</v>
      </c>
      <c r="AF1206">
        <v>6.77790830571137</v>
      </c>
      <c r="AG1206">
        <v>-1.0983633136490001</v>
      </c>
      <c r="AH1206">
        <v>11.336522451336</v>
      </c>
      <c r="AI1206">
        <v>94.753643763886998</v>
      </c>
      <c r="AJ1206">
        <v>59.125535791033499</v>
      </c>
      <c r="AK1206">
        <v>13.253798861422601</v>
      </c>
    </row>
    <row r="1207" spans="1:37" x14ac:dyDescent="0.2">
      <c r="A1207" t="str">
        <f>"20200111153630473"</f>
        <v>20200111153630473</v>
      </c>
      <c r="B1207" t="str">
        <f>"1578728190463995"</f>
        <v>1578728190463995</v>
      </c>
      <c r="C1207" t="s">
        <v>37</v>
      </c>
      <c r="D1207">
        <v>5.7214019999999897</v>
      </c>
      <c r="E1207">
        <v>0.64139299999999999</v>
      </c>
      <c r="F1207" t="s">
        <v>41</v>
      </c>
      <c r="G1207">
        <v>-195.1112</v>
      </c>
      <c r="H1207" s="1">
        <v>-3.2281099999999999E-6</v>
      </c>
      <c r="I1207">
        <v>352.88470000000001</v>
      </c>
      <c r="J1207">
        <v>-201.79230000000001</v>
      </c>
      <c r="K1207">
        <v>1.0983620000000001</v>
      </c>
      <c r="L1207">
        <v>364.44159999999999</v>
      </c>
      <c r="M1207">
        <v>0.87384359999999905</v>
      </c>
      <c r="N1207">
        <v>0</v>
      </c>
      <c r="O1207">
        <v>-0.48600199999999999</v>
      </c>
      <c r="P1207">
        <v>0.76966689999999904</v>
      </c>
      <c r="Q1207">
        <v>3.2816579999999998E-2</v>
      </c>
      <c r="R1207">
        <v>-0.6376018</v>
      </c>
      <c r="S1207">
        <v>1.6191249999999999</v>
      </c>
      <c r="T1207">
        <v>-0.26237739999999998</v>
      </c>
      <c r="U1207">
        <v>-2.7753909999999999</v>
      </c>
      <c r="V1207">
        <v>0.18383620000000001</v>
      </c>
      <c r="W1207">
        <v>4.3800939999999997E-2</v>
      </c>
      <c r="X1207">
        <v>0.98198050000000003</v>
      </c>
      <c r="Y1207">
        <v>0.50976529999999998</v>
      </c>
      <c r="Z1207">
        <v>2.0094810000000001E-2</v>
      </c>
      <c r="AA1207">
        <v>0.86007880000000003</v>
      </c>
      <c r="AB1207">
        <v>20</v>
      </c>
      <c r="AC1207">
        <v>6.6811000000000096</v>
      </c>
      <c r="AD1207">
        <v>-1.09836522811</v>
      </c>
      <c r="AE1207">
        <v>-11.556899999999899</v>
      </c>
      <c r="AF1207">
        <v>6.80649849349523</v>
      </c>
      <c r="AG1207">
        <v>-1.09836522811</v>
      </c>
      <c r="AH1207">
        <v>11.3790194435748</v>
      </c>
      <c r="AI1207">
        <v>94.7353988764023</v>
      </c>
      <c r="AJ1207">
        <v>59.113734388892297</v>
      </c>
      <c r="AK1207">
        <v>13.304770250309801</v>
      </c>
    </row>
    <row r="1208" spans="1:37" x14ac:dyDescent="0.2">
      <c r="A1208" t="str">
        <f>"20200111153630491"</f>
        <v>20200111153630491</v>
      </c>
      <c r="B1208" t="str">
        <f>"1578728190483515"</f>
        <v>1578728190483515</v>
      </c>
      <c r="C1208" t="s">
        <v>37</v>
      </c>
      <c r="D1208">
        <v>5.8345120000000001</v>
      </c>
      <c r="E1208">
        <v>0.64224369999999997</v>
      </c>
      <c r="F1208" t="s">
        <v>41</v>
      </c>
      <c r="G1208">
        <v>-195.06809999999999</v>
      </c>
      <c r="H1208" s="1">
        <v>-3.1601539999999998E-6</v>
      </c>
      <c r="I1208">
        <v>352.76859999999999</v>
      </c>
      <c r="J1208">
        <v>-201.65870000000001</v>
      </c>
      <c r="K1208">
        <v>1.0983620000000001</v>
      </c>
      <c r="L1208">
        <v>364.35570000000001</v>
      </c>
      <c r="M1208">
        <v>0.86951039999999902</v>
      </c>
      <c r="N1208">
        <v>0</v>
      </c>
      <c r="O1208">
        <v>-0.49371499999999902</v>
      </c>
      <c r="P1208">
        <v>0.76391709999999902</v>
      </c>
      <c r="Q1208">
        <v>3.2230960000000003E-2</v>
      </c>
      <c r="R1208">
        <v>-0.6445092</v>
      </c>
      <c r="S1208">
        <v>1.603302</v>
      </c>
      <c r="T1208">
        <v>-0.26189050000000003</v>
      </c>
      <c r="U1208">
        <v>-2.783264</v>
      </c>
      <c r="V1208">
        <v>0.1839703</v>
      </c>
      <c r="W1208">
        <v>4.3148300000000001E-2</v>
      </c>
      <c r="X1208">
        <v>0.98198430000000003</v>
      </c>
      <c r="Y1208">
        <v>0.5068994</v>
      </c>
      <c r="Z1208">
        <v>2.0915059999999999E-2</v>
      </c>
      <c r="AA1208">
        <v>0.86175139999999995</v>
      </c>
      <c r="AB1208">
        <v>20</v>
      </c>
      <c r="AC1208">
        <v>6.5906000000000198</v>
      </c>
      <c r="AD1208">
        <v>-1.0983651601540001</v>
      </c>
      <c r="AE1208">
        <v>-11.5871</v>
      </c>
      <c r="AF1208">
        <v>6.7758960335095804</v>
      </c>
      <c r="AG1208">
        <v>-1.0983651601540001</v>
      </c>
      <c r="AH1208">
        <v>11.3752215990454</v>
      </c>
      <c r="AI1208">
        <v>94.742143789972602</v>
      </c>
      <c r="AJ1208">
        <v>59.218945526132401</v>
      </c>
      <c r="AK1208">
        <v>13.285888736150101</v>
      </c>
    </row>
    <row r="1209" spans="1:37" x14ac:dyDescent="0.2">
      <c r="A1209" t="str">
        <f>"20200111153630503"</f>
        <v>20200111153630503</v>
      </c>
      <c r="B1209" t="str">
        <f>"1578728190494251"</f>
        <v>1578728190494251</v>
      </c>
      <c r="C1209" t="s">
        <v>37</v>
      </c>
      <c r="D1209">
        <v>5.6992589999999996</v>
      </c>
      <c r="E1209">
        <v>0.64224369999999997</v>
      </c>
      <c r="F1209" t="s">
        <v>41</v>
      </c>
      <c r="G1209">
        <v>-194.98949999999999</v>
      </c>
      <c r="H1209" s="1">
        <v>-2.9933109999999999E-6</v>
      </c>
      <c r="I1209">
        <v>352.4717</v>
      </c>
      <c r="J1209">
        <v>-201.56229999999999</v>
      </c>
      <c r="K1209">
        <v>1.0983639999999999</v>
      </c>
      <c r="L1209">
        <v>364.2928</v>
      </c>
      <c r="M1209">
        <v>0.86632880000000001</v>
      </c>
      <c r="N1209">
        <v>0</v>
      </c>
      <c r="O1209">
        <v>-0.49927779999999999</v>
      </c>
      <c r="P1209">
        <v>0.75985839999999905</v>
      </c>
      <c r="Q1209">
        <v>3.2054899999999997E-2</v>
      </c>
      <c r="R1209">
        <v>-0.64929799999999904</v>
      </c>
      <c r="S1209">
        <v>1.573105</v>
      </c>
      <c r="T1209">
        <v>-0.25907770000000002</v>
      </c>
      <c r="U1209">
        <v>-2.803131</v>
      </c>
      <c r="V1209">
        <v>0.1838409</v>
      </c>
      <c r="W1209">
        <v>4.2929160000000001E-2</v>
      </c>
      <c r="X1209">
        <v>0.9820181</v>
      </c>
      <c r="Y1209">
        <v>0.51104830000000001</v>
      </c>
      <c r="Z1209">
        <v>2.1012739999999999E-2</v>
      </c>
      <c r="AA1209">
        <v>0.85929509999999898</v>
      </c>
      <c r="AB1209">
        <v>20</v>
      </c>
      <c r="AC1209">
        <v>6.5728</v>
      </c>
      <c r="AD1209">
        <v>-1.0983669933110001</v>
      </c>
      <c r="AE1209">
        <v>-11.821099999999999</v>
      </c>
      <c r="AF1209">
        <v>6.9143912858298497</v>
      </c>
      <c r="AG1209">
        <v>-1.0983669933110001</v>
      </c>
      <c r="AH1209">
        <v>11.521377399921599</v>
      </c>
      <c r="AI1209">
        <v>94.673106945586298</v>
      </c>
      <c r="AJ1209">
        <v>59.030521770772999</v>
      </c>
      <c r="AK1209">
        <v>13.4817415083133</v>
      </c>
    </row>
    <row r="1210" spans="1:37" x14ac:dyDescent="0.2">
      <c r="A1210" t="str">
        <f>"20200111153630515"</f>
        <v>20200111153630515</v>
      </c>
      <c r="B1210" t="str">
        <f>"1578728190504012"</f>
        <v>1578728190504012</v>
      </c>
      <c r="C1210" t="s">
        <v>37</v>
      </c>
      <c r="D1210">
        <v>5.7283379999999999</v>
      </c>
      <c r="E1210">
        <v>0.68478559999999999</v>
      </c>
      <c r="F1210" t="s">
        <v>41</v>
      </c>
      <c r="G1210">
        <v>-194.97720000000001</v>
      </c>
      <c r="H1210" s="1">
        <v>-2.9476150000000002E-6</v>
      </c>
      <c r="I1210">
        <v>352.38630000000001</v>
      </c>
      <c r="J1210">
        <v>-201.46420000000001</v>
      </c>
      <c r="K1210">
        <v>1.098365</v>
      </c>
      <c r="L1210">
        <v>364.22770000000003</v>
      </c>
      <c r="M1210">
        <v>0.86304009999999998</v>
      </c>
      <c r="N1210">
        <v>0</v>
      </c>
      <c r="O1210">
        <v>-0.50494249999999996</v>
      </c>
      <c r="P1210">
        <v>0.75527559999999905</v>
      </c>
      <c r="Q1210">
        <v>3.1958189999999997E-2</v>
      </c>
      <c r="R1210">
        <v>-0.65462799999999999</v>
      </c>
      <c r="S1210">
        <v>1.5556179999999999</v>
      </c>
      <c r="T1210">
        <v>-0.25947219999999999</v>
      </c>
      <c r="U1210">
        <v>-2.8127140000000002</v>
      </c>
      <c r="V1210">
        <v>0.18431210000000001</v>
      </c>
      <c r="W1210">
        <v>4.2777660000000002E-2</v>
      </c>
      <c r="X1210">
        <v>0.98193639999999904</v>
      </c>
      <c r="Y1210">
        <v>0.51076140000000003</v>
      </c>
      <c r="Z1210">
        <v>2.1586950000000001E-2</v>
      </c>
      <c r="AA1210">
        <v>0.85945149999999904</v>
      </c>
      <c r="AB1210">
        <v>20</v>
      </c>
      <c r="AC1210">
        <v>6.4869999999999903</v>
      </c>
      <c r="AD1210">
        <v>-1.0983679476149999</v>
      </c>
      <c r="AE1210">
        <v>-11.8414</v>
      </c>
      <c r="AF1210">
        <v>6.8990615460190803</v>
      </c>
      <c r="AG1210">
        <v>-1.0983679476149999</v>
      </c>
      <c r="AH1210">
        <v>11.5027731432371</v>
      </c>
      <c r="AI1210">
        <v>94.681379941681399</v>
      </c>
      <c r="AJ1210">
        <v>59.045775566805403</v>
      </c>
      <c r="AK1210">
        <v>13.457980990805501</v>
      </c>
    </row>
    <row r="1211" spans="1:37" x14ac:dyDescent="0.2">
      <c r="A1211" t="str">
        <f>"20200111153630527"</f>
        <v>20200111153630527</v>
      </c>
      <c r="B1211" t="str">
        <f>"1578728190523532"</f>
        <v>1578728190523532</v>
      </c>
      <c r="C1211" t="s">
        <v>37</v>
      </c>
      <c r="D1211">
        <v>5.5856859999999999</v>
      </c>
      <c r="E1211">
        <v>0.68323250000000002</v>
      </c>
      <c r="F1211" t="s">
        <v>39</v>
      </c>
      <c r="G1211">
        <v>-187.61959999999999</v>
      </c>
      <c r="H1211" s="1">
        <v>-1.3087939999999999E-6</v>
      </c>
      <c r="I1211">
        <v>331.63279999999997</v>
      </c>
      <c r="J1211">
        <v>-201.3732</v>
      </c>
      <c r="K1211">
        <v>1.098366</v>
      </c>
      <c r="L1211">
        <v>364.16629999999998</v>
      </c>
      <c r="M1211">
        <v>0.85993799999999898</v>
      </c>
      <c r="N1211">
        <v>0</v>
      </c>
      <c r="O1211">
        <v>-0.51020900000000002</v>
      </c>
      <c r="P1211">
        <v>0.75083350000000004</v>
      </c>
      <c r="Q1211">
        <v>3.2106849999999999E-2</v>
      </c>
      <c r="R1211">
        <v>-0.65971089999999999</v>
      </c>
      <c r="S1211">
        <v>1.307785</v>
      </c>
      <c r="T1211">
        <v>-0.1037531</v>
      </c>
      <c r="U1211">
        <v>-3.0789490000000002</v>
      </c>
      <c r="V1211">
        <v>0.1849421</v>
      </c>
      <c r="W1211">
        <v>4.2869119999999997E-2</v>
      </c>
      <c r="X1211">
        <v>0.98181399999999996</v>
      </c>
      <c r="Y1211">
        <v>0.59204069999999998</v>
      </c>
      <c r="Z1211">
        <v>7.0792819999999897E-3</v>
      </c>
      <c r="AA1211">
        <v>0.80587699999999995</v>
      </c>
      <c r="AB1211">
        <v>20</v>
      </c>
      <c r="AC1211">
        <v>13.7536</v>
      </c>
      <c r="AD1211">
        <v>-1.098367308794</v>
      </c>
      <c r="AE1211">
        <v>-32.533499999999997</v>
      </c>
      <c r="AF1211">
        <v>20.941359492052399</v>
      </c>
      <c r="AG1211">
        <v>-1.098367308794</v>
      </c>
      <c r="AH1211">
        <v>28.401413197398899</v>
      </c>
      <c r="AI1211">
        <v>91.782845966624606</v>
      </c>
      <c r="AJ1211">
        <v>53.597344652713197</v>
      </c>
      <c r="AK1211">
        <v>35.304209660177698</v>
      </c>
    </row>
    <row r="1212" spans="1:37" x14ac:dyDescent="0.2">
      <c r="A1212" t="str">
        <f>"20200111153630539"</f>
        <v>20200111153630539</v>
      </c>
      <c r="B1212" t="str">
        <f>"1578728190533291"</f>
        <v>1578728190533291</v>
      </c>
      <c r="C1212" t="s">
        <v>37</v>
      </c>
      <c r="D1212">
        <v>5.5503460000000002</v>
      </c>
      <c r="E1212">
        <v>0.68261490000000002</v>
      </c>
      <c r="F1212" t="s">
        <v>39</v>
      </c>
      <c r="G1212">
        <v>-188.99279999999999</v>
      </c>
      <c r="H1212" s="1">
        <v>-2.36930299999999E-6</v>
      </c>
      <c r="I1212">
        <v>334.73919999999998</v>
      </c>
      <c r="J1212">
        <v>-201.28219999999999</v>
      </c>
      <c r="K1212">
        <v>1.0983609999999999</v>
      </c>
      <c r="L1212">
        <v>364.1046</v>
      </c>
      <c r="M1212">
        <v>0.8568017</v>
      </c>
      <c r="N1212">
        <v>0</v>
      </c>
      <c r="O1212">
        <v>-0.51546009999999998</v>
      </c>
      <c r="P1212">
        <v>0.746446099999999</v>
      </c>
      <c r="Q1212">
        <v>3.2439919999999997E-2</v>
      </c>
      <c r="R1212">
        <v>-0.664655</v>
      </c>
      <c r="S1212">
        <v>1.2953030000000001</v>
      </c>
      <c r="T1212">
        <v>-0.11491749999999901</v>
      </c>
      <c r="U1212">
        <v>-3.078827</v>
      </c>
      <c r="V1212">
        <v>0.1854316</v>
      </c>
      <c r="W1212">
        <v>4.3147350000000001E-2</v>
      </c>
      <c r="X1212">
        <v>0.98170939999999995</v>
      </c>
      <c r="Y1212">
        <v>0.58986039999999995</v>
      </c>
      <c r="Z1212">
        <v>8.1122299999999998E-3</v>
      </c>
      <c r="AA1212">
        <v>0.80746450000000003</v>
      </c>
      <c r="AB1212">
        <v>20</v>
      </c>
      <c r="AC1212">
        <v>12.289400000000001</v>
      </c>
      <c r="AD1212">
        <v>-1.0983633693029999</v>
      </c>
      <c r="AE1212">
        <v>-29.365400000000001</v>
      </c>
      <c r="AF1212">
        <v>18.805046847682402</v>
      </c>
      <c r="AG1212">
        <v>-1.0983633693029999</v>
      </c>
      <c r="AH1212">
        <v>25.638209380461301</v>
      </c>
      <c r="AI1212">
        <v>91.978480131078598</v>
      </c>
      <c r="AJ1212">
        <v>53.740795327382898</v>
      </c>
      <c r="AK1212">
        <v>31.814367340416101</v>
      </c>
    </row>
    <row r="1213" spans="1:37" x14ac:dyDescent="0.2">
      <c r="A1213" t="str">
        <f>"20200111153630551"</f>
        <v>20200111153630551</v>
      </c>
      <c r="B1213" t="str">
        <f>"1578728190544028"</f>
        <v>1578728190544028</v>
      </c>
      <c r="C1213" t="s">
        <v>37</v>
      </c>
      <c r="D1213">
        <v>5.8715999999999999</v>
      </c>
      <c r="E1213">
        <v>0.68261490000000002</v>
      </c>
      <c r="F1213" t="s">
        <v>39</v>
      </c>
      <c r="G1213">
        <v>-189.73689999999999</v>
      </c>
      <c r="H1213" s="1">
        <v>-2.8974290000000002E-6</v>
      </c>
      <c r="I1213">
        <v>336.27800000000002</v>
      </c>
      <c r="J1213">
        <v>-201.18799999999999</v>
      </c>
      <c r="K1213">
        <v>1.09836</v>
      </c>
      <c r="L1213">
        <v>364.03930000000003</v>
      </c>
      <c r="M1213">
        <v>0.85349769999999903</v>
      </c>
      <c r="N1213">
        <v>0</v>
      </c>
      <c r="O1213">
        <v>-0.52091369999999904</v>
      </c>
      <c r="P1213">
        <v>0.74185100000000004</v>
      </c>
      <c r="Q1213">
        <v>3.2343919999999998E-2</v>
      </c>
      <c r="R1213">
        <v>-0.66978479999999996</v>
      </c>
      <c r="S1213">
        <v>1.2791440000000001</v>
      </c>
      <c r="T1213">
        <v>-0.1216913</v>
      </c>
      <c r="U1213">
        <v>-3.083008</v>
      </c>
      <c r="V1213">
        <v>0.18593399999999999</v>
      </c>
      <c r="W1213">
        <v>4.2990609999999999E-2</v>
      </c>
      <c r="X1213">
        <v>0.98162129999999903</v>
      </c>
      <c r="Y1213">
        <v>0.58870140000000004</v>
      </c>
      <c r="Z1213">
        <v>8.8588580000000007E-3</v>
      </c>
      <c r="AA1213">
        <v>0.80830199999999996</v>
      </c>
      <c r="AB1213">
        <v>20</v>
      </c>
      <c r="AC1213">
        <v>11.451099999999901</v>
      </c>
      <c r="AD1213">
        <v>-1.0983628974290001</v>
      </c>
      <c r="AE1213">
        <v>-27.761299999999999</v>
      </c>
      <c r="AF1213">
        <v>17.707172933383902</v>
      </c>
      <c r="AG1213">
        <v>-1.0983628974290001</v>
      </c>
      <c r="AH1213">
        <v>24.2046591887792</v>
      </c>
      <c r="AI1213">
        <v>92.097469659153603</v>
      </c>
      <c r="AJ1213">
        <v>53.812271247976902</v>
      </c>
      <c r="AK1213">
        <v>30.010263257628502</v>
      </c>
    </row>
    <row r="1214" spans="1:37" x14ac:dyDescent="0.2">
      <c r="A1214" t="str">
        <f>"20200111153630569"</f>
        <v>20200111153630569</v>
      </c>
      <c r="B1214" t="str">
        <f>"1578728190563550"</f>
        <v>1578728190563550</v>
      </c>
      <c r="C1214" t="s">
        <v>37</v>
      </c>
      <c r="D1214">
        <v>5.8711760000000002</v>
      </c>
      <c r="E1214">
        <v>0.6593928</v>
      </c>
      <c r="F1214" t="s">
        <v>39</v>
      </c>
      <c r="G1214">
        <v>-189.89769999999999</v>
      </c>
      <c r="H1214" s="1">
        <v>-2.8717750000000001E-6</v>
      </c>
      <c r="I1214">
        <v>336.28469999999999</v>
      </c>
      <c r="J1214">
        <v>-201.05590000000001</v>
      </c>
      <c r="K1214">
        <v>1.098357</v>
      </c>
      <c r="L1214">
        <v>363.94659999999999</v>
      </c>
      <c r="M1214">
        <v>0.84878589999999998</v>
      </c>
      <c r="N1214">
        <v>0</v>
      </c>
      <c r="O1214">
        <v>-0.52855839999999998</v>
      </c>
      <c r="P1214">
        <v>0.73525319999999905</v>
      </c>
      <c r="Q1214">
        <v>3.2508969999999998E-2</v>
      </c>
      <c r="R1214">
        <v>-0.67701259999999996</v>
      </c>
      <c r="S1214">
        <v>1.2577510000000001</v>
      </c>
      <c r="T1214">
        <v>-0.1223583</v>
      </c>
      <c r="U1214">
        <v>-3.091888</v>
      </c>
      <c r="V1214">
        <v>0.18673010000000001</v>
      </c>
      <c r="W1214">
        <v>4.3064449999999997E-2</v>
      </c>
      <c r="X1214">
        <v>0.98146690000000003</v>
      </c>
      <c r="Y1214">
        <v>0.58705309999999999</v>
      </c>
      <c r="Z1214">
        <v>9.2784930000000005E-3</v>
      </c>
      <c r="AA1214">
        <v>0.80949530000000003</v>
      </c>
      <c r="AB1214">
        <v>20</v>
      </c>
      <c r="AC1214">
        <v>11.158200000000001</v>
      </c>
      <c r="AD1214">
        <v>-1.0983598717750001</v>
      </c>
      <c r="AE1214">
        <v>-27.661899999999999</v>
      </c>
      <c r="AF1214">
        <v>17.559117968959601</v>
      </c>
      <c r="AG1214">
        <v>-1.0983598717750001</v>
      </c>
      <c r="AH1214">
        <v>24.0614967294173</v>
      </c>
      <c r="AI1214">
        <v>92.111741028886101</v>
      </c>
      <c r="AJ1214">
        <v>53.879527272522502</v>
      </c>
      <c r="AK1214">
        <v>29.807459521326599</v>
      </c>
    </row>
    <row r="1215" spans="1:37" x14ac:dyDescent="0.2">
      <c r="A1215" t="str">
        <f>"20200111153630583"</f>
        <v>20200111153630583</v>
      </c>
      <c r="B1215" t="str">
        <f>"1578728190574284"</f>
        <v>1578728190574284</v>
      </c>
      <c r="C1215" t="s">
        <v>37</v>
      </c>
      <c r="D1215">
        <v>5.84274</v>
      </c>
      <c r="E1215">
        <v>0.65881919999999905</v>
      </c>
      <c r="F1215" t="s">
        <v>39</v>
      </c>
      <c r="G1215">
        <v>-194.39619999999999</v>
      </c>
      <c r="H1215" s="1">
        <v>-4.9949509999999997E-6</v>
      </c>
      <c r="I1215">
        <v>349.3732</v>
      </c>
      <c r="J1215">
        <v>-200.9513</v>
      </c>
      <c r="K1215">
        <v>1.0983499999999999</v>
      </c>
      <c r="L1215">
        <v>363.87199999999899</v>
      </c>
      <c r="M1215">
        <v>0.84498819999999997</v>
      </c>
      <c r="N1215">
        <v>0</v>
      </c>
      <c r="O1215">
        <v>-0.53461080000000005</v>
      </c>
      <c r="P1215">
        <v>0.73019309999999904</v>
      </c>
      <c r="Q1215">
        <v>3.2593089999999998E-2</v>
      </c>
      <c r="R1215">
        <v>-0.68246359999999995</v>
      </c>
      <c r="S1215">
        <v>1.356598</v>
      </c>
      <c r="T1215">
        <v>-0.2237401</v>
      </c>
      <c r="U1215">
        <v>-2.968658</v>
      </c>
      <c r="V1215">
        <v>0.1870202</v>
      </c>
      <c r="W1215">
        <v>4.3077789999999998E-2</v>
      </c>
      <c r="X1215">
        <v>0.98141109999999898</v>
      </c>
      <c r="Y1215">
        <v>0.54626589999999997</v>
      </c>
      <c r="Z1215">
        <v>1.9401740000000001E-2</v>
      </c>
      <c r="AA1215">
        <v>0.83738709999999905</v>
      </c>
      <c r="AB1215">
        <v>20</v>
      </c>
      <c r="AC1215">
        <v>6.5551000000000004</v>
      </c>
      <c r="AD1215">
        <v>-1.0983549949510001</v>
      </c>
      <c r="AE1215">
        <v>-14.4987999999999</v>
      </c>
      <c r="AF1215">
        <v>8.7062185242124102</v>
      </c>
      <c r="AG1215">
        <v>-1.0983549949510001</v>
      </c>
      <c r="AH1215">
        <v>13.228403714520001</v>
      </c>
      <c r="AI1215">
        <v>93.967493999191802</v>
      </c>
      <c r="AJ1215">
        <v>56.649253764965401</v>
      </c>
      <c r="AK1215">
        <v>15.8743594995388</v>
      </c>
    </row>
    <row r="1216" spans="1:37" x14ac:dyDescent="0.2">
      <c r="A1216" t="str">
        <f>"20200111153630595"</f>
        <v>20200111153630595</v>
      </c>
      <c r="B1216" t="str">
        <f>"1578728190584045"</f>
        <v>1578728190584045</v>
      </c>
      <c r="C1216" t="s">
        <v>37</v>
      </c>
      <c r="D1216">
        <v>5.8461309999999997</v>
      </c>
      <c r="E1216">
        <v>0.65810979999999997</v>
      </c>
      <c r="F1216" t="s">
        <v>39</v>
      </c>
      <c r="G1216">
        <v>-194.23509999999999</v>
      </c>
      <c r="H1216" s="1">
        <v>-4.8159400000000002E-6</v>
      </c>
      <c r="I1216">
        <v>348.93110000000001</v>
      </c>
      <c r="J1216">
        <v>-200.85130000000001</v>
      </c>
      <c r="K1216">
        <v>1.098341</v>
      </c>
      <c r="L1216">
        <v>363.7996</v>
      </c>
      <c r="M1216">
        <v>0.84129739999999997</v>
      </c>
      <c r="N1216">
        <v>0</v>
      </c>
      <c r="O1216">
        <v>-0.54040180000000004</v>
      </c>
      <c r="P1216">
        <v>0.72509669999999904</v>
      </c>
      <c r="Q1216">
        <v>3.2981660000000003E-2</v>
      </c>
      <c r="R1216">
        <v>-0.68785699999999905</v>
      </c>
      <c r="S1216">
        <v>1.3374629999999901</v>
      </c>
      <c r="T1216">
        <v>-0.21872539999999999</v>
      </c>
      <c r="U1216">
        <v>-2.975311</v>
      </c>
      <c r="V1216">
        <v>0.1875694</v>
      </c>
      <c r="W1216">
        <v>4.3387920000000003E-2</v>
      </c>
      <c r="X1216">
        <v>0.98129259999999996</v>
      </c>
      <c r="Y1216">
        <v>0.54570569999999996</v>
      </c>
      <c r="Z1216">
        <v>1.9460299999999899E-2</v>
      </c>
      <c r="AA1216">
        <v>0.83775089999999997</v>
      </c>
      <c r="AB1216">
        <v>20</v>
      </c>
      <c r="AC1216">
        <v>6.6162000000000196</v>
      </c>
      <c r="AD1216">
        <v>-1.0983458159399999</v>
      </c>
      <c r="AE1216">
        <v>-14.8684999999999</v>
      </c>
      <c r="AF1216">
        <v>8.8937379990575796</v>
      </c>
      <c r="AG1216">
        <v>-1.0983458159399999</v>
      </c>
      <c r="AH1216">
        <v>13.540734000712099</v>
      </c>
      <c r="AI1216">
        <v>93.878593842713897</v>
      </c>
      <c r="AJ1216">
        <v>56.702547311459099</v>
      </c>
      <c r="AK1216">
        <v>16.237500312711799</v>
      </c>
    </row>
    <row r="1217" spans="1:37" x14ac:dyDescent="0.2">
      <c r="A1217" t="str">
        <f>"20200111153630609"</f>
        <v>20200111153630609</v>
      </c>
      <c r="B1217" t="str">
        <f>"1578728190603563"</f>
        <v>1578728190603563</v>
      </c>
      <c r="C1217" t="s">
        <v>37</v>
      </c>
      <c r="D1217">
        <v>5.8095049999999997</v>
      </c>
      <c r="E1217">
        <v>0.65670289999999998</v>
      </c>
      <c r="F1217" t="s">
        <v>39</v>
      </c>
      <c r="G1217">
        <v>-194.09780000000001</v>
      </c>
      <c r="H1217" s="1">
        <v>-4.6581539999999997E-6</v>
      </c>
      <c r="I1217">
        <v>348.53899999999999</v>
      </c>
      <c r="J1217">
        <v>-200.75460000000001</v>
      </c>
      <c r="K1217">
        <v>1.0983339999999999</v>
      </c>
      <c r="L1217">
        <v>363.72840000000002</v>
      </c>
      <c r="M1217">
        <v>0.83767009999999897</v>
      </c>
      <c r="N1217">
        <v>0</v>
      </c>
      <c r="O1217">
        <v>-0.54600919999999997</v>
      </c>
      <c r="P1217">
        <v>0.72022140000000001</v>
      </c>
      <c r="Q1217">
        <v>3.3300080000000003E-2</v>
      </c>
      <c r="R1217">
        <v>-0.69294500000000003</v>
      </c>
      <c r="S1217">
        <v>1.319229</v>
      </c>
      <c r="T1217">
        <v>-0.214552299999999</v>
      </c>
      <c r="U1217">
        <v>-2.9810180000000002</v>
      </c>
      <c r="V1217">
        <v>0.187936299999999</v>
      </c>
      <c r="W1217">
        <v>4.362945E-2</v>
      </c>
      <c r="X1217">
        <v>0.98121170000000002</v>
      </c>
      <c r="Y1217">
        <v>0.54499730000000002</v>
      </c>
      <c r="Z1217">
        <v>1.9567459999999998E-2</v>
      </c>
      <c r="AA1217">
        <v>0.83820949999999905</v>
      </c>
      <c r="AB1217">
        <v>20</v>
      </c>
      <c r="AC1217">
        <v>6.6567999999999996</v>
      </c>
      <c r="AD1217">
        <v>-1.098338658154</v>
      </c>
      <c r="AE1217">
        <v>-15.189399999999999</v>
      </c>
      <c r="AF1217">
        <v>9.0501667440143407</v>
      </c>
      <c r="AG1217">
        <v>-1.098338658154</v>
      </c>
      <c r="AH1217">
        <v>13.8104462819494</v>
      </c>
      <c r="AI1217">
        <v>93.805656704872106</v>
      </c>
      <c r="AJ1217">
        <v>56.762648371196804</v>
      </c>
      <c r="AK1217">
        <v>16.5481205098666</v>
      </c>
    </row>
    <row r="1218" spans="1:37" x14ac:dyDescent="0.2">
      <c r="A1218" t="str">
        <f>"20200111153630624"</f>
        <v>20200111153630624</v>
      </c>
      <c r="B1218" t="str">
        <f>"1578728190613323"</f>
        <v>1578728190613323</v>
      </c>
      <c r="C1218" t="s">
        <v>37</v>
      </c>
      <c r="D1218">
        <v>5.7983880000000001</v>
      </c>
      <c r="E1218">
        <v>0.65611239999999904</v>
      </c>
      <c r="F1218" t="s">
        <v>39</v>
      </c>
      <c r="G1218">
        <v>-194.11099999999999</v>
      </c>
      <c r="H1218" s="1">
        <v>-4.6676890000000001E-6</v>
      </c>
      <c r="I1218">
        <v>348.56020000000001</v>
      </c>
      <c r="J1218">
        <v>-200.6386</v>
      </c>
      <c r="K1218">
        <v>1.09832</v>
      </c>
      <c r="L1218">
        <v>363.64190000000002</v>
      </c>
      <c r="M1218">
        <v>0.83324869999999995</v>
      </c>
      <c r="N1218">
        <v>0</v>
      </c>
      <c r="O1218">
        <v>-0.55273499999999998</v>
      </c>
      <c r="P1218">
        <v>0.71404899999999905</v>
      </c>
      <c r="Q1218">
        <v>3.3532340000000001E-2</v>
      </c>
      <c r="R1218">
        <v>-0.69929219999999903</v>
      </c>
      <c r="S1218">
        <v>1.306168</v>
      </c>
      <c r="T1218">
        <v>-0.21593899999999999</v>
      </c>
      <c r="U1218">
        <v>-2.9821469999999999</v>
      </c>
      <c r="V1218">
        <v>0.18873139999999999</v>
      </c>
      <c r="W1218">
        <v>4.3761410000000001E-2</v>
      </c>
      <c r="X1218">
        <v>0.98105319999999996</v>
      </c>
      <c r="Y1218">
        <v>0.54144959999999998</v>
      </c>
      <c r="Z1218">
        <v>2.0377920000000001E-2</v>
      </c>
      <c r="AA1218">
        <v>0.84048619999999996</v>
      </c>
      <c r="AB1218">
        <v>20</v>
      </c>
      <c r="AC1218">
        <v>6.5275999999999996</v>
      </c>
      <c r="AD1218">
        <v>-1.0983246676889999</v>
      </c>
      <c r="AE1218">
        <v>-15.0817</v>
      </c>
      <c r="AF1218">
        <v>8.9197410626026805</v>
      </c>
      <c r="AG1218">
        <v>-1.0983246676889999</v>
      </c>
      <c r="AH1218">
        <v>13.7152794725673</v>
      </c>
      <c r="AI1218">
        <v>93.840624355358202</v>
      </c>
      <c r="AJ1218">
        <v>56.962010727505003</v>
      </c>
      <c r="AK1218">
        <v>16.397468972684798</v>
      </c>
    </row>
    <row r="1219" spans="1:37" x14ac:dyDescent="0.2">
      <c r="A1219" t="str">
        <f>"20200111153630635"</f>
        <v>20200111153630635</v>
      </c>
      <c r="B1219" t="str">
        <f>"1578728190624060"</f>
        <v>1578728190624060</v>
      </c>
      <c r="C1219" t="s">
        <v>37</v>
      </c>
      <c r="D1219">
        <v>5.8285</v>
      </c>
      <c r="E1219">
        <v>0.65556190000000003</v>
      </c>
      <c r="F1219" t="s">
        <v>39</v>
      </c>
      <c r="G1219">
        <v>-194.25559999999999</v>
      </c>
      <c r="H1219" s="1">
        <v>-4.7639210000000002E-6</v>
      </c>
      <c r="I1219">
        <v>348.76760000000002</v>
      </c>
      <c r="J1219">
        <v>-200.55070000000001</v>
      </c>
      <c r="K1219">
        <v>1.0983039999999999</v>
      </c>
      <c r="L1219">
        <v>363.5752</v>
      </c>
      <c r="M1219">
        <v>0.82984419999999903</v>
      </c>
      <c r="N1219">
        <v>0</v>
      </c>
      <c r="O1219">
        <v>-0.55783499999999997</v>
      </c>
      <c r="P1219">
        <v>0.7095129</v>
      </c>
      <c r="Q1219">
        <v>3.3217280000000002E-2</v>
      </c>
      <c r="R1219">
        <v>-0.70390929999999996</v>
      </c>
      <c r="S1219">
        <v>1.283234</v>
      </c>
      <c r="T1219">
        <v>-0.2208049</v>
      </c>
      <c r="U1219">
        <v>-2.9902950000000001</v>
      </c>
      <c r="V1219">
        <v>0.18906489999999901</v>
      </c>
      <c r="W1219">
        <v>4.3374589999999998E-2</v>
      </c>
      <c r="X1219">
        <v>0.98100609999999999</v>
      </c>
      <c r="Y1219">
        <v>0.54256510000000002</v>
      </c>
      <c r="Z1219">
        <v>2.121899E-2</v>
      </c>
      <c r="AA1219">
        <v>0.83974570000000004</v>
      </c>
      <c r="AB1219">
        <v>20</v>
      </c>
      <c r="AC1219">
        <v>6.2951000000000104</v>
      </c>
      <c r="AD1219">
        <v>-1.0983087639210001</v>
      </c>
      <c r="AE1219">
        <v>-14.8075999999999</v>
      </c>
      <c r="AF1219">
        <v>8.7364517697597694</v>
      </c>
      <c r="AG1219">
        <v>-1.0983087639210001</v>
      </c>
      <c r="AH1219">
        <v>13.4228128719619</v>
      </c>
      <c r="AI1219">
        <v>93.923070262152706</v>
      </c>
      <c r="AJ1219">
        <v>56.941267557938197</v>
      </c>
      <c r="AK1219">
        <v>16.053154738616001</v>
      </c>
    </row>
    <row r="1220" spans="1:37" x14ac:dyDescent="0.2">
      <c r="A1220" t="str">
        <f>"20200111153630648"</f>
        <v>20200111153630648</v>
      </c>
      <c r="B1220" t="str">
        <f>"1578728190643582"</f>
        <v>1578728190643582</v>
      </c>
      <c r="C1220" t="s">
        <v>37</v>
      </c>
      <c r="D1220">
        <v>6.0469089999999897</v>
      </c>
      <c r="E1220">
        <v>0.65444939999999996</v>
      </c>
      <c r="F1220" t="s">
        <v>39</v>
      </c>
      <c r="G1220">
        <v>-194.3022</v>
      </c>
      <c r="H1220" s="1">
        <v>-4.7853970000000001E-6</v>
      </c>
      <c r="I1220">
        <v>348.8064</v>
      </c>
      <c r="J1220">
        <v>-200.45859999999999</v>
      </c>
      <c r="K1220">
        <v>1.098295</v>
      </c>
      <c r="L1220">
        <v>363.50450000000001</v>
      </c>
      <c r="M1220">
        <v>0.82622519999999999</v>
      </c>
      <c r="N1220">
        <v>0</v>
      </c>
      <c r="O1220">
        <v>-0.56318319999999999</v>
      </c>
      <c r="P1220">
        <v>0.70496669999999995</v>
      </c>
      <c r="Q1220">
        <v>3.3035710000000003E-2</v>
      </c>
      <c r="R1220">
        <v>-0.70847109999999902</v>
      </c>
      <c r="S1220">
        <v>1.267212</v>
      </c>
      <c r="T1220">
        <v>-0.22273950000000001</v>
      </c>
      <c r="U1220">
        <v>-2.9951479999999999</v>
      </c>
      <c r="V1220">
        <v>0.18904799999999999</v>
      </c>
      <c r="W1220">
        <v>4.312494E-2</v>
      </c>
      <c r="X1220">
        <v>0.98102049999999996</v>
      </c>
      <c r="Y1220">
        <v>0.54144349999999997</v>
      </c>
      <c r="Z1220">
        <v>2.189574E-2</v>
      </c>
      <c r="AA1220">
        <v>0.84045199999999998</v>
      </c>
      <c r="AB1220">
        <v>20</v>
      </c>
      <c r="AC1220">
        <v>6.1563999999999899</v>
      </c>
      <c r="AD1220">
        <v>-1.098299785397</v>
      </c>
      <c r="AE1220">
        <v>-14.6981</v>
      </c>
      <c r="AF1220">
        <v>8.6365000976198498</v>
      </c>
      <c r="AG1220">
        <v>-1.098299785397</v>
      </c>
      <c r="AH1220">
        <v>13.302286562393901</v>
      </c>
      <c r="AI1220">
        <v>93.961386827495602</v>
      </c>
      <c r="AJ1220">
        <v>57.006380111334003</v>
      </c>
      <c r="AK1220">
        <v>15.8979943434018</v>
      </c>
    </row>
    <row r="1221" spans="1:37" x14ac:dyDescent="0.2">
      <c r="A1221" t="str">
        <f>"20200111153630660"</f>
        <v>20200111153630660</v>
      </c>
      <c r="B1221" t="str">
        <f>"1578728190654316"</f>
        <v>1578728190654316</v>
      </c>
      <c r="C1221" t="s">
        <v>37</v>
      </c>
      <c r="D1221">
        <v>5.8795859999999998</v>
      </c>
      <c r="E1221">
        <v>0.65406699999999995</v>
      </c>
      <c r="F1221" t="s">
        <v>39</v>
      </c>
      <c r="G1221">
        <v>-194.20679999999999</v>
      </c>
      <c r="H1221" s="1">
        <v>-4.6847430000000004E-6</v>
      </c>
      <c r="I1221">
        <v>348.56029999999998</v>
      </c>
      <c r="J1221">
        <v>-200.3683</v>
      </c>
      <c r="K1221">
        <v>1.0982860000000001</v>
      </c>
      <c r="L1221">
        <v>363.43450000000001</v>
      </c>
      <c r="M1221">
        <v>0.82263189999999997</v>
      </c>
      <c r="N1221">
        <v>0</v>
      </c>
      <c r="O1221">
        <v>-0.5684205</v>
      </c>
      <c r="P1221">
        <v>0.700403</v>
      </c>
      <c r="Q1221">
        <v>3.2877450000000003E-2</v>
      </c>
      <c r="R1221">
        <v>-0.71299029999999997</v>
      </c>
      <c r="S1221">
        <v>1.25386</v>
      </c>
      <c r="T1221">
        <v>-0.22027640000000001</v>
      </c>
      <c r="U1221">
        <v>-2.997223</v>
      </c>
      <c r="V1221">
        <v>0.18911819999999999</v>
      </c>
      <c r="W1221">
        <v>4.2897709999999999E-2</v>
      </c>
      <c r="X1221">
        <v>0.98101689999999997</v>
      </c>
      <c r="Y1221">
        <v>0.53950399999999998</v>
      </c>
      <c r="Z1221">
        <v>2.2171659999999999E-2</v>
      </c>
      <c r="AA1221">
        <v>0.84169110000000003</v>
      </c>
      <c r="AB1221">
        <v>20</v>
      </c>
      <c r="AC1221">
        <v>6.16150000000001</v>
      </c>
      <c r="AD1221">
        <v>-1.0982906847430001</v>
      </c>
      <c r="AE1221">
        <v>-14.8742</v>
      </c>
      <c r="AF1221">
        <v>8.69397398381372</v>
      </c>
      <c r="AG1221">
        <v>-1.0982906847430001</v>
      </c>
      <c r="AH1221">
        <v>13.4619826047887</v>
      </c>
      <c r="AI1221">
        <v>93.920624496835501</v>
      </c>
      <c r="AJ1221">
        <v>57.144948158125104</v>
      </c>
      <c r="AK1221">
        <v>16.062888959058899</v>
      </c>
    </row>
    <row r="1222" spans="1:37" x14ac:dyDescent="0.2">
      <c r="A1222" t="str">
        <f>"20200111153630672"</f>
        <v>20200111153630672</v>
      </c>
      <c r="B1222" t="str">
        <f>"1578728190664075"</f>
        <v>1578728190664075</v>
      </c>
      <c r="C1222" t="s">
        <v>37</v>
      </c>
      <c r="D1222">
        <v>5.8583730000000003</v>
      </c>
      <c r="E1222">
        <v>0.65361049999999998</v>
      </c>
      <c r="F1222" t="s">
        <v>39</v>
      </c>
      <c r="G1222">
        <v>-194.1808</v>
      </c>
      <c r="H1222" s="1">
        <v>-4.6296139999999996E-6</v>
      </c>
      <c r="I1222">
        <v>348.4119</v>
      </c>
      <c r="J1222">
        <v>-200.2722</v>
      </c>
      <c r="K1222">
        <v>1.0982719999999999</v>
      </c>
      <c r="L1222">
        <v>363.35860000000002</v>
      </c>
      <c r="M1222">
        <v>0.81874169999999902</v>
      </c>
      <c r="N1222">
        <v>0</v>
      </c>
      <c r="O1222">
        <v>-0.5740113</v>
      </c>
      <c r="P1222">
        <v>0.69547150000000002</v>
      </c>
      <c r="Q1222">
        <v>3.2883469999999998E-2</v>
      </c>
      <c r="R1222">
        <v>-0.71780089999999996</v>
      </c>
      <c r="S1222">
        <v>1.2367859999999999</v>
      </c>
      <c r="T1222">
        <v>-0.219532</v>
      </c>
      <c r="U1222">
        <v>-3.0028079999999999</v>
      </c>
      <c r="V1222">
        <v>0.189197</v>
      </c>
      <c r="W1222">
        <v>4.282768E-2</v>
      </c>
      <c r="X1222">
        <v>0.98100469999999895</v>
      </c>
      <c r="Y1222">
        <v>0.53841949999999905</v>
      </c>
      <c r="Z1222">
        <v>2.2599049999999999E-2</v>
      </c>
      <c r="AA1222">
        <v>0.84237390000000001</v>
      </c>
      <c r="AB1222">
        <v>20</v>
      </c>
      <c r="AC1222">
        <v>6.0913999999999904</v>
      </c>
      <c r="AD1222">
        <v>-1.0982766296140001</v>
      </c>
      <c r="AE1222">
        <v>-14.9467</v>
      </c>
      <c r="AF1222">
        <v>8.7014211566959396</v>
      </c>
      <c r="AG1222">
        <v>-1.0982766296140001</v>
      </c>
      <c r="AH1222">
        <v>13.5054986502136</v>
      </c>
      <c r="AI1222">
        <v>93.910696384518403</v>
      </c>
      <c r="AJ1222">
        <v>57.206831154539302</v>
      </c>
      <c r="AK1222">
        <v>16.103398259133801</v>
      </c>
    </row>
    <row r="1223" spans="1:37" x14ac:dyDescent="0.2">
      <c r="A1223" t="str">
        <f>"20200111153630685"</f>
        <v>20200111153630685</v>
      </c>
      <c r="B1223" t="str">
        <f>"1578728190673835"</f>
        <v>1578728190673835</v>
      </c>
      <c r="C1223" t="s">
        <v>37</v>
      </c>
      <c r="D1223">
        <v>5.8547709999999897</v>
      </c>
      <c r="E1223">
        <v>0.65316079999999999</v>
      </c>
      <c r="F1223" t="s">
        <v>39</v>
      </c>
      <c r="G1223">
        <v>-194.08459999999999</v>
      </c>
      <c r="H1223" s="1">
        <v>-4.4995239999999997E-6</v>
      </c>
      <c r="I1223">
        <v>348.0797</v>
      </c>
      <c r="J1223">
        <v>-200.18219999999999</v>
      </c>
      <c r="K1223">
        <v>1.0982620000000001</v>
      </c>
      <c r="L1223">
        <v>363.2867</v>
      </c>
      <c r="M1223">
        <v>0.8150463</v>
      </c>
      <c r="N1223">
        <v>0</v>
      </c>
      <c r="O1223">
        <v>-0.57924809999999904</v>
      </c>
      <c r="P1223">
        <v>0.69095059999999997</v>
      </c>
      <c r="Q1223">
        <v>3.322319E-2</v>
      </c>
      <c r="R1223">
        <v>-0.72213799999999995</v>
      </c>
      <c r="S1223">
        <v>1.2185059999999901</v>
      </c>
      <c r="T1223">
        <v>-0.21627969999999999</v>
      </c>
      <c r="U1223">
        <v>-3.0088200000000001</v>
      </c>
      <c r="V1223">
        <v>0.18906020000000001</v>
      </c>
      <c r="W1223">
        <v>4.3096839999999997E-2</v>
      </c>
      <c r="X1223">
        <v>0.98101930000000004</v>
      </c>
      <c r="Y1223">
        <v>0.53800760000000003</v>
      </c>
      <c r="Z1223">
        <v>2.2708860000000001E-2</v>
      </c>
      <c r="AA1223">
        <v>0.84263410000000005</v>
      </c>
      <c r="AB1223">
        <v>20</v>
      </c>
      <c r="AC1223">
        <v>6.0975999999999999</v>
      </c>
      <c r="AD1223">
        <v>-1.0982664995239999</v>
      </c>
      <c r="AE1223">
        <v>-15.206999999999899</v>
      </c>
      <c r="AF1223">
        <v>8.8234966187150494</v>
      </c>
      <c r="AG1223">
        <v>-1.0982664995239999</v>
      </c>
      <c r="AH1223">
        <v>13.717990614717699</v>
      </c>
      <c r="AI1223">
        <v>93.852157098903604</v>
      </c>
      <c r="AJ1223">
        <v>57.250624691997899</v>
      </c>
      <c r="AK1223">
        <v>16.347585399377401</v>
      </c>
    </row>
    <row r="1224" spans="1:37" x14ac:dyDescent="0.2">
      <c r="A1224" t="str">
        <f>"20200111153630703"</f>
        <v>20200111153630703</v>
      </c>
      <c r="B1224" t="str">
        <f>"1578728190693358"</f>
        <v>1578728190693358</v>
      </c>
      <c r="C1224" t="s">
        <v>37</v>
      </c>
      <c r="D1224">
        <v>5.9130799999999999</v>
      </c>
      <c r="E1224">
        <v>0.65235949999999998</v>
      </c>
      <c r="F1224" t="s">
        <v>39</v>
      </c>
      <c r="G1224">
        <v>-193.98089999999999</v>
      </c>
      <c r="H1224" s="1">
        <v>-4.3665109999999997E-6</v>
      </c>
      <c r="I1224">
        <v>347.74299999999999</v>
      </c>
      <c r="J1224">
        <v>-200.05549999999999</v>
      </c>
      <c r="K1224">
        <v>1.098249</v>
      </c>
      <c r="L1224">
        <v>363.18400000000003</v>
      </c>
      <c r="M1224">
        <v>0.80975799999999998</v>
      </c>
      <c r="N1224">
        <v>0</v>
      </c>
      <c r="O1224">
        <v>-0.58662080000000005</v>
      </c>
      <c r="P1224">
        <v>0.68420099999999995</v>
      </c>
      <c r="Q1224">
        <v>3.3541170000000002E-2</v>
      </c>
      <c r="R1224">
        <v>-0.7285218</v>
      </c>
      <c r="S1224">
        <v>1.2023469999999901</v>
      </c>
      <c r="T1224">
        <v>-0.21293979999999901</v>
      </c>
      <c r="U1224">
        <v>-3.0137330000000002</v>
      </c>
      <c r="V1224">
        <v>0.18927929999999901</v>
      </c>
      <c r="W1224">
        <v>4.3304080000000002E-2</v>
      </c>
      <c r="X1224">
        <v>0.9809679</v>
      </c>
      <c r="Y1224">
        <v>0.53473939999999998</v>
      </c>
      <c r="Z1224">
        <v>2.306472E-2</v>
      </c>
      <c r="AA1224">
        <v>0.84470219999999896</v>
      </c>
      <c r="AB1224">
        <v>20</v>
      </c>
      <c r="AC1224">
        <v>6.0746000000000002</v>
      </c>
      <c r="AD1224">
        <v>-1.0982533665109999</v>
      </c>
      <c r="AE1224">
        <v>-15.440999999999899</v>
      </c>
      <c r="AF1224">
        <v>8.9017404527340194</v>
      </c>
      <c r="AG1224">
        <v>-1.0982533665109999</v>
      </c>
      <c r="AH1224">
        <v>13.9171729211374</v>
      </c>
      <c r="AI1224">
        <v>93.803312783722205</v>
      </c>
      <c r="AJ1224">
        <v>57.396093466889702</v>
      </c>
      <c r="AK1224">
        <v>16.557018018403401</v>
      </c>
    </row>
    <row r="1225" spans="1:37" x14ac:dyDescent="0.2">
      <c r="A1225" t="str">
        <f>"20200111153630714"</f>
        <v>20200111153630714</v>
      </c>
      <c r="B1225" t="str">
        <f>"1578728190704092"</f>
        <v>1578728190704092</v>
      </c>
      <c r="C1225" t="s">
        <v>37</v>
      </c>
      <c r="D1225">
        <v>5.9291210000000003</v>
      </c>
      <c r="E1225">
        <v>0.65190139999999996</v>
      </c>
      <c r="F1225" t="s">
        <v>39</v>
      </c>
      <c r="G1225">
        <v>-193.97120000000001</v>
      </c>
      <c r="H1225" s="1">
        <v>-4.3136389999999997E-6</v>
      </c>
      <c r="I1225">
        <v>347.5926</v>
      </c>
      <c r="J1225">
        <v>-199.964</v>
      </c>
      <c r="K1225">
        <v>1.0982379999999901</v>
      </c>
      <c r="L1225">
        <v>363.10849999999999</v>
      </c>
      <c r="M1225">
        <v>0.80587549999999997</v>
      </c>
      <c r="N1225">
        <v>0</v>
      </c>
      <c r="O1225">
        <v>-0.5919449</v>
      </c>
      <c r="P1225">
        <v>0.67945829999999996</v>
      </c>
      <c r="Q1225">
        <v>3.3863259999999999E-2</v>
      </c>
      <c r="R1225">
        <v>-0.73293219999999903</v>
      </c>
      <c r="S1225">
        <v>1.1787719999999999</v>
      </c>
      <c r="T1225">
        <v>-0.21277759999999901</v>
      </c>
      <c r="U1225">
        <v>-3.0206909999999998</v>
      </c>
      <c r="V1225">
        <v>0.18917349999999999</v>
      </c>
      <c r="W1225">
        <v>4.3546559999999998E-2</v>
      </c>
      <c r="X1225">
        <v>0.98097760000000001</v>
      </c>
      <c r="Y1225">
        <v>0.53555200000000003</v>
      </c>
      <c r="Z1225">
        <v>2.3457519999999999E-2</v>
      </c>
      <c r="AA1225">
        <v>0.84417640000000005</v>
      </c>
      <c r="AB1225">
        <v>21</v>
      </c>
      <c r="AC1225">
        <v>5.9928000000000097</v>
      </c>
      <c r="AD1225">
        <v>-1.0982423136389901</v>
      </c>
      <c r="AE1225">
        <v>-15.515899999999901</v>
      </c>
      <c r="AF1225">
        <v>8.9183382335905694</v>
      </c>
      <c r="AG1225">
        <v>-1.0982423136389901</v>
      </c>
      <c r="AH1225">
        <v>13.954334787336199</v>
      </c>
      <c r="AI1225">
        <v>93.794057984296003</v>
      </c>
      <c r="AJ1225">
        <v>57.416995834974699</v>
      </c>
      <c r="AK1225">
        <v>16.597179049020699</v>
      </c>
    </row>
    <row r="1226" spans="1:37" x14ac:dyDescent="0.2">
      <c r="A1226" t="str">
        <f>"20200111153630728"</f>
        <v>20200111153630728</v>
      </c>
      <c r="B1226" t="str">
        <f>"1578728190723613"</f>
        <v>1578728190723613</v>
      </c>
      <c r="C1226" t="s">
        <v>37</v>
      </c>
      <c r="D1226">
        <v>5.9357430000000004</v>
      </c>
      <c r="E1226">
        <v>0.6423951</v>
      </c>
      <c r="F1226" t="s">
        <v>39</v>
      </c>
      <c r="G1226">
        <v>-193.94</v>
      </c>
      <c r="H1226" s="1">
        <v>-4.2506060000000002E-6</v>
      </c>
      <c r="I1226">
        <v>347.4237</v>
      </c>
      <c r="J1226">
        <v>-199.87430000000001</v>
      </c>
      <c r="K1226">
        <v>1.098228</v>
      </c>
      <c r="L1226">
        <v>363.03359999999998</v>
      </c>
      <c r="M1226">
        <v>0.80201709999999904</v>
      </c>
      <c r="N1226">
        <v>0</v>
      </c>
      <c r="O1226">
        <v>-0.59716389999999997</v>
      </c>
      <c r="P1226">
        <v>0.67478340000000003</v>
      </c>
      <c r="Q1226">
        <v>3.4395639999999998E-2</v>
      </c>
      <c r="R1226">
        <v>-0.73721429999999999</v>
      </c>
      <c r="S1226">
        <v>1.162048</v>
      </c>
      <c r="T1226">
        <v>-0.21185519999999999</v>
      </c>
      <c r="U1226">
        <v>-3.025665</v>
      </c>
      <c r="V1226">
        <v>0.18903249999999999</v>
      </c>
      <c r="W1226">
        <v>4.4001970000000001E-2</v>
      </c>
      <c r="X1226">
        <v>0.98098439999999998</v>
      </c>
      <c r="Y1226">
        <v>0.53460699999999906</v>
      </c>
      <c r="Z1226">
        <v>2.3811470000000001E-2</v>
      </c>
      <c r="AA1226">
        <v>0.84476530000000005</v>
      </c>
      <c r="AB1226">
        <v>21</v>
      </c>
      <c r="AC1226">
        <v>5.9343000000000004</v>
      </c>
      <c r="AD1226">
        <v>-1.098232250606</v>
      </c>
      <c r="AE1226">
        <v>-15.6098999999999</v>
      </c>
      <c r="AF1226">
        <v>8.9377387109879507</v>
      </c>
      <c r="AG1226">
        <v>-1.098232250606</v>
      </c>
      <c r="AH1226">
        <v>14.0215923433603</v>
      </c>
      <c r="AI1226">
        <v>93.778750290559401</v>
      </c>
      <c r="AJ1226">
        <v>57.485471668320997</v>
      </c>
      <c r="AK1226">
        <v>16.664163320897401</v>
      </c>
    </row>
    <row r="1227" spans="1:37" x14ac:dyDescent="0.2">
      <c r="A1227" t="str">
        <f>"20200111153630740"</f>
        <v>20200111153630740</v>
      </c>
      <c r="B1227" t="str">
        <f>"1578728190733371"</f>
        <v>1578728190733371</v>
      </c>
      <c r="C1227" t="s">
        <v>37</v>
      </c>
      <c r="D1227">
        <v>5.9307790000000002</v>
      </c>
      <c r="E1227">
        <v>0.64163409999999999</v>
      </c>
      <c r="F1227" t="s">
        <v>39</v>
      </c>
      <c r="G1227">
        <v>-193.79939999999999</v>
      </c>
      <c r="H1227" s="1">
        <v>-4.3983220000000001E-6</v>
      </c>
      <c r="I1227">
        <v>347.93099999999998</v>
      </c>
      <c r="J1227">
        <v>-199.78389999999999</v>
      </c>
      <c r="K1227">
        <v>1.0982209999999999</v>
      </c>
      <c r="L1227">
        <v>362.95729999999998</v>
      </c>
      <c r="M1227">
        <v>0.79808059999999903</v>
      </c>
      <c r="N1227">
        <v>0</v>
      </c>
      <c r="O1227">
        <v>-0.60241630000000002</v>
      </c>
      <c r="P1227">
        <v>0.67014859999999998</v>
      </c>
      <c r="Q1227">
        <v>3.4877030000000003E-2</v>
      </c>
      <c r="R1227">
        <v>-0.74140699999999904</v>
      </c>
      <c r="S1227">
        <v>1.1993559999999901</v>
      </c>
      <c r="T1227">
        <v>-0.2168216</v>
      </c>
      <c r="U1227">
        <v>-2.9816590000000001</v>
      </c>
      <c r="V1227">
        <v>0.18873099999999901</v>
      </c>
      <c r="W1227">
        <v>4.4409280000000002E-2</v>
      </c>
      <c r="X1227">
        <v>0.98102409999999995</v>
      </c>
      <c r="Y1227">
        <v>0.51565870000000003</v>
      </c>
      <c r="Z1227">
        <v>2.5651409999999999E-2</v>
      </c>
      <c r="AA1227">
        <v>0.85641</v>
      </c>
      <c r="AB1227">
        <v>21</v>
      </c>
      <c r="AC1227">
        <v>5.9844999999999899</v>
      </c>
      <c r="AD1227">
        <v>-1.0982253983219901</v>
      </c>
      <c r="AE1227">
        <v>-15.0262999999999</v>
      </c>
      <c r="AF1227">
        <v>8.3492241551087591</v>
      </c>
      <c r="AG1227">
        <v>-1.0982253983219901</v>
      </c>
      <c r="AH1227">
        <v>13.765855212751999</v>
      </c>
      <c r="AI1227">
        <v>93.902270891206399</v>
      </c>
      <c r="AJ1227">
        <v>58.762479556040397</v>
      </c>
      <c r="AK1227">
        <v>16.137360774185499</v>
      </c>
    </row>
    <row r="1228" spans="1:37" x14ac:dyDescent="0.2">
      <c r="A1228" t="str">
        <f>"20200111153630751"</f>
        <v>20200111153630751</v>
      </c>
      <c r="B1228" t="str">
        <f>"1578728190744108"</f>
        <v>1578728190744108</v>
      </c>
      <c r="C1228" t="s">
        <v>37</v>
      </c>
      <c r="D1228">
        <v>5.9144079999999999</v>
      </c>
      <c r="E1228">
        <v>0.64149909999999999</v>
      </c>
      <c r="F1228" t="s">
        <v>39</v>
      </c>
      <c r="G1228">
        <v>-193.65199999999999</v>
      </c>
      <c r="H1228" s="1">
        <v>-4.229157E-6</v>
      </c>
      <c r="I1228">
        <v>347.51080000000002</v>
      </c>
      <c r="J1228">
        <v>-199.69710000000001</v>
      </c>
      <c r="K1228">
        <v>1.098212</v>
      </c>
      <c r="L1228">
        <v>362.8827</v>
      </c>
      <c r="M1228">
        <v>0.79424269999999997</v>
      </c>
      <c r="N1228">
        <v>0</v>
      </c>
      <c r="O1228">
        <v>-0.60746880000000003</v>
      </c>
      <c r="P1228">
        <v>0.66546000000000005</v>
      </c>
      <c r="Q1228">
        <v>3.5285039999999997E-2</v>
      </c>
      <c r="R1228">
        <v>-0.74559900000000001</v>
      </c>
      <c r="S1228">
        <v>1.1850590000000001</v>
      </c>
      <c r="T1228">
        <v>-0.2122433</v>
      </c>
      <c r="U1228">
        <v>-2.9851990000000002</v>
      </c>
      <c r="V1228">
        <v>0.1886825</v>
      </c>
      <c r="W1228">
        <v>4.4743199999999997E-2</v>
      </c>
      <c r="X1228">
        <v>0.98101830000000001</v>
      </c>
      <c r="Y1228">
        <v>0.51411890000000005</v>
      </c>
      <c r="Z1228">
        <v>2.558129E-2</v>
      </c>
      <c r="AA1228">
        <v>0.85733740000000003</v>
      </c>
      <c r="AB1228">
        <v>21</v>
      </c>
      <c r="AC1228">
        <v>6.0450999999999899</v>
      </c>
      <c r="AD1228">
        <v>-1.0982162291569999</v>
      </c>
      <c r="AE1228">
        <v>-15.371899999999901</v>
      </c>
      <c r="AF1228">
        <v>8.4999197833923894</v>
      </c>
      <c r="AG1228">
        <v>-1.0982162291569999</v>
      </c>
      <c r="AH1228">
        <v>14.078126655740901</v>
      </c>
      <c r="AI1228">
        <v>93.820575914302793</v>
      </c>
      <c r="AJ1228">
        <v>58.877772037148702</v>
      </c>
      <c r="AK1228">
        <v>16.481758563489901</v>
      </c>
    </row>
    <row r="1229" spans="1:37" x14ac:dyDescent="0.2">
      <c r="A1229" t="str">
        <f>"20200111153630764"</f>
        <v>20200111153630764</v>
      </c>
      <c r="B1229" t="str">
        <f>"1578728190753867"</f>
        <v>1578728190753867</v>
      </c>
      <c r="C1229" t="s">
        <v>37</v>
      </c>
      <c r="D1229">
        <v>5.9639179999999996</v>
      </c>
      <c r="E1229">
        <v>0.64059919999999904</v>
      </c>
      <c r="F1229" t="s">
        <v>39</v>
      </c>
      <c r="G1229">
        <v>-193.53749999999999</v>
      </c>
      <c r="H1229" s="1">
        <v>-4.0671980000000002E-6</v>
      </c>
      <c r="I1229">
        <v>347.09449999999998</v>
      </c>
      <c r="J1229">
        <v>-199.61109999999999</v>
      </c>
      <c r="K1229">
        <v>1.0982049999999901</v>
      </c>
      <c r="L1229">
        <v>362.80810000000002</v>
      </c>
      <c r="M1229">
        <v>0.79039799999999905</v>
      </c>
      <c r="N1229">
        <v>0</v>
      </c>
      <c r="O1229">
        <v>-0.61246449999999997</v>
      </c>
      <c r="P1229">
        <v>0.66076190000000001</v>
      </c>
      <c r="Q1229">
        <v>3.5606150000000003E-2</v>
      </c>
      <c r="R1229">
        <v>-0.7497509</v>
      </c>
      <c r="S1229">
        <v>1.1671910000000001</v>
      </c>
      <c r="T1229">
        <v>-0.20810129999999999</v>
      </c>
      <c r="U1229">
        <v>-2.9916990000000001</v>
      </c>
      <c r="V1229">
        <v>0.18865419999999999</v>
      </c>
      <c r="W1229">
        <v>4.4992820000000003E-2</v>
      </c>
      <c r="X1229">
        <v>0.98101229999999995</v>
      </c>
      <c r="Y1229">
        <v>0.51379140000000001</v>
      </c>
      <c r="Z1229">
        <v>2.548978E-2</v>
      </c>
      <c r="AA1229">
        <v>0.85753639999999998</v>
      </c>
      <c r="AB1229">
        <v>21</v>
      </c>
      <c r="AC1229">
        <v>6.0735999999999901</v>
      </c>
      <c r="AD1229">
        <v>-1.0982090671979901</v>
      </c>
      <c r="AE1229">
        <v>-15.7136</v>
      </c>
      <c r="AF1229">
        <v>8.66400344695219</v>
      </c>
      <c r="AG1229">
        <v>-1.0982090671979901</v>
      </c>
      <c r="AH1229">
        <v>14.3646806125544</v>
      </c>
      <c r="AI1229">
        <v>93.745582594584306</v>
      </c>
      <c r="AJ1229">
        <v>58.9038776879027</v>
      </c>
      <c r="AK1229">
        <v>16.811159031571002</v>
      </c>
    </row>
    <row r="1230" spans="1:37" x14ac:dyDescent="0.2">
      <c r="A1230" t="str">
        <f>"20200111153630781"</f>
        <v>20200111153630781</v>
      </c>
      <c r="B1230" t="str">
        <f>"1578728190773390"</f>
        <v>1578728190773390</v>
      </c>
      <c r="C1230" t="s">
        <v>37</v>
      </c>
      <c r="D1230">
        <v>5.9782510000000002</v>
      </c>
      <c r="E1230">
        <v>0.63966199999999995</v>
      </c>
      <c r="F1230" t="s">
        <v>39</v>
      </c>
      <c r="G1230">
        <v>-193.61529999999999</v>
      </c>
      <c r="H1230" s="1">
        <v>-4.1353309999999998E-6</v>
      </c>
      <c r="I1230">
        <v>347.25420000000003</v>
      </c>
      <c r="J1230">
        <v>-199.4933</v>
      </c>
      <c r="K1230">
        <v>1.0981989999999999</v>
      </c>
      <c r="L1230">
        <v>362.70440000000002</v>
      </c>
      <c r="M1230">
        <v>0.78505669999999905</v>
      </c>
      <c r="N1230">
        <v>0</v>
      </c>
      <c r="O1230">
        <v>-0.61929809999999996</v>
      </c>
      <c r="P1230">
        <v>0.65397680000000002</v>
      </c>
      <c r="Q1230">
        <v>3.5505599999999998E-2</v>
      </c>
      <c r="R1230">
        <v>-0.75568100000000005</v>
      </c>
      <c r="S1230">
        <v>1.1542049999999999</v>
      </c>
      <c r="T1230">
        <v>-0.2114084</v>
      </c>
      <c r="U1230">
        <v>-2.9941709999999899</v>
      </c>
      <c r="V1230">
        <v>0.1889882</v>
      </c>
      <c r="W1230">
        <v>4.47918E-2</v>
      </c>
      <c r="X1230">
        <v>0.98095730000000003</v>
      </c>
      <c r="Y1230">
        <v>0.50983140000000005</v>
      </c>
      <c r="Z1230">
        <v>2.6587320000000001E-2</v>
      </c>
      <c r="AA1230">
        <v>0.8598635</v>
      </c>
      <c r="AB1230">
        <v>21</v>
      </c>
      <c r="AC1230">
        <v>5.8780000000000099</v>
      </c>
      <c r="AD1230">
        <v>-1.098203135331</v>
      </c>
      <c r="AE1230">
        <v>-15.450199999999899</v>
      </c>
      <c r="AF1230">
        <v>8.4524050645946307</v>
      </c>
      <c r="AG1230">
        <v>-1.098203135331</v>
      </c>
      <c r="AH1230">
        <v>14.121621291911</v>
      </c>
      <c r="AI1230">
        <v>93.817568652384395</v>
      </c>
      <c r="AJ1230">
        <v>59.097642863951798</v>
      </c>
      <c r="AK1230">
        <v>16.494526043951399</v>
      </c>
    </row>
    <row r="1231" spans="1:37" x14ac:dyDescent="0.2">
      <c r="A1231" t="str">
        <f>"20200111153630793"</f>
        <v>20200111153630793</v>
      </c>
      <c r="B1231" t="str">
        <f>"1578728190784124"</f>
        <v>1578728190784124</v>
      </c>
      <c r="C1231" t="s">
        <v>37</v>
      </c>
      <c r="D1231">
        <v>5.9937519999999997</v>
      </c>
      <c r="E1231">
        <v>0.63887629999999995</v>
      </c>
      <c r="F1231" t="s">
        <v>39</v>
      </c>
      <c r="G1231">
        <v>-193.8973</v>
      </c>
      <c r="H1231" s="1">
        <v>-4.401241E-6</v>
      </c>
      <c r="I1231">
        <v>347.8886</v>
      </c>
      <c r="J1231">
        <v>-199.40309999999999</v>
      </c>
      <c r="K1231">
        <v>1.098193</v>
      </c>
      <c r="L1231">
        <v>362.62360000000001</v>
      </c>
      <c r="M1231">
        <v>0.78089799999999998</v>
      </c>
      <c r="N1231">
        <v>0</v>
      </c>
      <c r="O1231">
        <v>-0.62453539999999996</v>
      </c>
      <c r="P1231">
        <v>0.64870969999999994</v>
      </c>
      <c r="Q1231">
        <v>3.5706509999999997E-2</v>
      </c>
      <c r="R1231">
        <v>-0.76019809999999999</v>
      </c>
      <c r="S1231">
        <v>1.133041</v>
      </c>
      <c r="T1231">
        <v>-0.22235479999999899</v>
      </c>
      <c r="U1231">
        <v>-2.9997859999999998</v>
      </c>
      <c r="V1231">
        <v>0.18923909999999999</v>
      </c>
      <c r="W1231">
        <v>4.4917070000000003E-2</v>
      </c>
      <c r="X1231">
        <v>0.98090309999999903</v>
      </c>
      <c r="Y1231">
        <v>0.50992409999999999</v>
      </c>
      <c r="Z1231">
        <v>2.841749E-2</v>
      </c>
      <c r="AA1231">
        <v>0.85974989999999996</v>
      </c>
      <c r="AB1231">
        <v>21</v>
      </c>
      <c r="AC1231">
        <v>5.50579999999999</v>
      </c>
      <c r="AD1231">
        <v>-1.0981974012410001</v>
      </c>
      <c r="AE1231">
        <v>-14.734999999999999</v>
      </c>
      <c r="AF1231">
        <v>8.0294487565888595</v>
      </c>
      <c r="AG1231">
        <v>-1.0981974012410001</v>
      </c>
      <c r="AH1231">
        <v>13.4375391217388</v>
      </c>
      <c r="AI1231">
        <v>94.013044736081895</v>
      </c>
      <c r="AJ1231">
        <v>59.1400516277062</v>
      </c>
      <c r="AK1231">
        <v>15.692212798551999</v>
      </c>
    </row>
    <row r="1232" spans="1:37" x14ac:dyDescent="0.2">
      <c r="A1232" t="str">
        <f>"20200111153630805"</f>
        <v>20200111153630805</v>
      </c>
      <c r="B1232" t="str">
        <f>"1578728190793884"</f>
        <v>1578728190793884</v>
      </c>
      <c r="C1232" t="s">
        <v>37</v>
      </c>
      <c r="D1232">
        <v>5.6678860000000002</v>
      </c>
      <c r="E1232">
        <v>0.64020509999999997</v>
      </c>
      <c r="F1232" t="s">
        <v>39</v>
      </c>
      <c r="G1232">
        <v>-193.9016</v>
      </c>
      <c r="H1232" s="1">
        <v>-4.382914E-6</v>
      </c>
      <c r="I1232">
        <v>347.83249999999998</v>
      </c>
      <c r="J1232">
        <v>-199.3211</v>
      </c>
      <c r="K1232">
        <v>1.0981889999999901</v>
      </c>
      <c r="L1232">
        <v>362.54930000000002</v>
      </c>
      <c r="M1232">
        <v>0.77707550000000003</v>
      </c>
      <c r="N1232">
        <v>0</v>
      </c>
      <c r="O1232">
        <v>-0.62928660000000003</v>
      </c>
      <c r="P1232">
        <v>0.64367529999999995</v>
      </c>
      <c r="Q1232">
        <v>3.5700129999999997E-2</v>
      </c>
      <c r="R1232">
        <v>-0.76446599999999998</v>
      </c>
      <c r="S1232">
        <v>1.1171420000000001</v>
      </c>
      <c r="T1232">
        <v>-0.22300229999999899</v>
      </c>
      <c r="U1232">
        <v>-3.0035099999999999</v>
      </c>
      <c r="V1232">
        <v>0.18973380000000001</v>
      </c>
      <c r="W1232">
        <v>4.4838950000000002E-2</v>
      </c>
      <c r="X1232">
        <v>0.98081119999999899</v>
      </c>
      <c r="Y1232">
        <v>0.50902899999999995</v>
      </c>
      <c r="Z1232">
        <v>2.8951299999999999E-2</v>
      </c>
      <c r="AA1232">
        <v>0.86026229999999904</v>
      </c>
      <c r="AB1232">
        <v>21</v>
      </c>
      <c r="AC1232">
        <v>5.4194999999999904</v>
      </c>
      <c r="AD1232">
        <v>-1.09819338291399</v>
      </c>
      <c r="AE1232">
        <v>-14.716799999999999</v>
      </c>
      <c r="AF1232">
        <v>7.9870918802569904</v>
      </c>
      <c r="AG1232">
        <v>-1.09819338291399</v>
      </c>
      <c r="AH1232">
        <v>13.407725914240499</v>
      </c>
      <c r="AI1232">
        <v>94.025154092569693</v>
      </c>
      <c r="AJ1232">
        <v>59.217397411803198</v>
      </c>
      <c r="AK1232">
        <v>15.6450241163553</v>
      </c>
    </row>
    <row r="1233" spans="1:37" x14ac:dyDescent="0.2">
      <c r="A1233" t="str">
        <f>"20200111153630818"</f>
        <v>20200111153630818</v>
      </c>
      <c r="B1233" t="str">
        <f>"1578728190813404"</f>
        <v>1578728190813404</v>
      </c>
      <c r="C1233" t="s">
        <v>37</v>
      </c>
      <c r="D1233">
        <v>5.7153669999999996</v>
      </c>
      <c r="E1233">
        <v>0.64180959999999998</v>
      </c>
      <c r="F1233" t="s">
        <v>39</v>
      </c>
      <c r="G1233">
        <v>-193.76859999999999</v>
      </c>
      <c r="H1233" s="1">
        <v>-4.1282560000000004E-6</v>
      </c>
      <c r="I1233">
        <v>347.15350000000001</v>
      </c>
      <c r="J1233">
        <v>-199.23419999999999</v>
      </c>
      <c r="K1233">
        <v>1.098184</v>
      </c>
      <c r="L1233">
        <v>362.46980000000002</v>
      </c>
      <c r="M1233">
        <v>0.77297850000000001</v>
      </c>
      <c r="N1233">
        <v>0</v>
      </c>
      <c r="O1233">
        <v>-0.63431349999999997</v>
      </c>
      <c r="P1233">
        <v>0.63845909999999995</v>
      </c>
      <c r="Q1233">
        <v>3.608364E-2</v>
      </c>
      <c r="R1233">
        <v>-0.76880959999999998</v>
      </c>
      <c r="S1233">
        <v>1.088455</v>
      </c>
      <c r="T1233">
        <v>-0.2152771</v>
      </c>
      <c r="U1233">
        <v>-3.018005</v>
      </c>
      <c r="V1233">
        <v>0.19003680000000001</v>
      </c>
      <c r="W1233">
        <v>4.5151919999999998E-2</v>
      </c>
      <c r="X1233">
        <v>0.9807382</v>
      </c>
      <c r="Y1233">
        <v>0.51200800000000002</v>
      </c>
      <c r="Z1233">
        <v>2.8234249999999999E-2</v>
      </c>
      <c r="AA1233">
        <v>0.85851659999999996</v>
      </c>
      <c r="AB1233">
        <v>21</v>
      </c>
      <c r="AC1233">
        <v>5.4655999999999896</v>
      </c>
      <c r="AD1233">
        <v>-1.098188128256</v>
      </c>
      <c r="AE1233">
        <v>-15.3163</v>
      </c>
      <c r="AF1233">
        <v>8.3348879960318705</v>
      </c>
      <c r="AG1233">
        <v>-1.098188128256</v>
      </c>
      <c r="AH1233">
        <v>13.8778901980775</v>
      </c>
      <c r="AI1233">
        <v>93.880869144409999</v>
      </c>
      <c r="AJ1233">
        <v>59.011497077728102</v>
      </c>
      <c r="AK1233">
        <v>16.225665207359999</v>
      </c>
    </row>
    <row r="1234" spans="1:37" x14ac:dyDescent="0.2">
      <c r="A1234" t="str">
        <f>"20200111153630836"</f>
        <v>20200111153630836</v>
      </c>
      <c r="B1234" t="str">
        <f>"1578728190833899"</f>
        <v>1578728190833899</v>
      </c>
      <c r="C1234" t="s">
        <v>37</v>
      </c>
      <c r="D1234">
        <v>5.7897239999999996</v>
      </c>
      <c r="E1234">
        <v>0.64231609999999995</v>
      </c>
      <c r="F1234" t="s">
        <v>39</v>
      </c>
      <c r="G1234">
        <v>-193.58590000000001</v>
      </c>
      <c r="H1234" s="1">
        <v>-3.7958179999999998E-6</v>
      </c>
      <c r="I1234">
        <v>346.27179999999998</v>
      </c>
      <c r="J1234">
        <v>-199.1063</v>
      </c>
      <c r="K1234">
        <v>1.0981860000000001</v>
      </c>
      <c r="L1234">
        <v>362.35050000000001</v>
      </c>
      <c r="M1234">
        <v>0.76685859999999995</v>
      </c>
      <c r="N1234">
        <v>0</v>
      </c>
      <c r="O1234">
        <v>-0.64170070000000001</v>
      </c>
      <c r="P1234">
        <v>0.63035299999999905</v>
      </c>
      <c r="Q1234">
        <v>3.6415799999999998E-2</v>
      </c>
      <c r="R1234">
        <v>-0.77545430000000004</v>
      </c>
      <c r="S1234">
        <v>1.0577239999999899</v>
      </c>
      <c r="T1234">
        <v>-0.20565149999999999</v>
      </c>
      <c r="U1234">
        <v>-3.0332949999999999</v>
      </c>
      <c r="V1234">
        <v>0.19091529999999901</v>
      </c>
      <c r="W1234">
        <v>4.5379610000000001E-2</v>
      </c>
      <c r="X1234">
        <v>0.98055700000000001</v>
      </c>
      <c r="Y1234">
        <v>0.51288339999999999</v>
      </c>
      <c r="Z1234">
        <v>2.7493690000000001E-2</v>
      </c>
      <c r="AA1234">
        <v>0.8580179</v>
      </c>
      <c r="AB1234">
        <v>21</v>
      </c>
      <c r="AC1234">
        <v>5.5203999999999898</v>
      </c>
      <c r="AD1234">
        <v>-1.098189795818</v>
      </c>
      <c r="AE1234">
        <v>-16.078700000000001</v>
      </c>
      <c r="AF1234">
        <v>8.7517736738326306</v>
      </c>
      <c r="AG1234">
        <v>-1.098189795818</v>
      </c>
      <c r="AH1234">
        <v>14.491681775651299</v>
      </c>
      <c r="AI1234">
        <v>93.711522317619497</v>
      </c>
      <c r="AJ1234">
        <v>58.8715063269795</v>
      </c>
      <c r="AK1234">
        <v>16.964916856630101</v>
      </c>
    </row>
    <row r="1235" spans="1:37" x14ac:dyDescent="0.2">
      <c r="A1235" t="str">
        <f>"20200111153630850"</f>
        <v>20200111153630850</v>
      </c>
      <c r="B1235" t="str">
        <f>"1578728190843659"</f>
        <v>1578728190843659</v>
      </c>
      <c r="C1235" t="s">
        <v>37</v>
      </c>
      <c r="D1235">
        <v>5.7815979999999998</v>
      </c>
      <c r="E1235">
        <v>0.64243289999999997</v>
      </c>
      <c r="F1235" t="s">
        <v>39</v>
      </c>
      <c r="G1235">
        <v>-193.53139999999999</v>
      </c>
      <c r="H1235" s="1">
        <v>-3.58186899999999E-6</v>
      </c>
      <c r="I1235">
        <v>345.74829999999997</v>
      </c>
      <c r="J1235">
        <v>-199.01519999999999</v>
      </c>
      <c r="K1235">
        <v>1.09819</v>
      </c>
      <c r="L1235">
        <v>362.26409999999998</v>
      </c>
      <c r="M1235">
        <v>0.76243909999999904</v>
      </c>
      <c r="N1235">
        <v>0</v>
      </c>
      <c r="O1235">
        <v>-0.64694649999999998</v>
      </c>
      <c r="P1235">
        <v>0.62493460000000001</v>
      </c>
      <c r="Q1235">
        <v>3.6478950000000003E-2</v>
      </c>
      <c r="R1235">
        <v>-0.77982459999999998</v>
      </c>
      <c r="S1235">
        <v>1.02301</v>
      </c>
      <c r="T1235">
        <v>-0.20152120000000001</v>
      </c>
      <c r="U1235">
        <v>-3.04657</v>
      </c>
      <c r="V1235">
        <v>0.19101770000000001</v>
      </c>
      <c r="W1235">
        <v>4.5383420000000001E-2</v>
      </c>
      <c r="X1235">
        <v>0.98053690000000004</v>
      </c>
      <c r="Y1235">
        <v>0.5169068</v>
      </c>
      <c r="Z1235">
        <v>2.7216029999999999E-2</v>
      </c>
      <c r="AA1235">
        <v>0.85560890000000001</v>
      </c>
      <c r="AB1235">
        <v>21</v>
      </c>
      <c r="AC1235">
        <v>5.4837999999999996</v>
      </c>
      <c r="AD1235">
        <v>-1.0981935818690001</v>
      </c>
      <c r="AE1235">
        <v>-16.515799999999999</v>
      </c>
      <c r="AF1235">
        <v>9.00935223997093</v>
      </c>
      <c r="AG1235">
        <v>-1.0981935818690001</v>
      </c>
      <c r="AH1235">
        <v>14.8080234456475</v>
      </c>
      <c r="AI1235">
        <v>93.625252277146402</v>
      </c>
      <c r="AJ1235">
        <v>58.683243056687097</v>
      </c>
      <c r="AK1235">
        <v>17.3681321763158</v>
      </c>
    </row>
    <row r="1236" spans="1:37" x14ac:dyDescent="0.2">
      <c r="A1236" t="str">
        <f>"20200111153630863"</f>
        <v>20200111153630863</v>
      </c>
      <c r="B1236" t="str">
        <f>"1578728190853420"</f>
        <v>1578728190853420</v>
      </c>
      <c r="C1236" t="s">
        <v>37</v>
      </c>
      <c r="D1236">
        <v>5.768618</v>
      </c>
      <c r="E1236">
        <v>0.64251610000000003</v>
      </c>
      <c r="F1236" t="s">
        <v>39</v>
      </c>
      <c r="G1236">
        <v>-193.52619999999999</v>
      </c>
      <c r="H1236" s="1">
        <v>-3.4805380000000002E-6</v>
      </c>
      <c r="I1236">
        <v>345.51530000000002</v>
      </c>
      <c r="J1236">
        <v>-198.92420000000001</v>
      </c>
      <c r="K1236">
        <v>1.0981920000000001</v>
      </c>
      <c r="L1236">
        <v>362.17689999999999</v>
      </c>
      <c r="M1236">
        <v>0.7579766</v>
      </c>
      <c r="N1236">
        <v>0</v>
      </c>
      <c r="O1236">
        <v>-0.65217029999999998</v>
      </c>
      <c r="P1236">
        <v>0.61963279999999998</v>
      </c>
      <c r="Q1236">
        <v>3.6348199999999997E-2</v>
      </c>
      <c r="R1236">
        <v>-0.78404960000000001</v>
      </c>
      <c r="S1236">
        <v>1.000961</v>
      </c>
      <c r="T1236">
        <v>-0.20026150000000001</v>
      </c>
      <c r="U1236">
        <v>-3.05423</v>
      </c>
      <c r="V1236">
        <v>0.1909293</v>
      </c>
      <c r="W1236">
        <v>4.5200030000000002E-2</v>
      </c>
      <c r="X1236">
        <v>0.98056259999999995</v>
      </c>
      <c r="Y1236">
        <v>0.51724300000000001</v>
      </c>
      <c r="Z1236">
        <v>2.743578E-2</v>
      </c>
      <c r="AA1236">
        <v>0.85539869999999996</v>
      </c>
      <c r="AB1236">
        <v>21</v>
      </c>
      <c r="AC1236">
        <v>5.3980000000000201</v>
      </c>
      <c r="AD1236">
        <v>-1.0981954805380001</v>
      </c>
      <c r="AE1236">
        <v>-16.6615999999999</v>
      </c>
      <c r="AF1236">
        <v>9.0736749764554805</v>
      </c>
      <c r="AG1236">
        <v>-1.0981954805380001</v>
      </c>
      <c r="AH1236">
        <v>14.900262594012499</v>
      </c>
      <c r="AI1236">
        <v>93.601997327620495</v>
      </c>
      <c r="AJ1236">
        <v>58.6602260173524</v>
      </c>
      <c r="AK1236">
        <v>17.480144057254101</v>
      </c>
    </row>
    <row r="1237" spans="1:37" x14ac:dyDescent="0.2">
      <c r="A1237" t="str">
        <f>"20200111153630876"</f>
        <v>20200111153630876</v>
      </c>
      <c r="B1237" t="str">
        <f>"1578728190873915"</f>
        <v>1578728190873915</v>
      </c>
      <c r="C1237" t="s">
        <v>37</v>
      </c>
      <c r="D1237">
        <v>6.1199500000000002</v>
      </c>
      <c r="E1237">
        <v>0.64258090000000001</v>
      </c>
      <c r="F1237" t="s">
        <v>39</v>
      </c>
      <c r="G1237">
        <v>-193.5384</v>
      </c>
      <c r="H1237" s="1">
        <v>-3.4066530000000001E-6</v>
      </c>
      <c r="I1237">
        <v>345.33550000000002</v>
      </c>
      <c r="J1237">
        <v>-198.83240000000001</v>
      </c>
      <c r="K1237">
        <v>1.098201</v>
      </c>
      <c r="L1237">
        <v>362.08760000000001</v>
      </c>
      <c r="M1237">
        <v>0.75342149999999997</v>
      </c>
      <c r="N1237">
        <v>0</v>
      </c>
      <c r="O1237">
        <v>-0.65742829999999997</v>
      </c>
      <c r="P1237">
        <v>0.61456809999999995</v>
      </c>
      <c r="Q1237">
        <v>3.6522779999999998E-2</v>
      </c>
      <c r="R1237">
        <v>-0.78801779999999999</v>
      </c>
      <c r="S1237">
        <v>0.97914120000000004</v>
      </c>
      <c r="T1237">
        <v>-0.199652</v>
      </c>
      <c r="U1237">
        <v>-3.0617679999999998</v>
      </c>
      <c r="V1237">
        <v>0.1904198</v>
      </c>
      <c r="W1237">
        <v>4.5333400000000003E-2</v>
      </c>
      <c r="X1237">
        <v>0.98065550000000001</v>
      </c>
      <c r="Y1237">
        <v>0.51743600000000001</v>
      </c>
      <c r="Z1237">
        <v>2.774764E-2</v>
      </c>
      <c r="AA1237">
        <v>0.85527189999999997</v>
      </c>
      <c r="AB1237">
        <v>21</v>
      </c>
      <c r="AC1237">
        <v>5.2940000000000103</v>
      </c>
      <c r="AD1237">
        <v>-1.0982044066529999</v>
      </c>
      <c r="AE1237">
        <v>-16.752099999999899</v>
      </c>
      <c r="AF1237">
        <v>9.1060445596305293</v>
      </c>
      <c r="AG1237">
        <v>-1.0982044066529999</v>
      </c>
      <c r="AH1237">
        <v>14.9446044216399</v>
      </c>
      <c r="AI1237">
        <v>93.590795550042799</v>
      </c>
      <c r="AJ1237">
        <v>58.645217834479503</v>
      </c>
      <c r="AK1237">
        <v>17.534745557323301</v>
      </c>
    </row>
    <row r="1238" spans="1:37" x14ac:dyDescent="0.2">
      <c r="A1238" t="str">
        <f>"20200111153630893"</f>
        <v>20200111153630893</v>
      </c>
      <c r="B1238" t="str">
        <f>"1578728190883675"</f>
        <v>1578728190883675</v>
      </c>
      <c r="C1238" t="s">
        <v>37</v>
      </c>
      <c r="D1238">
        <v>6.116714</v>
      </c>
      <c r="E1238">
        <v>0.62492349999999997</v>
      </c>
      <c r="F1238" t="s">
        <v>39</v>
      </c>
      <c r="G1238">
        <v>-193.56110000000001</v>
      </c>
      <c r="H1238" s="1">
        <v>-3.3636829999999998E-6</v>
      </c>
      <c r="I1238">
        <v>345.22129999999999</v>
      </c>
      <c r="J1238">
        <v>-198.71799999999999</v>
      </c>
      <c r="K1238">
        <v>1.098211</v>
      </c>
      <c r="L1238">
        <v>361.97460000000001</v>
      </c>
      <c r="M1238">
        <v>0.74767439999999996</v>
      </c>
      <c r="N1238">
        <v>0</v>
      </c>
      <c r="O1238">
        <v>-0.66395850000000001</v>
      </c>
      <c r="P1238">
        <v>0.60834630000000001</v>
      </c>
      <c r="Q1238">
        <v>3.6449170000000003E-2</v>
      </c>
      <c r="R1238">
        <v>-0.79283459999999994</v>
      </c>
      <c r="S1238">
        <v>0.95895390000000003</v>
      </c>
      <c r="T1238">
        <v>-0.19978370000000001</v>
      </c>
      <c r="U1238">
        <v>-3.068298</v>
      </c>
      <c r="V1238">
        <v>0.18960589999999999</v>
      </c>
      <c r="W1238">
        <v>4.5214310000000001E-2</v>
      </c>
      <c r="X1238">
        <v>0.98081870000000004</v>
      </c>
      <c r="Y1238">
        <v>0.51564350000000003</v>
      </c>
      <c r="Z1238">
        <v>2.8321430000000002E-2</v>
      </c>
      <c r="AA1238">
        <v>0.85633499999999996</v>
      </c>
      <c r="AB1238">
        <v>21</v>
      </c>
      <c r="AC1238">
        <v>5.1568999999999701</v>
      </c>
      <c r="AD1238">
        <v>-1.098214363683</v>
      </c>
      <c r="AE1238">
        <v>-16.753299999999999</v>
      </c>
      <c r="AF1238">
        <v>9.0671027700697309</v>
      </c>
      <c r="AG1238">
        <v>-1.098214363683</v>
      </c>
      <c r="AH1238">
        <v>14.921672308106499</v>
      </c>
      <c r="AI1238">
        <v>93.598998337401497</v>
      </c>
      <c r="AJ1238">
        <v>58.715186302951302</v>
      </c>
      <c r="AK1238">
        <v>17.494991623379502</v>
      </c>
    </row>
    <row r="1239" spans="1:37" x14ac:dyDescent="0.2">
      <c r="A1239" t="str">
        <f>"20200111153630907"</f>
        <v>20200111153630907</v>
      </c>
      <c r="B1239" t="str">
        <f>"1578728190904171"</f>
        <v>1578728190904171</v>
      </c>
      <c r="C1239" t="s">
        <v>37</v>
      </c>
      <c r="D1239">
        <v>6.1570349999999996</v>
      </c>
      <c r="E1239">
        <v>0.62387389999999998</v>
      </c>
      <c r="F1239" t="s">
        <v>41</v>
      </c>
      <c r="G1239">
        <v>-194.67089999999999</v>
      </c>
      <c r="H1239" s="1">
        <v>-1.7389570000000001E-6</v>
      </c>
      <c r="I1239">
        <v>350.4409</v>
      </c>
      <c r="J1239">
        <v>-198.62950000000001</v>
      </c>
      <c r="K1239">
        <v>1.0982129999999899</v>
      </c>
      <c r="L1239">
        <v>361.88580000000002</v>
      </c>
      <c r="M1239">
        <v>0.74317100000000003</v>
      </c>
      <c r="N1239">
        <v>0</v>
      </c>
      <c r="O1239">
        <v>-0.66899619999999904</v>
      </c>
      <c r="P1239">
        <v>0.60332350000000001</v>
      </c>
      <c r="Q1239">
        <v>3.6556180000000001E-2</v>
      </c>
      <c r="R1239">
        <v>-0.79665850000000005</v>
      </c>
      <c r="S1239">
        <v>1.049728</v>
      </c>
      <c r="T1239">
        <v>-0.28484579999999998</v>
      </c>
      <c r="U1239">
        <v>-2.9915159999999998</v>
      </c>
      <c r="V1239">
        <v>0.18917220000000001</v>
      </c>
      <c r="W1239">
        <v>4.5282910000000003E-2</v>
      </c>
      <c r="X1239">
        <v>0.98089930000000003</v>
      </c>
      <c r="Y1239">
        <v>0.47997440000000002</v>
      </c>
      <c r="Z1239">
        <v>4.2910230000000001E-2</v>
      </c>
      <c r="AA1239">
        <v>0.87623240000000002</v>
      </c>
      <c r="AB1239">
        <v>21</v>
      </c>
      <c r="AC1239">
        <v>3.9586000000000099</v>
      </c>
      <c r="AD1239">
        <v>-1.0982147389569901</v>
      </c>
      <c r="AE1239">
        <v>-11.444900000000001</v>
      </c>
      <c r="AF1239">
        <v>5.8098629428325497</v>
      </c>
      <c r="AG1239">
        <v>-1.0982147389569901</v>
      </c>
      <c r="AH1239">
        <v>10.5128028635669</v>
      </c>
      <c r="AI1239">
        <v>95.224091176615104</v>
      </c>
      <c r="AJ1239">
        <v>61.0729224579202</v>
      </c>
      <c r="AK1239">
        <v>12.06149273828</v>
      </c>
    </row>
    <row r="1240" spans="1:37" x14ac:dyDescent="0.2">
      <c r="A1240" t="str">
        <f>"20200111153630920"</f>
        <v>20200111153630920</v>
      </c>
      <c r="B1240" t="str">
        <f>"1578728190913932"</f>
        <v>1578728190913932</v>
      </c>
      <c r="C1240" t="s">
        <v>37</v>
      </c>
      <c r="D1240">
        <v>6.1493080000000004</v>
      </c>
      <c r="E1240">
        <v>0.62381869999999995</v>
      </c>
      <c r="F1240" t="s">
        <v>41</v>
      </c>
      <c r="G1240">
        <v>-194.63079999999999</v>
      </c>
      <c r="H1240" s="1">
        <v>-1.6720959999999999E-6</v>
      </c>
      <c r="I1240">
        <v>350.34589999999997</v>
      </c>
      <c r="J1240">
        <v>-198.53720000000001</v>
      </c>
      <c r="K1240">
        <v>1.098222</v>
      </c>
      <c r="L1240">
        <v>361.79230000000001</v>
      </c>
      <c r="M1240">
        <v>0.73842699999999994</v>
      </c>
      <c r="N1240">
        <v>0</v>
      </c>
      <c r="O1240">
        <v>-0.67422969999999904</v>
      </c>
      <c r="P1240">
        <v>0.59777910000000001</v>
      </c>
      <c r="Q1240">
        <v>3.676459E-2</v>
      </c>
      <c r="R1240">
        <v>-0.80081749999999996</v>
      </c>
      <c r="S1240">
        <v>1.0372159999999999</v>
      </c>
      <c r="T1240">
        <v>-0.28486220000000001</v>
      </c>
      <c r="U1240">
        <v>-2.9932859999999999</v>
      </c>
      <c r="V1240">
        <v>0.18904550000000001</v>
      </c>
      <c r="W1240">
        <v>4.5446779999999999E-2</v>
      </c>
      <c r="X1240">
        <v>0.98091609999999996</v>
      </c>
      <c r="Y1240">
        <v>0.47721899999999901</v>
      </c>
      <c r="Z1240">
        <v>4.3633459999999999E-2</v>
      </c>
      <c r="AA1240">
        <v>0.877700499999999</v>
      </c>
      <c r="AB1240">
        <v>21</v>
      </c>
      <c r="AC1240">
        <v>3.9064000000000099</v>
      </c>
      <c r="AD1240">
        <v>-1.0982236720959999</v>
      </c>
      <c r="AE1240">
        <v>-11.446400000000001</v>
      </c>
      <c r="AF1240">
        <v>5.7713415386408604</v>
      </c>
      <c r="AG1240">
        <v>-1.0982236720959999</v>
      </c>
      <c r="AH1240">
        <v>10.5161289856691</v>
      </c>
      <c r="AI1240">
        <v>95.230919666020796</v>
      </c>
      <c r="AJ1240">
        <v>61.241643255059302</v>
      </c>
      <c r="AK1240">
        <v>12.045889225491999</v>
      </c>
    </row>
    <row r="1241" spans="1:37" x14ac:dyDescent="0.2">
      <c r="A1241" t="str">
        <f>"20200111153630936"</f>
        <v>20200111153630936</v>
      </c>
      <c r="B1241" t="str">
        <f>"1578728190933451"</f>
        <v>1578728190933451</v>
      </c>
      <c r="C1241" t="s">
        <v>37</v>
      </c>
      <c r="D1241">
        <v>6.0944719999999997</v>
      </c>
      <c r="E1241">
        <v>0.62339319999999998</v>
      </c>
      <c r="F1241" t="s">
        <v>41</v>
      </c>
      <c r="G1241">
        <v>-194.5881</v>
      </c>
      <c r="H1241" s="1">
        <v>-1.5422309999999901E-6</v>
      </c>
      <c r="I1241">
        <v>350.14569999999998</v>
      </c>
      <c r="J1241">
        <v>-198.42769999999999</v>
      </c>
      <c r="K1241">
        <v>1.098239</v>
      </c>
      <c r="L1241">
        <v>361.67930000000001</v>
      </c>
      <c r="M1241">
        <v>0.73272819999999905</v>
      </c>
      <c r="N1241">
        <v>0</v>
      </c>
      <c r="O1241">
        <v>-0.68041980000000002</v>
      </c>
      <c r="P1241">
        <v>0.59155179999999996</v>
      </c>
      <c r="Q1241">
        <v>3.6368480000000002E-2</v>
      </c>
      <c r="R1241">
        <v>-0.80544669999999996</v>
      </c>
      <c r="S1241">
        <v>1.0171809999999999</v>
      </c>
      <c r="T1241">
        <v>-0.28287119999999999</v>
      </c>
      <c r="U1241">
        <v>-2.99981699999999</v>
      </c>
      <c r="V1241">
        <v>0.1884015</v>
      </c>
      <c r="W1241">
        <v>4.5010439999999999E-2</v>
      </c>
      <c r="X1241">
        <v>0.98106009999999999</v>
      </c>
      <c r="Y1241">
        <v>0.47567399999999999</v>
      </c>
      <c r="Z1241">
        <v>4.4074780000000001E-2</v>
      </c>
      <c r="AA1241">
        <v>0.87851669999999904</v>
      </c>
      <c r="AB1241">
        <v>21</v>
      </c>
      <c r="AC1241">
        <v>3.8395999999999901</v>
      </c>
      <c r="AD1241">
        <v>-1.098240542231</v>
      </c>
      <c r="AE1241">
        <v>-11.5336</v>
      </c>
      <c r="AF1241">
        <v>5.7915844574202602</v>
      </c>
      <c r="AG1241">
        <v>-1.098240542231</v>
      </c>
      <c r="AH1241">
        <v>10.575488580346301</v>
      </c>
      <c r="AI1241">
        <v>95.204343762744799</v>
      </c>
      <c r="AJ1241">
        <v>61.293024361265203</v>
      </c>
      <c r="AK1241">
        <v>12.107416798354</v>
      </c>
    </row>
    <row r="1242" spans="1:37" x14ac:dyDescent="0.2">
      <c r="A1242" t="str">
        <f>"20200111153630950"</f>
        <v>20200111153630950</v>
      </c>
      <c r="B1242" t="str">
        <f>"1578728190943720"</f>
        <v>1578728190943720</v>
      </c>
      <c r="C1242" t="s">
        <v>37</v>
      </c>
      <c r="D1242">
        <v>6.1258809999999997</v>
      </c>
      <c r="E1242">
        <v>0.62315880000000001</v>
      </c>
      <c r="F1242" t="s">
        <v>41</v>
      </c>
      <c r="G1242">
        <v>-194.5273</v>
      </c>
      <c r="H1242" s="1">
        <v>-1.3911670000000001E-6</v>
      </c>
      <c r="I1242">
        <v>349.9178</v>
      </c>
      <c r="J1242">
        <v>-198.3434</v>
      </c>
      <c r="K1242">
        <v>1.0982479999999999</v>
      </c>
      <c r="L1242">
        <v>361.59089999999998</v>
      </c>
      <c r="M1242">
        <v>0.72828669999999995</v>
      </c>
      <c r="N1242">
        <v>0</v>
      </c>
      <c r="O1242">
        <v>-0.68517240000000001</v>
      </c>
      <c r="P1242">
        <v>0.58675690000000003</v>
      </c>
      <c r="Q1242">
        <v>3.6292659999999997E-2</v>
      </c>
      <c r="R1242">
        <v>-0.80894980000000005</v>
      </c>
      <c r="S1242">
        <v>0.99667359999999905</v>
      </c>
      <c r="T1242">
        <v>-0.28063009999999999</v>
      </c>
      <c r="U1242">
        <v>-3.0053709999999998</v>
      </c>
      <c r="V1242">
        <v>0.18784609999999999</v>
      </c>
      <c r="W1242">
        <v>4.490802E-2</v>
      </c>
      <c r="X1242">
        <v>0.98117129999999997</v>
      </c>
      <c r="Y1242">
        <v>0.47584070000000001</v>
      </c>
      <c r="Z1242">
        <v>4.4256990000000003E-2</v>
      </c>
      <c r="AA1242">
        <v>0.87841729999999996</v>
      </c>
      <c r="AB1242">
        <v>21</v>
      </c>
      <c r="AC1242">
        <v>3.8161</v>
      </c>
      <c r="AD1242">
        <v>-1.0982493911669999</v>
      </c>
      <c r="AE1242">
        <v>-11.6730999999999</v>
      </c>
      <c r="AF1242">
        <v>5.8403751520514797</v>
      </c>
      <c r="AG1242">
        <v>-1.0982493911669999</v>
      </c>
      <c r="AH1242">
        <v>10.6925314616827</v>
      </c>
      <c r="AI1242">
        <v>95.150811492300207</v>
      </c>
      <c r="AJ1242">
        <v>61.356160518521797</v>
      </c>
      <c r="AK1242">
        <v>12.233003012383101</v>
      </c>
    </row>
    <row r="1243" spans="1:37" x14ac:dyDescent="0.2">
      <c r="A1243" t="str">
        <f>"20200111153630963"</f>
        <v>20200111153630963</v>
      </c>
      <c r="B1243" t="str">
        <f>"1578728190953481"</f>
        <v>1578728190953481</v>
      </c>
      <c r="C1243" t="s">
        <v>37</v>
      </c>
      <c r="D1243">
        <v>6.1562449999999904</v>
      </c>
      <c r="E1243">
        <v>0.62315880000000001</v>
      </c>
      <c r="F1243" t="s">
        <v>41</v>
      </c>
      <c r="G1243">
        <v>-194.4948</v>
      </c>
      <c r="H1243" s="1">
        <v>-1.2949539999999899E-6</v>
      </c>
      <c r="I1243">
        <v>349.76990000000001</v>
      </c>
      <c r="J1243">
        <v>-198.2552</v>
      </c>
      <c r="K1243">
        <v>1.098258</v>
      </c>
      <c r="L1243">
        <v>361.49759999999998</v>
      </c>
      <c r="M1243">
        <v>0.72359709999999999</v>
      </c>
      <c r="N1243">
        <v>0</v>
      </c>
      <c r="O1243">
        <v>-0.69012369999999901</v>
      </c>
      <c r="P1243">
        <v>0.58183469999999904</v>
      </c>
      <c r="Q1243">
        <v>3.6261460000000002E-2</v>
      </c>
      <c r="R1243">
        <v>-0.81249850000000001</v>
      </c>
      <c r="S1243">
        <v>0.98002619999999896</v>
      </c>
      <c r="T1243">
        <v>-0.27966390000000002</v>
      </c>
      <c r="U1243">
        <v>-3.0101619999999998</v>
      </c>
      <c r="V1243">
        <v>0.1871092</v>
      </c>
      <c r="W1243">
        <v>4.485372E-2</v>
      </c>
      <c r="X1243">
        <v>0.98131460000000004</v>
      </c>
      <c r="Y1243">
        <v>0.47465469999999998</v>
      </c>
      <c r="Z1243">
        <v>4.4700150000000001E-2</v>
      </c>
      <c r="AA1243">
        <v>0.87903629999999999</v>
      </c>
      <c r="AB1243">
        <v>21</v>
      </c>
      <c r="AC1243">
        <v>3.7604000000000002</v>
      </c>
      <c r="AD1243">
        <v>-1.098259294954</v>
      </c>
      <c r="AE1243">
        <v>-11.727699999999899</v>
      </c>
      <c r="AF1243">
        <v>5.8449112804022301</v>
      </c>
      <c r="AG1243">
        <v>-1.098259294954</v>
      </c>
      <c r="AH1243">
        <v>10.729990373756999</v>
      </c>
      <c r="AI1243">
        <v>95.136158336161202</v>
      </c>
      <c r="AJ1243">
        <v>61.421694271642401</v>
      </c>
      <c r="AK1243">
        <v>12.2679197411641</v>
      </c>
    </row>
    <row r="1244" spans="1:37" x14ac:dyDescent="0.2">
      <c r="A1244" t="str">
        <f>"20200111153630975"</f>
        <v>20200111153630975</v>
      </c>
      <c r="B1244" t="str">
        <f>"1578728190964217"</f>
        <v>1578728190964217</v>
      </c>
      <c r="C1244" t="s">
        <v>37</v>
      </c>
      <c r="D1244">
        <v>6.1009949999999904</v>
      </c>
      <c r="E1244">
        <v>0.6250928</v>
      </c>
      <c r="F1244" t="s">
        <v>41</v>
      </c>
      <c r="G1244">
        <v>-194.47630000000001</v>
      </c>
      <c r="H1244" s="1">
        <v>-1.216181E-6</v>
      </c>
      <c r="I1244">
        <v>349.64519999999999</v>
      </c>
      <c r="J1244">
        <v>-198.17089999999999</v>
      </c>
      <c r="K1244">
        <v>1.0982689999999999</v>
      </c>
      <c r="L1244">
        <v>361.40699999999998</v>
      </c>
      <c r="M1244">
        <v>0.71906700000000001</v>
      </c>
      <c r="N1244">
        <v>0</v>
      </c>
      <c r="O1244">
        <v>-0.69484349999999995</v>
      </c>
      <c r="P1244">
        <v>0.57714900000000002</v>
      </c>
      <c r="Q1244">
        <v>3.6432239999999998E-2</v>
      </c>
      <c r="R1244">
        <v>-0.8158261</v>
      </c>
      <c r="S1244">
        <v>0.96165469999999897</v>
      </c>
      <c r="T1244">
        <v>-0.27948020000000001</v>
      </c>
      <c r="U1244">
        <v>-3.0161439999999899</v>
      </c>
      <c r="V1244">
        <v>0.18633159999999999</v>
      </c>
      <c r="W1244">
        <v>4.5006629999999999E-2</v>
      </c>
      <c r="X1244">
        <v>0.98145550000000004</v>
      </c>
      <c r="Y1244">
        <v>0.47426990000000002</v>
      </c>
      <c r="Z1244">
        <v>4.5200270000000001E-2</v>
      </c>
      <c r="AA1244">
        <v>0.87921839999999996</v>
      </c>
      <c r="AB1244">
        <v>21</v>
      </c>
      <c r="AC1244">
        <v>3.6945999999999799</v>
      </c>
      <c r="AD1244">
        <v>-1.0982702161810001</v>
      </c>
      <c r="AE1244">
        <v>-11.7617999999999</v>
      </c>
      <c r="AF1244">
        <v>5.8443704490394799</v>
      </c>
      <c r="AG1244">
        <v>-1.0982702161810001</v>
      </c>
      <c r="AH1244">
        <v>10.7447365672393</v>
      </c>
      <c r="AI1244">
        <v>95.130907461617795</v>
      </c>
      <c r="AJ1244">
        <v>61.4569622628659</v>
      </c>
      <c r="AK1244">
        <v>12.2805629884271</v>
      </c>
    </row>
    <row r="1245" spans="1:37" x14ac:dyDescent="0.2">
      <c r="A1245" t="str">
        <f>"20200111153630995"</f>
        <v>20200111153630995</v>
      </c>
      <c r="B1245" t="str">
        <f>"1578728190983736"</f>
        <v>1578728190983736</v>
      </c>
      <c r="C1245" t="s">
        <v>37</v>
      </c>
      <c r="D1245">
        <v>6.0224339999999996</v>
      </c>
      <c r="E1245">
        <v>0.62685489999999999</v>
      </c>
      <c r="F1245" t="s">
        <v>41</v>
      </c>
      <c r="G1245">
        <v>-194.61340000000001</v>
      </c>
      <c r="H1245" s="1">
        <v>-1.3664349999999899E-6</v>
      </c>
      <c r="I1245">
        <v>349.8374</v>
      </c>
      <c r="J1245">
        <v>-198.05119999999999</v>
      </c>
      <c r="K1245">
        <v>1.098284</v>
      </c>
      <c r="L1245">
        <v>361.27640000000002</v>
      </c>
      <c r="M1245">
        <v>0.71255639999999998</v>
      </c>
      <c r="N1245">
        <v>0</v>
      </c>
      <c r="O1245">
        <v>-0.701519</v>
      </c>
      <c r="P1245">
        <v>0.56975290000000001</v>
      </c>
      <c r="Q1245">
        <v>3.6960369999999999E-2</v>
      </c>
      <c r="R1245">
        <v>-0.82098439999999995</v>
      </c>
      <c r="S1245">
        <v>0.93193049999999999</v>
      </c>
      <c r="T1245">
        <v>-0.28770600000000002</v>
      </c>
      <c r="U1245">
        <v>-3.0308229999999998</v>
      </c>
      <c r="V1245">
        <v>0.1860367</v>
      </c>
      <c r="W1245">
        <v>4.5497750000000003E-2</v>
      </c>
      <c r="X1245">
        <v>0.98148880000000005</v>
      </c>
      <c r="Y1245">
        <v>0.47517120000000002</v>
      </c>
      <c r="Z1245">
        <v>4.7163839999999999E-2</v>
      </c>
      <c r="AA1245">
        <v>0.87862839999999998</v>
      </c>
      <c r="AB1245">
        <v>21</v>
      </c>
      <c r="AC1245">
        <v>3.4377999999999802</v>
      </c>
      <c r="AD1245">
        <v>-1.0982853664350001</v>
      </c>
      <c r="AE1245">
        <v>-11.439</v>
      </c>
      <c r="AF1245">
        <v>5.6915162733676397</v>
      </c>
      <c r="AG1245">
        <v>-1.0982853664350001</v>
      </c>
      <c r="AH1245">
        <v>10.387185598901199</v>
      </c>
      <c r="AI1245">
        <v>95.297720282063494</v>
      </c>
      <c r="AJ1245">
        <v>61.2800646561506</v>
      </c>
      <c r="AK1245">
        <v>11.8950919669482</v>
      </c>
    </row>
    <row r="1246" spans="1:37" x14ac:dyDescent="0.2">
      <c r="A1246" t="str">
        <f>"20200111153631008"</f>
        <v>20200111153631008</v>
      </c>
      <c r="B1246" t="str">
        <f>"1578728191004233"</f>
        <v>1578728191004233</v>
      </c>
      <c r="C1246" t="s">
        <v>37</v>
      </c>
      <c r="D1246">
        <v>5.7814740000000002</v>
      </c>
      <c r="E1246">
        <v>0.67276449999999999</v>
      </c>
      <c r="F1246" t="s">
        <v>39</v>
      </c>
      <c r="G1246">
        <v>-194.59299999999999</v>
      </c>
      <c r="H1246" s="1">
        <v>-5.065192E-6</v>
      </c>
      <c r="I1246">
        <v>349.47699999999998</v>
      </c>
      <c r="J1246">
        <v>-197.96950000000001</v>
      </c>
      <c r="K1246">
        <v>1.098295</v>
      </c>
      <c r="L1246">
        <v>361.18599999999998</v>
      </c>
      <c r="M1246">
        <v>0.70806190000000002</v>
      </c>
      <c r="N1246">
        <v>0</v>
      </c>
      <c r="O1246">
        <v>-0.70605589999999996</v>
      </c>
      <c r="P1246">
        <v>0.56436949999999997</v>
      </c>
      <c r="Q1246">
        <v>3.7392300000000003E-2</v>
      </c>
      <c r="R1246">
        <v>-0.82467549999999901</v>
      </c>
      <c r="S1246">
        <v>0.89305109999999999</v>
      </c>
      <c r="T1246">
        <v>-0.28362789999999999</v>
      </c>
      <c r="U1246">
        <v>-3.0471499999999998</v>
      </c>
      <c r="V1246">
        <v>0.18618080000000001</v>
      </c>
      <c r="W1246">
        <v>4.5901199999999899E-2</v>
      </c>
      <c r="X1246">
        <v>0.9814427</v>
      </c>
      <c r="Y1246">
        <v>0.48114229999999902</v>
      </c>
      <c r="Z1246">
        <v>4.6710830000000002E-2</v>
      </c>
      <c r="AA1246">
        <v>0.87539709999999904</v>
      </c>
      <c r="AB1246">
        <v>21</v>
      </c>
      <c r="AC1246">
        <v>3.37650000000002</v>
      </c>
      <c r="AD1246">
        <v>-1.0983000651920001</v>
      </c>
      <c r="AE1246">
        <v>-11.709</v>
      </c>
      <c r="AF1246">
        <v>5.8594969549276597</v>
      </c>
      <c r="AG1246">
        <v>-1.0983000651920001</v>
      </c>
      <c r="AH1246">
        <v>10.572808639882799</v>
      </c>
      <c r="AI1246">
        <v>95.1915968825991</v>
      </c>
      <c r="AJ1246">
        <v>61.004587438892898</v>
      </c>
      <c r="AK1246">
        <v>12.137720137389399</v>
      </c>
    </row>
    <row r="1247" spans="1:37" x14ac:dyDescent="0.2">
      <c r="A1247" t="str">
        <f>"20200111153631021"</f>
        <v>20200111153631021</v>
      </c>
      <c r="B1247" t="str">
        <f>"1578728191013992"</f>
        <v>1578728191013992</v>
      </c>
      <c r="C1247" t="s">
        <v>37</v>
      </c>
      <c r="D1247">
        <v>5.8398820000000002</v>
      </c>
      <c r="E1247">
        <v>0.67396999999999996</v>
      </c>
      <c r="F1247" t="s">
        <v>43</v>
      </c>
      <c r="G1247">
        <v>-168.41640000000001</v>
      </c>
      <c r="H1247">
        <v>0.78563830000000001</v>
      </c>
      <c r="I1247">
        <v>189.553</v>
      </c>
      <c r="J1247">
        <v>-197.88130000000001</v>
      </c>
      <c r="K1247">
        <v>1.098309</v>
      </c>
      <c r="L1247">
        <v>361.0872</v>
      </c>
      <c r="M1247">
        <v>0.70315749999999999</v>
      </c>
      <c r="N1247">
        <v>0</v>
      </c>
      <c r="O1247">
        <v>-0.71094080000000004</v>
      </c>
      <c r="P1247">
        <v>0.55840290000000004</v>
      </c>
      <c r="Q1247">
        <v>3.745329E-2</v>
      </c>
      <c r="R1247">
        <v>-0.82872409999999996</v>
      </c>
      <c r="S1247">
        <v>0.56039430000000001</v>
      </c>
      <c r="T1247">
        <v>-5.9280399999999999E-3</v>
      </c>
      <c r="U1247">
        <v>-3.2545470000000001</v>
      </c>
      <c r="V1247">
        <v>0.18646699999999999</v>
      </c>
      <c r="W1247">
        <v>4.5930260000000001E-2</v>
      </c>
      <c r="X1247">
        <v>0.98138700000000001</v>
      </c>
      <c r="Y1247">
        <v>0.57235769999999997</v>
      </c>
      <c r="Z1247">
        <v>8.7929100000000004E-4</v>
      </c>
      <c r="AA1247">
        <v>0.82000360000000005</v>
      </c>
      <c r="AB1247">
        <v>21</v>
      </c>
      <c r="AC1247">
        <v>29.4649</v>
      </c>
      <c r="AD1247">
        <v>-0.31267069999999902</v>
      </c>
      <c r="AE1247">
        <v>-171.5342</v>
      </c>
      <c r="AF1247">
        <v>99.674052044101202</v>
      </c>
      <c r="AG1247">
        <v>-0.31267069999999902</v>
      </c>
      <c r="AH1247">
        <v>142.67813401419599</v>
      </c>
      <c r="AI1247">
        <v>90.102930863620202</v>
      </c>
      <c r="AJ1247">
        <v>55.062091001996201</v>
      </c>
      <c r="AK1247">
        <v>174.046155773777</v>
      </c>
    </row>
    <row r="1248" spans="1:37" x14ac:dyDescent="0.2">
      <c r="A1248" t="str">
        <f>"20200111153631037"</f>
        <v>20200111153631037</v>
      </c>
      <c r="B1248" t="str">
        <f>"1578728191033512"</f>
        <v>1578728191033512</v>
      </c>
      <c r="C1248" t="s">
        <v>37</v>
      </c>
      <c r="D1248">
        <v>6.0401930000000004</v>
      </c>
      <c r="E1248">
        <v>0.66771939999999996</v>
      </c>
      <c r="F1248" t="s">
        <v>43</v>
      </c>
      <c r="G1248">
        <v>-169.40049999999999</v>
      </c>
      <c r="H1248">
        <v>0.97726819999999903</v>
      </c>
      <c r="I1248">
        <v>185.26920000000001</v>
      </c>
      <c r="J1248">
        <v>-197.77680000000001</v>
      </c>
      <c r="K1248">
        <v>1.0983209999999901</v>
      </c>
      <c r="L1248">
        <v>360.9683</v>
      </c>
      <c r="M1248">
        <v>0.69728239999999997</v>
      </c>
      <c r="N1248">
        <v>0</v>
      </c>
      <c r="O1248">
        <v>-0.71670449999999997</v>
      </c>
      <c r="P1248">
        <v>0.55159329999999995</v>
      </c>
      <c r="Q1248">
        <v>3.7488470000000003E-2</v>
      </c>
      <c r="R1248">
        <v>-0.83327050000000003</v>
      </c>
      <c r="S1248">
        <v>0.52871699999999999</v>
      </c>
      <c r="T1248">
        <v>-2.2463800000000001E-3</v>
      </c>
      <c r="U1248">
        <v>-3.2638849999999899</v>
      </c>
      <c r="V1248">
        <v>0.18642809999999899</v>
      </c>
      <c r="W1248">
        <v>4.5937400000000003E-2</v>
      </c>
      <c r="X1248">
        <v>0.98139409999999905</v>
      </c>
      <c r="Y1248">
        <v>0.5737428</v>
      </c>
      <c r="Z1248">
        <v>3.3752929999999998E-4</v>
      </c>
      <c r="AA1248">
        <v>0.81903549999999903</v>
      </c>
      <c r="AB1248">
        <v>21</v>
      </c>
      <c r="AC1248">
        <v>28.376300000000001</v>
      </c>
      <c r="AD1248">
        <v>-0.121052799999999</v>
      </c>
      <c r="AE1248">
        <v>-175.69909999999999</v>
      </c>
      <c r="AF1248">
        <v>102.181160756152</v>
      </c>
      <c r="AG1248">
        <v>-0.121052799999999</v>
      </c>
      <c r="AH1248">
        <v>145.720174380505</v>
      </c>
      <c r="AI1248">
        <v>90.038970558781102</v>
      </c>
      <c r="AJ1248">
        <v>54.961288394416997</v>
      </c>
      <c r="AK1248">
        <v>177.97576657719401</v>
      </c>
    </row>
    <row r="1249" spans="1:37" x14ac:dyDescent="0.2">
      <c r="A1249" t="str">
        <f>"20200111153631050"</f>
        <v>20200111153631050</v>
      </c>
      <c r="B1249" t="str">
        <f>"1578728191043781"</f>
        <v>1578728191043781</v>
      </c>
      <c r="C1249" t="s">
        <v>37</v>
      </c>
      <c r="D1249">
        <v>6.057353</v>
      </c>
      <c r="E1249">
        <v>0.66543560000000002</v>
      </c>
      <c r="F1249" t="s">
        <v>44</v>
      </c>
      <c r="G1249">
        <v>-187.00640000000001</v>
      </c>
      <c r="H1249" s="1">
        <v>9.3884889999999899E-7</v>
      </c>
      <c r="I1249">
        <v>296.96039999999999</v>
      </c>
      <c r="J1249">
        <v>-197.6979</v>
      </c>
      <c r="K1249">
        <v>1.0983290000000001</v>
      </c>
      <c r="L1249">
        <v>360.87699999999899</v>
      </c>
      <c r="M1249">
        <v>0.69279499999999905</v>
      </c>
      <c r="N1249">
        <v>0</v>
      </c>
      <c r="O1249">
        <v>-0.72104360000000001</v>
      </c>
      <c r="P1249">
        <v>0.54651000000000005</v>
      </c>
      <c r="Q1249">
        <v>3.7613050000000002E-2</v>
      </c>
      <c r="R1249">
        <v>-0.83660749999999995</v>
      </c>
      <c r="S1249">
        <v>0.54547119999999905</v>
      </c>
      <c r="T1249">
        <v>-5.5624840000000002E-2</v>
      </c>
      <c r="U1249">
        <v>-3.2416990000000001</v>
      </c>
      <c r="V1249">
        <v>0.18627260000000001</v>
      </c>
      <c r="W1249">
        <v>4.6042199999999998E-2</v>
      </c>
      <c r="X1249">
        <v>0.98141869999999998</v>
      </c>
      <c r="Y1249">
        <v>0.56357939999999995</v>
      </c>
      <c r="Z1249">
        <v>8.5825060000000002E-3</v>
      </c>
      <c r="AA1249">
        <v>0.82601729999999995</v>
      </c>
      <c r="AB1249">
        <v>21</v>
      </c>
      <c r="AC1249">
        <v>10.6914999999999</v>
      </c>
      <c r="AD1249">
        <v>-1.0983280611510999</v>
      </c>
      <c r="AE1249">
        <v>-63.916599999999903</v>
      </c>
      <c r="AF1249">
        <v>36.563960077441898</v>
      </c>
      <c r="AG1249">
        <v>-1.0983280611510999</v>
      </c>
      <c r="AH1249">
        <v>53.481820662151897</v>
      </c>
      <c r="AI1249">
        <v>90.971251747337305</v>
      </c>
      <c r="AJ1249">
        <v>55.640723229411002</v>
      </c>
      <c r="AK1249">
        <v>64.795328862605999</v>
      </c>
    </row>
    <row r="1250" spans="1:37" x14ac:dyDescent="0.2">
      <c r="A1250" t="str">
        <f>"20200111153631063"</f>
        <v>20200111153631063</v>
      </c>
      <c r="B1250" t="str">
        <f>"1578728191053541"</f>
        <v>1578728191053541</v>
      </c>
      <c r="C1250" t="s">
        <v>37</v>
      </c>
      <c r="D1250">
        <v>6.0947949999999897</v>
      </c>
      <c r="E1250">
        <v>0.66349990000000003</v>
      </c>
      <c r="F1250" t="s">
        <v>39</v>
      </c>
      <c r="G1250">
        <v>-189.58709999999999</v>
      </c>
      <c r="H1250" s="1">
        <v>-1.3884809999999901E-6</v>
      </c>
      <c r="I1250">
        <v>312.41359999999997</v>
      </c>
      <c r="J1250">
        <v>-197.61859999999999</v>
      </c>
      <c r="K1250">
        <v>1.098341</v>
      </c>
      <c r="L1250">
        <v>360.78449999999998</v>
      </c>
      <c r="M1250">
        <v>0.68824339999999995</v>
      </c>
      <c r="N1250">
        <v>0</v>
      </c>
      <c r="O1250">
        <v>-0.72538970000000003</v>
      </c>
      <c r="P1250">
        <v>0.54138549999999996</v>
      </c>
      <c r="Q1250">
        <v>3.7601339999999997E-2</v>
      </c>
      <c r="R1250">
        <v>-0.839933499999999</v>
      </c>
      <c r="S1250">
        <v>0.54148859999999999</v>
      </c>
      <c r="T1250">
        <v>-7.3325870000000001E-2</v>
      </c>
      <c r="U1250">
        <v>-3.235474</v>
      </c>
      <c r="V1250">
        <v>0.18609389999999901</v>
      </c>
      <c r="W1250">
        <v>4.6009809999999998E-2</v>
      </c>
      <c r="X1250">
        <v>0.981454099999999</v>
      </c>
      <c r="Y1250">
        <v>0.55910009999999999</v>
      </c>
      <c r="Z1250">
        <v>1.151021E-2</v>
      </c>
      <c r="AA1250">
        <v>0.82902030000000004</v>
      </c>
      <c r="AB1250">
        <v>21</v>
      </c>
      <c r="AC1250">
        <v>8.0314999999999905</v>
      </c>
      <c r="AD1250">
        <v>-1.098342388481</v>
      </c>
      <c r="AE1250">
        <v>-48.370899999999999</v>
      </c>
      <c r="AF1250">
        <v>27.4530069419142</v>
      </c>
      <c r="AG1250">
        <v>-1.098342388481</v>
      </c>
      <c r="AH1250">
        <v>40.597665839208801</v>
      </c>
      <c r="AI1250">
        <v>91.283854540715197</v>
      </c>
      <c r="AJ1250">
        <v>55.932604313685196</v>
      </c>
      <c r="AK1250">
        <v>49.020856966674799</v>
      </c>
    </row>
    <row r="1251" spans="1:37" x14ac:dyDescent="0.2">
      <c r="A1251" t="str">
        <f>"20200111153631083"</f>
        <v>20200111153631083</v>
      </c>
      <c r="B1251" t="str">
        <f>"1578728191074039"</f>
        <v>1578728191074039</v>
      </c>
      <c r="C1251" t="s">
        <v>37</v>
      </c>
      <c r="D1251">
        <v>6.1211370000000001</v>
      </c>
      <c r="E1251">
        <v>0.65989310000000001</v>
      </c>
      <c r="F1251" t="s">
        <v>39</v>
      </c>
      <c r="G1251">
        <v>-191.05520000000001</v>
      </c>
      <c r="H1251" s="1">
        <v>-9.6277529999999904E-7</v>
      </c>
      <c r="I1251">
        <v>321.1789</v>
      </c>
      <c r="J1251">
        <v>-197.49099999999899</v>
      </c>
      <c r="K1251">
        <v>1.0983499999999999</v>
      </c>
      <c r="L1251">
        <v>360.63290000000001</v>
      </c>
      <c r="M1251">
        <v>0.68082279999999995</v>
      </c>
      <c r="N1251">
        <v>0</v>
      </c>
      <c r="O1251">
        <v>-0.73235989999999995</v>
      </c>
      <c r="P1251">
        <v>0.533335</v>
      </c>
      <c r="Q1251">
        <v>3.7695970000000002E-2</v>
      </c>
      <c r="R1251">
        <v>-0.84506399999999904</v>
      </c>
      <c r="S1251">
        <v>0.53538509999999995</v>
      </c>
      <c r="T1251">
        <v>-8.9592580000000005E-2</v>
      </c>
      <c r="U1251">
        <v>-3.2306520000000001</v>
      </c>
      <c r="V1251">
        <v>0.18547459999999999</v>
      </c>
      <c r="W1251">
        <v>4.6071250000000001E-2</v>
      </c>
      <c r="X1251">
        <v>0.98156849999999995</v>
      </c>
      <c r="Y1251">
        <v>0.55196080000000003</v>
      </c>
      <c r="Z1251">
        <v>1.4426960000000001E-2</v>
      </c>
      <c r="AA1251">
        <v>0.83374519999999996</v>
      </c>
      <c r="AB1251">
        <v>21</v>
      </c>
      <c r="AC1251">
        <v>6.4357999999999702</v>
      </c>
      <c r="AD1251">
        <v>-1.0983509627753001</v>
      </c>
      <c r="AE1251">
        <v>-39.454000000000001</v>
      </c>
      <c r="AF1251">
        <v>22.132584701930199</v>
      </c>
      <c r="AG1251">
        <v>-1.0983509627753001</v>
      </c>
      <c r="AH1251">
        <v>33.253215058749603</v>
      </c>
      <c r="AI1251">
        <v>91.575029097749194</v>
      </c>
      <c r="AJ1251">
        <v>56.353165826839401</v>
      </c>
      <c r="AK1251">
        <v>39.960405305364397</v>
      </c>
    </row>
    <row r="1252" spans="1:37" x14ac:dyDescent="0.2">
      <c r="A1252" t="str">
        <f>"20200111153631096"</f>
        <v>20200111153631096</v>
      </c>
      <c r="B1252" t="str">
        <f>"1578728191093557"</f>
        <v>1578728191093557</v>
      </c>
      <c r="C1252" t="s">
        <v>37</v>
      </c>
      <c r="D1252">
        <v>6.1242609999999997</v>
      </c>
      <c r="E1252">
        <v>0.65743059999999998</v>
      </c>
      <c r="F1252" t="s">
        <v>39</v>
      </c>
      <c r="G1252">
        <v>-192.48679999999999</v>
      </c>
      <c r="H1252" s="1">
        <v>-9.3281449999999997E-7</v>
      </c>
      <c r="I1252">
        <v>330.22109999999998</v>
      </c>
      <c r="J1252">
        <v>-197.4102</v>
      </c>
      <c r="K1252">
        <v>1.0983559999999899</v>
      </c>
      <c r="L1252">
        <v>360.53539999999998</v>
      </c>
      <c r="M1252">
        <v>0.67606449999999996</v>
      </c>
      <c r="N1252">
        <v>0</v>
      </c>
      <c r="O1252">
        <v>-0.7367553</v>
      </c>
      <c r="P1252">
        <v>0.52830279999999996</v>
      </c>
      <c r="Q1252">
        <v>3.7631209999999998E-2</v>
      </c>
      <c r="R1252">
        <v>-0.84822149999999996</v>
      </c>
      <c r="S1252">
        <v>0.52996829999999995</v>
      </c>
      <c r="T1252">
        <v>-0.1163212</v>
      </c>
      <c r="U1252">
        <v>-3.220764</v>
      </c>
      <c r="V1252">
        <v>0.1849488</v>
      </c>
      <c r="W1252">
        <v>4.5984560000000001E-2</v>
      </c>
      <c r="X1252">
        <v>0.98167179999999998</v>
      </c>
      <c r="Y1252">
        <v>0.54750319999999997</v>
      </c>
      <c r="Z1252">
        <v>1.9065720000000001E-2</v>
      </c>
      <c r="AA1252">
        <v>0.83658639999999995</v>
      </c>
      <c r="AB1252">
        <v>21</v>
      </c>
      <c r="AC1252">
        <v>4.9234000000000098</v>
      </c>
      <c r="AD1252">
        <v>-1.0983569328145</v>
      </c>
      <c r="AE1252">
        <v>-30.314299999999999</v>
      </c>
      <c r="AF1252">
        <v>16.846616638898599</v>
      </c>
      <c r="AG1252">
        <v>-1.0983569328145</v>
      </c>
      <c r="AH1252">
        <v>25.631621196256599</v>
      </c>
      <c r="AI1252">
        <v>92.050853307615796</v>
      </c>
      <c r="AJ1252">
        <v>56.684717336254998</v>
      </c>
      <c r="AK1252">
        <v>30.691935183013001</v>
      </c>
    </row>
    <row r="1253" spans="1:37" x14ac:dyDescent="0.2">
      <c r="A1253" t="str">
        <f>"20200111153631110"</f>
        <v>20200111153631110</v>
      </c>
      <c r="B1253" t="str">
        <f>"1578728191104293"</f>
        <v>1578728191104293</v>
      </c>
      <c r="C1253" t="s">
        <v>37</v>
      </c>
      <c r="D1253">
        <v>6.141648</v>
      </c>
      <c r="E1253">
        <v>0.65620999999999996</v>
      </c>
      <c r="F1253" t="s">
        <v>39</v>
      </c>
      <c r="G1253">
        <v>-193.29929999999999</v>
      </c>
      <c r="H1253" s="1">
        <v>-3.4305739999999902E-6</v>
      </c>
      <c r="I1253">
        <v>335.53960000000001</v>
      </c>
      <c r="J1253">
        <v>-197.3331</v>
      </c>
      <c r="K1253">
        <v>1.0983579999999999</v>
      </c>
      <c r="L1253">
        <v>360.44099999999997</v>
      </c>
      <c r="M1253">
        <v>0.67147800000000002</v>
      </c>
      <c r="N1253">
        <v>0</v>
      </c>
      <c r="O1253">
        <v>-0.7409384</v>
      </c>
      <c r="P1253">
        <v>0.52365859999999997</v>
      </c>
      <c r="Q1253">
        <v>3.7283799999999999E-2</v>
      </c>
      <c r="R1253">
        <v>-0.85111209999999904</v>
      </c>
      <c r="S1253">
        <v>0.52856449999999999</v>
      </c>
      <c r="T1253">
        <v>-0.14122179999999901</v>
      </c>
      <c r="U1253">
        <v>-3.2138369999999998</v>
      </c>
      <c r="V1253">
        <v>0.18422339999999901</v>
      </c>
      <c r="W1253">
        <v>4.561635E-2</v>
      </c>
      <c r="X1253">
        <v>0.98182530000000001</v>
      </c>
      <c r="Y1253">
        <v>0.54236669999999998</v>
      </c>
      <c r="Z1253">
        <v>2.352897E-2</v>
      </c>
      <c r="AA1253">
        <v>0.83981240000000001</v>
      </c>
      <c r="AB1253">
        <v>21</v>
      </c>
      <c r="AC1253">
        <v>4.03380000000001</v>
      </c>
      <c r="AD1253">
        <v>-1.0983614305739999</v>
      </c>
      <c r="AE1253">
        <v>-24.901399999999899</v>
      </c>
      <c r="AF1253">
        <v>13.7068355302542</v>
      </c>
      <c r="AG1253">
        <v>-1.0983614305739999</v>
      </c>
      <c r="AH1253">
        <v>21.120321315367502</v>
      </c>
      <c r="AI1253">
        <v>92.497852264198002</v>
      </c>
      <c r="AJ1253">
        <v>57.016912021357399</v>
      </c>
      <c r="AK1253">
        <v>25.202216381698999</v>
      </c>
    </row>
    <row r="1254" spans="1:37" x14ac:dyDescent="0.2">
      <c r="A1254" t="str">
        <f>"20200111153631127"</f>
        <v>20200111153631127</v>
      </c>
      <c r="B1254" t="str">
        <f>"1578728191123813"</f>
        <v>1578728191123813</v>
      </c>
      <c r="C1254" t="s">
        <v>37</v>
      </c>
      <c r="D1254">
        <v>6.1408569999999996</v>
      </c>
      <c r="E1254">
        <v>0.65498029999999996</v>
      </c>
      <c r="F1254" t="s">
        <v>39</v>
      </c>
      <c r="G1254">
        <v>-193.53819999999999</v>
      </c>
      <c r="H1254" s="1">
        <v>-4.0277899999999999E-6</v>
      </c>
      <c r="I1254">
        <v>336.97840000000002</v>
      </c>
      <c r="J1254">
        <v>-197.22380000000001</v>
      </c>
      <c r="K1254">
        <v>1.0983590000000001</v>
      </c>
      <c r="L1254">
        <v>360.30540000000002</v>
      </c>
      <c r="M1254">
        <v>0.66490569999999904</v>
      </c>
      <c r="N1254">
        <v>0</v>
      </c>
      <c r="O1254">
        <v>-0.74684289999999998</v>
      </c>
      <c r="P1254">
        <v>0.51784560000000002</v>
      </c>
      <c r="Q1254">
        <v>3.6542209999999999E-2</v>
      </c>
      <c r="R1254">
        <v>-0.85469390000000001</v>
      </c>
      <c r="S1254">
        <v>0.51948549999999905</v>
      </c>
      <c r="T1254">
        <v>-0.15035309999999999</v>
      </c>
      <c r="U1254">
        <v>-3.2117610000000001</v>
      </c>
      <c r="V1254">
        <v>0.18224689999999999</v>
      </c>
      <c r="W1254">
        <v>4.486039E-2</v>
      </c>
      <c r="X1254">
        <v>0.98222889999999996</v>
      </c>
      <c r="Y1254">
        <v>0.53716280000000005</v>
      </c>
      <c r="Z1254">
        <v>2.5539780000000002E-2</v>
      </c>
      <c r="AA1254">
        <v>0.84309179999999995</v>
      </c>
      <c r="AB1254">
        <v>21</v>
      </c>
      <c r="AC1254">
        <v>3.68560000000002</v>
      </c>
      <c r="AD1254">
        <v>-1.0983630277900001</v>
      </c>
      <c r="AE1254">
        <v>-23.326999999999899</v>
      </c>
      <c r="AF1254">
        <v>12.730957824207101</v>
      </c>
      <c r="AG1254">
        <v>-1.0983630277900001</v>
      </c>
      <c r="AH1254">
        <v>19.8305393911814</v>
      </c>
      <c r="AI1254">
        <v>92.668576905373598</v>
      </c>
      <c r="AJ1254">
        <v>57.300045423448701</v>
      </c>
      <c r="AK1254">
        <v>23.590972447268001</v>
      </c>
    </row>
    <row r="1255" spans="1:37" x14ac:dyDescent="0.2">
      <c r="A1255" t="str">
        <f>"20200111153631151"</f>
        <v>20200111153631151</v>
      </c>
      <c r="B1255" t="str">
        <f>"1578728191144310"</f>
        <v>1578728191144310</v>
      </c>
      <c r="C1255" t="s">
        <v>37</v>
      </c>
      <c r="D1255">
        <v>5.8314459999999997</v>
      </c>
      <c r="E1255">
        <v>0.6539161</v>
      </c>
      <c r="F1255" t="s">
        <v>39</v>
      </c>
      <c r="G1255">
        <v>-193.7482</v>
      </c>
      <c r="H1255" s="1">
        <v>-4.4955539999999998E-6</v>
      </c>
      <c r="I1255">
        <v>338.24340000000001</v>
      </c>
      <c r="J1255">
        <v>-197.08340000000001</v>
      </c>
      <c r="K1255">
        <v>1.0983639999999999</v>
      </c>
      <c r="L1255">
        <v>360.1277</v>
      </c>
      <c r="M1255">
        <v>0.65633830000000004</v>
      </c>
      <c r="N1255">
        <v>0</v>
      </c>
      <c r="O1255">
        <v>-0.75438400000000005</v>
      </c>
      <c r="P1255">
        <v>0.50939860000000003</v>
      </c>
      <c r="Q1255">
        <v>3.5923549999999999E-2</v>
      </c>
      <c r="R1255">
        <v>-0.85978049999999995</v>
      </c>
      <c r="S1255">
        <v>0.50576779999999999</v>
      </c>
      <c r="T1255">
        <v>-0.159832</v>
      </c>
      <c r="U1255">
        <v>-3.2104189999999999</v>
      </c>
      <c r="V1255">
        <v>0.1807174</v>
      </c>
      <c r="W1255">
        <v>4.4209199999999997E-2</v>
      </c>
      <c r="X1255">
        <v>0.982541</v>
      </c>
      <c r="Y1255">
        <v>0.53098400000000001</v>
      </c>
      <c r="Z1255">
        <v>2.7796580000000001E-2</v>
      </c>
      <c r="AA1255">
        <v>0.84692579999999995</v>
      </c>
      <c r="AB1255">
        <v>21</v>
      </c>
      <c r="AC1255">
        <v>3.3352000000000102</v>
      </c>
      <c r="AD1255">
        <v>-1.0983684955539901</v>
      </c>
      <c r="AE1255">
        <v>-21.8843</v>
      </c>
      <c r="AF1255">
        <v>11.819125440625699</v>
      </c>
      <c r="AG1255">
        <v>-1.0983684955539901</v>
      </c>
      <c r="AH1255">
        <v>18.6534306084476</v>
      </c>
      <c r="AI1255">
        <v>92.847490595183004</v>
      </c>
      <c r="AJ1255">
        <v>57.640969596626803</v>
      </c>
      <c r="AK1255">
        <v>22.109921144080101</v>
      </c>
    </row>
    <row r="1256" spans="1:37" x14ac:dyDescent="0.2">
      <c r="A1256" t="str">
        <f>"20200111153631165"</f>
        <v>20200111153631165</v>
      </c>
      <c r="B1256" t="str">
        <f>"1578728191154070"</f>
        <v>1578728191154070</v>
      </c>
      <c r="C1256" t="s">
        <v>37</v>
      </c>
      <c r="D1256">
        <v>6.1228920000000002</v>
      </c>
      <c r="E1256">
        <v>0.65286619999999995</v>
      </c>
      <c r="F1256" t="s">
        <v>39</v>
      </c>
      <c r="G1256">
        <v>-193.91720000000001</v>
      </c>
      <c r="H1256" s="1">
        <v>-4.7903849999999997E-6</v>
      </c>
      <c r="I1256">
        <v>339.02170000000001</v>
      </c>
      <c r="J1256">
        <v>-196.99889999999999</v>
      </c>
      <c r="K1256">
        <v>1.0983750000000001</v>
      </c>
      <c r="L1256">
        <v>360.0188</v>
      </c>
      <c r="M1256">
        <v>0.65111589999999997</v>
      </c>
      <c r="N1256">
        <v>0</v>
      </c>
      <c r="O1256">
        <v>-0.75889659999999903</v>
      </c>
      <c r="P1256">
        <v>0.50385839999999904</v>
      </c>
      <c r="Q1256">
        <v>3.5949420000000003E-2</v>
      </c>
      <c r="R1256">
        <v>-0.86303779999999997</v>
      </c>
      <c r="S1256">
        <v>0.4816742</v>
      </c>
      <c r="T1256">
        <v>-0.1670934</v>
      </c>
      <c r="U1256">
        <v>-3.2108150000000002</v>
      </c>
      <c r="V1256">
        <v>0.18025169999999999</v>
      </c>
      <c r="W1256">
        <v>4.4210159999999998E-2</v>
      </c>
      <c r="X1256">
        <v>0.98262649999999996</v>
      </c>
      <c r="Y1256">
        <v>0.53136149999999904</v>
      </c>
      <c r="Z1256">
        <v>2.9386900000000001E-2</v>
      </c>
      <c r="AA1256">
        <v>0.84663529999999998</v>
      </c>
      <c r="AB1256">
        <v>21</v>
      </c>
      <c r="AC1256">
        <v>3.0816999999999801</v>
      </c>
      <c r="AD1256">
        <v>-1.0983797903850001</v>
      </c>
      <c r="AE1256">
        <v>-20.9970999999999</v>
      </c>
      <c r="AF1256">
        <v>11.3032783596491</v>
      </c>
      <c r="AG1256">
        <v>-1.0983797903850001</v>
      </c>
      <c r="AH1256">
        <v>17.894350113650599</v>
      </c>
      <c r="AI1256">
        <v>92.970710844528696</v>
      </c>
      <c r="AJ1256">
        <v>57.720731276120603</v>
      </c>
      <c r="AK1256">
        <v>21.193827068973299</v>
      </c>
    </row>
    <row r="1257" spans="1:37" x14ac:dyDescent="0.2">
      <c r="A1257" t="str">
        <f>"20200111153631185"</f>
        <v>20200111153631185</v>
      </c>
      <c r="B1257" t="str">
        <f>"1578728191173589"</f>
        <v>1578728191173589</v>
      </c>
      <c r="C1257" t="s">
        <v>37</v>
      </c>
      <c r="D1257">
        <v>5.875813</v>
      </c>
      <c r="E1257">
        <v>0.65178749999999996</v>
      </c>
      <c r="F1257" t="s">
        <v>39</v>
      </c>
      <c r="G1257">
        <v>-194.02549999999999</v>
      </c>
      <c r="H1257" s="1">
        <v>-1.091637E-6</v>
      </c>
      <c r="I1257">
        <v>339.63709999999998</v>
      </c>
      <c r="J1257">
        <v>-196.88200000000001</v>
      </c>
      <c r="K1257">
        <v>1.09839</v>
      </c>
      <c r="L1257">
        <v>359.8657</v>
      </c>
      <c r="M1257">
        <v>0.64380740000000003</v>
      </c>
      <c r="N1257">
        <v>0</v>
      </c>
      <c r="O1257">
        <v>-0.76510739999999999</v>
      </c>
      <c r="P1257">
        <v>0.49632589999999999</v>
      </c>
      <c r="Q1257">
        <v>3.5864590000000002E-2</v>
      </c>
      <c r="R1257">
        <v>-0.86739509999999898</v>
      </c>
      <c r="S1257">
        <v>0.46829219999999999</v>
      </c>
      <c r="T1257">
        <v>-0.17298359999999999</v>
      </c>
      <c r="U1257">
        <v>-3.2099299999999999</v>
      </c>
      <c r="V1257">
        <v>0.17937829999999999</v>
      </c>
      <c r="W1257">
        <v>4.4098680000000001E-2</v>
      </c>
      <c r="X1257">
        <v>0.98279130000000003</v>
      </c>
      <c r="Y1257">
        <v>0.52665309999999999</v>
      </c>
      <c r="Z1257">
        <v>3.0992430000000001E-2</v>
      </c>
      <c r="AA1257">
        <v>0.84951520000000003</v>
      </c>
      <c r="AB1257">
        <v>21</v>
      </c>
      <c r="AC1257">
        <v>2.8565000000000098</v>
      </c>
      <c r="AD1257">
        <v>-1.0983910916370001</v>
      </c>
      <c r="AE1257">
        <v>-20.2286</v>
      </c>
      <c r="AF1257">
        <v>10.807217288436</v>
      </c>
      <c r="AG1257">
        <v>-1.0983910916370001</v>
      </c>
      <c r="AH1257">
        <v>17.267234903265098</v>
      </c>
      <c r="AI1257">
        <v>93.086452722808005</v>
      </c>
      <c r="AJ1257">
        <v>57.958373114361102</v>
      </c>
      <c r="AK1257">
        <v>20.399995336131699</v>
      </c>
    </row>
    <row r="1258" spans="1:37" x14ac:dyDescent="0.2">
      <c r="A1258" t="str">
        <f>"20200111153631201"</f>
        <v>20200111153631201</v>
      </c>
      <c r="B1258" t="str">
        <f>"1578728191194085"</f>
        <v>1578728191194085</v>
      </c>
      <c r="C1258" t="s">
        <v>37</v>
      </c>
      <c r="D1258">
        <v>6.1959220000000004</v>
      </c>
      <c r="E1258">
        <v>0.6498564</v>
      </c>
      <c r="F1258" t="s">
        <v>39</v>
      </c>
      <c r="G1258">
        <v>-194.1454</v>
      </c>
      <c r="H1258" s="1">
        <v>-1.3848639999999999E-6</v>
      </c>
      <c r="I1258">
        <v>340.24619999999999</v>
      </c>
      <c r="J1258">
        <v>-196.7835</v>
      </c>
      <c r="K1258">
        <v>1.0984069999999999</v>
      </c>
      <c r="L1258">
        <v>359.73439999999999</v>
      </c>
      <c r="M1258">
        <v>0.63756840000000004</v>
      </c>
      <c r="N1258">
        <v>0</v>
      </c>
      <c r="O1258">
        <v>-0.77031499999999997</v>
      </c>
      <c r="P1258">
        <v>0.48975249999999998</v>
      </c>
      <c r="Q1258">
        <v>3.586926E-2</v>
      </c>
      <c r="R1258">
        <v>-0.871123599999999</v>
      </c>
      <c r="S1258">
        <v>0.44772339999999999</v>
      </c>
      <c r="T1258">
        <v>-0.179703</v>
      </c>
      <c r="U1258">
        <v>-3.2098689999999999</v>
      </c>
      <c r="V1258">
        <v>0.17881949999999999</v>
      </c>
      <c r="W1258">
        <v>4.4080580000000001E-2</v>
      </c>
      <c r="X1258">
        <v>0.98289389999999999</v>
      </c>
      <c r="Y1258">
        <v>0.52507979999999999</v>
      </c>
      <c r="Z1258">
        <v>3.2644510000000002E-2</v>
      </c>
      <c r="AA1258">
        <v>0.85042669999999998</v>
      </c>
      <c r="AB1258">
        <v>21</v>
      </c>
      <c r="AC1258">
        <v>2.6381000000000001</v>
      </c>
      <c r="AD1258">
        <v>-1.0984083848639901</v>
      </c>
      <c r="AE1258">
        <v>-19.488199999999999</v>
      </c>
      <c r="AF1258">
        <v>10.3612003395431</v>
      </c>
      <c r="AG1258">
        <v>-1.0984083848639901</v>
      </c>
      <c r="AH1258">
        <v>16.643115123247298</v>
      </c>
      <c r="AI1258">
        <v>93.206789744427297</v>
      </c>
      <c r="AJ1258">
        <v>58.095599537985002</v>
      </c>
      <c r="AK1258">
        <v>19.6355355022915</v>
      </c>
    </row>
    <row r="1259" spans="1:37" x14ac:dyDescent="0.2">
      <c r="A1259" t="str">
        <f>"20200111153631217"</f>
        <v>20200111153631217</v>
      </c>
      <c r="B1259" t="str">
        <f>"1578728191213605"</f>
        <v>1578728191213605</v>
      </c>
      <c r="C1259" t="s">
        <v>37</v>
      </c>
      <c r="D1259">
        <v>5.9578379999999997</v>
      </c>
      <c r="E1259">
        <v>0.64934780000000003</v>
      </c>
      <c r="F1259" t="s">
        <v>39</v>
      </c>
      <c r="G1259">
        <v>-194.21440000000001</v>
      </c>
      <c r="H1259" s="1">
        <v>-1.677482E-6</v>
      </c>
      <c r="I1259">
        <v>340.88549999999998</v>
      </c>
      <c r="J1259">
        <v>-196.6942</v>
      </c>
      <c r="K1259">
        <v>1.098427</v>
      </c>
      <c r="L1259">
        <v>359.61360000000002</v>
      </c>
      <c r="M1259">
        <v>0.63185639999999998</v>
      </c>
      <c r="N1259">
        <v>0</v>
      </c>
      <c r="O1259">
        <v>-0.77500740000000001</v>
      </c>
      <c r="P1259">
        <v>0.48425200000000002</v>
      </c>
      <c r="Q1259">
        <v>3.5671080000000001E-2</v>
      </c>
      <c r="R1259">
        <v>-0.87420119999999901</v>
      </c>
      <c r="S1259">
        <v>0.43695070000000003</v>
      </c>
      <c r="T1259">
        <v>-0.1868165</v>
      </c>
      <c r="U1259">
        <v>-3.2058110000000002</v>
      </c>
      <c r="V1259">
        <v>0.1777474</v>
      </c>
      <c r="W1259">
        <v>4.3873349999999998E-2</v>
      </c>
      <c r="X1259">
        <v>0.98309769999999896</v>
      </c>
      <c r="Y1259">
        <v>0.52144559999999995</v>
      </c>
      <c r="Z1259">
        <v>3.443835E-2</v>
      </c>
      <c r="AA1259">
        <v>0.85258929999999999</v>
      </c>
      <c r="AB1259">
        <v>21</v>
      </c>
      <c r="AC1259">
        <v>2.47979999999998</v>
      </c>
      <c r="AD1259">
        <v>-1.098428677482</v>
      </c>
      <c r="AE1259">
        <v>-18.728100000000001</v>
      </c>
      <c r="AF1259">
        <v>9.8788089072788097</v>
      </c>
      <c r="AG1259">
        <v>-1.098428677482</v>
      </c>
      <c r="AH1259">
        <v>16.028080456509102</v>
      </c>
      <c r="AI1259">
        <v>93.338876562440106</v>
      </c>
      <c r="AJ1259">
        <v>58.352650826157998</v>
      </c>
      <c r="AK1259">
        <v>18.8599250822047</v>
      </c>
    </row>
    <row r="1260" spans="1:37" x14ac:dyDescent="0.2">
      <c r="A1260" t="str">
        <f>"20200111153631241"</f>
        <v>20200111153631241</v>
      </c>
      <c r="B1260" t="str">
        <f>"1578728191234101"</f>
        <v>1578728191234101</v>
      </c>
      <c r="C1260" t="s">
        <v>37</v>
      </c>
      <c r="D1260">
        <v>5.9711629999999998</v>
      </c>
      <c r="E1260">
        <v>0.64861849999999999</v>
      </c>
      <c r="F1260" t="s">
        <v>39</v>
      </c>
      <c r="G1260">
        <v>-194.2225</v>
      </c>
      <c r="H1260" s="1">
        <v>-1.6182579999999999E-6</v>
      </c>
      <c r="I1260">
        <v>340.74239999999998</v>
      </c>
      <c r="J1260">
        <v>-196.56229999999999</v>
      </c>
      <c r="K1260">
        <v>1.098452</v>
      </c>
      <c r="L1260">
        <v>359.43180000000001</v>
      </c>
      <c r="M1260">
        <v>0.62331029999999998</v>
      </c>
      <c r="N1260">
        <v>0</v>
      </c>
      <c r="O1260">
        <v>-0.78189809999999904</v>
      </c>
      <c r="P1260">
        <v>0.47479759999999999</v>
      </c>
      <c r="Q1260">
        <v>3.6652879999999999E-2</v>
      </c>
      <c r="R1260">
        <v>-0.87933169999999905</v>
      </c>
      <c r="S1260">
        <v>0.41999819999999999</v>
      </c>
      <c r="T1260">
        <v>-0.18664910000000001</v>
      </c>
      <c r="U1260">
        <v>-3.2066650000000001</v>
      </c>
      <c r="V1260">
        <v>0.17754029999999901</v>
      </c>
      <c r="W1260">
        <v>4.481943E-2</v>
      </c>
      <c r="X1260">
        <v>0.98309239999999998</v>
      </c>
      <c r="Y1260">
        <v>0.51653369999999998</v>
      </c>
      <c r="Z1260">
        <v>3.5069080000000002E-2</v>
      </c>
      <c r="AA1260">
        <v>0.85554839999999999</v>
      </c>
      <c r="AB1260">
        <v>21</v>
      </c>
      <c r="AC1260">
        <v>2.3397999999999901</v>
      </c>
      <c r="AD1260">
        <v>-1.098453618258</v>
      </c>
      <c r="AE1260">
        <v>-18.689399999999999</v>
      </c>
      <c r="AF1260">
        <v>9.7871108955112796</v>
      </c>
      <c r="AG1260">
        <v>-1.098453618258</v>
      </c>
      <c r="AH1260">
        <v>16.018110116548002</v>
      </c>
      <c r="AI1260">
        <v>93.348972034245307</v>
      </c>
      <c r="AJ1260">
        <v>58.574950972121698</v>
      </c>
      <c r="AK1260">
        <v>18.803563272378899</v>
      </c>
    </row>
    <row r="1261" spans="1:37" x14ac:dyDescent="0.2">
      <c r="A1261" t="str">
        <f>"20200111153631263"</f>
        <v>20200111153631263</v>
      </c>
      <c r="B1261" t="str">
        <f>"1578728191254131"</f>
        <v>1578728191254131</v>
      </c>
      <c r="C1261" t="s">
        <v>37</v>
      </c>
      <c r="D1261">
        <v>6.2458039999999997</v>
      </c>
      <c r="E1261">
        <v>0.64738479999999998</v>
      </c>
      <c r="F1261" t="s">
        <v>39</v>
      </c>
      <c r="G1261">
        <v>-194.2321</v>
      </c>
      <c r="H1261" s="1">
        <v>-1.4277529999999899E-6</v>
      </c>
      <c r="I1261">
        <v>340.29239999999999</v>
      </c>
      <c r="J1261">
        <v>-196.4332</v>
      </c>
      <c r="K1261">
        <v>1.098481</v>
      </c>
      <c r="L1261">
        <v>359.24950000000001</v>
      </c>
      <c r="M1261">
        <v>0.61482209999999904</v>
      </c>
      <c r="N1261">
        <v>0</v>
      </c>
      <c r="O1261">
        <v>-0.78859040000000002</v>
      </c>
      <c r="P1261">
        <v>0.46569729999999998</v>
      </c>
      <c r="Q1261">
        <v>3.7582329999999997E-2</v>
      </c>
      <c r="R1261">
        <v>-0.88414559999999998</v>
      </c>
      <c r="S1261">
        <v>0.390625</v>
      </c>
      <c r="T1261">
        <v>-0.1841361</v>
      </c>
      <c r="U1261">
        <v>-3.2083740000000001</v>
      </c>
      <c r="V1261">
        <v>0.17704489999999901</v>
      </c>
      <c r="W1261">
        <v>4.5723529999999998E-2</v>
      </c>
      <c r="X1261">
        <v>0.98314009999999996</v>
      </c>
      <c r="Y1261">
        <v>0.51504910000000004</v>
      </c>
      <c r="Z1261">
        <v>3.5166879999999998E-2</v>
      </c>
      <c r="AA1261">
        <v>0.85643899999999995</v>
      </c>
      <c r="AB1261">
        <v>21</v>
      </c>
      <c r="AC1261">
        <v>2.2010999999999901</v>
      </c>
      <c r="AD1261">
        <v>-1.0984824277530001</v>
      </c>
      <c r="AE1261">
        <v>-18.957100000000001</v>
      </c>
      <c r="AF1261">
        <v>9.8873107447855606</v>
      </c>
      <c r="AG1261">
        <v>-1.0984824277530001</v>
      </c>
      <c r="AH1261">
        <v>16.249805567495802</v>
      </c>
      <c r="AI1261">
        <v>93.305143401566994</v>
      </c>
      <c r="AJ1261">
        <v>58.6812781196003</v>
      </c>
      <c r="AK1261">
        <v>19.053129884337999</v>
      </c>
    </row>
    <row r="1262" spans="1:37" x14ac:dyDescent="0.2">
      <c r="A1262" t="str">
        <f>"20200111153631276"</f>
        <v>20200111153631276</v>
      </c>
      <c r="B1262" t="str">
        <f>"1578728191273651"</f>
        <v>1578728191273651</v>
      </c>
      <c r="C1262" t="s">
        <v>37</v>
      </c>
      <c r="D1262">
        <v>6.0392429999999999</v>
      </c>
      <c r="E1262">
        <v>0.64571699999999999</v>
      </c>
      <c r="F1262" t="s">
        <v>39</v>
      </c>
      <c r="G1262">
        <v>-194.261</v>
      </c>
      <c r="H1262" s="1">
        <v>-1.4110140000000001E-6</v>
      </c>
      <c r="I1262">
        <v>340.23540000000003</v>
      </c>
      <c r="J1262">
        <v>-196.35669999999999</v>
      </c>
      <c r="K1262">
        <v>1.098495</v>
      </c>
      <c r="L1262">
        <v>359.1397</v>
      </c>
      <c r="M1262">
        <v>0.60973089999999996</v>
      </c>
      <c r="N1262">
        <v>0</v>
      </c>
      <c r="O1262">
        <v>-0.79253379999999995</v>
      </c>
      <c r="P1262">
        <v>0.46052299999999902</v>
      </c>
      <c r="Q1262">
        <v>3.7919370000000001E-2</v>
      </c>
      <c r="R1262">
        <v>-0.8868376</v>
      </c>
      <c r="S1262">
        <v>0.36648559999999902</v>
      </c>
      <c r="T1262">
        <v>-0.18532789999999999</v>
      </c>
      <c r="U1262">
        <v>-3.207916</v>
      </c>
      <c r="V1262">
        <v>0.17645189999999999</v>
      </c>
      <c r="W1262">
        <v>4.6051729999999999E-2</v>
      </c>
      <c r="X1262">
        <v>0.98323139999999998</v>
      </c>
      <c r="Y1262">
        <v>0.51587150000000004</v>
      </c>
      <c r="Z1262">
        <v>3.571846E-2</v>
      </c>
      <c r="AA1262">
        <v>0.85592099999999904</v>
      </c>
      <c r="AB1262">
        <v>21</v>
      </c>
      <c r="AC1262">
        <v>2.0956999999999901</v>
      </c>
      <c r="AD1262">
        <v>-1.0984964110140001</v>
      </c>
      <c r="AE1262">
        <v>-18.9042999999999</v>
      </c>
      <c r="AF1262">
        <v>9.8334067801420701</v>
      </c>
      <c r="AG1262">
        <v>-1.0984964110140001</v>
      </c>
      <c r="AH1262">
        <v>16.2070127087514</v>
      </c>
      <c r="AI1262">
        <v>93.316416816750106</v>
      </c>
      <c r="AJ1262">
        <v>58.753229773264202</v>
      </c>
      <c r="AK1262">
        <v>18.9886767366866</v>
      </c>
    </row>
    <row r="1263" spans="1:37" x14ac:dyDescent="0.2">
      <c r="A1263" t="str">
        <f>"20200111153631296"</f>
        <v>20200111153631296</v>
      </c>
      <c r="B1263" t="str">
        <f>"1578728191294147"</f>
        <v>1578728191294147</v>
      </c>
      <c r="C1263" t="s">
        <v>37</v>
      </c>
      <c r="D1263">
        <v>6.2300490000000002</v>
      </c>
      <c r="E1263">
        <v>0.64396889999999996</v>
      </c>
      <c r="F1263" t="s">
        <v>39</v>
      </c>
      <c r="G1263">
        <v>-194.32939999999999</v>
      </c>
      <c r="H1263" s="1">
        <v>-1.8012549999999901E-6</v>
      </c>
      <c r="I1263">
        <v>341.10270000000003</v>
      </c>
      <c r="J1263">
        <v>-196.2526</v>
      </c>
      <c r="K1263">
        <v>1.098517</v>
      </c>
      <c r="L1263">
        <v>358.98790000000002</v>
      </c>
      <c r="M1263">
        <v>0.60273120000000002</v>
      </c>
      <c r="N1263">
        <v>0</v>
      </c>
      <c r="O1263">
        <v>-0.79787079999999999</v>
      </c>
      <c r="P1263">
        <v>0.4549975</v>
      </c>
      <c r="Q1263">
        <v>3.7829880000000003E-2</v>
      </c>
      <c r="R1263">
        <v>-0.8896889</v>
      </c>
      <c r="S1263">
        <v>0.36013790000000001</v>
      </c>
      <c r="T1263">
        <v>-0.19514289999999901</v>
      </c>
      <c r="U1263">
        <v>-3.2041930000000001</v>
      </c>
      <c r="V1263">
        <v>0.17390990000000001</v>
      </c>
      <c r="W1263">
        <v>4.5979800000000001E-2</v>
      </c>
      <c r="X1263">
        <v>0.98368750000000005</v>
      </c>
      <c r="Y1263">
        <v>0.50988679999999997</v>
      </c>
      <c r="Z1263">
        <v>3.8232040000000002E-2</v>
      </c>
      <c r="AA1263">
        <v>0.85939159999999903</v>
      </c>
      <c r="AB1263">
        <v>21</v>
      </c>
      <c r="AC1263">
        <v>1.9232</v>
      </c>
      <c r="AD1263">
        <v>-1.098518801255</v>
      </c>
      <c r="AE1263">
        <v>-17.885199999999902</v>
      </c>
      <c r="AF1263">
        <v>9.2116914390774607</v>
      </c>
      <c r="AG1263">
        <v>-1.098518801255</v>
      </c>
      <c r="AH1263">
        <v>15.372825547903901</v>
      </c>
      <c r="AI1263">
        <v>93.507627837574702</v>
      </c>
      <c r="AJ1263">
        <v>59.069151477096703</v>
      </c>
      <c r="AK1263">
        <v>17.955104233943398</v>
      </c>
    </row>
    <row r="1264" spans="1:37" x14ac:dyDescent="0.2">
      <c r="A1264" t="str">
        <f>"20200111153631311"</f>
        <v>20200111153631311</v>
      </c>
      <c r="B1264" t="str">
        <f>"1578728191303907"</f>
        <v>1578728191303907</v>
      </c>
      <c r="C1264" t="s">
        <v>37</v>
      </c>
      <c r="D1264">
        <v>6.2122149999999996</v>
      </c>
      <c r="E1264">
        <v>0.6431578</v>
      </c>
      <c r="F1264" t="s">
        <v>39</v>
      </c>
      <c r="G1264">
        <v>-194.32140000000001</v>
      </c>
      <c r="H1264" s="1">
        <v>-1.9527890000000001E-6</v>
      </c>
      <c r="I1264">
        <v>341.46089999999998</v>
      </c>
      <c r="J1264">
        <v>-196.16929999999999</v>
      </c>
      <c r="K1264">
        <v>1.0985320000000001</v>
      </c>
      <c r="L1264">
        <v>358.86430000000001</v>
      </c>
      <c r="M1264">
        <v>0.59706769999999998</v>
      </c>
      <c r="N1264">
        <v>0</v>
      </c>
      <c r="O1264">
        <v>-0.80211809999999995</v>
      </c>
      <c r="P1264">
        <v>0.44991740000000002</v>
      </c>
      <c r="Q1264">
        <v>3.7947429999999997E-2</v>
      </c>
      <c r="R1264">
        <v>-0.89226380000000005</v>
      </c>
      <c r="S1264">
        <v>0.35260009999999897</v>
      </c>
      <c r="T1264">
        <v>-0.200572</v>
      </c>
      <c r="U1264">
        <v>-3.2001650000000001</v>
      </c>
      <c r="V1264">
        <v>0.17255029999999999</v>
      </c>
      <c r="W1264">
        <v>4.610268E-2</v>
      </c>
      <c r="X1264">
        <v>0.98392119999999905</v>
      </c>
      <c r="Y1264">
        <v>0.50567499999999999</v>
      </c>
      <c r="Z1264">
        <v>3.980906E-2</v>
      </c>
      <c r="AA1264">
        <v>0.86180509999999999</v>
      </c>
      <c r="AB1264">
        <v>21</v>
      </c>
      <c r="AC1264">
        <v>1.8478999999999799</v>
      </c>
      <c r="AD1264">
        <v>-1.0985339527889999</v>
      </c>
      <c r="AE1264">
        <v>-17.403400000000001</v>
      </c>
      <c r="AF1264">
        <v>8.8743295718913604</v>
      </c>
      <c r="AG1264">
        <v>-1.0985339527889999</v>
      </c>
      <c r="AH1264">
        <v>15.0046651497304</v>
      </c>
      <c r="AI1264">
        <v>93.605797935795096</v>
      </c>
      <c r="AJ1264">
        <v>59.398315778705502</v>
      </c>
      <c r="AK1264">
        <v>17.467125649387999</v>
      </c>
    </row>
    <row r="1265" spans="1:37" x14ac:dyDescent="0.2">
      <c r="A1265" t="str">
        <f>"20200111153631329"</f>
        <v>20200111153631329</v>
      </c>
      <c r="B1265" t="str">
        <f>"1578728191324403"</f>
        <v>1578728191324403</v>
      </c>
      <c r="C1265" t="s">
        <v>37</v>
      </c>
      <c r="D1265">
        <v>6.1613220000000002</v>
      </c>
      <c r="E1265">
        <v>0.64127019999999901</v>
      </c>
      <c r="F1265" t="s">
        <v>39</v>
      </c>
      <c r="G1265">
        <v>-194.3288</v>
      </c>
      <c r="H1265" s="1">
        <v>-1.9918409999999998E-6</v>
      </c>
      <c r="I1265">
        <v>341.54730000000001</v>
      </c>
      <c r="J1265">
        <v>-196.0728</v>
      </c>
      <c r="K1265">
        <v>1.0985510000000001</v>
      </c>
      <c r="L1265">
        <v>358.7192</v>
      </c>
      <c r="M1265">
        <v>0.59044960000000002</v>
      </c>
      <c r="N1265">
        <v>0</v>
      </c>
      <c r="O1265">
        <v>-0.80700240000000001</v>
      </c>
      <c r="P1265">
        <v>0.44416499999999998</v>
      </c>
      <c r="Q1265">
        <v>3.78176E-2</v>
      </c>
      <c r="R1265">
        <v>-0.89514680000000002</v>
      </c>
      <c r="S1265">
        <v>0.34002690000000002</v>
      </c>
      <c r="T1265">
        <v>-0.20295879999999999</v>
      </c>
      <c r="U1265">
        <v>-3.1994020000000001</v>
      </c>
      <c r="V1265">
        <v>0.170787299999999</v>
      </c>
      <c r="W1265">
        <v>4.5984570000000002E-2</v>
      </c>
      <c r="X1265">
        <v>0.98423430000000001</v>
      </c>
      <c r="Y1265">
        <v>0.50190400000000002</v>
      </c>
      <c r="Z1265">
        <v>4.081502E-2</v>
      </c>
      <c r="AA1265">
        <v>0.86395979999999895</v>
      </c>
      <c r="AB1265">
        <v>21</v>
      </c>
      <c r="AC1265">
        <v>1.74399999999999</v>
      </c>
      <c r="AD1265">
        <v>-1.098552991841</v>
      </c>
      <c r="AE1265">
        <v>-17.171899999999901</v>
      </c>
      <c r="AF1265">
        <v>8.6970070422813102</v>
      </c>
      <c r="AG1265">
        <v>-1.098552991841</v>
      </c>
      <c r="AH1265">
        <v>14.828307521723101</v>
      </c>
      <c r="AI1265">
        <v>93.656474388205595</v>
      </c>
      <c r="AJ1265">
        <v>59.607788541010102</v>
      </c>
      <c r="AK1265">
        <v>17.2256626615107</v>
      </c>
    </row>
    <row r="1266" spans="1:37" x14ac:dyDescent="0.2">
      <c r="A1266" t="str">
        <f>"20200111153631343"</f>
        <v>20200111153631343</v>
      </c>
      <c r="B1266" t="str">
        <f>"1578728191334163"</f>
        <v>1578728191334163</v>
      </c>
      <c r="C1266" t="s">
        <v>37</v>
      </c>
      <c r="D1266">
        <v>6.2214980000000004</v>
      </c>
      <c r="E1266">
        <v>0.64060950000000005</v>
      </c>
      <c r="F1266" t="s">
        <v>39</v>
      </c>
      <c r="G1266">
        <v>-194.39279999999999</v>
      </c>
      <c r="H1266" s="1">
        <v>-2.4730179999999999E-6</v>
      </c>
      <c r="I1266">
        <v>342.6293</v>
      </c>
      <c r="J1266">
        <v>-195.99160000000001</v>
      </c>
      <c r="K1266">
        <v>1.098571</v>
      </c>
      <c r="L1266">
        <v>358.59500000000003</v>
      </c>
      <c r="M1266">
        <v>0.58481810000000001</v>
      </c>
      <c r="N1266">
        <v>0</v>
      </c>
      <c r="O1266">
        <v>-0.81109319999999996</v>
      </c>
      <c r="P1266">
        <v>0.43852049999999998</v>
      </c>
      <c r="Q1266">
        <v>3.7870059999999997E-2</v>
      </c>
      <c r="R1266">
        <v>-0.89792309999999997</v>
      </c>
      <c r="S1266">
        <v>0.33361819999999998</v>
      </c>
      <c r="T1266">
        <v>-0.2181438</v>
      </c>
      <c r="U1266">
        <v>-3.1950379999999998</v>
      </c>
      <c r="V1266">
        <v>0.17012910000000001</v>
      </c>
      <c r="W1266">
        <v>4.6035060000000003E-2</v>
      </c>
      <c r="X1266">
        <v>0.9843459</v>
      </c>
      <c r="Y1266">
        <v>0.49747449999999999</v>
      </c>
      <c r="Z1266">
        <v>4.4413429999999997E-2</v>
      </c>
      <c r="AA1266">
        <v>0.86634089999999997</v>
      </c>
      <c r="AB1266">
        <v>21</v>
      </c>
      <c r="AC1266">
        <v>1.59880000000001</v>
      </c>
      <c r="AD1266">
        <v>-1.0985734730179999</v>
      </c>
      <c r="AE1266">
        <v>-15.9657</v>
      </c>
      <c r="AF1266">
        <v>8.0032036667797097</v>
      </c>
      <c r="AG1266">
        <v>-1.0985734730179999</v>
      </c>
      <c r="AH1266">
        <v>13.8206949176616</v>
      </c>
      <c r="AI1266">
        <v>93.934998217404896</v>
      </c>
      <c r="AJ1266">
        <v>59.925987826295298</v>
      </c>
      <c r="AK1266">
        <v>16.008427174918001</v>
      </c>
    </row>
    <row r="1267" spans="1:37" x14ac:dyDescent="0.2">
      <c r="A1267" t="str">
        <f>"20200111153631357"</f>
        <v>20200111153631357</v>
      </c>
      <c r="B1267" t="str">
        <f>"1578728191353682"</f>
        <v>1578728191353682</v>
      </c>
      <c r="C1267" t="s">
        <v>37</v>
      </c>
      <c r="D1267">
        <v>6.1004110000000003</v>
      </c>
      <c r="E1267">
        <v>0.63900239999999997</v>
      </c>
      <c r="F1267" t="s">
        <v>39</v>
      </c>
      <c r="G1267">
        <v>-194.40809999999999</v>
      </c>
      <c r="H1267" s="1">
        <v>-2.5143950000000001E-6</v>
      </c>
      <c r="I1267">
        <v>342.71620000000001</v>
      </c>
      <c r="J1267">
        <v>-195.91679999999999</v>
      </c>
      <c r="K1267">
        <v>1.09859</v>
      </c>
      <c r="L1267">
        <v>358.47919999999999</v>
      </c>
      <c r="M1267">
        <v>0.57959329999999998</v>
      </c>
      <c r="N1267">
        <v>0</v>
      </c>
      <c r="O1267">
        <v>-0.81483530000000004</v>
      </c>
      <c r="P1267">
        <v>0.43359759999999897</v>
      </c>
      <c r="Q1267">
        <v>3.7681079999999999E-2</v>
      </c>
      <c r="R1267">
        <v>-0.90031890000000003</v>
      </c>
      <c r="S1267">
        <v>0.31858829999999999</v>
      </c>
      <c r="T1267">
        <v>-0.22102929999999901</v>
      </c>
      <c r="U1267">
        <v>-3.194763</v>
      </c>
      <c r="V1267">
        <v>0.16919100000000001</v>
      </c>
      <c r="W1267">
        <v>4.585119E-2</v>
      </c>
      <c r="X1267">
        <v>0.98451610000000001</v>
      </c>
      <c r="Y1267">
        <v>0.49592809999999998</v>
      </c>
      <c r="Z1267">
        <v>4.5413990000000001E-2</v>
      </c>
      <c r="AA1267">
        <v>0.86717520000000003</v>
      </c>
      <c r="AB1267">
        <v>21</v>
      </c>
      <c r="AC1267">
        <v>1.5086999999999999</v>
      </c>
      <c r="AD1267">
        <v>-1.0985925143949999</v>
      </c>
      <c r="AE1267">
        <v>-15.7629999999999</v>
      </c>
      <c r="AF1267">
        <v>7.8693650699778201</v>
      </c>
      <c r="AG1267">
        <v>-1.0985925143949999</v>
      </c>
      <c r="AH1267">
        <v>13.653751981486099</v>
      </c>
      <c r="AI1267">
        <v>93.9877097267632</v>
      </c>
      <c r="AJ1267">
        <v>60.042922906447302</v>
      </c>
      <c r="AK1267">
        <v>15.797428755630101</v>
      </c>
    </row>
    <row r="1268" spans="1:37" x14ac:dyDescent="0.2">
      <c r="A1268" t="str">
        <f>"20200111153631376"</f>
        <v>20200111153631376</v>
      </c>
      <c r="B1268" t="str">
        <f>"1578728191363443"</f>
        <v>1578728191363443</v>
      </c>
      <c r="C1268" t="s">
        <v>37</v>
      </c>
      <c r="D1268">
        <v>6.0809410000000002</v>
      </c>
      <c r="E1268">
        <v>0.63900239999999997</v>
      </c>
      <c r="F1268" t="s">
        <v>39</v>
      </c>
      <c r="G1268">
        <v>-194.4348</v>
      </c>
      <c r="H1268" s="1">
        <v>-2.8012770000000002E-6</v>
      </c>
      <c r="I1268">
        <v>343.36840000000001</v>
      </c>
      <c r="J1268">
        <v>-195.82509999999999</v>
      </c>
      <c r="K1268">
        <v>1.098616</v>
      </c>
      <c r="L1268">
        <v>358.3347</v>
      </c>
      <c r="M1268">
        <v>0.5731174</v>
      </c>
      <c r="N1268">
        <v>0</v>
      </c>
      <c r="O1268">
        <v>-0.819403199999999</v>
      </c>
      <c r="P1268">
        <v>0.42851699999999998</v>
      </c>
      <c r="Q1268">
        <v>3.6917520000000002E-2</v>
      </c>
      <c r="R1268">
        <v>-0.90277940000000001</v>
      </c>
      <c r="S1268">
        <v>0.312973</v>
      </c>
      <c r="T1268">
        <v>-0.232004299999999</v>
      </c>
      <c r="U1268">
        <v>-3.1911619999999998</v>
      </c>
      <c r="V1268">
        <v>0.16693920000000001</v>
      </c>
      <c r="W1268">
        <v>4.5112859999999998E-2</v>
      </c>
      <c r="X1268">
        <v>0.98493459999999999</v>
      </c>
      <c r="Y1268">
        <v>0.4904597</v>
      </c>
      <c r="Z1268">
        <v>4.8312699999999903E-2</v>
      </c>
      <c r="AA1268">
        <v>0.87012369999999895</v>
      </c>
      <c r="AB1268">
        <v>21</v>
      </c>
      <c r="AC1268">
        <v>1.3902999999999901</v>
      </c>
      <c r="AD1268">
        <v>-1.098618801277</v>
      </c>
      <c r="AE1268">
        <v>-14.966299999999899</v>
      </c>
      <c r="AF1268">
        <v>7.3991289806232103</v>
      </c>
      <c r="AG1268">
        <v>-1.098618801277</v>
      </c>
      <c r="AH1268">
        <v>12.991583460133899</v>
      </c>
      <c r="AI1268">
        <v>94.202652717096498</v>
      </c>
      <c r="AJ1268">
        <v>60.337081181497702</v>
      </c>
      <c r="AK1268">
        <v>14.991174528503199</v>
      </c>
    </row>
    <row r="1269" spans="1:37" x14ac:dyDescent="0.2">
      <c r="A1269" t="str">
        <f>"20200111153631396"</f>
        <v>20200111153631396</v>
      </c>
      <c r="B1269" t="str">
        <f>"1578728191393699"</f>
        <v>1578728191393699</v>
      </c>
      <c r="C1269" t="s">
        <v>37</v>
      </c>
      <c r="D1269">
        <v>6.1198459999999999</v>
      </c>
      <c r="E1269">
        <v>0.60950979999999999</v>
      </c>
      <c r="F1269" t="s">
        <v>39</v>
      </c>
      <c r="G1269">
        <v>-194.4365</v>
      </c>
      <c r="H1269" s="1">
        <v>-2.7674680000000001E-6</v>
      </c>
      <c r="I1269">
        <v>343.2885</v>
      </c>
      <c r="J1269">
        <v>-195.71440000000001</v>
      </c>
      <c r="K1269">
        <v>1.0986400000000001</v>
      </c>
      <c r="L1269">
        <v>358.15710000000001</v>
      </c>
      <c r="M1269">
        <v>0.56520969999999904</v>
      </c>
      <c r="N1269">
        <v>0</v>
      </c>
      <c r="O1269">
        <v>-0.82487790000000005</v>
      </c>
      <c r="P1269">
        <v>0.421355599999999</v>
      </c>
      <c r="Q1269">
        <v>3.6280930000000003E-2</v>
      </c>
      <c r="R1269">
        <v>-0.90616980000000003</v>
      </c>
      <c r="S1269">
        <v>0.29466249999999999</v>
      </c>
      <c r="T1269">
        <v>-0.2331183</v>
      </c>
      <c r="U1269">
        <v>-3.192688</v>
      </c>
      <c r="V1269">
        <v>0.16526450000000001</v>
      </c>
      <c r="W1269">
        <v>4.449264E-2</v>
      </c>
      <c r="X1269">
        <v>0.98524519999999904</v>
      </c>
      <c r="Y1269">
        <v>0.48706559999999999</v>
      </c>
      <c r="Z1269">
        <v>4.9178939999999997E-2</v>
      </c>
      <c r="AA1269">
        <v>0.87197969999999903</v>
      </c>
      <c r="AB1269">
        <v>22</v>
      </c>
      <c r="AC1269">
        <v>1.27790000000001</v>
      </c>
      <c r="AD1269">
        <v>-1.0986427674679999</v>
      </c>
      <c r="AE1269">
        <v>-14.868600000000001</v>
      </c>
      <c r="AF1269">
        <v>7.3105648926231197</v>
      </c>
      <c r="AG1269">
        <v>-1.0986427674679999</v>
      </c>
      <c r="AH1269">
        <v>12.9177934513697</v>
      </c>
      <c r="AI1269">
        <v>94.233183552209098</v>
      </c>
      <c r="AJ1269">
        <v>60.493183186290203</v>
      </c>
      <c r="AK1269">
        <v>14.8835735840561</v>
      </c>
    </row>
    <row r="1270" spans="1:37" x14ac:dyDescent="0.2">
      <c r="A1270" t="str">
        <f>"20200111153631419"</f>
        <v>20200111153631419</v>
      </c>
      <c r="B1270" t="str">
        <f>"1578728191414195"</f>
        <v>1578728191414195</v>
      </c>
      <c r="C1270" t="s">
        <v>37</v>
      </c>
      <c r="D1270">
        <v>6.0970699999999898</v>
      </c>
      <c r="E1270">
        <v>0.60887799999999903</v>
      </c>
      <c r="F1270" t="s">
        <v>39</v>
      </c>
      <c r="G1270">
        <v>-194.29580000000001</v>
      </c>
      <c r="H1270" s="1">
        <v>-4.890369E-6</v>
      </c>
      <c r="I1270">
        <v>349.1182</v>
      </c>
      <c r="J1270">
        <v>-195.6037</v>
      </c>
      <c r="K1270">
        <v>1.09867</v>
      </c>
      <c r="L1270">
        <v>357.976</v>
      </c>
      <c r="M1270">
        <v>0.55721949999999998</v>
      </c>
      <c r="N1270">
        <v>0</v>
      </c>
      <c r="O1270">
        <v>-0.83029640000000005</v>
      </c>
      <c r="P1270">
        <v>0.41325489999999998</v>
      </c>
      <c r="Q1270">
        <v>3.6288910000000001E-2</v>
      </c>
      <c r="R1270">
        <v>-0.90989219999999904</v>
      </c>
      <c r="S1270">
        <v>0.4864349</v>
      </c>
      <c r="T1270">
        <v>-0.37673459999999998</v>
      </c>
      <c r="U1270">
        <v>-3.0995180000000002</v>
      </c>
      <c r="V1270">
        <v>0.16453660000000001</v>
      </c>
      <c r="W1270">
        <v>4.4504549999999997E-2</v>
      </c>
      <c r="X1270">
        <v>0.98536650000000003</v>
      </c>
      <c r="Y1270">
        <v>0.4222284</v>
      </c>
      <c r="Z1270">
        <v>8.4352780000000002E-2</v>
      </c>
      <c r="AA1270">
        <v>0.90255620000000003</v>
      </c>
      <c r="AB1270">
        <v>22</v>
      </c>
      <c r="AC1270">
        <v>1.3078999999999801</v>
      </c>
      <c r="AD1270">
        <v>-1.098674890369</v>
      </c>
      <c r="AE1270">
        <v>-8.8577999999999903</v>
      </c>
      <c r="AF1270">
        <v>3.7929069340065298</v>
      </c>
      <c r="AG1270">
        <v>-1.098674890369</v>
      </c>
      <c r="AH1270">
        <v>7.9639409756003703</v>
      </c>
      <c r="AI1270">
        <v>97.0997315349084</v>
      </c>
      <c r="AJ1270">
        <v>64.533405537068205</v>
      </c>
      <c r="AK1270">
        <v>8.8891836176112804</v>
      </c>
    </row>
    <row r="1271" spans="1:37" x14ac:dyDescent="0.2">
      <c r="A1271" t="str">
        <f>"20200111153631432"</f>
        <v>20200111153631432</v>
      </c>
      <c r="B1271" t="str">
        <f>"1578728191423955"</f>
        <v>1578728191423955</v>
      </c>
      <c r="C1271" t="s">
        <v>37</v>
      </c>
      <c r="D1271">
        <v>6.0788449999999896</v>
      </c>
      <c r="E1271">
        <v>0.60837509999999995</v>
      </c>
      <c r="F1271" t="s">
        <v>39</v>
      </c>
      <c r="G1271">
        <v>-194.26779999999999</v>
      </c>
      <c r="H1271" s="1">
        <v>-4.8592300000000004E-6</v>
      </c>
      <c r="I1271">
        <v>349.04129999999998</v>
      </c>
      <c r="J1271">
        <v>-195.53210000000001</v>
      </c>
      <c r="K1271">
        <v>1.098697</v>
      </c>
      <c r="L1271">
        <v>357.85669999999999</v>
      </c>
      <c r="M1271">
        <v>0.55200629999999995</v>
      </c>
      <c r="N1271">
        <v>0</v>
      </c>
      <c r="O1271">
        <v>-0.83377190000000001</v>
      </c>
      <c r="P1271">
        <v>0.407306</v>
      </c>
      <c r="Q1271">
        <v>3.6099739999999998E-2</v>
      </c>
      <c r="R1271">
        <v>-0.91257840000000001</v>
      </c>
      <c r="S1271">
        <v>0.46372989999999997</v>
      </c>
      <c r="T1271">
        <v>-0.38139849999999997</v>
      </c>
      <c r="U1271">
        <v>-3.1016539999999999</v>
      </c>
      <c r="V1271">
        <v>0.16479369999999999</v>
      </c>
      <c r="W1271">
        <v>4.4306850000000002E-2</v>
      </c>
      <c r="X1271">
        <v>0.9853324</v>
      </c>
      <c r="Y1271">
        <v>0.42311499999999902</v>
      </c>
      <c r="Z1271">
        <v>8.594272E-2</v>
      </c>
      <c r="AA1271">
        <v>0.90199089999999904</v>
      </c>
      <c r="AB1271">
        <v>22</v>
      </c>
      <c r="AC1271">
        <v>1.26430000000002</v>
      </c>
      <c r="AD1271">
        <v>-1.09870185923</v>
      </c>
      <c r="AE1271">
        <v>-8.8154000000000092</v>
      </c>
      <c r="AF1271">
        <v>3.75508004064082</v>
      </c>
      <c r="AG1271">
        <v>-1.09870185923</v>
      </c>
      <c r="AH1271">
        <v>7.92772583368171</v>
      </c>
      <c r="AI1271">
        <v>97.139108561349005</v>
      </c>
      <c r="AJ1271">
        <v>64.654759732727001</v>
      </c>
      <c r="AK1271">
        <v>8.8406226466872209</v>
      </c>
    </row>
    <row r="1272" spans="1:37" x14ac:dyDescent="0.2">
      <c r="A1272" t="str">
        <f>"20200111153631446"</f>
        <v>20200111153631446</v>
      </c>
      <c r="B1272" t="str">
        <f>"1578728191433715"</f>
        <v>1578728191433715</v>
      </c>
      <c r="C1272" t="s">
        <v>37</v>
      </c>
      <c r="D1272">
        <v>6.1086859999999996</v>
      </c>
      <c r="E1272">
        <v>0.60822519999999902</v>
      </c>
      <c r="F1272" t="s">
        <v>39</v>
      </c>
      <c r="G1272">
        <v>-194.24809999999999</v>
      </c>
      <c r="H1272" s="1">
        <v>-4.8240059999999996E-6</v>
      </c>
      <c r="I1272">
        <v>348.94799999999998</v>
      </c>
      <c r="J1272">
        <v>-195.46350000000001</v>
      </c>
      <c r="K1272">
        <v>1.098722</v>
      </c>
      <c r="L1272">
        <v>357.74079999999998</v>
      </c>
      <c r="M1272">
        <v>0.54697130000000005</v>
      </c>
      <c r="N1272">
        <v>0</v>
      </c>
      <c r="O1272">
        <v>-0.83708379999999905</v>
      </c>
      <c r="P1272">
        <v>0.40159729999999999</v>
      </c>
      <c r="Q1272">
        <v>3.6226340000000003E-2</v>
      </c>
      <c r="R1272">
        <v>-0.91509969999999996</v>
      </c>
      <c r="S1272">
        <v>0.447235099999999</v>
      </c>
      <c r="T1272">
        <v>-0.38268959999999902</v>
      </c>
      <c r="U1272">
        <v>-3.1029659999999999</v>
      </c>
      <c r="V1272">
        <v>0.16500609999999999</v>
      </c>
      <c r="W1272">
        <v>4.4427380000000002E-2</v>
      </c>
      <c r="X1272">
        <v>0.98529140000000004</v>
      </c>
      <c r="Y1272">
        <v>0.42241409999999902</v>
      </c>
      <c r="Z1272">
        <v>8.6821980000000007E-2</v>
      </c>
      <c r="AA1272">
        <v>0.90223519999999902</v>
      </c>
      <c r="AB1272">
        <v>22</v>
      </c>
      <c r="AC1272">
        <v>1.21540000000001</v>
      </c>
      <c r="AD1272">
        <v>-1.098726824006</v>
      </c>
      <c r="AE1272">
        <v>-8.7927999999999393</v>
      </c>
      <c r="AF1272">
        <v>3.7350056334722699</v>
      </c>
      <c r="AG1272">
        <v>-1.098726824006</v>
      </c>
      <c r="AH1272">
        <v>7.90444414854489</v>
      </c>
      <c r="AI1272">
        <v>97.163214776522693</v>
      </c>
      <c r="AJ1272">
        <v>64.708342561466395</v>
      </c>
      <c r="AK1272">
        <v>8.8112260788908099</v>
      </c>
    </row>
    <row r="1273" spans="1:37" x14ac:dyDescent="0.2">
      <c r="A1273" t="str">
        <f>"20200111153631464"</f>
        <v>20200111153631464</v>
      </c>
      <c r="B1273" t="str">
        <f>"1578728191454225"</f>
        <v>1578728191454225</v>
      </c>
      <c r="C1273" t="s">
        <v>37</v>
      </c>
      <c r="D1273">
        <v>6.2539800000000003</v>
      </c>
      <c r="E1273">
        <v>0.60865599999999997</v>
      </c>
      <c r="F1273" t="s">
        <v>39</v>
      </c>
      <c r="G1273">
        <v>-194.23050000000001</v>
      </c>
      <c r="H1273" s="1">
        <v>-4.7736429999999996E-6</v>
      </c>
      <c r="I1273">
        <v>348.80919999999998</v>
      </c>
      <c r="J1273">
        <v>-195.37119999999999</v>
      </c>
      <c r="K1273">
        <v>1.0987579999999999</v>
      </c>
      <c r="L1273">
        <v>357.58269999999999</v>
      </c>
      <c r="M1273">
        <v>0.54014859999999998</v>
      </c>
      <c r="N1273">
        <v>0</v>
      </c>
      <c r="O1273">
        <v>-0.8415028</v>
      </c>
      <c r="P1273">
        <v>0.39413949999999998</v>
      </c>
      <c r="Q1273">
        <v>3.5606260000000001E-2</v>
      </c>
      <c r="R1273">
        <v>-0.91836079999999998</v>
      </c>
      <c r="S1273">
        <v>0.42868040000000002</v>
      </c>
      <c r="T1273">
        <v>-0.381999599999999</v>
      </c>
      <c r="U1273">
        <v>-3.105286</v>
      </c>
      <c r="V1273">
        <v>0.16501209999999999</v>
      </c>
      <c r="W1273">
        <v>4.380332E-2</v>
      </c>
      <c r="X1273">
        <v>0.98531840000000004</v>
      </c>
      <c r="Y1273">
        <v>0.42043589999999997</v>
      </c>
      <c r="Z1273">
        <v>8.7465989999999993E-2</v>
      </c>
      <c r="AA1273">
        <v>0.90309660000000003</v>
      </c>
      <c r="AB1273">
        <v>22</v>
      </c>
      <c r="AC1273">
        <v>1.1406999999999801</v>
      </c>
      <c r="AD1273">
        <v>-1.0987627736429999</v>
      </c>
      <c r="AE1273">
        <v>-8.7735000000000092</v>
      </c>
      <c r="AF1273">
        <v>3.7218995442653</v>
      </c>
      <c r="AG1273">
        <v>-1.0987627736429999</v>
      </c>
      <c r="AH1273">
        <v>7.8780160922866598</v>
      </c>
      <c r="AI1273">
        <v>97.187442360594801</v>
      </c>
      <c r="AJ1273">
        <v>64.712018789297204</v>
      </c>
      <c r="AK1273">
        <v>8.78196751307323</v>
      </c>
    </row>
    <row r="1274" spans="1:37" x14ac:dyDescent="0.2">
      <c r="A1274" t="str">
        <f>"20200111153631477"</f>
        <v>20200111153631477</v>
      </c>
      <c r="B1274" t="str">
        <f>"1578728191473731"</f>
        <v>1578728191473731</v>
      </c>
      <c r="C1274" t="s">
        <v>37</v>
      </c>
      <c r="D1274">
        <v>6.1721430000000002</v>
      </c>
      <c r="E1274">
        <v>0.60952059999999997</v>
      </c>
      <c r="F1274" t="s">
        <v>39</v>
      </c>
      <c r="G1274">
        <v>-194.19980000000001</v>
      </c>
      <c r="H1274" s="1">
        <v>-4.6506119999999902E-6</v>
      </c>
      <c r="I1274">
        <v>348.46370000000002</v>
      </c>
      <c r="J1274">
        <v>-195.3039</v>
      </c>
      <c r="K1274">
        <v>1.098784</v>
      </c>
      <c r="L1274">
        <v>357.46589999999998</v>
      </c>
      <c r="M1274">
        <v>0.53513639999999996</v>
      </c>
      <c r="N1274">
        <v>0</v>
      </c>
      <c r="O1274">
        <v>-0.84469899999999998</v>
      </c>
      <c r="P1274">
        <v>0.38854559999999999</v>
      </c>
      <c r="Q1274">
        <v>3.5476479999999998E-2</v>
      </c>
      <c r="R1274">
        <v>-0.92074650000000002</v>
      </c>
      <c r="S1274">
        <v>0.39947509999999897</v>
      </c>
      <c r="T1274">
        <v>-0.37470779999999998</v>
      </c>
      <c r="U1274">
        <v>-3.1098330000000001</v>
      </c>
      <c r="V1274">
        <v>0.16514619999999999</v>
      </c>
      <c r="W1274">
        <v>4.3669939999999997E-2</v>
      </c>
      <c r="X1274">
        <v>0.98530189999999995</v>
      </c>
      <c r="Y1274">
        <v>0.42353819999999998</v>
      </c>
      <c r="Z1274">
        <v>8.6194870000000007E-2</v>
      </c>
      <c r="AA1274">
        <v>0.90176809999999996</v>
      </c>
      <c r="AB1274">
        <v>22</v>
      </c>
      <c r="AC1274">
        <v>1.1040999999999801</v>
      </c>
      <c r="AD1274">
        <v>-1.0987886506119999</v>
      </c>
      <c r="AE1274">
        <v>-9.0021999999999593</v>
      </c>
      <c r="AF1274">
        <v>3.82879507424407</v>
      </c>
      <c r="AG1274">
        <v>-1.0987886506119999</v>
      </c>
      <c r="AH1274">
        <v>8.0769076216820892</v>
      </c>
      <c r="AI1274">
        <v>97.0081048146385</v>
      </c>
      <c r="AJ1274">
        <v>64.637073854956498</v>
      </c>
      <c r="AK1274">
        <v>9.0057451078994895</v>
      </c>
    </row>
    <row r="1275" spans="1:37" x14ac:dyDescent="0.2">
      <c r="A1275" t="str">
        <f>"20200111153631498"</f>
        <v>20200111153631498</v>
      </c>
      <c r="B1275" t="str">
        <f>"1578728191494226"</f>
        <v>1578728191494226</v>
      </c>
      <c r="C1275" t="s">
        <v>37</v>
      </c>
      <c r="D1275">
        <v>6.1771440000000002</v>
      </c>
      <c r="E1275">
        <v>0.61008479999999998</v>
      </c>
      <c r="F1275" t="s">
        <v>39</v>
      </c>
      <c r="G1275">
        <v>-194.2227</v>
      </c>
      <c r="H1275" s="1">
        <v>-4.6519719999999997E-6</v>
      </c>
      <c r="I1275">
        <v>348.45569999999998</v>
      </c>
      <c r="J1275">
        <v>-195.20920000000001</v>
      </c>
      <c r="K1275">
        <v>1.098811</v>
      </c>
      <c r="L1275">
        <v>357.29840000000002</v>
      </c>
      <c r="M1275">
        <v>0.52800879999999994</v>
      </c>
      <c r="N1275">
        <v>0</v>
      </c>
      <c r="O1275">
        <v>-0.84917289999999901</v>
      </c>
      <c r="P1275">
        <v>0.38101000000000002</v>
      </c>
      <c r="Q1275">
        <v>3.5694160000000003E-2</v>
      </c>
      <c r="R1275">
        <v>-0.92388189999999903</v>
      </c>
      <c r="S1275">
        <v>0.37380979999999903</v>
      </c>
      <c r="T1275">
        <v>-0.379889799999999</v>
      </c>
      <c r="U1275">
        <v>-3.1151430000000002</v>
      </c>
      <c r="V1275">
        <v>0.1648985</v>
      </c>
      <c r="W1275">
        <v>4.3883829999999999E-2</v>
      </c>
      <c r="X1275">
        <v>0.98533379999999904</v>
      </c>
      <c r="Y1275">
        <v>0.42344169999999998</v>
      </c>
      <c r="Z1275">
        <v>8.8043499999999997E-2</v>
      </c>
      <c r="AA1275">
        <v>0.90163490000000002</v>
      </c>
      <c r="AB1275">
        <v>22</v>
      </c>
      <c r="AC1275">
        <v>0.98650000000000604</v>
      </c>
      <c r="AD1275">
        <v>-1.098815651972</v>
      </c>
      <c r="AE1275">
        <v>-8.8427000000000309</v>
      </c>
      <c r="AF1275">
        <v>3.7739709738928102</v>
      </c>
      <c r="AG1275">
        <v>-1.098815651972</v>
      </c>
      <c r="AH1275">
        <v>7.9096787439040099</v>
      </c>
      <c r="AI1275">
        <v>97.146442223952604</v>
      </c>
      <c r="AJ1275">
        <v>64.492637279760103</v>
      </c>
      <c r="AK1275">
        <v>8.8325121330554097</v>
      </c>
    </row>
    <row r="1276" spans="1:37" x14ac:dyDescent="0.2">
      <c r="A1276" t="str">
        <f>"20200111153631513"</f>
        <v>20200111153631513</v>
      </c>
      <c r="B1276" t="str">
        <f>"1578728191503987"</f>
        <v>1578728191503987</v>
      </c>
      <c r="C1276" t="s">
        <v>37</v>
      </c>
      <c r="D1276">
        <v>6.1827480000000001</v>
      </c>
      <c r="E1276">
        <v>0.61017540000000003</v>
      </c>
      <c r="F1276" t="s">
        <v>39</v>
      </c>
      <c r="G1276">
        <v>-194.20060000000001</v>
      </c>
      <c r="H1276" s="1">
        <v>-4.541788E-6</v>
      </c>
      <c r="I1276">
        <v>348.14350000000002</v>
      </c>
      <c r="J1276">
        <v>-195.13470000000001</v>
      </c>
      <c r="K1276">
        <v>1.0988359999999999</v>
      </c>
      <c r="L1276">
        <v>357.16430000000003</v>
      </c>
      <c r="M1276">
        <v>0.52235339999999997</v>
      </c>
      <c r="N1276">
        <v>0</v>
      </c>
      <c r="O1276">
        <v>-0.85266390000000003</v>
      </c>
      <c r="P1276">
        <v>0.3749133</v>
      </c>
      <c r="Q1276">
        <v>3.6041179999999999E-2</v>
      </c>
      <c r="R1276">
        <v>-0.92635959999999995</v>
      </c>
      <c r="S1276">
        <v>0.34371950000000001</v>
      </c>
      <c r="T1276">
        <v>-0.37446049999999997</v>
      </c>
      <c r="U1276">
        <v>-3.1198429999999999</v>
      </c>
      <c r="V1276">
        <v>0.1648377</v>
      </c>
      <c r="W1276">
        <v>4.4220160000000001E-2</v>
      </c>
      <c r="X1276">
        <v>0.98532900000000001</v>
      </c>
      <c r="Y1276">
        <v>0.4261549</v>
      </c>
      <c r="Z1276">
        <v>8.7231030000000001E-2</v>
      </c>
      <c r="AA1276">
        <v>0.90043479999999998</v>
      </c>
      <c r="AB1276">
        <v>22</v>
      </c>
      <c r="AC1276">
        <v>0.93410000000000004</v>
      </c>
      <c r="AD1276">
        <v>-1.0988405417880001</v>
      </c>
      <c r="AE1276">
        <v>-9.0207999999999995</v>
      </c>
      <c r="AF1276">
        <v>3.8591350501156301</v>
      </c>
      <c r="AG1276">
        <v>-1.0988405417880001</v>
      </c>
      <c r="AH1276">
        <v>8.0617434591305308</v>
      </c>
      <c r="AI1276">
        <v>97.008930933373193</v>
      </c>
      <c r="AJ1276">
        <v>64.419686267153196</v>
      </c>
      <c r="AK1276">
        <v>9.0051141842922693</v>
      </c>
    </row>
    <row r="1277" spans="1:37" x14ac:dyDescent="0.2">
      <c r="A1277" t="str">
        <f>"20200111153631531"</f>
        <v>20200111153631531</v>
      </c>
      <c r="B1277" t="str">
        <f>"1578728191523850"</f>
        <v>1578728191523850</v>
      </c>
      <c r="C1277" t="s">
        <v>37</v>
      </c>
      <c r="D1277">
        <v>6.176755</v>
      </c>
      <c r="E1277">
        <v>0.61017290000000002</v>
      </c>
      <c r="F1277" t="s">
        <v>39</v>
      </c>
      <c r="G1277">
        <v>-194.18010000000001</v>
      </c>
      <c r="H1277" s="1">
        <v>-4.4616179999999998E-6</v>
      </c>
      <c r="I1277">
        <v>347.91860000000003</v>
      </c>
      <c r="J1277">
        <v>-195.04839999999999</v>
      </c>
      <c r="K1277">
        <v>1.0988629999999999</v>
      </c>
      <c r="L1277">
        <v>357.00659999999999</v>
      </c>
      <c r="M1277">
        <v>0.51574569999999997</v>
      </c>
      <c r="N1277">
        <v>0</v>
      </c>
      <c r="O1277">
        <v>-0.85667689999999996</v>
      </c>
      <c r="P1277">
        <v>0.36823820000000002</v>
      </c>
      <c r="Q1277">
        <v>3.666991E-2</v>
      </c>
      <c r="R1277">
        <v>-0.92900819999999995</v>
      </c>
      <c r="S1277">
        <v>0.3223724</v>
      </c>
      <c r="T1277">
        <v>-0.37110019999999999</v>
      </c>
      <c r="U1277">
        <v>-3.1224669999999999</v>
      </c>
      <c r="V1277">
        <v>0.16430129999999901</v>
      </c>
      <c r="W1277">
        <v>4.4837519999999999E-2</v>
      </c>
      <c r="X1277">
        <v>0.98539059999999901</v>
      </c>
      <c r="Y1277">
        <v>0.42533199999999999</v>
      </c>
      <c r="Z1277">
        <v>8.7120630000000004E-2</v>
      </c>
      <c r="AA1277">
        <v>0.90083440000000004</v>
      </c>
      <c r="AB1277">
        <v>22</v>
      </c>
      <c r="AC1277">
        <v>0.86829999999997598</v>
      </c>
      <c r="AD1277">
        <v>-1.0988674616179901</v>
      </c>
      <c r="AE1277">
        <v>-9.0879999999999601</v>
      </c>
      <c r="AF1277">
        <v>3.8871465044357998</v>
      </c>
      <c r="AG1277">
        <v>-1.0988674616179901</v>
      </c>
      <c r="AH1277">
        <v>8.11617205638216</v>
      </c>
      <c r="AI1277">
        <v>96.961912114914398</v>
      </c>
      <c r="AJ1277">
        <v>64.408449688644794</v>
      </c>
      <c r="AK1277">
        <v>9.0658516695316003</v>
      </c>
    </row>
    <row r="1278" spans="1:37" x14ac:dyDescent="0.2">
      <c r="A1278" t="str">
        <f>"20200111153631555"</f>
        <v>20200111153631555</v>
      </c>
      <c r="B1278" t="str">
        <f>"1578728191544345"</f>
        <v>1578728191544345</v>
      </c>
      <c r="C1278" t="s">
        <v>37</v>
      </c>
      <c r="D1278">
        <v>6.155087</v>
      </c>
      <c r="E1278">
        <v>0.61008549999999995</v>
      </c>
      <c r="F1278" t="s">
        <v>39</v>
      </c>
      <c r="G1278">
        <v>-194.1454</v>
      </c>
      <c r="H1278" s="1">
        <v>-4.342672E-6</v>
      </c>
      <c r="I1278">
        <v>347.5872</v>
      </c>
      <c r="J1278">
        <v>-194.93639999999999</v>
      </c>
      <c r="K1278">
        <v>1.0989009999999999</v>
      </c>
      <c r="L1278">
        <v>356.79809999999998</v>
      </c>
      <c r="M1278">
        <v>0.50708620000000004</v>
      </c>
      <c r="N1278">
        <v>0</v>
      </c>
      <c r="O1278">
        <v>-0.86183159999999903</v>
      </c>
      <c r="P1278">
        <v>0.36004730000000001</v>
      </c>
      <c r="Q1278">
        <v>3.7551950000000001E-2</v>
      </c>
      <c r="R1278">
        <v>-0.93217830000000002</v>
      </c>
      <c r="S1278">
        <v>0.29956050000000001</v>
      </c>
      <c r="T1278">
        <v>-0.36454239999999999</v>
      </c>
      <c r="U1278">
        <v>-3.1248469999999999</v>
      </c>
      <c r="V1278">
        <v>0.16303190000000001</v>
      </c>
      <c r="W1278">
        <v>4.5705429999999998E-2</v>
      </c>
      <c r="X1278">
        <v>0.98556149999999998</v>
      </c>
      <c r="Y1278">
        <v>0.42279339999999999</v>
      </c>
      <c r="Z1278">
        <v>8.6498580000000005E-2</v>
      </c>
      <c r="AA1278">
        <v>0.90208849999999996</v>
      </c>
      <c r="AB1278">
        <v>22</v>
      </c>
      <c r="AC1278">
        <v>0.79099999999999604</v>
      </c>
      <c r="AD1278">
        <v>-1.0989053426719999</v>
      </c>
      <c r="AE1278">
        <v>-9.2108999999999792</v>
      </c>
      <c r="AF1278">
        <v>3.9336503271886398</v>
      </c>
      <c r="AG1278">
        <v>-1.0989053426719999</v>
      </c>
      <c r="AH1278">
        <v>8.2236129103810693</v>
      </c>
      <c r="AI1278">
        <v>96.873662140984194</v>
      </c>
      <c r="AJ1278">
        <v>64.436530342999703</v>
      </c>
      <c r="AK1278">
        <v>9.1819936369249699</v>
      </c>
    </row>
    <row r="1279" spans="1:37" x14ac:dyDescent="0.2">
      <c r="A1279" t="str">
        <f>"20200111153631576"</f>
        <v>20200111153631576</v>
      </c>
      <c r="B1279" t="str">
        <f>"1578728191573624"</f>
        <v>1578728191573624</v>
      </c>
      <c r="C1279" t="s">
        <v>37</v>
      </c>
      <c r="D1279">
        <v>6.1102939999999997</v>
      </c>
      <c r="E1279">
        <v>0.60980829999999997</v>
      </c>
      <c r="F1279" t="s">
        <v>39</v>
      </c>
      <c r="G1279">
        <v>-194.09450000000001</v>
      </c>
      <c r="H1279" s="1">
        <v>-4.1823510000000001E-6</v>
      </c>
      <c r="I1279">
        <v>347.14260000000002</v>
      </c>
      <c r="J1279">
        <v>-194.83459999999999</v>
      </c>
      <c r="K1279">
        <v>1.09894</v>
      </c>
      <c r="L1279">
        <v>356.60419999999999</v>
      </c>
      <c r="M1279">
        <v>0.49911109999999997</v>
      </c>
      <c r="N1279">
        <v>0</v>
      </c>
      <c r="O1279">
        <v>-0.86647529999999995</v>
      </c>
      <c r="P1279">
        <v>0.35312919999999998</v>
      </c>
      <c r="Q1279">
        <v>3.820991E-2</v>
      </c>
      <c r="R1279">
        <v>-0.93479389999999996</v>
      </c>
      <c r="S1279">
        <v>0.27268979999999998</v>
      </c>
      <c r="T1279">
        <v>-0.35591889999999998</v>
      </c>
      <c r="U1279">
        <v>-3.12728899999999</v>
      </c>
      <c r="V1279">
        <v>0.16123019999999999</v>
      </c>
      <c r="W1279">
        <v>4.6358959999999998E-2</v>
      </c>
      <c r="X1279">
        <v>0.98582739999999902</v>
      </c>
      <c r="Y1279">
        <v>0.42218050000000001</v>
      </c>
      <c r="Z1279">
        <v>8.5217349999999997E-2</v>
      </c>
      <c r="AA1279">
        <v>0.90249740000000001</v>
      </c>
      <c r="AB1279">
        <v>22</v>
      </c>
      <c r="AC1279">
        <v>0.74009999999998399</v>
      </c>
      <c r="AD1279">
        <v>-1.098944182351</v>
      </c>
      <c r="AE1279">
        <v>-9.4615999999999705</v>
      </c>
      <c r="AF1279">
        <v>4.0273333724525697</v>
      </c>
      <c r="AG1279">
        <v>-1.098944182351</v>
      </c>
      <c r="AH1279">
        <v>8.4547369176610001</v>
      </c>
      <c r="AI1279">
        <v>96.692862295017605</v>
      </c>
      <c r="AJ1279">
        <v>64.5296497909018</v>
      </c>
      <c r="AK1279">
        <v>9.4291923702750502</v>
      </c>
    </row>
    <row r="1280" spans="1:37" x14ac:dyDescent="0.2">
      <c r="A1280" t="str">
        <f>"20200111153631598"</f>
        <v>20200111153631598</v>
      </c>
      <c r="B1280" t="str">
        <f>"1578728191594121"</f>
        <v>1578728191594121</v>
      </c>
      <c r="C1280" t="s">
        <v>37</v>
      </c>
      <c r="D1280">
        <v>6.0833830000000004</v>
      </c>
      <c r="E1280">
        <v>0.60950029999999999</v>
      </c>
      <c r="F1280" t="s">
        <v>39</v>
      </c>
      <c r="G1280">
        <v>-194.0343</v>
      </c>
      <c r="H1280" s="1">
        <v>-3.9965480000000002E-6</v>
      </c>
      <c r="I1280">
        <v>346.62799999999999</v>
      </c>
      <c r="J1280">
        <v>-194.7371</v>
      </c>
      <c r="K1280">
        <v>1.09897</v>
      </c>
      <c r="L1280">
        <v>356.41469999999998</v>
      </c>
      <c r="M1280">
        <v>0.49137950000000002</v>
      </c>
      <c r="N1280">
        <v>0</v>
      </c>
      <c r="O1280">
        <v>-0.87088330000000003</v>
      </c>
      <c r="P1280">
        <v>0.34600500000000001</v>
      </c>
      <c r="Q1280">
        <v>3.9568949999999999E-2</v>
      </c>
      <c r="R1280">
        <v>-0.93739810000000001</v>
      </c>
      <c r="S1280">
        <v>0.25097659999999999</v>
      </c>
      <c r="T1280">
        <v>-0.34462619999999999</v>
      </c>
      <c r="U1280">
        <v>-3.1285400000000001</v>
      </c>
      <c r="V1280">
        <v>0.1599438</v>
      </c>
      <c r="W1280">
        <v>4.7706440000000003E-2</v>
      </c>
      <c r="X1280">
        <v>0.98597259999999998</v>
      </c>
      <c r="Y1280">
        <v>0.42035899999999998</v>
      </c>
      <c r="Z1280">
        <v>8.3281099999999997E-2</v>
      </c>
      <c r="AA1280">
        <v>0.90352790000000005</v>
      </c>
      <c r="AB1280">
        <v>22</v>
      </c>
      <c r="AC1280">
        <v>0.70279999999999598</v>
      </c>
      <c r="AD1280">
        <v>-1.0989739965480001</v>
      </c>
      <c r="AE1280">
        <v>-9.7866999999999393</v>
      </c>
      <c r="AF1280">
        <v>4.1451539113314997</v>
      </c>
      <c r="AG1280">
        <v>-1.0989739965480001</v>
      </c>
      <c r="AH1280">
        <v>8.7590148283585396</v>
      </c>
      <c r="AI1280">
        <v>96.470227093242798</v>
      </c>
      <c r="AJ1280">
        <v>64.674413183831305</v>
      </c>
      <c r="AK1280">
        <v>9.7524553604269499</v>
      </c>
    </row>
    <row r="1281" spans="1:37" x14ac:dyDescent="0.2">
      <c r="A1281" t="str">
        <f>"20200111153631621"</f>
        <v>20200111153631621</v>
      </c>
      <c r="B1281" t="str">
        <f>"1578728191613641"</f>
        <v>1578728191613641</v>
      </c>
      <c r="C1281" t="s">
        <v>37</v>
      </c>
      <c r="D1281">
        <v>6.1370889999999996</v>
      </c>
      <c r="E1281">
        <v>0.60895710000000003</v>
      </c>
      <c r="F1281" t="s">
        <v>39</v>
      </c>
      <c r="G1281">
        <v>-193.989</v>
      </c>
      <c r="H1281" s="1">
        <v>-3.8501729999999901E-6</v>
      </c>
      <c r="I1281">
        <v>346.22140000000002</v>
      </c>
      <c r="J1281">
        <v>-194.63489999999999</v>
      </c>
      <c r="K1281">
        <v>1.0990009999999999</v>
      </c>
      <c r="L1281">
        <v>356.21159999999998</v>
      </c>
      <c r="M1281">
        <v>0.48317729999999998</v>
      </c>
      <c r="N1281">
        <v>0</v>
      </c>
      <c r="O1281">
        <v>-0.8754615</v>
      </c>
      <c r="P1281">
        <v>0.33840599999999998</v>
      </c>
      <c r="Q1281">
        <v>4.0540039999999999E-2</v>
      </c>
      <c r="R1281">
        <v>-0.94012669999999998</v>
      </c>
      <c r="S1281">
        <v>0.229675299999999</v>
      </c>
      <c r="T1281">
        <v>-0.33743139999999999</v>
      </c>
      <c r="U1281">
        <v>-3.1297609999999998</v>
      </c>
      <c r="V1281">
        <v>0.15865019999999999</v>
      </c>
      <c r="W1281">
        <v>4.8660910000000002E-2</v>
      </c>
      <c r="X1281">
        <v>0.98613499999999998</v>
      </c>
      <c r="Y1281">
        <v>0.41797669999999998</v>
      </c>
      <c r="Z1281">
        <v>8.2323740000000006E-2</v>
      </c>
      <c r="AA1281">
        <v>0.90471999999999997</v>
      </c>
      <c r="AB1281">
        <v>22</v>
      </c>
      <c r="AC1281">
        <v>0.64589999999998304</v>
      </c>
      <c r="AD1281">
        <v>-1.0990048501730001</v>
      </c>
      <c r="AE1281">
        <v>-9.9901999999999607</v>
      </c>
      <c r="AF1281">
        <v>4.2110556694708201</v>
      </c>
      <c r="AG1281">
        <v>-1.0990048501730001</v>
      </c>
      <c r="AH1281">
        <v>8.9507343866409599</v>
      </c>
      <c r="AI1281">
        <v>96.339681068562797</v>
      </c>
      <c r="AJ1281">
        <v>64.804403577520205</v>
      </c>
      <c r="AK1281">
        <v>9.95271056407665</v>
      </c>
    </row>
    <row r="1282" spans="1:37" x14ac:dyDescent="0.2">
      <c r="A1282" t="str">
        <f>"20200111153631643"</f>
        <v>20200111153631643</v>
      </c>
      <c r="B1282" t="str">
        <f>"1578728191634139"</f>
        <v>1578728191634139</v>
      </c>
      <c r="C1282" t="s">
        <v>37</v>
      </c>
      <c r="D1282">
        <v>6.165527</v>
      </c>
      <c r="E1282">
        <v>0.60839960000000004</v>
      </c>
      <c r="F1282" t="s">
        <v>39</v>
      </c>
      <c r="G1282">
        <v>-193.9443</v>
      </c>
      <c r="H1282" s="1">
        <v>-3.7204960000000001E-6</v>
      </c>
      <c r="I1282">
        <v>345.86369999999999</v>
      </c>
      <c r="J1282">
        <v>-194.5341</v>
      </c>
      <c r="K1282">
        <v>1.09902099999999</v>
      </c>
      <c r="L1282">
        <v>356.00659999999999</v>
      </c>
      <c r="M1282">
        <v>0.47497079999999903</v>
      </c>
      <c r="N1282">
        <v>0</v>
      </c>
      <c r="O1282">
        <v>-0.87994119999999998</v>
      </c>
      <c r="P1282">
        <v>0.33139859999999999</v>
      </c>
      <c r="Q1282">
        <v>4.0369189999999999E-2</v>
      </c>
      <c r="R1282">
        <v>-0.94262699999999999</v>
      </c>
      <c r="S1282">
        <v>0.20890810000000001</v>
      </c>
      <c r="T1282">
        <v>-0.33243820000000002</v>
      </c>
      <c r="U1282">
        <v>-3.1301570000000001</v>
      </c>
      <c r="V1282">
        <v>0.156766299999999</v>
      </c>
      <c r="W1282">
        <v>4.8481829999999997E-2</v>
      </c>
      <c r="X1282">
        <v>0.98644509999999996</v>
      </c>
      <c r="Y1282">
        <v>0.41546569999999999</v>
      </c>
      <c r="Z1282">
        <v>8.1877640000000002E-2</v>
      </c>
      <c r="AA1282">
        <v>0.90591630000000001</v>
      </c>
      <c r="AB1282">
        <v>22</v>
      </c>
      <c r="AC1282">
        <v>0.58979999999999599</v>
      </c>
      <c r="AD1282">
        <v>-1.09902472049599</v>
      </c>
      <c r="AE1282">
        <v>-10.1428999999999</v>
      </c>
      <c r="AF1282">
        <v>4.2491014077255604</v>
      </c>
      <c r="AG1282">
        <v>-1.09902472049599</v>
      </c>
      <c r="AH1282">
        <v>9.0993108838447991</v>
      </c>
      <c r="AI1282">
        <v>96.245429412357694</v>
      </c>
      <c r="AJ1282">
        <v>64.968856134982701</v>
      </c>
      <c r="AK1282">
        <v>10.102483688195299</v>
      </c>
    </row>
    <row r="1283" spans="1:37" x14ac:dyDescent="0.2">
      <c r="A1283" t="str">
        <f>"20200111153631656"</f>
        <v>20200111153631656</v>
      </c>
      <c r="B1283" t="str">
        <f>"1578728191653657"</f>
        <v>1578728191653657</v>
      </c>
      <c r="C1283" t="s">
        <v>37</v>
      </c>
      <c r="D1283">
        <v>6.088266</v>
      </c>
      <c r="E1283">
        <v>0.60784069999999901</v>
      </c>
      <c r="F1283" t="s">
        <v>39</v>
      </c>
      <c r="G1283">
        <v>-193.9008</v>
      </c>
      <c r="H1283" s="1">
        <v>-3.5841799999999998E-6</v>
      </c>
      <c r="I1283">
        <v>345.52449999999999</v>
      </c>
      <c r="J1283">
        <v>-194.4725</v>
      </c>
      <c r="K1283">
        <v>1.0990340000000001</v>
      </c>
      <c r="L1283">
        <v>355.87909999999999</v>
      </c>
      <c r="M1283">
        <v>0.46989769999999997</v>
      </c>
      <c r="N1283">
        <v>0</v>
      </c>
      <c r="O1283">
        <v>-0.88266149999999999</v>
      </c>
      <c r="P1283">
        <v>0.32730579999999998</v>
      </c>
      <c r="Q1283">
        <v>4.0014859999999999E-2</v>
      </c>
      <c r="R1283">
        <v>-0.9440712</v>
      </c>
      <c r="S1283">
        <v>0.18911739999999999</v>
      </c>
      <c r="T1283">
        <v>-0.32818649999999999</v>
      </c>
      <c r="U1283">
        <v>-3.130096</v>
      </c>
      <c r="V1283">
        <v>0.15536729999999899</v>
      </c>
      <c r="W1283">
        <v>4.8126519999999999E-2</v>
      </c>
      <c r="X1283">
        <v>0.98668369999999905</v>
      </c>
      <c r="Y1283">
        <v>0.41593269999999999</v>
      </c>
      <c r="Z1283">
        <v>8.1258540000000004E-2</v>
      </c>
      <c r="AA1283">
        <v>0.905757699999999</v>
      </c>
      <c r="AB1283">
        <v>22</v>
      </c>
      <c r="AC1283">
        <v>0.57169999999999199</v>
      </c>
      <c r="AD1283">
        <v>-1.09903758418</v>
      </c>
      <c r="AE1283">
        <v>-10.3546</v>
      </c>
      <c r="AF1283">
        <v>4.3127749424656798</v>
      </c>
      <c r="AG1283">
        <v>-1.09903758418</v>
      </c>
      <c r="AH1283">
        <v>9.3042401628748408</v>
      </c>
      <c r="AI1283">
        <v>96.116979882226602</v>
      </c>
      <c r="AJ1283">
        <v>65.130961097400601</v>
      </c>
      <c r="AK1283">
        <v>10.3139127553151</v>
      </c>
    </row>
    <row r="1284" spans="1:37" x14ac:dyDescent="0.2">
      <c r="A1284" t="str">
        <f>"20200111153631675"</f>
        <v>20200111153631675</v>
      </c>
      <c r="B1284" t="str">
        <f>"1578728191663416"</f>
        <v>1578728191663416</v>
      </c>
      <c r="C1284" t="s">
        <v>37</v>
      </c>
      <c r="D1284">
        <v>6.0972559999999998</v>
      </c>
      <c r="E1284">
        <v>0.6074252</v>
      </c>
      <c r="F1284" t="s">
        <v>39</v>
      </c>
      <c r="G1284">
        <v>-193.86750000000001</v>
      </c>
      <c r="H1284" s="1">
        <v>-3.482717E-6</v>
      </c>
      <c r="I1284">
        <v>345.30869999999999</v>
      </c>
      <c r="J1284">
        <v>-194.39449999999999</v>
      </c>
      <c r="K1284">
        <v>1.0990469999999899</v>
      </c>
      <c r="L1284">
        <v>355.71510000000001</v>
      </c>
      <c r="M1284">
        <v>0.46340150000000002</v>
      </c>
      <c r="N1284">
        <v>0</v>
      </c>
      <c r="O1284">
        <v>-0.88608929999999997</v>
      </c>
      <c r="P1284">
        <v>0.3229728</v>
      </c>
      <c r="Q1284">
        <v>3.9994179999999997E-2</v>
      </c>
      <c r="R1284">
        <v>-0.94556249999999997</v>
      </c>
      <c r="S1284">
        <v>0.17910770000000001</v>
      </c>
      <c r="T1284">
        <v>-0.32537480000000002</v>
      </c>
      <c r="U1284">
        <v>-3.1294249999999999</v>
      </c>
      <c r="V1284">
        <v>0.152641</v>
      </c>
      <c r="W1284">
        <v>4.8119380000000003E-2</v>
      </c>
      <c r="X1284">
        <v>0.98710949999999997</v>
      </c>
      <c r="Y1284">
        <v>0.41212929999999998</v>
      </c>
      <c r="Z1284">
        <v>8.1205070000000004E-2</v>
      </c>
      <c r="AA1284">
        <v>0.90749939999999996</v>
      </c>
      <c r="AB1284">
        <v>22</v>
      </c>
      <c r="AC1284">
        <v>0.52699999999998604</v>
      </c>
      <c r="AD1284">
        <v>-1.09905048271699</v>
      </c>
      <c r="AE1284">
        <v>-10.4064</v>
      </c>
      <c r="AF1284">
        <v>4.3076752527876199</v>
      </c>
      <c r="AG1284">
        <v>-1.09905048271699</v>
      </c>
      <c r="AH1284">
        <v>9.3615557572576904</v>
      </c>
      <c r="AI1284">
        <v>96.087655914024197</v>
      </c>
      <c r="AJ1284">
        <v>65.290702188415807</v>
      </c>
      <c r="AK1284">
        <v>10.363527596493499</v>
      </c>
    </row>
    <row r="1285" spans="1:37" x14ac:dyDescent="0.2">
      <c r="A1285" t="str">
        <f>"20200111153631698"</f>
        <v>20200111153631698</v>
      </c>
      <c r="B1285" t="str">
        <f>"1578728191693672"</f>
        <v>1578728191693672</v>
      </c>
      <c r="C1285" t="s">
        <v>37</v>
      </c>
      <c r="D1285">
        <v>6.0368459999999997</v>
      </c>
      <c r="E1285">
        <v>0.59203899999999998</v>
      </c>
      <c r="F1285" t="s">
        <v>39</v>
      </c>
      <c r="G1285">
        <v>-193.82669999999999</v>
      </c>
      <c r="H1285" s="1">
        <v>-3.3763760000000002E-6</v>
      </c>
      <c r="I1285">
        <v>345.08609999999999</v>
      </c>
      <c r="J1285">
        <v>-194.29859999999999</v>
      </c>
      <c r="K1285">
        <v>1.099064</v>
      </c>
      <c r="L1285">
        <v>355.50909999999999</v>
      </c>
      <c r="M1285">
        <v>0.4553005</v>
      </c>
      <c r="N1285">
        <v>0</v>
      </c>
      <c r="O1285">
        <v>-0.89027939999999905</v>
      </c>
      <c r="P1285">
        <v>0.31641219999999998</v>
      </c>
      <c r="Q1285">
        <v>4.076341E-2</v>
      </c>
      <c r="R1285">
        <v>-0.94774550000000002</v>
      </c>
      <c r="S1285">
        <v>0.1671753</v>
      </c>
      <c r="T1285">
        <v>-0.32357789999999997</v>
      </c>
      <c r="U1285">
        <v>-3.1293329999999999</v>
      </c>
      <c r="V1285">
        <v>0.1504701</v>
      </c>
      <c r="W1285">
        <v>4.8884749999999998E-2</v>
      </c>
      <c r="X1285">
        <v>0.98740519999999998</v>
      </c>
      <c r="Y1285">
        <v>0.40726799999999902</v>
      </c>
      <c r="Z1285">
        <v>8.1519159999999993E-2</v>
      </c>
      <c r="AA1285">
        <v>0.90966329999999995</v>
      </c>
      <c r="AB1285">
        <v>22</v>
      </c>
      <c r="AC1285">
        <v>0.47190000000000498</v>
      </c>
      <c r="AD1285">
        <v>-1.0990673763759999</v>
      </c>
      <c r="AE1285">
        <v>-10.423</v>
      </c>
      <c r="AF1285">
        <v>4.2782272827695502</v>
      </c>
      <c r="AG1285">
        <v>-1.0990673763759999</v>
      </c>
      <c r="AH1285">
        <v>9.3905333103163802</v>
      </c>
      <c r="AI1285">
        <v>96.079499984562602</v>
      </c>
      <c r="AJ1285">
        <v>65.506493893996705</v>
      </c>
      <c r="AK1285">
        <v>10.3775379369583</v>
      </c>
    </row>
    <row r="1286" spans="1:37" x14ac:dyDescent="0.2">
      <c r="A1286" t="str">
        <f>"20200111153631722"</f>
        <v>20200111153631722</v>
      </c>
      <c r="B1286" t="str">
        <f>"1578728191714169"</f>
        <v>1578728191714169</v>
      </c>
      <c r="C1286" t="s">
        <v>37</v>
      </c>
      <c r="D1286">
        <v>6.0980749999999997</v>
      </c>
      <c r="E1286">
        <v>0.5912809</v>
      </c>
      <c r="F1286" t="s">
        <v>39</v>
      </c>
      <c r="G1286">
        <v>-193.37389999999999</v>
      </c>
      <c r="H1286" s="1">
        <v>-3.0349450000000001E-6</v>
      </c>
      <c r="I1286">
        <v>344.5711</v>
      </c>
      <c r="J1286">
        <v>-194.1994</v>
      </c>
      <c r="K1286">
        <v>1.0990789999999999</v>
      </c>
      <c r="L1286">
        <v>355.291</v>
      </c>
      <c r="M1286">
        <v>0.44679750000000001</v>
      </c>
      <c r="N1286">
        <v>0</v>
      </c>
      <c r="O1286">
        <v>-0.89457770000000003</v>
      </c>
      <c r="P1286">
        <v>0.30948989999999998</v>
      </c>
      <c r="Q1286">
        <v>4.1111460000000002E-2</v>
      </c>
      <c r="R1286">
        <v>-0.95001389999999997</v>
      </c>
      <c r="S1286">
        <v>0.26135249999999999</v>
      </c>
      <c r="T1286">
        <v>-0.31063370000000001</v>
      </c>
      <c r="U1286">
        <v>-3.0914609999999998</v>
      </c>
      <c r="V1286">
        <v>0.1482589</v>
      </c>
      <c r="W1286">
        <v>4.9226230000000003E-2</v>
      </c>
      <c r="X1286">
        <v>0.98772269999999895</v>
      </c>
      <c r="Y1286">
        <v>0.370091</v>
      </c>
      <c r="Z1286">
        <v>8.0614759999999994E-2</v>
      </c>
      <c r="AA1286">
        <v>0.92549119999999996</v>
      </c>
      <c r="AB1286">
        <v>22</v>
      </c>
      <c r="AC1286">
        <v>0.82550000000000501</v>
      </c>
      <c r="AD1286">
        <v>-1.0990820349449999</v>
      </c>
      <c r="AE1286">
        <v>-10.7198999999999</v>
      </c>
      <c r="AF1286">
        <v>4.0094603868659098</v>
      </c>
      <c r="AG1286">
        <v>-1.0990820349449999</v>
      </c>
      <c r="AH1286">
        <v>9.8561310838326204</v>
      </c>
      <c r="AI1286">
        <v>95.897330206466705</v>
      </c>
      <c r="AJ1286">
        <v>67.863576764700895</v>
      </c>
      <c r="AK1286">
        <v>10.6970591217903</v>
      </c>
    </row>
    <row r="1287" spans="1:37" x14ac:dyDescent="0.2">
      <c r="A1287" t="str">
        <f>"20200111153631743"</f>
        <v>20200111153631743</v>
      </c>
      <c r="B1287" t="str">
        <f>"1578728191733688"</f>
        <v>1578728191733688</v>
      </c>
      <c r="C1287" t="s">
        <v>37</v>
      </c>
      <c r="D1287">
        <v>6.1393069999999996</v>
      </c>
      <c r="E1287">
        <v>0.58935729999999997</v>
      </c>
      <c r="F1287" t="s">
        <v>39</v>
      </c>
      <c r="G1287">
        <v>-193.3596</v>
      </c>
      <c r="H1287" s="1">
        <v>-3.0743669999999999E-6</v>
      </c>
      <c r="I1287">
        <v>344.67180000000002</v>
      </c>
      <c r="J1287">
        <v>-194.10810000000001</v>
      </c>
      <c r="K1287">
        <v>1.0991</v>
      </c>
      <c r="L1287">
        <v>355.08539999999999</v>
      </c>
      <c r="M1287">
        <v>0.43885429999999997</v>
      </c>
      <c r="N1287">
        <v>0</v>
      </c>
      <c r="O1287">
        <v>-0.89850149999999995</v>
      </c>
      <c r="P1287">
        <v>0.30367539999999998</v>
      </c>
      <c r="Q1287">
        <v>4.161633E-2</v>
      </c>
      <c r="R1287">
        <v>-0.95186659999999901</v>
      </c>
      <c r="S1287">
        <v>0.244506799999999</v>
      </c>
      <c r="T1287">
        <v>-0.3200247</v>
      </c>
      <c r="U1287">
        <v>-3.092041</v>
      </c>
      <c r="V1287">
        <v>0.14553920000000001</v>
      </c>
      <c r="W1287">
        <v>4.9736780000000001E-2</v>
      </c>
      <c r="X1287">
        <v>0.98810149999999997</v>
      </c>
      <c r="Y1287">
        <v>0.36689929999999998</v>
      </c>
      <c r="Z1287">
        <v>8.3687570000000003E-2</v>
      </c>
      <c r="AA1287">
        <v>0.92648869999999905</v>
      </c>
      <c r="AB1287">
        <v>22</v>
      </c>
      <c r="AC1287">
        <v>0.74850000000000705</v>
      </c>
      <c r="AD1287">
        <v>-1.0991030743670001</v>
      </c>
      <c r="AE1287">
        <v>-10.413599999999899</v>
      </c>
      <c r="AF1287">
        <v>3.8550004896007102</v>
      </c>
      <c r="AG1287">
        <v>-1.0991030743670001</v>
      </c>
      <c r="AH1287">
        <v>9.57944736224783</v>
      </c>
      <c r="AI1287">
        <v>96.075690881746198</v>
      </c>
      <c r="AJ1287">
        <v>68.078957294618405</v>
      </c>
      <c r="AK1287">
        <v>10.384356894337801</v>
      </c>
    </row>
    <row r="1288" spans="1:37" x14ac:dyDescent="0.2">
      <c r="A1288" t="str">
        <f>"20200111153631764"</f>
        <v>20200111153631764</v>
      </c>
      <c r="B1288" t="str">
        <f>"1578728191754188"</f>
        <v>1578728191754188</v>
      </c>
      <c r="C1288" t="s">
        <v>37</v>
      </c>
      <c r="D1288">
        <v>6.1360939999999999</v>
      </c>
      <c r="E1288">
        <v>0.5889934</v>
      </c>
      <c r="F1288" t="s">
        <v>39</v>
      </c>
      <c r="G1288">
        <v>-193.30119999999999</v>
      </c>
      <c r="H1288" s="1">
        <v>-3.06335399999999E-6</v>
      </c>
      <c r="I1288">
        <v>344.68239999999997</v>
      </c>
      <c r="J1288">
        <v>-194.02289999999999</v>
      </c>
      <c r="K1288">
        <v>1.099118</v>
      </c>
      <c r="L1288">
        <v>354.88929999999999</v>
      </c>
      <c r="M1288">
        <v>0.4313265</v>
      </c>
      <c r="N1288">
        <v>0</v>
      </c>
      <c r="O1288">
        <v>-0.90213960000000004</v>
      </c>
      <c r="P1288">
        <v>0.29791519999999999</v>
      </c>
      <c r="Q1288">
        <v>4.2718840000000001E-2</v>
      </c>
      <c r="R1288">
        <v>-0.95363580000000003</v>
      </c>
      <c r="S1288">
        <v>0.239623999999999</v>
      </c>
      <c r="T1288">
        <v>-0.32641909999999902</v>
      </c>
      <c r="U1288">
        <v>-3.089569</v>
      </c>
      <c r="V1288">
        <v>0.14324010000000001</v>
      </c>
      <c r="W1288">
        <v>5.084354E-2</v>
      </c>
      <c r="X1288">
        <v>0.98838110000000001</v>
      </c>
      <c r="Y1288">
        <v>0.36052679999999998</v>
      </c>
      <c r="Z1288">
        <v>8.6110409999999998E-2</v>
      </c>
      <c r="AA1288">
        <v>0.92876550000000002</v>
      </c>
      <c r="AB1288">
        <v>22</v>
      </c>
      <c r="AC1288">
        <v>0.72169999999999801</v>
      </c>
      <c r="AD1288">
        <v>-1.0991210633540001</v>
      </c>
      <c r="AE1288">
        <v>-10.206899999999999</v>
      </c>
      <c r="AF1288">
        <v>3.7088297131735999</v>
      </c>
      <c r="AG1288">
        <v>-1.0991210633540001</v>
      </c>
      <c r="AH1288">
        <v>9.4112320645972201</v>
      </c>
      <c r="AI1288">
        <v>96.201164533180602</v>
      </c>
      <c r="AJ1288">
        <v>68.491321379140899</v>
      </c>
      <c r="AK1288">
        <v>10.1752038764307</v>
      </c>
    </row>
    <row r="1289" spans="1:37" x14ac:dyDescent="0.2">
      <c r="A1289" t="str">
        <f>"20200111153631788"</f>
        <v>20200111153631788</v>
      </c>
      <c r="B1289" t="str">
        <f>"1578728191783464"</f>
        <v>1578728191783464</v>
      </c>
      <c r="C1289" t="s">
        <v>37</v>
      </c>
      <c r="D1289">
        <v>6.0721099999999897</v>
      </c>
      <c r="E1289">
        <v>0.58375719999999998</v>
      </c>
      <c r="F1289" t="s">
        <v>39</v>
      </c>
      <c r="G1289">
        <v>-193.2715</v>
      </c>
      <c r="H1289" s="1">
        <v>-2.9831639999999999E-6</v>
      </c>
      <c r="I1289">
        <v>344.51389999999998</v>
      </c>
      <c r="J1289">
        <v>-193.9306</v>
      </c>
      <c r="K1289">
        <v>1.0991359999999999</v>
      </c>
      <c r="L1289">
        <v>354.67180000000002</v>
      </c>
      <c r="M1289">
        <v>0.42303750000000001</v>
      </c>
      <c r="N1289">
        <v>0</v>
      </c>
      <c r="O1289">
        <v>-0.90605650000000004</v>
      </c>
      <c r="P1289">
        <v>0.29051919999999998</v>
      </c>
      <c r="Q1289">
        <v>4.3418289999999998E-2</v>
      </c>
      <c r="R1289">
        <v>-0.95588359999999895</v>
      </c>
      <c r="S1289">
        <v>0.22383119999999901</v>
      </c>
      <c r="T1289">
        <v>-0.32740580000000002</v>
      </c>
      <c r="U1289">
        <v>-3.0906370000000001</v>
      </c>
      <c r="V1289">
        <v>0.14182629999999999</v>
      </c>
      <c r="W1289">
        <v>5.1535959999999999E-2</v>
      </c>
      <c r="X1289">
        <v>0.98854909999999996</v>
      </c>
      <c r="Y1289">
        <v>0.35672350000000003</v>
      </c>
      <c r="Z1289">
        <v>8.7037690000000001E-2</v>
      </c>
      <c r="AA1289">
        <v>0.93014660000000005</v>
      </c>
      <c r="AB1289">
        <v>22</v>
      </c>
      <c r="AC1289">
        <v>0.65909999999999502</v>
      </c>
      <c r="AD1289">
        <v>-1.0991389831639999</v>
      </c>
      <c r="AE1289">
        <v>-10.1579</v>
      </c>
      <c r="AF1289">
        <v>3.6575331426054101</v>
      </c>
      <c r="AG1289">
        <v>-1.0991389831639999</v>
      </c>
      <c r="AH1289">
        <v>9.3736435340151996</v>
      </c>
      <c r="AI1289">
        <v>96.234113669484998</v>
      </c>
      <c r="AJ1289">
        <v>68.684602624362995</v>
      </c>
      <c r="AK1289">
        <v>10.121800644961899</v>
      </c>
    </row>
    <row r="1290" spans="1:37" x14ac:dyDescent="0.2">
      <c r="A1290" t="str">
        <f>"20200111153631809"</f>
        <v>20200111153631809</v>
      </c>
      <c r="B1290" t="str">
        <f>"1578728191803960"</f>
        <v>1578728191803960</v>
      </c>
      <c r="C1290" t="s">
        <v>37</v>
      </c>
      <c r="D1290">
        <v>6.0746589999999996</v>
      </c>
      <c r="E1290">
        <v>0.58345499999999995</v>
      </c>
      <c r="F1290" t="s">
        <v>39</v>
      </c>
      <c r="G1290">
        <v>-193.2612</v>
      </c>
      <c r="H1290" s="1">
        <v>-3.6721809999999999E-6</v>
      </c>
      <c r="I1290">
        <v>346.12639999999999</v>
      </c>
      <c r="J1290">
        <v>-193.8434</v>
      </c>
      <c r="K1290">
        <v>1.099154</v>
      </c>
      <c r="L1290">
        <v>354.46159999999998</v>
      </c>
      <c r="M1290">
        <v>0.41509550000000001</v>
      </c>
      <c r="N1290">
        <v>0</v>
      </c>
      <c r="O1290">
        <v>-0.909722899999999</v>
      </c>
      <c r="P1290">
        <v>0.28362329999999902</v>
      </c>
      <c r="Q1290">
        <v>4.2629109999999998E-2</v>
      </c>
      <c r="R1290">
        <v>-0.95798809999999901</v>
      </c>
      <c r="S1290">
        <v>0.24150089999999999</v>
      </c>
      <c r="T1290">
        <v>-0.39655600000000002</v>
      </c>
      <c r="U1290">
        <v>-3.0830989999999998</v>
      </c>
      <c r="V1290">
        <v>0.14030309999999999</v>
      </c>
      <c r="W1290">
        <v>5.0747349999999997E-2</v>
      </c>
      <c r="X1290">
        <v>0.98880729999999994</v>
      </c>
      <c r="Y1290">
        <v>0.34318209999999999</v>
      </c>
      <c r="Z1290">
        <v>0.10641869999999901</v>
      </c>
      <c r="AA1290">
        <v>0.93322079999999996</v>
      </c>
      <c r="AB1290">
        <v>22</v>
      </c>
      <c r="AC1290">
        <v>0.58220000000000005</v>
      </c>
      <c r="AD1290">
        <v>-1.0991576721809999</v>
      </c>
      <c r="AE1290">
        <v>-8.3351999999999808</v>
      </c>
      <c r="AF1290">
        <v>2.8805614010215499</v>
      </c>
      <c r="AG1290">
        <v>-1.0991576721809999</v>
      </c>
      <c r="AH1290">
        <v>7.6916767711571099</v>
      </c>
      <c r="AI1290">
        <v>97.622339070115501</v>
      </c>
      <c r="AJ1290">
        <v>69.468889006001604</v>
      </c>
      <c r="AK1290">
        <v>8.28659599143867</v>
      </c>
    </row>
    <row r="1291" spans="1:37" x14ac:dyDescent="0.2">
      <c r="A1291" t="str">
        <f>"20200111153631825"</f>
        <v>20200111153631825</v>
      </c>
      <c r="B1291" t="str">
        <f>"1578728191814061"</f>
        <v>1578728191814061</v>
      </c>
      <c r="C1291" t="s">
        <v>37</v>
      </c>
      <c r="D1291">
        <v>6.0318079999999998</v>
      </c>
      <c r="E1291">
        <v>0.5829278</v>
      </c>
      <c r="F1291" t="s">
        <v>39</v>
      </c>
      <c r="G1291">
        <v>-193.21549999999999</v>
      </c>
      <c r="H1291" s="1">
        <v>-3.4753239999999998E-6</v>
      </c>
      <c r="I1291">
        <v>345.69580000000002</v>
      </c>
      <c r="J1291">
        <v>-193.78639999999999</v>
      </c>
      <c r="K1291">
        <v>1.0991660000000001</v>
      </c>
      <c r="L1291">
        <v>354.32130000000001</v>
      </c>
      <c r="M1291">
        <v>0.4098425</v>
      </c>
      <c r="N1291">
        <v>0</v>
      </c>
      <c r="O1291">
        <v>-0.91210170000000002</v>
      </c>
      <c r="P1291">
        <v>0.27965719999999999</v>
      </c>
      <c r="Q1291">
        <v>4.1859210000000001E-2</v>
      </c>
      <c r="R1291">
        <v>-0.95918729999999996</v>
      </c>
      <c r="S1291">
        <v>0.22085569999999999</v>
      </c>
      <c r="T1291">
        <v>-0.386627099999999</v>
      </c>
      <c r="U1291">
        <v>-3.0833439999999999</v>
      </c>
      <c r="V1291">
        <v>0.1386927</v>
      </c>
      <c r="W1291">
        <v>4.998681E-2</v>
      </c>
      <c r="X1291">
        <v>0.98907319999999999</v>
      </c>
      <c r="Y1291">
        <v>0.34397059999999902</v>
      </c>
      <c r="Z1291">
        <v>0.1042235</v>
      </c>
      <c r="AA1291">
        <v>0.93317830000000002</v>
      </c>
      <c r="AB1291">
        <v>22</v>
      </c>
      <c r="AC1291">
        <v>0.57089999999999397</v>
      </c>
      <c r="AD1291">
        <v>-1.099169475324</v>
      </c>
      <c r="AE1291">
        <v>-8.6254999999999793</v>
      </c>
      <c r="AF1291">
        <v>2.9665636998776201</v>
      </c>
      <c r="AG1291">
        <v>-1.099169475324</v>
      </c>
      <c r="AH1291">
        <v>7.97280964247381</v>
      </c>
      <c r="AI1291">
        <v>97.362407408123701</v>
      </c>
      <c r="AJ1291">
        <v>69.590515757773503</v>
      </c>
      <c r="AK1291">
        <v>8.5775501931518292</v>
      </c>
    </row>
    <row r="1292" spans="1:37" x14ac:dyDescent="0.2">
      <c r="A1292" t="str">
        <f>"20200111153631855"</f>
        <v>20200111153631855</v>
      </c>
      <c r="B1292" t="str">
        <f>"1578728191844320"</f>
        <v>1578728191844320</v>
      </c>
      <c r="C1292" t="s">
        <v>37</v>
      </c>
      <c r="D1292">
        <v>5.9364089999999896</v>
      </c>
      <c r="E1292">
        <v>0.582928</v>
      </c>
      <c r="F1292" t="s">
        <v>39</v>
      </c>
      <c r="G1292">
        <v>-193.17769999999999</v>
      </c>
      <c r="H1292" s="1">
        <v>-3.367677E-6</v>
      </c>
      <c r="I1292">
        <v>345.4683</v>
      </c>
      <c r="J1292">
        <v>-193.67359999999999</v>
      </c>
      <c r="K1292">
        <v>1.099197</v>
      </c>
      <c r="L1292">
        <v>354.03730000000002</v>
      </c>
      <c r="M1292">
        <v>0.39932610000000002</v>
      </c>
      <c r="N1292">
        <v>0</v>
      </c>
      <c r="O1292">
        <v>-0.91675499999999899</v>
      </c>
      <c r="P1292">
        <v>0.270862099999999</v>
      </c>
      <c r="Q1292">
        <v>3.9618599999999997E-2</v>
      </c>
      <c r="R1292">
        <v>-0.96180279999999996</v>
      </c>
      <c r="S1292">
        <v>0.21192929999999899</v>
      </c>
      <c r="T1292">
        <v>-0.38272299999999998</v>
      </c>
      <c r="U1292">
        <v>-3.0825499999999999</v>
      </c>
      <c r="V1292">
        <v>0.13637669999999999</v>
      </c>
      <c r="W1292">
        <v>4.7759309999999999E-2</v>
      </c>
      <c r="X1292">
        <v>0.98950519999999997</v>
      </c>
      <c r="Y1292">
        <v>0.3358372</v>
      </c>
      <c r="Z1292">
        <v>0.1042507</v>
      </c>
      <c r="AA1292">
        <v>0.93613310000000005</v>
      </c>
      <c r="AB1292">
        <v>22</v>
      </c>
      <c r="AC1292">
        <v>0.495900000000006</v>
      </c>
      <c r="AD1292">
        <v>-1.0992003676769999</v>
      </c>
      <c r="AE1292">
        <v>-8.5690000000000097</v>
      </c>
      <c r="AF1292">
        <v>2.9194742335394799</v>
      </c>
      <c r="AG1292">
        <v>-1.0992003676769999</v>
      </c>
      <c r="AH1292">
        <v>7.9241426367254197</v>
      </c>
      <c r="AI1292">
        <v>97.416058057450201</v>
      </c>
      <c r="AJ1292">
        <v>69.774801481824994</v>
      </c>
      <c r="AK1292">
        <v>8.51607936645566</v>
      </c>
    </row>
    <row r="1293" spans="1:37" x14ac:dyDescent="0.2">
      <c r="A1293" t="str">
        <f>"20200111153631877"</f>
        <v>20200111153631877</v>
      </c>
      <c r="B1293" t="str">
        <f>"1578728191873596"</f>
        <v>1578728191873596</v>
      </c>
      <c r="C1293" t="s">
        <v>37</v>
      </c>
      <c r="D1293">
        <v>5.8409849999999999</v>
      </c>
      <c r="E1293">
        <v>0.57740800000000003</v>
      </c>
      <c r="F1293" t="s">
        <v>39</v>
      </c>
      <c r="G1293">
        <v>-193.08879999999999</v>
      </c>
      <c r="H1293" s="1">
        <v>-2.797932E-6</v>
      </c>
      <c r="I1293">
        <v>344.19540000000001</v>
      </c>
      <c r="J1293">
        <v>-193.59289999999999</v>
      </c>
      <c r="K1293">
        <v>1.099237</v>
      </c>
      <c r="L1293">
        <v>353.82859999999999</v>
      </c>
      <c r="M1293">
        <v>0.39169969999999998</v>
      </c>
      <c r="N1293">
        <v>0</v>
      </c>
      <c r="O1293">
        <v>-0.92003969999999902</v>
      </c>
      <c r="P1293">
        <v>0.26461699999999999</v>
      </c>
      <c r="Q1293">
        <v>3.9078309999999998E-2</v>
      </c>
      <c r="R1293">
        <v>-0.96356169999999997</v>
      </c>
      <c r="S1293">
        <v>0.18313599999999999</v>
      </c>
      <c r="T1293">
        <v>-0.34419509999999998</v>
      </c>
      <c r="U1293">
        <v>-3.0818180000000002</v>
      </c>
      <c r="V1293">
        <v>0.13457429999999901</v>
      </c>
      <c r="W1293">
        <v>4.7233940000000002E-2</v>
      </c>
      <c r="X1293">
        <v>0.98977709999999997</v>
      </c>
      <c r="Y1293">
        <v>0.33666370000000001</v>
      </c>
      <c r="Z1293">
        <v>9.4450939999999997E-2</v>
      </c>
      <c r="AA1293">
        <v>0.93687600000000004</v>
      </c>
      <c r="AB1293">
        <v>23</v>
      </c>
      <c r="AC1293">
        <v>0.504099999999994</v>
      </c>
      <c r="AD1293">
        <v>-1.0992397979320001</v>
      </c>
      <c r="AE1293">
        <v>-9.6331999999999791</v>
      </c>
      <c r="AF1293">
        <v>3.2672653822572002</v>
      </c>
      <c r="AG1293">
        <v>-1.0992397979320001</v>
      </c>
      <c r="AH1293">
        <v>8.9446771706747192</v>
      </c>
      <c r="AI1293">
        <v>96.584699428105594</v>
      </c>
      <c r="AJ1293">
        <v>69.934023984171603</v>
      </c>
      <c r="AK1293">
        <v>9.5859585279221502</v>
      </c>
    </row>
    <row r="1294" spans="1:37" x14ac:dyDescent="0.2">
      <c r="A1294" t="str">
        <f>"20200111153631899"</f>
        <v>20200111153631899</v>
      </c>
      <c r="B1294" t="str">
        <f>"1578728191894093"</f>
        <v>1578728191894093</v>
      </c>
      <c r="C1294" t="s">
        <v>37</v>
      </c>
      <c r="D1294">
        <v>5.7977959999999999</v>
      </c>
      <c r="E1294">
        <v>0.57484099999999905</v>
      </c>
      <c r="F1294" t="s">
        <v>39</v>
      </c>
      <c r="G1294">
        <v>-192.85839999999999</v>
      </c>
      <c r="H1294" s="1">
        <v>-2.1389730000000001E-6</v>
      </c>
      <c r="I1294">
        <v>342.8023</v>
      </c>
      <c r="J1294">
        <v>-193.51130000000001</v>
      </c>
      <c r="K1294">
        <v>1.0992869999999999</v>
      </c>
      <c r="L1294">
        <v>353.61250000000001</v>
      </c>
      <c r="M1294">
        <v>0.38389859999999998</v>
      </c>
      <c r="N1294">
        <v>0</v>
      </c>
      <c r="O1294">
        <v>-0.92332230000000004</v>
      </c>
      <c r="P1294">
        <v>0.25994029999999901</v>
      </c>
      <c r="Q1294">
        <v>3.9417790000000001E-2</v>
      </c>
      <c r="R1294">
        <v>-0.96482029999999996</v>
      </c>
      <c r="S1294">
        <v>0.20449829999999999</v>
      </c>
      <c r="T1294">
        <v>-0.30602590000000002</v>
      </c>
      <c r="U1294">
        <v>-3.0697019999999999</v>
      </c>
      <c r="V1294">
        <v>0.1309883</v>
      </c>
      <c r="W1294">
        <v>4.7610230000000003E-2</v>
      </c>
      <c r="X1294">
        <v>0.99024000000000001</v>
      </c>
      <c r="Y1294">
        <v>0.32189970000000001</v>
      </c>
      <c r="Z1294">
        <v>8.5134680000000004E-2</v>
      </c>
      <c r="AA1294">
        <v>0.94293830000000001</v>
      </c>
      <c r="AB1294">
        <v>23</v>
      </c>
      <c r="AC1294">
        <v>0.65290000000001602</v>
      </c>
      <c r="AD1294">
        <v>-1.099289138973</v>
      </c>
      <c r="AE1294">
        <v>-10.8102</v>
      </c>
      <c r="AF1294">
        <v>3.5111803371274202</v>
      </c>
      <c r="AG1294">
        <v>-1.099289138973</v>
      </c>
      <c r="AH1294">
        <v>10.128093986813299</v>
      </c>
      <c r="AI1294">
        <v>95.855262755227002</v>
      </c>
      <c r="AJ1294">
        <v>70.879729488175201</v>
      </c>
      <c r="AK1294">
        <v>10.775672219245401</v>
      </c>
    </row>
    <row r="1295" spans="1:37" x14ac:dyDescent="0.2">
      <c r="A1295" t="str">
        <f>"20200111153631923"</f>
        <v>20200111153631923</v>
      </c>
      <c r="B1295" t="str">
        <f>"1578728191913612"</f>
        <v>1578728191913612</v>
      </c>
      <c r="C1295" t="s">
        <v>37</v>
      </c>
      <c r="D1295">
        <v>5.7085229999999996</v>
      </c>
      <c r="E1295">
        <v>0.57291669999999995</v>
      </c>
      <c r="F1295" t="s">
        <v>39</v>
      </c>
      <c r="G1295">
        <v>-192.7131</v>
      </c>
      <c r="H1295" s="1">
        <v>-1.71343E-6</v>
      </c>
      <c r="I1295">
        <v>341.90039999999999</v>
      </c>
      <c r="J1295">
        <v>-193.42850000000001</v>
      </c>
      <c r="K1295">
        <v>1.0993440000000001</v>
      </c>
      <c r="L1295">
        <v>353.38729999999998</v>
      </c>
      <c r="M1295">
        <v>0.3758879</v>
      </c>
      <c r="N1295">
        <v>0</v>
      </c>
      <c r="O1295">
        <v>-0.92661269999999996</v>
      </c>
      <c r="P1295">
        <v>0.2545578</v>
      </c>
      <c r="Q1295">
        <v>4.0594449999999997E-2</v>
      </c>
      <c r="R1295">
        <v>-0.96620509999999904</v>
      </c>
      <c r="S1295">
        <v>0.2088776</v>
      </c>
      <c r="T1295">
        <v>-0.28766700000000001</v>
      </c>
      <c r="U1295">
        <v>-3.06488</v>
      </c>
      <c r="V1295">
        <v>0.12792029999999999</v>
      </c>
      <c r="W1295">
        <v>4.8810930000000002E-2</v>
      </c>
      <c r="X1295">
        <v>0.99058259999999898</v>
      </c>
      <c r="Y1295">
        <v>0.3122258</v>
      </c>
      <c r="Z1295">
        <v>8.0800730000000001E-2</v>
      </c>
      <c r="AA1295">
        <v>0.94656549999999995</v>
      </c>
      <c r="AB1295">
        <v>23</v>
      </c>
      <c r="AC1295">
        <v>0.71540000000001602</v>
      </c>
      <c r="AD1295">
        <v>-1.09934571343</v>
      </c>
      <c r="AE1295">
        <v>-11.486899999999901</v>
      </c>
      <c r="AF1295">
        <v>3.6220185963918001</v>
      </c>
      <c r="AG1295">
        <v>-1.09934571343</v>
      </c>
      <c r="AH1295">
        <v>10.814675705941299</v>
      </c>
      <c r="AI1295">
        <v>95.505772973447407</v>
      </c>
      <c r="AJ1295">
        <v>71.483427038071099</v>
      </c>
      <c r="AK1295">
        <v>11.4579575114818</v>
      </c>
    </row>
    <row r="1296" spans="1:37" x14ac:dyDescent="0.2">
      <c r="A1296" t="str">
        <f>"20200111153631945"</f>
        <v>20200111153631945</v>
      </c>
      <c r="B1296" t="str">
        <f>"1578728191934111"</f>
        <v>1578728191934111</v>
      </c>
      <c r="C1296" t="s">
        <v>37</v>
      </c>
      <c r="D1296">
        <v>5.7280439999999997</v>
      </c>
      <c r="E1296">
        <v>0.57129410000000003</v>
      </c>
      <c r="F1296" t="s">
        <v>39</v>
      </c>
      <c r="G1296">
        <v>-192.58449999999999</v>
      </c>
      <c r="H1296" s="1">
        <v>-1.2319020000000001E-6</v>
      </c>
      <c r="I1296">
        <v>340.8578</v>
      </c>
      <c r="J1296">
        <v>-193.3493</v>
      </c>
      <c r="K1296">
        <v>1.0993869999999999</v>
      </c>
      <c r="L1296">
        <v>353.16640000000001</v>
      </c>
      <c r="M1296">
        <v>0.36812899999999998</v>
      </c>
      <c r="N1296">
        <v>0</v>
      </c>
      <c r="O1296">
        <v>-0.92972299999999997</v>
      </c>
      <c r="P1296">
        <v>0.24946660000000001</v>
      </c>
      <c r="Q1296">
        <v>4.1855829999999997E-2</v>
      </c>
      <c r="R1296">
        <v>-0.96747909999999904</v>
      </c>
      <c r="S1296">
        <v>0.20626829999999999</v>
      </c>
      <c r="T1296">
        <v>-0.26864389999999999</v>
      </c>
      <c r="U1296">
        <v>-3.061798</v>
      </c>
      <c r="V1296">
        <v>0.124843699999999</v>
      </c>
      <c r="W1296">
        <v>5.0095859999999999E-2</v>
      </c>
      <c r="X1296">
        <v>0.99091090000000004</v>
      </c>
      <c r="Y1296">
        <v>0.30499330000000002</v>
      </c>
      <c r="Z1296">
        <v>7.6081070000000001E-2</v>
      </c>
      <c r="AA1296">
        <v>0.94931069999999995</v>
      </c>
      <c r="AB1296">
        <v>23</v>
      </c>
      <c r="AC1296">
        <v>0.76480000000000803</v>
      </c>
      <c r="AD1296">
        <v>-1.0993882319020001</v>
      </c>
      <c r="AE1296">
        <v>-12.3086</v>
      </c>
      <c r="AF1296">
        <v>3.7901631945938901</v>
      </c>
      <c r="AG1296">
        <v>-1.0993882319020001</v>
      </c>
      <c r="AH1296">
        <v>11.633246353651</v>
      </c>
      <c r="AI1296">
        <v>95.134537282812502</v>
      </c>
      <c r="AJ1296">
        <v>71.954161038438897</v>
      </c>
      <c r="AK1296">
        <v>12.2843971057123</v>
      </c>
    </row>
    <row r="1297" spans="1:37" x14ac:dyDescent="0.2">
      <c r="A1297" t="str">
        <f>"20200111153631966"</f>
        <v>20200111153631966</v>
      </c>
      <c r="B1297" t="str">
        <f>"1578728191953628"</f>
        <v>1578728191953628</v>
      </c>
      <c r="C1297" t="s">
        <v>37</v>
      </c>
      <c r="D1297">
        <v>5.7180759999999999</v>
      </c>
      <c r="E1297">
        <v>0.56984109999999999</v>
      </c>
      <c r="F1297" t="s">
        <v>39</v>
      </c>
      <c r="G1297">
        <v>-192.47149999999999</v>
      </c>
      <c r="H1297" s="1">
        <v>-7.9422760000000001E-7</v>
      </c>
      <c r="I1297">
        <v>339.9076</v>
      </c>
      <c r="J1297">
        <v>-193.2784</v>
      </c>
      <c r="K1297">
        <v>1.099424</v>
      </c>
      <c r="L1297">
        <v>352.96429999999998</v>
      </c>
      <c r="M1297">
        <v>0.36109669999999999</v>
      </c>
      <c r="N1297">
        <v>0</v>
      </c>
      <c r="O1297">
        <v>-0.93247679999999999</v>
      </c>
      <c r="P1297">
        <v>0.24532179999999901</v>
      </c>
      <c r="Q1297">
        <v>4.3003970000000002E-2</v>
      </c>
      <c r="R1297">
        <v>-0.96848769999999995</v>
      </c>
      <c r="S1297">
        <v>0.20254520000000001</v>
      </c>
      <c r="T1297">
        <v>-0.2536947</v>
      </c>
      <c r="U1297">
        <v>-3.0596009999999998</v>
      </c>
      <c r="V1297">
        <v>0.12159249999999901</v>
      </c>
      <c r="W1297">
        <v>5.1270240000000002E-2</v>
      </c>
      <c r="X1297">
        <v>0.99125509999999994</v>
      </c>
      <c r="Y1297">
        <v>0.29888359999999897</v>
      </c>
      <c r="Z1297">
        <v>7.234749E-2</v>
      </c>
      <c r="AA1297">
        <v>0.95154319999999903</v>
      </c>
      <c r="AB1297">
        <v>23</v>
      </c>
      <c r="AC1297">
        <v>0.80690000000001205</v>
      </c>
      <c r="AD1297">
        <v>-1.0994247942275901</v>
      </c>
      <c r="AE1297">
        <v>-13.0566999999999</v>
      </c>
      <c r="AF1297">
        <v>3.9347142015964298</v>
      </c>
      <c r="AG1297">
        <v>-1.0994247942275901</v>
      </c>
      <c r="AH1297">
        <v>12.3795973611088</v>
      </c>
      <c r="AI1297">
        <v>94.837822728373098</v>
      </c>
      <c r="AJ1297">
        <v>72.3677333625008</v>
      </c>
      <c r="AK1297">
        <v>13.036300915120799</v>
      </c>
    </row>
    <row r="1298" spans="1:37" x14ac:dyDescent="0.2">
      <c r="A1298" t="str">
        <f>"20200111153631989"</f>
        <v>20200111153631989</v>
      </c>
      <c r="B1298" t="str">
        <f>"1578728191983885"</f>
        <v>1578728191983885</v>
      </c>
      <c r="C1298" t="s">
        <v>37</v>
      </c>
      <c r="D1298">
        <v>5.7386530000000002</v>
      </c>
      <c r="E1298">
        <v>0.56807010000000002</v>
      </c>
      <c r="F1298" t="s">
        <v>39</v>
      </c>
      <c r="G1298">
        <v>-192.3646</v>
      </c>
      <c r="H1298" s="1">
        <v>-4.5110520000000003E-6</v>
      </c>
      <c r="I1298">
        <v>339.0102</v>
      </c>
      <c r="J1298">
        <v>-193.20160000000001</v>
      </c>
      <c r="K1298">
        <v>1.0994429999999999</v>
      </c>
      <c r="L1298">
        <v>352.7398</v>
      </c>
      <c r="M1298">
        <v>0.35334679999999902</v>
      </c>
      <c r="N1298">
        <v>0</v>
      </c>
      <c r="O1298">
        <v>-0.93544139999999998</v>
      </c>
      <c r="P1298">
        <v>0.240425799999999</v>
      </c>
      <c r="Q1298">
        <v>4.3827749999999999E-2</v>
      </c>
      <c r="R1298">
        <v>-0.96967800000000004</v>
      </c>
      <c r="S1298">
        <v>0.20022579999999901</v>
      </c>
      <c r="T1298">
        <v>-0.24090120000000001</v>
      </c>
      <c r="U1298">
        <v>-3.0575559999999999</v>
      </c>
      <c r="V1298">
        <v>0.1183674</v>
      </c>
      <c r="W1298">
        <v>5.2111209999999998E-2</v>
      </c>
      <c r="X1298">
        <v>0.99160149999999903</v>
      </c>
      <c r="Y1298">
        <v>0.29162129999999897</v>
      </c>
      <c r="Z1298">
        <v>6.9202529999999998E-2</v>
      </c>
      <c r="AA1298">
        <v>0.95402730000000002</v>
      </c>
      <c r="AB1298">
        <v>23</v>
      </c>
      <c r="AC1298">
        <v>0.83700000000001695</v>
      </c>
      <c r="AD1298">
        <v>-1.0994475110519999</v>
      </c>
      <c r="AE1298">
        <v>-13.7296</v>
      </c>
      <c r="AF1298">
        <v>4.0427116535642904</v>
      </c>
      <c r="AG1298">
        <v>-1.0994475110519999</v>
      </c>
      <c r="AH1298">
        <v>13.056200458039701</v>
      </c>
      <c r="AI1298">
        <v>94.599021170399297</v>
      </c>
      <c r="AJ1298">
        <v>72.7954248597852</v>
      </c>
      <c r="AK1298">
        <v>13.711917179736</v>
      </c>
    </row>
    <row r="1299" spans="1:37" x14ac:dyDescent="0.2">
      <c r="A1299" t="str">
        <f>"20200111153632012"</f>
        <v>20200111153632012</v>
      </c>
      <c r="B1299" t="str">
        <f>"1578728192004382"</f>
        <v>1578728192004382</v>
      </c>
      <c r="C1299" t="s">
        <v>37</v>
      </c>
      <c r="D1299">
        <v>5.7871079999999999</v>
      </c>
      <c r="E1299">
        <v>0.56690819999999997</v>
      </c>
      <c r="F1299" t="s">
        <v>39</v>
      </c>
      <c r="G1299">
        <v>-192.24639999999999</v>
      </c>
      <c r="H1299" s="1">
        <v>-4.1470960000000004E-6</v>
      </c>
      <c r="I1299">
        <v>338.00229999999999</v>
      </c>
      <c r="J1299">
        <v>-193.12559999999999</v>
      </c>
      <c r="K1299">
        <v>1.099456</v>
      </c>
      <c r="L1299">
        <v>352.51170000000002</v>
      </c>
      <c r="M1299">
        <v>0.34552830000000001</v>
      </c>
      <c r="N1299">
        <v>0</v>
      </c>
      <c r="O1299">
        <v>-0.93835800000000003</v>
      </c>
      <c r="P1299">
        <v>0.23542779999999999</v>
      </c>
      <c r="Q1299">
        <v>4.462178E-2</v>
      </c>
      <c r="R1299">
        <v>-0.97086719999999904</v>
      </c>
      <c r="S1299">
        <v>0.198013299999999</v>
      </c>
      <c r="T1299">
        <v>-0.22790850000000001</v>
      </c>
      <c r="U1299">
        <v>-3.0549930000000001</v>
      </c>
      <c r="V1299">
        <v>0.1151938</v>
      </c>
      <c r="W1299">
        <v>5.291357E-2</v>
      </c>
      <c r="X1299">
        <v>0.991932699999999</v>
      </c>
      <c r="Y1299">
        <v>0.28425429999999902</v>
      </c>
      <c r="Z1299">
        <v>6.5951499999999996E-2</v>
      </c>
      <c r="AA1299">
        <v>0.95647789999999999</v>
      </c>
      <c r="AB1299">
        <v>23</v>
      </c>
      <c r="AC1299">
        <v>0.87919999999999698</v>
      </c>
      <c r="AD1299">
        <v>-1.0994601470959999</v>
      </c>
      <c r="AE1299">
        <v>-14.509399999999999</v>
      </c>
      <c r="AF1299">
        <v>4.1647753071113396</v>
      </c>
      <c r="AG1299">
        <v>-1.0994601470959999</v>
      </c>
      <c r="AH1299">
        <v>13.840277885956199</v>
      </c>
      <c r="AI1299">
        <v>94.350094680686695</v>
      </c>
      <c r="AJ1299">
        <v>73.252564350982794</v>
      </c>
      <c r="AK1299">
        <v>14.495083922981101</v>
      </c>
    </row>
    <row r="1300" spans="1:37" x14ac:dyDescent="0.2">
      <c r="A1300" t="str">
        <f>"20200111153632034"</f>
        <v>20200111153632034</v>
      </c>
      <c r="B1300" t="str">
        <f>"1578728192023900"</f>
        <v>1578728192023900</v>
      </c>
      <c r="C1300" t="s">
        <v>37</v>
      </c>
      <c r="D1300">
        <v>5.7511199999999896</v>
      </c>
      <c r="E1300">
        <v>0.5658453</v>
      </c>
      <c r="F1300" t="s">
        <v>39</v>
      </c>
      <c r="G1300">
        <v>-192.17939999999999</v>
      </c>
      <c r="H1300" s="1">
        <v>-3.9249910000000001E-6</v>
      </c>
      <c r="I1300">
        <v>337.38659999999999</v>
      </c>
      <c r="J1300">
        <v>-193.0538</v>
      </c>
      <c r="K1300">
        <v>1.099453</v>
      </c>
      <c r="L1300">
        <v>352.2903</v>
      </c>
      <c r="M1300">
        <v>0.33798329999999999</v>
      </c>
      <c r="N1300">
        <v>0</v>
      </c>
      <c r="O1300">
        <v>-0.941102199999999</v>
      </c>
      <c r="P1300">
        <v>0.2305208</v>
      </c>
      <c r="Q1300">
        <v>4.4895049999999999E-2</v>
      </c>
      <c r="R1300">
        <v>-0.97203130000000004</v>
      </c>
      <c r="S1300">
        <v>0.19103999999999999</v>
      </c>
      <c r="T1300">
        <v>-0.2219893</v>
      </c>
      <c r="U1300">
        <v>-3.0538639999999999</v>
      </c>
      <c r="V1300">
        <v>0.11223710000000001</v>
      </c>
      <c r="W1300">
        <v>5.3190220000000003E-2</v>
      </c>
      <c r="X1300">
        <v>0.99225680000000005</v>
      </c>
      <c r="Y1300">
        <v>0.2786999</v>
      </c>
      <c r="Z1300">
        <v>6.4629889999999995E-2</v>
      </c>
      <c r="AA1300">
        <v>0.95820110000000003</v>
      </c>
      <c r="AB1300">
        <v>23</v>
      </c>
      <c r="AC1300">
        <v>0.87440000000000795</v>
      </c>
      <c r="AD1300">
        <v>-1.099456924991</v>
      </c>
      <c r="AE1300">
        <v>-14.903700000000001</v>
      </c>
      <c r="AF1300">
        <v>4.19176605350565</v>
      </c>
      <c r="AG1300">
        <v>-1.099456924991</v>
      </c>
      <c r="AH1300">
        <v>14.244853870036399</v>
      </c>
      <c r="AI1300">
        <v>94.234652758283303</v>
      </c>
      <c r="AJ1300">
        <v>73.602674178109197</v>
      </c>
      <c r="AK1300">
        <v>14.8894449176564</v>
      </c>
    </row>
    <row r="1301" spans="1:37" x14ac:dyDescent="0.2">
      <c r="A1301" t="str">
        <f>"20200111153632058"</f>
        <v>20200111153632058</v>
      </c>
      <c r="B1301" t="str">
        <f>"1578728192043420"</f>
        <v>1578728192043420</v>
      </c>
      <c r="C1301" t="s">
        <v>37</v>
      </c>
      <c r="D1301">
        <v>5.7326280000000001</v>
      </c>
      <c r="E1301">
        <v>0.56481789999999998</v>
      </c>
      <c r="F1301" t="s">
        <v>39</v>
      </c>
      <c r="G1301">
        <v>-192.1232</v>
      </c>
      <c r="H1301" s="1">
        <v>-3.6697510000000001E-6</v>
      </c>
      <c r="I1301">
        <v>336.82659999999998</v>
      </c>
      <c r="J1301">
        <v>-192.98390000000001</v>
      </c>
      <c r="K1301">
        <v>1.099442</v>
      </c>
      <c r="L1301">
        <v>352.06909999999999</v>
      </c>
      <c r="M1301">
        <v>0.33047919999999997</v>
      </c>
      <c r="N1301">
        <v>0</v>
      </c>
      <c r="O1301">
        <v>-0.94376389999999999</v>
      </c>
      <c r="P1301">
        <v>0.22541620000000001</v>
      </c>
      <c r="Q1301">
        <v>4.5621689999999999E-2</v>
      </c>
      <c r="R1301">
        <v>-0.973194</v>
      </c>
      <c r="S1301">
        <v>0.18371579999999901</v>
      </c>
      <c r="T1301">
        <v>-0.21704619999999999</v>
      </c>
      <c r="U1301">
        <v>-3.0527340000000001</v>
      </c>
      <c r="V1301">
        <v>0.109539699999999</v>
      </c>
      <c r="W1301">
        <v>5.3916829999999999E-2</v>
      </c>
      <c r="X1301">
        <v>0.99251900000000004</v>
      </c>
      <c r="Y1301">
        <v>0.27331359999999999</v>
      </c>
      <c r="Z1301">
        <v>6.3560729999999996E-2</v>
      </c>
      <c r="AA1301">
        <v>0.95982279999999998</v>
      </c>
      <c r="AB1301">
        <v>23</v>
      </c>
      <c r="AC1301">
        <v>0.86070000000000801</v>
      </c>
      <c r="AD1301">
        <v>-1.099445669751</v>
      </c>
      <c r="AE1301">
        <v>-15.2425</v>
      </c>
      <c r="AF1301">
        <v>4.2034285287128998</v>
      </c>
      <c r="AG1301">
        <v>-1.099445669751</v>
      </c>
      <c r="AH1301">
        <v>14.5947564436698</v>
      </c>
      <c r="AI1301">
        <v>94.140364543052598</v>
      </c>
      <c r="AJ1301">
        <v>73.933096763056696</v>
      </c>
      <c r="AK1301">
        <v>15.2277545234606</v>
      </c>
    </row>
    <row r="1302" spans="1:37" x14ac:dyDescent="0.2">
      <c r="A1302" t="str">
        <f>"20200111153632078"</f>
        <v>20200111153632078</v>
      </c>
      <c r="B1302" t="str">
        <f>"1578728192073677"</f>
        <v>1578728192073677</v>
      </c>
      <c r="C1302" t="s">
        <v>37</v>
      </c>
      <c r="D1302">
        <v>5.717327</v>
      </c>
      <c r="E1302">
        <v>0.56348599999999904</v>
      </c>
      <c r="F1302" t="s">
        <v>39</v>
      </c>
      <c r="G1302">
        <v>-192.07480000000001</v>
      </c>
      <c r="H1302" s="1">
        <v>-3.4127130000000001E-6</v>
      </c>
      <c r="I1302">
        <v>336.25740000000002</v>
      </c>
      <c r="J1302">
        <v>-192.91659999999999</v>
      </c>
      <c r="K1302">
        <v>1.0994349999999999</v>
      </c>
      <c r="L1302">
        <v>351.85059999999999</v>
      </c>
      <c r="M1302">
        <v>0.3230924</v>
      </c>
      <c r="N1302">
        <v>0</v>
      </c>
      <c r="O1302">
        <v>-0.94631849999999995</v>
      </c>
      <c r="P1302">
        <v>0.22001889999999999</v>
      </c>
      <c r="Q1302">
        <v>4.5807870000000001E-2</v>
      </c>
      <c r="R1302">
        <v>-0.97441979999999995</v>
      </c>
      <c r="S1302">
        <v>0.1754608</v>
      </c>
      <c r="T1302">
        <v>-0.21221399999999899</v>
      </c>
      <c r="U1302">
        <v>-3.051971</v>
      </c>
      <c r="V1302">
        <v>0.1072809</v>
      </c>
      <c r="W1302">
        <v>5.410061E-2</v>
      </c>
      <c r="X1302">
        <v>0.99275569999999902</v>
      </c>
      <c r="Y1302">
        <v>0.26836090000000001</v>
      </c>
      <c r="Z1302">
        <v>6.2484070000000003E-2</v>
      </c>
      <c r="AA1302">
        <v>0.96128979999999997</v>
      </c>
      <c r="AB1302">
        <v>23</v>
      </c>
      <c r="AC1302">
        <v>0.84179999999997701</v>
      </c>
      <c r="AD1302">
        <v>-1.0994384127129999</v>
      </c>
      <c r="AE1302">
        <v>-15.5931999999999</v>
      </c>
      <c r="AF1302">
        <v>4.2207083862441097</v>
      </c>
      <c r="AG1302">
        <v>-1.0994384127129999</v>
      </c>
      <c r="AH1302">
        <v>14.9546802557047</v>
      </c>
      <c r="AI1302">
        <v>94.047162453128394</v>
      </c>
      <c r="AJ1302">
        <v>74.239167767765693</v>
      </c>
      <c r="AK1302">
        <v>15.577727872043001</v>
      </c>
    </row>
    <row r="1303" spans="1:37" x14ac:dyDescent="0.2">
      <c r="A1303" t="str">
        <f>"20200111153632101"</f>
        <v>20200111153632101</v>
      </c>
      <c r="B1303" t="str">
        <f>"1578728192094173"</f>
        <v>1578728192094173</v>
      </c>
      <c r="C1303" t="s">
        <v>37</v>
      </c>
      <c r="D1303">
        <v>5.7235589999999998</v>
      </c>
      <c r="E1303">
        <v>0.56262900000000005</v>
      </c>
      <c r="F1303" t="s">
        <v>39</v>
      </c>
      <c r="G1303">
        <v>-192.0266</v>
      </c>
      <c r="H1303" s="1">
        <v>-3.201402E-6</v>
      </c>
      <c r="I1303">
        <v>335.79469999999998</v>
      </c>
      <c r="J1303">
        <v>-192.84700000000001</v>
      </c>
      <c r="K1303">
        <v>1.099424</v>
      </c>
      <c r="L1303">
        <v>351.61739999999998</v>
      </c>
      <c r="M1303">
        <v>0.315247099999999</v>
      </c>
      <c r="N1303">
        <v>0</v>
      </c>
      <c r="O1303">
        <v>-0.94896080000000005</v>
      </c>
      <c r="P1303">
        <v>0.21417149999999999</v>
      </c>
      <c r="Q1303">
        <v>4.5030239999999999E-2</v>
      </c>
      <c r="R1303">
        <v>-0.9757574</v>
      </c>
      <c r="S1303">
        <v>0.1690826</v>
      </c>
      <c r="T1303">
        <v>-0.20887549999999999</v>
      </c>
      <c r="U1303">
        <v>-3.050354</v>
      </c>
      <c r="V1303">
        <v>0.105016</v>
      </c>
      <c r="W1303">
        <v>5.3324009999999998E-2</v>
      </c>
      <c r="X1303">
        <v>0.99303980000000003</v>
      </c>
      <c r="Y1303">
        <v>0.26235370000000002</v>
      </c>
      <c r="Z1303">
        <v>6.1866490000000003E-2</v>
      </c>
      <c r="AA1303">
        <v>0.96298649999999997</v>
      </c>
      <c r="AB1303">
        <v>23</v>
      </c>
      <c r="AC1303">
        <v>0.82040000000000601</v>
      </c>
      <c r="AD1303">
        <v>-1.0994272014019999</v>
      </c>
      <c r="AE1303">
        <v>-15.8226999999999</v>
      </c>
      <c r="AF1303">
        <v>4.1895547554728996</v>
      </c>
      <c r="AG1303">
        <v>-1.0994272014019999</v>
      </c>
      <c r="AH1303">
        <v>15.201262818042199</v>
      </c>
      <c r="AI1303">
        <v>93.988497944884799</v>
      </c>
      <c r="AJ1303">
        <v>74.591489402783196</v>
      </c>
      <c r="AK1303">
        <v>15.806312045619</v>
      </c>
    </row>
    <row r="1304" spans="1:37" x14ac:dyDescent="0.2">
      <c r="A1304" t="str">
        <f>"20200111153632126"</f>
        <v>20200111153632126</v>
      </c>
      <c r="B1304" t="str">
        <f>"1578728192113693"</f>
        <v>1578728192113693</v>
      </c>
      <c r="C1304" t="s">
        <v>37</v>
      </c>
      <c r="D1304">
        <v>5.7193459999999998</v>
      </c>
      <c r="E1304">
        <v>0.56176510000000002</v>
      </c>
      <c r="F1304" t="s">
        <v>39</v>
      </c>
      <c r="G1304">
        <v>-192.01929999999999</v>
      </c>
      <c r="H1304" s="1">
        <v>-3.113773E-6</v>
      </c>
      <c r="I1304">
        <v>335.59500000000003</v>
      </c>
      <c r="J1304">
        <v>-192.77539999999999</v>
      </c>
      <c r="K1304">
        <v>1.0994159999999999</v>
      </c>
      <c r="L1304">
        <v>351.37</v>
      </c>
      <c r="M1304">
        <v>0.3069692</v>
      </c>
      <c r="N1304">
        <v>0</v>
      </c>
      <c r="O1304">
        <v>-0.95167109999999899</v>
      </c>
      <c r="P1304">
        <v>0.20852109999999999</v>
      </c>
      <c r="Q1304">
        <v>4.3217390000000001E-2</v>
      </c>
      <c r="R1304">
        <v>-0.97706280000000001</v>
      </c>
      <c r="S1304">
        <v>0.1575317</v>
      </c>
      <c r="T1304">
        <v>-0.2092562</v>
      </c>
      <c r="U1304">
        <v>-3.0495909999999999</v>
      </c>
      <c r="V1304">
        <v>0.1021136</v>
      </c>
      <c r="W1304">
        <v>5.1523100000000002E-2</v>
      </c>
      <c r="X1304">
        <v>0.99343749999999997</v>
      </c>
      <c r="Y1304">
        <v>0.25757039999999998</v>
      </c>
      <c r="Z1304">
        <v>6.2320100000000003E-2</v>
      </c>
      <c r="AA1304">
        <v>0.96424769999999904</v>
      </c>
      <c r="AB1304">
        <v>23</v>
      </c>
      <c r="AC1304">
        <v>0.75610000000000299</v>
      </c>
      <c r="AD1304">
        <v>-1.0994191137729901</v>
      </c>
      <c r="AE1304">
        <v>-15.774999999999901</v>
      </c>
      <c r="AF1304">
        <v>4.1031859352445901</v>
      </c>
      <c r="AG1304">
        <v>-1.0994191137729901</v>
      </c>
      <c r="AH1304">
        <v>15.171888230468401</v>
      </c>
      <c r="AI1304">
        <v>94.0013906171706</v>
      </c>
      <c r="AJ1304">
        <v>74.866576680212304</v>
      </c>
      <c r="AK1304">
        <v>15.7553498750343</v>
      </c>
    </row>
    <row r="1305" spans="1:37" x14ac:dyDescent="0.2">
      <c r="A1305" t="str">
        <f>"20200111153632145"</f>
        <v>20200111153632145</v>
      </c>
      <c r="B1305" t="str">
        <f>"1578728192134192"</f>
        <v>1578728192134192</v>
      </c>
      <c r="C1305" t="s">
        <v>37</v>
      </c>
      <c r="D1305">
        <v>5.7210019999999897</v>
      </c>
      <c r="E1305">
        <v>0.56094529999999998</v>
      </c>
      <c r="F1305" t="s">
        <v>39</v>
      </c>
      <c r="G1305">
        <v>-192.02250000000001</v>
      </c>
      <c r="H1305" s="1">
        <v>-3.1404079999999998E-6</v>
      </c>
      <c r="I1305">
        <v>335.6551</v>
      </c>
      <c r="J1305">
        <v>-192.71950000000001</v>
      </c>
      <c r="K1305">
        <v>1.099415</v>
      </c>
      <c r="L1305">
        <v>351.17180000000002</v>
      </c>
      <c r="M1305">
        <v>0.30037039999999998</v>
      </c>
      <c r="N1305">
        <v>0</v>
      </c>
      <c r="O1305">
        <v>-0.95377489999999998</v>
      </c>
      <c r="P1305">
        <v>0.2044859</v>
      </c>
      <c r="Q1305">
        <v>4.2415370000000001E-2</v>
      </c>
      <c r="R1305">
        <v>-0.97795030000000005</v>
      </c>
      <c r="S1305">
        <v>0.1460571</v>
      </c>
      <c r="T1305">
        <v>-0.21329009999999901</v>
      </c>
      <c r="U1305">
        <v>-3.048737</v>
      </c>
      <c r="V1305">
        <v>9.933227E-2</v>
      </c>
      <c r="W1305">
        <v>5.0738779999999997E-2</v>
      </c>
      <c r="X1305">
        <v>0.99375990000000003</v>
      </c>
      <c r="Y1305">
        <v>0.25448710000000002</v>
      </c>
      <c r="Z1305">
        <v>6.3785990000000001E-2</v>
      </c>
      <c r="AA1305">
        <v>0.96497029999999995</v>
      </c>
      <c r="AB1305">
        <v>23</v>
      </c>
      <c r="AC1305">
        <v>0.69700000000000195</v>
      </c>
      <c r="AD1305">
        <v>-1.0994181404079999</v>
      </c>
      <c r="AE1305">
        <v>-15.5167</v>
      </c>
      <c r="AF1305">
        <v>3.9762366508562601</v>
      </c>
      <c r="AG1305">
        <v>-1.0994181404079999</v>
      </c>
      <c r="AH1305">
        <v>14.934655554490099</v>
      </c>
      <c r="AI1305">
        <v>94.069002283700001</v>
      </c>
      <c r="AJ1305">
        <v>75.091286813266805</v>
      </c>
      <c r="AK1305">
        <v>15.493970268537799</v>
      </c>
    </row>
    <row r="1306" spans="1:37" x14ac:dyDescent="0.2">
      <c r="A1306" t="str">
        <f>"20200111153632168"</f>
        <v>20200111153632168</v>
      </c>
      <c r="B1306" t="str">
        <f>"1578728192163469"</f>
        <v>1578728192163469</v>
      </c>
      <c r="C1306" t="s">
        <v>37</v>
      </c>
      <c r="D1306">
        <v>5.7129669999999999</v>
      </c>
      <c r="E1306">
        <v>0.55974930000000001</v>
      </c>
      <c r="F1306" t="s">
        <v>39</v>
      </c>
      <c r="G1306">
        <v>-192.0026</v>
      </c>
      <c r="H1306" s="1">
        <v>-3.0812079999999899E-6</v>
      </c>
      <c r="I1306">
        <v>335.52940000000001</v>
      </c>
      <c r="J1306">
        <v>-192.6568</v>
      </c>
      <c r="K1306">
        <v>1.099421</v>
      </c>
      <c r="L1306">
        <v>350.94290000000001</v>
      </c>
      <c r="M1306">
        <v>0.29279859999999902</v>
      </c>
      <c r="N1306">
        <v>0</v>
      </c>
      <c r="O1306">
        <v>-0.95612659999999905</v>
      </c>
      <c r="P1306">
        <v>0.19917609999999999</v>
      </c>
      <c r="Q1306">
        <v>4.2843699999999998E-2</v>
      </c>
      <c r="R1306">
        <v>-0.97902699999999998</v>
      </c>
      <c r="S1306">
        <v>0.139679</v>
      </c>
      <c r="T1306">
        <v>-0.21420789999999901</v>
      </c>
      <c r="U1306">
        <v>-3.0477289999999999</v>
      </c>
      <c r="V1306">
        <v>9.6842159999999997E-2</v>
      </c>
      <c r="W1306">
        <v>5.1180240000000002E-2</v>
      </c>
      <c r="X1306">
        <v>0.99398299999999995</v>
      </c>
      <c r="Y1306">
        <v>0.24881679999999901</v>
      </c>
      <c r="Z1306">
        <v>6.4380590000000001E-2</v>
      </c>
      <c r="AA1306">
        <v>0.966408499999999</v>
      </c>
      <c r="AB1306">
        <v>23</v>
      </c>
      <c r="AC1306">
        <v>0.654200000000002</v>
      </c>
      <c r="AD1306">
        <v>-1.0994240812080001</v>
      </c>
      <c r="AE1306">
        <v>-15.413500000000001</v>
      </c>
      <c r="AF1306">
        <v>3.8680853474289201</v>
      </c>
      <c r="AG1306">
        <v>-1.0994240812080001</v>
      </c>
      <c r="AH1306">
        <v>14.8540466275316</v>
      </c>
      <c r="AI1306">
        <v>94.096894465093001</v>
      </c>
      <c r="AJ1306">
        <v>75.403987853307697</v>
      </c>
      <c r="AK1306">
        <v>15.388746497951599</v>
      </c>
    </row>
    <row r="1307" spans="1:37" x14ac:dyDescent="0.2">
      <c r="A1307" t="str">
        <f>"20200111153632189"</f>
        <v>20200111153632189</v>
      </c>
      <c r="B1307" t="str">
        <f>"1578728192183965"</f>
        <v>1578728192183965</v>
      </c>
      <c r="C1307" t="s">
        <v>37</v>
      </c>
      <c r="D1307">
        <v>5.6998920000000002</v>
      </c>
      <c r="E1307">
        <v>0.55931600000000004</v>
      </c>
      <c r="F1307" t="s">
        <v>39</v>
      </c>
      <c r="G1307">
        <v>-191.9693</v>
      </c>
      <c r="H1307" s="1">
        <v>-2.90843099999999E-6</v>
      </c>
      <c r="I1307">
        <v>335.14729999999997</v>
      </c>
      <c r="J1307">
        <v>-192.59649999999999</v>
      </c>
      <c r="K1307">
        <v>1.0994379999999999</v>
      </c>
      <c r="L1307">
        <v>350.71589999999998</v>
      </c>
      <c r="M1307">
        <v>0.28535539999999998</v>
      </c>
      <c r="N1307">
        <v>0</v>
      </c>
      <c r="O1307">
        <v>-0.95837469999999902</v>
      </c>
      <c r="P1307">
        <v>0.19355899999999901</v>
      </c>
      <c r="Q1307">
        <v>4.2764539999999997E-2</v>
      </c>
      <c r="R1307">
        <v>-0.98015640000000004</v>
      </c>
      <c r="S1307">
        <v>0.13259889999999999</v>
      </c>
      <c r="T1307">
        <v>-0.21204870000000001</v>
      </c>
      <c r="U1307">
        <v>-3.0465390000000001</v>
      </c>
      <c r="V1307">
        <v>9.4809459999999998E-2</v>
      </c>
      <c r="W1307">
        <v>5.1112129999999999E-2</v>
      </c>
      <c r="X1307">
        <v>0.99418240000000002</v>
      </c>
      <c r="Y1307">
        <v>0.24350569999999999</v>
      </c>
      <c r="Z1307">
        <v>6.4042050000000003E-2</v>
      </c>
      <c r="AA1307">
        <v>0.96778280000000005</v>
      </c>
      <c r="AB1307">
        <v>23</v>
      </c>
      <c r="AC1307">
        <v>0.62719999999998699</v>
      </c>
      <c r="AD1307">
        <v>-1.099440908431</v>
      </c>
      <c r="AE1307">
        <v>-15.5686</v>
      </c>
      <c r="AF1307">
        <v>3.8226319811148399</v>
      </c>
      <c r="AG1307">
        <v>-1.099440908431</v>
      </c>
      <c r="AH1307">
        <v>15.025397369890801</v>
      </c>
      <c r="AI1307">
        <v>94.056237796064707</v>
      </c>
      <c r="AJ1307">
        <v>75.726119305617303</v>
      </c>
      <c r="AK1307">
        <v>15.5429679179137</v>
      </c>
    </row>
    <row r="1308" spans="1:37" x14ac:dyDescent="0.2">
      <c r="A1308" t="str">
        <f>"20200111153632214"</f>
        <v>20200111153632214</v>
      </c>
      <c r="B1308" t="str">
        <f>"1578728192203485"</f>
        <v>1578728192203485</v>
      </c>
      <c r="C1308" t="s">
        <v>37</v>
      </c>
      <c r="D1308">
        <v>5.6900680000000001</v>
      </c>
      <c r="E1308">
        <v>0.54024989999999995</v>
      </c>
      <c r="F1308" t="s">
        <v>39</v>
      </c>
      <c r="G1308">
        <v>-191.98150000000001</v>
      </c>
      <c r="H1308" s="1">
        <v>-2.8194389999999899E-6</v>
      </c>
      <c r="I1308">
        <v>334.9323</v>
      </c>
      <c r="J1308">
        <v>-192.5335</v>
      </c>
      <c r="K1308">
        <v>1.0994649999999999</v>
      </c>
      <c r="L1308">
        <v>350.47160000000002</v>
      </c>
      <c r="M1308">
        <v>0.27742889999999998</v>
      </c>
      <c r="N1308">
        <v>0</v>
      </c>
      <c r="O1308">
        <v>-0.96069939999999998</v>
      </c>
      <c r="P1308">
        <v>0.187478799999999</v>
      </c>
      <c r="Q1308">
        <v>4.3138330000000003E-2</v>
      </c>
      <c r="R1308">
        <v>-0.98132160000000002</v>
      </c>
      <c r="S1308">
        <v>0.1186981</v>
      </c>
      <c r="T1308">
        <v>-0.21221399999999899</v>
      </c>
      <c r="U1308">
        <v>-3.0465390000000001</v>
      </c>
      <c r="V1308">
        <v>9.2755180000000007E-2</v>
      </c>
      <c r="W1308">
        <v>5.1498330000000002E-2</v>
      </c>
      <c r="X1308">
        <v>0.99435629999999997</v>
      </c>
      <c r="Y1308">
        <v>0.23990129999999901</v>
      </c>
      <c r="Z1308">
        <v>6.4369270000000006E-2</v>
      </c>
      <c r="AA1308">
        <v>0.96866090000000005</v>
      </c>
      <c r="AB1308">
        <v>23</v>
      </c>
      <c r="AC1308">
        <v>0.55199999999999205</v>
      </c>
      <c r="AD1308">
        <v>-1.099467819439</v>
      </c>
      <c r="AE1308">
        <v>-15.539300000000001</v>
      </c>
      <c r="AF1308">
        <v>3.7621048816266001</v>
      </c>
      <c r="AG1308">
        <v>-1.099467819439</v>
      </c>
      <c r="AH1308">
        <v>15.0073804525565</v>
      </c>
      <c r="AI1308">
        <v>94.064773865372999</v>
      </c>
      <c r="AJ1308">
        <v>75.926896437261604</v>
      </c>
      <c r="AK1308">
        <v>15.5107617696268</v>
      </c>
    </row>
    <row r="1309" spans="1:37" x14ac:dyDescent="0.2">
      <c r="A1309" t="str">
        <f>"20200111153632236"</f>
        <v>20200111153632236</v>
      </c>
      <c r="B1309" t="str">
        <f>"1578728192223981"</f>
        <v>1578728192223981</v>
      </c>
      <c r="C1309" t="s">
        <v>37</v>
      </c>
      <c r="D1309">
        <v>5.7207669999999897</v>
      </c>
      <c r="E1309">
        <v>0.57373730000000001</v>
      </c>
      <c r="F1309" t="s">
        <v>39</v>
      </c>
      <c r="G1309">
        <v>-191.06020000000001</v>
      </c>
      <c r="H1309" s="1">
        <v>-1.5773589999999899E-6</v>
      </c>
      <c r="I1309">
        <v>332.60840000000002</v>
      </c>
      <c r="J1309">
        <v>-192.4769</v>
      </c>
      <c r="K1309">
        <v>1.09949599999999</v>
      </c>
      <c r="L1309">
        <v>350.245</v>
      </c>
      <c r="M1309">
        <v>0.27016069999999998</v>
      </c>
      <c r="N1309">
        <v>0</v>
      </c>
      <c r="O1309">
        <v>-0.96276870000000003</v>
      </c>
      <c r="P1309">
        <v>0.18188509999999999</v>
      </c>
      <c r="Q1309">
        <v>4.3310370000000001E-2</v>
      </c>
      <c r="R1309">
        <v>-0.98236569999999901</v>
      </c>
      <c r="S1309">
        <v>0.24890139999999999</v>
      </c>
      <c r="T1309">
        <v>-0.1857415</v>
      </c>
      <c r="U1309">
        <v>-3.0177610000000001</v>
      </c>
      <c r="V1309">
        <v>9.0899809999999998E-2</v>
      </c>
      <c r="W1309">
        <v>5.1680730000000001E-2</v>
      </c>
      <c r="X1309">
        <v>0.99451819999999902</v>
      </c>
      <c r="Y1309">
        <v>0.19025149999999999</v>
      </c>
      <c r="Z1309">
        <v>5.73638E-2</v>
      </c>
      <c r="AA1309">
        <v>0.98005810000000004</v>
      </c>
      <c r="AB1309">
        <v>23</v>
      </c>
      <c r="AC1309">
        <v>1.4166999999999901</v>
      </c>
      <c r="AD1309">
        <v>-1.0994975773589999</v>
      </c>
      <c r="AE1309">
        <v>-17.636599999999898</v>
      </c>
      <c r="AF1309">
        <v>3.3878317946691801</v>
      </c>
      <c r="AG1309">
        <v>-1.0994975773589999</v>
      </c>
      <c r="AH1309">
        <v>17.296688623111901</v>
      </c>
      <c r="AI1309">
        <v>93.5695777364854</v>
      </c>
      <c r="AJ1309">
        <v>78.918002780444596</v>
      </c>
      <c r="AK1309">
        <v>17.659607484779499</v>
      </c>
    </row>
    <row r="1310" spans="1:37" x14ac:dyDescent="0.2">
      <c r="A1310" t="str">
        <f>"20200111153632257"</f>
        <v>20200111153632257</v>
      </c>
      <c r="B1310" t="str">
        <f>"1578728192254237"</f>
        <v>1578728192254237</v>
      </c>
      <c r="C1310" t="s">
        <v>37</v>
      </c>
      <c r="D1310">
        <v>5.72323</v>
      </c>
      <c r="E1310">
        <v>0.58360049999999997</v>
      </c>
      <c r="F1310" t="s">
        <v>39</v>
      </c>
      <c r="G1310">
        <v>-192.70359999999999</v>
      </c>
      <c r="H1310" s="1">
        <v>-4.23719E-6</v>
      </c>
      <c r="I1310">
        <v>328.02870000000001</v>
      </c>
      <c r="J1310">
        <v>-192.42339999999999</v>
      </c>
      <c r="K1310">
        <v>1.09954</v>
      </c>
      <c r="L1310">
        <v>350.02440000000001</v>
      </c>
      <c r="M1310">
        <v>0.26316649999999903</v>
      </c>
      <c r="N1310">
        <v>0</v>
      </c>
      <c r="O1310">
        <v>-0.96470419999999901</v>
      </c>
      <c r="P1310">
        <v>0.17607919999999999</v>
      </c>
      <c r="Q1310">
        <v>4.3571449999999998E-2</v>
      </c>
      <c r="R1310">
        <v>-0.98341160000000005</v>
      </c>
      <c r="S1310">
        <v>-3.1295780000000002E-2</v>
      </c>
      <c r="T1310">
        <v>-0.1517558</v>
      </c>
      <c r="U1310">
        <v>-3.0663450000000001</v>
      </c>
      <c r="V1310">
        <v>8.9550889999999994E-2</v>
      </c>
      <c r="W1310">
        <v>5.1943580000000003E-2</v>
      </c>
      <c r="X1310">
        <v>0.99462680000000003</v>
      </c>
      <c r="Y1310">
        <v>0.27299309999999899</v>
      </c>
      <c r="Z1310">
        <v>4.5876279999999998E-2</v>
      </c>
      <c r="AA1310">
        <v>0.96092149999999998</v>
      </c>
      <c r="AB1310">
        <v>23</v>
      </c>
      <c r="AC1310">
        <v>-0.280200000000007</v>
      </c>
      <c r="AD1310">
        <v>-1.0995442371899999</v>
      </c>
      <c r="AE1310">
        <v>-21.995699999999999</v>
      </c>
      <c r="AF1310">
        <v>6.0440107812323998</v>
      </c>
      <c r="AG1310">
        <v>-1.0995442371899999</v>
      </c>
      <c r="AH1310">
        <v>21.093845099787998</v>
      </c>
      <c r="AI1310">
        <v>92.8686854972878</v>
      </c>
      <c r="AJ1310">
        <v>74.011425475424602</v>
      </c>
      <c r="AK1310">
        <v>21.9701926470171</v>
      </c>
    </row>
    <row r="1311" spans="1:37" x14ac:dyDescent="0.2">
      <c r="A1311" t="str">
        <f>"20200111153632281"</f>
        <v>20200111153632281</v>
      </c>
      <c r="B1311" t="str">
        <f>"1578728192273757"</f>
        <v>1578728192273757</v>
      </c>
      <c r="C1311" t="s">
        <v>37</v>
      </c>
      <c r="D1311">
        <v>5.7456930000000002</v>
      </c>
      <c r="E1311">
        <v>0.58321990000000001</v>
      </c>
      <c r="F1311" t="s">
        <v>39</v>
      </c>
      <c r="G1311">
        <v>-193.29839999999999</v>
      </c>
      <c r="H1311" s="1">
        <v>-4.6174320000000001E-6</v>
      </c>
      <c r="I1311">
        <v>328.83609999999999</v>
      </c>
      <c r="J1311">
        <v>-192.36500000000001</v>
      </c>
      <c r="K1311">
        <v>1.099594</v>
      </c>
      <c r="L1311">
        <v>349.77569999999997</v>
      </c>
      <c r="M1311">
        <v>0.2553899</v>
      </c>
      <c r="N1311">
        <v>0</v>
      </c>
      <c r="O1311">
        <v>-0.96679230000000005</v>
      </c>
      <c r="P1311">
        <v>0.16935069999999999</v>
      </c>
      <c r="Q1311">
        <v>4.4352610000000001E-2</v>
      </c>
      <c r="R1311">
        <v>-0.98455720000000002</v>
      </c>
      <c r="S1311">
        <v>-0.12721250000000001</v>
      </c>
      <c r="T1311">
        <v>-0.15985629999999901</v>
      </c>
      <c r="U1311">
        <v>-3.080444</v>
      </c>
      <c r="V1311">
        <v>8.8335979999999995E-2</v>
      </c>
      <c r="W1311">
        <v>5.2716899999999997E-2</v>
      </c>
      <c r="X1311">
        <v>0.99469479999999999</v>
      </c>
      <c r="Y1311">
        <v>0.2950199</v>
      </c>
      <c r="Z1311">
        <v>4.8068680000000003E-2</v>
      </c>
      <c r="AA1311">
        <v>0.9542813</v>
      </c>
      <c r="AB1311">
        <v>23</v>
      </c>
      <c r="AC1311">
        <v>-0.93339999999997703</v>
      </c>
      <c r="AD1311">
        <v>-1.099598617432</v>
      </c>
      <c r="AE1311">
        <v>-20.939599999999899</v>
      </c>
      <c r="AF1311">
        <v>6.2332884895823204</v>
      </c>
      <c r="AG1311">
        <v>-1.099598617432</v>
      </c>
      <c r="AH1311">
        <v>19.9518397782123</v>
      </c>
      <c r="AI1311">
        <v>93.011278046761007</v>
      </c>
      <c r="AJ1311">
        <v>72.650322152910803</v>
      </c>
      <c r="AK1311">
        <v>20.931768034479799</v>
      </c>
    </row>
    <row r="1312" spans="1:37" x14ac:dyDescent="0.2">
      <c r="A1312" t="str">
        <f>"20200111153632303"</f>
        <v>20200111153632303</v>
      </c>
      <c r="B1312" t="str">
        <f>"1578728192294253"</f>
        <v>1578728192294253</v>
      </c>
      <c r="C1312" t="s">
        <v>37</v>
      </c>
      <c r="D1312">
        <v>5.8132510000000002</v>
      </c>
      <c r="E1312">
        <v>0.58286439999999995</v>
      </c>
      <c r="F1312" t="s">
        <v>39</v>
      </c>
      <c r="G1312">
        <v>-193.37129999999999</v>
      </c>
      <c r="H1312" s="1">
        <v>-4.5068959999999999E-6</v>
      </c>
      <c r="I1312">
        <v>328.47320000000002</v>
      </c>
      <c r="J1312">
        <v>-192.3125</v>
      </c>
      <c r="K1312">
        <v>1.0996299999999899</v>
      </c>
      <c r="L1312">
        <v>349.54430000000002</v>
      </c>
      <c r="M1312">
        <v>0.248253899999999</v>
      </c>
      <c r="N1312">
        <v>0</v>
      </c>
      <c r="O1312">
        <v>-0.968649599999999</v>
      </c>
      <c r="P1312">
        <v>0.16265450000000001</v>
      </c>
      <c r="Q1312">
        <v>4.6202199999999999E-2</v>
      </c>
      <c r="R1312">
        <v>-0.9856007</v>
      </c>
      <c r="S1312">
        <v>-0.14546199999999901</v>
      </c>
      <c r="T1312">
        <v>-0.1589431</v>
      </c>
      <c r="U1312">
        <v>-3.0791930000000001</v>
      </c>
      <c r="V1312">
        <v>8.7756550000000003E-2</v>
      </c>
      <c r="W1312">
        <v>5.4543899999999999E-2</v>
      </c>
      <c r="X1312">
        <v>0.99464759999999997</v>
      </c>
      <c r="Y1312">
        <v>0.29363519999999999</v>
      </c>
      <c r="Z1312">
        <v>4.7962079999999997E-2</v>
      </c>
      <c r="AA1312">
        <v>0.95471360000000005</v>
      </c>
      <c r="AB1312">
        <v>24</v>
      </c>
      <c r="AC1312">
        <v>-1.05879999999999</v>
      </c>
      <c r="AD1312">
        <v>-1.0996345068959901</v>
      </c>
      <c r="AE1312">
        <v>-21.071100000000001</v>
      </c>
      <c r="AF1312">
        <v>6.2399127094369797</v>
      </c>
      <c r="AG1312">
        <v>-1.0996345068959901</v>
      </c>
      <c r="AH1312">
        <v>20.0939600152556</v>
      </c>
      <c r="AI1312">
        <v>92.991709737224497</v>
      </c>
      <c r="AJ1312">
        <v>72.748511711905806</v>
      </c>
      <c r="AK1312">
        <v>21.0692414615439</v>
      </c>
    </row>
    <row r="1313" spans="1:37" x14ac:dyDescent="0.2">
      <c r="A1313" t="str">
        <f>"20200111153632325"</f>
        <v>20200111153632325</v>
      </c>
      <c r="B1313" t="str">
        <f>"1578728192313772"</f>
        <v>1578728192313772</v>
      </c>
      <c r="C1313" t="s">
        <v>37</v>
      </c>
      <c r="D1313">
        <v>5.7106969999999997</v>
      </c>
      <c r="E1313">
        <v>0.5843081</v>
      </c>
      <c r="F1313" t="s">
        <v>39</v>
      </c>
      <c r="G1313">
        <v>-193.60230000000001</v>
      </c>
      <c r="H1313" s="1">
        <v>-3.39784199999999E-6</v>
      </c>
      <c r="I1313">
        <v>325.27539999999999</v>
      </c>
      <c r="J1313">
        <v>-192.2619</v>
      </c>
      <c r="K1313">
        <v>1.099661</v>
      </c>
      <c r="L1313">
        <v>349.3141</v>
      </c>
      <c r="M1313">
        <v>0.2412205</v>
      </c>
      <c r="N1313">
        <v>0</v>
      </c>
      <c r="O1313">
        <v>-0.97042539999999999</v>
      </c>
      <c r="P1313">
        <v>0.15655549999999999</v>
      </c>
      <c r="Q1313">
        <v>4.7481379999999997E-2</v>
      </c>
      <c r="R1313">
        <v>-0.98652759999999995</v>
      </c>
      <c r="S1313">
        <v>-0.16354369999999999</v>
      </c>
      <c r="T1313">
        <v>-0.13943729999999999</v>
      </c>
      <c r="U1313">
        <v>-3.0773929999999998</v>
      </c>
      <c r="V1313">
        <v>8.6688059999999997E-2</v>
      </c>
      <c r="W1313">
        <v>5.5800830000000003E-2</v>
      </c>
      <c r="X1313">
        <v>0.99467150000000004</v>
      </c>
      <c r="Y1313">
        <v>0.2923383</v>
      </c>
      <c r="Z1313">
        <v>4.2236419999999997E-2</v>
      </c>
      <c r="AA1313">
        <v>0.95538179999999995</v>
      </c>
      <c r="AB1313">
        <v>24</v>
      </c>
      <c r="AC1313">
        <v>-1.34040000000001</v>
      </c>
      <c r="AD1313">
        <v>-1.099664397842</v>
      </c>
      <c r="AE1313">
        <v>-24.038699999999999</v>
      </c>
      <c r="AF1313">
        <v>7.0849146880914997</v>
      </c>
      <c r="AG1313">
        <v>-1.099664397842</v>
      </c>
      <c r="AH1313">
        <v>22.957542928747198</v>
      </c>
      <c r="AI1313">
        <v>92.620594312816095</v>
      </c>
      <c r="AJ1313">
        <v>72.849279774890704</v>
      </c>
      <c r="AK1313">
        <v>24.051071810850502</v>
      </c>
    </row>
    <row r="1314" spans="1:37" x14ac:dyDescent="0.2">
      <c r="A1314" t="str">
        <f>"20200111153632346"</f>
        <v>20200111153632346</v>
      </c>
      <c r="B1314" t="str">
        <f>"1578728192344029"</f>
        <v>1578728192344029</v>
      </c>
      <c r="C1314" t="s">
        <v>37</v>
      </c>
      <c r="D1314">
        <v>5.7417489999999898</v>
      </c>
      <c r="E1314">
        <v>0.58472179999999996</v>
      </c>
      <c r="F1314" t="s">
        <v>39</v>
      </c>
      <c r="G1314">
        <v>-193.8783</v>
      </c>
      <c r="H1314" s="1">
        <v>-2.7693700000000001E-6</v>
      </c>
      <c r="I1314">
        <v>323.63920000000002</v>
      </c>
      <c r="J1314">
        <v>-192.21369999999999</v>
      </c>
      <c r="K1314">
        <v>1.099675</v>
      </c>
      <c r="L1314">
        <v>349.0874</v>
      </c>
      <c r="M1314">
        <v>0.23435819999999999</v>
      </c>
      <c r="N1314">
        <v>0</v>
      </c>
      <c r="O1314">
        <v>-0.97210589999999997</v>
      </c>
      <c r="P1314">
        <v>0.15004439999999999</v>
      </c>
      <c r="Q1314">
        <v>4.7649379999999998E-2</v>
      </c>
      <c r="R1314">
        <v>-0.98753040000000003</v>
      </c>
      <c r="S1314">
        <v>-0.1937866</v>
      </c>
      <c r="T1314">
        <v>-0.1318356</v>
      </c>
      <c r="U1314">
        <v>-3.0780939999999899</v>
      </c>
      <c r="V1314">
        <v>8.6218630000000004E-2</v>
      </c>
      <c r="W1314">
        <v>5.5935560000000002E-2</v>
      </c>
      <c r="X1314">
        <v>0.99470479999999994</v>
      </c>
      <c r="Y1314">
        <v>0.294931099999999</v>
      </c>
      <c r="Z1314">
        <v>4.0008009999999997E-2</v>
      </c>
      <c r="AA1314">
        <v>0.95468059999999999</v>
      </c>
      <c r="AB1314">
        <v>24</v>
      </c>
      <c r="AC1314">
        <v>-1.6646000000000001</v>
      </c>
      <c r="AD1314">
        <v>-1.0996777693699999</v>
      </c>
      <c r="AE1314">
        <v>-25.4481999999999</v>
      </c>
      <c r="AF1314">
        <v>7.5684168393060203</v>
      </c>
      <c r="AG1314">
        <v>-1.0996777693699999</v>
      </c>
      <c r="AH1314">
        <v>24.304094086748201</v>
      </c>
      <c r="AI1314">
        <v>92.473663958016502</v>
      </c>
      <c r="AJ1314">
        <v>72.703149393420404</v>
      </c>
      <c r="AK1314">
        <v>25.478995545889301</v>
      </c>
    </row>
    <row r="1315" spans="1:37" x14ac:dyDescent="0.2">
      <c r="A1315" t="str">
        <f>"20200111153632370"</f>
        <v>20200111153632370</v>
      </c>
      <c r="B1315" t="str">
        <f>"1578728192363549"</f>
        <v>1578728192363549</v>
      </c>
      <c r="C1315" t="s">
        <v>37</v>
      </c>
      <c r="D1315">
        <v>5.7131179999999997</v>
      </c>
      <c r="E1315">
        <v>0.58463480000000001</v>
      </c>
      <c r="F1315" t="s">
        <v>39</v>
      </c>
      <c r="G1315">
        <v>-194.01679999999999</v>
      </c>
      <c r="H1315" s="1">
        <v>-2.7877879999999999E-6</v>
      </c>
      <c r="I1315">
        <v>323.59620000000001</v>
      </c>
      <c r="J1315">
        <v>-192.1636</v>
      </c>
      <c r="K1315">
        <v>1.0996809999999999</v>
      </c>
      <c r="L1315">
        <v>348.84300000000002</v>
      </c>
      <c r="M1315">
        <v>0.22702079999999999</v>
      </c>
      <c r="N1315">
        <v>0</v>
      </c>
      <c r="O1315">
        <v>-0.97384599999999899</v>
      </c>
      <c r="P1315">
        <v>0.1441964</v>
      </c>
      <c r="Q1315">
        <v>4.7714590000000001E-2</v>
      </c>
      <c r="R1315">
        <v>-0.98839840000000001</v>
      </c>
      <c r="S1315">
        <v>-0.21766659999999999</v>
      </c>
      <c r="T1315">
        <v>-0.13275729999999999</v>
      </c>
      <c r="U1315">
        <v>-3.0773929999999998</v>
      </c>
      <c r="V1315">
        <v>8.4602239999999995E-2</v>
      </c>
      <c r="W1315">
        <v>5.5971269999999997E-2</v>
      </c>
      <c r="X1315">
        <v>0.99484150000000005</v>
      </c>
      <c r="Y1315">
        <v>0.29511320000000002</v>
      </c>
      <c r="Z1315">
        <v>4.0396950000000001E-2</v>
      </c>
      <c r="AA1315">
        <v>0.95460789999999995</v>
      </c>
      <c r="AB1315">
        <v>24</v>
      </c>
      <c r="AC1315">
        <v>-1.85319999999998</v>
      </c>
      <c r="AD1315">
        <v>-1.0996837877879999</v>
      </c>
      <c r="AE1315">
        <v>-25.2468</v>
      </c>
      <c r="AF1315">
        <v>7.5224070810899004</v>
      </c>
      <c r="AG1315">
        <v>-1.0996837877879999</v>
      </c>
      <c r="AH1315">
        <v>24.121294995934299</v>
      </c>
      <c r="AI1315">
        <v>92.492080344153607</v>
      </c>
      <c r="AJ1315">
        <v>72.679518189445005</v>
      </c>
      <c r="AK1315">
        <v>25.2909625164334</v>
      </c>
    </row>
    <row r="1316" spans="1:37" x14ac:dyDescent="0.2">
      <c r="A1316" t="str">
        <f>"20200111153632392"</f>
        <v>20200111153632392</v>
      </c>
      <c r="B1316" t="str">
        <f>"1578728192384045"</f>
        <v>1578728192384045</v>
      </c>
      <c r="C1316" t="s">
        <v>37</v>
      </c>
      <c r="D1316">
        <v>5.7436480000000003</v>
      </c>
      <c r="E1316">
        <v>0.58406380000000002</v>
      </c>
      <c r="F1316" t="s">
        <v>39</v>
      </c>
      <c r="G1316">
        <v>-194.0505</v>
      </c>
      <c r="H1316" s="1">
        <v>-3.0375269999999998E-6</v>
      </c>
      <c r="I1316">
        <v>324.1574</v>
      </c>
      <c r="J1316">
        <v>-192.1157</v>
      </c>
      <c r="K1316">
        <v>1.0996809999999999</v>
      </c>
      <c r="L1316">
        <v>348.60090000000002</v>
      </c>
      <c r="M1316">
        <v>0.2198087</v>
      </c>
      <c r="N1316">
        <v>0</v>
      </c>
      <c r="O1316">
        <v>-0.97549959999999902</v>
      </c>
      <c r="P1316">
        <v>0.13802310000000001</v>
      </c>
      <c r="Q1316">
        <v>4.7844299999999999E-2</v>
      </c>
      <c r="R1316">
        <v>-0.98927279999999995</v>
      </c>
      <c r="S1316">
        <v>-0.23513789999999901</v>
      </c>
      <c r="T1316">
        <v>-0.13703370000000001</v>
      </c>
      <c r="U1316">
        <v>-3.076111</v>
      </c>
      <c r="V1316">
        <v>8.3449220000000005E-2</v>
      </c>
      <c r="W1316">
        <v>5.6062679999999997E-2</v>
      </c>
      <c r="X1316">
        <v>0.99493379999999998</v>
      </c>
      <c r="Y1316">
        <v>0.29345879999999902</v>
      </c>
      <c r="Z1316">
        <v>4.1825920000000003E-2</v>
      </c>
      <c r="AA1316">
        <v>0.95505629999999997</v>
      </c>
      <c r="AB1316">
        <v>24</v>
      </c>
      <c r="AC1316">
        <v>-1.9347999999999901</v>
      </c>
      <c r="AD1316">
        <v>-1.0996840375269901</v>
      </c>
      <c r="AE1316">
        <v>-24.4435</v>
      </c>
      <c r="AF1316">
        <v>7.2460233657566304</v>
      </c>
      <c r="AG1316">
        <v>-1.0996840375269901</v>
      </c>
      <c r="AH1316">
        <v>23.373317187412798</v>
      </c>
      <c r="AI1316">
        <v>92.573069197100907</v>
      </c>
      <c r="AJ1316">
        <v>72.775903985026204</v>
      </c>
      <c r="AK1316">
        <v>24.495430511483001</v>
      </c>
    </row>
    <row r="1317" spans="1:37" x14ac:dyDescent="0.2">
      <c r="A1317" t="str">
        <f>"20200111153632415"</f>
        <v>20200111153632415</v>
      </c>
      <c r="B1317" t="str">
        <f>"1578728192403564"</f>
        <v>1578728192403564</v>
      </c>
      <c r="C1317" t="s">
        <v>37</v>
      </c>
      <c r="D1317">
        <v>5.8090320000000002</v>
      </c>
      <c r="E1317">
        <v>0.58340530000000002</v>
      </c>
      <c r="F1317" t="s">
        <v>39</v>
      </c>
      <c r="G1317">
        <v>-194.0625</v>
      </c>
      <c r="H1317" s="1">
        <v>-3.2706259999999999E-6</v>
      </c>
      <c r="I1317">
        <v>324.69330000000002</v>
      </c>
      <c r="J1317">
        <v>-192.06950000000001</v>
      </c>
      <c r="K1317">
        <v>1.0996779999999999</v>
      </c>
      <c r="L1317">
        <v>348.3587</v>
      </c>
      <c r="M1317">
        <v>0.212642999999999</v>
      </c>
      <c r="N1317">
        <v>0</v>
      </c>
      <c r="O1317">
        <v>-0.97708729999999999</v>
      </c>
      <c r="P1317">
        <v>0.131608</v>
      </c>
      <c r="Q1317">
        <v>4.7448169999999998E-2</v>
      </c>
      <c r="R1317">
        <v>-0.99016569999999904</v>
      </c>
      <c r="S1317">
        <v>-0.25035099999999999</v>
      </c>
      <c r="T1317">
        <v>-0.1414088</v>
      </c>
      <c r="U1317">
        <v>-3.0742799999999999</v>
      </c>
      <c r="V1317">
        <v>8.2593139999999995E-2</v>
      </c>
      <c r="W1317">
        <v>5.5620389999999999E-2</v>
      </c>
      <c r="X1317">
        <v>0.99502999999999997</v>
      </c>
      <c r="Y1317">
        <v>0.2911765</v>
      </c>
      <c r="Z1317">
        <v>4.3301109999999997E-2</v>
      </c>
      <c r="AA1317">
        <v>0.95568889999999995</v>
      </c>
      <c r="AB1317">
        <v>24</v>
      </c>
      <c r="AC1317">
        <v>-1.9929999999999899</v>
      </c>
      <c r="AD1317">
        <v>-1.099681270626</v>
      </c>
      <c r="AE1317">
        <v>-23.665399999999899</v>
      </c>
      <c r="AF1317">
        <v>6.9649742651397899</v>
      </c>
      <c r="AG1317">
        <v>-1.099681270626</v>
      </c>
      <c r="AH1317">
        <v>22.651743820258201</v>
      </c>
      <c r="AI1317">
        <v>92.656805148428006</v>
      </c>
      <c r="AJ1317">
        <v>72.908346829197001</v>
      </c>
      <c r="AK1317">
        <v>23.723862744284101</v>
      </c>
    </row>
    <row r="1318" spans="1:37" x14ac:dyDescent="0.2">
      <c r="A1318" t="str">
        <f>"20200111153632435"</f>
        <v>20200111153632435</v>
      </c>
      <c r="B1318" t="str">
        <f>"1578728192424060"</f>
        <v>1578728192424060</v>
      </c>
      <c r="C1318" t="s">
        <v>37</v>
      </c>
      <c r="D1318">
        <v>5.8071449999999896</v>
      </c>
      <c r="E1318">
        <v>0.58266499999999999</v>
      </c>
      <c r="F1318" t="s">
        <v>39</v>
      </c>
      <c r="G1318">
        <v>-194.0515</v>
      </c>
      <c r="H1318" s="1">
        <v>-3.58410199999999E-6</v>
      </c>
      <c r="I1318">
        <v>325.43090000000001</v>
      </c>
      <c r="J1318">
        <v>-192.02889999999999</v>
      </c>
      <c r="K1318">
        <v>1.099664</v>
      </c>
      <c r="L1318">
        <v>348.13780000000003</v>
      </c>
      <c r="M1318">
        <v>0.2061431</v>
      </c>
      <c r="N1318">
        <v>0</v>
      </c>
      <c r="O1318">
        <v>-0.97847989999999996</v>
      </c>
      <c r="P1318">
        <v>0.12612979999999999</v>
      </c>
      <c r="Q1318">
        <v>4.6808999999999899E-2</v>
      </c>
      <c r="R1318">
        <v>-0.99090879999999903</v>
      </c>
      <c r="S1318">
        <v>-0.26557920000000002</v>
      </c>
      <c r="T1318">
        <v>-0.1473497</v>
      </c>
      <c r="U1318">
        <v>-3.072174</v>
      </c>
      <c r="V1318">
        <v>8.1478699999999904E-2</v>
      </c>
      <c r="W1318">
        <v>5.4932889999999998E-2</v>
      </c>
      <c r="X1318">
        <v>0.99516009999999999</v>
      </c>
      <c r="Y1318">
        <v>0.28956589999999999</v>
      </c>
      <c r="Z1318">
        <v>4.5249329999999997E-2</v>
      </c>
      <c r="AA1318">
        <v>0.95608789999999999</v>
      </c>
      <c r="AB1318">
        <v>24</v>
      </c>
      <c r="AC1318">
        <v>-2.0226000000000099</v>
      </c>
      <c r="AD1318">
        <v>-1.0996675841020001</v>
      </c>
      <c r="AE1318">
        <v>-22.706900000000001</v>
      </c>
      <c r="AF1318">
        <v>6.6447560514018704</v>
      </c>
      <c r="AG1318">
        <v>-1.0996675841020001</v>
      </c>
      <c r="AH1318">
        <v>21.751581854465101</v>
      </c>
      <c r="AI1318">
        <v>92.768097698027702</v>
      </c>
      <c r="AJ1318">
        <v>73.0129365931801</v>
      </c>
      <c r="AK1318">
        <v>22.770449379616199</v>
      </c>
    </row>
    <row r="1319" spans="1:37" x14ac:dyDescent="0.2">
      <c r="A1319" t="str">
        <f>"20200111153632459"</f>
        <v>20200111153632459</v>
      </c>
      <c r="B1319" t="str">
        <f>"1578728192454317"</f>
        <v>1578728192454317</v>
      </c>
      <c r="C1319" t="s">
        <v>37</v>
      </c>
      <c r="D1319">
        <v>5.8484959999999999</v>
      </c>
      <c r="E1319">
        <v>0.58154549999999905</v>
      </c>
      <c r="F1319" t="s">
        <v>39</v>
      </c>
      <c r="G1319">
        <v>-194.0129</v>
      </c>
      <c r="H1319" s="1">
        <v>-3.826848E-6</v>
      </c>
      <c r="I1319">
        <v>326.1404</v>
      </c>
      <c r="J1319">
        <v>-191.9855</v>
      </c>
      <c r="K1319">
        <v>1.099647</v>
      </c>
      <c r="L1319">
        <v>347.8922</v>
      </c>
      <c r="M1319">
        <v>0.19895179999999901</v>
      </c>
      <c r="N1319">
        <v>0</v>
      </c>
      <c r="O1319">
        <v>-0.97996819999999896</v>
      </c>
      <c r="P1319">
        <v>0.11984589999999901</v>
      </c>
      <c r="Q1319">
        <v>4.6290480000000002E-2</v>
      </c>
      <c r="R1319">
        <v>-0.99171309999999901</v>
      </c>
      <c r="S1319">
        <v>-0.27688600000000002</v>
      </c>
      <c r="T1319">
        <v>-0.15347249999999901</v>
      </c>
      <c r="U1319">
        <v>-3.0700069999999999</v>
      </c>
      <c r="V1319">
        <v>8.0475439999999995E-2</v>
      </c>
      <c r="W1319">
        <v>5.4334880000000002E-2</v>
      </c>
      <c r="X1319">
        <v>0.99527449999999995</v>
      </c>
      <c r="Y1319">
        <v>0.286078</v>
      </c>
      <c r="Z1319">
        <v>4.728802E-2</v>
      </c>
      <c r="AA1319">
        <v>0.95703879999999997</v>
      </c>
      <c r="AB1319">
        <v>24</v>
      </c>
      <c r="AC1319">
        <v>-2.0274000000000001</v>
      </c>
      <c r="AD1319">
        <v>-1.0996508268480001</v>
      </c>
      <c r="AE1319">
        <v>-21.751799999999999</v>
      </c>
      <c r="AF1319">
        <v>6.2986423426500702</v>
      </c>
      <c r="AG1319">
        <v>-1.0996508268480001</v>
      </c>
      <c r="AH1319">
        <v>20.860703618365001</v>
      </c>
      <c r="AI1319">
        <v>92.888914516341401</v>
      </c>
      <c r="AJ1319">
        <v>73.198931248072597</v>
      </c>
      <c r="AK1319">
        <v>21.818594884980001</v>
      </c>
    </row>
    <row r="1320" spans="1:37" x14ac:dyDescent="0.2">
      <c r="A1320" t="str">
        <f>"20200111153632482"</f>
        <v>20200111153632482</v>
      </c>
      <c r="B1320" t="str">
        <f>"1578728192473838"</f>
        <v>1578728192473838</v>
      </c>
      <c r="C1320" t="s">
        <v>37</v>
      </c>
      <c r="D1320">
        <v>5.8664269999999998</v>
      </c>
      <c r="E1320">
        <v>0.5812792</v>
      </c>
      <c r="F1320" t="s">
        <v>39</v>
      </c>
      <c r="G1320">
        <v>-193.96109999999999</v>
      </c>
      <c r="H1320" s="1">
        <v>-4.06010999999999E-6</v>
      </c>
      <c r="I1320">
        <v>326.85289999999998</v>
      </c>
      <c r="J1320">
        <v>-191.94220000000001</v>
      </c>
      <c r="K1320">
        <v>1.0996250000000001</v>
      </c>
      <c r="L1320">
        <v>347.63589999999999</v>
      </c>
      <c r="M1320">
        <v>0.191493</v>
      </c>
      <c r="N1320">
        <v>0</v>
      </c>
      <c r="O1320">
        <v>-0.9814543</v>
      </c>
      <c r="P1320">
        <v>0.1140051</v>
      </c>
      <c r="Q1320">
        <v>4.5531309999999998E-2</v>
      </c>
      <c r="R1320">
        <v>-0.99243649999999906</v>
      </c>
      <c r="S1320">
        <v>-0.28802489999999997</v>
      </c>
      <c r="T1320">
        <v>-0.16032109999999999</v>
      </c>
      <c r="U1320">
        <v>-3.067383</v>
      </c>
      <c r="V1320">
        <v>7.8760650000000001E-2</v>
      </c>
      <c r="W1320">
        <v>5.3462580000000003E-2</v>
      </c>
      <c r="X1320">
        <v>0.99545899999999998</v>
      </c>
      <c r="Y1320">
        <v>0.28229720000000003</v>
      </c>
      <c r="Z1320">
        <v>4.9571909999999997E-2</v>
      </c>
      <c r="AA1320">
        <v>0.95804539999999905</v>
      </c>
      <c r="AB1320">
        <v>24</v>
      </c>
      <c r="AC1320">
        <v>-2.0188999999999702</v>
      </c>
      <c r="AD1320">
        <v>-1.0996290601100001</v>
      </c>
      <c r="AE1320">
        <v>-20.783000000000001</v>
      </c>
      <c r="AF1320">
        <v>5.9450019973966404</v>
      </c>
      <c r="AG1320">
        <v>-1.0996290601100001</v>
      </c>
      <c r="AH1320">
        <v>19.956393775970099</v>
      </c>
      <c r="AI1320">
        <v>93.022878096091702</v>
      </c>
      <c r="AJ1320">
        <v>73.411226159016294</v>
      </c>
      <c r="AK1320">
        <v>20.852095466894099</v>
      </c>
    </row>
    <row r="1321" spans="1:37" x14ac:dyDescent="0.2">
      <c r="A1321" t="str">
        <f>"20200111153632505"</f>
        <v>20200111153632505</v>
      </c>
      <c r="B1321" t="str">
        <f>"1578728192494332"</f>
        <v>1578728192494332</v>
      </c>
      <c r="C1321" t="s">
        <v>37</v>
      </c>
      <c r="D1321">
        <v>5.9160760000000003</v>
      </c>
      <c r="E1321">
        <v>0.56583799999999995</v>
      </c>
      <c r="F1321" t="s">
        <v>39</v>
      </c>
      <c r="G1321">
        <v>-194.0121</v>
      </c>
      <c r="H1321" s="1">
        <v>-4.0506279999999997E-6</v>
      </c>
      <c r="I1321">
        <v>326.79849999999999</v>
      </c>
      <c r="J1321">
        <v>-191.9025</v>
      </c>
      <c r="K1321">
        <v>1.0995919999999999</v>
      </c>
      <c r="L1321">
        <v>347.3904</v>
      </c>
      <c r="M1321">
        <v>0.1843977</v>
      </c>
      <c r="N1321">
        <v>0</v>
      </c>
      <c r="O1321">
        <v>-0.98281339999999995</v>
      </c>
      <c r="P1321">
        <v>0.1082306</v>
      </c>
      <c r="Q1321">
        <v>4.5764369999999999E-2</v>
      </c>
      <c r="R1321">
        <v>-0.99307190000000001</v>
      </c>
      <c r="S1321">
        <v>-0.30448909999999901</v>
      </c>
      <c r="T1321">
        <v>-0.16176019999999999</v>
      </c>
      <c r="U1321">
        <v>-3.065277</v>
      </c>
      <c r="V1321">
        <v>7.7356560000000005E-2</v>
      </c>
      <c r="W1321">
        <v>5.3544479999999998E-2</v>
      </c>
      <c r="X1321">
        <v>0.99556460000000002</v>
      </c>
      <c r="Y1321">
        <v>0.28052309999999903</v>
      </c>
      <c r="Z1321">
        <v>5.0157889999999997E-2</v>
      </c>
      <c r="AA1321">
        <v>0.9585359</v>
      </c>
      <c r="AB1321">
        <v>24</v>
      </c>
      <c r="AC1321">
        <v>-2.1095999999999999</v>
      </c>
      <c r="AD1321">
        <v>-1.09959605062799</v>
      </c>
      <c r="AE1321">
        <v>-20.591899999999999</v>
      </c>
      <c r="AF1321">
        <v>5.8541434976720002</v>
      </c>
      <c r="AG1321">
        <v>-1.09959605062799</v>
      </c>
      <c r="AH1321">
        <v>19.7938812835481</v>
      </c>
      <c r="AI1321">
        <v>93.049338645389795</v>
      </c>
      <c r="AJ1321">
        <v>73.524142776284805</v>
      </c>
      <c r="AK1321">
        <v>20.670700129243102</v>
      </c>
    </row>
    <row r="1322" spans="1:37" x14ac:dyDescent="0.2">
      <c r="A1322" t="str">
        <f>"20200111153632526"</f>
        <v>20200111153632526</v>
      </c>
      <c r="B1322" t="str">
        <f>"1578728192513852"</f>
        <v>1578728192513852</v>
      </c>
      <c r="C1322" t="s">
        <v>37</v>
      </c>
      <c r="D1322">
        <v>5.9086439999999998</v>
      </c>
      <c r="E1322">
        <v>0.56559230000000005</v>
      </c>
      <c r="F1322" t="s">
        <v>39</v>
      </c>
      <c r="G1322">
        <v>-192.81460000000001</v>
      </c>
      <c r="H1322" s="1">
        <v>-2.427507E-6</v>
      </c>
      <c r="I1322">
        <v>333.50199999999899</v>
      </c>
      <c r="J1322">
        <v>-191.8663</v>
      </c>
      <c r="K1322">
        <v>1.099558</v>
      </c>
      <c r="L1322">
        <v>347.15660000000003</v>
      </c>
      <c r="M1322">
        <v>0.1776866</v>
      </c>
      <c r="N1322">
        <v>0</v>
      </c>
      <c r="O1322">
        <v>-0.98405049999999905</v>
      </c>
      <c r="P1322">
        <v>0.1019022</v>
      </c>
      <c r="Q1322">
        <v>4.5938090000000001E-2</v>
      </c>
      <c r="R1322">
        <v>-0.99373330000000004</v>
      </c>
      <c r="S1322">
        <v>-0.2005615</v>
      </c>
      <c r="T1322">
        <v>-0.2417899</v>
      </c>
      <c r="U1322">
        <v>-3.053925</v>
      </c>
      <c r="V1322">
        <v>7.6902440000000002E-2</v>
      </c>
      <c r="W1322">
        <v>5.3540669999999999E-2</v>
      </c>
      <c r="X1322">
        <v>0.99560000000000004</v>
      </c>
      <c r="Y1322">
        <v>0.2416007</v>
      </c>
      <c r="Z1322">
        <v>7.5789839999999997E-2</v>
      </c>
      <c r="AA1322">
        <v>0.96741149999999998</v>
      </c>
      <c r="AB1322">
        <v>24</v>
      </c>
      <c r="AC1322">
        <v>-0.94830000000001702</v>
      </c>
      <c r="AD1322">
        <v>-1.0995604275069999</v>
      </c>
      <c r="AE1322">
        <v>-13.6546</v>
      </c>
      <c r="AF1322">
        <v>3.33799411598695</v>
      </c>
      <c r="AG1322">
        <v>-1.0995604275069999</v>
      </c>
      <c r="AH1322">
        <v>13.183713835587501</v>
      </c>
      <c r="AI1322">
        <v>94.622404597099703</v>
      </c>
      <c r="AJ1322">
        <v>75.791824668244004</v>
      </c>
      <c r="AK1322">
        <v>13.6441030614242</v>
      </c>
    </row>
    <row r="1323" spans="1:37" x14ac:dyDescent="0.2">
      <c r="A1323" t="str">
        <f>"20200111153632549"</f>
        <v>20200111153632549</v>
      </c>
      <c r="B1323" t="str">
        <f>"1578728192544108"</f>
        <v>1578728192544108</v>
      </c>
      <c r="C1323" t="s">
        <v>37</v>
      </c>
      <c r="D1323">
        <v>5.8591939999999996</v>
      </c>
      <c r="E1323">
        <v>0.56450400000000001</v>
      </c>
      <c r="F1323" t="s">
        <v>39</v>
      </c>
      <c r="G1323">
        <v>-192.86420000000001</v>
      </c>
      <c r="H1323" s="1">
        <v>-2.29354E-6</v>
      </c>
      <c r="I1323">
        <v>333.15899999999999</v>
      </c>
      <c r="J1323">
        <v>-191.82839999999999</v>
      </c>
      <c r="K1323">
        <v>1.0995239999999999</v>
      </c>
      <c r="L1323">
        <v>346.90089999999998</v>
      </c>
      <c r="M1323">
        <v>0.17040259999999999</v>
      </c>
      <c r="N1323">
        <v>0</v>
      </c>
      <c r="O1323">
        <v>-0.9853402</v>
      </c>
      <c r="P1323">
        <v>9.5236319999999999E-2</v>
      </c>
      <c r="Q1323">
        <v>4.5937869999999999E-2</v>
      </c>
      <c r="R1323">
        <v>-0.99439439999999901</v>
      </c>
      <c r="S1323">
        <v>-0.21760560000000001</v>
      </c>
      <c r="T1323">
        <v>-0.23976599999999901</v>
      </c>
      <c r="U1323">
        <v>-3.0522770000000001</v>
      </c>
      <c r="V1323">
        <v>7.620942E-2</v>
      </c>
      <c r="W1323">
        <v>5.330783E-2</v>
      </c>
      <c r="X1323">
        <v>0.99566580000000005</v>
      </c>
      <c r="Y1323">
        <v>0.23983640000000001</v>
      </c>
      <c r="Z1323">
        <v>7.5353459999999997E-2</v>
      </c>
      <c r="AA1323">
        <v>0.96788449999999904</v>
      </c>
      <c r="AB1323">
        <v>24</v>
      </c>
      <c r="AC1323">
        <v>-1.03580000000002</v>
      </c>
      <c r="AD1323">
        <v>-1.0995262935400001</v>
      </c>
      <c r="AE1323">
        <v>-13.7418999999999</v>
      </c>
      <c r="AF1323">
        <v>3.3411155117840998</v>
      </c>
      <c r="AG1323">
        <v>-1.0995262935400001</v>
      </c>
      <c r="AH1323">
        <v>13.279857755543899</v>
      </c>
      <c r="AI1323">
        <v>94.590673661580396</v>
      </c>
      <c r="AJ1323">
        <v>75.877900735302902</v>
      </c>
      <c r="AK1323">
        <v>13.7377812233544</v>
      </c>
    </row>
    <row r="1324" spans="1:37" x14ac:dyDescent="0.2">
      <c r="A1324" t="str">
        <f>"20200111153632572"</f>
        <v>20200111153632572</v>
      </c>
      <c r="B1324" t="str">
        <f>"1578728192563629"</f>
        <v>1578728192563629</v>
      </c>
      <c r="C1324" t="s">
        <v>37</v>
      </c>
      <c r="D1324">
        <v>5.9398910000000003</v>
      </c>
      <c r="E1324">
        <v>0.56393899999999997</v>
      </c>
      <c r="F1324" t="s">
        <v>39</v>
      </c>
      <c r="G1324">
        <v>-192.8827</v>
      </c>
      <c r="H1324" s="1">
        <v>-2.1709770000000001E-6</v>
      </c>
      <c r="I1324">
        <v>332.86180000000002</v>
      </c>
      <c r="J1324">
        <v>-191.7936</v>
      </c>
      <c r="K1324">
        <v>1.099488</v>
      </c>
      <c r="L1324">
        <v>346.65519999999998</v>
      </c>
      <c r="M1324">
        <v>0.16347819999999999</v>
      </c>
      <c r="N1324">
        <v>0</v>
      </c>
      <c r="O1324">
        <v>-0.98651480000000003</v>
      </c>
      <c r="P1324">
        <v>9.0366859999999993E-2</v>
      </c>
      <c r="Q1324">
        <v>4.6013129999999999E-2</v>
      </c>
      <c r="R1324">
        <v>-0.99484499999999998</v>
      </c>
      <c r="S1324">
        <v>-0.2290344</v>
      </c>
      <c r="T1324">
        <v>-0.23886199999999999</v>
      </c>
      <c r="U1324">
        <v>-3.0498660000000002</v>
      </c>
      <c r="V1324">
        <v>7.4084570000000002E-2</v>
      </c>
      <c r="W1324">
        <v>5.3120220000000003E-2</v>
      </c>
      <c r="X1324">
        <v>0.99583619999999995</v>
      </c>
      <c r="Y1324">
        <v>0.2366801</v>
      </c>
      <c r="Z1324">
        <v>7.5287129999999994E-2</v>
      </c>
      <c r="AA1324">
        <v>0.96866629999999998</v>
      </c>
      <c r="AB1324">
        <v>25</v>
      </c>
      <c r="AC1324">
        <v>-1.0891</v>
      </c>
      <c r="AD1324">
        <v>-1.099490170977</v>
      </c>
      <c r="AE1324">
        <v>-13.793399999999901</v>
      </c>
      <c r="AF1324">
        <v>3.3085471496883798</v>
      </c>
      <c r="AG1324">
        <v>-1.099490170977</v>
      </c>
      <c r="AH1324">
        <v>13.3455044885057</v>
      </c>
      <c r="AI1324">
        <v>94.571973174737295</v>
      </c>
      <c r="AJ1324">
        <v>76.076260658059198</v>
      </c>
      <c r="AK1324">
        <v>13.7933988897049</v>
      </c>
    </row>
    <row r="1325" spans="1:37" x14ac:dyDescent="0.2">
      <c r="A1325" t="str">
        <f>"20200111153632593"</f>
        <v>20200111153632593</v>
      </c>
      <c r="B1325" t="str">
        <f>"1578728192584125"</f>
        <v>1578728192584125</v>
      </c>
      <c r="C1325" t="s">
        <v>37</v>
      </c>
      <c r="D1325">
        <v>5.8629160000000002</v>
      </c>
      <c r="E1325">
        <v>0.56355459999999902</v>
      </c>
      <c r="F1325" t="s">
        <v>39</v>
      </c>
      <c r="G1325">
        <v>-192.94099999999901</v>
      </c>
      <c r="H1325" s="1">
        <v>-1.829352E-6</v>
      </c>
      <c r="I1325">
        <v>332.02929999999998</v>
      </c>
      <c r="J1325">
        <v>-191.76009999999999</v>
      </c>
      <c r="K1325">
        <v>1.0994629999999901</v>
      </c>
      <c r="L1325">
        <v>346.40629999999999</v>
      </c>
      <c r="M1325">
        <v>0.15656729999999899</v>
      </c>
      <c r="N1325">
        <v>0</v>
      </c>
      <c r="O1325">
        <v>-0.98763799999999902</v>
      </c>
      <c r="P1325">
        <v>8.5382799999999995E-2</v>
      </c>
      <c r="Q1325">
        <v>4.620846E-2</v>
      </c>
      <c r="R1325">
        <v>-0.99527619999999895</v>
      </c>
      <c r="S1325">
        <v>-0.23910519999999999</v>
      </c>
      <c r="T1325">
        <v>-0.2291214</v>
      </c>
      <c r="U1325">
        <v>-3.047882</v>
      </c>
      <c r="V1325">
        <v>7.2091479999999999E-2</v>
      </c>
      <c r="W1325">
        <v>5.2997379999999997E-2</v>
      </c>
      <c r="X1325">
        <v>0.99598899999999901</v>
      </c>
      <c r="Y1325">
        <v>0.23312289999999999</v>
      </c>
      <c r="Z1325">
        <v>7.2430090000000003E-2</v>
      </c>
      <c r="AA1325">
        <v>0.9697462</v>
      </c>
      <c r="AB1325">
        <v>25</v>
      </c>
      <c r="AC1325">
        <v>-1.1808999999999801</v>
      </c>
      <c r="AD1325">
        <v>-1.099464829352</v>
      </c>
      <c r="AE1325">
        <v>-14.377000000000001</v>
      </c>
      <c r="AF1325">
        <v>3.3976316057022302</v>
      </c>
      <c r="AG1325">
        <v>-1.099464829352</v>
      </c>
      <c r="AH1325">
        <v>13.9338441159172</v>
      </c>
      <c r="AI1325">
        <v>94.383717462814801</v>
      </c>
      <c r="AJ1325">
        <v>76.296403804295394</v>
      </c>
      <c r="AK1325">
        <v>14.3841835112644</v>
      </c>
    </row>
    <row r="1326" spans="1:37" x14ac:dyDescent="0.2">
      <c r="A1326" t="str">
        <f>"20200111153632618"</f>
        <v>20200111153632618</v>
      </c>
      <c r="B1326" t="str">
        <f>"1578728192613405"</f>
        <v>1578728192613405</v>
      </c>
      <c r="C1326" t="s">
        <v>37</v>
      </c>
      <c r="D1326">
        <v>5.9079579999999998</v>
      </c>
      <c r="E1326">
        <v>0.56287310000000002</v>
      </c>
      <c r="F1326" t="s">
        <v>39</v>
      </c>
      <c r="G1326">
        <v>-192.96950000000001</v>
      </c>
      <c r="H1326" s="1">
        <v>-1.710188E-6</v>
      </c>
      <c r="I1326">
        <v>331.73390000000001</v>
      </c>
      <c r="J1326">
        <v>-191.72579999999999</v>
      </c>
      <c r="K1326">
        <v>1.0994469999999901</v>
      </c>
      <c r="L1326">
        <v>346.14019999999999</v>
      </c>
      <c r="M1326">
        <v>0.14931759999999999</v>
      </c>
      <c r="N1326">
        <v>0</v>
      </c>
      <c r="O1326">
        <v>-0.98876309999999901</v>
      </c>
      <c r="P1326">
        <v>7.9564599999999999E-2</v>
      </c>
      <c r="Q1326">
        <v>4.6673539999999999E-2</v>
      </c>
      <c r="R1326">
        <v>-0.99573639999999997</v>
      </c>
      <c r="S1326">
        <v>-0.2511139</v>
      </c>
      <c r="T1326">
        <v>-0.22827939999999999</v>
      </c>
      <c r="U1326">
        <v>-3.0464169999999999</v>
      </c>
      <c r="V1326">
        <v>7.0595089999999999E-2</v>
      </c>
      <c r="W1326">
        <v>5.3082129999999998E-2</v>
      </c>
      <c r="X1326">
        <v>0.99609169999999903</v>
      </c>
      <c r="Y1326">
        <v>0.2298231</v>
      </c>
      <c r="Z1326">
        <v>7.2343450000000004E-2</v>
      </c>
      <c r="AA1326">
        <v>0.97053989999999901</v>
      </c>
      <c r="AB1326">
        <v>25</v>
      </c>
      <c r="AC1326">
        <v>-1.24370000000001</v>
      </c>
      <c r="AD1326">
        <v>-1.0994487101879999</v>
      </c>
      <c r="AE1326">
        <v>-14.4062999999999</v>
      </c>
      <c r="AF1326">
        <v>3.36149278809004</v>
      </c>
      <c r="AG1326">
        <v>-1.0994487101879999</v>
      </c>
      <c r="AH1326">
        <v>13.9782640222596</v>
      </c>
      <c r="AI1326">
        <v>94.373124216968705</v>
      </c>
      <c r="AJ1326">
        <v>76.478265975177607</v>
      </c>
      <c r="AK1326">
        <v>14.4187477371204</v>
      </c>
    </row>
    <row r="1327" spans="1:37" x14ac:dyDescent="0.2">
      <c r="A1327" t="str">
        <f>"20200111153632638"</f>
        <v>20200111153632638</v>
      </c>
      <c r="B1327" t="str">
        <f>"1578728192633902"</f>
        <v>1578728192633902</v>
      </c>
      <c r="C1327" t="s">
        <v>37</v>
      </c>
      <c r="D1327">
        <v>5.888109</v>
      </c>
      <c r="E1327">
        <v>0.56240449999999997</v>
      </c>
      <c r="F1327" t="s">
        <v>39</v>
      </c>
      <c r="G1327">
        <v>-193.00739999999999</v>
      </c>
      <c r="H1327" s="1">
        <v>-1.534535E-6</v>
      </c>
      <c r="I1327">
        <v>331.30090000000001</v>
      </c>
      <c r="J1327">
        <v>-191.69730000000001</v>
      </c>
      <c r="K1327">
        <v>1.099453</v>
      </c>
      <c r="L1327">
        <v>345.90679999999998</v>
      </c>
      <c r="M1327">
        <v>0.14311499999999999</v>
      </c>
      <c r="N1327">
        <v>0</v>
      </c>
      <c r="O1327">
        <v>-0.98968259999999897</v>
      </c>
      <c r="P1327">
        <v>7.4711949999999999E-2</v>
      </c>
      <c r="Q1327">
        <v>4.795518E-2</v>
      </c>
      <c r="R1327">
        <v>-0.99605140000000003</v>
      </c>
      <c r="S1327">
        <v>-0.26293949999999999</v>
      </c>
      <c r="T1327">
        <v>-0.22556570000000001</v>
      </c>
      <c r="U1327">
        <v>-3.0444640000000001</v>
      </c>
      <c r="V1327">
        <v>6.9195729999999997E-2</v>
      </c>
      <c r="W1327">
        <v>5.4026810000000001E-2</v>
      </c>
      <c r="X1327">
        <v>0.996139</v>
      </c>
      <c r="Y1327">
        <v>0.22751929999999901</v>
      </c>
      <c r="Z1327">
        <v>7.1643520000000002E-2</v>
      </c>
      <c r="AA1327">
        <v>0.97113449999999901</v>
      </c>
      <c r="AB1327">
        <v>25</v>
      </c>
      <c r="AC1327">
        <v>-1.3100999999999701</v>
      </c>
      <c r="AD1327">
        <v>-1.099454534535</v>
      </c>
      <c r="AE1327">
        <v>-14.605899999999901</v>
      </c>
      <c r="AF1327">
        <v>3.3680532033822699</v>
      </c>
      <c r="AG1327">
        <v>-1.099454534535</v>
      </c>
      <c r="AH1327">
        <v>14.188288352716899</v>
      </c>
      <c r="AI1327">
        <v>94.311664821991499</v>
      </c>
      <c r="AJ1327">
        <v>76.646147465168198</v>
      </c>
      <c r="AK1327">
        <v>14.6239566819026</v>
      </c>
    </row>
    <row r="1328" spans="1:37" x14ac:dyDescent="0.2">
      <c r="A1328" t="str">
        <f>"20200111153632661"</f>
        <v>20200111153632661</v>
      </c>
      <c r="B1328" t="str">
        <f>"1578728192653423"</f>
        <v>1578728192653423</v>
      </c>
      <c r="C1328" t="s">
        <v>37</v>
      </c>
      <c r="D1328">
        <v>5.9993480000000003</v>
      </c>
      <c r="E1328">
        <v>0.55178609999999995</v>
      </c>
      <c r="F1328" t="s">
        <v>39</v>
      </c>
      <c r="G1328">
        <v>-193.06299999999999</v>
      </c>
      <c r="H1328" s="1">
        <v>-1.296806E-6</v>
      </c>
      <c r="I1328">
        <v>330.71230000000003</v>
      </c>
      <c r="J1328">
        <v>-191.6677</v>
      </c>
      <c r="K1328">
        <v>1.099475</v>
      </c>
      <c r="L1328">
        <v>345.65280000000001</v>
      </c>
      <c r="M1328">
        <v>0.136543</v>
      </c>
      <c r="N1328">
        <v>0</v>
      </c>
      <c r="O1328">
        <v>-0.99061330000000003</v>
      </c>
      <c r="P1328">
        <v>6.9706299999999999E-2</v>
      </c>
      <c r="Q1328">
        <v>4.9067029999999998E-2</v>
      </c>
      <c r="R1328">
        <v>-0.99636039999999904</v>
      </c>
      <c r="S1328">
        <v>-0.27351379999999997</v>
      </c>
      <c r="T1328">
        <v>-0.22018889999999999</v>
      </c>
      <c r="U1328">
        <v>-3.0430299999999999</v>
      </c>
      <c r="V1328">
        <v>6.7579490000000006E-2</v>
      </c>
      <c r="W1328">
        <v>5.4781490000000002E-2</v>
      </c>
      <c r="X1328">
        <v>0.99620880000000001</v>
      </c>
      <c r="Y1328">
        <v>0.224453499999999</v>
      </c>
      <c r="Z1328">
        <v>7.0092790000000002E-2</v>
      </c>
      <c r="AA1328">
        <v>0.97196070000000001</v>
      </c>
      <c r="AB1328">
        <v>25</v>
      </c>
      <c r="AC1328">
        <v>-1.39529999999999</v>
      </c>
      <c r="AD1328">
        <v>-1.0994762968059999</v>
      </c>
      <c r="AE1328">
        <v>-14.940499999999901</v>
      </c>
      <c r="AF1328">
        <v>3.40401890233918</v>
      </c>
      <c r="AG1328">
        <v>-1.0994762968059999</v>
      </c>
      <c r="AH1328">
        <v>14.5320230122213</v>
      </c>
      <c r="AI1328">
        <v>94.213076176870601</v>
      </c>
      <c r="AJ1328">
        <v>76.816580267774697</v>
      </c>
      <c r="AK1328">
        <v>14.965823921269701</v>
      </c>
    </row>
    <row r="1329" spans="1:37" x14ac:dyDescent="0.2">
      <c r="A1329" t="str">
        <f>"20200111153632683"</f>
        <v>20200111153632683</v>
      </c>
      <c r="B1329" t="str">
        <f>"1578728192673917"</f>
        <v>1578728192673917</v>
      </c>
      <c r="C1329" t="s">
        <v>37</v>
      </c>
      <c r="D1329">
        <v>5.988569</v>
      </c>
      <c r="E1329">
        <v>0.55150749999999904</v>
      </c>
      <c r="F1329" t="s">
        <v>38</v>
      </c>
      <c r="G1329">
        <v>-191.73179999999999</v>
      </c>
      <c r="H1329">
        <v>1.0169709999999901</v>
      </c>
      <c r="I1329">
        <v>344.702</v>
      </c>
      <c r="J1329">
        <v>-191.63919999999999</v>
      </c>
      <c r="K1329">
        <v>1.0994999999999999</v>
      </c>
      <c r="L1329">
        <v>345.39519999999999</v>
      </c>
      <c r="M1329">
        <v>0.13007750000000001</v>
      </c>
      <c r="N1329">
        <v>0</v>
      </c>
      <c r="O1329">
        <v>-0.99148519999999896</v>
      </c>
      <c r="P1329">
        <v>6.5362879999999998E-2</v>
      </c>
      <c r="Q1329">
        <v>5.0000950000000002E-2</v>
      </c>
      <c r="R1329">
        <v>-0.9966083</v>
      </c>
      <c r="S1329">
        <v>-0.20437620000000001</v>
      </c>
      <c r="T1329">
        <v>-0.26359129999999997</v>
      </c>
      <c r="U1329">
        <v>-3.0382389999999999</v>
      </c>
      <c r="V1329">
        <v>6.5412349999999994E-2</v>
      </c>
      <c r="W1329">
        <v>5.5380440000000003E-2</v>
      </c>
      <c r="X1329">
        <v>0.99632039999999999</v>
      </c>
      <c r="Y1329">
        <v>0.1960865</v>
      </c>
      <c r="Z1329">
        <v>8.4397109999999997E-2</v>
      </c>
      <c r="AA1329">
        <v>0.97694789999999998</v>
      </c>
      <c r="AB1329">
        <v>25</v>
      </c>
      <c r="AC1329">
        <v>-9.2600000000004401E-2</v>
      </c>
      <c r="AD1329">
        <v>-8.2529000000000005E-2</v>
      </c>
      <c r="AE1329">
        <v>-0.69319999999999005</v>
      </c>
      <c r="AF1329">
        <v>0.17948517128323099</v>
      </c>
      <c r="AG1329">
        <v>-8.2529000000000005E-2</v>
      </c>
      <c r="AH1329">
        <v>0.66599050483923194</v>
      </c>
      <c r="AI1329">
        <v>96.823014676303899</v>
      </c>
      <c r="AJ1329">
        <v>74.917071028051794</v>
      </c>
      <c r="AK1329">
        <v>0.694672091772504</v>
      </c>
    </row>
    <row r="1330" spans="1:37" x14ac:dyDescent="0.2">
      <c r="A1330" t="str">
        <f>"20200111153632706"</f>
        <v>20200111153632706</v>
      </c>
      <c r="B1330" t="str">
        <f>"1578728192693436"</f>
        <v>1578728192693436</v>
      </c>
      <c r="C1330" t="s">
        <v>37</v>
      </c>
      <c r="D1330">
        <v>5.9154080000000002</v>
      </c>
      <c r="E1330">
        <v>0.55153379999999996</v>
      </c>
      <c r="F1330" t="s">
        <v>38</v>
      </c>
      <c r="G1330">
        <v>-191.7045</v>
      </c>
      <c r="H1330">
        <v>1.021104</v>
      </c>
      <c r="I1330">
        <v>344.4744</v>
      </c>
      <c r="J1330">
        <v>-191.6123</v>
      </c>
      <c r="K1330">
        <v>1.0995219999999899</v>
      </c>
      <c r="L1330">
        <v>345.13889999999998</v>
      </c>
      <c r="M1330">
        <v>0.1238076</v>
      </c>
      <c r="N1330">
        <v>0</v>
      </c>
      <c r="O1330">
        <v>-0.9922898</v>
      </c>
      <c r="P1330">
        <v>6.1206759999999999E-2</v>
      </c>
      <c r="Q1330">
        <v>5.0830640000000003E-2</v>
      </c>
      <c r="R1330">
        <v>-0.9968302</v>
      </c>
      <c r="S1330">
        <v>-0.21504210000000001</v>
      </c>
      <c r="T1330">
        <v>-0.25855250000000002</v>
      </c>
      <c r="U1330">
        <v>-3.0372919999999999</v>
      </c>
      <c r="V1330">
        <v>6.3260759999999999E-2</v>
      </c>
      <c r="W1330">
        <v>5.5902720000000003E-2</v>
      </c>
      <c r="X1330">
        <v>0.99643009999999999</v>
      </c>
      <c r="Y1330">
        <v>0.19333149999999999</v>
      </c>
      <c r="Z1330">
        <v>8.293623E-2</v>
      </c>
      <c r="AA1330">
        <v>0.97762190000000004</v>
      </c>
      <c r="AB1330">
        <v>26</v>
      </c>
      <c r="AC1330">
        <v>-9.2199999999991095E-2</v>
      </c>
      <c r="AD1330">
        <v>-7.8417999999999793E-2</v>
      </c>
      <c r="AE1330">
        <v>-0.664499999999975</v>
      </c>
      <c r="AF1330">
        <v>0.17141991901105499</v>
      </c>
      <c r="AG1330">
        <v>-7.8417999999999793E-2</v>
      </c>
      <c r="AH1330">
        <v>0.63923789479813697</v>
      </c>
      <c r="AI1330">
        <v>96.757348157529606</v>
      </c>
      <c r="AJ1330">
        <v>74.988573675897698</v>
      </c>
      <c r="AK1330">
        <v>0.66645274213833805</v>
      </c>
    </row>
    <row r="1331" spans="1:37" x14ac:dyDescent="0.2">
      <c r="A1331" t="str">
        <f>"20200111153632727"</f>
        <v>20200111153632727</v>
      </c>
      <c r="B1331" t="str">
        <f>"1578728192723693"</f>
        <v>1578728192723693</v>
      </c>
      <c r="C1331" t="s">
        <v>37</v>
      </c>
      <c r="D1331">
        <v>5.9028429999999998</v>
      </c>
      <c r="E1331">
        <v>0.55171539999999997</v>
      </c>
      <c r="F1331" t="s">
        <v>38</v>
      </c>
      <c r="G1331">
        <v>-191.6797</v>
      </c>
      <c r="H1331">
        <v>1.02434</v>
      </c>
      <c r="I1331">
        <v>344.24250000000001</v>
      </c>
      <c r="J1331">
        <v>-191.58690000000001</v>
      </c>
      <c r="K1331">
        <v>1.0995360000000001</v>
      </c>
      <c r="L1331">
        <v>344.88279999999997</v>
      </c>
      <c r="M1331">
        <v>0.11770319999999999</v>
      </c>
      <c r="N1331">
        <v>0</v>
      </c>
      <c r="O1331">
        <v>-0.99303399999999997</v>
      </c>
      <c r="P1331">
        <v>5.6955560000000002E-2</v>
      </c>
      <c r="Q1331">
        <v>5.1345269999999998E-2</v>
      </c>
      <c r="R1331">
        <v>-0.99705569999999899</v>
      </c>
      <c r="S1331">
        <v>-0.2278442</v>
      </c>
      <c r="T1331">
        <v>-0.25469269999999999</v>
      </c>
      <c r="U1331">
        <v>-3.0365599999999899</v>
      </c>
      <c r="V1331">
        <v>6.1374699999999997E-2</v>
      </c>
      <c r="W1331">
        <v>5.6132660000000001E-2</v>
      </c>
      <c r="X1331">
        <v>0.99653510000000001</v>
      </c>
      <c r="Y1331">
        <v>0.191421799999999</v>
      </c>
      <c r="Z1331">
        <v>8.1822480000000003E-2</v>
      </c>
      <c r="AA1331">
        <v>0.97809140000000006</v>
      </c>
      <c r="AB1331">
        <v>26</v>
      </c>
      <c r="AC1331">
        <v>-9.2799999999982605E-2</v>
      </c>
      <c r="AD1331">
        <v>-7.5195999999999999E-2</v>
      </c>
      <c r="AE1331">
        <v>-0.64029999999996701</v>
      </c>
      <c r="AF1331">
        <v>0.165288642790139</v>
      </c>
      <c r="AG1331">
        <v>-7.5195999999999999E-2</v>
      </c>
      <c r="AH1331">
        <v>0.61659695226135003</v>
      </c>
      <c r="AI1331">
        <v>96.718160697758407</v>
      </c>
      <c r="AJ1331">
        <v>74.993759024435207</v>
      </c>
      <c r="AK1331">
        <v>0.642780347700046</v>
      </c>
    </row>
    <row r="1332" spans="1:37" x14ac:dyDescent="0.2">
      <c r="A1332" t="str">
        <f>"20200111153632750"</f>
        <v>20200111153632750</v>
      </c>
      <c r="B1332" t="str">
        <f>"1578728192744188"</f>
        <v>1578728192744188</v>
      </c>
      <c r="C1332" t="s">
        <v>37</v>
      </c>
      <c r="D1332">
        <v>5.9626769999999896</v>
      </c>
      <c r="E1332">
        <v>0.55137460000000005</v>
      </c>
      <c r="F1332" t="s">
        <v>38</v>
      </c>
      <c r="G1332">
        <v>-191.65710000000001</v>
      </c>
      <c r="H1332">
        <v>1.0285249999999999</v>
      </c>
      <c r="I1332">
        <v>344.00400000000002</v>
      </c>
      <c r="J1332">
        <v>-191.56219999999999</v>
      </c>
      <c r="K1332">
        <v>1.099553</v>
      </c>
      <c r="L1332">
        <v>344.61970000000002</v>
      </c>
      <c r="M1332">
        <v>0.1116017</v>
      </c>
      <c r="N1332">
        <v>0</v>
      </c>
      <c r="O1332">
        <v>-0.99373989999999901</v>
      </c>
      <c r="P1332">
        <v>5.253874E-2</v>
      </c>
      <c r="Q1332">
        <v>5.2602929999999999E-2</v>
      </c>
      <c r="R1332">
        <v>-0.99723269999999997</v>
      </c>
      <c r="S1332">
        <v>-0.242202799999999</v>
      </c>
      <c r="T1332">
        <v>-0.2452867</v>
      </c>
      <c r="U1332">
        <v>-3.0353699999999999</v>
      </c>
      <c r="V1332">
        <v>5.9663319999999999E-2</v>
      </c>
      <c r="W1332">
        <v>5.7120990000000003E-2</v>
      </c>
      <c r="X1332">
        <v>0.99658289999999905</v>
      </c>
      <c r="Y1332">
        <v>0.190040299999999</v>
      </c>
      <c r="Z1332">
        <v>7.8932699999999995E-2</v>
      </c>
      <c r="AA1332">
        <v>0.97859810000000003</v>
      </c>
      <c r="AB1332">
        <v>26</v>
      </c>
      <c r="AC1332">
        <v>-9.4900000000023896E-2</v>
      </c>
      <c r="AD1332">
        <v>-7.1027999999999994E-2</v>
      </c>
      <c r="AE1332">
        <v>-0.61570000000000302</v>
      </c>
      <c r="AF1332">
        <v>0.160929222044745</v>
      </c>
      <c r="AG1332">
        <v>-7.1027999999999994E-2</v>
      </c>
      <c r="AH1332">
        <v>0.593546730828446</v>
      </c>
      <c r="AI1332">
        <v>96.588305952753402</v>
      </c>
      <c r="AJ1332">
        <v>74.830016329017397</v>
      </c>
      <c r="AK1332">
        <v>0.61906454669045796</v>
      </c>
    </row>
    <row r="1333" spans="1:37" x14ac:dyDescent="0.2">
      <c r="A1333" t="str">
        <f>"20200111153632773"</f>
        <v>20200111153632773</v>
      </c>
      <c r="B1333" t="str">
        <f>"1578728192763709"</f>
        <v>1578728192763709</v>
      </c>
      <c r="C1333" t="s">
        <v>37</v>
      </c>
      <c r="D1333">
        <v>5.9135619999999998</v>
      </c>
      <c r="E1333">
        <v>0.55111460000000001</v>
      </c>
      <c r="F1333" t="s">
        <v>38</v>
      </c>
      <c r="G1333">
        <v>-191.63290000000001</v>
      </c>
      <c r="H1333">
        <v>1.0323290000000001</v>
      </c>
      <c r="I1333">
        <v>343.77289999999999</v>
      </c>
      <c r="J1333">
        <v>-191.5385</v>
      </c>
      <c r="K1333">
        <v>1.0995900000000001</v>
      </c>
      <c r="L1333">
        <v>344.35039999999998</v>
      </c>
      <c r="M1333">
        <v>0.10553940000000001</v>
      </c>
      <c r="N1333">
        <v>0</v>
      </c>
      <c r="O1333">
        <v>-0.99440339999999905</v>
      </c>
      <c r="P1333">
        <v>4.8314839999999998E-2</v>
      </c>
      <c r="Q1333">
        <v>5.3539009999999998E-2</v>
      </c>
      <c r="R1333">
        <v>-0.99739639999999996</v>
      </c>
      <c r="S1333">
        <v>-0.25273129999999999</v>
      </c>
      <c r="T1333">
        <v>-0.240858399999999</v>
      </c>
      <c r="U1333">
        <v>-3.0343019999999998</v>
      </c>
      <c r="V1333">
        <v>5.7798990000000001E-2</v>
      </c>
      <c r="W1333">
        <v>5.7803170000000001E-2</v>
      </c>
      <c r="X1333">
        <v>0.99665339999999902</v>
      </c>
      <c r="Y1333">
        <v>0.18746209999999999</v>
      </c>
      <c r="Z1333">
        <v>7.7630920000000006E-2</v>
      </c>
      <c r="AA1333">
        <v>0.97919929999999999</v>
      </c>
      <c r="AB1333">
        <v>26</v>
      </c>
      <c r="AC1333">
        <v>-9.4400000000007298E-2</v>
      </c>
      <c r="AD1333">
        <v>-6.7261000000000001E-2</v>
      </c>
      <c r="AE1333">
        <v>-0.57749999999998602</v>
      </c>
      <c r="AF1333">
        <v>0.15280363828041699</v>
      </c>
      <c r="AG1333">
        <v>-6.7261000000000001E-2</v>
      </c>
      <c r="AH1333">
        <v>0.55695312383699203</v>
      </c>
      <c r="AI1333">
        <v>96.642876634896496</v>
      </c>
      <c r="AJ1333">
        <v>74.658038813439703</v>
      </c>
      <c r="AK1333">
        <v>0.58143768036180499</v>
      </c>
    </row>
    <row r="1334" spans="1:37" x14ac:dyDescent="0.2">
      <c r="A1334" t="str">
        <f>"20200111153632794"</f>
        <v>20200111153632794</v>
      </c>
      <c r="B1334" t="str">
        <f>"1578728192784207"</f>
        <v>1578728192784207</v>
      </c>
      <c r="C1334" t="s">
        <v>37</v>
      </c>
      <c r="D1334">
        <v>5.9261019999999904</v>
      </c>
      <c r="E1334">
        <v>0.55091639999999997</v>
      </c>
      <c r="F1334" t="s">
        <v>38</v>
      </c>
      <c r="G1334">
        <v>-191.60919999999999</v>
      </c>
      <c r="H1334">
        <v>1.0360559999999901</v>
      </c>
      <c r="I1334">
        <v>343.53649999999999</v>
      </c>
      <c r="J1334">
        <v>-191.51689999999999</v>
      </c>
      <c r="K1334">
        <v>1.0996410000000001</v>
      </c>
      <c r="L1334">
        <v>344.09019999999998</v>
      </c>
      <c r="M1334">
        <v>9.9867310000000001E-2</v>
      </c>
      <c r="N1334">
        <v>0</v>
      </c>
      <c r="O1334">
        <v>-0.99499009999999999</v>
      </c>
      <c r="P1334">
        <v>4.448568E-2</v>
      </c>
      <c r="Q1334">
        <v>5.4316459999999997E-2</v>
      </c>
      <c r="R1334">
        <v>-0.99753230000000004</v>
      </c>
      <c r="S1334">
        <v>-0.26344299999999998</v>
      </c>
      <c r="T1334">
        <v>-0.2368352</v>
      </c>
      <c r="U1334">
        <v>-3.033264</v>
      </c>
      <c r="V1334">
        <v>5.5931880000000003E-2</v>
      </c>
      <c r="W1334">
        <v>5.8352999999999898E-2</v>
      </c>
      <c r="X1334">
        <v>0.9967279</v>
      </c>
      <c r="Y1334">
        <v>0.18532979999999999</v>
      </c>
      <c r="Z1334">
        <v>7.6440640000000004E-2</v>
      </c>
      <c r="AA1334">
        <v>0.97969879999999998</v>
      </c>
      <c r="AB1334">
        <v>26</v>
      </c>
      <c r="AC1334">
        <v>-9.2299999999994498E-2</v>
      </c>
      <c r="AD1334">
        <v>-6.3585000000000197E-2</v>
      </c>
      <c r="AE1334">
        <v>-0.55369999999999198</v>
      </c>
      <c r="AF1334">
        <v>0.145271711387637</v>
      </c>
      <c r="AG1334">
        <v>-6.3585000000000197E-2</v>
      </c>
      <c r="AH1334">
        <v>0.53485139329681497</v>
      </c>
      <c r="AI1334">
        <v>96.544754185183194</v>
      </c>
      <c r="AJ1334">
        <v>74.804409107250606</v>
      </c>
      <c r="AK1334">
        <v>0.55786462091267097</v>
      </c>
    </row>
    <row r="1335" spans="1:37" x14ac:dyDescent="0.2">
      <c r="A1335" t="str">
        <f>"20200111153632816"</f>
        <v>20200111153632816</v>
      </c>
      <c r="B1335" t="str">
        <f>"1578728192803727"</f>
        <v>1578728192803727</v>
      </c>
      <c r="C1335" t="s">
        <v>37</v>
      </c>
      <c r="D1335">
        <v>5.9372619999999996</v>
      </c>
      <c r="E1335">
        <v>0.5504869</v>
      </c>
      <c r="F1335" t="s">
        <v>38</v>
      </c>
      <c r="G1335">
        <v>-191.58840000000001</v>
      </c>
      <c r="H1335">
        <v>1.0382169999999999</v>
      </c>
      <c r="I1335">
        <v>343.29919999999998</v>
      </c>
      <c r="J1335">
        <v>-191.4967</v>
      </c>
      <c r="K1335">
        <v>1.0997110000000001</v>
      </c>
      <c r="L1335">
        <v>343.83319999999998</v>
      </c>
      <c r="M1335">
        <v>9.4449630000000007E-2</v>
      </c>
      <c r="N1335">
        <v>0</v>
      </c>
      <c r="O1335">
        <v>-0.99552009999999902</v>
      </c>
      <c r="P1335">
        <v>4.0722939999999999E-2</v>
      </c>
      <c r="Q1335">
        <v>5.4822780000000002E-2</v>
      </c>
      <c r="R1335">
        <v>-0.99766529999999998</v>
      </c>
      <c r="S1335">
        <v>-0.27346799999999999</v>
      </c>
      <c r="T1335">
        <v>-0.23553449999999901</v>
      </c>
      <c r="U1335">
        <v>-3.0324709999999899</v>
      </c>
      <c r="V1335">
        <v>5.4252979999999999E-2</v>
      </c>
      <c r="W1335">
        <v>5.8651929999999998E-2</v>
      </c>
      <c r="X1335">
        <v>0.996803199999999</v>
      </c>
      <c r="Y1335">
        <v>0.18321870000000001</v>
      </c>
      <c r="Z1335">
        <v>7.6108679999999998E-2</v>
      </c>
      <c r="AA1335">
        <v>0.98012160000000004</v>
      </c>
      <c r="AB1335">
        <v>26</v>
      </c>
      <c r="AC1335">
        <v>-9.1700000000003001E-2</v>
      </c>
      <c r="AD1335">
        <v>-6.1494000000000097E-2</v>
      </c>
      <c r="AE1335">
        <v>-0.53399999999999104</v>
      </c>
      <c r="AF1335">
        <v>0.139924228912295</v>
      </c>
      <c r="AG1335">
        <v>-6.1494000000000097E-2</v>
      </c>
      <c r="AH1335">
        <v>0.51630101585601196</v>
      </c>
      <c r="AI1335">
        <v>96.557822303094795</v>
      </c>
      <c r="AJ1335">
        <v>74.836347751271404</v>
      </c>
      <c r="AK1335">
        <v>0.53844873557902395</v>
      </c>
    </row>
    <row r="1336" spans="1:37" x14ac:dyDescent="0.2">
      <c r="A1336" t="str">
        <f>"20200111153632838"</f>
        <v>20200111153632838</v>
      </c>
      <c r="B1336" t="str">
        <f>"1578728192833981"</f>
        <v>1578728192833981</v>
      </c>
      <c r="C1336" t="s">
        <v>37</v>
      </c>
      <c r="D1336">
        <v>5.8800460000000001</v>
      </c>
      <c r="E1336">
        <v>0.5499889</v>
      </c>
      <c r="F1336" t="s">
        <v>38</v>
      </c>
      <c r="G1336">
        <v>-191.5685</v>
      </c>
      <c r="H1336">
        <v>1.0394669999999999</v>
      </c>
      <c r="I1336">
        <v>343.0609</v>
      </c>
      <c r="J1336">
        <v>-191.477</v>
      </c>
      <c r="K1336">
        <v>1.099788</v>
      </c>
      <c r="L1336">
        <v>343.56540000000001</v>
      </c>
      <c r="M1336">
        <v>8.9011290000000007E-2</v>
      </c>
      <c r="N1336">
        <v>0</v>
      </c>
      <c r="O1336">
        <v>-0.99602219999999997</v>
      </c>
      <c r="P1336">
        <v>3.6967960000000001E-2</v>
      </c>
      <c r="Q1336">
        <v>5.493775E-2</v>
      </c>
      <c r="R1336">
        <v>-0.99780530000000001</v>
      </c>
      <c r="S1336">
        <v>-0.28131099999999998</v>
      </c>
      <c r="T1336">
        <v>-0.2364781</v>
      </c>
      <c r="U1336">
        <v>-3.0315249999999998</v>
      </c>
      <c r="V1336">
        <v>5.2544149999999998E-2</v>
      </c>
      <c r="W1336">
        <v>5.8570049999999999E-2</v>
      </c>
      <c r="X1336">
        <v>0.99689950000000005</v>
      </c>
      <c r="Y1336">
        <v>0.18038870000000001</v>
      </c>
      <c r="Z1336">
        <v>7.6505119999999996E-2</v>
      </c>
      <c r="AA1336">
        <v>0.98061559999999903</v>
      </c>
      <c r="AB1336">
        <v>26</v>
      </c>
      <c r="AC1336">
        <v>-9.1499999999996307E-2</v>
      </c>
      <c r="AD1336">
        <v>-6.0321E-2</v>
      </c>
      <c r="AE1336">
        <v>-0.50450000000000705</v>
      </c>
      <c r="AF1336">
        <v>0.13418613414775399</v>
      </c>
      <c r="AG1336">
        <v>-6.0321E-2</v>
      </c>
      <c r="AH1336">
        <v>0.48760401780628398</v>
      </c>
      <c r="AI1336">
        <v>96.801816141433605</v>
      </c>
      <c r="AJ1336">
        <v>74.613367967711994</v>
      </c>
      <c r="AK1336">
        <v>0.50931544235311599</v>
      </c>
    </row>
    <row r="1337" spans="1:37" x14ac:dyDescent="0.2">
      <c r="A1337" t="str">
        <f>"20200111153632862"</f>
        <v>20200111153632862</v>
      </c>
      <c r="B1337" t="str">
        <f>"1578728192853501"</f>
        <v>1578728192853501</v>
      </c>
      <c r="C1337" t="s">
        <v>37</v>
      </c>
      <c r="D1337">
        <v>5.8679649999999999</v>
      </c>
      <c r="E1337">
        <v>0.54944999999999999</v>
      </c>
      <c r="F1337" t="s">
        <v>38</v>
      </c>
      <c r="G1337">
        <v>-191.54820000000001</v>
      </c>
      <c r="H1337">
        <v>1.0416669999999999</v>
      </c>
      <c r="I1337">
        <v>342.82069999999999</v>
      </c>
      <c r="J1337">
        <v>-191.458</v>
      </c>
      <c r="K1337">
        <v>1.099877</v>
      </c>
      <c r="L1337">
        <v>343.28949999999998</v>
      </c>
      <c r="M1337">
        <v>8.3652240000000003E-2</v>
      </c>
      <c r="N1337">
        <v>0</v>
      </c>
      <c r="O1337">
        <v>-0.99648760000000003</v>
      </c>
      <c r="P1337">
        <v>3.4222740000000001E-2</v>
      </c>
      <c r="Q1337">
        <v>5.4737470000000003E-2</v>
      </c>
      <c r="R1337">
        <v>-0.99791450000000004</v>
      </c>
      <c r="S1337">
        <v>-0.28849789999999997</v>
      </c>
      <c r="T1337">
        <v>-0.23655229999999899</v>
      </c>
      <c r="U1337">
        <v>-3.03027299999999</v>
      </c>
      <c r="V1337">
        <v>4.9904999999999998E-2</v>
      </c>
      <c r="W1337">
        <v>5.8193519999999999E-2</v>
      </c>
      <c r="X1337">
        <v>0.99705719999999998</v>
      </c>
      <c r="Y1337">
        <v>0.17743919999999999</v>
      </c>
      <c r="Z1337">
        <v>7.6626810000000004E-2</v>
      </c>
      <c r="AA1337">
        <v>0.98114409999999896</v>
      </c>
      <c r="AB1337">
        <v>27</v>
      </c>
      <c r="AC1337">
        <v>-9.0200000000009994E-2</v>
      </c>
      <c r="AD1337">
        <v>-5.8210000000000102E-2</v>
      </c>
      <c r="AE1337">
        <v>-0.468799999999987</v>
      </c>
      <c r="AF1337">
        <v>0.12720904664709701</v>
      </c>
      <c r="AG1337">
        <v>-5.8210000000000102E-2</v>
      </c>
      <c r="AH1337">
        <v>0.45287826024296601</v>
      </c>
      <c r="AI1337">
        <v>97.054173557145006</v>
      </c>
      <c r="AJ1337">
        <v>74.310470000314098</v>
      </c>
      <c r="AK1337">
        <v>0.47399289472476203</v>
      </c>
    </row>
    <row r="1338" spans="1:37" x14ac:dyDescent="0.2">
      <c r="A1338" t="str">
        <f>"20200111153632895"</f>
        <v>20200111153632895</v>
      </c>
      <c r="B1338" t="str">
        <f>"1578728192883756"</f>
        <v>1578728192883756</v>
      </c>
      <c r="C1338" t="s">
        <v>37</v>
      </c>
      <c r="D1338">
        <v>5.9081460000000003</v>
      </c>
      <c r="E1338">
        <v>0.54881550000000001</v>
      </c>
      <c r="F1338" t="s">
        <v>38</v>
      </c>
      <c r="G1338">
        <v>-191.5496</v>
      </c>
      <c r="H1338">
        <v>1.0253350000000001</v>
      </c>
      <c r="I1338">
        <v>342.34210000000002</v>
      </c>
      <c r="J1338">
        <v>-191.4316</v>
      </c>
      <c r="K1338">
        <v>1.1000000000000001</v>
      </c>
      <c r="L1338">
        <v>342.87259999999998</v>
      </c>
      <c r="M1338">
        <v>7.5982889999999997E-2</v>
      </c>
      <c r="N1338">
        <v>0</v>
      </c>
      <c r="O1338">
        <v>-0.99710279999999996</v>
      </c>
      <c r="P1338">
        <v>2.9339870000000001E-2</v>
      </c>
      <c r="Q1338">
        <v>5.5219549999999999E-2</v>
      </c>
      <c r="R1338">
        <v>-0.99804349999999997</v>
      </c>
      <c r="S1338">
        <v>-0.29217529999999903</v>
      </c>
      <c r="T1338">
        <v>-0.23839099999999999</v>
      </c>
      <c r="U1338">
        <v>-3.029388</v>
      </c>
      <c r="V1338">
        <v>4.7088249999999998E-2</v>
      </c>
      <c r="W1338">
        <v>5.84263E-2</v>
      </c>
      <c r="X1338">
        <v>0.99718059999999997</v>
      </c>
      <c r="Y1338">
        <v>0.1710662</v>
      </c>
      <c r="Z1338">
        <v>7.7352989999999996E-2</v>
      </c>
      <c r="AA1338">
        <v>0.98221829999999999</v>
      </c>
      <c r="AB1338">
        <v>27</v>
      </c>
      <c r="AC1338">
        <v>-0.117999999999994</v>
      </c>
      <c r="AD1338">
        <v>-7.4664999999999898E-2</v>
      </c>
      <c r="AE1338">
        <v>-0.53049999999996</v>
      </c>
      <c r="AF1338">
        <v>0.15504161219887</v>
      </c>
      <c r="AG1338">
        <v>-7.4664999999999898E-2</v>
      </c>
      <c r="AH1338">
        <v>0.51036706604627902</v>
      </c>
      <c r="AI1338">
        <v>97.968494607201194</v>
      </c>
      <c r="AJ1338">
        <v>73.102030712961806</v>
      </c>
      <c r="AK1338">
        <v>0.53859753605351002</v>
      </c>
    </row>
    <row r="1339" spans="1:37" x14ac:dyDescent="0.2">
      <c r="A1339" t="str">
        <f>"20200111153632916"</f>
        <v>20200111153632916</v>
      </c>
      <c r="B1339" t="str">
        <f>"1578728192904255"</f>
        <v>1578728192904255</v>
      </c>
      <c r="C1339" t="s">
        <v>37</v>
      </c>
      <c r="D1339">
        <v>5.9081330000000003</v>
      </c>
      <c r="E1339">
        <v>0.54837630000000004</v>
      </c>
      <c r="F1339" t="s">
        <v>38</v>
      </c>
      <c r="G1339">
        <v>-191.50919999999999</v>
      </c>
      <c r="H1339">
        <v>1.038483</v>
      </c>
      <c r="I1339">
        <v>342.09429999999998</v>
      </c>
      <c r="J1339">
        <v>-191.41659999999999</v>
      </c>
      <c r="K1339">
        <v>1.100074</v>
      </c>
      <c r="L1339">
        <v>342.61450000000002</v>
      </c>
      <c r="M1339">
        <v>7.1455599999999994E-2</v>
      </c>
      <c r="N1339">
        <v>0</v>
      </c>
      <c r="O1339">
        <v>-0.99743780000000004</v>
      </c>
      <c r="P1339">
        <v>2.651951E-2</v>
      </c>
      <c r="Q1339">
        <v>5.5258290000000002E-2</v>
      </c>
      <c r="R1339">
        <v>-0.99811970000000005</v>
      </c>
      <c r="S1339">
        <v>-0.30154419999999998</v>
      </c>
      <c r="T1339">
        <v>-0.23936360000000001</v>
      </c>
      <c r="U1339">
        <v>-3.0279539999999998</v>
      </c>
      <c r="V1339">
        <v>4.5365740000000002E-2</v>
      </c>
      <c r="W1339">
        <v>5.8329659999999998E-2</v>
      </c>
      <c r="X1339">
        <v>0.99726610000000004</v>
      </c>
      <c r="Y1339">
        <v>0.1696453</v>
      </c>
      <c r="Z1339">
        <v>7.774056E-2</v>
      </c>
      <c r="AA1339">
        <v>0.98243419999999904</v>
      </c>
      <c r="AB1339">
        <v>27</v>
      </c>
      <c r="AC1339">
        <v>-9.2600000000004401E-2</v>
      </c>
      <c r="AD1339">
        <v>-6.1590999999999903E-2</v>
      </c>
      <c r="AE1339">
        <v>-0.52020000000004496</v>
      </c>
      <c r="AF1339">
        <v>0.12779823257433401</v>
      </c>
      <c r="AG1339">
        <v>-6.1590999999999903E-2</v>
      </c>
      <c r="AH1339">
        <v>0.50538637430671396</v>
      </c>
      <c r="AI1339">
        <v>96.738266311221906</v>
      </c>
      <c r="AJ1339">
        <v>75.808969590462993</v>
      </c>
      <c r="AK1339">
        <v>0.52492020999863398</v>
      </c>
    </row>
    <row r="1340" spans="1:37" x14ac:dyDescent="0.2">
      <c r="A1340" t="str">
        <f>"20200111153632940"</f>
        <v>20200111153632940</v>
      </c>
      <c r="B1340" t="str">
        <f>"1578728192933533"</f>
        <v>1578728192933533</v>
      </c>
      <c r="C1340" t="s">
        <v>37</v>
      </c>
      <c r="D1340">
        <v>5.9016710000000003</v>
      </c>
      <c r="E1340">
        <v>0.54129620000000001</v>
      </c>
      <c r="F1340" t="s">
        <v>38</v>
      </c>
      <c r="G1340">
        <v>-191.49449999999999</v>
      </c>
      <c r="H1340">
        <v>1.039374</v>
      </c>
      <c r="I1340">
        <v>341.84820000000002</v>
      </c>
      <c r="J1340">
        <v>-191.40090000000001</v>
      </c>
      <c r="K1340">
        <v>1.1001540000000001</v>
      </c>
      <c r="L1340">
        <v>342.32459999999998</v>
      </c>
      <c r="M1340">
        <v>6.6597509999999999E-2</v>
      </c>
      <c r="N1340">
        <v>0</v>
      </c>
      <c r="O1340">
        <v>-0.99777439999999995</v>
      </c>
      <c r="P1340">
        <v>2.2997690000000001E-2</v>
      </c>
      <c r="Q1340">
        <v>5.5440570000000002E-2</v>
      </c>
      <c r="R1340">
        <v>-0.998196999999999</v>
      </c>
      <c r="S1340">
        <v>-0.306610099999999</v>
      </c>
      <c r="T1340">
        <v>-0.2398767</v>
      </c>
      <c r="U1340">
        <v>-3.027069</v>
      </c>
      <c r="V1340">
        <v>4.4012919999999997E-2</v>
      </c>
      <c r="W1340">
        <v>5.8371069999999997E-2</v>
      </c>
      <c r="X1340">
        <v>0.99732430000000005</v>
      </c>
      <c r="Y1340">
        <v>0.16649990000000001</v>
      </c>
      <c r="Z1340">
        <v>7.7983150000000001E-2</v>
      </c>
      <c r="AA1340">
        <v>0.98295290000000002</v>
      </c>
      <c r="AB1340">
        <v>27</v>
      </c>
      <c r="AC1340">
        <v>-9.3599999999980796E-2</v>
      </c>
      <c r="AD1340">
        <v>-6.0780000000000001E-2</v>
      </c>
      <c r="AE1340">
        <v>-0.47639999999995503</v>
      </c>
      <c r="AF1340">
        <v>0.12318879273295601</v>
      </c>
      <c r="AG1340">
        <v>-6.0780000000000001E-2</v>
      </c>
      <c r="AH1340">
        <v>0.461870277835428</v>
      </c>
      <c r="AI1340">
        <v>97.246300897322001</v>
      </c>
      <c r="AJ1340">
        <v>75.065874465845795</v>
      </c>
      <c r="AK1340">
        <v>0.48186496096186399</v>
      </c>
    </row>
    <row r="1341" spans="1:37" x14ac:dyDescent="0.2">
      <c r="A1341" t="str">
        <f>"20200111153632962"</f>
        <v>20200111153632962</v>
      </c>
      <c r="B1341" t="str">
        <f>"1578728192954029"</f>
        <v>1578728192954029</v>
      </c>
      <c r="C1341" t="s">
        <v>37</v>
      </c>
      <c r="D1341">
        <v>5.8826739999999997</v>
      </c>
      <c r="E1341">
        <v>0.54128609999999999</v>
      </c>
      <c r="F1341" t="s">
        <v>38</v>
      </c>
      <c r="G1341">
        <v>-191.48429999999999</v>
      </c>
      <c r="H1341">
        <v>1.0239639999999901</v>
      </c>
      <c r="I1341">
        <v>341.35890000000001</v>
      </c>
      <c r="J1341">
        <v>-191.38679999999999</v>
      </c>
      <c r="K1341">
        <v>1.1002449999999999</v>
      </c>
      <c r="L1341">
        <v>342.0437</v>
      </c>
      <c r="M1341">
        <v>6.214803E-2</v>
      </c>
      <c r="N1341">
        <v>0</v>
      </c>
      <c r="O1341">
        <v>-0.99806209999999995</v>
      </c>
      <c r="P1341">
        <v>2.0027059999999999E-2</v>
      </c>
      <c r="Q1341">
        <v>5.5388840000000002E-2</v>
      </c>
      <c r="R1341">
        <v>-0.99826409999999999</v>
      </c>
      <c r="S1341">
        <v>-0.26080320000000001</v>
      </c>
      <c r="T1341">
        <v>-0.2387282</v>
      </c>
      <c r="U1341">
        <v>-3.024689</v>
      </c>
      <c r="V1341">
        <v>4.2516760000000001E-2</v>
      </c>
      <c r="W1341">
        <v>5.8201610000000001E-2</v>
      </c>
      <c r="X1341">
        <v>0.99739909999999998</v>
      </c>
      <c r="Y1341">
        <v>0.1473961</v>
      </c>
      <c r="Z1341">
        <v>7.7880119999999997E-2</v>
      </c>
      <c r="AA1341">
        <v>0.98600659999999896</v>
      </c>
      <c r="AB1341">
        <v>28</v>
      </c>
      <c r="AC1341">
        <v>-9.7499999999996603E-2</v>
      </c>
      <c r="AD1341">
        <v>-7.6281000000000196E-2</v>
      </c>
      <c r="AE1341">
        <v>-0.68479999999999497</v>
      </c>
      <c r="AF1341">
        <v>0.13819009350827</v>
      </c>
      <c r="AG1341">
        <v>-7.6281000000000196E-2</v>
      </c>
      <c r="AH1341">
        <v>0.66927730583001499</v>
      </c>
      <c r="AI1341">
        <v>96.369029774305005</v>
      </c>
      <c r="AJ1341">
        <v>78.333707251325706</v>
      </c>
      <c r="AK1341">
        <v>0.68763900776781695</v>
      </c>
    </row>
    <row r="1342" spans="1:37" x14ac:dyDescent="0.2">
      <c r="A1342" t="str">
        <f>"20200111153632984"</f>
        <v>20200111153632984</v>
      </c>
      <c r="B1342" t="str">
        <f>"1578728192973548"</f>
        <v>1578728192973548</v>
      </c>
      <c r="C1342" t="s">
        <v>37</v>
      </c>
      <c r="D1342">
        <v>5.9196029999999897</v>
      </c>
      <c r="E1342">
        <v>0.54082790000000003</v>
      </c>
      <c r="F1342" t="s">
        <v>38</v>
      </c>
      <c r="G1342">
        <v>-191.47040000000001</v>
      </c>
      <c r="H1342">
        <v>1.0258969999999901</v>
      </c>
      <c r="I1342">
        <v>341.1078</v>
      </c>
      <c r="J1342">
        <v>-191.37389999999999</v>
      </c>
      <c r="K1342">
        <v>1.100333</v>
      </c>
      <c r="L1342">
        <v>341.76609999999999</v>
      </c>
      <c r="M1342">
        <v>5.7938320000000001E-2</v>
      </c>
      <c r="N1342">
        <v>0</v>
      </c>
      <c r="O1342">
        <v>-0.99831559999999897</v>
      </c>
      <c r="P1342">
        <v>1.7053570000000001E-2</v>
      </c>
      <c r="Q1342">
        <v>5.5483629999999999E-2</v>
      </c>
      <c r="R1342">
        <v>-0.99831440000000005</v>
      </c>
      <c r="S1342">
        <v>-0.2696228</v>
      </c>
      <c r="T1342">
        <v>-0.24030070000000001</v>
      </c>
      <c r="U1342">
        <v>-3.023987</v>
      </c>
      <c r="V1342">
        <v>4.126589E-2</v>
      </c>
      <c r="W1342">
        <v>5.8191609999999998E-2</v>
      </c>
      <c r="X1342">
        <v>0.99745219999999901</v>
      </c>
      <c r="Y1342">
        <v>0.14609449999999999</v>
      </c>
      <c r="Z1342">
        <v>7.8435690000000002E-2</v>
      </c>
      <c r="AA1342">
        <v>0.98615629999999999</v>
      </c>
      <c r="AB1342">
        <v>28</v>
      </c>
      <c r="AC1342">
        <v>-9.6500000000020195E-2</v>
      </c>
      <c r="AD1342">
        <v>-7.4436000000000099E-2</v>
      </c>
      <c r="AE1342">
        <v>-0.658299999999997</v>
      </c>
      <c r="AF1342">
        <v>0.132816459619676</v>
      </c>
      <c r="AG1342">
        <v>-7.4436000000000099E-2</v>
      </c>
      <c r="AH1342">
        <v>0.64354807542095704</v>
      </c>
      <c r="AI1342">
        <v>96.462786916298299</v>
      </c>
      <c r="AJ1342">
        <v>78.338929007016802</v>
      </c>
      <c r="AK1342">
        <v>0.661313129629167</v>
      </c>
    </row>
    <row r="1343" spans="1:37" x14ac:dyDescent="0.2">
      <c r="A1343" t="str">
        <f>"20200111153633006"</f>
        <v>20200111153633006</v>
      </c>
      <c r="B1343" t="str">
        <f>"1578728192994044"</f>
        <v>1578728192994044</v>
      </c>
      <c r="C1343" t="s">
        <v>37</v>
      </c>
      <c r="D1343">
        <v>5.9046479999999999</v>
      </c>
      <c r="E1343">
        <v>0.53803219999999996</v>
      </c>
      <c r="F1343" t="s">
        <v>38</v>
      </c>
      <c r="G1343">
        <v>-191.45679999999999</v>
      </c>
      <c r="H1343">
        <v>1.0283869999999999</v>
      </c>
      <c r="I1343">
        <v>340.85500000000002</v>
      </c>
      <c r="J1343">
        <v>-191.36179999999999</v>
      </c>
      <c r="K1343">
        <v>1.10042</v>
      </c>
      <c r="L1343">
        <v>341.48739999999998</v>
      </c>
      <c r="M1343">
        <v>5.3901900000000003E-2</v>
      </c>
      <c r="N1343">
        <v>0</v>
      </c>
      <c r="O1343">
        <v>-0.99854209999999999</v>
      </c>
      <c r="P1343">
        <v>1.521165E-2</v>
      </c>
      <c r="Q1343">
        <v>5.5889510000000003E-2</v>
      </c>
      <c r="R1343">
        <v>-0.99832160000000003</v>
      </c>
      <c r="S1343">
        <v>-0.27467350000000001</v>
      </c>
      <c r="T1343">
        <v>-0.23872119999999999</v>
      </c>
      <c r="U1343">
        <v>-3.02300999999999</v>
      </c>
      <c r="V1343">
        <v>3.9059969999999999E-2</v>
      </c>
      <c r="W1343">
        <v>5.8513889999999999E-2</v>
      </c>
      <c r="X1343">
        <v>0.99752220000000003</v>
      </c>
      <c r="Y1343">
        <v>0.14376079999999999</v>
      </c>
      <c r="Z1343">
        <v>7.7982540000000003E-2</v>
      </c>
      <c r="AA1343">
        <v>0.9865351</v>
      </c>
      <c r="AB1343">
        <v>28</v>
      </c>
      <c r="AC1343">
        <v>-9.4999999999998794E-2</v>
      </c>
      <c r="AD1343">
        <v>-7.2033E-2</v>
      </c>
      <c r="AE1343">
        <v>-0.63239999999996099</v>
      </c>
      <c r="AF1343">
        <v>0.12733400002095299</v>
      </c>
      <c r="AG1343">
        <v>-7.2033E-2</v>
      </c>
      <c r="AH1343">
        <v>0.618512343865251</v>
      </c>
      <c r="AI1343">
        <v>96.507571914343202</v>
      </c>
      <c r="AJ1343">
        <v>78.3669682298368</v>
      </c>
      <c r="AK1343">
        <v>0.63557864986484802</v>
      </c>
    </row>
    <row r="1344" spans="1:37" x14ac:dyDescent="0.2">
      <c r="A1344" t="str">
        <f>"20200111153633029"</f>
        <v>20200111153633029</v>
      </c>
      <c r="B1344" t="str">
        <f>"1578728193024301"</f>
        <v>1578728193024301</v>
      </c>
      <c r="C1344" t="s">
        <v>37</v>
      </c>
      <c r="D1344">
        <v>5.9232940000000003</v>
      </c>
      <c r="E1344">
        <v>0.53798359999999901</v>
      </c>
      <c r="F1344" t="s">
        <v>38</v>
      </c>
      <c r="G1344">
        <v>-191.43719999999999</v>
      </c>
      <c r="H1344">
        <v>1.022445</v>
      </c>
      <c r="I1344">
        <v>340.60509999999999</v>
      </c>
      <c r="J1344">
        <v>-191.35069999999999</v>
      </c>
      <c r="K1344">
        <v>1.1005199999999999</v>
      </c>
      <c r="L1344">
        <v>341.20839999999998</v>
      </c>
      <c r="M1344">
        <v>5.005822E-2</v>
      </c>
      <c r="N1344">
        <v>0</v>
      </c>
      <c r="O1344">
        <v>-0.99874240000000003</v>
      </c>
      <c r="P1344">
        <v>1.43191E-2</v>
      </c>
      <c r="Q1344">
        <v>5.6968959999999999E-2</v>
      </c>
      <c r="R1344">
        <v>-0.99827319999999997</v>
      </c>
      <c r="S1344">
        <v>-0.25801089999999999</v>
      </c>
      <c r="T1344">
        <v>-0.26722040000000002</v>
      </c>
      <c r="U1344">
        <v>-3.0239560000000001</v>
      </c>
      <c r="V1344">
        <v>3.6101040000000001E-2</v>
      </c>
      <c r="W1344">
        <v>5.9525399999999999E-2</v>
      </c>
      <c r="X1344">
        <v>0.99757379999999996</v>
      </c>
      <c r="Y1344">
        <v>0.1344582</v>
      </c>
      <c r="Z1344">
        <v>8.7301970000000007E-2</v>
      </c>
      <c r="AA1344">
        <v>0.987066</v>
      </c>
      <c r="AB1344">
        <v>28</v>
      </c>
      <c r="AC1344">
        <v>-8.6500000000000896E-2</v>
      </c>
      <c r="AD1344">
        <v>-7.8075000000000103E-2</v>
      </c>
      <c r="AE1344">
        <v>-0.60329999999998996</v>
      </c>
      <c r="AF1344">
        <v>0.114709366047321</v>
      </c>
      <c r="AG1344">
        <v>-7.8075000000000103E-2</v>
      </c>
      <c r="AH1344">
        <v>0.58855514209072202</v>
      </c>
      <c r="AI1344">
        <v>97.4184863599491</v>
      </c>
      <c r="AJ1344">
        <v>78.971313713214997</v>
      </c>
      <c r="AK1344">
        <v>0.60469091242171702</v>
      </c>
    </row>
    <row r="1345" spans="1:37" x14ac:dyDescent="0.2">
      <c r="A1345" t="str">
        <f>"20200111153633052"</f>
        <v>20200111153633052</v>
      </c>
      <c r="B1345" t="str">
        <f>"1578728193043821"</f>
        <v>1578728193043821</v>
      </c>
      <c r="C1345" t="s">
        <v>37</v>
      </c>
      <c r="D1345">
        <v>5.8781879999999997</v>
      </c>
      <c r="E1345">
        <v>0.5374295</v>
      </c>
      <c r="F1345" t="s">
        <v>38</v>
      </c>
      <c r="G1345">
        <v>-191.42500000000001</v>
      </c>
      <c r="H1345">
        <v>1.0282209999999901</v>
      </c>
      <c r="I1345">
        <v>340.34769999999997</v>
      </c>
      <c r="J1345">
        <v>-191.33920000000001</v>
      </c>
      <c r="K1345">
        <v>1.100641</v>
      </c>
      <c r="L1345">
        <v>340.89490000000001</v>
      </c>
      <c r="M1345">
        <v>4.5976650000000001E-2</v>
      </c>
      <c r="N1345">
        <v>0</v>
      </c>
      <c r="O1345">
        <v>-0.99893889999999996</v>
      </c>
      <c r="P1345">
        <v>1.18307E-2</v>
      </c>
      <c r="Q1345">
        <v>5.9369390000000001E-2</v>
      </c>
      <c r="R1345">
        <v>-0.99816609999999995</v>
      </c>
      <c r="S1345">
        <v>-0.26008609999999999</v>
      </c>
      <c r="T1345">
        <v>-0.25407800000000003</v>
      </c>
      <c r="U1345">
        <v>-3.0234070000000002</v>
      </c>
      <c r="V1345">
        <v>3.4502629999999999E-2</v>
      </c>
      <c r="W1345">
        <v>6.1846640000000001E-2</v>
      </c>
      <c r="X1345">
        <v>0.99748919999999996</v>
      </c>
      <c r="Y1345">
        <v>0.1311272</v>
      </c>
      <c r="Z1345">
        <v>8.3094849999999998E-2</v>
      </c>
      <c r="AA1345">
        <v>0.98787700000000001</v>
      </c>
      <c r="AB1345">
        <v>28</v>
      </c>
      <c r="AC1345">
        <v>-8.5800000000006094E-2</v>
      </c>
      <c r="AD1345">
        <v>-7.2420000000000095E-2</v>
      </c>
      <c r="AE1345">
        <v>-0.54720000000003199</v>
      </c>
      <c r="AF1345">
        <v>0.109004319917215</v>
      </c>
      <c r="AG1345">
        <v>-7.2420000000000095E-2</v>
      </c>
      <c r="AH1345">
        <v>0.53355524518597797</v>
      </c>
      <c r="AI1345">
        <v>97.574986098370104</v>
      </c>
      <c r="AJ1345">
        <v>78.453473395278493</v>
      </c>
      <c r="AK1345">
        <v>0.54937036489610802</v>
      </c>
    </row>
    <row r="1346" spans="1:37" x14ac:dyDescent="0.2">
      <c r="A1346" t="str">
        <f>"20200111153633075"</f>
        <v>20200111153633075</v>
      </c>
      <c r="B1346" t="str">
        <f>"1578728193064316"</f>
        <v>1578728193064316</v>
      </c>
      <c r="C1346" t="s">
        <v>37</v>
      </c>
      <c r="D1346">
        <v>5.846743</v>
      </c>
      <c r="E1346">
        <v>0.53709059999999997</v>
      </c>
      <c r="F1346" t="s">
        <v>38</v>
      </c>
      <c r="G1346">
        <v>-191.40899999999999</v>
      </c>
      <c r="H1346">
        <v>1.034883</v>
      </c>
      <c r="I1346">
        <v>340.08850000000001</v>
      </c>
      <c r="J1346">
        <v>-191.32990000000001</v>
      </c>
      <c r="K1346">
        <v>1.100757</v>
      </c>
      <c r="L1346">
        <v>340.61709999999999</v>
      </c>
      <c r="M1346">
        <v>4.2567439999999998E-2</v>
      </c>
      <c r="N1346">
        <v>0</v>
      </c>
      <c r="O1346">
        <v>-0.99909009999999998</v>
      </c>
      <c r="P1346">
        <v>1.02802E-2</v>
      </c>
      <c r="Q1346">
        <v>6.1770779999999997E-2</v>
      </c>
      <c r="R1346">
        <v>-0.99803750000000002</v>
      </c>
      <c r="S1346">
        <v>-0.2618103</v>
      </c>
      <c r="T1346">
        <v>-0.24659229999999999</v>
      </c>
      <c r="U1346">
        <v>-3.0232540000000001</v>
      </c>
      <c r="V1346">
        <v>3.2640179999999998E-2</v>
      </c>
      <c r="W1346">
        <v>6.4191830000000005E-2</v>
      </c>
      <c r="X1346">
        <v>0.99740359999999995</v>
      </c>
      <c r="Y1346">
        <v>0.12832440000000001</v>
      </c>
      <c r="Z1346">
        <v>8.0698399999999906E-2</v>
      </c>
      <c r="AA1346">
        <v>0.98844359999999998</v>
      </c>
      <c r="AB1346">
        <v>28</v>
      </c>
      <c r="AC1346">
        <v>-7.9100000000010995E-2</v>
      </c>
      <c r="AD1346">
        <v>-6.5873999999999905E-2</v>
      </c>
      <c r="AE1346">
        <v>-0.52859999999998297</v>
      </c>
      <c r="AF1346">
        <v>0.100010378207782</v>
      </c>
      <c r="AG1346">
        <v>-6.5873999999999905E-2</v>
      </c>
      <c r="AH1346">
        <v>0.51690206151635698</v>
      </c>
      <c r="AI1346">
        <v>97.131764250983807</v>
      </c>
      <c r="AJ1346">
        <v>79.049696333821402</v>
      </c>
      <c r="AK1346">
        <v>0.53059325365587096</v>
      </c>
    </row>
    <row r="1347" spans="1:37" x14ac:dyDescent="0.2">
      <c r="A1347" t="str">
        <f>"20200111153633096"</f>
        <v>20200111153633096</v>
      </c>
      <c r="B1347" t="str">
        <f>"1578728193093597"</f>
        <v>1578728193093597</v>
      </c>
      <c r="C1347" t="s">
        <v>37</v>
      </c>
      <c r="D1347">
        <v>6.054138</v>
      </c>
      <c r="E1347">
        <v>0.55107410000000001</v>
      </c>
      <c r="F1347" t="s">
        <v>38</v>
      </c>
      <c r="G1347">
        <v>-191.39859999999999</v>
      </c>
      <c r="H1347">
        <v>1.0384450000000001</v>
      </c>
      <c r="I1347">
        <v>339.82900000000001</v>
      </c>
      <c r="J1347">
        <v>-191.3212</v>
      </c>
      <c r="K1347">
        <v>1.1008639999999901</v>
      </c>
      <c r="L1347">
        <v>340.33460000000002</v>
      </c>
      <c r="M1347">
        <v>3.9282579999999997E-2</v>
      </c>
      <c r="N1347">
        <v>0</v>
      </c>
      <c r="O1347">
        <v>-0.99922489999999997</v>
      </c>
      <c r="P1347">
        <v>9.4895169999999994E-3</v>
      </c>
      <c r="Q1347">
        <v>6.299892E-2</v>
      </c>
      <c r="R1347">
        <v>-0.99796849999999904</v>
      </c>
      <c r="S1347">
        <v>-0.2630768</v>
      </c>
      <c r="T1347">
        <v>-0.23914440000000001</v>
      </c>
      <c r="U1347">
        <v>-3.0233759999999998</v>
      </c>
      <c r="V1347">
        <v>3.0137959999999998E-2</v>
      </c>
      <c r="W1347">
        <v>6.5374280000000007E-2</v>
      </c>
      <c r="X1347">
        <v>0.9974056</v>
      </c>
      <c r="Y1347">
        <v>0.12548779999999901</v>
      </c>
      <c r="Z1347">
        <v>7.8302060000000007E-2</v>
      </c>
      <c r="AA1347">
        <v>0.98900030000000005</v>
      </c>
      <c r="AB1347">
        <v>29</v>
      </c>
      <c r="AC1347">
        <v>-7.7399999999982996E-2</v>
      </c>
      <c r="AD1347">
        <v>-6.2418999999999697E-2</v>
      </c>
      <c r="AE1347">
        <v>-0.50560000000001504</v>
      </c>
      <c r="AF1347">
        <v>9.5775288833180802E-2</v>
      </c>
      <c r="AG1347">
        <v>-6.2418999999999697E-2</v>
      </c>
      <c r="AH1347">
        <v>0.49480058999719101</v>
      </c>
      <c r="AI1347">
        <v>97.060186815176095</v>
      </c>
      <c r="AJ1347">
        <v>79.045107761242093</v>
      </c>
      <c r="AK1347">
        <v>0.50783526991894501</v>
      </c>
    </row>
    <row r="1348" spans="1:37" x14ac:dyDescent="0.2">
      <c r="A1348" t="str">
        <f>"20200111153633119"</f>
        <v>20200111153633119</v>
      </c>
      <c r="B1348" t="str">
        <f>"1578728193114093"</f>
        <v>1578728193114093</v>
      </c>
      <c r="C1348" t="s">
        <v>37</v>
      </c>
      <c r="D1348">
        <v>5.8844909999999997</v>
      </c>
      <c r="E1348">
        <v>0.55500369999999999</v>
      </c>
      <c r="F1348" t="s">
        <v>39</v>
      </c>
      <c r="G1348">
        <v>-193.517</v>
      </c>
      <c r="H1348" s="1">
        <v>-2.28775299999999E-6</v>
      </c>
      <c r="I1348">
        <v>322.74059999999997</v>
      </c>
      <c r="J1348">
        <v>-191.31290000000001</v>
      </c>
      <c r="K1348">
        <v>1.1009599999999999</v>
      </c>
      <c r="L1348">
        <v>340.04289999999997</v>
      </c>
      <c r="M1348">
        <v>3.6061360000000001E-2</v>
      </c>
      <c r="N1348">
        <v>0</v>
      </c>
      <c r="O1348">
        <v>-0.99934639999999997</v>
      </c>
      <c r="P1348">
        <v>9.1650969999999901E-3</v>
      </c>
      <c r="Q1348">
        <v>6.3639570000000006E-2</v>
      </c>
      <c r="R1348">
        <v>-0.99793120000000002</v>
      </c>
      <c r="S1348">
        <v>-0.37712099999999998</v>
      </c>
      <c r="T1348">
        <v>-0.18906770000000001</v>
      </c>
      <c r="U1348">
        <v>-3.0216669999999999</v>
      </c>
      <c r="V1348">
        <v>2.7232200000000002E-2</v>
      </c>
      <c r="W1348">
        <v>6.5975229999999996E-2</v>
      </c>
      <c r="X1348">
        <v>0.99744959999999905</v>
      </c>
      <c r="Y1348">
        <v>0.15931110000000001</v>
      </c>
      <c r="Z1348">
        <v>6.1750079999999999E-2</v>
      </c>
      <c r="AA1348">
        <v>0.98529539999999904</v>
      </c>
      <c r="AB1348">
        <v>29</v>
      </c>
      <c r="AC1348">
        <v>-2.20409999999998</v>
      </c>
      <c r="AD1348">
        <v>-1.1009622877529901</v>
      </c>
      <c r="AE1348">
        <v>-17.302299999999999</v>
      </c>
      <c r="AF1348">
        <v>2.815395614961</v>
      </c>
      <c r="AG1348">
        <v>-1.1009622877529901</v>
      </c>
      <c r="AH1348">
        <v>17.143260053432599</v>
      </c>
      <c r="AI1348">
        <v>93.626120760949107</v>
      </c>
      <c r="AJ1348">
        <v>80.6737053175178</v>
      </c>
      <c r="AK1348">
        <v>17.407755044445398</v>
      </c>
    </row>
    <row r="1349" spans="1:37" x14ac:dyDescent="0.2">
      <c r="A1349" t="str">
        <f>"20200111153633141"</f>
        <v>20200111153633141</v>
      </c>
      <c r="B1349" t="str">
        <f>"1578728193133613"</f>
        <v>1578728193133613</v>
      </c>
      <c r="C1349" t="s">
        <v>37</v>
      </c>
      <c r="D1349">
        <v>5.908601</v>
      </c>
      <c r="E1349">
        <v>0.5570254</v>
      </c>
      <c r="F1349" t="s">
        <v>38</v>
      </c>
      <c r="G1349">
        <v>-191.4145</v>
      </c>
      <c r="H1349">
        <v>1.0490979999999901</v>
      </c>
      <c r="I1349">
        <v>339.29500000000002</v>
      </c>
      <c r="J1349">
        <v>-191.30529999999999</v>
      </c>
      <c r="K1349">
        <v>1.1010309999999901</v>
      </c>
      <c r="L1349">
        <v>339.74560000000002</v>
      </c>
      <c r="M1349">
        <v>3.2942319999999997E-2</v>
      </c>
      <c r="N1349">
        <v>0</v>
      </c>
      <c r="O1349">
        <v>-0.99945459999999997</v>
      </c>
      <c r="P1349">
        <v>8.9958709999999904E-3</v>
      </c>
      <c r="Q1349">
        <v>6.441819E-2</v>
      </c>
      <c r="R1349">
        <v>-0.99788269999999901</v>
      </c>
      <c r="S1349">
        <v>-0.41000370000000003</v>
      </c>
      <c r="T1349">
        <v>-0.2098091</v>
      </c>
      <c r="U1349">
        <v>-3.0234380000000001</v>
      </c>
      <c r="V1349">
        <v>2.427642E-2</v>
      </c>
      <c r="W1349">
        <v>6.6718879999999994E-2</v>
      </c>
      <c r="X1349">
        <v>0.99747649999999999</v>
      </c>
      <c r="Y1349">
        <v>0.166634</v>
      </c>
      <c r="Z1349">
        <v>6.8375829999999999E-2</v>
      </c>
      <c r="AA1349">
        <v>0.983645199999999</v>
      </c>
      <c r="AB1349">
        <v>29</v>
      </c>
      <c r="AC1349">
        <v>-0.10920000000001499</v>
      </c>
      <c r="AD1349">
        <v>-5.1933E-2</v>
      </c>
      <c r="AE1349">
        <v>-0.45060000000000799</v>
      </c>
      <c r="AF1349">
        <v>0.122448295574091</v>
      </c>
      <c r="AG1349">
        <v>-5.1933E-2</v>
      </c>
      <c r="AH1349">
        <v>0.44122237507509698</v>
      </c>
      <c r="AI1349">
        <v>96.470610514643596</v>
      </c>
      <c r="AJ1349">
        <v>74.489569905726498</v>
      </c>
      <c r="AK1349">
        <v>0.46083381586523098</v>
      </c>
    </row>
    <row r="1350" spans="1:37" x14ac:dyDescent="0.2">
      <c r="A1350" t="str">
        <f>"20200111153633163"</f>
        <v>20200111153633163</v>
      </c>
      <c r="B1350" t="str">
        <f>"1578728193154108"</f>
        <v>1578728193154108</v>
      </c>
      <c r="C1350" t="s">
        <v>37</v>
      </c>
      <c r="D1350">
        <v>5.9442209999999998</v>
      </c>
      <c r="E1350">
        <v>0.55753140000000001</v>
      </c>
      <c r="F1350" t="s">
        <v>39</v>
      </c>
      <c r="G1350">
        <v>-193.5565</v>
      </c>
      <c r="H1350" s="1">
        <v>-2.7592329999999899E-6</v>
      </c>
      <c r="I1350">
        <v>323.81509999999997</v>
      </c>
      <c r="J1350">
        <v>-191.29859999999999</v>
      </c>
      <c r="K1350">
        <v>1.101092</v>
      </c>
      <c r="L1350">
        <v>339.44990000000001</v>
      </c>
      <c r="M1350">
        <v>2.9969909999999999E-2</v>
      </c>
      <c r="N1350">
        <v>0</v>
      </c>
      <c r="O1350">
        <v>-0.9995482</v>
      </c>
      <c r="P1350">
        <v>8.8621789999999995E-3</v>
      </c>
      <c r="Q1350">
        <v>6.4274910000000005E-2</v>
      </c>
      <c r="R1350">
        <v>-0.99789329999999998</v>
      </c>
      <c r="S1350">
        <v>-0.4273071</v>
      </c>
      <c r="T1350">
        <v>-0.20898520000000001</v>
      </c>
      <c r="U1350">
        <v>-3.0237430000000001</v>
      </c>
      <c r="V1350">
        <v>2.1431169999999999E-2</v>
      </c>
      <c r="W1350">
        <v>6.654902E-2</v>
      </c>
      <c r="X1350">
        <v>0.99755300000000002</v>
      </c>
      <c r="Y1350">
        <v>0.16921410000000001</v>
      </c>
      <c r="Z1350">
        <v>6.8069909999999997E-2</v>
      </c>
      <c r="AA1350">
        <v>0.98322589999999999</v>
      </c>
      <c r="AB1350">
        <v>29</v>
      </c>
      <c r="AC1350">
        <v>-2.2578999999999998</v>
      </c>
      <c r="AD1350">
        <v>-1.101094759233</v>
      </c>
      <c r="AE1350">
        <v>-15.6348</v>
      </c>
      <c r="AF1350">
        <v>2.7122829453102</v>
      </c>
      <c r="AG1350">
        <v>-1.101094759233</v>
      </c>
      <c r="AH1350">
        <v>15.4848746509553</v>
      </c>
      <c r="AI1350">
        <v>94.006535896266598</v>
      </c>
      <c r="AJ1350">
        <v>80.065031053600904</v>
      </c>
      <c r="AK1350">
        <v>15.7591316829332</v>
      </c>
    </row>
    <row r="1351" spans="1:37" x14ac:dyDescent="0.2">
      <c r="A1351" t="str">
        <f>"20200111153633185"</f>
        <v>20200111153633185</v>
      </c>
      <c r="B1351" t="str">
        <f>"1578728193173628"</f>
        <v>1578728193173628</v>
      </c>
      <c r="C1351" t="s">
        <v>37</v>
      </c>
      <c r="D1351">
        <v>5.9244209999999997</v>
      </c>
      <c r="E1351">
        <v>0.55751649999999997</v>
      </c>
      <c r="F1351" t="s">
        <v>38</v>
      </c>
      <c r="G1351">
        <v>-191.4333</v>
      </c>
      <c r="H1351">
        <v>1.035814</v>
      </c>
      <c r="I1351">
        <v>338.50889999999998</v>
      </c>
      <c r="J1351">
        <v>-191.29259999999999</v>
      </c>
      <c r="K1351">
        <v>1.1011340000000001</v>
      </c>
      <c r="L1351">
        <v>339.161</v>
      </c>
      <c r="M1351">
        <v>2.7156380000000001E-2</v>
      </c>
      <c r="N1351">
        <v>0</v>
      </c>
      <c r="O1351">
        <v>-0.99962850000000003</v>
      </c>
      <c r="P1351">
        <v>8.8798130000000003E-3</v>
      </c>
      <c r="Q1351">
        <v>6.4111360000000006E-2</v>
      </c>
      <c r="R1351">
        <v>-0.9979036</v>
      </c>
      <c r="S1351">
        <v>-0.43263239999999997</v>
      </c>
      <c r="T1351">
        <v>-0.20978649999999999</v>
      </c>
      <c r="U1351">
        <v>-3.023682</v>
      </c>
      <c r="V1351">
        <v>1.859651E-2</v>
      </c>
      <c r="W1351">
        <v>6.6365850000000004E-2</v>
      </c>
      <c r="X1351">
        <v>0.99762209999999996</v>
      </c>
      <c r="Y1351">
        <v>0.1681376</v>
      </c>
      <c r="Z1351">
        <v>6.8337309999999998E-2</v>
      </c>
      <c r="AA1351">
        <v>0.98339189999999999</v>
      </c>
      <c r="AB1351">
        <v>29</v>
      </c>
      <c r="AC1351">
        <v>-0.14070000000000901</v>
      </c>
      <c r="AD1351">
        <v>-6.5320000000000003E-2</v>
      </c>
      <c r="AE1351">
        <v>-0.652100000000018</v>
      </c>
      <c r="AF1351">
        <v>0.156853015127047</v>
      </c>
      <c r="AG1351">
        <v>-6.5320000000000003E-2</v>
      </c>
      <c r="AH1351">
        <v>0.64188456656737003</v>
      </c>
      <c r="AI1351">
        <v>95.645585008781794</v>
      </c>
      <c r="AJ1351">
        <v>76.268120197447104</v>
      </c>
      <c r="AK1351">
        <v>0.66399199359015304</v>
      </c>
    </row>
    <row r="1352" spans="1:37" x14ac:dyDescent="0.2">
      <c r="A1352" t="str">
        <f>"20200111153633208"</f>
        <v>20200111153633208</v>
      </c>
      <c r="B1352" t="str">
        <f>"1578728193203885"</f>
        <v>1578728193203885</v>
      </c>
      <c r="C1352" t="s">
        <v>37</v>
      </c>
      <c r="D1352">
        <v>5.9175339999999998</v>
      </c>
      <c r="E1352">
        <v>0.55753759999999997</v>
      </c>
      <c r="F1352" t="s">
        <v>38</v>
      </c>
      <c r="G1352">
        <v>-191.4239</v>
      </c>
      <c r="H1352">
        <v>1.0368850000000001</v>
      </c>
      <c r="I1352">
        <v>338.24549999999999</v>
      </c>
      <c r="J1352">
        <v>-191.28720000000001</v>
      </c>
      <c r="K1352">
        <v>1.101164</v>
      </c>
      <c r="L1352">
        <v>338.85509999999999</v>
      </c>
      <c r="M1352">
        <v>2.4261950000000001E-2</v>
      </c>
      <c r="N1352">
        <v>0</v>
      </c>
      <c r="O1352">
        <v>-0.99970309999999996</v>
      </c>
      <c r="P1352">
        <v>9.15386199999999E-3</v>
      </c>
      <c r="Q1352">
        <v>6.4921270000000003E-2</v>
      </c>
      <c r="R1352">
        <v>-0.99784869999999903</v>
      </c>
      <c r="S1352">
        <v>-0.43327329999999997</v>
      </c>
      <c r="T1352">
        <v>-0.21228639999999999</v>
      </c>
      <c r="U1352">
        <v>-3.0238040000000002</v>
      </c>
      <c r="V1352">
        <v>1.543025E-2</v>
      </c>
      <c r="W1352">
        <v>6.7162299999999994E-2</v>
      </c>
      <c r="X1352">
        <v>0.99762269999999897</v>
      </c>
      <c r="Y1352">
        <v>0.1654736</v>
      </c>
      <c r="Z1352">
        <v>6.9167430000000002E-2</v>
      </c>
      <c r="AA1352">
        <v>0.98378569999999999</v>
      </c>
      <c r="AB1352">
        <v>30</v>
      </c>
      <c r="AC1352">
        <v>-0.13669999999999</v>
      </c>
      <c r="AD1352">
        <v>-6.4278999999999906E-2</v>
      </c>
      <c r="AE1352">
        <v>-0.60960000000000003</v>
      </c>
      <c r="AF1352">
        <v>0.14986339618503899</v>
      </c>
      <c r="AG1352">
        <v>-6.4278999999999906E-2</v>
      </c>
      <c r="AH1352">
        <v>0.59975480397509195</v>
      </c>
      <c r="AI1352">
        <v>95.936199953423895</v>
      </c>
      <c r="AJ1352">
        <v>75.970527573904803</v>
      </c>
      <c r="AK1352">
        <v>0.62152767617244098</v>
      </c>
    </row>
    <row r="1353" spans="1:37" x14ac:dyDescent="0.2">
      <c r="A1353" t="str">
        <f>"20200111153633230"</f>
        <v>20200111153633230</v>
      </c>
      <c r="B1353" t="str">
        <f>"1578728193223405"</f>
        <v>1578728193223405</v>
      </c>
      <c r="C1353" t="s">
        <v>37</v>
      </c>
      <c r="D1353">
        <v>5.9423649999999997</v>
      </c>
      <c r="E1353">
        <v>0.55745449999999996</v>
      </c>
      <c r="F1353" t="s">
        <v>38</v>
      </c>
      <c r="G1353">
        <v>-191.41309999999999</v>
      </c>
      <c r="H1353">
        <v>1.0393969999999999</v>
      </c>
      <c r="I1353">
        <v>337.97710000000001</v>
      </c>
      <c r="J1353">
        <v>-191.28270000000001</v>
      </c>
      <c r="K1353">
        <v>1.101189</v>
      </c>
      <c r="L1353">
        <v>338.56180000000001</v>
      </c>
      <c r="M1353">
        <v>2.156098E-2</v>
      </c>
      <c r="N1353">
        <v>0</v>
      </c>
      <c r="O1353">
        <v>-0.99976489999999996</v>
      </c>
      <c r="P1353">
        <v>8.837569E-3</v>
      </c>
      <c r="Q1353">
        <v>6.48836E-2</v>
      </c>
      <c r="R1353">
        <v>-0.99785389999999996</v>
      </c>
      <c r="S1353">
        <v>-0.43331909999999901</v>
      </c>
      <c r="T1353">
        <v>-0.2128167</v>
      </c>
      <c r="U1353">
        <v>-3.0243229999999999</v>
      </c>
      <c r="V1353">
        <v>1.3045289999999999E-2</v>
      </c>
      <c r="W1353">
        <v>6.7113759999999995E-2</v>
      </c>
      <c r="X1353">
        <v>0.99765999999999999</v>
      </c>
      <c r="Y1353">
        <v>0.1627979</v>
      </c>
      <c r="Z1353">
        <v>6.9349620000000001E-2</v>
      </c>
      <c r="AA1353">
        <v>0.98421919999999996</v>
      </c>
      <c r="AB1353">
        <v>30</v>
      </c>
      <c r="AC1353">
        <v>-0.13039999999998</v>
      </c>
      <c r="AD1353">
        <v>-6.1792E-2</v>
      </c>
      <c r="AE1353">
        <v>-0.584699999999997</v>
      </c>
      <c r="AF1353">
        <v>0.14147125456993601</v>
      </c>
      <c r="AG1353">
        <v>-6.1792E-2</v>
      </c>
      <c r="AH1353">
        <v>0.57562817618583995</v>
      </c>
      <c r="AI1353">
        <v>95.951298614534196</v>
      </c>
      <c r="AJ1353">
        <v>76.192170007412201</v>
      </c>
      <c r="AK1353">
        <v>0.59596993577917001</v>
      </c>
    </row>
    <row r="1354" spans="1:37" x14ac:dyDescent="0.2">
      <c r="A1354" t="str">
        <f>"20200111153633253"</f>
        <v>20200111153633253</v>
      </c>
      <c r="B1354" t="str">
        <f>"1578728193243901"</f>
        <v>1578728193243901</v>
      </c>
      <c r="C1354" t="s">
        <v>37</v>
      </c>
      <c r="D1354">
        <v>5.9124879999999997</v>
      </c>
      <c r="E1354">
        <v>0.55739380000000005</v>
      </c>
      <c r="F1354" t="s">
        <v>38</v>
      </c>
      <c r="G1354">
        <v>-191.40549999999999</v>
      </c>
      <c r="H1354">
        <v>1.0404910000000001</v>
      </c>
      <c r="I1354">
        <v>337.70769999999999</v>
      </c>
      <c r="J1354">
        <v>-191.27860000000001</v>
      </c>
      <c r="K1354">
        <v>1.1012150000000001</v>
      </c>
      <c r="L1354">
        <v>338.24369999999999</v>
      </c>
      <c r="M1354">
        <v>1.870583E-2</v>
      </c>
      <c r="N1354">
        <v>0</v>
      </c>
      <c r="O1354">
        <v>-0.9998224</v>
      </c>
      <c r="P1354">
        <v>8.6815150000000008E-3</v>
      </c>
      <c r="Q1354">
        <v>6.4861790000000002E-2</v>
      </c>
      <c r="R1354">
        <v>-0.99785630000000003</v>
      </c>
      <c r="S1354">
        <v>-0.43408199999999902</v>
      </c>
      <c r="T1354">
        <v>-0.21507390000000001</v>
      </c>
      <c r="U1354">
        <v>-3.0243229999999999</v>
      </c>
      <c r="V1354">
        <v>1.034618E-2</v>
      </c>
      <c r="W1354">
        <v>6.7086640000000003E-2</v>
      </c>
      <c r="X1354">
        <v>0.99769349999999901</v>
      </c>
      <c r="Y1354">
        <v>0.16021579999999999</v>
      </c>
      <c r="Z1354">
        <v>7.0101319999999995E-2</v>
      </c>
      <c r="AA1354">
        <v>0.98458959999999995</v>
      </c>
      <c r="AB1354">
        <v>30</v>
      </c>
      <c r="AC1354">
        <v>-0.126899999999977</v>
      </c>
      <c r="AD1354">
        <v>-6.0724E-2</v>
      </c>
      <c r="AE1354">
        <v>-0.53600000000000103</v>
      </c>
      <c r="AF1354">
        <v>0.13526024562705</v>
      </c>
      <c r="AG1354">
        <v>-6.0724E-2</v>
      </c>
      <c r="AH1354">
        <v>0.52712595031863896</v>
      </c>
      <c r="AI1354">
        <v>96.366916236479796</v>
      </c>
      <c r="AJ1354">
        <v>75.608432897914994</v>
      </c>
      <c r="AK1354">
        <v>0.54758059290155503</v>
      </c>
    </row>
    <row r="1355" spans="1:37" x14ac:dyDescent="0.2">
      <c r="A1355" t="str">
        <f>"20200111153633277"</f>
        <v>20200111153633277</v>
      </c>
      <c r="B1355" t="str">
        <f>"1578728193263421"</f>
        <v>1578728193263421</v>
      </c>
      <c r="C1355" t="s">
        <v>37</v>
      </c>
      <c r="D1355">
        <v>5.9187120000000002</v>
      </c>
      <c r="E1355">
        <v>0.55726379999999998</v>
      </c>
      <c r="F1355" t="s">
        <v>38</v>
      </c>
      <c r="G1355">
        <v>-191.3947</v>
      </c>
      <c r="H1355">
        <v>1.0432429999999999</v>
      </c>
      <c r="I1355">
        <v>337.43579999999997</v>
      </c>
      <c r="J1355">
        <v>-191.27539999999999</v>
      </c>
      <c r="K1355">
        <v>1.1012329999999999</v>
      </c>
      <c r="L1355">
        <v>337.93099999999998</v>
      </c>
      <c r="M1355">
        <v>1.5967370000000002E-2</v>
      </c>
      <c r="N1355">
        <v>0</v>
      </c>
      <c r="O1355">
        <v>-0.99987009999999898</v>
      </c>
      <c r="P1355">
        <v>8.2751479999999995E-3</v>
      </c>
      <c r="Q1355">
        <v>6.4560019999999996E-2</v>
      </c>
      <c r="R1355">
        <v>-0.99787979999999998</v>
      </c>
      <c r="S1355">
        <v>-0.43489070000000002</v>
      </c>
      <c r="T1355">
        <v>-0.2169529</v>
      </c>
      <c r="U1355">
        <v>-3.024384</v>
      </c>
      <c r="V1355">
        <v>8.0131419999999991E-3</v>
      </c>
      <c r="W1355">
        <v>6.6783579999999995E-2</v>
      </c>
      <c r="X1355">
        <v>0.99773529999999999</v>
      </c>
      <c r="Y1355">
        <v>0.15776089999999901</v>
      </c>
      <c r="Z1355">
        <v>7.0727070000000003E-2</v>
      </c>
      <c r="AA1355">
        <v>0.98494119999999996</v>
      </c>
      <c r="AB1355">
        <v>30</v>
      </c>
      <c r="AC1355">
        <v>-0.119300000000009</v>
      </c>
      <c r="AD1355">
        <v>-5.7989999999999903E-2</v>
      </c>
      <c r="AE1355">
        <v>-0.49520000000001102</v>
      </c>
      <c r="AF1355">
        <v>0.12556439348394199</v>
      </c>
      <c r="AG1355">
        <v>-5.7989999999999903E-2</v>
      </c>
      <c r="AH1355">
        <v>0.48692090525833298</v>
      </c>
      <c r="AI1355">
        <v>96.578438151724598</v>
      </c>
      <c r="AJ1355">
        <v>75.539923805397905</v>
      </c>
      <c r="AK1355">
        <v>0.50618299555455704</v>
      </c>
    </row>
    <row r="1356" spans="1:37" x14ac:dyDescent="0.2">
      <c r="A1356" t="str">
        <f>"20200111153633297"</f>
        <v>20200111153633297</v>
      </c>
      <c r="B1356" t="str">
        <f>"1578728193293676"</f>
        <v>1578728193293676</v>
      </c>
      <c r="C1356" t="s">
        <v>37</v>
      </c>
      <c r="D1356">
        <v>5.9139150000000003</v>
      </c>
      <c r="E1356">
        <v>0.55711199999999905</v>
      </c>
      <c r="F1356" t="s">
        <v>38</v>
      </c>
      <c r="G1356">
        <v>-191.38640000000001</v>
      </c>
      <c r="H1356">
        <v>1.045555</v>
      </c>
      <c r="I1356">
        <v>337.16210000000001</v>
      </c>
      <c r="J1356">
        <v>-191.2732</v>
      </c>
      <c r="K1356">
        <v>1.1012519999999999</v>
      </c>
      <c r="L1356">
        <v>337.6481</v>
      </c>
      <c r="M1356">
        <v>1.353993E-2</v>
      </c>
      <c r="N1356">
        <v>0</v>
      </c>
      <c r="O1356">
        <v>-0.99990579999999996</v>
      </c>
      <c r="P1356">
        <v>7.5724059999999899E-3</v>
      </c>
      <c r="Q1356">
        <v>6.5040870000000001E-2</v>
      </c>
      <c r="R1356">
        <v>-0.99785380000000001</v>
      </c>
      <c r="S1356">
        <v>-0.43554690000000001</v>
      </c>
      <c r="T1356">
        <v>-0.2191978</v>
      </c>
      <c r="U1356">
        <v>-3.0241389999999999</v>
      </c>
      <c r="V1356">
        <v>6.2914440000000002E-3</v>
      </c>
      <c r="W1356">
        <v>6.7262669999999997E-2</v>
      </c>
      <c r="X1356">
        <v>0.99771549999999998</v>
      </c>
      <c r="Y1356">
        <v>0.1555763</v>
      </c>
      <c r="Z1356">
        <v>7.1476070000000003E-2</v>
      </c>
      <c r="AA1356">
        <v>0.98523459999999996</v>
      </c>
      <c r="AB1356">
        <v>30</v>
      </c>
      <c r="AC1356">
        <v>-0.113200000000006</v>
      </c>
      <c r="AD1356">
        <v>-5.5697000000000101E-2</v>
      </c>
      <c r="AE1356">
        <v>-0.48599999999999</v>
      </c>
      <c r="AF1356">
        <v>0.118296316668054</v>
      </c>
      <c r="AG1356">
        <v>-5.5697000000000101E-2</v>
      </c>
      <c r="AH1356">
        <v>0.4784620706246</v>
      </c>
      <c r="AI1356">
        <v>96.447395157521598</v>
      </c>
      <c r="AJ1356">
        <v>76.112534289518393</v>
      </c>
      <c r="AK1356">
        <v>0.49600617674844399</v>
      </c>
    </row>
    <row r="1357" spans="1:37" x14ac:dyDescent="0.2">
      <c r="A1357" t="str">
        <f>"20200111153633320"</f>
        <v>20200111153633320</v>
      </c>
      <c r="B1357" t="str">
        <f>"1578728193314173"</f>
        <v>1578728193314173</v>
      </c>
      <c r="C1357" t="s">
        <v>37</v>
      </c>
      <c r="D1357">
        <v>5.9394499999999999</v>
      </c>
      <c r="E1357">
        <v>0.55709069999999905</v>
      </c>
      <c r="F1357" t="s">
        <v>38</v>
      </c>
      <c r="G1357">
        <v>-191.3828</v>
      </c>
      <c r="H1357">
        <v>1.045909</v>
      </c>
      <c r="I1357">
        <v>336.88810000000001</v>
      </c>
      <c r="J1357">
        <v>-191.2715</v>
      </c>
      <c r="K1357">
        <v>1.1012709999999899</v>
      </c>
      <c r="L1357">
        <v>337.34399999999999</v>
      </c>
      <c r="M1357">
        <v>1.0974960000000001E-2</v>
      </c>
      <c r="N1357">
        <v>0</v>
      </c>
      <c r="O1357">
        <v>-0.99993719999999997</v>
      </c>
      <c r="P1357">
        <v>6.8282069999999898E-3</v>
      </c>
      <c r="Q1357">
        <v>6.5794160000000004E-2</v>
      </c>
      <c r="R1357">
        <v>-0.99780959999999996</v>
      </c>
      <c r="S1357">
        <v>-0.436706499999999</v>
      </c>
      <c r="T1357">
        <v>-0.22016759999999999</v>
      </c>
      <c r="U1357">
        <v>-3.0241090000000002</v>
      </c>
      <c r="V1357">
        <v>4.4759830000000002E-3</v>
      </c>
      <c r="W1357">
        <v>6.8014829999999998E-2</v>
      </c>
      <c r="X1357">
        <v>0.99767430000000001</v>
      </c>
      <c r="Y1357">
        <v>0.1534104</v>
      </c>
      <c r="Z1357">
        <v>7.1805069999999999E-2</v>
      </c>
      <c r="AA1357">
        <v>0.98555020000000004</v>
      </c>
      <c r="AB1357">
        <v>30</v>
      </c>
      <c r="AC1357">
        <v>-0.111299999999999</v>
      </c>
      <c r="AD1357">
        <v>-5.5361999999999897E-2</v>
      </c>
      <c r="AE1357">
        <v>-0.45589999999998498</v>
      </c>
      <c r="AF1357">
        <v>0.114700519585472</v>
      </c>
      <c r="AG1357">
        <v>-5.5361999999999897E-2</v>
      </c>
      <c r="AH1357">
        <v>0.44841054694564703</v>
      </c>
      <c r="AI1357">
        <v>96.8208365520737</v>
      </c>
      <c r="AJ1357">
        <v>75.651765921190005</v>
      </c>
      <c r="AK1357">
        <v>0.46614716436901299</v>
      </c>
    </row>
    <row r="1358" spans="1:37" x14ac:dyDescent="0.2">
      <c r="A1358" t="str">
        <f>"20200111153633343"</f>
        <v>20200111153633343</v>
      </c>
      <c r="B1358" t="str">
        <f>"1578728193333693"</f>
        <v>1578728193333693</v>
      </c>
      <c r="C1358" t="s">
        <v>37</v>
      </c>
      <c r="D1358">
        <v>5.9025699999999999</v>
      </c>
      <c r="E1358">
        <v>0.55704240000000005</v>
      </c>
      <c r="F1358" t="s">
        <v>38</v>
      </c>
      <c r="G1358">
        <v>-191.37799999999999</v>
      </c>
      <c r="H1358">
        <v>1.04813</v>
      </c>
      <c r="I1358">
        <v>336.6112</v>
      </c>
      <c r="J1358">
        <v>-191.2705</v>
      </c>
      <c r="K1358">
        <v>1.1012839999999999</v>
      </c>
      <c r="L1358">
        <v>337.01440000000002</v>
      </c>
      <c r="M1358">
        <v>8.2483560000000001E-3</v>
      </c>
      <c r="N1358">
        <v>0</v>
      </c>
      <c r="O1358">
        <v>-0.99996350000000001</v>
      </c>
      <c r="P1358">
        <v>5.239245E-3</v>
      </c>
      <c r="Q1358">
        <v>6.68266E-2</v>
      </c>
      <c r="R1358">
        <v>-0.9977511</v>
      </c>
      <c r="S1358">
        <v>-0.4391022</v>
      </c>
      <c r="T1358">
        <v>-0.21939710000000001</v>
      </c>
      <c r="U1358">
        <v>-3.0240480000000001</v>
      </c>
      <c r="V1358">
        <v>3.3463939999999999E-3</v>
      </c>
      <c r="W1358">
        <v>6.9043800000000002E-2</v>
      </c>
      <c r="X1358">
        <v>0.99760799999999905</v>
      </c>
      <c r="Y1358">
        <v>0.1514858</v>
      </c>
      <c r="Z1358">
        <v>7.1566019999999994E-2</v>
      </c>
      <c r="AA1358">
        <v>0.98586529999999994</v>
      </c>
      <c r="AB1358">
        <v>31</v>
      </c>
      <c r="AC1358">
        <v>-0.10749999999998699</v>
      </c>
      <c r="AD1358">
        <v>-5.3153999999999903E-2</v>
      </c>
      <c r="AE1358">
        <v>-0.40320000000002598</v>
      </c>
      <c r="AF1358">
        <v>0.109052618602302</v>
      </c>
      <c r="AG1358">
        <v>-5.3153999999999903E-2</v>
      </c>
      <c r="AH1358">
        <v>0.39587616196596498</v>
      </c>
      <c r="AI1358">
        <v>97.375781678006007</v>
      </c>
      <c r="AJ1358">
        <v>74.5986337045792</v>
      </c>
      <c r="AK1358">
        <v>0.41404801285952603</v>
      </c>
    </row>
    <row r="1359" spans="1:37" x14ac:dyDescent="0.2">
      <c r="A1359" t="str">
        <f>"20200111153633366"</f>
        <v>20200111153633366</v>
      </c>
      <c r="B1359" t="str">
        <f>"1578728193353722"</f>
        <v>1578728193353722</v>
      </c>
      <c r="C1359" t="s">
        <v>37</v>
      </c>
      <c r="D1359">
        <v>5.864611</v>
      </c>
      <c r="E1359">
        <v>0.55690059999999997</v>
      </c>
      <c r="F1359" t="s">
        <v>38</v>
      </c>
      <c r="G1359">
        <v>-191.4102</v>
      </c>
      <c r="H1359">
        <v>1.0327569999999999</v>
      </c>
      <c r="I1359">
        <v>336.06380000000001</v>
      </c>
      <c r="J1359">
        <v>-191.27029999999999</v>
      </c>
      <c r="K1359">
        <v>1.1012959999999901</v>
      </c>
      <c r="L1359">
        <v>336.69220000000001</v>
      </c>
      <c r="M1359">
        <v>5.630014E-3</v>
      </c>
      <c r="N1359">
        <v>0</v>
      </c>
      <c r="O1359">
        <v>-0.99998169999999897</v>
      </c>
      <c r="P1359">
        <v>4.0748720000000002E-3</v>
      </c>
      <c r="Q1359">
        <v>6.7974329999999999E-2</v>
      </c>
      <c r="R1359">
        <v>-0.99767879999999998</v>
      </c>
      <c r="S1359">
        <v>-0.44398500000000002</v>
      </c>
      <c r="T1359">
        <v>-0.21805720000000001</v>
      </c>
      <c r="U1359">
        <v>-3.0237430000000001</v>
      </c>
      <c r="V1359">
        <v>1.901759E-3</v>
      </c>
      <c r="W1359">
        <v>7.0193039999999998E-2</v>
      </c>
      <c r="X1359">
        <v>0.99753159999999896</v>
      </c>
      <c r="Y1359">
        <v>0.1504751</v>
      </c>
      <c r="Z1359">
        <v>7.1137530000000004E-2</v>
      </c>
      <c r="AA1359">
        <v>0.98605109999999996</v>
      </c>
      <c r="AB1359">
        <v>31</v>
      </c>
      <c r="AC1359">
        <v>-0.13990000000001099</v>
      </c>
      <c r="AD1359">
        <v>-6.8538999999999906E-2</v>
      </c>
      <c r="AE1359">
        <v>-0.62839999999999896</v>
      </c>
      <c r="AF1359">
        <v>0.14182817031350001</v>
      </c>
      <c r="AG1359">
        <v>-6.8538999999999906E-2</v>
      </c>
      <c r="AH1359">
        <v>0.62056869289615202</v>
      </c>
      <c r="AI1359">
        <v>96.145323164973803</v>
      </c>
      <c r="AJ1359">
        <v>77.126411327977706</v>
      </c>
      <c r="AK1359">
        <v>0.64024864468291798</v>
      </c>
    </row>
    <row r="1360" spans="1:37" x14ac:dyDescent="0.2">
      <c r="A1360" t="str">
        <f>"20200111153633387"</f>
        <v>20200111153633387</v>
      </c>
      <c r="B1360" t="str">
        <f>"1578728193374214"</f>
        <v>1578728193374214</v>
      </c>
      <c r="C1360" t="s">
        <v>37</v>
      </c>
      <c r="D1360">
        <v>5.8763670000000001</v>
      </c>
      <c r="E1360">
        <v>0.55684309999999904</v>
      </c>
      <c r="F1360" t="s">
        <v>38</v>
      </c>
      <c r="G1360">
        <v>-191.405</v>
      </c>
      <c r="H1360">
        <v>1.03634</v>
      </c>
      <c r="I1360">
        <v>335.78230000000002</v>
      </c>
      <c r="J1360">
        <v>-191.27090000000001</v>
      </c>
      <c r="K1360">
        <v>1.1012999999999999</v>
      </c>
      <c r="L1360">
        <v>336.39330000000001</v>
      </c>
      <c r="M1360">
        <v>3.2402709999999999E-3</v>
      </c>
      <c r="N1360">
        <v>0</v>
      </c>
      <c r="O1360">
        <v>-0.99999229999999995</v>
      </c>
      <c r="P1360">
        <v>2.5017590000000001E-3</v>
      </c>
      <c r="Q1360">
        <v>6.8657499999999996E-2</v>
      </c>
      <c r="R1360">
        <v>-0.997637199999999</v>
      </c>
      <c r="S1360">
        <v>-0.44712829999999898</v>
      </c>
      <c r="T1360">
        <v>-0.21591070000000001</v>
      </c>
      <c r="U1360">
        <v>-3.0235599999999998</v>
      </c>
      <c r="V1360">
        <v>1.0923619999999999E-3</v>
      </c>
      <c r="W1360">
        <v>7.0877979999999993E-2</v>
      </c>
      <c r="X1360">
        <v>0.99748440000000005</v>
      </c>
      <c r="Y1360">
        <v>0.1491316</v>
      </c>
      <c r="Z1360">
        <v>7.0448079999999996E-2</v>
      </c>
      <c r="AA1360">
        <v>0.98630459999999998</v>
      </c>
      <c r="AB1360">
        <v>31</v>
      </c>
      <c r="AC1360">
        <v>-0.13409999999998901</v>
      </c>
      <c r="AD1360">
        <v>-6.4959999999999907E-2</v>
      </c>
      <c r="AE1360">
        <v>-0.61099999999999</v>
      </c>
      <c r="AF1360">
        <v>0.134627292155614</v>
      </c>
      <c r="AG1360">
        <v>-6.4959999999999907E-2</v>
      </c>
      <c r="AH1360">
        <v>0.60404824360453702</v>
      </c>
      <c r="AI1360">
        <v>95.992147892364599</v>
      </c>
      <c r="AJ1360">
        <v>77.435552274333105</v>
      </c>
      <c r="AK1360">
        <v>0.62226890489150999</v>
      </c>
    </row>
    <row r="1361" spans="1:37" x14ac:dyDescent="0.2">
      <c r="A1361" t="str">
        <f>"20200111153633409"</f>
        <v>20200111153633409</v>
      </c>
      <c r="B1361" t="str">
        <f>"1578728193403495"</f>
        <v>1578728193403495</v>
      </c>
      <c r="C1361" t="s">
        <v>37</v>
      </c>
      <c r="D1361">
        <v>5.8784330000000002</v>
      </c>
      <c r="E1361">
        <v>0.55678309999999998</v>
      </c>
      <c r="F1361" t="s">
        <v>38</v>
      </c>
      <c r="G1361">
        <v>-191.40450000000001</v>
      </c>
      <c r="H1361">
        <v>1.0378849999999999</v>
      </c>
      <c r="I1361">
        <v>335.50009999999997</v>
      </c>
      <c r="J1361">
        <v>-191.27209999999999</v>
      </c>
      <c r="K1361">
        <v>1.10131</v>
      </c>
      <c r="L1361">
        <v>336.0881</v>
      </c>
      <c r="M1361">
        <v>8.54362E-4</v>
      </c>
      <c r="N1361">
        <v>0</v>
      </c>
      <c r="O1361">
        <v>-0.99999729999999998</v>
      </c>
      <c r="P1361">
        <v>1.6431179999999901E-3</v>
      </c>
      <c r="Q1361">
        <v>6.9686090000000006E-2</v>
      </c>
      <c r="R1361">
        <v>-0.99756789999999995</v>
      </c>
      <c r="S1361">
        <v>-0.45176699999999997</v>
      </c>
      <c r="T1361">
        <v>-0.21472629999999901</v>
      </c>
      <c r="U1361">
        <v>-3.0230410000000001</v>
      </c>
      <c r="V1361">
        <v>-4.2739230000000001E-4</v>
      </c>
      <c r="W1361">
        <v>7.1913879999999999E-2</v>
      </c>
      <c r="X1361">
        <v>0.99741080000000004</v>
      </c>
      <c r="Y1361">
        <v>0.14828160000000001</v>
      </c>
      <c r="Z1361">
        <v>7.0072609999999994E-2</v>
      </c>
      <c r="AA1361">
        <v>0.98645959999999999</v>
      </c>
      <c r="AB1361">
        <v>31</v>
      </c>
      <c r="AC1361">
        <v>-0.132400000000018</v>
      </c>
      <c r="AD1361">
        <v>-6.3424999999999995E-2</v>
      </c>
      <c r="AE1361">
        <v>-0.58800000000002195</v>
      </c>
      <c r="AF1361">
        <v>0.13144673553521399</v>
      </c>
      <c r="AG1361">
        <v>-6.3424999999999995E-2</v>
      </c>
      <c r="AH1361">
        <v>0.581447973628749</v>
      </c>
      <c r="AI1361">
        <v>96.073206757566894</v>
      </c>
      <c r="AJ1361">
        <v>77.261390738025995</v>
      </c>
      <c r="AK1361">
        <v>0.59948538009266095</v>
      </c>
    </row>
    <row r="1362" spans="1:37" x14ac:dyDescent="0.2">
      <c r="A1362" t="str">
        <f>"20200111153633432"</f>
        <v>20200111153633432</v>
      </c>
      <c r="B1362" t="str">
        <f>"1578728193423991"</f>
        <v>1578728193423991</v>
      </c>
      <c r="C1362" t="s">
        <v>37</v>
      </c>
      <c r="D1362">
        <v>5.8492160000000002</v>
      </c>
      <c r="E1362">
        <v>0.55673490000000003</v>
      </c>
      <c r="F1362" t="s">
        <v>38</v>
      </c>
      <c r="G1362">
        <v>-191.40350000000001</v>
      </c>
      <c r="H1362">
        <v>1.039785</v>
      </c>
      <c r="I1362">
        <v>335.21629999999999</v>
      </c>
      <c r="J1362">
        <v>-191.27420000000001</v>
      </c>
      <c r="K1362">
        <v>1.1013469999999901</v>
      </c>
      <c r="L1362">
        <v>335.75580000000002</v>
      </c>
      <c r="M1362">
        <v>-1.6612879999999999E-3</v>
      </c>
      <c r="N1362">
        <v>0</v>
      </c>
      <c r="O1362">
        <v>-0.99999640000000001</v>
      </c>
      <c r="P1362">
        <v>4.6693709999999999E-4</v>
      </c>
      <c r="Q1362">
        <v>7.0372589999999999E-2</v>
      </c>
      <c r="R1362">
        <v>-0.99752099999999899</v>
      </c>
      <c r="S1362">
        <v>-0.4548645</v>
      </c>
      <c r="T1362">
        <v>-0.21349019999999999</v>
      </c>
      <c r="U1362">
        <v>-3.02298</v>
      </c>
      <c r="V1362">
        <v>-1.7627949999999999E-3</v>
      </c>
      <c r="W1362">
        <v>7.2609670000000001E-2</v>
      </c>
      <c r="X1362">
        <v>0.99735890000000005</v>
      </c>
      <c r="Y1362">
        <v>0.14678929999999901</v>
      </c>
      <c r="Z1362">
        <v>6.9675059999999997E-2</v>
      </c>
      <c r="AA1362">
        <v>0.9867108</v>
      </c>
      <c r="AB1362">
        <v>31</v>
      </c>
      <c r="AC1362">
        <v>-0.1293</v>
      </c>
      <c r="AD1362">
        <v>-6.1561999999999902E-2</v>
      </c>
      <c r="AE1362">
        <v>-0.53950000000003195</v>
      </c>
      <c r="AF1362">
        <v>0.126841670701936</v>
      </c>
      <c r="AG1362">
        <v>-6.1561999999999902E-2</v>
      </c>
      <c r="AH1362">
        <v>0.53314904946059205</v>
      </c>
      <c r="AI1362">
        <v>96.409354541082394</v>
      </c>
      <c r="AJ1362">
        <v>76.617528297286697</v>
      </c>
      <c r="AK1362">
        <v>0.55147674312811301</v>
      </c>
    </row>
    <row r="1363" spans="1:37" x14ac:dyDescent="0.2">
      <c r="A1363" t="str">
        <f>"20200111153633454"</f>
        <v>20200111153633454</v>
      </c>
      <c r="B1363" t="str">
        <f>"1578728193444487"</f>
        <v>1578728193444487</v>
      </c>
      <c r="C1363" t="s">
        <v>37</v>
      </c>
      <c r="D1363">
        <v>5.8297099999999897</v>
      </c>
      <c r="E1363">
        <v>0.55668569999999995</v>
      </c>
      <c r="F1363" t="s">
        <v>38</v>
      </c>
      <c r="G1363">
        <v>-191.3997</v>
      </c>
      <c r="H1363">
        <v>1.0434479999999999</v>
      </c>
      <c r="I1363">
        <v>334.92970000000003</v>
      </c>
      <c r="J1363">
        <v>-191.27690000000001</v>
      </c>
      <c r="K1363">
        <v>1.1013919999999999</v>
      </c>
      <c r="L1363">
        <v>335.44409999999999</v>
      </c>
      <c r="M1363">
        <v>-3.9281029999999996E-3</v>
      </c>
      <c r="N1363">
        <v>0</v>
      </c>
      <c r="O1363">
        <v>-0.99998989999999999</v>
      </c>
      <c r="P1363">
        <v>-5.3946889999999996E-4</v>
      </c>
      <c r="Q1363">
        <v>7.1256700000000006E-2</v>
      </c>
      <c r="R1363">
        <v>-0.99745799999999996</v>
      </c>
      <c r="S1363">
        <v>-0.458374</v>
      </c>
      <c r="T1363">
        <v>-0.21199670000000001</v>
      </c>
      <c r="U1363">
        <v>-3.0226439999999899</v>
      </c>
      <c r="V1363">
        <v>-3.0209729999999902E-3</v>
      </c>
      <c r="W1363">
        <v>7.3504219999999995E-2</v>
      </c>
      <c r="X1363">
        <v>0.99729029999999996</v>
      </c>
      <c r="Y1363">
        <v>0.14568829999999999</v>
      </c>
      <c r="Z1363">
        <v>6.9196649999999998E-2</v>
      </c>
      <c r="AA1363">
        <v>0.98690769999999906</v>
      </c>
      <c r="AB1363">
        <v>32</v>
      </c>
      <c r="AC1363">
        <v>-0.12279999999998301</v>
      </c>
      <c r="AD1363">
        <v>-5.7944000000000002E-2</v>
      </c>
      <c r="AE1363">
        <v>-0.514399999999966</v>
      </c>
      <c r="AF1363">
        <v>0.11934574468121301</v>
      </c>
      <c r="AG1363">
        <v>-5.7944000000000002E-2</v>
      </c>
      <c r="AH1363">
        <v>0.50877085988348503</v>
      </c>
      <c r="AI1363">
        <v>96.327131528747898</v>
      </c>
      <c r="AJ1363">
        <v>76.7984397548218</v>
      </c>
      <c r="AK1363">
        <v>0.52578389265561798</v>
      </c>
    </row>
    <row r="1364" spans="1:37" x14ac:dyDescent="0.2">
      <c r="A1364" t="str">
        <f>"20200111153633476"</f>
        <v>20200111153633476</v>
      </c>
      <c r="B1364" t="str">
        <f>"1578728193464514"</f>
        <v>1578728193464514</v>
      </c>
      <c r="C1364" t="s">
        <v>37</v>
      </c>
      <c r="D1364">
        <v>5.838158</v>
      </c>
      <c r="E1364">
        <v>0.55664409999999998</v>
      </c>
      <c r="F1364" t="s">
        <v>38</v>
      </c>
      <c r="G1364">
        <v>-191.39930000000001</v>
      </c>
      <c r="H1364">
        <v>1.045614</v>
      </c>
      <c r="I1364">
        <v>334.64249999999998</v>
      </c>
      <c r="J1364">
        <v>-191.28020000000001</v>
      </c>
      <c r="K1364">
        <v>1.1014549999999901</v>
      </c>
      <c r="L1364">
        <v>335.12490000000003</v>
      </c>
      <c r="M1364">
        <v>-6.1415250000000001E-3</v>
      </c>
      <c r="N1364">
        <v>0</v>
      </c>
      <c r="O1364">
        <v>-0.9999789</v>
      </c>
      <c r="P1364">
        <v>-1.86607299999999E-3</v>
      </c>
      <c r="Q1364">
        <v>7.196719E-2</v>
      </c>
      <c r="R1364">
        <v>-0.99740569999999895</v>
      </c>
      <c r="S1364">
        <v>-0.46136470000000002</v>
      </c>
      <c r="T1364">
        <v>-0.21045610000000001</v>
      </c>
      <c r="U1364">
        <v>-3.0224299999999999</v>
      </c>
      <c r="V1364">
        <v>-3.9095559999999998E-3</v>
      </c>
      <c r="W1364">
        <v>7.4224159999999997E-2</v>
      </c>
      <c r="X1364">
        <v>0.99723390000000001</v>
      </c>
      <c r="Y1364">
        <v>0.1444685</v>
      </c>
      <c r="Z1364">
        <v>6.8700940000000002E-2</v>
      </c>
      <c r="AA1364">
        <v>0.98712160000000004</v>
      </c>
      <c r="AB1364">
        <v>32</v>
      </c>
      <c r="AC1364">
        <v>-0.119100000000003</v>
      </c>
      <c r="AD1364">
        <v>-5.5840999999999801E-2</v>
      </c>
      <c r="AE1364">
        <v>-0.48240000000004102</v>
      </c>
      <c r="AF1364">
        <v>0.114686612033696</v>
      </c>
      <c r="AG1364">
        <v>-5.5840999999999801E-2</v>
      </c>
      <c r="AH1364">
        <v>0.47709674572307098</v>
      </c>
      <c r="AI1364">
        <v>96.492416213773495</v>
      </c>
      <c r="AJ1364">
        <v>76.483443890217501</v>
      </c>
      <c r="AK1364">
        <v>0.49385477727801003</v>
      </c>
    </row>
    <row r="1365" spans="1:37" x14ac:dyDescent="0.2">
      <c r="A1365" t="str">
        <f>"20200111153633497"</f>
        <v>20200111153633497</v>
      </c>
      <c r="B1365" t="str">
        <f>"1578728193493795"</f>
        <v>1578728193493795</v>
      </c>
      <c r="C1365" t="s">
        <v>37</v>
      </c>
      <c r="D1365">
        <v>5.819833</v>
      </c>
      <c r="E1365">
        <v>0.5565618</v>
      </c>
      <c r="F1365" t="s">
        <v>38</v>
      </c>
      <c r="G1365">
        <v>-191.3989</v>
      </c>
      <c r="H1365">
        <v>1.0479430000000001</v>
      </c>
      <c r="I1365">
        <v>334.35379999999998</v>
      </c>
      <c r="J1365">
        <v>-191.28389999999999</v>
      </c>
      <c r="K1365">
        <v>1.101529</v>
      </c>
      <c r="L1365">
        <v>334.81979999999999</v>
      </c>
      <c r="M1365">
        <v>-8.1400829999999993E-3</v>
      </c>
      <c r="N1365">
        <v>0</v>
      </c>
      <c r="O1365">
        <v>-0.99996430000000003</v>
      </c>
      <c r="P1365">
        <v>-2.892698E-3</v>
      </c>
      <c r="Q1365">
        <v>7.3501910000000004E-2</v>
      </c>
      <c r="R1365">
        <v>-0.99729100000000004</v>
      </c>
      <c r="S1365">
        <v>-0.465072599999999</v>
      </c>
      <c r="T1365">
        <v>-0.2097868</v>
      </c>
      <c r="U1365">
        <v>-3.0220639999999999</v>
      </c>
      <c r="V1365">
        <v>-4.8809429999999996E-3</v>
      </c>
      <c r="W1365">
        <v>7.5775709999999996E-2</v>
      </c>
      <c r="X1365">
        <v>0.99711289999999997</v>
      </c>
      <c r="Y1365">
        <v>0.1436943</v>
      </c>
      <c r="Z1365">
        <v>6.8487790000000007E-2</v>
      </c>
      <c r="AA1365">
        <v>0.98724940000000005</v>
      </c>
      <c r="AB1365">
        <v>32</v>
      </c>
      <c r="AC1365">
        <v>-0.115000000000009</v>
      </c>
      <c r="AD1365">
        <v>-5.3585999999999898E-2</v>
      </c>
      <c r="AE1365">
        <v>-0.46600000000000802</v>
      </c>
      <c r="AF1365">
        <v>0.109833935790111</v>
      </c>
      <c r="AG1365">
        <v>-5.3585999999999898E-2</v>
      </c>
      <c r="AH1365">
        <v>0.46117263587227803</v>
      </c>
      <c r="AI1365">
        <v>96.448976202517002</v>
      </c>
      <c r="AJ1365">
        <v>76.603866056782806</v>
      </c>
      <c r="AK1365">
        <v>0.47709029850179402</v>
      </c>
    </row>
    <row r="1366" spans="1:37" x14ac:dyDescent="0.2">
      <c r="A1366" t="str">
        <f>"20200111153633521"</f>
        <v>20200111153633521</v>
      </c>
      <c r="B1366" t="str">
        <f>"1578728193514290"</f>
        <v>1578728193514290</v>
      </c>
      <c r="C1366" t="s">
        <v>37</v>
      </c>
      <c r="D1366">
        <v>5.8359949999999996</v>
      </c>
      <c r="E1366">
        <v>0.55645219999999995</v>
      </c>
      <c r="F1366" t="s">
        <v>38</v>
      </c>
      <c r="G1366">
        <v>-191.4008</v>
      </c>
      <c r="H1366">
        <v>1.0497609999999999</v>
      </c>
      <c r="I1366">
        <v>334.06380000000001</v>
      </c>
      <c r="J1366">
        <v>-191.2885</v>
      </c>
      <c r="K1366">
        <v>1.1016250000000001</v>
      </c>
      <c r="L1366">
        <v>334.49</v>
      </c>
      <c r="M1366">
        <v>-1.016704E-2</v>
      </c>
      <c r="N1366">
        <v>0</v>
      </c>
      <c r="O1366">
        <v>-0.9999458</v>
      </c>
      <c r="P1366">
        <v>-4.2098270000000002E-3</v>
      </c>
      <c r="Q1366">
        <v>7.4549690000000002E-2</v>
      </c>
      <c r="R1366">
        <v>-0.99720839999999999</v>
      </c>
      <c r="S1366">
        <v>-0.46754459999999998</v>
      </c>
      <c r="T1366">
        <v>-0.20692350000000001</v>
      </c>
      <c r="U1366">
        <v>-3.02200299999999</v>
      </c>
      <c r="V1366">
        <v>-5.5946210000000001E-3</v>
      </c>
      <c r="W1366">
        <v>7.6849249999999994E-2</v>
      </c>
      <c r="X1366">
        <v>0.997027</v>
      </c>
      <c r="Y1366">
        <v>0.1424898</v>
      </c>
      <c r="Z1366">
        <v>6.7558569999999998E-2</v>
      </c>
      <c r="AA1366">
        <v>0.98748799999999903</v>
      </c>
      <c r="AB1366">
        <v>32</v>
      </c>
      <c r="AC1366">
        <v>-0.11230000000000399</v>
      </c>
      <c r="AD1366">
        <v>-5.1863999999999903E-2</v>
      </c>
      <c r="AE1366">
        <v>-0.42619999999999397</v>
      </c>
      <c r="AF1366">
        <v>0.106486480764311</v>
      </c>
      <c r="AG1366">
        <v>-5.1863999999999903E-2</v>
      </c>
      <c r="AH1366">
        <v>0.421483477862718</v>
      </c>
      <c r="AI1366">
        <v>96.803369057566698</v>
      </c>
      <c r="AJ1366">
        <v>75.821112122973702</v>
      </c>
      <c r="AK1366">
        <v>0.43780996698661401</v>
      </c>
    </row>
    <row r="1367" spans="1:37" x14ac:dyDescent="0.2">
      <c r="A1367" t="str">
        <f>"20200111153633543"</f>
        <v>20200111153633543</v>
      </c>
      <c r="B1367" t="str">
        <f>"1578728193533810"</f>
        <v>1578728193533810</v>
      </c>
      <c r="C1367" t="s">
        <v>37</v>
      </c>
      <c r="D1367">
        <v>5.8232049999999997</v>
      </c>
      <c r="E1367">
        <v>0.55628869999999997</v>
      </c>
      <c r="F1367" t="s">
        <v>38</v>
      </c>
      <c r="G1367">
        <v>-191.44380000000001</v>
      </c>
      <c r="H1367">
        <v>1.033679</v>
      </c>
      <c r="I1367">
        <v>333.49189999999999</v>
      </c>
      <c r="J1367">
        <v>-191.2937</v>
      </c>
      <c r="K1367">
        <v>1.101721</v>
      </c>
      <c r="L1367">
        <v>334.15469999999999</v>
      </c>
      <c r="M1367">
        <v>-1.207604E-2</v>
      </c>
      <c r="N1367">
        <v>0</v>
      </c>
      <c r="O1367">
        <v>-0.99992459999999905</v>
      </c>
      <c r="P1367">
        <v>-5.6834930000000004E-3</v>
      </c>
      <c r="Q1367">
        <v>7.5984010000000005E-2</v>
      </c>
      <c r="R1367">
        <v>-0.99709309999999995</v>
      </c>
      <c r="S1367">
        <v>-0.47042849999999897</v>
      </c>
      <c r="T1367">
        <v>-0.20569879999999999</v>
      </c>
      <c r="U1367">
        <v>-3.0217900000000002</v>
      </c>
      <c r="V1367">
        <v>-6.0336900000000004E-3</v>
      </c>
      <c r="W1367">
        <v>7.8324909999999998E-2</v>
      </c>
      <c r="X1367">
        <v>0.99690959999999995</v>
      </c>
      <c r="Y1367">
        <v>0.1415351</v>
      </c>
      <c r="Z1367">
        <v>6.7162849999999996E-2</v>
      </c>
      <c r="AA1367">
        <v>0.98765219999999898</v>
      </c>
      <c r="AB1367">
        <v>32</v>
      </c>
      <c r="AC1367">
        <v>-0.150100000000009</v>
      </c>
      <c r="AD1367">
        <v>-6.8041999999999894E-2</v>
      </c>
      <c r="AE1367">
        <v>-0.66280000000000405</v>
      </c>
      <c r="AF1367">
        <v>0.14067482263566899</v>
      </c>
      <c r="AG1367">
        <v>-6.8041999999999894E-2</v>
      </c>
      <c r="AH1367">
        <v>0.65796839763258996</v>
      </c>
      <c r="AI1367">
        <v>95.774506192618304</v>
      </c>
      <c r="AJ1367">
        <v>77.931754972399503</v>
      </c>
      <c r="AK1367">
        <v>0.67627030969189805</v>
      </c>
    </row>
    <row r="1368" spans="1:37" x14ac:dyDescent="0.2">
      <c r="A1368" t="str">
        <f>"20200111153633566"</f>
        <v>20200111153633566</v>
      </c>
      <c r="B1368" t="str">
        <f>"1578728193553837"</f>
        <v>1578728193553837</v>
      </c>
      <c r="C1368" t="s">
        <v>37</v>
      </c>
      <c r="D1368">
        <v>5.8261690000000002</v>
      </c>
      <c r="E1368">
        <v>0.55626209999999998</v>
      </c>
      <c r="F1368" t="s">
        <v>38</v>
      </c>
      <c r="G1368">
        <v>-191.44390000000001</v>
      </c>
      <c r="H1368">
        <v>1.03755</v>
      </c>
      <c r="I1368">
        <v>333.19699999999898</v>
      </c>
      <c r="J1368">
        <v>-191.2996</v>
      </c>
      <c r="K1368">
        <v>1.101815</v>
      </c>
      <c r="L1368">
        <v>333.81169999999997</v>
      </c>
      <c r="M1368">
        <v>-1.39081E-2</v>
      </c>
      <c r="N1368">
        <v>0</v>
      </c>
      <c r="O1368">
        <v>-0.99990059999999903</v>
      </c>
      <c r="P1368">
        <v>-7.4396940000000002E-3</v>
      </c>
      <c r="Q1368">
        <v>7.6496289999999995E-2</v>
      </c>
      <c r="R1368">
        <v>-0.9970424</v>
      </c>
      <c r="S1368">
        <v>-0.473205599999999</v>
      </c>
      <c r="T1368">
        <v>-0.202626799999999</v>
      </c>
      <c r="U1368">
        <v>-3.021515</v>
      </c>
      <c r="V1368">
        <v>-6.1166019999999996E-3</v>
      </c>
      <c r="W1368">
        <v>7.8895809999999997E-2</v>
      </c>
      <c r="X1368">
        <v>0.99686409999999903</v>
      </c>
      <c r="Y1368">
        <v>0.14063149999999999</v>
      </c>
      <c r="Z1368">
        <v>6.6167489999999995E-2</v>
      </c>
      <c r="AA1368">
        <v>0.98784850000000002</v>
      </c>
      <c r="AB1368">
        <v>33</v>
      </c>
      <c r="AC1368">
        <v>-0.144300000000015</v>
      </c>
      <c r="AD1368">
        <v>-6.4265000000000003E-2</v>
      </c>
      <c r="AE1368">
        <v>-0.614700000000027</v>
      </c>
      <c r="AF1368">
        <v>0.134345004476951</v>
      </c>
      <c r="AG1368">
        <v>-6.4265000000000003E-2</v>
      </c>
      <c r="AH1368">
        <v>0.61032501124044103</v>
      </c>
      <c r="AI1368">
        <v>95.871344775881795</v>
      </c>
      <c r="AJ1368">
        <v>77.586000006393405</v>
      </c>
      <c r="AK1368">
        <v>0.62823179623333003</v>
      </c>
    </row>
    <row r="1369" spans="1:37" x14ac:dyDescent="0.2">
      <c r="A1369" t="str">
        <f>"20200111153633588"</f>
        <v>20200111153633588</v>
      </c>
      <c r="B1369" t="str">
        <f>"1578728193584093"</f>
        <v>1578728193584093</v>
      </c>
      <c r="C1369" t="s">
        <v>37</v>
      </c>
      <c r="D1369">
        <v>5.7785029999999997</v>
      </c>
      <c r="E1369">
        <v>0.55633509999999997</v>
      </c>
      <c r="F1369" t="s">
        <v>38</v>
      </c>
      <c r="G1369">
        <v>-191.44370000000001</v>
      </c>
      <c r="H1369">
        <v>1.041029</v>
      </c>
      <c r="I1369">
        <v>332.90109999999999</v>
      </c>
      <c r="J1369">
        <v>-191.3057</v>
      </c>
      <c r="K1369">
        <v>1.101898</v>
      </c>
      <c r="L1369">
        <v>333.48250000000002</v>
      </c>
      <c r="M1369">
        <v>-1.5555980000000001E-2</v>
      </c>
      <c r="N1369">
        <v>0</v>
      </c>
      <c r="O1369">
        <v>-0.99987610000000005</v>
      </c>
      <c r="P1369">
        <v>-9.7121399999999993E-3</v>
      </c>
      <c r="Q1369">
        <v>7.6441620000000002E-2</v>
      </c>
      <c r="R1369">
        <v>-0.997027</v>
      </c>
      <c r="S1369">
        <v>-0.47793580000000002</v>
      </c>
      <c r="T1369">
        <v>-0.2016792</v>
      </c>
      <c r="U1369">
        <v>-3.0208439999999999</v>
      </c>
      <c r="V1369">
        <v>-5.50101699999999E-3</v>
      </c>
      <c r="W1369">
        <v>7.8930509999999995E-2</v>
      </c>
      <c r="X1369">
        <v>0.99686489999999905</v>
      </c>
      <c r="Y1369">
        <v>0.140546</v>
      </c>
      <c r="Z1369">
        <v>6.5863870000000005E-2</v>
      </c>
      <c r="AA1369">
        <v>0.98788089999999995</v>
      </c>
      <c r="AB1369">
        <v>33</v>
      </c>
      <c r="AC1369">
        <v>-0.13800000000000501</v>
      </c>
      <c r="AD1369">
        <v>-6.0868999999999999E-2</v>
      </c>
      <c r="AE1369">
        <v>-0.58140000000003</v>
      </c>
      <c r="AF1369">
        <v>0.127614869208756</v>
      </c>
      <c r="AG1369">
        <v>-6.0868999999999999E-2</v>
      </c>
      <c r="AH1369">
        <v>0.57748427891330201</v>
      </c>
      <c r="AI1369">
        <v>95.876230250118098</v>
      </c>
      <c r="AJ1369">
        <v>77.538808433279897</v>
      </c>
      <c r="AK1369">
        <v>0.59454073232721805</v>
      </c>
    </row>
    <row r="1370" spans="1:37" x14ac:dyDescent="0.2">
      <c r="A1370" t="str">
        <f>"20200111153633610"</f>
        <v>20200111153633610</v>
      </c>
      <c r="B1370" t="str">
        <f>"1578728193604590"</f>
        <v>1578728193604590</v>
      </c>
      <c r="C1370" t="s">
        <v>37</v>
      </c>
      <c r="D1370">
        <v>5.8078969999999996</v>
      </c>
      <c r="E1370">
        <v>0.55640610000000001</v>
      </c>
      <c r="F1370" t="s">
        <v>38</v>
      </c>
      <c r="G1370">
        <v>-191.44710000000001</v>
      </c>
      <c r="H1370">
        <v>1.043531</v>
      </c>
      <c r="I1370">
        <v>332.60430000000002</v>
      </c>
      <c r="J1370">
        <v>-191.31200000000001</v>
      </c>
      <c r="K1370">
        <v>1.101988</v>
      </c>
      <c r="L1370">
        <v>333.1669</v>
      </c>
      <c r="M1370">
        <v>-1.7044480000000001E-2</v>
      </c>
      <c r="N1370">
        <v>0</v>
      </c>
      <c r="O1370">
        <v>-0.999851499999999</v>
      </c>
      <c r="P1370">
        <v>-1.298557E-2</v>
      </c>
      <c r="Q1370">
        <v>7.5507920000000006E-2</v>
      </c>
      <c r="R1370">
        <v>-0.99706139999999999</v>
      </c>
      <c r="S1370">
        <v>-0.48506159999999998</v>
      </c>
      <c r="T1370">
        <v>-0.20092479999999999</v>
      </c>
      <c r="U1370">
        <v>-3.0196230000000002</v>
      </c>
      <c r="V1370">
        <v>-3.7267820000000001E-3</v>
      </c>
      <c r="W1370">
        <v>7.8168029999999999E-2</v>
      </c>
      <c r="X1370">
        <v>0.99693319999999996</v>
      </c>
      <c r="Y1370">
        <v>0.1414096</v>
      </c>
      <c r="Z1370">
        <v>6.5626139999999999E-2</v>
      </c>
      <c r="AA1370">
        <v>0.98777349999999997</v>
      </c>
      <c r="AB1370">
        <v>33</v>
      </c>
      <c r="AC1370">
        <v>-0.135099999999994</v>
      </c>
      <c r="AD1370">
        <v>-5.8456999999999898E-2</v>
      </c>
      <c r="AE1370">
        <v>-0.56259999999997401</v>
      </c>
      <c r="AF1370">
        <v>0.12422309364871</v>
      </c>
      <c r="AG1370">
        <v>-5.8456999999999898E-2</v>
      </c>
      <c r="AH1370">
        <v>0.55911375438100497</v>
      </c>
      <c r="AI1370">
        <v>95.827667641384096</v>
      </c>
      <c r="AJ1370">
        <v>77.473575777616503</v>
      </c>
      <c r="AK1370">
        <v>0.575722839726442</v>
      </c>
    </row>
    <row r="1371" spans="1:37" x14ac:dyDescent="0.2">
      <c r="A1371" t="str">
        <f>"20200111153633632"</f>
        <v>20200111153633632</v>
      </c>
      <c r="B1371" t="str">
        <f>"1578728193624109"</f>
        <v>1578728193624109</v>
      </c>
      <c r="C1371" t="s">
        <v>37</v>
      </c>
      <c r="D1371">
        <v>5.7524249999999997</v>
      </c>
      <c r="E1371">
        <v>0.55643769999999904</v>
      </c>
      <c r="F1371" t="s">
        <v>38</v>
      </c>
      <c r="G1371">
        <v>-191.453</v>
      </c>
      <c r="H1371">
        <v>1.0438540000000001</v>
      </c>
      <c r="I1371">
        <v>332.3082</v>
      </c>
      <c r="J1371">
        <v>-191.31909999999999</v>
      </c>
      <c r="K1371">
        <v>1.102115</v>
      </c>
      <c r="L1371">
        <v>332.834</v>
      </c>
      <c r="M1371">
        <v>-1.8540069999999999E-2</v>
      </c>
      <c r="N1371">
        <v>0</v>
      </c>
      <c r="O1371">
        <v>-0.99982369999999898</v>
      </c>
      <c r="P1371">
        <v>-1.7024859999999999E-2</v>
      </c>
      <c r="Q1371">
        <v>7.4712860000000006E-2</v>
      </c>
      <c r="R1371">
        <v>-0.9970601</v>
      </c>
      <c r="S1371">
        <v>-0.4950562</v>
      </c>
      <c r="T1371">
        <v>-0.2044455</v>
      </c>
      <c r="U1371">
        <v>-3.01791399999999</v>
      </c>
      <c r="V1371">
        <v>-1.1906900000000001E-3</v>
      </c>
      <c r="W1371">
        <v>7.7719259999999998E-2</v>
      </c>
      <c r="X1371">
        <v>0.99697459999999904</v>
      </c>
      <c r="Y1371">
        <v>0.14319100000000001</v>
      </c>
      <c r="Z1371">
        <v>6.6779290000000005E-2</v>
      </c>
      <c r="AA1371">
        <v>0.98743959999999997</v>
      </c>
      <c r="AB1371">
        <v>33</v>
      </c>
      <c r="AC1371">
        <v>-0.13390000000001101</v>
      </c>
      <c r="AD1371">
        <v>-5.8260999999999903E-2</v>
      </c>
      <c r="AE1371">
        <v>-0.52580000000000304</v>
      </c>
      <c r="AF1371">
        <v>0.122713695911673</v>
      </c>
      <c r="AG1371">
        <v>-5.8260999999999903E-2</v>
      </c>
      <c r="AH1371">
        <v>0.522171562488153</v>
      </c>
      <c r="AI1371">
        <v>96.198905575448904</v>
      </c>
      <c r="AJ1371">
        <v>76.775097476508606</v>
      </c>
      <c r="AK1371">
        <v>0.53955179172774703</v>
      </c>
    </row>
    <row r="1372" spans="1:37" x14ac:dyDescent="0.2">
      <c r="A1372" t="str">
        <f>"20200111153633654"</f>
        <v>20200111153633654</v>
      </c>
      <c r="B1372" t="str">
        <f>"1578728193643632"</f>
        <v>1578728193643632</v>
      </c>
      <c r="C1372" t="s">
        <v>37</v>
      </c>
      <c r="D1372">
        <v>5.7451879999999997</v>
      </c>
      <c r="E1372">
        <v>0.55646660000000003</v>
      </c>
      <c r="F1372" t="s">
        <v>38</v>
      </c>
      <c r="G1372">
        <v>-191.45760000000001</v>
      </c>
      <c r="H1372">
        <v>1.045288</v>
      </c>
      <c r="I1372">
        <v>332.01080000000002</v>
      </c>
      <c r="J1372">
        <v>-191.32660000000001</v>
      </c>
      <c r="K1372">
        <v>1.102266</v>
      </c>
      <c r="L1372">
        <v>332.5034</v>
      </c>
      <c r="M1372">
        <v>-1.9972879999999998E-2</v>
      </c>
      <c r="N1372">
        <v>0</v>
      </c>
      <c r="O1372">
        <v>-0.99979430000000002</v>
      </c>
      <c r="P1372">
        <v>-2.1748400000000001E-2</v>
      </c>
      <c r="Q1372">
        <v>7.276908E-2</v>
      </c>
      <c r="R1372">
        <v>-0.997112</v>
      </c>
      <c r="S1372">
        <v>-0.50660709999999998</v>
      </c>
      <c r="T1372">
        <v>-0.20832999999999999</v>
      </c>
      <c r="U1372">
        <v>-3.0158079999999998</v>
      </c>
      <c r="V1372">
        <v>2.0904539999999998E-3</v>
      </c>
      <c r="W1372">
        <v>7.6325340000000005E-2</v>
      </c>
      <c r="X1372">
        <v>0.99708079999999999</v>
      </c>
      <c r="Y1372">
        <v>0.14554879999999901</v>
      </c>
      <c r="Z1372">
        <v>6.8053219999999998E-2</v>
      </c>
      <c r="AA1372">
        <v>0.98700769999999904</v>
      </c>
      <c r="AB1372">
        <v>33</v>
      </c>
      <c r="AC1372">
        <v>-0.13100000000000001</v>
      </c>
      <c r="AD1372">
        <v>-5.6977999999999897E-2</v>
      </c>
      <c r="AE1372">
        <v>-0.492599999999981</v>
      </c>
      <c r="AF1372">
        <v>0.119640218111518</v>
      </c>
      <c r="AG1372">
        <v>-5.6977999999999897E-2</v>
      </c>
      <c r="AH1372">
        <v>0.48900786824498299</v>
      </c>
      <c r="AI1372">
        <v>96.4572257086419</v>
      </c>
      <c r="AJ1372">
        <v>76.252127624788002</v>
      </c>
      <c r="AK1372">
        <v>0.50664481590091703</v>
      </c>
    </row>
    <row r="1373" spans="1:37" x14ac:dyDescent="0.2">
      <c r="A1373" t="str">
        <f>"20200111153633677"</f>
        <v>20200111153633677</v>
      </c>
      <c r="B1373" t="str">
        <f>"1578728193674392"</f>
        <v>1578728193674392</v>
      </c>
      <c r="C1373" t="s">
        <v>37</v>
      </c>
      <c r="D1373">
        <v>5.7360369999999996</v>
      </c>
      <c r="E1373">
        <v>0.55648759999999997</v>
      </c>
      <c r="F1373" t="s">
        <v>38</v>
      </c>
      <c r="G1373">
        <v>-191.4631</v>
      </c>
      <c r="H1373">
        <v>1.0455369999999999</v>
      </c>
      <c r="I1373">
        <v>331.71429999999998</v>
      </c>
      <c r="J1373">
        <v>-191.33459999999999</v>
      </c>
      <c r="K1373">
        <v>1.10243</v>
      </c>
      <c r="L1373">
        <v>332.17590000000001</v>
      </c>
      <c r="M1373">
        <v>-2.135047E-2</v>
      </c>
      <c r="N1373">
        <v>0</v>
      </c>
      <c r="O1373">
        <v>-0.99976259999999995</v>
      </c>
      <c r="P1373">
        <v>-2.4778339999999999E-2</v>
      </c>
      <c r="Q1373">
        <v>7.0638339999999994E-2</v>
      </c>
      <c r="R1373">
        <v>-0.99719439999999904</v>
      </c>
      <c r="S1373">
        <v>-0.52053830000000001</v>
      </c>
      <c r="T1373">
        <v>-0.2166952</v>
      </c>
      <c r="U1373">
        <v>-3.013153</v>
      </c>
      <c r="V1373">
        <v>3.7348170000000001E-3</v>
      </c>
      <c r="W1373">
        <v>7.494315E-2</v>
      </c>
      <c r="X1373">
        <v>0.99718079999999998</v>
      </c>
      <c r="Y1373">
        <v>0.1487291</v>
      </c>
      <c r="Z1373">
        <v>7.0786390000000005E-2</v>
      </c>
      <c r="AA1373">
        <v>0.98634120000000003</v>
      </c>
      <c r="AB1373">
        <v>33</v>
      </c>
      <c r="AC1373">
        <v>-0.128500000000002</v>
      </c>
      <c r="AD1373">
        <v>-5.6892999999999798E-2</v>
      </c>
      <c r="AE1373">
        <v>-0.46160000000003198</v>
      </c>
      <c r="AF1373">
        <v>0.116966198431423</v>
      </c>
      <c r="AG1373">
        <v>-5.6892999999999798E-2</v>
      </c>
      <c r="AH1373">
        <v>0.45778429921993802</v>
      </c>
      <c r="AI1373">
        <v>96.865975836812197</v>
      </c>
      <c r="AJ1373">
        <v>75.667281182189001</v>
      </c>
      <c r="AK1373">
        <v>0.47590373988527201</v>
      </c>
    </row>
    <row r="1374" spans="1:37" x14ac:dyDescent="0.2">
      <c r="A1374" t="str">
        <f>"20200111153633699"</f>
        <v>20200111153633699</v>
      </c>
      <c r="B1374" t="str">
        <f>"1578728193693912"</f>
        <v>1578728193693912</v>
      </c>
      <c r="C1374" t="s">
        <v>37</v>
      </c>
      <c r="D1374">
        <v>5.7348129999999999</v>
      </c>
      <c r="E1374">
        <v>0.55634090000000003</v>
      </c>
      <c r="F1374" t="s">
        <v>38</v>
      </c>
      <c r="G1374">
        <v>-191.4683</v>
      </c>
      <c r="H1374">
        <v>1.046179</v>
      </c>
      <c r="I1374">
        <v>331.41730000000001</v>
      </c>
      <c r="J1374">
        <v>-191.34289999999999</v>
      </c>
      <c r="K1374">
        <v>1.102622</v>
      </c>
      <c r="L1374">
        <v>331.84859999999998</v>
      </c>
      <c r="M1374">
        <v>-2.2684659999999999E-2</v>
      </c>
      <c r="N1374">
        <v>0</v>
      </c>
      <c r="O1374">
        <v>-0.99972919999999998</v>
      </c>
      <c r="P1374">
        <v>-2.6516149999999999E-2</v>
      </c>
      <c r="Q1374">
        <v>6.7812999999999998E-2</v>
      </c>
      <c r="R1374">
        <v>-0.99734590000000001</v>
      </c>
      <c r="S1374">
        <v>-0.52989200000000003</v>
      </c>
      <c r="T1374">
        <v>-0.22350320000000001</v>
      </c>
      <c r="U1374">
        <v>-3.011139</v>
      </c>
      <c r="V1374">
        <v>4.1265149999999999E-3</v>
      </c>
      <c r="W1374">
        <v>7.3022939999999995E-2</v>
      </c>
      <c r="X1374">
        <v>0.99732169999999898</v>
      </c>
      <c r="Y1374">
        <v>0.1504655</v>
      </c>
      <c r="Z1374">
        <v>7.3014220000000005E-2</v>
      </c>
      <c r="AA1374">
        <v>0.9859154</v>
      </c>
      <c r="AB1374">
        <v>33</v>
      </c>
      <c r="AC1374">
        <v>-0.125400000000013</v>
      </c>
      <c r="AD1374">
        <v>-5.6442999999999799E-2</v>
      </c>
      <c r="AE1374">
        <v>-0.43129999999996399</v>
      </c>
      <c r="AF1374">
        <v>0.113786862527857</v>
      </c>
      <c r="AG1374">
        <v>-5.6442999999999799E-2</v>
      </c>
      <c r="AH1374">
        <v>0.42728630161808201</v>
      </c>
      <c r="AI1374">
        <v>97.274341353915801</v>
      </c>
      <c r="AJ1374">
        <v>75.088133150636395</v>
      </c>
      <c r="AK1374">
        <v>0.44576546062182998</v>
      </c>
    </row>
    <row r="1375" spans="1:37" x14ac:dyDescent="0.2">
      <c r="A1375" t="str">
        <f>"20200111153633725"</f>
        <v>20200111153633725</v>
      </c>
      <c r="B1375" t="str">
        <f>"1578728193714409"</f>
        <v>1578728193714409</v>
      </c>
      <c r="C1375" t="s">
        <v>37</v>
      </c>
      <c r="D1375">
        <v>5.7014069999999997</v>
      </c>
      <c r="E1375">
        <v>0.55627749999999998</v>
      </c>
      <c r="F1375" t="s">
        <v>38</v>
      </c>
      <c r="G1375">
        <v>-191.47210000000001</v>
      </c>
      <c r="H1375">
        <v>1.046286</v>
      </c>
      <c r="I1375">
        <v>331.12130000000002</v>
      </c>
      <c r="J1375">
        <v>-191.3526</v>
      </c>
      <c r="K1375">
        <v>1.10284</v>
      </c>
      <c r="L1375">
        <v>331.48930000000001</v>
      </c>
      <c r="M1375">
        <v>-2.4088169999999999E-2</v>
      </c>
      <c r="N1375">
        <v>0</v>
      </c>
      <c r="O1375">
        <v>-0.99969010000000003</v>
      </c>
      <c r="P1375">
        <v>-2.8966539999999999E-2</v>
      </c>
      <c r="Q1375">
        <v>6.6255090000000003E-2</v>
      </c>
      <c r="R1375">
        <v>-0.99738230000000005</v>
      </c>
      <c r="S1375">
        <v>-0.53395079999999995</v>
      </c>
      <c r="T1375">
        <v>-0.2331849</v>
      </c>
      <c r="U1375">
        <v>-3.0096129999999999</v>
      </c>
      <c r="V1375">
        <v>5.1638370000000001E-3</v>
      </c>
      <c r="W1375">
        <v>7.2505509999999995E-2</v>
      </c>
      <c r="X1375">
        <v>0.99735459999999998</v>
      </c>
      <c r="Y1375">
        <v>0.15041079999999901</v>
      </c>
      <c r="Z1375">
        <v>7.6184450000000001E-2</v>
      </c>
      <c r="AA1375">
        <v>0.9856838</v>
      </c>
      <c r="AB1375">
        <v>33</v>
      </c>
      <c r="AC1375">
        <v>-0.119500000000016</v>
      </c>
      <c r="AD1375">
        <v>-5.6553999999999903E-2</v>
      </c>
      <c r="AE1375">
        <v>-0.367999999999995</v>
      </c>
      <c r="AF1375">
        <v>0.108287201968678</v>
      </c>
      <c r="AG1375">
        <v>-5.6553999999999903E-2</v>
      </c>
      <c r="AH1375">
        <v>0.36301615434976803</v>
      </c>
      <c r="AI1375">
        <v>98.490905323982403</v>
      </c>
      <c r="AJ1375">
        <v>73.390232827459599</v>
      </c>
      <c r="AK1375">
        <v>0.38302114999709802</v>
      </c>
    </row>
    <row r="1376" spans="1:37" x14ac:dyDescent="0.2">
      <c r="A1376" t="str">
        <f>"20200111153633744"</f>
        <v>20200111153633744</v>
      </c>
      <c r="B1376" t="str">
        <f>"1578728193733928"</f>
        <v>1578728193733928</v>
      </c>
      <c r="C1376" t="s">
        <v>37</v>
      </c>
      <c r="D1376">
        <v>5.7271939999999999</v>
      </c>
      <c r="E1376">
        <v>0.55615939999999997</v>
      </c>
      <c r="F1376" t="s">
        <v>38</v>
      </c>
      <c r="G1376">
        <v>-191.52330000000001</v>
      </c>
      <c r="H1376">
        <v>1.027569</v>
      </c>
      <c r="I1376">
        <v>330.54059999999998</v>
      </c>
      <c r="J1376">
        <v>-191.3614</v>
      </c>
      <c r="K1376">
        <v>1.1030329999999999</v>
      </c>
      <c r="L1376">
        <v>331.1755</v>
      </c>
      <c r="M1376">
        <v>-2.523887E-2</v>
      </c>
      <c r="N1376">
        <v>0</v>
      </c>
      <c r="O1376">
        <v>-0.99965599999999999</v>
      </c>
      <c r="P1376">
        <v>-3.0993730000000001E-2</v>
      </c>
      <c r="Q1376">
        <v>6.5564300000000006E-2</v>
      </c>
      <c r="R1376">
        <v>-0.99736709999999995</v>
      </c>
      <c r="S1376">
        <v>-0.54095459999999995</v>
      </c>
      <c r="T1376">
        <v>-0.2387386</v>
      </c>
      <c r="U1376">
        <v>-3.0079959999999999</v>
      </c>
      <c r="V1376">
        <v>6.0304640000000001E-3</v>
      </c>
      <c r="W1376">
        <v>7.2686710000000002E-2</v>
      </c>
      <c r="X1376">
        <v>0.99733660000000002</v>
      </c>
      <c r="Y1376">
        <v>0.151563</v>
      </c>
      <c r="Z1376">
        <v>7.8002940000000007E-2</v>
      </c>
      <c r="AA1376">
        <v>0.98536499999999905</v>
      </c>
      <c r="AB1376">
        <v>33</v>
      </c>
      <c r="AC1376">
        <v>-0.16190000000000199</v>
      </c>
      <c r="AD1376">
        <v>-7.5463999999999906E-2</v>
      </c>
      <c r="AE1376">
        <v>-0.63490000000001601</v>
      </c>
      <c r="AF1376">
        <v>0.14391481986546101</v>
      </c>
      <c r="AG1376">
        <v>-7.5463999999999906E-2</v>
      </c>
      <c r="AH1376">
        <v>0.63042144417258905</v>
      </c>
      <c r="AI1376">
        <v>96.656411323732698</v>
      </c>
      <c r="AJ1376">
        <v>77.140676889036399</v>
      </c>
      <c r="AK1376">
        <v>0.65102802393258097</v>
      </c>
    </row>
    <row r="1377" spans="1:37" x14ac:dyDescent="0.2">
      <c r="A1377" t="str">
        <f>"20200111153633767"</f>
        <v>20200111153633767</v>
      </c>
      <c r="B1377" t="str">
        <f>"1578728193763716"</f>
        <v>1578728193763716</v>
      </c>
      <c r="C1377" t="s">
        <v>37</v>
      </c>
      <c r="D1377">
        <v>5.7245549999999996</v>
      </c>
      <c r="E1377">
        <v>0.55591119999999905</v>
      </c>
      <c r="F1377" t="s">
        <v>38</v>
      </c>
      <c r="G1377">
        <v>-191.53039999999999</v>
      </c>
      <c r="H1377">
        <v>1.0282340000000001</v>
      </c>
      <c r="I1377">
        <v>330.24549999999999</v>
      </c>
      <c r="J1377">
        <v>-191.37099999999899</v>
      </c>
      <c r="K1377">
        <v>1.1032249999999999</v>
      </c>
      <c r="L1377">
        <v>330.84410000000003</v>
      </c>
      <c r="M1377">
        <v>-2.635873E-2</v>
      </c>
      <c r="N1377">
        <v>0</v>
      </c>
      <c r="O1377">
        <v>-0.99962070000000003</v>
      </c>
      <c r="P1377">
        <v>-3.2826139999999997E-2</v>
      </c>
      <c r="Q1377">
        <v>6.4972840000000004E-2</v>
      </c>
      <c r="R1377">
        <v>-0.99734719999999999</v>
      </c>
      <c r="S1377">
        <v>-0.54565430000000004</v>
      </c>
      <c r="T1377">
        <v>-0.24207709999999999</v>
      </c>
      <c r="U1377">
        <v>-3.0068359999999998</v>
      </c>
      <c r="V1377">
        <v>6.7294219999999997E-3</v>
      </c>
      <c r="W1377">
        <v>7.2951150000000006E-2</v>
      </c>
      <c r="X1377">
        <v>0.9973128</v>
      </c>
      <c r="Y1377">
        <v>0.15199779999999999</v>
      </c>
      <c r="Z1377">
        <v>7.9099799999999998E-2</v>
      </c>
      <c r="AA1377">
        <v>0.98521059999999905</v>
      </c>
      <c r="AB1377">
        <v>33</v>
      </c>
      <c r="AC1377">
        <v>-0.15940000000000501</v>
      </c>
      <c r="AD1377">
        <v>-7.4990999999999794E-2</v>
      </c>
      <c r="AE1377">
        <v>-0.59860000000003299</v>
      </c>
      <c r="AF1377">
        <v>0.14149217637185901</v>
      </c>
      <c r="AG1377">
        <v>-7.4990999999999794E-2</v>
      </c>
      <c r="AH1377">
        <v>0.59389013036471605</v>
      </c>
      <c r="AI1377">
        <v>97.002726451273602</v>
      </c>
      <c r="AJ1377">
        <v>76.599307067308601</v>
      </c>
      <c r="AK1377">
        <v>0.61510094537406201</v>
      </c>
    </row>
    <row r="1378" spans="1:37" x14ac:dyDescent="0.2">
      <c r="A1378" t="str">
        <f>"20200111153633789"</f>
        <v>20200111153633789</v>
      </c>
      <c r="B1378" t="str">
        <f>"1578728193784213"</f>
        <v>1578728193784213</v>
      </c>
      <c r="C1378" t="s">
        <v>37</v>
      </c>
      <c r="D1378">
        <v>5.7286239999999999</v>
      </c>
      <c r="E1378">
        <v>0.55574319999999999</v>
      </c>
      <c r="F1378" t="s">
        <v>38</v>
      </c>
      <c r="G1378">
        <v>-191.53440000000001</v>
      </c>
      <c r="H1378">
        <v>1.030197</v>
      </c>
      <c r="I1378">
        <v>329.95</v>
      </c>
      <c r="J1378">
        <v>-191.38040000000001</v>
      </c>
      <c r="K1378">
        <v>1.103416</v>
      </c>
      <c r="L1378">
        <v>330.53050000000002</v>
      </c>
      <c r="M1378">
        <v>-2.7283399999999999E-2</v>
      </c>
      <c r="N1378">
        <v>0</v>
      </c>
      <c r="O1378">
        <v>-0.99958950000000002</v>
      </c>
      <c r="P1378">
        <v>-3.5166870000000003E-2</v>
      </c>
      <c r="Q1378">
        <v>6.3764550000000003E-2</v>
      </c>
      <c r="R1378">
        <v>-0.99734539999999905</v>
      </c>
      <c r="S1378">
        <v>-0.5491028</v>
      </c>
      <c r="T1378">
        <v>-0.2455397</v>
      </c>
      <c r="U1378">
        <v>-3.005951</v>
      </c>
      <c r="V1378">
        <v>8.125162E-3</v>
      </c>
      <c r="W1378">
        <v>7.2487910000000003E-2</v>
      </c>
      <c r="X1378">
        <v>0.99733619999999901</v>
      </c>
      <c r="Y1378">
        <v>0.15221209999999999</v>
      </c>
      <c r="Z1378">
        <v>8.0234550000000002E-2</v>
      </c>
      <c r="AA1378">
        <v>0.98508569999999995</v>
      </c>
      <c r="AB1378">
        <v>33</v>
      </c>
      <c r="AC1378">
        <v>-0.153999999999996</v>
      </c>
      <c r="AD1378">
        <v>-7.3218999999999895E-2</v>
      </c>
      <c r="AE1378">
        <v>-0.58050000000002899</v>
      </c>
      <c r="AF1378">
        <v>0.13608147176142901</v>
      </c>
      <c r="AG1378">
        <v>-7.3218999999999895E-2</v>
      </c>
      <c r="AH1378">
        <v>0.57592571633502398</v>
      </c>
      <c r="AI1378">
        <v>97.053123941862495</v>
      </c>
      <c r="AJ1378">
        <v>76.705803931155103</v>
      </c>
      <c r="AK1378">
        <v>0.59629658698819299</v>
      </c>
    </row>
    <row r="1379" spans="1:37" x14ac:dyDescent="0.2">
      <c r="A1379" t="str">
        <f>"20200111153633810"</f>
        <v>20200111153633810</v>
      </c>
      <c r="B1379" t="str">
        <f>"1578728193803732"</f>
        <v>1578728193803732</v>
      </c>
      <c r="C1379" t="s">
        <v>37</v>
      </c>
      <c r="D1379">
        <v>5.7122510000000002</v>
      </c>
      <c r="E1379">
        <v>0.55562140000000004</v>
      </c>
      <c r="F1379" t="s">
        <v>38</v>
      </c>
      <c r="G1379">
        <v>-191.5421</v>
      </c>
      <c r="H1379">
        <v>1.0310729999999999</v>
      </c>
      <c r="I1379">
        <v>329.65550000000002</v>
      </c>
      <c r="J1379">
        <v>-191.39019999999999</v>
      </c>
      <c r="K1379">
        <v>1.103629</v>
      </c>
      <c r="L1379">
        <v>330.20420000000001</v>
      </c>
      <c r="M1379">
        <v>-2.8071800000000001E-2</v>
      </c>
      <c r="N1379">
        <v>0</v>
      </c>
      <c r="O1379">
        <v>-0.99956129999999999</v>
      </c>
      <c r="P1379">
        <v>-3.700498E-2</v>
      </c>
      <c r="Q1379">
        <v>6.2800300000000003E-2</v>
      </c>
      <c r="R1379">
        <v>-0.99734</v>
      </c>
      <c r="S1379">
        <v>-0.55455019999999999</v>
      </c>
      <c r="T1379">
        <v>-0.2485811</v>
      </c>
      <c r="U1379">
        <v>-3.0043329999999999</v>
      </c>
      <c r="V1379">
        <v>9.1493659999999904E-3</v>
      </c>
      <c r="W1379">
        <v>7.2230639999999999E-2</v>
      </c>
      <c r="X1379">
        <v>0.99734599999999995</v>
      </c>
      <c r="Y1379">
        <v>0.15323909999999999</v>
      </c>
      <c r="Z1379">
        <v>8.1242250000000002E-2</v>
      </c>
      <c r="AA1379">
        <v>0.98484389999999999</v>
      </c>
      <c r="AB1379">
        <v>33</v>
      </c>
      <c r="AC1379">
        <v>-0.151900000000011</v>
      </c>
      <c r="AD1379">
        <v>-7.2556000000000204E-2</v>
      </c>
      <c r="AE1379">
        <v>-0.54869999999999597</v>
      </c>
      <c r="AF1379">
        <v>0.134256025913429</v>
      </c>
      <c r="AG1379">
        <v>-7.2556000000000204E-2</v>
      </c>
      <c r="AH1379">
        <v>0.54391444387324095</v>
      </c>
      <c r="AI1379">
        <v>97.3792480010177</v>
      </c>
      <c r="AJ1379">
        <v>76.134666045156393</v>
      </c>
      <c r="AK1379">
        <v>0.56491767177528196</v>
      </c>
    </row>
    <row r="1380" spans="1:37" x14ac:dyDescent="0.2">
      <c r="A1380" t="str">
        <f>"20200111153633833"</f>
        <v>20200111153633833</v>
      </c>
      <c r="B1380" t="str">
        <f>"1578728193824228"</f>
        <v>1578728193824228</v>
      </c>
      <c r="C1380" t="s">
        <v>37</v>
      </c>
      <c r="D1380">
        <v>5.6918329999999999</v>
      </c>
      <c r="E1380">
        <v>0.55544259999999901</v>
      </c>
      <c r="F1380" t="s">
        <v>38</v>
      </c>
      <c r="G1380">
        <v>-191.54740000000001</v>
      </c>
      <c r="H1380">
        <v>1.0328850000000001</v>
      </c>
      <c r="I1380">
        <v>329.36110000000002</v>
      </c>
      <c r="J1380">
        <v>-191.4006</v>
      </c>
      <c r="K1380">
        <v>1.1038589999999999</v>
      </c>
      <c r="L1380">
        <v>329.86340000000001</v>
      </c>
      <c r="M1380">
        <v>-2.8685209999999999E-2</v>
      </c>
      <c r="N1380">
        <v>0</v>
      </c>
      <c r="O1380">
        <v>-0.99953729999999996</v>
      </c>
      <c r="P1380">
        <v>-3.8424859999999998E-2</v>
      </c>
      <c r="Q1380">
        <v>6.1395060000000001E-2</v>
      </c>
      <c r="R1380">
        <v>-0.99737379999999998</v>
      </c>
      <c r="S1380">
        <v>-0.55918880000000004</v>
      </c>
      <c r="T1380">
        <v>-0.25207639999999998</v>
      </c>
      <c r="U1380">
        <v>-3.0031430000000001</v>
      </c>
      <c r="V1380">
        <v>9.9226769999999995E-3</v>
      </c>
      <c r="W1380">
        <v>7.1490120000000004E-2</v>
      </c>
      <c r="X1380">
        <v>0.9973919</v>
      </c>
      <c r="Y1380">
        <v>0.1541556</v>
      </c>
      <c r="Z1380">
        <v>8.2389199999999996E-2</v>
      </c>
      <c r="AA1380">
        <v>0.98460559999999997</v>
      </c>
      <c r="AB1380">
        <v>33</v>
      </c>
      <c r="AC1380">
        <v>-0.146800000000013</v>
      </c>
      <c r="AD1380">
        <v>-7.0973999999999801E-2</v>
      </c>
      <c r="AE1380">
        <v>-0.50229999999999098</v>
      </c>
      <c r="AF1380">
        <v>0.129940142719599</v>
      </c>
      <c r="AG1380">
        <v>-7.0973999999999801E-2</v>
      </c>
      <c r="AH1380">
        <v>0.497159710089703</v>
      </c>
      <c r="AI1380">
        <v>97.863898528292495</v>
      </c>
      <c r="AJ1380">
        <v>75.352552122413996</v>
      </c>
      <c r="AK1380">
        <v>0.51873839910157704</v>
      </c>
    </row>
    <row r="1381" spans="1:37" x14ac:dyDescent="0.2">
      <c r="A1381" t="str">
        <f>"20200111153633855"</f>
        <v>20200111153633855</v>
      </c>
      <c r="B1381" t="str">
        <f>"1578728193843751"</f>
        <v>1578728193843751</v>
      </c>
      <c r="C1381" t="s">
        <v>37</v>
      </c>
      <c r="D1381">
        <v>5.7106879999999904</v>
      </c>
      <c r="E1381">
        <v>0.55527380000000004</v>
      </c>
      <c r="F1381" t="s">
        <v>38</v>
      </c>
      <c r="G1381">
        <v>-191.54990000000001</v>
      </c>
      <c r="H1381">
        <v>1.0356000000000001</v>
      </c>
      <c r="I1381">
        <v>329.06639999999999</v>
      </c>
      <c r="J1381">
        <v>-191.41030000000001</v>
      </c>
      <c r="K1381">
        <v>1.1040779999999999</v>
      </c>
      <c r="L1381">
        <v>329.54419999999999</v>
      </c>
      <c r="M1381">
        <v>-2.9065589999999999E-2</v>
      </c>
      <c r="N1381">
        <v>0</v>
      </c>
      <c r="O1381">
        <v>-0.99952050000000003</v>
      </c>
      <c r="P1381">
        <v>-3.9496280000000002E-2</v>
      </c>
      <c r="Q1381">
        <v>6.0288699999999897E-2</v>
      </c>
      <c r="R1381">
        <v>-0.99739929999999999</v>
      </c>
      <c r="S1381">
        <v>-0.56185909999999994</v>
      </c>
      <c r="T1381">
        <v>-0.2572951</v>
      </c>
      <c r="U1381">
        <v>-3.0021059999999999</v>
      </c>
      <c r="V1381">
        <v>1.0581810000000001E-2</v>
      </c>
      <c r="W1381">
        <v>7.0938390000000004E-2</v>
      </c>
      <c r="X1381">
        <v>0.99742450000000005</v>
      </c>
      <c r="Y1381">
        <v>0.15466070000000001</v>
      </c>
      <c r="Z1381">
        <v>8.4099699999999999E-2</v>
      </c>
      <c r="AA1381">
        <v>0.98438169999999903</v>
      </c>
      <c r="AB1381">
        <v>33</v>
      </c>
      <c r="AC1381">
        <v>-0.139600000000001</v>
      </c>
      <c r="AD1381">
        <v>-6.8477999999999997E-2</v>
      </c>
      <c r="AE1381">
        <v>-0.477800000000002</v>
      </c>
      <c r="AF1381">
        <v>0.123318882465871</v>
      </c>
      <c r="AG1381">
        <v>-6.8477999999999997E-2</v>
      </c>
      <c r="AH1381">
        <v>0.47270989848051198</v>
      </c>
      <c r="AI1381">
        <v>97.979239007432298</v>
      </c>
      <c r="AJ1381">
        <v>75.378756419654906</v>
      </c>
      <c r="AK1381">
        <v>0.493306630178521</v>
      </c>
    </row>
    <row r="1382" spans="1:37" x14ac:dyDescent="0.2">
      <c r="A1382" t="str">
        <f>"20200111153633880"</f>
        <v>20200111153633880</v>
      </c>
      <c r="B1382" t="str">
        <f>"1578728193873535"</f>
        <v>1578728193873535</v>
      </c>
      <c r="C1382" t="s">
        <v>37</v>
      </c>
      <c r="D1382">
        <v>5.7214689999999999</v>
      </c>
      <c r="E1382">
        <v>0.55510590000000004</v>
      </c>
      <c r="F1382" t="s">
        <v>38</v>
      </c>
      <c r="G1382">
        <v>-191.55510000000001</v>
      </c>
      <c r="H1382">
        <v>1.0368569999999999</v>
      </c>
      <c r="I1382">
        <v>328.77300000000002</v>
      </c>
      <c r="J1382">
        <v>-191.4205</v>
      </c>
      <c r="K1382">
        <v>1.1043149999999999</v>
      </c>
      <c r="L1382">
        <v>329.2022</v>
      </c>
      <c r="M1382">
        <v>-2.926573E-2</v>
      </c>
      <c r="N1382">
        <v>0</v>
      </c>
      <c r="O1382">
        <v>-0.99950890000000003</v>
      </c>
      <c r="P1382">
        <v>-4.0804930000000003E-2</v>
      </c>
      <c r="Q1382">
        <v>5.9560460000000003E-2</v>
      </c>
      <c r="R1382">
        <v>-0.99739040000000001</v>
      </c>
      <c r="S1382">
        <v>-0.56336980000000003</v>
      </c>
      <c r="T1382">
        <v>-0.26168570000000002</v>
      </c>
      <c r="U1382">
        <v>-3.0013730000000001</v>
      </c>
      <c r="V1382">
        <v>1.165791E-2</v>
      </c>
      <c r="W1382">
        <v>7.0735770000000003E-2</v>
      </c>
      <c r="X1382">
        <v>0.99742699999999995</v>
      </c>
      <c r="Y1382">
        <v>0.15496219999999999</v>
      </c>
      <c r="Z1382">
        <v>8.5537959999999996E-2</v>
      </c>
      <c r="AA1382">
        <v>0.98421029999999998</v>
      </c>
      <c r="AB1382">
        <v>33</v>
      </c>
      <c r="AC1382">
        <v>-0.13460000000000599</v>
      </c>
      <c r="AD1382">
        <v>-6.7458000000000004E-2</v>
      </c>
      <c r="AE1382">
        <v>-0.42919999999997999</v>
      </c>
      <c r="AF1382">
        <v>0.119297588103397</v>
      </c>
      <c r="AG1382">
        <v>-6.7458000000000004E-2</v>
      </c>
      <c r="AH1382">
        <v>0.42343217486616203</v>
      </c>
      <c r="AI1382">
        <v>98.717979048709296</v>
      </c>
      <c r="AJ1382">
        <v>74.265372719669799</v>
      </c>
      <c r="AK1382">
        <v>0.44505876353934998</v>
      </c>
    </row>
    <row r="1383" spans="1:37" x14ac:dyDescent="0.2">
      <c r="A1383" t="str">
        <f>"20200111153633901"</f>
        <v>20200111153633901</v>
      </c>
      <c r="B1383" t="str">
        <f>"1578728193894030"</f>
        <v>1578728193894030</v>
      </c>
      <c r="C1383" t="s">
        <v>37</v>
      </c>
      <c r="D1383">
        <v>5.842581</v>
      </c>
      <c r="E1383">
        <v>0.55506709999999904</v>
      </c>
      <c r="F1383" t="s">
        <v>38</v>
      </c>
      <c r="G1383">
        <v>-191.5573</v>
      </c>
      <c r="H1383">
        <v>1.040476</v>
      </c>
      <c r="I1383">
        <v>328.47829999999999</v>
      </c>
      <c r="J1383">
        <v>-191.43010000000001</v>
      </c>
      <c r="K1383">
        <v>1.1045479999999901</v>
      </c>
      <c r="L1383">
        <v>328.87880000000001</v>
      </c>
      <c r="M1383">
        <v>-2.9217380000000001E-2</v>
      </c>
      <c r="N1383">
        <v>0</v>
      </c>
      <c r="O1383">
        <v>-0.99950559999999999</v>
      </c>
      <c r="P1383">
        <v>-4.2298589999999997E-2</v>
      </c>
      <c r="Q1383">
        <v>5.9965850000000001E-2</v>
      </c>
      <c r="R1383">
        <v>-0.99730419999999997</v>
      </c>
      <c r="S1383">
        <v>-0.56587219999999905</v>
      </c>
      <c r="T1383">
        <v>-0.26490789999999997</v>
      </c>
      <c r="U1383">
        <v>-3.0005189999999899</v>
      </c>
      <c r="V1383">
        <v>1.317163E-2</v>
      </c>
      <c r="W1383">
        <v>7.157239E-2</v>
      </c>
      <c r="X1383">
        <v>0.99734840000000002</v>
      </c>
      <c r="Y1383">
        <v>0.15583649999999999</v>
      </c>
      <c r="Z1383">
        <v>8.6594930000000001E-2</v>
      </c>
      <c r="AA1383">
        <v>0.98397979999999996</v>
      </c>
      <c r="AB1383">
        <v>33</v>
      </c>
      <c r="AC1383">
        <v>-0.12719999999998699</v>
      </c>
      <c r="AD1383">
        <v>-6.4071999999999907E-2</v>
      </c>
      <c r="AE1383">
        <v>-0.40050000000002201</v>
      </c>
      <c r="AF1383">
        <v>0.11282043337965</v>
      </c>
      <c r="AG1383">
        <v>-6.4071999999999907E-2</v>
      </c>
      <c r="AH1383">
        <v>0.39486566529530898</v>
      </c>
      <c r="AI1383">
        <v>98.867759654316302</v>
      </c>
      <c r="AJ1383">
        <v>74.054379816966801</v>
      </c>
      <c r="AK1383">
        <v>0.41563513446420602</v>
      </c>
    </row>
    <row r="1384" spans="1:37" x14ac:dyDescent="0.2">
      <c r="A1384" t="str">
        <f>"20200111153633934"</f>
        <v>20200111153633934</v>
      </c>
      <c r="B1384" t="str">
        <f>"1578728193924287"</f>
        <v>1578728193924287</v>
      </c>
      <c r="C1384" t="s">
        <v>37</v>
      </c>
      <c r="D1384">
        <v>5.7340419999999996</v>
      </c>
      <c r="E1384">
        <v>0.54622289999999996</v>
      </c>
      <c r="F1384" t="s">
        <v>38</v>
      </c>
      <c r="G1384">
        <v>-191.61490000000001</v>
      </c>
      <c r="H1384">
        <v>1.0189059999999901</v>
      </c>
      <c r="I1384">
        <v>327.90629999999999</v>
      </c>
      <c r="J1384">
        <v>-191.44370000000001</v>
      </c>
      <c r="K1384">
        <v>1.1048610000000001</v>
      </c>
      <c r="L1384">
        <v>328.40300000000002</v>
      </c>
      <c r="M1384">
        <v>-2.8767620000000001E-2</v>
      </c>
      <c r="N1384">
        <v>0</v>
      </c>
      <c r="O1384">
        <v>-0.99951229999999902</v>
      </c>
      <c r="P1384">
        <v>-4.4360190000000001E-2</v>
      </c>
      <c r="Q1384">
        <v>6.0023890000000003E-2</v>
      </c>
      <c r="R1384">
        <v>-0.99721090000000001</v>
      </c>
      <c r="S1384">
        <v>-0.56973269999999998</v>
      </c>
      <c r="T1384">
        <v>-0.26428000000000001</v>
      </c>
      <c r="U1384">
        <v>-2.99981699999999</v>
      </c>
      <c r="V1384">
        <v>1.5638610000000001E-2</v>
      </c>
      <c r="W1384">
        <v>7.2172609999999998E-2</v>
      </c>
      <c r="X1384">
        <v>0.99726959999999998</v>
      </c>
      <c r="Y1384">
        <v>0.1575482</v>
      </c>
      <c r="Z1384">
        <v>8.6390640000000005E-2</v>
      </c>
      <c r="AA1384">
        <v>0.98372519999999997</v>
      </c>
      <c r="AB1384">
        <v>33</v>
      </c>
      <c r="AC1384">
        <v>-0.17119999999999799</v>
      </c>
      <c r="AD1384">
        <v>-8.5955000000000198E-2</v>
      </c>
      <c r="AE1384">
        <v>-0.496700000000032</v>
      </c>
      <c r="AF1384">
        <v>0.15275051562487699</v>
      </c>
      <c r="AG1384">
        <v>-8.5955000000000198E-2</v>
      </c>
      <c r="AH1384">
        <v>0.48834811880192702</v>
      </c>
      <c r="AI1384">
        <v>99.535844037942994</v>
      </c>
      <c r="AJ1384">
        <v>72.630827616313397</v>
      </c>
      <c r="AK1384">
        <v>0.51884956122757497</v>
      </c>
    </row>
    <row r="1385" spans="1:37" x14ac:dyDescent="0.2">
      <c r="A1385" t="str">
        <f>"20200111153633956"</f>
        <v>20200111153633956</v>
      </c>
      <c r="B1385" t="str">
        <f>"1578728193953986"</f>
        <v>1578728193953986</v>
      </c>
      <c r="C1385" t="s">
        <v>37</v>
      </c>
      <c r="D1385">
        <v>5.6905199999999896</v>
      </c>
      <c r="E1385">
        <v>0.54688729999999997</v>
      </c>
      <c r="F1385" t="s">
        <v>38</v>
      </c>
      <c r="G1385">
        <v>-191.57730000000001</v>
      </c>
      <c r="H1385">
        <v>1.0277750000000001</v>
      </c>
      <c r="I1385">
        <v>327.6105</v>
      </c>
      <c r="J1385">
        <v>-191.45269999999999</v>
      </c>
      <c r="K1385">
        <v>1.105057</v>
      </c>
      <c r="L1385">
        <v>328.07839999999999</v>
      </c>
      <c r="M1385">
        <v>-2.8253469999999999E-2</v>
      </c>
      <c r="N1385">
        <v>0</v>
      </c>
      <c r="O1385">
        <v>-0.99952299999999905</v>
      </c>
      <c r="P1385">
        <v>-4.6269369999999997E-2</v>
      </c>
      <c r="Q1385">
        <v>5.8689020000000001E-2</v>
      </c>
      <c r="R1385">
        <v>-0.99720350000000002</v>
      </c>
      <c r="S1385">
        <v>-0.5057526</v>
      </c>
      <c r="T1385">
        <v>-0.29235139999999998</v>
      </c>
      <c r="U1385">
        <v>-3.003479</v>
      </c>
      <c r="V1385">
        <v>1.8031889999999998E-2</v>
      </c>
      <c r="W1385">
        <v>7.1156239999999996E-2</v>
      </c>
      <c r="X1385">
        <v>0.99730219999999903</v>
      </c>
      <c r="Y1385">
        <v>0.1373597</v>
      </c>
      <c r="Z1385">
        <v>9.5695859999999994E-2</v>
      </c>
      <c r="AA1385">
        <v>0.98588770000000003</v>
      </c>
      <c r="AB1385">
        <v>33</v>
      </c>
      <c r="AC1385">
        <v>-0.124600000000015</v>
      </c>
      <c r="AD1385">
        <v>-7.7281999999999795E-2</v>
      </c>
      <c r="AE1385">
        <v>-0.46789999999998599</v>
      </c>
      <c r="AF1385">
        <v>0.108563874353095</v>
      </c>
      <c r="AG1385">
        <v>-7.7281999999999795E-2</v>
      </c>
      <c r="AH1385">
        <v>0.45952785149007902</v>
      </c>
      <c r="AI1385">
        <v>99.295261719560898</v>
      </c>
      <c r="AJ1385">
        <v>76.707546675722895</v>
      </c>
      <c r="AK1385">
        <v>0.47846051940953599</v>
      </c>
    </row>
    <row r="1386" spans="1:37" x14ac:dyDescent="0.2">
      <c r="A1386" t="str">
        <f>"20200111153633979"</f>
        <v>20200111153633979</v>
      </c>
      <c r="B1386" t="str">
        <f>"1578728193974482"</f>
        <v>1578728193974482</v>
      </c>
      <c r="C1386" t="s">
        <v>37</v>
      </c>
      <c r="D1386">
        <v>5.7445959999999996</v>
      </c>
      <c r="E1386">
        <v>0.54694639999999894</v>
      </c>
      <c r="F1386" t="s">
        <v>38</v>
      </c>
      <c r="G1386">
        <v>-191.58369999999999</v>
      </c>
      <c r="H1386">
        <v>1.0305309999999901</v>
      </c>
      <c r="I1386">
        <v>327.3184</v>
      </c>
      <c r="J1386">
        <v>-191.46099999999899</v>
      </c>
      <c r="K1386">
        <v>1.105256</v>
      </c>
      <c r="L1386">
        <v>327.76119999999997</v>
      </c>
      <c r="M1386">
        <v>-2.755933E-2</v>
      </c>
      <c r="N1386">
        <v>0</v>
      </c>
      <c r="O1386">
        <v>-0.99953910000000001</v>
      </c>
      <c r="P1386">
        <v>-4.8037499999999997E-2</v>
      </c>
      <c r="Q1386">
        <v>5.8149119999999999E-2</v>
      </c>
      <c r="R1386">
        <v>-0.99715169999999997</v>
      </c>
      <c r="S1386">
        <v>-0.51693729999999904</v>
      </c>
      <c r="T1386">
        <v>-0.29463200000000001</v>
      </c>
      <c r="U1386">
        <v>-3.00177</v>
      </c>
      <c r="V1386">
        <v>2.0464940000000001E-2</v>
      </c>
      <c r="W1386">
        <v>7.0889380000000002E-2</v>
      </c>
      <c r="X1386">
        <v>0.9972742</v>
      </c>
      <c r="Y1386">
        <v>0.14169579999999901</v>
      </c>
      <c r="Z1386">
        <v>9.6432550000000006E-2</v>
      </c>
      <c r="AA1386">
        <v>0.98520200000000002</v>
      </c>
      <c r="AB1386">
        <v>33</v>
      </c>
      <c r="AC1386">
        <v>-0.122700000000008</v>
      </c>
      <c r="AD1386">
        <v>-7.4725000000000097E-2</v>
      </c>
      <c r="AE1386">
        <v>-0.44279999999997699</v>
      </c>
      <c r="AF1386">
        <v>0.10760326863438301</v>
      </c>
      <c r="AG1386">
        <v>-7.4725000000000097E-2</v>
      </c>
      <c r="AH1386">
        <v>0.43452149629194597</v>
      </c>
      <c r="AI1386">
        <v>99.476923087698793</v>
      </c>
      <c r="AJ1386">
        <v>76.091294164813704</v>
      </c>
      <c r="AK1386">
        <v>0.45384052241464201</v>
      </c>
    </row>
    <row r="1387" spans="1:37" x14ac:dyDescent="0.2">
      <c r="A1387" t="str">
        <f>"20200111153634000"</f>
        <v>20200111153634000</v>
      </c>
      <c r="B1387" t="str">
        <f>"1578728193994002"</f>
        <v>1578728193994002</v>
      </c>
      <c r="C1387" t="s">
        <v>37</v>
      </c>
      <c r="D1387">
        <v>5.7221779999999898</v>
      </c>
      <c r="E1387">
        <v>0.54726330000000001</v>
      </c>
      <c r="F1387" t="s">
        <v>38</v>
      </c>
      <c r="G1387">
        <v>-191.5891</v>
      </c>
      <c r="H1387">
        <v>1.03261</v>
      </c>
      <c r="I1387">
        <v>327.02710000000002</v>
      </c>
      <c r="J1387">
        <v>-191.4692</v>
      </c>
      <c r="K1387">
        <v>1.105464</v>
      </c>
      <c r="L1387">
        <v>327.43369999999999</v>
      </c>
      <c r="M1387">
        <v>-2.6629980000000001E-2</v>
      </c>
      <c r="N1387">
        <v>0</v>
      </c>
      <c r="O1387">
        <v>-0.99956119999999904</v>
      </c>
      <c r="P1387">
        <v>-4.9555009999999997E-2</v>
      </c>
      <c r="Q1387">
        <v>5.8528829999999997E-2</v>
      </c>
      <c r="R1387">
        <v>-0.99705519999999903</v>
      </c>
      <c r="S1387">
        <v>-0.52288820000000003</v>
      </c>
      <c r="T1387">
        <v>-0.29715619999999998</v>
      </c>
      <c r="U1387">
        <v>-3.0007320000000002</v>
      </c>
      <c r="V1387">
        <v>2.2879790000000001E-2</v>
      </c>
      <c r="W1387">
        <v>7.1515800000000004E-2</v>
      </c>
      <c r="X1387">
        <v>0.99717699999999998</v>
      </c>
      <c r="Y1387">
        <v>0.14455560000000001</v>
      </c>
      <c r="Z1387">
        <v>9.7250929999999999E-2</v>
      </c>
      <c r="AA1387">
        <v>0.98470599999999997</v>
      </c>
      <c r="AB1387">
        <v>33</v>
      </c>
      <c r="AC1387">
        <v>-0.11990000000000101</v>
      </c>
      <c r="AD1387">
        <v>-7.2853999999999905E-2</v>
      </c>
      <c r="AE1387">
        <v>-0.40659999999996899</v>
      </c>
      <c r="AF1387">
        <v>0.105900864370091</v>
      </c>
      <c r="AG1387">
        <v>-7.2853999999999905E-2</v>
      </c>
      <c r="AH1387">
        <v>0.39789649242129999</v>
      </c>
      <c r="AI1387">
        <v>100.033961801674</v>
      </c>
      <c r="AJ1387">
        <v>75.096127996022005</v>
      </c>
      <c r="AK1387">
        <v>0.41814389517426398</v>
      </c>
    </row>
    <row r="1388" spans="1:37" x14ac:dyDescent="0.2">
      <c r="A1388" t="str">
        <f>"20200111153634024"</f>
        <v>20200111153634024</v>
      </c>
      <c r="B1388" t="str">
        <f>"1578728194014499"</f>
        <v>1578728194014499</v>
      </c>
      <c r="C1388" t="s">
        <v>37</v>
      </c>
      <c r="D1388">
        <v>5.823582</v>
      </c>
      <c r="E1388">
        <v>0.54746309999999998</v>
      </c>
      <c r="F1388" t="s">
        <v>38</v>
      </c>
      <c r="G1388">
        <v>-191.6413</v>
      </c>
      <c r="H1388">
        <v>1.00888</v>
      </c>
      <c r="I1388">
        <v>326.4597</v>
      </c>
      <c r="J1388">
        <v>-191.477</v>
      </c>
      <c r="K1388">
        <v>1.105669</v>
      </c>
      <c r="L1388">
        <v>327.10050000000001</v>
      </c>
      <c r="M1388">
        <v>-2.5476450000000001E-2</v>
      </c>
      <c r="N1388">
        <v>0</v>
      </c>
      <c r="O1388">
        <v>-0.999588699999999</v>
      </c>
      <c r="P1388">
        <v>-5.126464E-2</v>
      </c>
      <c r="Q1388">
        <v>5.8388929999999999E-2</v>
      </c>
      <c r="R1388">
        <v>-0.99697719999999901</v>
      </c>
      <c r="S1388">
        <v>-0.52978519999999996</v>
      </c>
      <c r="T1388">
        <v>-0.29756250000000001</v>
      </c>
      <c r="U1388">
        <v>-2.9999689999999899</v>
      </c>
      <c r="V1388">
        <v>2.5710190000000001E-2</v>
      </c>
      <c r="W1388">
        <v>7.1597140000000004E-2</v>
      </c>
      <c r="X1388">
        <v>0.99710219999999905</v>
      </c>
      <c r="Y1388">
        <v>0.14793319999999999</v>
      </c>
      <c r="Z1388">
        <v>9.7367720000000005E-2</v>
      </c>
      <c r="AA1388">
        <v>0.98419269999999903</v>
      </c>
      <c r="AB1388">
        <v>32</v>
      </c>
      <c r="AC1388">
        <v>-0.164299999999997</v>
      </c>
      <c r="AD1388">
        <v>-9.6789E-2</v>
      </c>
      <c r="AE1388">
        <v>-0.64080000000001203</v>
      </c>
      <c r="AF1388">
        <v>0.144819781742104</v>
      </c>
      <c r="AG1388">
        <v>-9.6789E-2</v>
      </c>
      <c r="AH1388">
        <v>0.63126463939187405</v>
      </c>
      <c r="AI1388">
        <v>98.499572865712096</v>
      </c>
      <c r="AJ1388">
        <v>77.079228381761098</v>
      </c>
      <c r="AK1388">
        <v>0.65485565176715399</v>
      </c>
    </row>
    <row r="1389" spans="1:37" x14ac:dyDescent="0.2">
      <c r="A1389" t="str">
        <f>"20200111153634046"</f>
        <v>20200111153634046</v>
      </c>
      <c r="B1389" t="str">
        <f>"1578728194034018"</f>
        <v>1578728194034018</v>
      </c>
      <c r="C1389" t="s">
        <v>37</v>
      </c>
      <c r="D1389">
        <v>5.789701</v>
      </c>
      <c r="E1389">
        <v>0.55858479999999999</v>
      </c>
      <c r="F1389" t="s">
        <v>38</v>
      </c>
      <c r="G1389">
        <v>-191.64359999999999</v>
      </c>
      <c r="H1389">
        <v>1.013077</v>
      </c>
      <c r="I1389">
        <v>326.16849999999999</v>
      </c>
      <c r="J1389">
        <v>-191.4838</v>
      </c>
      <c r="K1389">
        <v>1.105826</v>
      </c>
      <c r="L1389">
        <v>326.78309999999999</v>
      </c>
      <c r="M1389">
        <v>-2.422829E-2</v>
      </c>
      <c r="N1389">
        <v>0</v>
      </c>
      <c r="O1389">
        <v>-0.99961719999999898</v>
      </c>
      <c r="P1389">
        <v>-5.3483669999999997E-2</v>
      </c>
      <c r="Q1389">
        <v>5.6967200000000003E-2</v>
      </c>
      <c r="R1389">
        <v>-0.99694249999999995</v>
      </c>
      <c r="S1389">
        <v>-0.53561400000000003</v>
      </c>
      <c r="T1389">
        <v>-0.29824970000000001</v>
      </c>
      <c r="U1389">
        <v>-2.99902299999999</v>
      </c>
      <c r="V1389">
        <v>2.9151690000000001E-2</v>
      </c>
      <c r="W1389">
        <v>7.0363339999999996E-2</v>
      </c>
      <c r="X1389">
        <v>0.99709530000000002</v>
      </c>
      <c r="Y1389">
        <v>0.15107089999999901</v>
      </c>
      <c r="Z1389">
        <v>9.7585370000000005E-2</v>
      </c>
      <c r="AA1389">
        <v>0.98369439999999997</v>
      </c>
      <c r="AB1389">
        <v>32</v>
      </c>
      <c r="AC1389">
        <v>-0.15979999999998901</v>
      </c>
      <c r="AD1389">
        <v>-9.2748999999999901E-2</v>
      </c>
      <c r="AE1389">
        <v>-0.61459999999999504</v>
      </c>
      <c r="AF1389">
        <v>0.141835469446909</v>
      </c>
      <c r="AG1389">
        <v>-9.2748999999999901E-2</v>
      </c>
      <c r="AH1389">
        <v>0.60537790053345797</v>
      </c>
      <c r="AI1389">
        <v>98.484192931350094</v>
      </c>
      <c r="AJ1389">
        <v>76.813873035082807</v>
      </c>
      <c r="AK1389">
        <v>0.62865100003779695</v>
      </c>
    </row>
    <row r="1390" spans="1:37" x14ac:dyDescent="0.2">
      <c r="A1390" t="str">
        <f>"20200111153634067"</f>
        <v>20200111153634067</v>
      </c>
      <c r="B1390" t="str">
        <f>"1578728194063805"</f>
        <v>1578728194063805</v>
      </c>
      <c r="C1390" t="s">
        <v>37</v>
      </c>
      <c r="D1390">
        <v>5.754175</v>
      </c>
      <c r="E1390">
        <v>0.55899779999999999</v>
      </c>
      <c r="F1390" t="s">
        <v>38</v>
      </c>
      <c r="G1390">
        <v>-191.6754</v>
      </c>
      <c r="H1390">
        <v>1.0201629999999999</v>
      </c>
      <c r="I1390">
        <v>325.87389999999999</v>
      </c>
      <c r="J1390">
        <v>-191.49</v>
      </c>
      <c r="K1390">
        <v>1.1059509999999999</v>
      </c>
      <c r="L1390">
        <v>326.47289999999998</v>
      </c>
      <c r="M1390">
        <v>-2.288012E-2</v>
      </c>
      <c r="N1390">
        <v>0</v>
      </c>
      <c r="O1390">
        <v>-0.99964699999999995</v>
      </c>
      <c r="P1390">
        <v>-5.5887260000000001E-2</v>
      </c>
      <c r="Q1390">
        <v>5.381735E-2</v>
      </c>
      <c r="R1390">
        <v>-0.99698560000000003</v>
      </c>
      <c r="S1390">
        <v>-0.63003540000000002</v>
      </c>
      <c r="T1390">
        <v>-0.28195120000000001</v>
      </c>
      <c r="U1390">
        <v>-2.9915159999999998</v>
      </c>
      <c r="V1390">
        <v>3.288638E-2</v>
      </c>
      <c r="W1390">
        <v>6.7376859999999997E-2</v>
      </c>
      <c r="X1390">
        <v>0.99718549999999995</v>
      </c>
      <c r="Y1390">
        <v>0.18276789999999901</v>
      </c>
      <c r="Z1390">
        <v>9.2007469999999994E-2</v>
      </c>
      <c r="AA1390">
        <v>0.97884139999999997</v>
      </c>
      <c r="AB1390">
        <v>32</v>
      </c>
      <c r="AC1390">
        <v>-0.18539999999998699</v>
      </c>
      <c r="AD1390">
        <v>-8.5788000000000197E-2</v>
      </c>
      <c r="AE1390">
        <v>-0.59899999999998899</v>
      </c>
      <c r="AF1390">
        <v>0.168491134497987</v>
      </c>
      <c r="AG1390">
        <v>-8.5788000000000197E-2</v>
      </c>
      <c r="AH1390">
        <v>0.59200416837942205</v>
      </c>
      <c r="AI1390">
        <v>97.934545754631202</v>
      </c>
      <c r="AJ1390">
        <v>74.113042751175996</v>
      </c>
      <c r="AK1390">
        <v>0.62146422159850101</v>
      </c>
    </row>
    <row r="1391" spans="1:37" x14ac:dyDescent="0.2">
      <c r="A1391" t="str">
        <f>"20200111153634090"</f>
        <v>20200111153634090</v>
      </c>
      <c r="B1391" t="str">
        <f>"1578728194084302"</f>
        <v>1578728194084302</v>
      </c>
      <c r="C1391" t="s">
        <v>37</v>
      </c>
      <c r="D1391">
        <v>5.7998250000000002</v>
      </c>
      <c r="E1391">
        <v>0.55921769999999904</v>
      </c>
      <c r="F1391" t="s">
        <v>39</v>
      </c>
      <c r="G1391">
        <v>-194.1354</v>
      </c>
      <c r="H1391" s="1">
        <v>-3.2461499999999998E-6</v>
      </c>
      <c r="I1391">
        <v>314.1311</v>
      </c>
      <c r="J1391">
        <v>-191.49590000000001</v>
      </c>
      <c r="K1391">
        <v>1.106058</v>
      </c>
      <c r="L1391">
        <v>326.14400000000001</v>
      </c>
      <c r="M1391">
        <v>-2.1339380000000002E-2</v>
      </c>
      <c r="N1391">
        <v>0</v>
      </c>
      <c r="O1391">
        <v>-0.9996794</v>
      </c>
      <c r="P1391">
        <v>-5.6913230000000002E-2</v>
      </c>
      <c r="Q1391">
        <v>5.1877039999999999E-2</v>
      </c>
      <c r="R1391">
        <v>-0.99703059999999999</v>
      </c>
      <c r="S1391">
        <v>-0.64036559999999998</v>
      </c>
      <c r="T1391">
        <v>-0.2677175</v>
      </c>
      <c r="U1391">
        <v>-2.9875790000000002</v>
      </c>
      <c r="V1391">
        <v>3.543818E-2</v>
      </c>
      <c r="W1391">
        <v>6.5584130000000004E-2</v>
      </c>
      <c r="X1391">
        <v>0.99721749999999998</v>
      </c>
      <c r="Y1391">
        <v>0.1878649</v>
      </c>
      <c r="Z1391">
        <v>8.7442699999999998E-2</v>
      </c>
      <c r="AA1391">
        <v>0.97829469999999996</v>
      </c>
      <c r="AB1391">
        <v>32</v>
      </c>
      <c r="AC1391">
        <v>-2.6394999999999902</v>
      </c>
      <c r="AD1391">
        <v>-1.1060612461499999</v>
      </c>
      <c r="AE1391">
        <v>-12.0129</v>
      </c>
      <c r="AF1391">
        <v>2.36341432130087</v>
      </c>
      <c r="AG1391">
        <v>-1.1060612461499999</v>
      </c>
      <c r="AH1391">
        <v>11.9696958922147</v>
      </c>
      <c r="AI1391">
        <v>95.179981966021302</v>
      </c>
      <c r="AJ1391">
        <v>78.830630838666906</v>
      </c>
      <c r="AK1391">
        <v>12.2508252165503</v>
      </c>
    </row>
    <row r="1392" spans="1:37" x14ac:dyDescent="0.2">
      <c r="A1392" t="str">
        <f>"20200111153634112"</f>
        <v>20200111153634112</v>
      </c>
      <c r="B1392" t="str">
        <f>"1578728194103821"</f>
        <v>1578728194103821</v>
      </c>
      <c r="C1392" t="s">
        <v>37</v>
      </c>
      <c r="D1392">
        <v>5.7883529999999999</v>
      </c>
      <c r="E1392">
        <v>0.55897799999999997</v>
      </c>
      <c r="F1392" t="s">
        <v>39</v>
      </c>
      <c r="G1392">
        <v>-194.11770000000001</v>
      </c>
      <c r="H1392" s="1">
        <v>-3.1832689999999999E-6</v>
      </c>
      <c r="I1392">
        <v>314.00799999999998</v>
      </c>
      <c r="J1392">
        <v>-191.50129999999999</v>
      </c>
      <c r="K1392">
        <v>1.10615</v>
      </c>
      <c r="L1392">
        <v>325.81849999999997</v>
      </c>
      <c r="M1392">
        <v>-1.9742039999999999E-2</v>
      </c>
      <c r="N1392">
        <v>0</v>
      </c>
      <c r="O1392">
        <v>-0.9997106</v>
      </c>
      <c r="P1392">
        <v>-5.713389E-2</v>
      </c>
      <c r="Q1392">
        <v>5.1299369999999997E-2</v>
      </c>
      <c r="R1392">
        <v>-0.99704780000000004</v>
      </c>
      <c r="S1392">
        <v>-0.64511109999999905</v>
      </c>
      <c r="T1392">
        <v>-0.27215889999999998</v>
      </c>
      <c r="U1392">
        <v>-2.9862060000000001</v>
      </c>
      <c r="V1392">
        <v>3.7243239999999997E-2</v>
      </c>
      <c r="W1392">
        <v>6.5129210000000007E-2</v>
      </c>
      <c r="X1392">
        <v>0.997181599999999</v>
      </c>
      <c r="Y1392">
        <v>0.19098409999999999</v>
      </c>
      <c r="Z1392">
        <v>8.8884229999999995E-2</v>
      </c>
      <c r="AA1392">
        <v>0.9775606</v>
      </c>
      <c r="AB1392">
        <v>32</v>
      </c>
      <c r="AC1392">
        <v>-2.61640000000002</v>
      </c>
      <c r="AD1392">
        <v>-1.1061531832689999</v>
      </c>
      <c r="AE1392">
        <v>-11.8104999999999</v>
      </c>
      <c r="AF1392">
        <v>2.3629466864623399</v>
      </c>
      <c r="AG1392">
        <v>-1.1061531832689999</v>
      </c>
      <c r="AH1392">
        <v>11.7615112441398</v>
      </c>
      <c r="AI1392">
        <v>95.268125222254795</v>
      </c>
      <c r="AJ1392">
        <v>78.640216603651197</v>
      </c>
      <c r="AK1392">
        <v>12.047416264658001</v>
      </c>
    </row>
    <row r="1393" spans="1:37" x14ac:dyDescent="0.2">
      <c r="A1393" t="str">
        <f>"20200111153634136"</f>
        <v>20200111153634136</v>
      </c>
      <c r="B1393" t="str">
        <f>"1578728194124316"</f>
        <v>1578728194124316</v>
      </c>
      <c r="C1393" t="s">
        <v>37</v>
      </c>
      <c r="D1393">
        <v>5.792535</v>
      </c>
      <c r="E1393">
        <v>0.55902450000000004</v>
      </c>
      <c r="F1393" t="s">
        <v>39</v>
      </c>
      <c r="G1393">
        <v>-194.1311</v>
      </c>
      <c r="H1393" s="1">
        <v>-3.0130269999999999E-6</v>
      </c>
      <c r="I1393">
        <v>313.64030000000002</v>
      </c>
      <c r="J1393">
        <v>-191.50620000000001</v>
      </c>
      <c r="K1393">
        <v>1.1062259999999999</v>
      </c>
      <c r="L1393">
        <v>325.48419999999999</v>
      </c>
      <c r="M1393">
        <v>-1.8064440000000001E-2</v>
      </c>
      <c r="N1393">
        <v>0</v>
      </c>
      <c r="O1393">
        <v>-0.99974099999999999</v>
      </c>
      <c r="P1393">
        <v>-5.7475060000000001E-2</v>
      </c>
      <c r="Q1393">
        <v>5.1376989999999997E-2</v>
      </c>
      <c r="R1393">
        <v>-0.99702409999999997</v>
      </c>
      <c r="S1393">
        <v>-0.64479059999999999</v>
      </c>
      <c r="T1393">
        <v>-0.27120919999999998</v>
      </c>
      <c r="U1393">
        <v>-2.9858699999999998</v>
      </c>
      <c r="V1393">
        <v>3.9251149999999999E-2</v>
      </c>
      <c r="W1393">
        <v>6.5314789999999998E-2</v>
      </c>
      <c r="X1393">
        <v>0.99709239999999999</v>
      </c>
      <c r="Y1393">
        <v>0.19255899999999901</v>
      </c>
      <c r="Z1393">
        <v>8.8577660000000003E-2</v>
      </c>
      <c r="AA1393">
        <v>0.97727940000000002</v>
      </c>
      <c r="AB1393">
        <v>32</v>
      </c>
      <c r="AC1393">
        <v>-2.62489999999999</v>
      </c>
      <c r="AD1393">
        <v>-1.1062290130269901</v>
      </c>
      <c r="AE1393">
        <v>-11.8438999999999</v>
      </c>
      <c r="AF1393">
        <v>2.3906190280576198</v>
      </c>
      <c r="AG1393">
        <v>-1.1062290130269901</v>
      </c>
      <c r="AH1393">
        <v>11.7913406749249</v>
      </c>
      <c r="AI1393">
        <v>95.253368047595501</v>
      </c>
      <c r="AJ1393">
        <v>78.538996112549597</v>
      </c>
      <c r="AK1393">
        <v>12.081991428515099</v>
      </c>
    </row>
    <row r="1394" spans="1:37" x14ac:dyDescent="0.2">
      <c r="A1394" t="str">
        <f>"20200111153634157"</f>
        <v>20200111153634157</v>
      </c>
      <c r="B1394" t="str">
        <f>"1578728194153596"</f>
        <v>1578728194153596</v>
      </c>
      <c r="C1394" t="s">
        <v>37</v>
      </c>
      <c r="D1394">
        <v>5.8061299999999996</v>
      </c>
      <c r="E1394">
        <v>0.55901179999999995</v>
      </c>
      <c r="F1394" t="s">
        <v>39</v>
      </c>
      <c r="G1394">
        <v>-194.17060000000001</v>
      </c>
      <c r="H1394" s="1">
        <v>-2.79850599999999E-6</v>
      </c>
      <c r="I1394">
        <v>313.16430000000003</v>
      </c>
      <c r="J1394">
        <v>-191.51009999999999</v>
      </c>
      <c r="K1394">
        <v>1.1062719999999999</v>
      </c>
      <c r="L1394">
        <v>325.18119999999999</v>
      </c>
      <c r="M1394">
        <v>-1.653932E-2</v>
      </c>
      <c r="N1394">
        <v>0</v>
      </c>
      <c r="O1394">
        <v>-0.9997665</v>
      </c>
      <c r="P1394">
        <v>-5.8369829999999998E-2</v>
      </c>
      <c r="Q1394">
        <v>5.1546590000000003E-2</v>
      </c>
      <c r="R1394">
        <v>-0.99696369999999901</v>
      </c>
      <c r="S1394">
        <v>-0.64567569999999996</v>
      </c>
      <c r="T1394">
        <v>-0.26807729999999902</v>
      </c>
      <c r="U1394">
        <v>-2.985535</v>
      </c>
      <c r="V1394">
        <v>4.1664199999999998E-2</v>
      </c>
      <c r="W1394">
        <v>6.5568890000000005E-2</v>
      </c>
      <c r="X1394">
        <v>0.99697789999999997</v>
      </c>
      <c r="Y1394">
        <v>0.19437379999999899</v>
      </c>
      <c r="Z1394">
        <v>8.7557289999999996E-2</v>
      </c>
      <c r="AA1394">
        <v>0.97701199999999999</v>
      </c>
      <c r="AB1394">
        <v>32</v>
      </c>
      <c r="AC1394">
        <v>-2.6605000000000101</v>
      </c>
      <c r="AD1394">
        <v>-1.106274798506</v>
      </c>
      <c r="AE1394">
        <v>-12.0168999999999</v>
      </c>
      <c r="AF1394">
        <v>2.4416393786217698</v>
      </c>
      <c r="AG1394">
        <v>-1.106274798506</v>
      </c>
      <c r="AH1394">
        <v>11.962616821051199</v>
      </c>
      <c r="AI1394">
        <v>95.177407073721398</v>
      </c>
      <c r="AJ1394">
        <v>78.4640504803764</v>
      </c>
      <c r="AK1394">
        <v>12.259267840794699</v>
      </c>
    </row>
    <row r="1395" spans="1:37" x14ac:dyDescent="0.2">
      <c r="A1395" t="str">
        <f>"20200111153634180"</f>
        <v>20200111153634180</v>
      </c>
      <c r="B1395" t="str">
        <f>"1578728194174092"</f>
        <v>1578728194174092</v>
      </c>
      <c r="C1395" t="s">
        <v>37</v>
      </c>
      <c r="D1395">
        <v>5.8604099999999999</v>
      </c>
      <c r="E1395">
        <v>0.55887909999999996</v>
      </c>
      <c r="F1395" t="s">
        <v>39</v>
      </c>
      <c r="G1395">
        <v>-194.18639999999999</v>
      </c>
      <c r="H1395" s="1">
        <v>-2.6426790000000002E-6</v>
      </c>
      <c r="I1395">
        <v>312.82569999999998</v>
      </c>
      <c r="J1395">
        <v>-191.5138</v>
      </c>
      <c r="K1395">
        <v>1.1062909999999999</v>
      </c>
      <c r="L1395">
        <v>324.85419999999999</v>
      </c>
      <c r="M1395">
        <v>-1.4910420000000001E-2</v>
      </c>
      <c r="N1395">
        <v>0</v>
      </c>
      <c r="O1395">
        <v>-0.99979110000000004</v>
      </c>
      <c r="P1395">
        <v>-5.8852069999999999E-2</v>
      </c>
      <c r="Q1395">
        <v>5.1804910000000003E-2</v>
      </c>
      <c r="R1395">
        <v>-0.99692190000000003</v>
      </c>
      <c r="S1395">
        <v>-0.64659119999999903</v>
      </c>
      <c r="T1395">
        <v>-0.2672776</v>
      </c>
      <c r="U1395">
        <v>-2.9851070000000002</v>
      </c>
      <c r="V1395">
        <v>4.376998E-2</v>
      </c>
      <c r="W1395">
        <v>6.5904329999999997E-2</v>
      </c>
      <c r="X1395">
        <v>0.99686549999999996</v>
      </c>
      <c r="Y1395">
        <v>0.196291299999999</v>
      </c>
      <c r="Z1395">
        <v>8.7293999999999997E-2</v>
      </c>
      <c r="AA1395">
        <v>0.97665219999999897</v>
      </c>
      <c r="AB1395">
        <v>32</v>
      </c>
      <c r="AC1395">
        <v>-2.6725999999999801</v>
      </c>
      <c r="AD1395">
        <v>-1.106293642679</v>
      </c>
      <c r="AE1395">
        <v>-12.028499999999999</v>
      </c>
      <c r="AF1395">
        <v>2.4730004127798799</v>
      </c>
      <c r="AG1395">
        <v>-1.106293642679</v>
      </c>
      <c r="AH1395">
        <v>11.970521420929099</v>
      </c>
      <c r="AI1395">
        <v>95.171575271369903</v>
      </c>
      <c r="AJ1395">
        <v>78.327427272139701</v>
      </c>
      <c r="AK1395">
        <v>12.273263614636599</v>
      </c>
    </row>
    <row r="1396" spans="1:37" x14ac:dyDescent="0.2">
      <c r="A1396" t="str">
        <f>"20200111153634202"</f>
        <v>20200111153634202</v>
      </c>
      <c r="B1396" t="str">
        <f>"1578728194193619"</f>
        <v>1578728194193619</v>
      </c>
      <c r="C1396" t="s">
        <v>37</v>
      </c>
      <c r="D1396">
        <v>5.9631119999999997</v>
      </c>
      <c r="E1396">
        <v>0.55899270000000001</v>
      </c>
      <c r="F1396" t="s">
        <v>39</v>
      </c>
      <c r="G1396">
        <v>-194.20089999999999</v>
      </c>
      <c r="H1396" s="1">
        <v>-2.4649759999999999E-6</v>
      </c>
      <c r="I1396">
        <v>312.44170000000003</v>
      </c>
      <c r="J1396">
        <v>-191.517</v>
      </c>
      <c r="K1396">
        <v>1.1062909999999999</v>
      </c>
      <c r="L1396">
        <v>324.53480000000002</v>
      </c>
      <c r="M1396">
        <v>-1.334808E-2</v>
      </c>
      <c r="N1396">
        <v>0</v>
      </c>
      <c r="O1396">
        <v>-0.99981249999999999</v>
      </c>
      <c r="P1396">
        <v>-5.8462260000000002E-2</v>
      </c>
      <c r="Q1396">
        <v>5.0080430000000002E-2</v>
      </c>
      <c r="R1396">
        <v>-0.99703310000000001</v>
      </c>
      <c r="S1396">
        <v>-0.64616390000000001</v>
      </c>
      <c r="T1396">
        <v>-0.2660382</v>
      </c>
      <c r="U1396">
        <v>-2.9849239999999999</v>
      </c>
      <c r="V1396">
        <v>4.4943629999999998E-2</v>
      </c>
      <c r="W1396">
        <v>6.4242270000000004E-2</v>
      </c>
      <c r="X1396">
        <v>0.99692179999999997</v>
      </c>
      <c r="Y1396">
        <v>0.19770940000000001</v>
      </c>
      <c r="Z1396">
        <v>8.6889179999999996E-2</v>
      </c>
      <c r="AA1396">
        <v>0.976402199999999</v>
      </c>
      <c r="AB1396">
        <v>32</v>
      </c>
      <c r="AC1396">
        <v>-2.6838999999999902</v>
      </c>
      <c r="AD1396">
        <v>-1.1062934649759999</v>
      </c>
      <c r="AE1396">
        <v>-12.0930999999999</v>
      </c>
      <c r="AF1396">
        <v>2.5022672613174599</v>
      </c>
      <c r="AG1396">
        <v>-1.1062934649759999</v>
      </c>
      <c r="AH1396">
        <v>12.0318847900762</v>
      </c>
      <c r="AI1396">
        <v>95.143938819399096</v>
      </c>
      <c r="AJ1396">
        <v>78.251681459742997</v>
      </c>
      <c r="AK1396">
        <v>12.339022582010999</v>
      </c>
    </row>
    <row r="1397" spans="1:37" x14ac:dyDescent="0.2">
      <c r="A1397" t="str">
        <f>"20200111153634224"</f>
        <v>20200111153634224</v>
      </c>
      <c r="B1397" t="str">
        <f>"1578728194214112"</f>
        <v>1578728194214112</v>
      </c>
      <c r="C1397" t="s">
        <v>37</v>
      </c>
      <c r="D1397">
        <v>5.8377059999999998</v>
      </c>
      <c r="E1397">
        <v>0.55921599999999905</v>
      </c>
      <c r="F1397" t="s">
        <v>39</v>
      </c>
      <c r="G1397">
        <v>-194.16460000000001</v>
      </c>
      <c r="H1397" s="1">
        <v>-2.382652E-6</v>
      </c>
      <c r="I1397">
        <v>312.28800000000001</v>
      </c>
      <c r="J1397">
        <v>-191.5196</v>
      </c>
      <c r="K1397">
        <v>1.106279</v>
      </c>
      <c r="L1397">
        <v>324.21129999999999</v>
      </c>
      <c r="M1397">
        <v>-1.179065E-2</v>
      </c>
      <c r="N1397">
        <v>0</v>
      </c>
      <c r="O1397">
        <v>-0.99983120000000003</v>
      </c>
      <c r="P1397">
        <v>-5.8895360000000001E-2</v>
      </c>
      <c r="Q1397">
        <v>4.7711950000000003E-2</v>
      </c>
      <c r="R1397">
        <v>-0.99712350000000005</v>
      </c>
      <c r="S1397">
        <v>-0.64523319999999995</v>
      </c>
      <c r="T1397">
        <v>-0.2696093</v>
      </c>
      <c r="U1397">
        <v>-2.9846189999999999</v>
      </c>
      <c r="V1397">
        <v>4.6938519999999997E-2</v>
      </c>
      <c r="W1397">
        <v>6.1929930000000001E-2</v>
      </c>
      <c r="X1397">
        <v>0.99697610000000003</v>
      </c>
      <c r="Y1397">
        <v>0.19894410000000001</v>
      </c>
      <c r="Z1397">
        <v>8.8049390000000005E-2</v>
      </c>
      <c r="AA1397">
        <v>0.97604740000000001</v>
      </c>
      <c r="AB1397">
        <v>32</v>
      </c>
      <c r="AC1397">
        <v>-2.6450000000000098</v>
      </c>
      <c r="AD1397">
        <v>-1.1062813826519999</v>
      </c>
      <c r="AE1397">
        <v>-11.9232999999999</v>
      </c>
      <c r="AF1397">
        <v>2.4838389294487402</v>
      </c>
      <c r="AG1397">
        <v>-1.1062813826519999</v>
      </c>
      <c r="AH1397">
        <v>11.8563794608134</v>
      </c>
      <c r="AI1397">
        <v>95.218026030729902</v>
      </c>
      <c r="AJ1397">
        <v>78.167997453658899</v>
      </c>
      <c r="AK1397">
        <v>12.1641706763694</v>
      </c>
    </row>
    <row r="1398" spans="1:37" x14ac:dyDescent="0.2">
      <c r="A1398" t="str">
        <f>"20200111153634248"</f>
        <v>20200111153634248</v>
      </c>
      <c r="B1398" t="str">
        <f>"1578728194244365"</f>
        <v>1578728194244365</v>
      </c>
      <c r="C1398" t="s">
        <v>37</v>
      </c>
      <c r="D1398">
        <v>5.8892199999999999</v>
      </c>
      <c r="E1398">
        <v>0.55948790000000004</v>
      </c>
      <c r="F1398" t="s">
        <v>39</v>
      </c>
      <c r="G1398">
        <v>-194.17619999999999</v>
      </c>
      <c r="H1398" s="1">
        <v>-2.239812E-6</v>
      </c>
      <c r="I1398">
        <v>311.97919999999999</v>
      </c>
      <c r="J1398">
        <v>-191.52180000000001</v>
      </c>
      <c r="K1398">
        <v>1.1062639999999999</v>
      </c>
      <c r="L1398">
        <v>323.89190000000002</v>
      </c>
      <c r="M1398">
        <v>-1.027488E-2</v>
      </c>
      <c r="N1398">
        <v>0</v>
      </c>
      <c r="O1398">
        <v>-0.99984709999999999</v>
      </c>
      <c r="P1398">
        <v>-5.92658E-2</v>
      </c>
      <c r="Q1398">
        <v>4.5700329999999997E-2</v>
      </c>
      <c r="R1398">
        <v>-0.99719539999999995</v>
      </c>
      <c r="S1398">
        <v>-0.64791869999999996</v>
      </c>
      <c r="T1398">
        <v>-0.26981290000000002</v>
      </c>
      <c r="U1398">
        <v>-2.9833069999999999</v>
      </c>
      <c r="V1398">
        <v>4.8828389999999999E-2</v>
      </c>
      <c r="W1398">
        <v>5.9966159999999998E-2</v>
      </c>
      <c r="X1398">
        <v>0.99700549999999999</v>
      </c>
      <c r="Y1398">
        <v>0.20135539999999999</v>
      </c>
      <c r="Z1398">
        <v>8.8124969999999997E-2</v>
      </c>
      <c r="AA1398">
        <v>0.97554599999999903</v>
      </c>
      <c r="AB1398">
        <v>32</v>
      </c>
      <c r="AC1398">
        <v>-2.6543999999999799</v>
      </c>
      <c r="AD1398">
        <v>-1.106266239812</v>
      </c>
      <c r="AE1398">
        <v>-11.912699999999999</v>
      </c>
      <c r="AF1398">
        <v>2.5112141695247598</v>
      </c>
      <c r="AG1398">
        <v>-1.106266239812</v>
      </c>
      <c r="AH1398">
        <v>11.842054358244299</v>
      </c>
      <c r="AI1398">
        <v>95.221543387973497</v>
      </c>
      <c r="AJ1398">
        <v>78.027278775937205</v>
      </c>
      <c r="AK1398">
        <v>12.155832880645599</v>
      </c>
    </row>
    <row r="1399" spans="1:37" x14ac:dyDescent="0.2">
      <c r="A1399" t="str">
        <f>"20200111153634269"</f>
        <v>20200111153634269</v>
      </c>
      <c r="B1399" t="str">
        <f>"1578728194263885"</f>
        <v>1578728194263885</v>
      </c>
      <c r="C1399" t="s">
        <v>37</v>
      </c>
      <c r="D1399">
        <v>5.8845369999999999</v>
      </c>
      <c r="E1399">
        <v>0.55956110000000003</v>
      </c>
      <c r="F1399" t="s">
        <v>39</v>
      </c>
      <c r="G1399">
        <v>-194.2123</v>
      </c>
      <c r="H1399" s="1">
        <v>-2.0525229999999998E-6</v>
      </c>
      <c r="I1399">
        <v>311.56270000000001</v>
      </c>
      <c r="J1399">
        <v>-191.52350000000001</v>
      </c>
      <c r="K1399">
        <v>1.106236</v>
      </c>
      <c r="L1399">
        <v>323.57549999999998</v>
      </c>
      <c r="M1399">
        <v>-8.7906700000000004E-3</v>
      </c>
      <c r="N1399">
        <v>0</v>
      </c>
      <c r="O1399">
        <v>-0.99986079999999999</v>
      </c>
      <c r="P1399">
        <v>-5.9325469999999998E-2</v>
      </c>
      <c r="Q1399">
        <v>4.3319030000000001E-2</v>
      </c>
      <c r="R1399">
        <v>-0.99729829999999997</v>
      </c>
      <c r="S1399">
        <v>-0.65074160000000003</v>
      </c>
      <c r="T1399">
        <v>-0.26756920000000001</v>
      </c>
      <c r="U1399">
        <v>-2.9820250000000001</v>
      </c>
      <c r="V1399">
        <v>5.0376619999999997E-2</v>
      </c>
      <c r="W1399">
        <v>5.7625129999999997E-2</v>
      </c>
      <c r="X1399">
        <v>0.99706640000000002</v>
      </c>
      <c r="Y1399">
        <v>0.20379069999999999</v>
      </c>
      <c r="Z1399">
        <v>8.7405250000000004E-2</v>
      </c>
      <c r="AA1399">
        <v>0.975104999999999</v>
      </c>
      <c r="AB1399">
        <v>32</v>
      </c>
      <c r="AC1399">
        <v>-2.6887999999999801</v>
      </c>
      <c r="AD1399">
        <v>-1.106238052523</v>
      </c>
      <c r="AE1399">
        <v>-12.012799999999899</v>
      </c>
      <c r="AF1399">
        <v>2.5623918798485801</v>
      </c>
      <c r="AG1399">
        <v>-1.106238052523</v>
      </c>
      <c r="AH1399">
        <v>11.939554595282001</v>
      </c>
      <c r="AI1399">
        <v>95.176320695560904</v>
      </c>
      <c r="AJ1399">
        <v>77.887277453314098</v>
      </c>
      <c r="AK1399">
        <v>12.2614264548822</v>
      </c>
    </row>
    <row r="1400" spans="1:37" x14ac:dyDescent="0.2">
      <c r="A1400" t="str">
        <f>"20200111153634292"</f>
        <v>20200111153634292</v>
      </c>
      <c r="B1400" t="str">
        <f>"1578728194284381"</f>
        <v>1578728194284381</v>
      </c>
      <c r="C1400" t="s">
        <v>37</v>
      </c>
      <c r="D1400">
        <v>5.9896640000000003</v>
      </c>
      <c r="E1400">
        <v>0.55953450000000005</v>
      </c>
      <c r="F1400" t="s">
        <v>39</v>
      </c>
      <c r="G1400">
        <v>-194.1678</v>
      </c>
      <c r="H1400" s="1">
        <v>-1.9969470000000001E-6</v>
      </c>
      <c r="I1400">
        <v>311.47019999999998</v>
      </c>
      <c r="J1400">
        <v>-191.5247</v>
      </c>
      <c r="K1400">
        <v>1.1062179999999999</v>
      </c>
      <c r="L1400">
        <v>323.25330000000002</v>
      </c>
      <c r="M1400">
        <v>-7.2907659999999997E-3</v>
      </c>
      <c r="N1400">
        <v>0</v>
      </c>
      <c r="O1400">
        <v>-0.9998726</v>
      </c>
      <c r="P1400">
        <v>-5.9606109999999997E-2</v>
      </c>
      <c r="Q1400">
        <v>3.993116E-2</v>
      </c>
      <c r="R1400">
        <v>-0.99742350000000002</v>
      </c>
      <c r="S1400">
        <v>-0.65121459999999998</v>
      </c>
      <c r="T1400">
        <v>-0.27243790000000001</v>
      </c>
      <c r="U1400">
        <v>-2.9812319999999999</v>
      </c>
      <c r="V1400">
        <v>5.2164219999999997E-2</v>
      </c>
      <c r="W1400">
        <v>5.4274889999999999E-2</v>
      </c>
      <c r="X1400">
        <v>0.99716249999999995</v>
      </c>
      <c r="Y1400">
        <v>0.20543049999999999</v>
      </c>
      <c r="Z1400">
        <v>8.899058E-2</v>
      </c>
      <c r="AA1400">
        <v>0.97461739999999997</v>
      </c>
      <c r="AB1400">
        <v>32</v>
      </c>
      <c r="AC1400">
        <v>-2.6431</v>
      </c>
      <c r="AD1400">
        <v>-1.1062199969469999</v>
      </c>
      <c r="AE1400">
        <v>-11.783099999999999</v>
      </c>
      <c r="AF1400">
        <v>2.53583359679729</v>
      </c>
      <c r="AG1400">
        <v>-1.1062199969469999</v>
      </c>
      <c r="AH1400">
        <v>11.703845163847699</v>
      </c>
      <c r="AI1400">
        <v>95.277679484760199</v>
      </c>
      <c r="AJ1400">
        <v>77.774875089327296</v>
      </c>
      <c r="AK1400">
        <v>12.026394569097301</v>
      </c>
    </row>
    <row r="1401" spans="1:37" x14ac:dyDescent="0.2">
      <c r="A1401" t="str">
        <f>"20200111153634315"</f>
        <v>20200111153634315</v>
      </c>
      <c r="B1401" t="str">
        <f>"1578728194303900"</f>
        <v>1578728194303900</v>
      </c>
      <c r="C1401" t="s">
        <v>37</v>
      </c>
      <c r="D1401">
        <v>5.7346279999999998</v>
      </c>
      <c r="E1401">
        <v>0.557338</v>
      </c>
      <c r="F1401" t="s">
        <v>39</v>
      </c>
      <c r="G1401">
        <v>-194.0693</v>
      </c>
      <c r="H1401" s="1">
        <v>-2.0360990000000001E-6</v>
      </c>
      <c r="I1401">
        <v>311.60849999999999</v>
      </c>
      <c r="J1401">
        <v>-191.52549999999999</v>
      </c>
      <c r="K1401">
        <v>1.106204</v>
      </c>
      <c r="L1401">
        <v>322.93020000000001</v>
      </c>
      <c r="M1401">
        <v>-5.7923660000000002E-3</v>
      </c>
      <c r="N1401">
        <v>0</v>
      </c>
      <c r="O1401">
        <v>-0.9998821</v>
      </c>
      <c r="P1401">
        <v>-6.0326249999999998E-2</v>
      </c>
      <c r="Q1401">
        <v>3.6605699999999998E-2</v>
      </c>
      <c r="R1401">
        <v>-0.99750779999999994</v>
      </c>
      <c r="S1401">
        <v>-0.65119930000000004</v>
      </c>
      <c r="T1401">
        <v>-0.28310540000000001</v>
      </c>
      <c r="U1401">
        <v>-2.9801639999999998</v>
      </c>
      <c r="V1401">
        <v>5.4389890000000003E-2</v>
      </c>
      <c r="W1401">
        <v>5.0982130000000001E-2</v>
      </c>
      <c r="X1401">
        <v>0.99721740000000003</v>
      </c>
      <c r="Y1401">
        <v>0.2068971</v>
      </c>
      <c r="Z1401">
        <v>9.2464279999999996E-2</v>
      </c>
      <c r="AA1401">
        <v>0.97398359999999995</v>
      </c>
      <c r="AB1401">
        <v>32</v>
      </c>
      <c r="AC1401">
        <v>-2.5438000000000001</v>
      </c>
      <c r="AD1401">
        <v>-1.106206036099</v>
      </c>
      <c r="AE1401">
        <v>-11.3217</v>
      </c>
      <c r="AF1401">
        <v>2.4558528983183399</v>
      </c>
      <c r="AG1401">
        <v>-1.106206036099</v>
      </c>
      <c r="AH1401">
        <v>11.2341521556879</v>
      </c>
      <c r="AI1401">
        <v>95.494741285554795</v>
      </c>
      <c r="AJ1401">
        <v>77.668787593004893</v>
      </c>
      <c r="AK1401">
        <v>11.552535648489799</v>
      </c>
    </row>
    <row r="1402" spans="1:37" x14ac:dyDescent="0.2">
      <c r="A1402" t="str">
        <f>"20200111153634337"</f>
        <v>20200111153634337</v>
      </c>
      <c r="B1402" t="str">
        <f>"1578728194334157"</f>
        <v>1578728194334157</v>
      </c>
      <c r="C1402" t="s">
        <v>37</v>
      </c>
      <c r="D1402">
        <v>5.6732889999999996</v>
      </c>
      <c r="E1402">
        <v>0.485830599999999</v>
      </c>
      <c r="F1402" t="s">
        <v>38</v>
      </c>
      <c r="G1402">
        <v>-191.69290000000001</v>
      </c>
      <c r="H1402">
        <v>1.0282690000000001</v>
      </c>
      <c r="I1402">
        <v>322.14550000000003</v>
      </c>
      <c r="J1402">
        <v>-191.5258</v>
      </c>
      <c r="K1402">
        <v>1.1062019999999999</v>
      </c>
      <c r="L1402">
        <v>322.62369999999999</v>
      </c>
      <c r="M1402">
        <v>-4.3722450000000003E-3</v>
      </c>
      <c r="N1402">
        <v>0</v>
      </c>
      <c r="O1402">
        <v>-0.99988869999999896</v>
      </c>
      <c r="P1402">
        <v>-6.096091E-2</v>
      </c>
      <c r="Q1402">
        <v>3.4405209999999999E-2</v>
      </c>
      <c r="R1402">
        <v>-0.99754699999999996</v>
      </c>
      <c r="S1402">
        <v>-0.63496399999999997</v>
      </c>
      <c r="T1402">
        <v>-0.29625299999999999</v>
      </c>
      <c r="U1402">
        <v>-2.9799799999999999</v>
      </c>
      <c r="V1402">
        <v>5.6448680000000001E-2</v>
      </c>
      <c r="W1402">
        <v>4.8808549999999999E-2</v>
      </c>
      <c r="X1402">
        <v>0.99721179999999998</v>
      </c>
      <c r="Y1402">
        <v>0.20314079999999901</v>
      </c>
      <c r="Z1402">
        <v>9.6817929999999996E-2</v>
      </c>
      <c r="AA1402">
        <v>0.97435110000000003</v>
      </c>
      <c r="AB1402">
        <v>32</v>
      </c>
      <c r="AC1402">
        <v>-0.167100000000004</v>
      </c>
      <c r="AD1402">
        <v>-7.7933000000000002E-2</v>
      </c>
      <c r="AE1402">
        <v>-0.47819999999995799</v>
      </c>
      <c r="AF1402">
        <v>0.16119203817927599</v>
      </c>
      <c r="AG1402">
        <v>-7.7933000000000002E-2</v>
      </c>
      <c r="AH1402">
        <v>0.46785224966420502</v>
      </c>
      <c r="AI1402">
        <v>98.950037314360202</v>
      </c>
      <c r="AJ1402">
        <v>70.989316094317402</v>
      </c>
      <c r="AK1402">
        <v>0.500941267193318</v>
      </c>
    </row>
    <row r="1403" spans="1:37" x14ac:dyDescent="0.2">
      <c r="A1403" t="str">
        <f>"20200111153634358"</f>
        <v>20200111153634358</v>
      </c>
      <c r="B1403" t="str">
        <f>"1578728194353676"</f>
        <v>1578728194353676</v>
      </c>
      <c r="C1403" t="s">
        <v>37</v>
      </c>
      <c r="D1403">
        <v>5.7561359999999997</v>
      </c>
      <c r="E1403">
        <v>0.48899239999999999</v>
      </c>
      <c r="F1403" t="s">
        <v>39</v>
      </c>
      <c r="G1403">
        <v>-191.8817</v>
      </c>
      <c r="H1403" s="1">
        <v>-3.59188899999999E-6</v>
      </c>
      <c r="I1403">
        <v>306.79480000000001</v>
      </c>
      <c r="J1403">
        <v>-191.5256</v>
      </c>
      <c r="K1403">
        <v>1.106204</v>
      </c>
      <c r="L1403">
        <v>322.3175</v>
      </c>
      <c r="M1403">
        <v>-2.9516989999999999E-3</v>
      </c>
      <c r="N1403">
        <v>0</v>
      </c>
      <c r="O1403">
        <v>-0.9998939</v>
      </c>
      <c r="P1403">
        <v>-6.099794E-2</v>
      </c>
      <c r="Q1403">
        <v>3.3452759999999998E-2</v>
      </c>
      <c r="R1403">
        <v>-0.9975773</v>
      </c>
      <c r="S1403">
        <v>-6.7687990000000003E-2</v>
      </c>
      <c r="T1403">
        <v>-0.21038679999999901</v>
      </c>
      <c r="U1403">
        <v>-3.0104679999999999</v>
      </c>
      <c r="V1403">
        <v>5.790642E-2</v>
      </c>
      <c r="W1403">
        <v>4.7877429999999999E-2</v>
      </c>
      <c r="X1403">
        <v>0.99717330000000004</v>
      </c>
      <c r="Y1403">
        <v>1.947252E-2</v>
      </c>
      <c r="Z1403">
        <v>6.9699230000000001E-2</v>
      </c>
      <c r="AA1403">
        <v>0.99737799999999999</v>
      </c>
      <c r="AB1403">
        <v>32</v>
      </c>
      <c r="AC1403">
        <v>-0.35609999999999697</v>
      </c>
      <c r="AD1403">
        <v>-1.106207591889</v>
      </c>
      <c r="AE1403">
        <v>-15.522699999999899</v>
      </c>
      <c r="AF1403">
        <v>0.308708484916143</v>
      </c>
      <c r="AG1403">
        <v>-1.106207591889</v>
      </c>
      <c r="AH1403">
        <v>15.445285355925799</v>
      </c>
      <c r="AI1403">
        <v>94.095773753246107</v>
      </c>
      <c r="AJ1403">
        <v>88.854968484312707</v>
      </c>
      <c r="AK1403">
        <v>15.487925487004</v>
      </c>
    </row>
    <row r="1404" spans="1:37" x14ac:dyDescent="0.2">
      <c r="A1404" t="str">
        <f>"20200111153634381"</f>
        <v>20200111153634381</v>
      </c>
      <c r="B1404" t="str">
        <f>"1578728194374173"</f>
        <v>1578728194374173</v>
      </c>
      <c r="C1404" t="s">
        <v>37</v>
      </c>
      <c r="D1404">
        <v>5.6511500000000003</v>
      </c>
      <c r="E1404">
        <v>0.49113099999999998</v>
      </c>
      <c r="F1404" t="s">
        <v>38</v>
      </c>
      <c r="G1404">
        <v>-191.5487</v>
      </c>
      <c r="H1404">
        <v>1.0467949999999999</v>
      </c>
      <c r="I1404">
        <v>321.56939999999997</v>
      </c>
      <c r="J1404">
        <v>-191.52500000000001</v>
      </c>
      <c r="K1404">
        <v>1.10622</v>
      </c>
      <c r="L1404">
        <v>321.98669999999998</v>
      </c>
      <c r="M1404">
        <v>-1.414963E-3</v>
      </c>
      <c r="N1404">
        <v>0</v>
      </c>
      <c r="O1404">
        <v>-0.99989689999999998</v>
      </c>
      <c r="P1404">
        <v>-6.145743E-2</v>
      </c>
      <c r="Q1404">
        <v>3.366574E-2</v>
      </c>
      <c r="R1404">
        <v>-0.99754209999999999</v>
      </c>
      <c r="S1404">
        <v>-9.2300419999999994E-2</v>
      </c>
      <c r="T1404">
        <v>-0.23918310000000001</v>
      </c>
      <c r="U1404">
        <v>-3.0097049999999999</v>
      </c>
      <c r="V1404">
        <v>5.9899059999999997E-2</v>
      </c>
      <c r="W1404">
        <v>4.8110809999999997E-2</v>
      </c>
      <c r="X1404">
        <v>0.99704439999999905</v>
      </c>
      <c r="Y1404">
        <v>2.9142459999999999E-2</v>
      </c>
      <c r="Z1404">
        <v>7.9185409999999998E-2</v>
      </c>
      <c r="AA1404">
        <v>0.99643389999999998</v>
      </c>
      <c r="AB1404">
        <v>32</v>
      </c>
      <c r="AC1404">
        <v>-2.3699999999990898E-2</v>
      </c>
      <c r="AD1404">
        <v>-5.9424999999999797E-2</v>
      </c>
      <c r="AE1404">
        <v>-0.417300000000011</v>
      </c>
      <c r="AF1404">
        <v>2.2651582551028001E-2</v>
      </c>
      <c r="AG1404">
        <v>-5.9424999999999797E-2</v>
      </c>
      <c r="AH1404">
        <v>0.409064466667794</v>
      </c>
      <c r="AI1404">
        <v>98.253097101291701</v>
      </c>
      <c r="AJ1404">
        <v>86.830533812739304</v>
      </c>
      <c r="AK1404">
        <v>0.41397845681541501</v>
      </c>
    </row>
    <row r="1405" spans="1:37" x14ac:dyDescent="0.2">
      <c r="A1405" t="str">
        <f>"20200111153634403"</f>
        <v>20200111153634403</v>
      </c>
      <c r="B1405" t="str">
        <f>"1578728194393692"</f>
        <v>1578728194393692</v>
      </c>
      <c r="C1405" t="s">
        <v>37</v>
      </c>
      <c r="D1405">
        <v>5.7364259999999998</v>
      </c>
      <c r="E1405">
        <v>0.49255470000000001</v>
      </c>
      <c r="F1405" t="s">
        <v>38</v>
      </c>
      <c r="G1405">
        <v>-191.56059999999999</v>
      </c>
      <c r="H1405">
        <v>1.0265439999999999</v>
      </c>
      <c r="I1405">
        <v>321.01679999999999</v>
      </c>
      <c r="J1405">
        <v>-191.5239</v>
      </c>
      <c r="K1405">
        <v>1.1062339999999999</v>
      </c>
      <c r="L1405">
        <v>321.68279999999999</v>
      </c>
      <c r="M1405" s="1">
        <v>-9.7438709999999994E-7</v>
      </c>
      <c r="N1405">
        <v>0</v>
      </c>
      <c r="O1405">
        <v>-0.99989760000000005</v>
      </c>
      <c r="P1405">
        <v>-6.2591789999999994E-2</v>
      </c>
      <c r="Q1405">
        <v>3.4610009999999997E-2</v>
      </c>
      <c r="R1405">
        <v>-0.99743899999999996</v>
      </c>
      <c r="S1405">
        <v>-0.110122699999999</v>
      </c>
      <c r="T1405">
        <v>-0.24742449999999999</v>
      </c>
      <c r="U1405">
        <v>-3.008972</v>
      </c>
      <c r="V1405">
        <v>6.2441599999999903E-2</v>
      </c>
      <c r="W1405">
        <v>4.907193E-2</v>
      </c>
      <c r="X1405">
        <v>0.99684150000000005</v>
      </c>
      <c r="Y1405">
        <v>3.6449790000000003E-2</v>
      </c>
      <c r="Z1405">
        <v>8.1897849999999994E-2</v>
      </c>
      <c r="AA1405">
        <v>0.99597389999999997</v>
      </c>
      <c r="AB1405">
        <v>32</v>
      </c>
      <c r="AC1405">
        <v>-3.6699999999996097E-2</v>
      </c>
      <c r="AD1405">
        <v>-7.9689999999999803E-2</v>
      </c>
      <c r="AE1405">
        <v>-0.66599999999999604</v>
      </c>
      <c r="AF1405">
        <v>3.6182880439856901E-2</v>
      </c>
      <c r="AG1405">
        <v>-7.9689999999999803E-2</v>
      </c>
      <c r="AH1405">
        <v>0.656627406637464</v>
      </c>
      <c r="AI1405">
        <v>96.909342641928404</v>
      </c>
      <c r="AJ1405">
        <v>86.845955851969194</v>
      </c>
      <c r="AK1405">
        <v>0.66243433492261405</v>
      </c>
    </row>
    <row r="1406" spans="1:37" x14ac:dyDescent="0.2">
      <c r="A1406" t="str">
        <f>"20200111153634426"</f>
        <v>20200111153634426</v>
      </c>
      <c r="B1406" t="str">
        <f>"1578728194423949"</f>
        <v>1578728194423949</v>
      </c>
      <c r="C1406" t="s">
        <v>37</v>
      </c>
      <c r="D1406">
        <v>5.8138550000000002</v>
      </c>
      <c r="E1406">
        <v>0.49416009999999999</v>
      </c>
      <c r="F1406" t="s">
        <v>38</v>
      </c>
      <c r="G1406">
        <v>-191.56309999999999</v>
      </c>
      <c r="H1406">
        <v>1.027358</v>
      </c>
      <c r="I1406">
        <v>320.73399999999998</v>
      </c>
      <c r="J1406">
        <v>-191.5222</v>
      </c>
      <c r="K1406">
        <v>1.1062339999999999</v>
      </c>
      <c r="L1406">
        <v>321.35149999999999</v>
      </c>
      <c r="M1406">
        <v>1.5414719999999999E-3</v>
      </c>
      <c r="N1406">
        <v>0</v>
      </c>
      <c r="O1406">
        <v>-0.99989609999999995</v>
      </c>
      <c r="P1406">
        <v>-6.1834E-2</v>
      </c>
      <c r="Q1406">
        <v>3.4828659999999997E-2</v>
      </c>
      <c r="R1406">
        <v>-0.99747870000000005</v>
      </c>
      <c r="S1406">
        <v>-0.1242371</v>
      </c>
      <c r="T1406">
        <v>-0.25019780000000003</v>
      </c>
      <c r="U1406">
        <v>-3.008575</v>
      </c>
      <c r="V1406">
        <v>6.3222150000000005E-2</v>
      </c>
      <c r="W1406">
        <v>4.9302909999999998E-2</v>
      </c>
      <c r="X1406">
        <v>0.99678089999999997</v>
      </c>
      <c r="Y1406">
        <v>4.265774E-2</v>
      </c>
      <c r="Z1406">
        <v>8.2802570000000006E-2</v>
      </c>
      <c r="AA1406">
        <v>0.9956526</v>
      </c>
      <c r="AB1406">
        <v>32</v>
      </c>
      <c r="AC1406">
        <v>-4.0899999999993497E-2</v>
      </c>
      <c r="AD1406">
        <v>-7.8875999999999905E-2</v>
      </c>
      <c r="AE1406">
        <v>-0.61749999999994998</v>
      </c>
      <c r="AF1406">
        <v>4.1182899614594003E-2</v>
      </c>
      <c r="AG1406">
        <v>-7.8875999999999905E-2</v>
      </c>
      <c r="AH1406">
        <v>0.60756641055206495</v>
      </c>
      <c r="AI1406">
        <v>97.380182685675393</v>
      </c>
      <c r="AJ1406">
        <v>86.122230556868899</v>
      </c>
      <c r="AK1406">
        <v>0.61404755339288397</v>
      </c>
    </row>
    <row r="1407" spans="1:37" x14ac:dyDescent="0.2">
      <c r="A1407" t="str">
        <f>"20200111153634448"</f>
        <v>20200111153634448</v>
      </c>
      <c r="B1407" t="str">
        <f>"1578728194444445"</f>
        <v>1578728194444445</v>
      </c>
      <c r="C1407" t="s">
        <v>37</v>
      </c>
      <c r="D1407">
        <v>5.6480040000000002</v>
      </c>
      <c r="E1407">
        <v>0.49526729999999902</v>
      </c>
      <c r="F1407" t="s">
        <v>38</v>
      </c>
      <c r="G1407">
        <v>-191.56290000000001</v>
      </c>
      <c r="H1407">
        <v>1.033817</v>
      </c>
      <c r="I1407">
        <v>320.4486</v>
      </c>
      <c r="J1407">
        <v>-191.52029999999999</v>
      </c>
      <c r="K1407">
        <v>1.106223</v>
      </c>
      <c r="L1407">
        <v>321.05160000000001</v>
      </c>
      <c r="M1407">
        <v>2.9384039999999999E-3</v>
      </c>
      <c r="N1407">
        <v>0</v>
      </c>
      <c r="O1407">
        <v>-0.99989319999999904</v>
      </c>
      <c r="P1407">
        <v>-6.2182620000000001E-2</v>
      </c>
      <c r="Q1407">
        <v>3.4034469999999997E-2</v>
      </c>
      <c r="R1407">
        <v>-0.99748429999999999</v>
      </c>
      <c r="S1407">
        <v>-0.13493350000000001</v>
      </c>
      <c r="T1407">
        <v>-0.2415572</v>
      </c>
      <c r="U1407">
        <v>-3.0076290000000001</v>
      </c>
      <c r="V1407">
        <v>6.4966860000000001E-2</v>
      </c>
      <c r="W1407">
        <v>4.8520880000000002E-2</v>
      </c>
      <c r="X1407">
        <v>0.99670709999999996</v>
      </c>
      <c r="Y1407">
        <v>4.7610649999999997E-2</v>
      </c>
      <c r="Z1407">
        <v>7.9971159999999999E-2</v>
      </c>
      <c r="AA1407">
        <v>0.99565949999999903</v>
      </c>
      <c r="AB1407">
        <v>32</v>
      </c>
      <c r="AC1407">
        <v>-4.2600000000021503E-2</v>
      </c>
      <c r="AD1407">
        <v>-7.2405999999999901E-2</v>
      </c>
      <c r="AE1407">
        <v>-0.60300000000000797</v>
      </c>
      <c r="AF1407">
        <v>4.3744268912860901E-2</v>
      </c>
      <c r="AG1407">
        <v>-7.2405999999999901E-2</v>
      </c>
      <c r="AH1407">
        <v>0.59434530743632397</v>
      </c>
      <c r="AI1407">
        <v>96.927265756604896</v>
      </c>
      <c r="AJ1407">
        <v>85.790576802049998</v>
      </c>
      <c r="AK1407">
        <v>0.60033535159134099</v>
      </c>
    </row>
    <row r="1408" spans="1:37" x14ac:dyDescent="0.2">
      <c r="A1408" t="str">
        <f>"20200111153634470"</f>
        <v>20200111153634470</v>
      </c>
      <c r="B1408" t="str">
        <f>"1578728194463964"</f>
        <v>1578728194463964</v>
      </c>
      <c r="C1408" t="s">
        <v>37</v>
      </c>
      <c r="D1408">
        <v>5.7616040000000002</v>
      </c>
      <c r="E1408">
        <v>0.49578679999999897</v>
      </c>
      <c r="F1408" t="s">
        <v>38</v>
      </c>
      <c r="G1408">
        <v>-191.56309999999999</v>
      </c>
      <c r="H1408">
        <v>1.036195</v>
      </c>
      <c r="I1408">
        <v>320.16550000000001</v>
      </c>
      <c r="J1408">
        <v>-191.51769999999999</v>
      </c>
      <c r="K1408">
        <v>1.1062049999999899</v>
      </c>
      <c r="L1408">
        <v>320.73140000000001</v>
      </c>
      <c r="M1408">
        <v>4.4304679999999999E-3</v>
      </c>
      <c r="N1408">
        <v>0</v>
      </c>
      <c r="O1408">
        <v>-0.99988759999999999</v>
      </c>
      <c r="P1408">
        <v>-6.1786220000000003E-2</v>
      </c>
      <c r="Q1408">
        <v>3.3321110000000001E-2</v>
      </c>
      <c r="R1408">
        <v>-0.99753329999999996</v>
      </c>
      <c r="S1408">
        <v>-0.14489749999999901</v>
      </c>
      <c r="T1408">
        <v>-0.23777680000000001</v>
      </c>
      <c r="U1408">
        <v>-3.0066830000000002</v>
      </c>
      <c r="V1408">
        <v>6.606128E-2</v>
      </c>
      <c r="W1408">
        <v>4.7816930000000001E-2</v>
      </c>
      <c r="X1408">
        <v>0.99666919999999903</v>
      </c>
      <c r="Y1408">
        <v>5.2411800000000001E-2</v>
      </c>
      <c r="Z1408">
        <v>7.8735860000000005E-2</v>
      </c>
      <c r="AA1408">
        <v>0.99551679999999998</v>
      </c>
      <c r="AB1408">
        <v>32</v>
      </c>
      <c r="AC1408">
        <v>-4.5400000000000697E-2</v>
      </c>
      <c r="AD1408">
        <v>-7.0009999999999906E-2</v>
      </c>
      <c r="AE1408">
        <v>-0.56589999999999896</v>
      </c>
      <c r="AF1408">
        <v>4.7189386296313203E-2</v>
      </c>
      <c r="AG1408">
        <v>-7.0009999999999906E-2</v>
      </c>
      <c r="AH1408">
        <v>0.55721943128302898</v>
      </c>
      <c r="AI1408">
        <v>97.135936107992805</v>
      </c>
      <c r="AJ1408">
        <v>85.159327755139003</v>
      </c>
      <c r="AK1408">
        <v>0.56357939358923104</v>
      </c>
    </row>
    <row r="1409" spans="1:37" x14ac:dyDescent="0.2">
      <c r="A1409" t="str">
        <f>"20200111153634493"</f>
        <v>20200111153634493</v>
      </c>
      <c r="B1409" t="str">
        <f>"1578728194484461"</f>
        <v>1578728194484461</v>
      </c>
      <c r="C1409" t="s">
        <v>37</v>
      </c>
      <c r="D1409">
        <v>5.6791419999999997</v>
      </c>
      <c r="E1409">
        <v>0.49633369999999999</v>
      </c>
      <c r="F1409" t="s">
        <v>38</v>
      </c>
      <c r="G1409">
        <v>-191.55969999999999</v>
      </c>
      <c r="H1409">
        <v>1.0378719999999999</v>
      </c>
      <c r="I1409">
        <v>319.88310000000001</v>
      </c>
      <c r="J1409">
        <v>-191.5147</v>
      </c>
      <c r="K1409">
        <v>1.106185</v>
      </c>
      <c r="L1409">
        <v>320.41219999999998</v>
      </c>
      <c r="M1409">
        <v>5.9127939999999999E-3</v>
      </c>
      <c r="N1409">
        <v>0</v>
      </c>
      <c r="O1409">
        <v>-0.99987969999999904</v>
      </c>
      <c r="P1409">
        <v>-6.155716E-2</v>
      </c>
      <c r="Q1409">
        <v>3.2029099999999998E-2</v>
      </c>
      <c r="R1409">
        <v>-0.99758959999999997</v>
      </c>
      <c r="S1409">
        <v>-0.14770510000000001</v>
      </c>
      <c r="T1409">
        <v>-0.24253229999999901</v>
      </c>
      <c r="U1409">
        <v>-3.0064090000000001</v>
      </c>
      <c r="V1409">
        <v>6.7315369999999999E-2</v>
      </c>
      <c r="W1409">
        <v>4.6533289999999998E-2</v>
      </c>
      <c r="X1409">
        <v>0.99664599999999903</v>
      </c>
      <c r="Y1409">
        <v>5.4817829999999998E-2</v>
      </c>
      <c r="Z1409">
        <v>8.0299850000000006E-2</v>
      </c>
      <c r="AA1409">
        <v>0.99526229999999904</v>
      </c>
      <c r="AB1409">
        <v>32</v>
      </c>
      <c r="AC1409">
        <v>-4.4999999999987397E-2</v>
      </c>
      <c r="AD1409">
        <v>-6.8312999999999999E-2</v>
      </c>
      <c r="AE1409">
        <v>-0.52909999999997104</v>
      </c>
      <c r="AF1409">
        <v>4.73444382917214E-2</v>
      </c>
      <c r="AG1409">
        <v>-6.8312999999999999E-2</v>
      </c>
      <c r="AH1409">
        <v>0.52021502727300895</v>
      </c>
      <c r="AI1409">
        <v>97.450651706474503</v>
      </c>
      <c r="AJ1409">
        <v>84.799873063729606</v>
      </c>
      <c r="AK1409">
        <v>0.52681290455608298</v>
      </c>
    </row>
    <row r="1410" spans="1:37" x14ac:dyDescent="0.2">
      <c r="A1410" t="str">
        <f>"20200111153634515"</f>
        <v>20200111153634515</v>
      </c>
      <c r="B1410" t="str">
        <f>"1578728194503983"</f>
        <v>1578728194503983</v>
      </c>
      <c r="C1410" t="s">
        <v>37</v>
      </c>
      <c r="D1410">
        <v>5.7614400000000003</v>
      </c>
      <c r="E1410">
        <v>0.49663839999999998</v>
      </c>
      <c r="F1410" t="s">
        <v>38</v>
      </c>
      <c r="G1410">
        <v>-191.55549999999999</v>
      </c>
      <c r="H1410">
        <v>1.0393939999999999</v>
      </c>
      <c r="I1410">
        <v>319.60109999999997</v>
      </c>
      <c r="J1410">
        <v>-191.51130000000001</v>
      </c>
      <c r="K1410">
        <v>1.106158</v>
      </c>
      <c r="L1410">
        <v>320.09660000000002</v>
      </c>
      <c r="M1410">
        <v>7.3580950000000003E-3</v>
      </c>
      <c r="N1410">
        <v>0</v>
      </c>
      <c r="O1410">
        <v>-0.99987009999999898</v>
      </c>
      <c r="P1410">
        <v>-6.1818499999999901E-2</v>
      </c>
      <c r="Q1410">
        <v>3.021335E-2</v>
      </c>
      <c r="R1410">
        <v>-0.99762980000000001</v>
      </c>
      <c r="S1410">
        <v>-0.151001</v>
      </c>
      <c r="T1410">
        <v>-0.24764839999999999</v>
      </c>
      <c r="U1410">
        <v>-3.0058590000000001</v>
      </c>
      <c r="V1410">
        <v>6.9025290000000003E-2</v>
      </c>
      <c r="W1410">
        <v>4.4724149999999997E-2</v>
      </c>
      <c r="X1410">
        <v>0.9966119</v>
      </c>
      <c r="Y1410">
        <v>5.7351569999999998E-2</v>
      </c>
      <c r="Z1410">
        <v>8.198809E-2</v>
      </c>
      <c r="AA1410">
        <v>0.99498180000000003</v>
      </c>
      <c r="AB1410">
        <v>32</v>
      </c>
      <c r="AC1410">
        <v>-4.4199999999989303E-2</v>
      </c>
      <c r="AD1410">
        <v>-6.6763999999999796E-2</v>
      </c>
      <c r="AE1410">
        <v>-0.49550000000004901</v>
      </c>
      <c r="AF1410">
        <v>4.6998588556539399E-2</v>
      </c>
      <c r="AG1410">
        <v>-6.6763999999999796E-2</v>
      </c>
      <c r="AH1410">
        <v>0.48640041169996601</v>
      </c>
      <c r="AI1410">
        <v>97.779871779729604</v>
      </c>
      <c r="AJ1410">
        <v>84.480911454207501</v>
      </c>
      <c r="AK1410">
        <v>0.49320549421534599</v>
      </c>
    </row>
    <row r="1411" spans="1:37" x14ac:dyDescent="0.2">
      <c r="A1411" t="str">
        <f>"20200111153634538"</f>
        <v>20200111153634538</v>
      </c>
      <c r="B1411" t="str">
        <f>"1578728194534237"</f>
        <v>1578728194534237</v>
      </c>
      <c r="C1411" t="s">
        <v>37</v>
      </c>
      <c r="D1411">
        <v>5.9388180000000004</v>
      </c>
      <c r="E1411">
        <v>0.49987749999999997</v>
      </c>
      <c r="F1411" t="s">
        <v>38</v>
      </c>
      <c r="G1411">
        <v>-191.5513</v>
      </c>
      <c r="H1411">
        <v>1.0403979999999999</v>
      </c>
      <c r="I1411">
        <v>319.31970000000001</v>
      </c>
      <c r="J1411">
        <v>-191.5076</v>
      </c>
      <c r="K1411">
        <v>1.1061219999999901</v>
      </c>
      <c r="L1411">
        <v>319.79169999999999</v>
      </c>
      <c r="M1411">
        <v>8.7158029999999994E-3</v>
      </c>
      <c r="N1411">
        <v>0</v>
      </c>
      <c r="O1411">
        <v>-0.9998591</v>
      </c>
      <c r="P1411">
        <v>-6.2443609999999997E-2</v>
      </c>
      <c r="Q1411">
        <v>2.8942269999999999E-2</v>
      </c>
      <c r="R1411">
        <v>-0.99762929999999905</v>
      </c>
      <c r="S1411">
        <v>-0.1536255</v>
      </c>
      <c r="T1411">
        <v>-0.254741</v>
      </c>
      <c r="U1411">
        <v>-3.00528</v>
      </c>
      <c r="V1411">
        <v>7.1010980000000001E-2</v>
      </c>
      <c r="W1411">
        <v>4.3456040000000001E-2</v>
      </c>
      <c r="X1411">
        <v>0.99652850000000004</v>
      </c>
      <c r="Y1411">
        <v>5.9573399999999999E-2</v>
      </c>
      <c r="Z1411">
        <v>8.4327109999999997E-2</v>
      </c>
      <c r="AA1411">
        <v>0.99465569999999903</v>
      </c>
      <c r="AB1411">
        <v>32</v>
      </c>
      <c r="AC1411">
        <v>-4.3700000000001099E-2</v>
      </c>
      <c r="AD1411">
        <v>-6.5723999999999894E-2</v>
      </c>
      <c r="AE1411">
        <v>-0.47199999999997999</v>
      </c>
      <c r="AF1411">
        <v>4.6910781648064198E-2</v>
      </c>
      <c r="AG1411">
        <v>-6.5723999999999894E-2</v>
      </c>
      <c r="AH1411">
        <v>0.46270581850556403</v>
      </c>
      <c r="AI1411">
        <v>98.043678669727996</v>
      </c>
      <c r="AJ1411">
        <v>84.210928114000794</v>
      </c>
      <c r="AK1411">
        <v>0.46969877590828002</v>
      </c>
    </row>
    <row r="1412" spans="1:37" x14ac:dyDescent="0.2">
      <c r="A1412" t="str">
        <f>"20200111153634560"</f>
        <v>20200111153634560</v>
      </c>
      <c r="B1412" t="str">
        <f>"1578728194553757"</f>
        <v>1578728194553757</v>
      </c>
      <c r="C1412" t="s">
        <v>37</v>
      </c>
      <c r="D1412">
        <v>5.9524569999999999</v>
      </c>
      <c r="E1412">
        <v>0.57999599999999996</v>
      </c>
      <c r="F1412" t="s">
        <v>38</v>
      </c>
      <c r="G1412">
        <v>-191.5531</v>
      </c>
      <c r="H1412">
        <v>1.0414159999999999</v>
      </c>
      <c r="I1412">
        <v>319.03859999999997</v>
      </c>
      <c r="J1412">
        <v>-191.5035</v>
      </c>
      <c r="K1412">
        <v>1.1060779999999999</v>
      </c>
      <c r="L1412">
        <v>319.47829999999999</v>
      </c>
      <c r="M1412">
        <v>1.0055669999999999E-2</v>
      </c>
      <c r="N1412">
        <v>0</v>
      </c>
      <c r="O1412">
        <v>-0.99984660000000003</v>
      </c>
      <c r="P1412">
        <v>-6.3120209999999996E-2</v>
      </c>
      <c r="Q1412">
        <v>2.9034399999999998E-2</v>
      </c>
      <c r="R1412">
        <v>-0.99758400000000003</v>
      </c>
      <c r="S1412">
        <v>-0.18106079999999999</v>
      </c>
      <c r="T1412">
        <v>-0.2581425</v>
      </c>
      <c r="U1412">
        <v>-3.00329599999999</v>
      </c>
      <c r="V1412">
        <v>7.3027510000000004E-2</v>
      </c>
      <c r="W1412">
        <v>4.3546559999999998E-2</v>
      </c>
      <c r="X1412">
        <v>0.99637880000000001</v>
      </c>
      <c r="Y1412">
        <v>6.9993390000000003E-2</v>
      </c>
      <c r="Z1412">
        <v>8.5448769999999993E-2</v>
      </c>
      <c r="AA1412">
        <v>0.99388099999999902</v>
      </c>
      <c r="AB1412">
        <v>31</v>
      </c>
      <c r="AC1412">
        <v>-4.9599999999998E-2</v>
      </c>
      <c r="AD1412">
        <v>-6.4662000000000205E-2</v>
      </c>
      <c r="AE1412">
        <v>-0.43970000000001602</v>
      </c>
      <c r="AF1412">
        <v>5.2889973936962702E-2</v>
      </c>
      <c r="AG1412">
        <v>-6.4662000000000205E-2</v>
      </c>
      <c r="AH1412">
        <v>0.42999649676030799</v>
      </c>
      <c r="AI1412">
        <v>98.488912130808302</v>
      </c>
      <c r="AJ1412">
        <v>82.987786757951397</v>
      </c>
      <c r="AK1412">
        <v>0.43803596977096498</v>
      </c>
    </row>
    <row r="1413" spans="1:37" x14ac:dyDescent="0.2">
      <c r="A1413" t="str">
        <f>"20200111153634584"</f>
        <v>20200111153634584</v>
      </c>
      <c r="B1413" t="str">
        <f>"1578728194574254"</f>
        <v>1578728194574254</v>
      </c>
      <c r="C1413" t="s">
        <v>37</v>
      </c>
      <c r="D1413">
        <v>5.8867649999999996</v>
      </c>
      <c r="E1413">
        <v>0.58186719999999903</v>
      </c>
      <c r="F1413" t="s">
        <v>39</v>
      </c>
      <c r="G1413">
        <v>-194.42599999999999</v>
      </c>
      <c r="H1413" s="1">
        <v>-4.8440559999999902E-6</v>
      </c>
      <c r="I1413">
        <v>308.91419999999999</v>
      </c>
      <c r="J1413">
        <v>-191.49860000000001</v>
      </c>
      <c r="K1413">
        <v>1.1060129999999999</v>
      </c>
      <c r="L1413">
        <v>319.14109999999999</v>
      </c>
      <c r="M1413">
        <v>1.141437E-2</v>
      </c>
      <c r="N1413">
        <v>0</v>
      </c>
      <c r="O1413">
        <v>-0.99983219999999995</v>
      </c>
      <c r="P1413">
        <v>-6.3665360000000004E-2</v>
      </c>
      <c r="Q1413">
        <v>2.9759150000000002E-2</v>
      </c>
      <c r="R1413">
        <v>-0.99752790000000002</v>
      </c>
      <c r="S1413">
        <v>-0.82008359999999902</v>
      </c>
      <c r="T1413">
        <v>-0.3103784</v>
      </c>
      <c r="U1413">
        <v>-2.9643860000000002</v>
      </c>
      <c r="V1413">
        <v>7.493126E-2</v>
      </c>
      <c r="W1413">
        <v>4.4263980000000001E-2</v>
      </c>
      <c r="X1413">
        <v>0.99620580000000003</v>
      </c>
      <c r="Y1413">
        <v>0.2762714</v>
      </c>
      <c r="Z1413">
        <v>0.1002338</v>
      </c>
      <c r="AA1413">
        <v>0.95583859999999998</v>
      </c>
      <c r="AB1413">
        <v>31</v>
      </c>
      <c r="AC1413">
        <v>-2.9273999999999698</v>
      </c>
      <c r="AD1413">
        <v>-1.106017844056</v>
      </c>
      <c r="AE1413">
        <v>-10.226900000000001</v>
      </c>
      <c r="AF1413">
        <v>3.0114009466134899</v>
      </c>
      <c r="AG1413">
        <v>-1.106017844056</v>
      </c>
      <c r="AH1413">
        <v>10.0838075753311</v>
      </c>
      <c r="AI1413">
        <v>95.999543250480102</v>
      </c>
      <c r="AJ1413">
        <v>73.3724134747101</v>
      </c>
      <c r="AK1413">
        <v>10.5818233943371</v>
      </c>
    </row>
    <row r="1414" spans="1:37" x14ac:dyDescent="0.2">
      <c r="A1414" t="str">
        <f>"20200111153634605"</f>
        <v>20200111153634605</v>
      </c>
      <c r="B1414" t="str">
        <f>"1578728194593772"</f>
        <v>1578728194593772</v>
      </c>
      <c r="C1414" t="s">
        <v>37</v>
      </c>
      <c r="D1414">
        <v>5.8766419999999897</v>
      </c>
      <c r="E1414">
        <v>0.58233849999999998</v>
      </c>
      <c r="F1414" t="s">
        <v>39</v>
      </c>
      <c r="G1414">
        <v>-194.5575</v>
      </c>
      <c r="H1414" s="1">
        <v>-4.6623350000000001E-6</v>
      </c>
      <c r="I1414">
        <v>308.31169999999997</v>
      </c>
      <c r="J1414">
        <v>-191.4939</v>
      </c>
      <c r="K1414">
        <v>1.105963</v>
      </c>
      <c r="L1414">
        <v>318.839</v>
      </c>
      <c r="M1414">
        <v>1.257083E-2</v>
      </c>
      <c r="N1414">
        <v>0</v>
      </c>
      <c r="O1414">
        <v>-0.99981799999999998</v>
      </c>
      <c r="P1414">
        <v>-6.4686629999999995E-2</v>
      </c>
      <c r="Q1414">
        <v>3.0993659999999999E-2</v>
      </c>
      <c r="R1414">
        <v>-0.99742419999999998</v>
      </c>
      <c r="S1414">
        <v>-0.83695980000000003</v>
      </c>
      <c r="T1414">
        <v>-0.30262299999999998</v>
      </c>
      <c r="U1414">
        <v>-2.9630740000000002</v>
      </c>
      <c r="V1414">
        <v>7.7106830000000001E-2</v>
      </c>
      <c r="W1414">
        <v>4.5491080000000003E-2</v>
      </c>
      <c r="X1414">
        <v>0.99598449999999905</v>
      </c>
      <c r="Y1414">
        <v>0.28260489999999999</v>
      </c>
      <c r="Z1414">
        <v>9.7628960000000001E-2</v>
      </c>
      <c r="AA1414">
        <v>0.95425519999999997</v>
      </c>
      <c r="AB1414">
        <v>31</v>
      </c>
      <c r="AC1414">
        <v>-3.0636000000000001</v>
      </c>
      <c r="AD1414">
        <v>-1.1059676623350001</v>
      </c>
      <c r="AE1414">
        <v>-10.5273</v>
      </c>
      <c r="AF1414">
        <v>3.16351878815584</v>
      </c>
      <c r="AG1414">
        <v>-1.1059676623350001</v>
      </c>
      <c r="AH1414">
        <v>10.382309378185401</v>
      </c>
      <c r="AI1414">
        <v>95.818293443174397</v>
      </c>
      <c r="AJ1414">
        <v>73.053874215211394</v>
      </c>
      <c r="AK1414">
        <v>10.9097829317316</v>
      </c>
    </row>
    <row r="1415" spans="1:37" x14ac:dyDescent="0.2">
      <c r="A1415" t="str">
        <f>"20200111153634628"</f>
        <v>20200111153634628</v>
      </c>
      <c r="B1415" t="str">
        <f>"1578728194624029"</f>
        <v>1578728194624029</v>
      </c>
      <c r="C1415" t="s">
        <v>37</v>
      </c>
      <c r="D1415">
        <v>5.9024789999999996</v>
      </c>
      <c r="E1415">
        <v>0.58222600000000002</v>
      </c>
      <c r="F1415" t="s">
        <v>39</v>
      </c>
      <c r="G1415">
        <v>-194.7097</v>
      </c>
      <c r="H1415" s="1">
        <v>-4.43015999999999E-6</v>
      </c>
      <c r="I1415">
        <v>307.55009999999999</v>
      </c>
      <c r="J1415">
        <v>-191.48859999999999</v>
      </c>
      <c r="K1415">
        <v>1.105904</v>
      </c>
      <c r="L1415">
        <v>318.51749999999998</v>
      </c>
      <c r="M1415">
        <v>1.372576E-2</v>
      </c>
      <c r="N1415">
        <v>0</v>
      </c>
      <c r="O1415">
        <v>-0.99980279999999999</v>
      </c>
      <c r="P1415">
        <v>-6.5795729999999997E-2</v>
      </c>
      <c r="Q1415">
        <v>3.2161179999999998E-2</v>
      </c>
      <c r="R1415">
        <v>-0.997314899999999</v>
      </c>
      <c r="S1415">
        <v>-0.84379579999999998</v>
      </c>
      <c r="T1415">
        <v>-0.29019149999999999</v>
      </c>
      <c r="U1415">
        <v>-2.9620669999999998</v>
      </c>
      <c r="V1415">
        <v>7.9369010000000004E-2</v>
      </c>
      <c r="W1415">
        <v>4.6649509999999998E-2</v>
      </c>
      <c r="X1415">
        <v>0.99575319999999901</v>
      </c>
      <c r="Y1415">
        <v>0.28593970000000002</v>
      </c>
      <c r="Z1415">
        <v>9.3608140000000006E-2</v>
      </c>
      <c r="AA1415">
        <v>0.95366450000000003</v>
      </c>
      <c r="AB1415">
        <v>31</v>
      </c>
      <c r="AC1415">
        <v>-3.2210999999999999</v>
      </c>
      <c r="AD1415">
        <v>-1.10590843016</v>
      </c>
      <c r="AE1415">
        <v>-10.9673999999999</v>
      </c>
      <c r="AF1415">
        <v>3.3400831442819898</v>
      </c>
      <c r="AG1415">
        <v>-1.10590843016</v>
      </c>
      <c r="AH1415">
        <v>10.820861633212701</v>
      </c>
      <c r="AI1415">
        <v>95.577543544175299</v>
      </c>
      <c r="AJ1415">
        <v>72.8460745995053</v>
      </c>
      <c r="AK1415">
        <v>11.378498818022999</v>
      </c>
    </row>
    <row r="1416" spans="1:37" x14ac:dyDescent="0.2">
      <c r="A1416" t="str">
        <f>"20200111153634648"</f>
        <v>20200111153634648</v>
      </c>
      <c r="B1416" t="str">
        <f>"1578728194644525"</f>
        <v>1578728194644525</v>
      </c>
      <c r="C1416" t="s">
        <v>37</v>
      </c>
      <c r="D1416">
        <v>5.8727549999999997</v>
      </c>
      <c r="E1416">
        <v>0.58239750000000001</v>
      </c>
      <c r="F1416" t="s">
        <v>39</v>
      </c>
      <c r="G1416">
        <v>-194.87899999999999</v>
      </c>
      <c r="H1416" s="1">
        <v>-4.1548800000000001E-6</v>
      </c>
      <c r="I1416">
        <v>306.65289999999999</v>
      </c>
      <c r="J1416">
        <v>-191.4838</v>
      </c>
      <c r="K1416">
        <v>1.1058539999999999</v>
      </c>
      <c r="L1416">
        <v>318.24079999999998</v>
      </c>
      <c r="M1416">
        <v>1.4649860000000001E-2</v>
      </c>
      <c r="N1416">
        <v>0</v>
      </c>
      <c r="O1416">
        <v>-0.99978989999999901</v>
      </c>
      <c r="P1416">
        <v>-6.7311640000000006E-2</v>
      </c>
      <c r="Q1416">
        <v>3.1909270000000003E-2</v>
      </c>
      <c r="R1416">
        <v>-0.99722199999999905</v>
      </c>
      <c r="S1416">
        <v>-0.84616089999999999</v>
      </c>
      <c r="T1416">
        <v>-0.27600649999999999</v>
      </c>
      <c r="U1416">
        <v>-2.96109</v>
      </c>
      <c r="V1416">
        <v>8.1810679999999997E-2</v>
      </c>
      <c r="W1416">
        <v>4.6389920000000001E-2</v>
      </c>
      <c r="X1416">
        <v>0.99556769999999895</v>
      </c>
      <c r="Y1416">
        <v>0.28772639999999999</v>
      </c>
      <c r="Z1416">
        <v>8.9063660000000003E-2</v>
      </c>
      <c r="AA1416">
        <v>0.95356240000000003</v>
      </c>
      <c r="AB1416">
        <v>31</v>
      </c>
      <c r="AC1416">
        <v>-3.3952000000000102</v>
      </c>
      <c r="AD1416">
        <v>-1.1058581548799999</v>
      </c>
      <c r="AE1416">
        <v>-11.5878999999999</v>
      </c>
      <c r="AF1416">
        <v>3.53496539306586</v>
      </c>
      <c r="AG1416">
        <v>-1.1058581548799999</v>
      </c>
      <c r="AH1416">
        <v>11.4409534143131</v>
      </c>
      <c r="AI1416">
        <v>95.276311354728705</v>
      </c>
      <c r="AJ1416">
        <v>72.830173116245305</v>
      </c>
      <c r="AK1416">
        <v>12.025569326122101</v>
      </c>
    </row>
    <row r="1417" spans="1:37" x14ac:dyDescent="0.2">
      <c r="A1417" t="str">
        <f>"20200111153634671"</f>
        <v>20200111153634671</v>
      </c>
      <c r="B1417" t="str">
        <f>"1578728194664045"</f>
        <v>1578728194664045</v>
      </c>
      <c r="C1417" t="s">
        <v>37</v>
      </c>
      <c r="D1417">
        <v>5.8747319999999998</v>
      </c>
      <c r="E1417">
        <v>0.58262480000000005</v>
      </c>
      <c r="F1417" t="s">
        <v>39</v>
      </c>
      <c r="G1417">
        <v>-194.94309999999999</v>
      </c>
      <c r="H1417" s="1">
        <v>-4.020345E-6</v>
      </c>
      <c r="I1417">
        <v>306.2242</v>
      </c>
      <c r="J1417">
        <v>-191.4778</v>
      </c>
      <c r="K1417">
        <v>1.1057779999999999</v>
      </c>
      <c r="L1417">
        <v>317.91370000000001</v>
      </c>
      <c r="M1417">
        <v>1.5654350000000001E-2</v>
      </c>
      <c r="N1417">
        <v>0</v>
      </c>
      <c r="O1417">
        <v>-0.99977450000000001</v>
      </c>
      <c r="P1417">
        <v>-6.8460610000000005E-2</v>
      </c>
      <c r="Q1417">
        <v>3.1633719999999997E-2</v>
      </c>
      <c r="R1417">
        <v>-0.99715239999999905</v>
      </c>
      <c r="S1417">
        <v>-0.85200499999999901</v>
      </c>
      <c r="T1417">
        <v>-0.2723624</v>
      </c>
      <c r="U1417">
        <v>-2.9595950000000002</v>
      </c>
      <c r="V1417">
        <v>8.3967349999999996E-2</v>
      </c>
      <c r="W1417">
        <v>4.6112699999999902E-2</v>
      </c>
      <c r="X1417">
        <v>0.99540099999999998</v>
      </c>
      <c r="Y1417">
        <v>0.29058319999999999</v>
      </c>
      <c r="Z1417">
        <v>8.787557E-2</v>
      </c>
      <c r="AA1417">
        <v>0.95280599999999904</v>
      </c>
      <c r="AB1417">
        <v>31</v>
      </c>
      <c r="AC1417">
        <v>-3.4652999999999801</v>
      </c>
      <c r="AD1417">
        <v>-1.1057820203449999</v>
      </c>
      <c r="AE1417">
        <v>-11.689500000000001</v>
      </c>
      <c r="AF1417">
        <v>3.61812450076334</v>
      </c>
      <c r="AG1417">
        <v>-1.1057820203449999</v>
      </c>
      <c r="AH1417">
        <v>11.538900627168699</v>
      </c>
      <c r="AI1417">
        <v>95.224651938724705</v>
      </c>
      <c r="AJ1417">
        <v>72.590721471350506</v>
      </c>
      <c r="AK1417">
        <v>12.143302947024599</v>
      </c>
    </row>
    <row r="1418" spans="1:37" x14ac:dyDescent="0.2">
      <c r="A1418" t="str">
        <f>"20200111153634694"</f>
        <v>20200111153634694</v>
      </c>
      <c r="B1418" t="str">
        <f>"1578728194684541"</f>
        <v>1578728194684541</v>
      </c>
      <c r="C1418" t="s">
        <v>37</v>
      </c>
      <c r="D1418">
        <v>5.8657430000000002</v>
      </c>
      <c r="E1418">
        <v>0.58277080000000003</v>
      </c>
      <c r="F1418" t="s">
        <v>39</v>
      </c>
      <c r="G1418">
        <v>-194.95249999999999</v>
      </c>
      <c r="H1418" s="1">
        <v>-3.9175829999999997E-6</v>
      </c>
      <c r="I1418">
        <v>305.91730000000001</v>
      </c>
      <c r="J1418">
        <v>-191.47219999999999</v>
      </c>
      <c r="K1418">
        <v>1.1057349999999999</v>
      </c>
      <c r="L1418">
        <v>317.61219999999997</v>
      </c>
      <c r="M1418">
        <v>1.6491260000000001E-2</v>
      </c>
      <c r="N1418">
        <v>0</v>
      </c>
      <c r="O1418">
        <v>-0.99975939999999996</v>
      </c>
      <c r="P1418">
        <v>-6.9685979999999995E-2</v>
      </c>
      <c r="Q1418">
        <v>3.0749680000000001E-2</v>
      </c>
      <c r="R1418">
        <v>-0.99709499999999995</v>
      </c>
      <c r="S1418">
        <v>-0.85688779999999998</v>
      </c>
      <c r="T1418">
        <v>-0.27269640000000001</v>
      </c>
      <c r="U1418">
        <v>-2.9584349999999899</v>
      </c>
      <c r="V1418">
        <v>8.6034630000000001E-2</v>
      </c>
      <c r="W1418">
        <v>4.5321970000000003E-2</v>
      </c>
      <c r="X1418">
        <v>0.99526079999999995</v>
      </c>
      <c r="Y1418">
        <v>0.29293159999999901</v>
      </c>
      <c r="Z1418">
        <v>8.7961689999999995E-2</v>
      </c>
      <c r="AA1418">
        <v>0.95207869999999994</v>
      </c>
      <c r="AB1418">
        <v>31</v>
      </c>
      <c r="AC1418">
        <v>-3.4803000000000002</v>
      </c>
      <c r="AD1418">
        <v>-1.1057389175829999</v>
      </c>
      <c r="AE1418">
        <v>-11.694899999999899</v>
      </c>
      <c r="AF1418">
        <v>3.64279506079823</v>
      </c>
      <c r="AG1418">
        <v>-1.1057389175829999</v>
      </c>
      <c r="AH1418">
        <v>11.541130655957801</v>
      </c>
      <c r="AI1418">
        <v>95.220357821005507</v>
      </c>
      <c r="AJ1418">
        <v>72.482433652730606</v>
      </c>
      <c r="AK1418">
        <v>12.152790265067599</v>
      </c>
    </row>
    <row r="1419" spans="1:37" x14ac:dyDescent="0.2">
      <c r="A1419" t="str">
        <f>"20200111153634715"</f>
        <v>20200111153634715</v>
      </c>
      <c r="B1419" t="str">
        <f>"1578728194704060"</f>
        <v>1578728194704060</v>
      </c>
      <c r="C1419" t="s">
        <v>37</v>
      </c>
      <c r="D1419">
        <v>5.8832680000000002</v>
      </c>
      <c r="E1419">
        <v>0.58292480000000002</v>
      </c>
      <c r="F1419" t="s">
        <v>39</v>
      </c>
      <c r="G1419">
        <v>-194.9385</v>
      </c>
      <c r="H1419" s="1">
        <v>-3.8459930000000001E-6</v>
      </c>
      <c r="I1419">
        <v>305.71420000000001</v>
      </c>
      <c r="J1419">
        <v>-191.46619999999999</v>
      </c>
      <c r="K1419">
        <v>1.10571</v>
      </c>
      <c r="L1419">
        <v>317.30450000000002</v>
      </c>
      <c r="M1419">
        <v>1.7252050000000001E-2</v>
      </c>
      <c r="N1419">
        <v>0</v>
      </c>
      <c r="O1419">
        <v>-0.99974280000000004</v>
      </c>
      <c r="P1419">
        <v>-7.1263209999999994E-2</v>
      </c>
      <c r="Q1419">
        <v>3.0239439999999999E-2</v>
      </c>
      <c r="R1419">
        <v>-0.99699910000000003</v>
      </c>
      <c r="S1419">
        <v>-0.86149599999999904</v>
      </c>
      <c r="T1419">
        <v>-0.27480830000000001</v>
      </c>
      <c r="U1419">
        <v>-2.957001</v>
      </c>
      <c r="V1419">
        <v>8.8377410000000003E-2</v>
      </c>
      <c r="W1419">
        <v>4.505236E-2</v>
      </c>
      <c r="X1419">
        <v>0.9950677</v>
      </c>
      <c r="Y1419">
        <v>0.29513319999999998</v>
      </c>
      <c r="Z1419">
        <v>8.8627090000000006E-2</v>
      </c>
      <c r="AA1419">
        <v>0.95133670000000004</v>
      </c>
      <c r="AB1419">
        <v>31</v>
      </c>
      <c r="AC1419">
        <v>-3.4723000000000099</v>
      </c>
      <c r="AD1419">
        <v>-1.105713845993</v>
      </c>
      <c r="AE1419">
        <v>-11.590299999999999</v>
      </c>
      <c r="AF1419">
        <v>3.6413502082482698</v>
      </c>
      <c r="AG1419">
        <v>-1.105713845993</v>
      </c>
      <c r="AH1419">
        <v>11.433178833213301</v>
      </c>
      <c r="AI1419">
        <v>95.264947112393699</v>
      </c>
      <c r="AJ1419">
        <v>72.333856267575001</v>
      </c>
      <c r="AK1419">
        <v>12.049880193618799</v>
      </c>
    </row>
    <row r="1420" spans="1:37" x14ac:dyDescent="0.2">
      <c r="A1420" t="str">
        <f>"20200111153634738"</f>
        <v>20200111153634738</v>
      </c>
      <c r="B1420" t="str">
        <f>"1578728194734316"</f>
        <v>1578728194734316</v>
      </c>
      <c r="C1420" t="s">
        <v>37</v>
      </c>
      <c r="D1420">
        <v>5.8821430000000001</v>
      </c>
      <c r="E1420">
        <v>0.58315030000000001</v>
      </c>
      <c r="F1420" t="s">
        <v>39</v>
      </c>
      <c r="G1420">
        <v>-194.9341</v>
      </c>
      <c r="H1420" s="1">
        <v>-3.7666929999999999E-6</v>
      </c>
      <c r="I1420">
        <v>305.48349999999999</v>
      </c>
      <c r="J1420">
        <v>-191.46029999999999</v>
      </c>
      <c r="K1420">
        <v>1.1056809999999999</v>
      </c>
      <c r="L1420">
        <v>317.00459999999998</v>
      </c>
      <c r="M1420">
        <v>1.7889950000000002E-2</v>
      </c>
      <c r="N1420">
        <v>0</v>
      </c>
      <c r="O1420">
        <v>-0.99972680000000003</v>
      </c>
      <c r="P1420">
        <v>-7.2704889999999994E-2</v>
      </c>
      <c r="Q1420">
        <v>2.8794130000000001E-2</v>
      </c>
      <c r="R1420">
        <v>-0.99693790000000004</v>
      </c>
      <c r="S1420">
        <v>-0.86701969999999995</v>
      </c>
      <c r="T1420">
        <v>-0.276447</v>
      </c>
      <c r="U1420">
        <v>-2.955444</v>
      </c>
      <c r="V1420">
        <v>9.0464539999999996E-2</v>
      </c>
      <c r="W1420">
        <v>4.3908610000000001E-2</v>
      </c>
      <c r="X1420">
        <v>0.99493129999999996</v>
      </c>
      <c r="Y1420">
        <v>0.29750129999999902</v>
      </c>
      <c r="Z1420">
        <v>8.9138079999999995E-2</v>
      </c>
      <c r="AA1420">
        <v>0.95055109999999998</v>
      </c>
      <c r="AB1420">
        <v>31</v>
      </c>
      <c r="AC1420">
        <v>-3.47380000000001</v>
      </c>
      <c r="AD1420">
        <v>-1.1056847666930001</v>
      </c>
      <c r="AE1420">
        <v>-11.521099999999899</v>
      </c>
      <c r="AF1420">
        <v>3.6485750771683998</v>
      </c>
      <c r="AG1420">
        <v>-1.1056847666930001</v>
      </c>
      <c r="AH1420">
        <v>11.361182766944699</v>
      </c>
      <c r="AI1420">
        <v>95.293928208565603</v>
      </c>
      <c r="AJ1420">
        <v>72.195892998915795</v>
      </c>
      <c r="AK1420">
        <v>11.9837854103348</v>
      </c>
    </row>
    <row r="1421" spans="1:37" x14ac:dyDescent="0.2">
      <c r="A1421" t="str">
        <f>"20200111153634760"</f>
        <v>20200111153634760</v>
      </c>
      <c r="B1421" t="str">
        <f>"1578728194753836"</f>
        <v>1578728194753836</v>
      </c>
      <c r="C1421" t="s">
        <v>37</v>
      </c>
      <c r="D1421">
        <v>5.8694790000000001</v>
      </c>
      <c r="E1421">
        <v>0.58331049999999995</v>
      </c>
      <c r="F1421" t="s">
        <v>39</v>
      </c>
      <c r="G1421">
        <v>-194.89320000000001</v>
      </c>
      <c r="H1421" s="1">
        <v>-3.7264609999999998E-6</v>
      </c>
      <c r="I1421">
        <v>305.38659999999999</v>
      </c>
      <c r="J1421">
        <v>-191.45410000000001</v>
      </c>
      <c r="K1421">
        <v>1.1056280000000001</v>
      </c>
      <c r="L1421">
        <v>316.69389999999999</v>
      </c>
      <c r="M1421">
        <v>1.8426169999999999E-2</v>
      </c>
      <c r="N1421">
        <v>0</v>
      </c>
      <c r="O1421">
        <v>-0.99971219999999905</v>
      </c>
      <c r="P1421">
        <v>-7.3855999999999894E-2</v>
      </c>
      <c r="Q1421">
        <v>2.71645999999999E-2</v>
      </c>
      <c r="R1421">
        <v>-0.99689919999999999</v>
      </c>
      <c r="S1421">
        <v>-0.87274169999999995</v>
      </c>
      <c r="T1421">
        <v>-0.28109849999999997</v>
      </c>
      <c r="U1421">
        <v>-2.9536439999999899</v>
      </c>
      <c r="V1421">
        <v>9.2160649999999997E-2</v>
      </c>
      <c r="W1421">
        <v>4.259044E-2</v>
      </c>
      <c r="X1421">
        <v>0.99483290000000002</v>
      </c>
      <c r="Y1421">
        <v>0.29982550000000002</v>
      </c>
      <c r="Z1421">
        <v>9.0618439999999995E-2</v>
      </c>
      <c r="AA1421">
        <v>0.94968039999999998</v>
      </c>
      <c r="AB1421">
        <v>31</v>
      </c>
      <c r="AC1421">
        <v>-3.4390999999999901</v>
      </c>
      <c r="AD1421">
        <v>-1.1056317264610001</v>
      </c>
      <c r="AE1421">
        <v>-11.3072999999999</v>
      </c>
      <c r="AF1421">
        <v>3.6152521689386901</v>
      </c>
      <c r="AG1421">
        <v>-1.1056317264610001</v>
      </c>
      <c r="AH1421">
        <v>11.1444728098809</v>
      </c>
      <c r="AI1421">
        <v>95.390910932975302</v>
      </c>
      <c r="AJ1421">
        <v>72.027006013668796</v>
      </c>
      <c r="AK1421">
        <v>11.7682515255983</v>
      </c>
    </row>
    <row r="1422" spans="1:37" x14ac:dyDescent="0.2">
      <c r="A1422" t="str">
        <f>"20200111153634785"</f>
        <v>20200111153634785</v>
      </c>
      <c r="B1422" t="str">
        <f>"1578728194774332"</f>
        <v>1578728194774332</v>
      </c>
      <c r="C1422" t="s">
        <v>37</v>
      </c>
      <c r="D1422">
        <v>5.9160370000000002</v>
      </c>
      <c r="E1422">
        <v>0.5833663</v>
      </c>
      <c r="F1422" t="s">
        <v>39</v>
      </c>
      <c r="G1422">
        <v>-194.8467</v>
      </c>
      <c r="H1422" s="1">
        <v>-3.6803359999999999E-6</v>
      </c>
      <c r="I1422">
        <v>305.27530000000002</v>
      </c>
      <c r="J1422">
        <v>-191.44730000000001</v>
      </c>
      <c r="K1422">
        <v>1.1055469999999901</v>
      </c>
      <c r="L1422">
        <v>316.35410000000002</v>
      </c>
      <c r="M1422">
        <v>1.8859089999999998E-2</v>
      </c>
      <c r="N1422">
        <v>0</v>
      </c>
      <c r="O1422">
        <v>-0.99969830000000004</v>
      </c>
      <c r="P1422">
        <v>-7.501505E-2</v>
      </c>
      <c r="Q1422">
        <v>2.492778E-2</v>
      </c>
      <c r="R1422">
        <v>-0.9968709</v>
      </c>
      <c r="S1422">
        <v>-0.87710569999999899</v>
      </c>
      <c r="T1422">
        <v>-0.28584779999999999</v>
      </c>
      <c r="U1422">
        <v>-2.95214799999999</v>
      </c>
      <c r="V1422">
        <v>9.3763139999999995E-2</v>
      </c>
      <c r="W1422">
        <v>4.067664E-2</v>
      </c>
      <c r="X1422">
        <v>0.99476330000000002</v>
      </c>
      <c r="Y1422">
        <v>0.30161939999999998</v>
      </c>
      <c r="Z1422">
        <v>9.2133690000000004E-2</v>
      </c>
      <c r="AA1422">
        <v>0.94896630000000004</v>
      </c>
      <c r="AB1422">
        <v>31</v>
      </c>
      <c r="AC1422">
        <v>-3.39939999999998</v>
      </c>
      <c r="AD1422">
        <v>-1.10555068033599</v>
      </c>
      <c r="AE1422">
        <v>-11.078799999999999</v>
      </c>
      <c r="AF1422">
        <v>3.5752187194743099</v>
      </c>
      <c r="AG1422">
        <v>-1.10555068033599</v>
      </c>
      <c r="AH1422">
        <v>10.913387523500401</v>
      </c>
      <c r="AI1422">
        <v>95.498808824039401</v>
      </c>
      <c r="AJ1422">
        <v>71.861237495553993</v>
      </c>
      <c r="AK1422">
        <v>11.5371772300232</v>
      </c>
    </row>
    <row r="1423" spans="1:37" x14ac:dyDescent="0.2">
      <c r="A1423" t="str">
        <f>"20200111153634805"</f>
        <v>20200111153634805</v>
      </c>
      <c r="B1423" t="str">
        <f>"1578728194793852"</f>
        <v>1578728194793852</v>
      </c>
      <c r="C1423" t="s">
        <v>37</v>
      </c>
      <c r="D1423">
        <v>5.8526480000000003</v>
      </c>
      <c r="E1423">
        <v>0.58353940000000004</v>
      </c>
      <c r="F1423" t="s">
        <v>39</v>
      </c>
      <c r="G1423">
        <v>-194.78559999999999</v>
      </c>
      <c r="H1423" s="1">
        <v>-3.63425599999999E-6</v>
      </c>
      <c r="I1423">
        <v>305.17169999999999</v>
      </c>
      <c r="J1423">
        <v>-191.4417</v>
      </c>
      <c r="K1423">
        <v>1.105494</v>
      </c>
      <c r="L1423">
        <v>316.08010000000002</v>
      </c>
      <c r="M1423">
        <v>1.9129409999999999E-2</v>
      </c>
      <c r="N1423">
        <v>0</v>
      </c>
      <c r="O1423">
        <v>-0.99968889999999999</v>
      </c>
      <c r="P1423">
        <v>-7.5959639999999995E-2</v>
      </c>
      <c r="Q1423">
        <v>2.2391769999999998E-2</v>
      </c>
      <c r="R1423">
        <v>-0.99685949999999901</v>
      </c>
      <c r="S1423">
        <v>-0.88081359999999997</v>
      </c>
      <c r="T1423">
        <v>-0.29169429999999902</v>
      </c>
      <c r="U1423">
        <v>-2.9504090000000001</v>
      </c>
      <c r="V1423">
        <v>9.4986429999999997E-2</v>
      </c>
      <c r="W1423">
        <v>3.8395329999999998E-2</v>
      </c>
      <c r="X1423">
        <v>0.99473789999999995</v>
      </c>
      <c r="Y1423">
        <v>0.30307449999999903</v>
      </c>
      <c r="Z1423">
        <v>9.4014059999999997E-2</v>
      </c>
      <c r="AA1423">
        <v>0.94831810000000005</v>
      </c>
      <c r="AB1423">
        <v>31</v>
      </c>
      <c r="AC1423">
        <v>-3.3438999999999899</v>
      </c>
      <c r="AD1423">
        <v>-1.1054976342559999</v>
      </c>
      <c r="AE1423">
        <v>-10.9084</v>
      </c>
      <c r="AF1423">
        <v>3.5189488852230402</v>
      </c>
      <c r="AG1423">
        <v>-1.1054976342559999</v>
      </c>
      <c r="AH1423">
        <v>10.741582832675901</v>
      </c>
      <c r="AI1423">
        <v>95.5859383942243</v>
      </c>
      <c r="AJ1423">
        <v>71.861173565002801</v>
      </c>
      <c r="AK1423">
        <v>11.3572324105566</v>
      </c>
    </row>
    <row r="1424" spans="1:37" x14ac:dyDescent="0.2">
      <c r="A1424" t="str">
        <f>"20200111153634827"</f>
        <v>20200111153634827</v>
      </c>
      <c r="B1424" t="str">
        <f>"1578728194824109"</f>
        <v>1578728194824109</v>
      </c>
      <c r="C1424" t="s">
        <v>37</v>
      </c>
      <c r="D1424">
        <v>5.856312</v>
      </c>
      <c r="E1424">
        <v>0.58378960000000002</v>
      </c>
      <c r="F1424" t="s">
        <v>39</v>
      </c>
      <c r="G1424">
        <v>-194.7072</v>
      </c>
      <c r="H1424" s="1">
        <v>-3.6282400000000001E-6</v>
      </c>
      <c r="I1424">
        <v>305.19490000000002</v>
      </c>
      <c r="J1424">
        <v>-191.4357</v>
      </c>
      <c r="K1424">
        <v>1.105437</v>
      </c>
      <c r="L1424">
        <v>315.78160000000003</v>
      </c>
      <c r="M1424">
        <v>1.9344670000000001E-2</v>
      </c>
      <c r="N1424">
        <v>0</v>
      </c>
      <c r="O1424">
        <v>-0.99968040000000002</v>
      </c>
      <c r="P1424">
        <v>-7.6933719999999997E-2</v>
      </c>
      <c r="Q1424">
        <v>2.067484E-2</v>
      </c>
      <c r="R1424">
        <v>-0.9968224</v>
      </c>
      <c r="S1424">
        <v>-0.88461299999999898</v>
      </c>
      <c r="T1424">
        <v>-0.29947879999999999</v>
      </c>
      <c r="U1424">
        <v>-2.9487919999999899</v>
      </c>
      <c r="V1424">
        <v>9.6182459999999997E-2</v>
      </c>
      <c r="W1424">
        <v>3.6942490000000001E-2</v>
      </c>
      <c r="X1424">
        <v>0.99467799999999995</v>
      </c>
      <c r="Y1424">
        <v>0.30447449999999998</v>
      </c>
      <c r="Z1424">
        <v>9.6508999999999998E-2</v>
      </c>
      <c r="AA1424">
        <v>0.94761879999999998</v>
      </c>
      <c r="AB1424">
        <v>31</v>
      </c>
      <c r="AC1424">
        <v>-3.2715000000000001</v>
      </c>
      <c r="AD1424">
        <v>-1.10544062824</v>
      </c>
      <c r="AE1424">
        <v>-10.5867</v>
      </c>
      <c r="AF1424">
        <v>3.4414592689192598</v>
      </c>
      <c r="AG1424">
        <v>-1.10544062824</v>
      </c>
      <c r="AH1424">
        <v>10.4177395594528</v>
      </c>
      <c r="AI1424">
        <v>95.753477602367298</v>
      </c>
      <c r="AJ1424">
        <v>71.719231062934696</v>
      </c>
      <c r="AK1424">
        <v>11.027009495361</v>
      </c>
    </row>
    <row r="1425" spans="1:37" x14ac:dyDescent="0.2">
      <c r="A1425" t="str">
        <f>"20200111153634849"</f>
        <v>20200111153634849</v>
      </c>
      <c r="B1425" t="str">
        <f>"1578728194843628"</f>
        <v>1578728194843628</v>
      </c>
      <c r="C1425" t="s">
        <v>37</v>
      </c>
      <c r="D1425">
        <v>5.8654669999999998</v>
      </c>
      <c r="E1425">
        <v>0.5840805</v>
      </c>
      <c r="F1425" t="s">
        <v>39</v>
      </c>
      <c r="G1425">
        <v>-194.6591</v>
      </c>
      <c r="H1425" s="1">
        <v>-3.5857880000000001E-6</v>
      </c>
      <c r="I1425">
        <v>305.09519999999998</v>
      </c>
      <c r="J1425">
        <v>-191.4298</v>
      </c>
      <c r="K1425">
        <v>1.105394</v>
      </c>
      <c r="L1425">
        <v>315.48689999999999</v>
      </c>
      <c r="M1425">
        <v>1.948196E-2</v>
      </c>
      <c r="N1425">
        <v>0</v>
      </c>
      <c r="O1425">
        <v>-0.99967340000000005</v>
      </c>
      <c r="P1425">
        <v>-7.8287289999999995E-2</v>
      </c>
      <c r="Q1425">
        <v>2.0687110000000002E-2</v>
      </c>
      <c r="R1425">
        <v>-0.99671659999999995</v>
      </c>
      <c r="S1425">
        <v>-0.8890228</v>
      </c>
      <c r="T1425">
        <v>-0.30488130000000002</v>
      </c>
      <c r="U1425">
        <v>-2.9472959999999899</v>
      </c>
      <c r="V1425">
        <v>9.7676789999999999E-2</v>
      </c>
      <c r="W1425">
        <v>3.7196949999999999E-2</v>
      </c>
      <c r="X1425">
        <v>0.99452280000000004</v>
      </c>
      <c r="Y1425">
        <v>0.3059885</v>
      </c>
      <c r="Z1425">
        <v>9.8234409999999994E-2</v>
      </c>
      <c r="AA1425">
        <v>0.9469535</v>
      </c>
      <c r="AB1425">
        <v>30</v>
      </c>
      <c r="AC1425">
        <v>-3.2292999999999901</v>
      </c>
      <c r="AD1425">
        <v>-1.1053975857879901</v>
      </c>
      <c r="AE1425">
        <v>-10.3917</v>
      </c>
      <c r="AF1425">
        <v>3.3961215683925201</v>
      </c>
      <c r="AG1425">
        <v>-1.1053975857879901</v>
      </c>
      <c r="AH1425">
        <v>10.2213340529863</v>
      </c>
      <c r="AI1425">
        <v>95.859719863143098</v>
      </c>
      <c r="AJ1425">
        <v>71.620512041162897</v>
      </c>
      <c r="AK1425">
        <v>10.8273364846902</v>
      </c>
    </row>
    <row r="1426" spans="1:37" x14ac:dyDescent="0.2">
      <c r="A1426" t="str">
        <f>"20200111153634872"</f>
        <v>20200111153634872</v>
      </c>
      <c r="B1426" t="str">
        <f>"1578728194864125"</f>
        <v>1578728194864125</v>
      </c>
      <c r="C1426" t="s">
        <v>37</v>
      </c>
      <c r="D1426">
        <v>5.8772089999999997</v>
      </c>
      <c r="E1426">
        <v>0.58441259999999995</v>
      </c>
      <c r="F1426" t="s">
        <v>39</v>
      </c>
      <c r="G1426">
        <v>-194.68350000000001</v>
      </c>
      <c r="H1426" s="1">
        <v>-3.4699869999999899E-6</v>
      </c>
      <c r="I1426">
        <v>304.77289999999999</v>
      </c>
      <c r="J1426">
        <v>-191.42339999999999</v>
      </c>
      <c r="K1426">
        <v>1.105361</v>
      </c>
      <c r="L1426">
        <v>315.16559999999998</v>
      </c>
      <c r="M1426">
        <v>1.956107E-2</v>
      </c>
      <c r="N1426">
        <v>0</v>
      </c>
      <c r="O1426">
        <v>-0.99966719999999898</v>
      </c>
      <c r="P1426">
        <v>-7.9945039999999995E-2</v>
      </c>
      <c r="Q1426">
        <v>2.151171E-2</v>
      </c>
      <c r="R1426">
        <v>-0.99656719999999899</v>
      </c>
      <c r="S1426">
        <v>-0.89463809999999999</v>
      </c>
      <c r="T1426">
        <v>-0.30393579999999998</v>
      </c>
      <c r="U1426">
        <v>-2.94589199999999</v>
      </c>
      <c r="V1426">
        <v>9.9416019999999994E-2</v>
      </c>
      <c r="W1426">
        <v>3.8279069999999998E-2</v>
      </c>
      <c r="X1426">
        <v>0.99430940000000001</v>
      </c>
      <c r="Y1426">
        <v>0.30785050000000003</v>
      </c>
      <c r="Z1426">
        <v>9.7920460000000001E-2</v>
      </c>
      <c r="AA1426">
        <v>0.94638239999999996</v>
      </c>
      <c r="AB1426">
        <v>30</v>
      </c>
      <c r="AC1426">
        <v>-3.26010000000002</v>
      </c>
      <c r="AD1426">
        <v>-1.105364469987</v>
      </c>
      <c r="AE1426">
        <v>-10.3926999999999</v>
      </c>
      <c r="AF1426">
        <v>3.4274975244786798</v>
      </c>
      <c r="AG1426">
        <v>-1.105364469987</v>
      </c>
      <c r="AH1426">
        <v>10.2216585593121</v>
      </c>
      <c r="AI1426">
        <v>95.854017664906493</v>
      </c>
      <c r="AJ1426">
        <v>71.462813696678197</v>
      </c>
      <c r="AK1426">
        <v>10.8375215614537</v>
      </c>
    </row>
    <row r="1427" spans="1:37" x14ac:dyDescent="0.2">
      <c r="A1427" t="str">
        <f>"20200111153634894"</f>
        <v>20200111153634894</v>
      </c>
      <c r="B1427" t="str">
        <f>"1578728194883644"</f>
        <v>1578728194883644</v>
      </c>
      <c r="C1427" t="s">
        <v>37</v>
      </c>
      <c r="D1427">
        <v>5.8254640000000002</v>
      </c>
      <c r="E1427">
        <v>0.58476649999999997</v>
      </c>
      <c r="F1427" t="s">
        <v>39</v>
      </c>
      <c r="G1427">
        <v>-194.7381</v>
      </c>
      <c r="H1427" s="1">
        <v>-3.2983269999999999E-6</v>
      </c>
      <c r="I1427">
        <v>304.33890000000002</v>
      </c>
      <c r="J1427">
        <v>-191.41759999999999</v>
      </c>
      <c r="K1427">
        <v>1.105342</v>
      </c>
      <c r="L1427">
        <v>314.87349999999998</v>
      </c>
      <c r="M1427">
        <v>1.9588990000000001E-2</v>
      </c>
      <c r="N1427">
        <v>0</v>
      </c>
      <c r="O1427">
        <v>-0.99966239999999995</v>
      </c>
      <c r="P1427">
        <v>-8.2334660000000004E-2</v>
      </c>
      <c r="Q1427">
        <v>2.2683640000000001E-2</v>
      </c>
      <c r="R1427">
        <v>-0.99634699999999998</v>
      </c>
      <c r="S1427">
        <v>-0.90150450000000004</v>
      </c>
      <c r="T1427">
        <v>-0.30062640000000002</v>
      </c>
      <c r="U1427">
        <v>-2.94455</v>
      </c>
      <c r="V1427">
        <v>0.1018331</v>
      </c>
      <c r="W1427">
        <v>3.9688000000000001E-2</v>
      </c>
      <c r="X1427">
        <v>0.99400949999999899</v>
      </c>
      <c r="Y1427">
        <v>0.3100464</v>
      </c>
      <c r="Z1427">
        <v>9.6839259999999996E-2</v>
      </c>
      <c r="AA1427">
        <v>0.94577659999999997</v>
      </c>
      <c r="AB1427">
        <v>30</v>
      </c>
      <c r="AC1427">
        <v>-3.3205</v>
      </c>
      <c r="AD1427">
        <v>-1.105345298327</v>
      </c>
      <c r="AE1427">
        <v>-10.5345999999999</v>
      </c>
      <c r="AF1427">
        <v>3.4912918268424802</v>
      </c>
      <c r="AG1427">
        <v>-1.105345298327</v>
      </c>
      <c r="AH1427">
        <v>10.363736999195201</v>
      </c>
      <c r="AI1427">
        <v>95.771511606973505</v>
      </c>
      <c r="AJ1427">
        <v>71.382575986116805</v>
      </c>
      <c r="AK1427">
        <v>10.991721950504299</v>
      </c>
    </row>
    <row r="1428" spans="1:37" x14ac:dyDescent="0.2">
      <c r="A1428" t="str">
        <f>"20200111153634916"</f>
        <v>20200111153634916</v>
      </c>
      <c r="B1428" t="str">
        <f>"1578728194913901"</f>
        <v>1578728194913901</v>
      </c>
      <c r="C1428" t="s">
        <v>37</v>
      </c>
      <c r="D1428">
        <v>5.8276890000000003</v>
      </c>
      <c r="E1428">
        <v>0.58521730000000005</v>
      </c>
      <c r="F1428" t="s">
        <v>39</v>
      </c>
      <c r="G1428">
        <v>-194.8064</v>
      </c>
      <c r="H1428" s="1">
        <v>-3.1388459999999999E-6</v>
      </c>
      <c r="I1428">
        <v>303.9248</v>
      </c>
      <c r="J1428">
        <v>-191.4118</v>
      </c>
      <c r="K1428">
        <v>1.105335</v>
      </c>
      <c r="L1428">
        <v>314.58159999999998</v>
      </c>
      <c r="M1428">
        <v>1.9580529999999999E-2</v>
      </c>
      <c r="N1428">
        <v>0</v>
      </c>
      <c r="O1428">
        <v>-0.99965809999999999</v>
      </c>
      <c r="P1428">
        <v>-8.5157289999999997E-2</v>
      </c>
      <c r="Q1428">
        <v>2.2615880000000001E-2</v>
      </c>
      <c r="R1428">
        <v>-0.99611119999999898</v>
      </c>
      <c r="S1428">
        <v>-0.91075130000000004</v>
      </c>
      <c r="T1428">
        <v>-0.2970682</v>
      </c>
      <c r="U1428">
        <v>-2.9425349999999999</v>
      </c>
      <c r="V1428">
        <v>0.10464610000000001</v>
      </c>
      <c r="W1428">
        <v>3.9866199999999997E-2</v>
      </c>
      <c r="X1428">
        <v>0.99371019999999899</v>
      </c>
      <c r="Y1428">
        <v>0.31296609999999903</v>
      </c>
      <c r="Z1428">
        <v>9.5676449999999996E-2</v>
      </c>
      <c r="AA1428">
        <v>0.94493289999999996</v>
      </c>
      <c r="AB1428">
        <v>30</v>
      </c>
      <c r="AC1428">
        <v>-3.3945999999999898</v>
      </c>
      <c r="AD1428">
        <v>-1.105338138846</v>
      </c>
      <c r="AE1428">
        <v>-10.656799999999899</v>
      </c>
      <c r="AF1428">
        <v>3.5677991068483998</v>
      </c>
      <c r="AG1428">
        <v>-1.105338138846</v>
      </c>
      <c r="AH1428">
        <v>10.485861864427701</v>
      </c>
      <c r="AI1428">
        <v>95.698899458374001</v>
      </c>
      <c r="AJ1428">
        <v>71.2092034574829</v>
      </c>
      <c r="AK1428">
        <v>11.1312291283521</v>
      </c>
    </row>
    <row r="1429" spans="1:37" x14ac:dyDescent="0.2">
      <c r="A1429" t="str">
        <f>"20200111153634939"</f>
        <v>20200111153634939</v>
      </c>
      <c r="B1429" t="str">
        <f>"1578728194934396"</f>
        <v>1578728194934396</v>
      </c>
      <c r="C1429" t="s">
        <v>37</v>
      </c>
      <c r="D1429">
        <v>5.864141</v>
      </c>
      <c r="E1429">
        <v>0.5855243</v>
      </c>
      <c r="F1429" t="s">
        <v>39</v>
      </c>
      <c r="G1429">
        <v>-194.84950000000001</v>
      </c>
      <c r="H1429" s="1">
        <v>-3.021614E-6</v>
      </c>
      <c r="I1429">
        <v>303.62479999999999</v>
      </c>
      <c r="J1429">
        <v>-191.40599999999901</v>
      </c>
      <c r="K1429">
        <v>1.1053200000000001</v>
      </c>
      <c r="L1429">
        <v>314.28289999999998</v>
      </c>
      <c r="M1429">
        <v>1.9523510000000001E-2</v>
      </c>
      <c r="N1429">
        <v>0</v>
      </c>
      <c r="O1429">
        <v>-0.9996545</v>
      </c>
      <c r="P1429">
        <v>-8.923449E-2</v>
      </c>
      <c r="Q1429">
        <v>2.1206510000000001E-2</v>
      </c>
      <c r="R1429">
        <v>-0.99578529999999998</v>
      </c>
      <c r="S1429">
        <v>-0.92228699999999997</v>
      </c>
      <c r="T1429">
        <v>-0.2965506</v>
      </c>
      <c r="U1429">
        <v>-2.9396059999999999</v>
      </c>
      <c r="V1429">
        <v>0.10866339999999999</v>
      </c>
      <c r="W1429">
        <v>3.8704089999999997E-2</v>
      </c>
      <c r="X1429">
        <v>0.99332489999999996</v>
      </c>
      <c r="Y1429">
        <v>0.31656069999999997</v>
      </c>
      <c r="Z1429">
        <v>9.5489110000000002E-2</v>
      </c>
      <c r="AA1429">
        <v>0.94375379999999998</v>
      </c>
      <c r="AB1429">
        <v>30</v>
      </c>
      <c r="AC1429">
        <v>-3.4435000000000202</v>
      </c>
      <c r="AD1429">
        <v>-1.105323021614</v>
      </c>
      <c r="AE1429">
        <v>-10.6580999999999</v>
      </c>
      <c r="AF1429">
        <v>3.6157467714526801</v>
      </c>
      <c r="AG1429">
        <v>-1.105323021614</v>
      </c>
      <c r="AH1429">
        <v>10.4867021262961</v>
      </c>
      <c r="AI1429">
        <v>95.690486612497295</v>
      </c>
      <c r="AJ1429">
        <v>70.976139227388401</v>
      </c>
      <c r="AK1429">
        <v>11.1474788711638</v>
      </c>
    </row>
    <row r="1430" spans="1:37" x14ac:dyDescent="0.2">
      <c r="A1430" t="str">
        <f>"20200111153634973"</f>
        <v>20200111153634973</v>
      </c>
      <c r="B1430" t="str">
        <f>"1578728194963678"</f>
        <v>1578728194963678</v>
      </c>
      <c r="C1430" t="s">
        <v>37</v>
      </c>
      <c r="D1430">
        <v>5.84863</v>
      </c>
      <c r="E1430">
        <v>0.58612129999999996</v>
      </c>
      <c r="F1430" t="s">
        <v>39</v>
      </c>
      <c r="G1430">
        <v>-194.85149999999999</v>
      </c>
      <c r="H1430" s="1">
        <v>-2.9620760000000002E-6</v>
      </c>
      <c r="I1430">
        <v>303.48480000000001</v>
      </c>
      <c r="J1430">
        <v>-191.3974</v>
      </c>
      <c r="K1430">
        <v>1.1052500000000001</v>
      </c>
      <c r="L1430">
        <v>313.83319999999998</v>
      </c>
      <c r="M1430">
        <v>1.929258E-2</v>
      </c>
      <c r="N1430">
        <v>0</v>
      </c>
      <c r="O1430">
        <v>-0.99965249999999894</v>
      </c>
      <c r="P1430">
        <v>-9.299346E-2</v>
      </c>
      <c r="Q1430">
        <v>1.845631E-2</v>
      </c>
      <c r="R1430">
        <v>-0.99549599999999905</v>
      </c>
      <c r="S1430">
        <v>-0.93656919999999899</v>
      </c>
      <c r="T1430">
        <v>-0.30045309999999997</v>
      </c>
      <c r="U1430">
        <v>-2.935181</v>
      </c>
      <c r="V1430">
        <v>0.1121941</v>
      </c>
      <c r="W1430">
        <v>3.6287739999999999E-2</v>
      </c>
      <c r="X1430">
        <v>0.99302349999999995</v>
      </c>
      <c r="Y1430">
        <v>0.3208819</v>
      </c>
      <c r="Z1430">
        <v>9.673081E-2</v>
      </c>
      <c r="AA1430">
        <v>0.94216659999999997</v>
      </c>
      <c r="AB1430">
        <v>30</v>
      </c>
      <c r="AC1430">
        <v>-3.45409999999998</v>
      </c>
      <c r="AD1430">
        <v>-1.1052529620760001</v>
      </c>
      <c r="AE1430">
        <v>-10.3483999999999</v>
      </c>
      <c r="AF1430">
        <v>3.61602280196918</v>
      </c>
      <c r="AG1430">
        <v>-1.1052529620760001</v>
      </c>
      <c r="AH1430">
        <v>10.1753872575595</v>
      </c>
      <c r="AI1430">
        <v>95.843850573813597</v>
      </c>
      <c r="AJ1430">
        <v>70.436335914204406</v>
      </c>
      <c r="AK1430">
        <v>10.8552158364467</v>
      </c>
    </row>
    <row r="1431" spans="1:37" x14ac:dyDescent="0.2">
      <c r="A1431" t="str">
        <f>"20200111153634995"</f>
        <v>20200111153634995</v>
      </c>
      <c r="B1431" t="str">
        <f>"1578728194984172"</f>
        <v>1578728194984172</v>
      </c>
      <c r="C1431" t="s">
        <v>37</v>
      </c>
      <c r="D1431">
        <v>5.8446769999999999</v>
      </c>
      <c r="E1431">
        <v>0.58646119999999902</v>
      </c>
      <c r="F1431" t="s">
        <v>39</v>
      </c>
      <c r="G1431">
        <v>-194.8357</v>
      </c>
      <c r="H1431" s="1">
        <v>-2.8627379999999999E-6</v>
      </c>
      <c r="I1431">
        <v>303.26299999999998</v>
      </c>
      <c r="J1431">
        <v>-191.39169999999999</v>
      </c>
      <c r="K1431">
        <v>1.105181</v>
      </c>
      <c r="L1431">
        <v>313.52670000000001</v>
      </c>
      <c r="M1431">
        <v>1.903825E-2</v>
      </c>
      <c r="N1431">
        <v>0</v>
      </c>
      <c r="O1431">
        <v>-0.99965300000000001</v>
      </c>
      <c r="P1431">
        <v>-9.5360630000000002E-2</v>
      </c>
      <c r="Q1431">
        <v>1.5791139999999999E-2</v>
      </c>
      <c r="R1431">
        <v>-0.99531759999999903</v>
      </c>
      <c r="S1431">
        <v>-0.953125</v>
      </c>
      <c r="T1431">
        <v>-0.30638799999999999</v>
      </c>
      <c r="U1431">
        <v>-2.9301759999999999</v>
      </c>
      <c r="V1431">
        <v>0.1143101</v>
      </c>
      <c r="W1431">
        <v>3.3818769999999998E-2</v>
      </c>
      <c r="X1431">
        <v>0.99286929999999995</v>
      </c>
      <c r="Y1431">
        <v>0.32586709999999902</v>
      </c>
      <c r="Z1431">
        <v>9.8612580000000005E-2</v>
      </c>
      <c r="AA1431">
        <v>0.94025859999999895</v>
      </c>
      <c r="AB1431">
        <v>30</v>
      </c>
      <c r="AC1431">
        <v>-3.4440000000000102</v>
      </c>
      <c r="AD1431">
        <v>-1.105183862738</v>
      </c>
      <c r="AE1431">
        <v>-10.2637</v>
      </c>
      <c r="AF1431">
        <v>3.6012806445667001</v>
      </c>
      <c r="AG1431">
        <v>-1.105183862738</v>
      </c>
      <c r="AH1431">
        <v>10.091097650299099</v>
      </c>
      <c r="AI1431">
        <v>95.889169036186303</v>
      </c>
      <c r="AJ1431">
        <v>70.359686497340206</v>
      </c>
      <c r="AK1431">
        <v>10.7713000812</v>
      </c>
    </row>
    <row r="1432" spans="1:37" x14ac:dyDescent="0.2">
      <c r="A1432" t="str">
        <f>"20200111153635018"</f>
        <v>20200111153635018</v>
      </c>
      <c r="B1432" t="str">
        <f>"1578728195014429"</f>
        <v>1578728195014429</v>
      </c>
      <c r="C1432" t="s">
        <v>37</v>
      </c>
      <c r="D1432">
        <v>5.8856809999999999</v>
      </c>
      <c r="E1432">
        <v>0.58693669999999998</v>
      </c>
      <c r="F1432" t="s">
        <v>39</v>
      </c>
      <c r="G1432">
        <v>-194.80199999999999</v>
      </c>
      <c r="H1432" s="1">
        <v>-2.8115990000000001E-6</v>
      </c>
      <c r="I1432">
        <v>303.16469999999998</v>
      </c>
      <c r="J1432">
        <v>-191.38669999999999</v>
      </c>
      <c r="K1432">
        <v>1.1051059999999999</v>
      </c>
      <c r="L1432">
        <v>313.24529999999999</v>
      </c>
      <c r="M1432">
        <v>1.8703649999999999E-2</v>
      </c>
      <c r="N1432">
        <v>0</v>
      </c>
      <c r="O1432">
        <v>-0.99965599999999999</v>
      </c>
      <c r="P1432">
        <v>-9.7776899999999903E-2</v>
      </c>
      <c r="Q1432">
        <v>1.310418E-2</v>
      </c>
      <c r="R1432">
        <v>-0.99512239999999996</v>
      </c>
      <c r="S1432">
        <v>-0.96324159999999903</v>
      </c>
      <c r="T1432">
        <v>-0.3121622</v>
      </c>
      <c r="U1432">
        <v>-2.9267880000000002</v>
      </c>
      <c r="V1432">
        <v>0.116394699999999</v>
      </c>
      <c r="W1432">
        <v>3.1287160000000001E-2</v>
      </c>
      <c r="X1432">
        <v>0.99271010000000004</v>
      </c>
      <c r="Y1432">
        <v>0.32874699999999901</v>
      </c>
      <c r="Z1432">
        <v>0.10045800000000001</v>
      </c>
      <c r="AA1432">
        <v>0.93906000000000001</v>
      </c>
      <c r="AB1432">
        <v>29</v>
      </c>
      <c r="AC1432">
        <v>-3.41530000000003</v>
      </c>
      <c r="AD1432">
        <v>-1.105108811599</v>
      </c>
      <c r="AE1432">
        <v>-10.0806</v>
      </c>
      <c r="AF1432">
        <v>3.5648467775750299</v>
      </c>
      <c r="AG1432">
        <v>-1.105108811599</v>
      </c>
      <c r="AH1432">
        <v>9.9081302449529396</v>
      </c>
      <c r="AI1432">
        <v>95.991226531209804</v>
      </c>
      <c r="AJ1432">
        <v>70.211772961716505</v>
      </c>
      <c r="AK1432">
        <v>10.587749665722701</v>
      </c>
    </row>
    <row r="1433" spans="1:37" x14ac:dyDescent="0.2">
      <c r="A1433" t="str">
        <f>"20200111153635039"</f>
        <v>20200111153635039</v>
      </c>
      <c r="B1433" t="str">
        <f>"1578728195033949"</f>
        <v>1578728195033949</v>
      </c>
      <c r="C1433" t="s">
        <v>37</v>
      </c>
      <c r="D1433">
        <v>5.8590919999999898</v>
      </c>
      <c r="E1433">
        <v>0.58721889999999999</v>
      </c>
      <c r="F1433" t="s">
        <v>39</v>
      </c>
      <c r="G1433">
        <v>-194.78469999999999</v>
      </c>
      <c r="H1433" s="1">
        <v>-2.7607129999999998E-6</v>
      </c>
      <c r="I1433">
        <v>303.05680000000001</v>
      </c>
      <c r="J1433">
        <v>-191.3818</v>
      </c>
      <c r="K1433">
        <v>1.105013</v>
      </c>
      <c r="L1433">
        <v>312.96050000000002</v>
      </c>
      <c r="M1433">
        <v>1.8224359999999998E-2</v>
      </c>
      <c r="N1433">
        <v>0</v>
      </c>
      <c r="O1433">
        <v>-0.99966169999999999</v>
      </c>
      <c r="P1433">
        <v>-9.9959370000000006E-2</v>
      </c>
      <c r="Q1433">
        <v>1.1772690000000001E-2</v>
      </c>
      <c r="R1433">
        <v>-0.99492169999999902</v>
      </c>
      <c r="S1433">
        <v>-0.97491459999999996</v>
      </c>
      <c r="T1433">
        <v>-0.31706119999999999</v>
      </c>
      <c r="U1433">
        <v>-2.9231259999999999</v>
      </c>
      <c r="V1433">
        <v>0.1181035</v>
      </c>
      <c r="W1433">
        <v>3.008657E-2</v>
      </c>
      <c r="X1433">
        <v>0.99254540000000002</v>
      </c>
      <c r="Y1433">
        <v>0.33197019999999999</v>
      </c>
      <c r="Z1433">
        <v>0.1020177</v>
      </c>
      <c r="AA1433">
        <v>0.93775699999999995</v>
      </c>
      <c r="AB1433">
        <v>29</v>
      </c>
      <c r="AC1433">
        <v>-3.4028999999999798</v>
      </c>
      <c r="AD1433">
        <v>-1.105015760713</v>
      </c>
      <c r="AE1433">
        <v>-9.9037000000000095</v>
      </c>
      <c r="AF1433">
        <v>3.5433998001927498</v>
      </c>
      <c r="AG1433">
        <v>-1.105015760713</v>
      </c>
      <c r="AH1433">
        <v>9.7316695023973896</v>
      </c>
      <c r="AI1433">
        <v>96.090179684298406</v>
      </c>
      <c r="AJ1433">
        <v>69.992920678197507</v>
      </c>
      <c r="AK1433">
        <v>10.415475662653201</v>
      </c>
    </row>
    <row r="1434" spans="1:37" x14ac:dyDescent="0.2">
      <c r="A1434" t="str">
        <f>"20200111153635063"</f>
        <v>20200111153635063</v>
      </c>
      <c r="B1434" t="str">
        <f>"1578728195054445"</f>
        <v>1578728195054445</v>
      </c>
      <c r="C1434" t="s">
        <v>37</v>
      </c>
      <c r="D1434">
        <v>5.8806010000000004</v>
      </c>
      <c r="E1434">
        <v>0.58749549999999995</v>
      </c>
      <c r="F1434" t="s">
        <v>39</v>
      </c>
      <c r="G1434">
        <v>-194.79570000000001</v>
      </c>
      <c r="H1434" s="1">
        <v>-2.668918E-6</v>
      </c>
      <c r="I1434">
        <v>302.83600000000001</v>
      </c>
      <c r="J1434">
        <v>-191.37710000000001</v>
      </c>
      <c r="K1434">
        <v>1.104892</v>
      </c>
      <c r="L1434">
        <v>312.65910000000002</v>
      </c>
      <c r="M1434">
        <v>1.7508650000000001E-2</v>
      </c>
      <c r="N1434">
        <v>0</v>
      </c>
      <c r="O1434">
        <v>-0.99967189999999995</v>
      </c>
      <c r="P1434">
        <v>-0.10237350000000001</v>
      </c>
      <c r="Q1434">
        <v>1.1467959999999999E-2</v>
      </c>
      <c r="R1434">
        <v>-0.99468029999999996</v>
      </c>
      <c r="S1434">
        <v>-0.98463440000000002</v>
      </c>
      <c r="T1434">
        <v>-0.31871470000000002</v>
      </c>
      <c r="U1434">
        <v>-2.920166</v>
      </c>
      <c r="V1434">
        <v>0.1198116</v>
      </c>
      <c r="W1434">
        <v>2.989926E-2</v>
      </c>
      <c r="X1434">
        <v>0.99234630000000001</v>
      </c>
      <c r="Y1434">
        <v>0.33436759999999999</v>
      </c>
      <c r="Z1434">
        <v>0.10254629999999899</v>
      </c>
      <c r="AA1434">
        <v>0.93684719999999999</v>
      </c>
      <c r="AB1434">
        <v>29</v>
      </c>
      <c r="AC1434">
        <v>-3.4185999999999899</v>
      </c>
      <c r="AD1434">
        <v>-1.1048946689179999</v>
      </c>
      <c r="AE1434">
        <v>-9.8231000000000002</v>
      </c>
      <c r="AF1434">
        <v>3.55003361283651</v>
      </c>
      <c r="AG1434">
        <v>-1.1048946689179999</v>
      </c>
      <c r="AH1434">
        <v>9.6527981687426507</v>
      </c>
      <c r="AI1434">
        <v>96.1316991862263</v>
      </c>
      <c r="AJ1434">
        <v>69.807866317412504</v>
      </c>
      <c r="AK1434">
        <v>10.344082529067199</v>
      </c>
    </row>
    <row r="1435" spans="1:37" x14ac:dyDescent="0.2">
      <c r="A1435" t="str">
        <f>"20200111153635084"</f>
        <v>20200111153635084</v>
      </c>
      <c r="B1435" t="str">
        <f>"1578728195073964"</f>
        <v>1578728195073964</v>
      </c>
      <c r="C1435" t="s">
        <v>37</v>
      </c>
      <c r="D1435">
        <v>5.8656689999999996</v>
      </c>
      <c r="E1435">
        <v>0.59556730000000002</v>
      </c>
      <c r="F1435" t="s">
        <v>39</v>
      </c>
      <c r="G1435">
        <v>-194.83359999999999</v>
      </c>
      <c r="H1435" s="1">
        <v>-2.5431120000000002E-6</v>
      </c>
      <c r="I1435">
        <v>302.51929999999999</v>
      </c>
      <c r="J1435">
        <v>-191.37299999999999</v>
      </c>
      <c r="K1435">
        <v>1.104765</v>
      </c>
      <c r="L1435">
        <v>312.37619999999998</v>
      </c>
      <c r="M1435">
        <v>1.66442999999999E-2</v>
      </c>
      <c r="N1435">
        <v>0</v>
      </c>
      <c r="O1435">
        <v>-0.99968389999999996</v>
      </c>
      <c r="P1435">
        <v>-0.10432379999999999</v>
      </c>
      <c r="Q1435">
        <v>1.297394E-2</v>
      </c>
      <c r="R1435">
        <v>-0.99445919999999899</v>
      </c>
      <c r="S1435">
        <v>-0.99447629999999998</v>
      </c>
      <c r="T1435">
        <v>-0.31789020000000001</v>
      </c>
      <c r="U1435">
        <v>-2.9173279999999999</v>
      </c>
      <c r="V1435">
        <v>0.1209127</v>
      </c>
      <c r="W1435">
        <v>3.1498770000000002E-2</v>
      </c>
      <c r="X1435">
        <v>0.99216319999999902</v>
      </c>
      <c r="Y1435">
        <v>0.33667160000000002</v>
      </c>
      <c r="Z1435">
        <v>0.102283</v>
      </c>
      <c r="AA1435">
        <v>0.93605039999999995</v>
      </c>
      <c r="AB1435">
        <v>29</v>
      </c>
      <c r="AC1435">
        <v>-3.4605999999999901</v>
      </c>
      <c r="AD1435">
        <v>-1.1047675431120001</v>
      </c>
      <c r="AE1435">
        <v>-9.8568999999999907</v>
      </c>
      <c r="AF1435">
        <v>3.5841274082185599</v>
      </c>
      <c r="AG1435">
        <v>-1.1047675431120001</v>
      </c>
      <c r="AH1435">
        <v>9.6895606150352602</v>
      </c>
      <c r="AI1435">
        <v>96.103736764272895</v>
      </c>
      <c r="AJ1435">
        <v>69.700779692894102</v>
      </c>
      <c r="AK1435">
        <v>10.3900945864366</v>
      </c>
    </row>
    <row r="1436" spans="1:37" x14ac:dyDescent="0.2">
      <c r="A1436" t="str">
        <f>"20200111153635107"</f>
        <v>20200111153635107</v>
      </c>
      <c r="B1436" t="str">
        <f>"1578728195104221"</f>
        <v>1578728195104221</v>
      </c>
      <c r="C1436" t="s">
        <v>37</v>
      </c>
      <c r="D1436">
        <v>5.8602749999999997</v>
      </c>
      <c r="E1436">
        <v>0.59637739999999995</v>
      </c>
      <c r="F1436" t="s">
        <v>39</v>
      </c>
      <c r="G1436">
        <v>-195.5881</v>
      </c>
      <c r="H1436" s="1">
        <v>-2.0338209999999999E-6</v>
      </c>
      <c r="I1436">
        <v>300.86410000000001</v>
      </c>
      <c r="J1436">
        <v>-191.36930000000001</v>
      </c>
      <c r="K1436">
        <v>1.1046339999999999</v>
      </c>
      <c r="L1436">
        <v>312.08909999999997</v>
      </c>
      <c r="M1436">
        <v>1.5585770000000001E-2</v>
      </c>
      <c r="N1436">
        <v>0</v>
      </c>
      <c r="O1436">
        <v>-0.99969859999999899</v>
      </c>
      <c r="P1436">
        <v>-0.105619</v>
      </c>
      <c r="Q1436">
        <v>1.453199E-2</v>
      </c>
      <c r="R1436">
        <v>-0.99430099999999999</v>
      </c>
      <c r="S1436">
        <v>-1.065002</v>
      </c>
      <c r="T1436">
        <v>-0.27913369999999998</v>
      </c>
      <c r="U1436">
        <v>-2.9086609999999999</v>
      </c>
      <c r="V1436">
        <v>0.121168899999999</v>
      </c>
      <c r="W1436">
        <v>3.3140620000000003E-2</v>
      </c>
      <c r="X1436">
        <v>0.99207849999999997</v>
      </c>
      <c r="Y1436">
        <v>0.35704079999999999</v>
      </c>
      <c r="Z1436">
        <v>8.9482240000000005E-2</v>
      </c>
      <c r="AA1436">
        <v>0.92979290000000003</v>
      </c>
      <c r="AB1436">
        <v>29</v>
      </c>
      <c r="AC1436">
        <v>-4.2187999999999803</v>
      </c>
      <c r="AD1436">
        <v>-1.104636033821</v>
      </c>
      <c r="AE1436">
        <v>-11.2249999999999</v>
      </c>
      <c r="AF1436">
        <v>4.3563032544409497</v>
      </c>
      <c r="AG1436">
        <v>-1.104636033821</v>
      </c>
      <c r="AH1436">
        <v>11.0639863538411</v>
      </c>
      <c r="AI1436">
        <v>95.307488441098599</v>
      </c>
      <c r="AJ1436">
        <v>68.508593808347698</v>
      </c>
      <c r="AK1436">
        <v>11.941917469562901</v>
      </c>
    </row>
    <row r="1437" spans="1:37" x14ac:dyDescent="0.2">
      <c r="A1437" t="str">
        <f>"20200111153635129"</f>
        <v>20200111153635129</v>
      </c>
      <c r="B1437" t="str">
        <f>"1578728195123740"</f>
        <v>1578728195123740</v>
      </c>
      <c r="C1437" t="s">
        <v>37</v>
      </c>
      <c r="D1437">
        <v>5.8596449999999898</v>
      </c>
      <c r="E1437">
        <v>0.59710439999999998</v>
      </c>
      <c r="F1437" t="s">
        <v>39</v>
      </c>
      <c r="G1437">
        <v>-195.6507</v>
      </c>
      <c r="H1437" s="1">
        <v>-1.9022E-6</v>
      </c>
      <c r="I1437">
        <v>300.51850000000002</v>
      </c>
      <c r="J1437">
        <v>-191.36609999999999</v>
      </c>
      <c r="K1437">
        <v>1.104495</v>
      </c>
      <c r="L1437">
        <v>311.80070000000001</v>
      </c>
      <c r="M1437">
        <v>1.4308080000000001E-2</v>
      </c>
      <c r="N1437">
        <v>0</v>
      </c>
      <c r="O1437">
        <v>-0.99971529999999997</v>
      </c>
      <c r="P1437">
        <v>-0.1062828</v>
      </c>
      <c r="Q1437">
        <v>1.4416089999999999E-2</v>
      </c>
      <c r="R1437">
        <v>-0.99423159999999899</v>
      </c>
      <c r="S1437">
        <v>-1.0756379999999901</v>
      </c>
      <c r="T1437">
        <v>-0.27752579999999999</v>
      </c>
      <c r="U1437">
        <v>-2.906952</v>
      </c>
      <c r="V1437">
        <v>0.120575399999999</v>
      </c>
      <c r="W1437">
        <v>3.3097250000000002E-2</v>
      </c>
      <c r="X1437">
        <v>0.99215229999999999</v>
      </c>
      <c r="Y1437">
        <v>0.35903629999999997</v>
      </c>
      <c r="Z1437">
        <v>8.8933349999999994E-2</v>
      </c>
      <c r="AA1437">
        <v>0.92907689999999998</v>
      </c>
      <c r="AB1437">
        <v>29</v>
      </c>
      <c r="AC1437">
        <v>-4.28460000000001</v>
      </c>
      <c r="AD1437">
        <v>-1.1044969022</v>
      </c>
      <c r="AE1437">
        <v>-11.2821999999999</v>
      </c>
      <c r="AF1437">
        <v>4.4086905944519197</v>
      </c>
      <c r="AG1437">
        <v>-1.1044969022</v>
      </c>
      <c r="AH1437">
        <v>11.1265344659459</v>
      </c>
      <c r="AI1437">
        <v>95.272688920915201</v>
      </c>
      <c r="AJ1437">
        <v>68.384937410238393</v>
      </c>
      <c r="AK1437">
        <v>12.018994774375299</v>
      </c>
    </row>
    <row r="1438" spans="1:37" x14ac:dyDescent="0.2">
      <c r="A1438" t="str">
        <f>"20200111153635153"</f>
        <v>20200111153635153</v>
      </c>
      <c r="B1438" t="str">
        <f>"1578728195144237"</f>
        <v>1578728195144237</v>
      </c>
      <c r="C1438" t="s">
        <v>37</v>
      </c>
      <c r="D1438">
        <v>5.8519829999999997</v>
      </c>
      <c r="E1438">
        <v>0.59776969999999996</v>
      </c>
      <c r="F1438" t="s">
        <v>39</v>
      </c>
      <c r="G1438">
        <v>-195.68299999999999</v>
      </c>
      <c r="H1438" s="1">
        <v>-1.7852760000000001E-6</v>
      </c>
      <c r="I1438">
        <v>300.22590000000002</v>
      </c>
      <c r="J1438">
        <v>-191.36359999999999</v>
      </c>
      <c r="K1438">
        <v>1.1043350000000001</v>
      </c>
      <c r="L1438">
        <v>311.50959999999998</v>
      </c>
      <c r="M1438">
        <v>1.27637999999999E-2</v>
      </c>
      <c r="N1438">
        <v>0</v>
      </c>
      <c r="O1438">
        <v>-0.99973419999999902</v>
      </c>
      <c r="P1438">
        <v>-0.1068318</v>
      </c>
      <c r="Q1438">
        <v>1.434975E-2</v>
      </c>
      <c r="R1438">
        <v>-0.99417359999999899</v>
      </c>
      <c r="S1438">
        <v>-1.0836330000000001</v>
      </c>
      <c r="T1438">
        <v>-0.27725569999999999</v>
      </c>
      <c r="U1438">
        <v>-2.905548</v>
      </c>
      <c r="V1438">
        <v>0.11960369999999999</v>
      </c>
      <c r="W1438">
        <v>3.3088199999999998E-2</v>
      </c>
      <c r="X1438">
        <v>0.99227019999999899</v>
      </c>
      <c r="Y1438">
        <v>0.35999120000000001</v>
      </c>
      <c r="Z1438">
        <v>8.8832579999999994E-2</v>
      </c>
      <c r="AA1438">
        <v>0.92871689999999996</v>
      </c>
      <c r="AB1438">
        <v>29</v>
      </c>
      <c r="AC1438">
        <v>-4.3193999999999999</v>
      </c>
      <c r="AD1438">
        <v>-1.104336785276</v>
      </c>
      <c r="AE1438">
        <v>-11.2836999999999</v>
      </c>
      <c r="AF1438">
        <v>4.4261201180726202</v>
      </c>
      <c r="AG1438">
        <v>-1.104336785276</v>
      </c>
      <c r="AH1438">
        <v>11.134615942643199</v>
      </c>
      <c r="AI1438">
        <v>95.265829542624303</v>
      </c>
      <c r="AJ1438">
        <v>68.321689103353705</v>
      </c>
      <c r="AK1438">
        <v>12.0328621377079</v>
      </c>
    </row>
    <row r="1439" spans="1:37" x14ac:dyDescent="0.2">
      <c r="A1439" t="str">
        <f>"20200111153635174"</f>
        <v>20200111153635174</v>
      </c>
      <c r="B1439" t="str">
        <f>"1578728195163759"</f>
        <v>1578728195163759</v>
      </c>
      <c r="C1439" t="s">
        <v>37</v>
      </c>
      <c r="D1439">
        <v>5.8455399999999997</v>
      </c>
      <c r="E1439">
        <v>0.60291660000000002</v>
      </c>
      <c r="F1439" t="s">
        <v>39</v>
      </c>
      <c r="G1439">
        <v>-195.71789999999999</v>
      </c>
      <c r="H1439" s="1">
        <v>-1.664334E-6</v>
      </c>
      <c r="I1439">
        <v>299.92230000000001</v>
      </c>
      <c r="J1439">
        <v>-191.36189999999999</v>
      </c>
      <c r="K1439">
        <v>1.1041559999999999</v>
      </c>
      <c r="L1439">
        <v>311.23700000000002</v>
      </c>
      <c r="M1439">
        <v>1.1057350000000001E-2</v>
      </c>
      <c r="N1439">
        <v>0</v>
      </c>
      <c r="O1439">
        <v>-0.99975319999999901</v>
      </c>
      <c r="P1439">
        <v>-0.10693130000000001</v>
      </c>
      <c r="Q1439">
        <v>1.4783879999999999E-2</v>
      </c>
      <c r="R1439">
        <v>-0.99415679999999995</v>
      </c>
      <c r="S1439">
        <v>-1.091385</v>
      </c>
      <c r="T1439">
        <v>-0.27679769999999998</v>
      </c>
      <c r="U1439">
        <v>-2.9042970000000001</v>
      </c>
      <c r="V1439">
        <v>0.11802449999999901</v>
      </c>
      <c r="W1439">
        <v>3.3562380000000003E-2</v>
      </c>
      <c r="X1439">
        <v>0.99244330000000003</v>
      </c>
      <c r="Y1439">
        <v>0.36070970000000002</v>
      </c>
      <c r="Z1439">
        <v>8.8672899999999999E-2</v>
      </c>
      <c r="AA1439">
        <v>0.92845330000000004</v>
      </c>
      <c r="AB1439">
        <v>28</v>
      </c>
      <c r="AC1439">
        <v>-4.3559999999999901</v>
      </c>
      <c r="AD1439">
        <v>-1.1041576643340001</v>
      </c>
      <c r="AE1439">
        <v>-11.3147</v>
      </c>
      <c r="AF1439">
        <v>4.4440097317434297</v>
      </c>
      <c r="AG1439">
        <v>-1.1041576643340001</v>
      </c>
      <c r="AH1439">
        <v>11.173165342800299</v>
      </c>
      <c r="AI1439">
        <v>95.246505310002703</v>
      </c>
      <c r="AJ1439">
        <v>68.310327783683405</v>
      </c>
      <c r="AK1439">
        <v>12.0750987747965</v>
      </c>
    </row>
    <row r="1440" spans="1:37" x14ac:dyDescent="0.2">
      <c r="A1440" t="str">
        <f>"20200111153635197"</f>
        <v>20200111153635197</v>
      </c>
      <c r="B1440" t="str">
        <f>"1578728195194013"</f>
        <v>1578728195194013</v>
      </c>
      <c r="C1440" t="s">
        <v>37</v>
      </c>
      <c r="D1440">
        <v>5.8596709999999996</v>
      </c>
      <c r="E1440">
        <v>0.60419460000000003</v>
      </c>
      <c r="F1440" t="s">
        <v>39</v>
      </c>
      <c r="G1440">
        <v>-195.82830000000001</v>
      </c>
      <c r="H1440" s="1">
        <v>-1.6420220000000001E-6</v>
      </c>
      <c r="I1440">
        <v>299.80180000000001</v>
      </c>
      <c r="J1440">
        <v>-191.36089999999999</v>
      </c>
      <c r="K1440">
        <v>1.103944</v>
      </c>
      <c r="L1440">
        <v>310.9436</v>
      </c>
      <c r="M1440">
        <v>8.9308990000000008E-3</v>
      </c>
      <c r="N1440">
        <v>0</v>
      </c>
      <c r="O1440">
        <v>-0.99977280000000002</v>
      </c>
      <c r="P1440">
        <v>-0.10788969999999901</v>
      </c>
      <c r="Q1440">
        <v>1.457893E-2</v>
      </c>
      <c r="R1440">
        <v>-0.99405619999999995</v>
      </c>
      <c r="S1440">
        <v>-1.13269</v>
      </c>
      <c r="T1440">
        <v>-0.280014599999999</v>
      </c>
      <c r="U1440">
        <v>-2.8999630000000001</v>
      </c>
      <c r="V1440">
        <v>0.1168873</v>
      </c>
      <c r="W1440">
        <v>3.3381760000000003E-2</v>
      </c>
      <c r="X1440">
        <v>0.99258400000000002</v>
      </c>
      <c r="Y1440">
        <v>0.37066759999999999</v>
      </c>
      <c r="Z1440">
        <v>8.9421520000000004E-2</v>
      </c>
      <c r="AA1440">
        <v>0.92445080000000002</v>
      </c>
      <c r="AB1440">
        <v>28</v>
      </c>
      <c r="AC1440">
        <v>-4.46740000000002</v>
      </c>
      <c r="AD1440">
        <v>-1.103945642022</v>
      </c>
      <c r="AE1440">
        <v>-11.1417999999999</v>
      </c>
      <c r="AF1440">
        <v>4.5284475912695799</v>
      </c>
      <c r="AG1440">
        <v>-1.103945642022</v>
      </c>
      <c r="AH1440">
        <v>11.008347586647099</v>
      </c>
      <c r="AI1440">
        <v>95.298578228841905</v>
      </c>
      <c r="AJ1440">
        <v>67.639454977159701</v>
      </c>
      <c r="AK1440">
        <v>11.9544656993048</v>
      </c>
    </row>
    <row r="1441" spans="1:37" x14ac:dyDescent="0.2">
      <c r="A1441" t="str">
        <f>"20200111153635217"</f>
        <v>20200111153635217</v>
      </c>
      <c r="B1441" t="str">
        <f>"1578728195213532"</f>
        <v>1578728195213532</v>
      </c>
      <c r="C1441" t="s">
        <v>37</v>
      </c>
      <c r="D1441">
        <v>5.8725300000000002</v>
      </c>
      <c r="E1441">
        <v>0.60480049999999996</v>
      </c>
      <c r="F1441" t="s">
        <v>44</v>
      </c>
      <c r="G1441">
        <v>-195.86199999999999</v>
      </c>
      <c r="H1441" s="1">
        <v>9.9174619999999905E-9</v>
      </c>
      <c r="I1441">
        <v>299.56</v>
      </c>
      <c r="J1441">
        <v>-191.36089999999999</v>
      </c>
      <c r="K1441">
        <v>1.1037520000000001</v>
      </c>
      <c r="L1441">
        <v>310.69260000000003</v>
      </c>
      <c r="M1441">
        <v>6.8461950000000002E-3</v>
      </c>
      <c r="N1441">
        <v>0</v>
      </c>
      <c r="O1441">
        <v>-0.9997878</v>
      </c>
      <c r="P1441">
        <v>-0.1093778</v>
      </c>
      <c r="Q1441">
        <v>1.4195569999999999E-2</v>
      </c>
      <c r="R1441">
        <v>-0.99389889999999903</v>
      </c>
      <c r="S1441">
        <v>-1.1457520000000001</v>
      </c>
      <c r="T1441">
        <v>-0.28100740000000002</v>
      </c>
      <c r="U1441">
        <v>-2.897675</v>
      </c>
      <c r="V1441">
        <v>0.1163182</v>
      </c>
      <c r="W1441">
        <v>3.3007170000000002E-2</v>
      </c>
      <c r="X1441">
        <v>0.99266339999999997</v>
      </c>
      <c r="Y1441">
        <v>0.3725792</v>
      </c>
      <c r="Z1441">
        <v>8.9697269999999996E-2</v>
      </c>
      <c r="AA1441">
        <v>0.92365529999999996</v>
      </c>
      <c r="AB1441">
        <v>28</v>
      </c>
      <c r="AC1441">
        <v>-4.5011000000000001</v>
      </c>
      <c r="AD1441">
        <v>-1.1037519900825301</v>
      </c>
      <c r="AE1441">
        <v>-11.1326</v>
      </c>
      <c r="AF1441">
        <v>4.5388768646461397</v>
      </c>
      <c r="AG1441">
        <v>-1.1037519900825301</v>
      </c>
      <c r="AH1441">
        <v>11.008509357896401</v>
      </c>
      <c r="AI1441">
        <v>95.295830994561499</v>
      </c>
      <c r="AJ1441">
        <v>67.593341527491901</v>
      </c>
      <c r="AK1441">
        <v>11.958551330781001</v>
      </c>
    </row>
    <row r="1442" spans="1:37" x14ac:dyDescent="0.2">
      <c r="A1442" t="str">
        <f>"20200111153635240"</f>
        <v>20200111153635240</v>
      </c>
      <c r="B1442" t="str">
        <f>"1578728195234028"</f>
        <v>1578728195234028</v>
      </c>
      <c r="C1442" t="s">
        <v>37</v>
      </c>
      <c r="D1442">
        <v>5.8635769999999896</v>
      </c>
      <c r="E1442">
        <v>0.60562139999999998</v>
      </c>
      <c r="F1442" t="s">
        <v>44</v>
      </c>
      <c r="G1442">
        <v>-195.96709999999999</v>
      </c>
      <c r="H1442" s="1">
        <v>8.2921429999999897E-8</v>
      </c>
      <c r="I1442">
        <v>299.14550000000003</v>
      </c>
      <c r="J1442">
        <v>-191.36179999999999</v>
      </c>
      <c r="K1442">
        <v>1.1035269999999999</v>
      </c>
      <c r="L1442">
        <v>310.40499999999997</v>
      </c>
      <c r="M1442">
        <v>4.1612150000000002E-3</v>
      </c>
      <c r="N1442">
        <v>0</v>
      </c>
      <c r="O1442">
        <v>-0.99980159999999996</v>
      </c>
      <c r="P1442">
        <v>-0.1119029</v>
      </c>
      <c r="Q1442">
        <v>1.263266E-2</v>
      </c>
      <c r="R1442">
        <v>-0.99363919999999994</v>
      </c>
      <c r="S1442">
        <v>-1.154938</v>
      </c>
      <c r="T1442">
        <v>-0.27674870000000001</v>
      </c>
      <c r="U1442">
        <v>-2.8952640000000001</v>
      </c>
      <c r="V1442">
        <v>0.116185999999999</v>
      </c>
      <c r="W1442">
        <v>3.1443480000000003E-2</v>
      </c>
      <c r="X1442">
        <v>0.99272959999999999</v>
      </c>
      <c r="Y1442">
        <v>0.37292709999999901</v>
      </c>
      <c r="Z1442">
        <v>8.8363490000000003E-2</v>
      </c>
      <c r="AA1442">
        <v>0.92364349999999995</v>
      </c>
      <c r="AB1442">
        <v>28</v>
      </c>
      <c r="AC1442">
        <v>-4.6052999999999997</v>
      </c>
      <c r="AD1442">
        <v>-1.10352691707857</v>
      </c>
      <c r="AE1442">
        <v>-11.2594999999999</v>
      </c>
      <c r="AF1442">
        <v>4.6141522820011103</v>
      </c>
      <c r="AG1442">
        <v>-1.10352691707857</v>
      </c>
      <c r="AH1442">
        <v>11.1484940880029</v>
      </c>
      <c r="AI1442">
        <v>95.225755980473096</v>
      </c>
      <c r="AJ1442">
        <v>67.516255345088794</v>
      </c>
      <c r="AK1442">
        <v>12.1159850350043</v>
      </c>
    </row>
    <row r="1443" spans="1:37" x14ac:dyDescent="0.2">
      <c r="A1443" t="str">
        <f>"20200111153635264"</f>
        <v>20200111153635264</v>
      </c>
      <c r="B1443" t="str">
        <f>"1578728195253548"</f>
        <v>1578728195253548</v>
      </c>
      <c r="C1443" t="s">
        <v>37</v>
      </c>
      <c r="D1443">
        <v>5.81508</v>
      </c>
      <c r="E1443">
        <v>0.60659969999999996</v>
      </c>
      <c r="F1443" t="s">
        <v>44</v>
      </c>
      <c r="G1443">
        <v>-196.02670000000001</v>
      </c>
      <c r="H1443" s="1">
        <v>1.316411E-7</v>
      </c>
      <c r="I1443">
        <v>298.8689</v>
      </c>
      <c r="J1443">
        <v>-191.364</v>
      </c>
      <c r="K1443">
        <v>1.103321</v>
      </c>
      <c r="L1443">
        <v>310.11430000000001</v>
      </c>
      <c r="M1443">
        <v>1.1192839999999999E-3</v>
      </c>
      <c r="N1443">
        <v>0</v>
      </c>
      <c r="O1443">
        <v>-0.99980849999999899</v>
      </c>
      <c r="P1443">
        <v>-0.1157122</v>
      </c>
      <c r="Q1443">
        <v>1.2369430000000001E-2</v>
      </c>
      <c r="R1443">
        <v>-0.99320629999999999</v>
      </c>
      <c r="S1443">
        <v>-1.1690670000000001</v>
      </c>
      <c r="T1443">
        <v>-0.27655659999999999</v>
      </c>
      <c r="U1443">
        <v>-2.8910830000000001</v>
      </c>
      <c r="V1443">
        <v>0.11698749999999999</v>
      </c>
      <c r="W1443">
        <v>3.1170389999999999E-2</v>
      </c>
      <c r="X1443">
        <v>0.99264409999999903</v>
      </c>
      <c r="Y1443">
        <v>0.37445329999999999</v>
      </c>
      <c r="Z1443">
        <v>8.8316430000000001E-2</v>
      </c>
      <c r="AA1443">
        <v>0.92303029999999997</v>
      </c>
      <c r="AB1443">
        <v>28</v>
      </c>
      <c r="AC1443">
        <v>-4.6627000000000001</v>
      </c>
      <c r="AD1443">
        <v>-1.1033208683589</v>
      </c>
      <c r="AE1443">
        <v>-11.2454</v>
      </c>
      <c r="AF1443">
        <v>4.6371962273430096</v>
      </c>
      <c r="AG1443">
        <v>-1.1033208683589</v>
      </c>
      <c r="AH1443">
        <v>11.1485981966523</v>
      </c>
      <c r="AI1443">
        <v>95.220944015794302</v>
      </c>
      <c r="AJ1443">
        <v>67.415408534254098</v>
      </c>
      <c r="AK1443">
        <v>12.124856598733</v>
      </c>
    </row>
    <row r="1444" spans="1:37" x14ac:dyDescent="0.2">
      <c r="A1444" t="str">
        <f>"20200111153635285"</f>
        <v>20200111153635285</v>
      </c>
      <c r="B1444" t="str">
        <f>"1578728195274044"</f>
        <v>1578728195274044</v>
      </c>
      <c r="C1444" t="s">
        <v>37</v>
      </c>
      <c r="D1444">
        <v>5.918247</v>
      </c>
      <c r="E1444">
        <v>0.60743199999999997</v>
      </c>
      <c r="F1444" t="s">
        <v>44</v>
      </c>
      <c r="G1444">
        <v>-196.1139</v>
      </c>
      <c r="H1444" s="1">
        <v>1.8297670000000001E-7</v>
      </c>
      <c r="I1444">
        <v>298.57740000000001</v>
      </c>
      <c r="J1444">
        <v>-191.36709999999999</v>
      </c>
      <c r="K1444">
        <v>1.1031789999999999</v>
      </c>
      <c r="L1444">
        <v>309.84730000000002</v>
      </c>
      <c r="M1444">
        <v>-1.889855E-3</v>
      </c>
      <c r="N1444">
        <v>0</v>
      </c>
      <c r="O1444">
        <v>-0.99980630000000004</v>
      </c>
      <c r="P1444">
        <v>-0.11997329999999901</v>
      </c>
      <c r="Q1444">
        <v>1.2320350000000001E-2</v>
      </c>
      <c r="R1444">
        <v>-0.9927009</v>
      </c>
      <c r="S1444">
        <v>-1.1879879999999901</v>
      </c>
      <c r="T1444">
        <v>-0.27595380000000003</v>
      </c>
      <c r="U1444">
        <v>-2.885529</v>
      </c>
      <c r="V1444">
        <v>0.11827210000000001</v>
      </c>
      <c r="W1444">
        <v>3.111034E-2</v>
      </c>
      <c r="X1444">
        <v>0.99249370000000003</v>
      </c>
      <c r="Y1444">
        <v>0.37747379999999903</v>
      </c>
      <c r="Z1444">
        <v>8.8121030000000003E-2</v>
      </c>
      <c r="AA1444">
        <v>0.92181789999999997</v>
      </c>
      <c r="AB1444">
        <v>28</v>
      </c>
      <c r="AC1444">
        <v>-4.7468000000000004</v>
      </c>
      <c r="AD1444">
        <v>-1.1031788170232999</v>
      </c>
      <c r="AE1444">
        <v>-11.2699</v>
      </c>
      <c r="AF1444">
        <v>4.6873425913169502</v>
      </c>
      <c r="AG1444">
        <v>-1.1031788170232999</v>
      </c>
      <c r="AH1444">
        <v>11.187804165283501</v>
      </c>
      <c r="AI1444">
        <v>95.196522454603397</v>
      </c>
      <c r="AJ1444">
        <v>67.267829233683699</v>
      </c>
      <c r="AK1444">
        <v>12.180112729832899</v>
      </c>
    </row>
    <row r="1445" spans="1:37" x14ac:dyDescent="0.2">
      <c r="A1445" t="str">
        <f>"20200111153635308"</f>
        <v>20200111153635308</v>
      </c>
      <c r="B1445" t="str">
        <f>"1578728195304301"</f>
        <v>1578728195304301</v>
      </c>
      <c r="C1445" t="s">
        <v>37</v>
      </c>
      <c r="D1445">
        <v>6.2423229999999998</v>
      </c>
      <c r="E1445">
        <v>0.60746239999999996</v>
      </c>
      <c r="F1445" t="s">
        <v>44</v>
      </c>
      <c r="G1445">
        <v>-196.20050000000001</v>
      </c>
      <c r="H1445" s="1">
        <v>2.2823060000000001E-7</v>
      </c>
      <c r="I1445">
        <v>298.32040000000001</v>
      </c>
      <c r="J1445">
        <v>-191.37119999999999</v>
      </c>
      <c r="K1445">
        <v>1.103065</v>
      </c>
      <c r="L1445">
        <v>309.57580000000002</v>
      </c>
      <c r="M1445">
        <v>-5.1364740000000002E-3</v>
      </c>
      <c r="N1445">
        <v>0</v>
      </c>
      <c r="O1445">
        <v>-0.99979409999999902</v>
      </c>
      <c r="P1445">
        <v>-0.1242164</v>
      </c>
      <c r="Q1445">
        <v>1.2980729999999999E-2</v>
      </c>
      <c r="R1445">
        <v>-0.992170199999999</v>
      </c>
      <c r="S1445">
        <v>-1.207443</v>
      </c>
      <c r="T1445">
        <v>-0.27558759999999999</v>
      </c>
      <c r="U1445">
        <v>-2.8795470000000001</v>
      </c>
      <c r="V1445">
        <v>0.1193066</v>
      </c>
      <c r="W1445">
        <v>3.176375E-2</v>
      </c>
      <c r="X1445">
        <v>0.99234920000000004</v>
      </c>
      <c r="Y1445">
        <v>0.38045440000000003</v>
      </c>
      <c r="Z1445">
        <v>8.8006529999999999E-2</v>
      </c>
      <c r="AA1445">
        <v>0.9206027</v>
      </c>
      <c r="AB1445">
        <v>28</v>
      </c>
      <c r="AC1445">
        <v>-4.8293000000000097</v>
      </c>
      <c r="AD1445">
        <v>-1.1030647717694</v>
      </c>
      <c r="AE1445">
        <v>-11.2554</v>
      </c>
      <c r="AF1445">
        <v>4.7330208870466803</v>
      </c>
      <c r="AG1445">
        <v>-1.1030647717694</v>
      </c>
      <c r="AH1445">
        <v>11.1893015257023</v>
      </c>
      <c r="AI1445">
        <v>95.187862646920706</v>
      </c>
      <c r="AJ1445">
        <v>67.0718709708201</v>
      </c>
      <c r="AK1445">
        <v>12.1991273147313</v>
      </c>
    </row>
    <row r="1446" spans="1:37" x14ac:dyDescent="0.2">
      <c r="A1446" t="str">
        <f>"20200111153635330"</f>
        <v>20200111153635330</v>
      </c>
      <c r="B1446" t="str">
        <f>"1578728195323820"</f>
        <v>1578728195323820</v>
      </c>
      <c r="C1446" t="s">
        <v>37</v>
      </c>
      <c r="D1446">
        <v>5.7555690000000004</v>
      </c>
      <c r="E1446">
        <v>0.60248040000000003</v>
      </c>
      <c r="F1446" t="s">
        <v>44</v>
      </c>
      <c r="G1446">
        <v>-196.2578</v>
      </c>
      <c r="H1446" s="1">
        <v>2.7336779999999998E-7</v>
      </c>
      <c r="I1446">
        <v>298.0641</v>
      </c>
      <c r="J1446">
        <v>-191.37639999999999</v>
      </c>
      <c r="K1446">
        <v>1.1029770000000001</v>
      </c>
      <c r="L1446">
        <v>309.3032</v>
      </c>
      <c r="M1446">
        <v>-8.5660409999999999E-3</v>
      </c>
      <c r="N1446">
        <v>0</v>
      </c>
      <c r="O1446">
        <v>-0.99977019999999905</v>
      </c>
      <c r="P1446">
        <v>-0.12770989999999999</v>
      </c>
      <c r="Q1446">
        <v>1.474323E-2</v>
      </c>
      <c r="R1446">
        <v>-0.99170199999999997</v>
      </c>
      <c r="S1446">
        <v>-1.2201690000000001</v>
      </c>
      <c r="T1446">
        <v>-0.27543579999999901</v>
      </c>
      <c r="U1446">
        <v>-2.8744809999999998</v>
      </c>
      <c r="V1446">
        <v>0.119416699999999</v>
      </c>
      <c r="W1446">
        <v>3.3525689999999997E-2</v>
      </c>
      <c r="X1446">
        <v>0.99227799999999999</v>
      </c>
      <c r="Y1446">
        <v>0.38132179999999999</v>
      </c>
      <c r="Z1446">
        <v>8.8008639999999999E-2</v>
      </c>
      <c r="AA1446">
        <v>0.92024359999999905</v>
      </c>
      <c r="AB1446">
        <v>27</v>
      </c>
      <c r="AC1446">
        <v>-4.88140000000001</v>
      </c>
      <c r="AD1446">
        <v>-1.1029767266321999</v>
      </c>
      <c r="AE1446">
        <v>-11.239100000000001</v>
      </c>
      <c r="AF1446">
        <v>4.7464692479626001</v>
      </c>
      <c r="AG1446">
        <v>-1.1029767266321999</v>
      </c>
      <c r="AH1446">
        <v>11.1898438076731</v>
      </c>
      <c r="AI1446">
        <v>95.185012471197396</v>
      </c>
      <c r="AJ1446">
        <v>67.014482301775999</v>
      </c>
      <c r="AK1446">
        <v>12.204840532406299</v>
      </c>
    </row>
    <row r="1447" spans="1:37" x14ac:dyDescent="0.2">
      <c r="A1447" t="str">
        <f>"20200111153635353"</f>
        <v>20200111153635353</v>
      </c>
      <c r="B1447" t="str">
        <f>"1578728195344316"</f>
        <v>1578728195344316</v>
      </c>
      <c r="C1447" t="s">
        <v>37</v>
      </c>
      <c r="D1447">
        <v>5.6705110000000003</v>
      </c>
      <c r="E1447">
        <v>0.4924347</v>
      </c>
      <c r="F1447" t="s">
        <v>44</v>
      </c>
      <c r="G1447">
        <v>-196.2003</v>
      </c>
      <c r="H1447" s="1">
        <v>3.4447699999999999E-7</v>
      </c>
      <c r="I1447">
        <v>297.66030000000001</v>
      </c>
      <c r="J1447">
        <v>-191.3828</v>
      </c>
      <c r="K1447">
        <v>1.1028990000000001</v>
      </c>
      <c r="L1447">
        <v>309.02780000000001</v>
      </c>
      <c r="M1447">
        <v>-1.217619E-2</v>
      </c>
      <c r="N1447">
        <v>0</v>
      </c>
      <c r="O1447">
        <v>-0.99973219999999996</v>
      </c>
      <c r="P1447">
        <v>-0.12998869999999901</v>
      </c>
      <c r="Q1447">
        <v>1.6338399999999999E-2</v>
      </c>
      <c r="R1447">
        <v>-0.99138099999999996</v>
      </c>
      <c r="S1447">
        <v>-1.1914670000000001</v>
      </c>
      <c r="T1447">
        <v>-0.27242699999999997</v>
      </c>
      <c r="U1447">
        <v>-2.875702</v>
      </c>
      <c r="V1447">
        <v>0.118131399999999</v>
      </c>
      <c r="W1447">
        <v>3.5131679999999998E-2</v>
      </c>
      <c r="X1447">
        <v>0.99237629999999999</v>
      </c>
      <c r="Y1447">
        <v>0.37002689999999999</v>
      </c>
      <c r="Z1447">
        <v>8.73839E-2</v>
      </c>
      <c r="AA1447">
        <v>0.92490219999999901</v>
      </c>
      <c r="AB1447">
        <v>27</v>
      </c>
      <c r="AC1447">
        <v>-4.8174999999999901</v>
      </c>
      <c r="AD1447">
        <v>-1.102898655523</v>
      </c>
      <c r="AE1447">
        <v>-11.3675</v>
      </c>
      <c r="AF1447">
        <v>4.6416623965048798</v>
      </c>
      <c r="AG1447">
        <v>-1.102898655523</v>
      </c>
      <c r="AH1447">
        <v>11.3348743029671</v>
      </c>
      <c r="AI1447">
        <v>95.145263787298802</v>
      </c>
      <c r="AJ1447">
        <v>67.730764551556206</v>
      </c>
      <c r="AK1447">
        <v>12.2979994597311</v>
      </c>
    </row>
    <row r="1448" spans="1:37" x14ac:dyDescent="0.2">
      <c r="A1448" t="str">
        <f>"20200111153635375"</f>
        <v>20200111153635375</v>
      </c>
      <c r="B1448" t="str">
        <f>"1578728195363836"</f>
        <v>1578728195363836</v>
      </c>
      <c r="C1448" t="s">
        <v>37</v>
      </c>
      <c r="D1448">
        <v>5.9033860000000002</v>
      </c>
      <c r="E1448">
        <v>0.47358349999999999</v>
      </c>
      <c r="F1448" t="s">
        <v>38</v>
      </c>
      <c r="G1448">
        <v>-191.47130000000001</v>
      </c>
      <c r="H1448">
        <v>1.0329759999999999</v>
      </c>
      <c r="I1448">
        <v>308.22410000000002</v>
      </c>
      <c r="J1448">
        <v>-191.3904</v>
      </c>
      <c r="K1448">
        <v>1.1028279999999999</v>
      </c>
      <c r="L1448">
        <v>308.75200000000001</v>
      </c>
      <c r="M1448">
        <v>-1.591766E-2</v>
      </c>
      <c r="N1448">
        <v>0</v>
      </c>
      <c r="O1448">
        <v>-0.99967909999999904</v>
      </c>
      <c r="P1448">
        <v>-0.13102230000000001</v>
      </c>
      <c r="Q1448">
        <v>1.8379039999999999E-2</v>
      </c>
      <c r="R1448">
        <v>-0.99120940000000002</v>
      </c>
      <c r="S1448">
        <v>-0.32804870000000003</v>
      </c>
      <c r="T1448">
        <v>-0.25992949999999998</v>
      </c>
      <c r="U1448">
        <v>-2.9873660000000002</v>
      </c>
      <c r="V1448">
        <v>0.11547159999999999</v>
      </c>
      <c r="W1448">
        <v>3.7194079999999997E-2</v>
      </c>
      <c r="X1448">
        <v>0.9926142</v>
      </c>
      <c r="Y1448">
        <v>9.2910000000000006E-2</v>
      </c>
      <c r="Z1448">
        <v>8.6221110000000004E-2</v>
      </c>
      <c r="AA1448">
        <v>0.99193430000000005</v>
      </c>
      <c r="AB1448">
        <v>27</v>
      </c>
      <c r="AC1448">
        <v>-8.0900000000013905E-2</v>
      </c>
      <c r="AD1448">
        <v>-6.9851999999999997E-2</v>
      </c>
      <c r="AE1448">
        <v>-0.52789999999998805</v>
      </c>
      <c r="AF1448">
        <v>7.1266036591690202E-2</v>
      </c>
      <c r="AG1448">
        <v>-6.9851999999999997E-2</v>
      </c>
      <c r="AH1448">
        <v>0.520221670327078</v>
      </c>
      <c r="AI1448">
        <v>97.577625882682796</v>
      </c>
      <c r="AJ1448">
        <v>82.199510051956295</v>
      </c>
      <c r="AK1448">
        <v>0.52970627346991395</v>
      </c>
    </row>
    <row r="1449" spans="1:37" x14ac:dyDescent="0.2">
      <c r="A1449" t="str">
        <f>"20200111153635397"</f>
        <v>20200111153635397</v>
      </c>
      <c r="B1449" t="str">
        <f>"1578728195394093"</f>
        <v>1578728195394093</v>
      </c>
      <c r="C1449" t="s">
        <v>37</v>
      </c>
      <c r="D1449">
        <v>5.7721289999999996</v>
      </c>
      <c r="E1449">
        <v>0.46307719999999902</v>
      </c>
      <c r="F1449" t="s">
        <v>38</v>
      </c>
      <c r="G1449">
        <v>-191.43709999999999</v>
      </c>
      <c r="H1449">
        <v>1.033304</v>
      </c>
      <c r="I1449">
        <v>307.98160000000001</v>
      </c>
      <c r="J1449">
        <v>-191.39859999999999</v>
      </c>
      <c r="K1449">
        <v>1.1027659999999999</v>
      </c>
      <c r="L1449">
        <v>308.49130000000002</v>
      </c>
      <c r="M1449">
        <v>-1.9567310000000001E-2</v>
      </c>
      <c r="N1449">
        <v>0</v>
      </c>
      <c r="O1449">
        <v>-0.999613999999999</v>
      </c>
      <c r="P1449">
        <v>-0.13140669999999999</v>
      </c>
      <c r="Q1449">
        <v>1.9198610000000001E-2</v>
      </c>
      <c r="R1449">
        <v>-0.99114279999999999</v>
      </c>
      <c r="S1449">
        <v>-0.18220520000000001</v>
      </c>
      <c r="T1449">
        <v>-0.27154139999999999</v>
      </c>
      <c r="U1449">
        <v>-3.007568</v>
      </c>
      <c r="V1449">
        <v>0.11224289999999899</v>
      </c>
      <c r="W1449">
        <v>3.8039870000000003E-2</v>
      </c>
      <c r="X1449">
        <v>0.99295239999999996</v>
      </c>
      <c r="Y1449">
        <v>4.0680290000000001E-2</v>
      </c>
      <c r="Z1449">
        <v>8.9775750000000001E-2</v>
      </c>
      <c r="AA1449">
        <v>0.99513079999999998</v>
      </c>
      <c r="AB1449">
        <v>27</v>
      </c>
      <c r="AC1449">
        <v>-3.8499999999999E-2</v>
      </c>
      <c r="AD1449">
        <v>-6.9461999999999899E-2</v>
      </c>
      <c r="AE1449">
        <v>-0.50970000000000903</v>
      </c>
      <c r="AF1449">
        <v>2.8000151253239101E-2</v>
      </c>
      <c r="AG1449">
        <v>-6.9461999999999899E-2</v>
      </c>
      <c r="AH1449">
        <v>0.501102051960438</v>
      </c>
      <c r="AI1449">
        <v>97.879824471475899</v>
      </c>
      <c r="AJ1449">
        <v>86.801801271623901</v>
      </c>
      <c r="AK1449">
        <v>0.50666778503588095</v>
      </c>
    </row>
    <row r="1450" spans="1:37" x14ac:dyDescent="0.2">
      <c r="A1450" t="str">
        <f>"20200111153635421"</f>
        <v>20200111153635421</v>
      </c>
      <c r="B1450" t="str">
        <f>"1578728195413612"</f>
        <v>1578728195413612</v>
      </c>
      <c r="C1450" t="s">
        <v>37</v>
      </c>
      <c r="D1450">
        <v>5.6903550000000003</v>
      </c>
      <c r="E1450">
        <v>0.46093849999999997</v>
      </c>
      <c r="F1450" t="s">
        <v>38</v>
      </c>
      <c r="G1450">
        <v>-191.4238</v>
      </c>
      <c r="H1450">
        <v>1.032978</v>
      </c>
      <c r="I1450">
        <v>307.73950000000002</v>
      </c>
      <c r="J1450">
        <v>-191.40880000000001</v>
      </c>
      <c r="K1450">
        <v>1.1026910000000001</v>
      </c>
      <c r="L1450">
        <v>308.20819999999998</v>
      </c>
      <c r="M1450">
        <v>-2.3669039999999999E-2</v>
      </c>
      <c r="N1450">
        <v>0</v>
      </c>
      <c r="O1450">
        <v>-0.99952479999999999</v>
      </c>
      <c r="P1450">
        <v>-0.13192470000000001</v>
      </c>
      <c r="Q1450">
        <v>1.9386489999999999E-2</v>
      </c>
      <c r="R1450">
        <v>-0.99107060000000002</v>
      </c>
      <c r="S1450">
        <v>-0.10031130000000001</v>
      </c>
      <c r="T1450">
        <v>-0.28028509999999901</v>
      </c>
      <c r="U1450">
        <v>-3.019012</v>
      </c>
      <c r="V1450">
        <v>0.10869329999999899</v>
      </c>
      <c r="W1450">
        <v>3.8256190000000002E-2</v>
      </c>
      <c r="X1450">
        <v>0.99333890000000002</v>
      </c>
      <c r="Y1450">
        <v>9.3962530000000002E-3</v>
      </c>
      <c r="Z1450">
        <v>9.2376429999999995E-2</v>
      </c>
      <c r="AA1450">
        <v>0.9956798</v>
      </c>
      <c r="AB1450">
        <v>27</v>
      </c>
      <c r="AC1450">
        <v>-1.49999999999863E-2</v>
      </c>
      <c r="AD1450">
        <v>-6.97129999999999E-2</v>
      </c>
      <c r="AE1450">
        <v>-0.46869999999995499</v>
      </c>
      <c r="AF1450">
        <v>3.8156278932300301E-3</v>
      </c>
      <c r="AG1450">
        <v>-6.97129999999999E-2</v>
      </c>
      <c r="AH1450">
        <v>0.45878458923903698</v>
      </c>
      <c r="AI1450">
        <v>98.639791382347994</v>
      </c>
      <c r="AJ1450">
        <v>89.523492420589903</v>
      </c>
      <c r="AK1450">
        <v>0.46406654771535899</v>
      </c>
    </row>
    <row r="1451" spans="1:37" x14ac:dyDescent="0.2">
      <c r="A1451" t="str">
        <f>"20200111153635442"</f>
        <v>20200111153635442</v>
      </c>
      <c r="B1451" t="str">
        <f>"1578728195434108"</f>
        <v>1578728195434108</v>
      </c>
      <c r="C1451" t="s">
        <v>37</v>
      </c>
      <c r="D1451">
        <v>5.7224370000000002</v>
      </c>
      <c r="E1451">
        <v>0.45978590000000003</v>
      </c>
      <c r="F1451" t="s">
        <v>38</v>
      </c>
      <c r="G1451">
        <v>-191.43539999999999</v>
      </c>
      <c r="H1451">
        <v>1.014362</v>
      </c>
      <c r="I1451">
        <v>307.2722</v>
      </c>
      <c r="J1451">
        <v>-191.41929999999999</v>
      </c>
      <c r="K1451">
        <v>1.102625</v>
      </c>
      <c r="L1451">
        <v>307.95069999999998</v>
      </c>
      <c r="M1451">
        <v>-2.753806E-2</v>
      </c>
      <c r="N1451">
        <v>0</v>
      </c>
      <c r="O1451">
        <v>-0.99942540000000002</v>
      </c>
      <c r="P1451">
        <v>-0.13241320000000001</v>
      </c>
      <c r="Q1451">
        <v>1.8613680000000001E-2</v>
      </c>
      <c r="R1451">
        <v>-0.99101969999999995</v>
      </c>
      <c r="S1451">
        <v>-8.5449220000000006E-2</v>
      </c>
      <c r="T1451">
        <v>-0.28510679999999999</v>
      </c>
      <c r="U1451">
        <v>-3.0212400000000001</v>
      </c>
      <c r="V1451">
        <v>0.1053359</v>
      </c>
      <c r="W1451">
        <v>3.7508569999999998E-2</v>
      </c>
      <c r="X1451">
        <v>0.99372909999999903</v>
      </c>
      <c r="Y1451">
        <v>6.0346029999999999E-4</v>
      </c>
      <c r="Z1451">
        <v>9.3878160000000002E-2</v>
      </c>
      <c r="AA1451">
        <v>0.99558349999999995</v>
      </c>
      <c r="AB1451">
        <v>27</v>
      </c>
      <c r="AC1451">
        <v>-1.60999999999944E-2</v>
      </c>
      <c r="AD1451">
        <v>-8.8262999999999897E-2</v>
      </c>
      <c r="AE1451">
        <v>-0.678499999999985</v>
      </c>
      <c r="AF1451">
        <v>-2.5511839607543201E-3</v>
      </c>
      <c r="AG1451">
        <v>-8.8262999999999897E-2</v>
      </c>
      <c r="AH1451">
        <v>0.66739851405019601</v>
      </c>
      <c r="AI1451">
        <v>97.533555836694902</v>
      </c>
      <c r="AJ1451">
        <v>90.219016612534503</v>
      </c>
      <c r="AK1451">
        <v>0.67321441032186102</v>
      </c>
    </row>
    <row r="1452" spans="1:37" x14ac:dyDescent="0.2">
      <c r="A1452" t="str">
        <f>"20200111153635465"</f>
        <v>20200111153635465</v>
      </c>
      <c r="B1452" t="str">
        <f>"1578728195453631"</f>
        <v>1578728195453631</v>
      </c>
      <c r="C1452" t="s">
        <v>37</v>
      </c>
      <c r="D1452">
        <v>5.7597199999999997</v>
      </c>
      <c r="E1452">
        <v>0.45895190000000002</v>
      </c>
      <c r="F1452" t="s">
        <v>38</v>
      </c>
      <c r="G1452">
        <v>-191.44299999999899</v>
      </c>
      <c r="H1452">
        <v>1.013333</v>
      </c>
      <c r="I1452">
        <v>307.03550000000001</v>
      </c>
      <c r="J1452">
        <v>-191.4315</v>
      </c>
      <c r="K1452">
        <v>1.1025609999999999</v>
      </c>
      <c r="L1452">
        <v>307.6825</v>
      </c>
      <c r="M1452">
        <v>-3.1686680000000002E-2</v>
      </c>
      <c r="N1452">
        <v>0</v>
      </c>
      <c r="O1452">
        <v>-0.99930259999999904</v>
      </c>
      <c r="P1452">
        <v>-0.1355595</v>
      </c>
      <c r="Q1452">
        <v>1.7761989999999998E-2</v>
      </c>
      <c r="R1452">
        <v>-0.99061010000000005</v>
      </c>
      <c r="S1452">
        <v>-7.7972410000000006E-2</v>
      </c>
      <c r="T1452">
        <v>-0.29481770000000002</v>
      </c>
      <c r="U1452">
        <v>-3.0223080000000002</v>
      </c>
      <c r="V1452">
        <v>0.1043651</v>
      </c>
      <c r="W1452">
        <v>3.6661340000000001E-2</v>
      </c>
      <c r="X1452">
        <v>0.993863099999999</v>
      </c>
      <c r="Y1452">
        <v>-6.0265750000000002E-3</v>
      </c>
      <c r="Z1452">
        <v>9.6996559999999996E-2</v>
      </c>
      <c r="AA1452">
        <v>0.99526650000000005</v>
      </c>
      <c r="AB1452">
        <v>26</v>
      </c>
      <c r="AC1452">
        <v>-1.1499999999983799E-2</v>
      </c>
      <c r="AD1452">
        <v>-8.9228000000000002E-2</v>
      </c>
      <c r="AE1452">
        <v>-0.64699999999999103</v>
      </c>
      <c r="AF1452">
        <v>-8.8429277176036401E-3</v>
      </c>
      <c r="AG1452">
        <v>-8.9228000000000002E-2</v>
      </c>
      <c r="AH1452">
        <v>0.63496666484605502</v>
      </c>
      <c r="AI1452">
        <v>97.998283643719006</v>
      </c>
      <c r="AJ1452">
        <v>90.797883909270496</v>
      </c>
      <c r="AK1452">
        <v>0.64126632440846398</v>
      </c>
    </row>
    <row r="1453" spans="1:37" x14ac:dyDescent="0.2">
      <c r="A1453" t="str">
        <f>"20200111153635486"</f>
        <v>20200111153635486</v>
      </c>
      <c r="B1453" t="str">
        <f>"1578728195483884"</f>
        <v>1578728195483884</v>
      </c>
      <c r="C1453" t="s">
        <v>37</v>
      </c>
      <c r="D1453">
        <v>5.6984379999999897</v>
      </c>
      <c r="E1453">
        <v>0.45763429999999999</v>
      </c>
      <c r="F1453" t="s">
        <v>38</v>
      </c>
      <c r="G1453">
        <v>-191.45519999999999</v>
      </c>
      <c r="H1453">
        <v>1.013692</v>
      </c>
      <c r="I1453">
        <v>306.79939999999999</v>
      </c>
      <c r="J1453">
        <v>-191.44409999999999</v>
      </c>
      <c r="K1453">
        <v>1.1025020000000001</v>
      </c>
      <c r="L1453">
        <v>307.4314</v>
      </c>
      <c r="M1453">
        <v>-3.5696690000000003E-2</v>
      </c>
      <c r="N1453">
        <v>0</v>
      </c>
      <c r="O1453">
        <v>-0.99916700000000003</v>
      </c>
      <c r="P1453">
        <v>-0.13774110000000001</v>
      </c>
      <c r="Q1453">
        <v>1.705363E-2</v>
      </c>
      <c r="R1453">
        <v>-0.99032140000000002</v>
      </c>
      <c r="S1453">
        <v>-8.0902100000000005E-2</v>
      </c>
      <c r="T1453">
        <v>-0.30418959999999901</v>
      </c>
      <c r="U1453">
        <v>-3.022888</v>
      </c>
      <c r="V1453">
        <v>0.1025645</v>
      </c>
      <c r="W1453">
        <v>3.5964179999999998E-2</v>
      </c>
      <c r="X1453">
        <v>0.99407599999999996</v>
      </c>
      <c r="Y1453">
        <v>-9.0885540000000004E-3</v>
      </c>
      <c r="Z1453">
        <v>0.1000079</v>
      </c>
      <c r="AA1453">
        <v>0.99494509999999903</v>
      </c>
      <c r="AB1453">
        <v>26</v>
      </c>
      <c r="AC1453">
        <v>-1.1099999999999E-2</v>
      </c>
      <c r="AD1453">
        <v>-8.881E-2</v>
      </c>
      <c r="AE1453">
        <v>-0.632000000000005</v>
      </c>
      <c r="AF1453">
        <v>-1.1249723748756201E-2</v>
      </c>
      <c r="AG1453">
        <v>-8.881E-2</v>
      </c>
      <c r="AH1453">
        <v>0.61975907727909396</v>
      </c>
      <c r="AI1453">
        <v>98.153508429742701</v>
      </c>
      <c r="AJ1453">
        <v>91.0399055658946</v>
      </c>
      <c r="AK1453">
        <v>0.62619093434371698</v>
      </c>
    </row>
    <row r="1454" spans="1:37" x14ac:dyDescent="0.2">
      <c r="A1454" t="str">
        <f>"20200111153635509"</f>
        <v>20200111153635509</v>
      </c>
      <c r="B1454" t="str">
        <f>"1578728195504381"</f>
        <v>1578728195504381</v>
      </c>
      <c r="C1454" t="s">
        <v>37</v>
      </c>
      <c r="D1454">
        <v>5.7398610000000003</v>
      </c>
      <c r="E1454">
        <v>0.45701320000000001</v>
      </c>
      <c r="F1454" t="s">
        <v>38</v>
      </c>
      <c r="G1454">
        <v>-191.46629999999999</v>
      </c>
      <c r="H1454">
        <v>1.012807</v>
      </c>
      <c r="I1454">
        <v>306.565</v>
      </c>
      <c r="J1454">
        <v>-191.45849999999999</v>
      </c>
      <c r="K1454">
        <v>1.102417</v>
      </c>
      <c r="L1454">
        <v>307.16759999999999</v>
      </c>
      <c r="M1454">
        <v>-4.007107E-2</v>
      </c>
      <c r="N1454">
        <v>0</v>
      </c>
      <c r="O1454">
        <v>-0.99900100000000003</v>
      </c>
      <c r="P1454">
        <v>-0.140810299999999</v>
      </c>
      <c r="Q1454">
        <v>1.69798E-2</v>
      </c>
      <c r="R1454">
        <v>-0.98989119999999997</v>
      </c>
      <c r="S1454">
        <v>-7.7529909999999994E-2</v>
      </c>
      <c r="T1454">
        <v>-0.31304189999999998</v>
      </c>
      <c r="U1454">
        <v>-3.0239560000000001</v>
      </c>
      <c r="V1454">
        <v>0.1012989</v>
      </c>
      <c r="W1454">
        <v>3.5892239999999999E-2</v>
      </c>
      <c r="X1454">
        <v>0.99420839999999999</v>
      </c>
      <c r="Y1454">
        <v>-1.459215E-2</v>
      </c>
      <c r="Z1454">
        <v>0.1028244</v>
      </c>
      <c r="AA1454">
        <v>0.99459249999999899</v>
      </c>
      <c r="AB1454">
        <v>26</v>
      </c>
      <c r="AC1454">
        <v>-7.80000000000313E-3</v>
      </c>
      <c r="AD1454">
        <v>-8.9609999999999898E-2</v>
      </c>
      <c r="AE1454">
        <v>-0.60259999999999503</v>
      </c>
      <c r="AF1454">
        <v>-1.6003977395789602E-2</v>
      </c>
      <c r="AG1454">
        <v>-8.9609999999999898E-2</v>
      </c>
      <c r="AH1454">
        <v>0.58939707181318601</v>
      </c>
      <c r="AI1454">
        <v>98.641722149157303</v>
      </c>
      <c r="AJ1454">
        <v>91.555377771004103</v>
      </c>
      <c r="AK1454">
        <v>0.59638493245088198</v>
      </c>
    </row>
    <row r="1455" spans="1:37" x14ac:dyDescent="0.2">
      <c r="A1455" t="str">
        <f>"20200111153635532"</f>
        <v>20200111153635532</v>
      </c>
      <c r="B1455" t="str">
        <f>"1578728195523901"</f>
        <v>1578728195523901</v>
      </c>
      <c r="C1455" t="s">
        <v>37</v>
      </c>
      <c r="D1455">
        <v>5.7594589999999997</v>
      </c>
      <c r="E1455">
        <v>0.45643719999999999</v>
      </c>
      <c r="F1455" t="s">
        <v>38</v>
      </c>
      <c r="G1455">
        <v>-191.48140000000001</v>
      </c>
      <c r="H1455">
        <v>1.014289</v>
      </c>
      <c r="I1455">
        <v>306.33069999999998</v>
      </c>
      <c r="J1455">
        <v>-191.47409999999999</v>
      </c>
      <c r="K1455">
        <v>1.1023240000000001</v>
      </c>
      <c r="L1455">
        <v>306.90690000000001</v>
      </c>
      <c r="M1455">
        <v>-4.4581540000000003E-2</v>
      </c>
      <c r="N1455">
        <v>0</v>
      </c>
      <c r="O1455">
        <v>-0.99880959999999996</v>
      </c>
      <c r="P1455">
        <v>-0.14462220000000001</v>
      </c>
      <c r="Q1455">
        <v>1.782897E-2</v>
      </c>
      <c r="R1455">
        <v>-0.98932640000000005</v>
      </c>
      <c r="S1455">
        <v>-8.2427979999999998E-2</v>
      </c>
      <c r="T1455">
        <v>-0.318359</v>
      </c>
      <c r="U1455">
        <v>-3.0243530000000001</v>
      </c>
      <c r="V1455">
        <v>0.10065449999999999</v>
      </c>
      <c r="W1455">
        <v>3.673187E-2</v>
      </c>
      <c r="X1455">
        <v>0.99424310000000005</v>
      </c>
      <c r="Y1455">
        <v>-1.7505509999999998E-2</v>
      </c>
      <c r="Z1455">
        <v>0.10450379999999999</v>
      </c>
      <c r="AA1455">
        <v>0.99437039999999999</v>
      </c>
      <c r="AB1455">
        <v>26</v>
      </c>
      <c r="AC1455">
        <v>-7.3000000000149603E-3</v>
      </c>
      <c r="AD1455">
        <v>-8.8035000000000002E-2</v>
      </c>
      <c r="AE1455">
        <v>-0.57620000000002802</v>
      </c>
      <c r="AF1455">
        <v>-1.7980519636877499E-2</v>
      </c>
      <c r="AG1455">
        <v>-8.8035000000000002E-2</v>
      </c>
      <c r="AH1455">
        <v>0.56281645215187703</v>
      </c>
      <c r="AI1455">
        <v>98.885631632156603</v>
      </c>
      <c r="AJ1455">
        <v>91.829828552589206</v>
      </c>
      <c r="AK1455">
        <v>0.56994369820556701</v>
      </c>
    </row>
    <row r="1456" spans="1:37" x14ac:dyDescent="0.2">
      <c r="A1456" t="str">
        <f>"20200111153635555"</f>
        <v>20200111153635555</v>
      </c>
      <c r="B1456" t="str">
        <f>"1578728195544397"</f>
        <v>1578728195544397</v>
      </c>
      <c r="C1456" t="s">
        <v>37</v>
      </c>
      <c r="D1456">
        <v>5.7298819999999999</v>
      </c>
      <c r="E1456">
        <v>0.455883599999999</v>
      </c>
      <c r="F1456" t="s">
        <v>38</v>
      </c>
      <c r="G1456">
        <v>-191.4983</v>
      </c>
      <c r="H1456">
        <v>1.0169139999999901</v>
      </c>
      <c r="I1456">
        <v>306.09699999999998</v>
      </c>
      <c r="J1456">
        <v>-191.49209999999999</v>
      </c>
      <c r="K1456">
        <v>1.102212</v>
      </c>
      <c r="L1456">
        <v>306.63240000000002</v>
      </c>
      <c r="M1456">
        <v>-4.9556120000000002E-2</v>
      </c>
      <c r="N1456">
        <v>0</v>
      </c>
      <c r="O1456">
        <v>-0.99857499999999999</v>
      </c>
      <c r="P1456">
        <v>-0.14942620000000001</v>
      </c>
      <c r="Q1456">
        <v>1.9842490000000001E-2</v>
      </c>
      <c r="R1456">
        <v>-0.98857390000000001</v>
      </c>
      <c r="S1456">
        <v>-9.017944E-2</v>
      </c>
      <c r="T1456">
        <v>-0.31897150000000002</v>
      </c>
      <c r="U1456">
        <v>-3.0249329999999999</v>
      </c>
      <c r="V1456">
        <v>0.1005612</v>
      </c>
      <c r="W1456">
        <v>3.8724099999999997E-2</v>
      </c>
      <c r="X1456">
        <v>0.99417699999999998</v>
      </c>
      <c r="Y1456">
        <v>-1.994541E-2</v>
      </c>
      <c r="Z1456">
        <v>0.10463989999999999</v>
      </c>
      <c r="AA1456">
        <v>0.99431009999999997</v>
      </c>
      <c r="AB1456">
        <v>26</v>
      </c>
      <c r="AC1456">
        <v>-6.2000000000068597E-3</v>
      </c>
      <c r="AD1456">
        <v>-8.5298000000000096E-2</v>
      </c>
      <c r="AE1456">
        <v>-0.53540000000003796</v>
      </c>
      <c r="AF1456">
        <v>-1.9841624394174001E-2</v>
      </c>
      <c r="AG1456">
        <v>-8.5298000000000096E-2</v>
      </c>
      <c r="AH1456">
        <v>0.52180665383640901</v>
      </c>
      <c r="AI1456">
        <v>99.277251763077899</v>
      </c>
      <c r="AJ1456">
        <v>92.177614806481401</v>
      </c>
      <c r="AK1456">
        <v>0.52910454812876995</v>
      </c>
    </row>
    <row r="1457" spans="1:37" x14ac:dyDescent="0.2">
      <c r="A1457" t="str">
        <f>"20200111153635579"</f>
        <v>20200111153635579</v>
      </c>
      <c r="B1457" t="str">
        <f>"1578728195573677"</f>
        <v>1578728195573677</v>
      </c>
      <c r="C1457" t="s">
        <v>37</v>
      </c>
      <c r="D1457">
        <v>5.7342510000000004</v>
      </c>
      <c r="E1457">
        <v>0.4551057</v>
      </c>
      <c r="F1457" t="s">
        <v>38</v>
      </c>
      <c r="G1457">
        <v>-191.518</v>
      </c>
      <c r="H1457">
        <v>1.021719</v>
      </c>
      <c r="I1457">
        <v>305.86320000000001</v>
      </c>
      <c r="J1457">
        <v>-191.51159999999999</v>
      </c>
      <c r="K1457">
        <v>1.1020799999999999</v>
      </c>
      <c r="L1457">
        <v>306.35829999999999</v>
      </c>
      <c r="M1457">
        <v>-5.4786630000000003E-2</v>
      </c>
      <c r="N1457">
        <v>0</v>
      </c>
      <c r="O1457">
        <v>-0.99830149999999995</v>
      </c>
      <c r="P1457">
        <v>-0.15481110000000001</v>
      </c>
      <c r="Q1457">
        <v>2.3426679999999998E-2</v>
      </c>
      <c r="R1457">
        <v>-0.98766640000000006</v>
      </c>
      <c r="S1457">
        <v>-0.1010437</v>
      </c>
      <c r="T1457">
        <v>-0.3164942</v>
      </c>
      <c r="U1457">
        <v>-3.025757</v>
      </c>
      <c r="V1457">
        <v>0.1008196</v>
      </c>
      <c r="W1457">
        <v>4.2277910000000002E-2</v>
      </c>
      <c r="X1457">
        <v>0.99400599999999995</v>
      </c>
      <c r="Y1457">
        <v>-2.162147E-2</v>
      </c>
      <c r="Z1457">
        <v>0.1037579</v>
      </c>
      <c r="AA1457">
        <v>0.99436749999999996</v>
      </c>
      <c r="AB1457">
        <v>26</v>
      </c>
      <c r="AC1457">
        <v>-6.4000000000134999E-3</v>
      </c>
      <c r="AD1457">
        <v>-8.0360999999999905E-2</v>
      </c>
      <c r="AE1457">
        <v>-0.495099999999979</v>
      </c>
      <c r="AF1457">
        <v>-2.02075157564E-2</v>
      </c>
      <c r="AG1457">
        <v>-8.0360999999999905E-2</v>
      </c>
      <c r="AH1457">
        <v>0.482010182861142</v>
      </c>
      <c r="AI1457">
        <v>99.4571687777173</v>
      </c>
      <c r="AJ1457">
        <v>92.400629309515296</v>
      </c>
      <c r="AK1457">
        <v>0.48908082194651298</v>
      </c>
    </row>
    <row r="1458" spans="1:37" x14ac:dyDescent="0.2">
      <c r="A1458" t="str">
        <f>"20200111153635622"</f>
        <v>20200111153635622</v>
      </c>
      <c r="B1458" t="str">
        <f>"1578728195613694"</f>
        <v>1578728195613694</v>
      </c>
      <c r="C1458" t="s">
        <v>37</v>
      </c>
      <c r="D1458">
        <v>6.2519599999999897</v>
      </c>
      <c r="E1458">
        <v>0.45475280000000001</v>
      </c>
      <c r="F1458" t="s">
        <v>38</v>
      </c>
      <c r="G1458">
        <v>-191.5385</v>
      </c>
      <c r="H1458">
        <v>1.028151</v>
      </c>
      <c r="I1458">
        <v>305.62779999999998</v>
      </c>
      <c r="J1458">
        <v>-191.55189999999999</v>
      </c>
      <c r="K1458">
        <v>1.1017680000000001</v>
      </c>
      <c r="L1458">
        <v>305.863</v>
      </c>
      <c r="M1458">
        <v>-6.5092430000000007E-2</v>
      </c>
      <c r="N1458">
        <v>0</v>
      </c>
      <c r="O1458">
        <v>-0.99768199999999996</v>
      </c>
      <c r="P1458">
        <v>-0.16531089999999901</v>
      </c>
      <c r="Q1458">
        <v>2.4418189999999999E-2</v>
      </c>
      <c r="R1458">
        <v>-0.98593909999999996</v>
      </c>
      <c r="S1458">
        <v>-0.1113586</v>
      </c>
      <c r="T1458">
        <v>-0.30640139999999999</v>
      </c>
      <c r="U1458">
        <v>-3.0273129999999999</v>
      </c>
      <c r="V1458">
        <v>0.101174899999999</v>
      </c>
      <c r="W1458">
        <v>4.3210230000000002E-2</v>
      </c>
      <c r="X1458">
        <v>0.99392979999999997</v>
      </c>
      <c r="Y1458">
        <v>-2.8565239999999999E-2</v>
      </c>
      <c r="Z1458">
        <v>0.1003242</v>
      </c>
      <c r="AA1458">
        <v>0.99454469999999995</v>
      </c>
      <c r="AB1458">
        <v>25</v>
      </c>
      <c r="AC1458">
        <v>1.339999999999E-2</v>
      </c>
      <c r="AD1458">
        <v>-7.3617000000000002E-2</v>
      </c>
      <c r="AE1458">
        <v>-0.23520000000002</v>
      </c>
      <c r="AF1458">
        <v>-2.6132476210764501E-2</v>
      </c>
      <c r="AG1458">
        <v>-7.3617000000000002E-2</v>
      </c>
      <c r="AH1458">
        <v>0.21302646241027701</v>
      </c>
      <c r="AI1458">
        <v>108.93225316426501</v>
      </c>
      <c r="AJ1458">
        <v>96.9936713454086</v>
      </c>
      <c r="AK1458">
        <v>0.226897868409872</v>
      </c>
    </row>
    <row r="1459" spans="1:37" x14ac:dyDescent="0.2">
      <c r="A1459" t="str">
        <f>"20200111153635645"</f>
        <v>20200111153635645</v>
      </c>
      <c r="B1459" t="str">
        <f>"1578728195634189"</f>
        <v>1578728195634189</v>
      </c>
      <c r="C1459" t="s">
        <v>37</v>
      </c>
      <c r="D1459">
        <v>5.9962859999999996</v>
      </c>
      <c r="E1459">
        <v>0.52954299999999999</v>
      </c>
      <c r="F1459" t="s">
        <v>38</v>
      </c>
      <c r="G1459">
        <v>-191.59469999999999</v>
      </c>
      <c r="H1459">
        <v>1.0101279999999999</v>
      </c>
      <c r="I1459">
        <v>304.95510000000002</v>
      </c>
      <c r="J1459">
        <v>-191.57560000000001</v>
      </c>
      <c r="K1459">
        <v>1.101607</v>
      </c>
      <c r="L1459">
        <v>305.6037</v>
      </c>
      <c r="M1459">
        <v>-7.0914000000000005E-2</v>
      </c>
      <c r="N1459">
        <v>0</v>
      </c>
      <c r="O1459">
        <v>-0.99728479999999997</v>
      </c>
      <c r="P1459">
        <v>-0.1734714</v>
      </c>
      <c r="Q1459">
        <v>2.388887E-2</v>
      </c>
      <c r="R1459">
        <v>-0.98454909999999995</v>
      </c>
      <c r="S1459">
        <v>-0.1422119</v>
      </c>
      <c r="T1459">
        <v>-0.30541439999999997</v>
      </c>
      <c r="U1459">
        <v>-3.0265200000000001</v>
      </c>
      <c r="V1459">
        <v>0.10361860000000001</v>
      </c>
      <c r="W1459">
        <v>4.262759E-2</v>
      </c>
      <c r="X1459">
        <v>0.99370319999999901</v>
      </c>
      <c r="Y1459">
        <v>-2.426683E-2</v>
      </c>
      <c r="Z1459">
        <v>9.9955420000000003E-2</v>
      </c>
      <c r="AA1459">
        <v>0.99469599999999903</v>
      </c>
      <c r="AB1459">
        <v>25</v>
      </c>
      <c r="AC1459">
        <v>-1.9099999999980299E-2</v>
      </c>
      <c r="AD1459">
        <v>-9.1478999999999797E-2</v>
      </c>
      <c r="AE1459">
        <v>-0.64859999999998696</v>
      </c>
      <c r="AF1459">
        <v>-2.6426755689914101E-2</v>
      </c>
      <c r="AG1459">
        <v>-9.1478999999999797E-2</v>
      </c>
      <c r="AH1459">
        <v>0.63568675623452098</v>
      </c>
      <c r="AI1459">
        <v>98.182003328949406</v>
      </c>
      <c r="AJ1459">
        <v>92.380528136677995</v>
      </c>
      <c r="AK1459">
        <v>0.64277868112536296</v>
      </c>
    </row>
    <row r="1460" spans="1:37" x14ac:dyDescent="0.2">
      <c r="A1460" t="str">
        <f>"20200111153635668"</f>
        <v>20200111153635668</v>
      </c>
      <c r="B1460" t="str">
        <f>"1578728195664444"</f>
        <v>1578728195664444</v>
      </c>
      <c r="C1460" t="s">
        <v>37</v>
      </c>
      <c r="D1460">
        <v>6.1734660000000003</v>
      </c>
      <c r="E1460">
        <v>0.61668869999999998</v>
      </c>
      <c r="F1460" t="s">
        <v>38</v>
      </c>
      <c r="G1460">
        <v>-191.79849999999999</v>
      </c>
      <c r="H1460">
        <v>1.0132000000000001</v>
      </c>
      <c r="I1460">
        <v>304.7423</v>
      </c>
      <c r="J1460">
        <v>-191.60079999999999</v>
      </c>
      <c r="K1460">
        <v>1.1014619999999999</v>
      </c>
      <c r="L1460">
        <v>305.34840000000003</v>
      </c>
      <c r="M1460">
        <v>-7.6915709999999998E-2</v>
      </c>
      <c r="N1460">
        <v>0</v>
      </c>
      <c r="O1460">
        <v>-0.99683980000000005</v>
      </c>
      <c r="P1460">
        <v>-0.18276329999999999</v>
      </c>
      <c r="Q1460">
        <v>2.3606430000000001E-2</v>
      </c>
      <c r="R1460">
        <v>-0.98287359999999901</v>
      </c>
      <c r="S1460">
        <v>-0.75564580000000003</v>
      </c>
      <c r="T1460">
        <v>-0.29975839999999998</v>
      </c>
      <c r="U1460">
        <v>-2.9212039999999999</v>
      </c>
      <c r="V1460">
        <v>0.1070366</v>
      </c>
      <c r="W1460">
        <v>4.2281249999999999E-2</v>
      </c>
      <c r="X1460">
        <v>0.99335560000000001</v>
      </c>
      <c r="Y1460">
        <v>0.17397470000000001</v>
      </c>
      <c r="Z1460">
        <v>9.9234959999999997E-2</v>
      </c>
      <c r="AA1460">
        <v>0.97973729999999903</v>
      </c>
      <c r="AB1460">
        <v>25</v>
      </c>
      <c r="AC1460">
        <v>-0.19769999999999699</v>
      </c>
      <c r="AD1460">
        <v>-8.8261999999999993E-2</v>
      </c>
      <c r="AE1460">
        <v>-0.60610000000002595</v>
      </c>
      <c r="AF1460">
        <v>0.14765620529366699</v>
      </c>
      <c r="AG1460">
        <v>-8.8261999999999993E-2</v>
      </c>
      <c r="AH1460">
        <v>0.607862272044848</v>
      </c>
      <c r="AI1460">
        <v>98.031276838352994</v>
      </c>
      <c r="AJ1460">
        <v>76.346687187030497</v>
      </c>
      <c r="AK1460">
        <v>0.63173497400512102</v>
      </c>
    </row>
    <row r="1461" spans="1:37" x14ac:dyDescent="0.2">
      <c r="A1461" t="str">
        <f>"20200111153635688"</f>
        <v>20200111153635688</v>
      </c>
      <c r="B1461" t="str">
        <f>"1578728195683966"</f>
        <v>1578728195683966</v>
      </c>
      <c r="C1461" t="s">
        <v>37</v>
      </c>
      <c r="D1461">
        <v>6.1488389999999997</v>
      </c>
      <c r="E1461">
        <v>0.61808149999999995</v>
      </c>
      <c r="F1461" t="s">
        <v>44</v>
      </c>
      <c r="G1461">
        <v>-197.7799</v>
      </c>
      <c r="H1461" s="1">
        <v>1.25038E-6</v>
      </c>
      <c r="I1461">
        <v>293.61329999999998</v>
      </c>
      <c r="J1461">
        <v>-191.62540000000001</v>
      </c>
      <c r="K1461">
        <v>1.1013310000000001</v>
      </c>
      <c r="L1461">
        <v>305.11430000000001</v>
      </c>
      <c r="M1461">
        <v>-8.2672480000000007E-2</v>
      </c>
      <c r="N1461">
        <v>0</v>
      </c>
      <c r="O1461">
        <v>-0.9963786</v>
      </c>
      <c r="P1461">
        <v>-0.1914061</v>
      </c>
      <c r="Q1461">
        <v>2.3584529999999999E-2</v>
      </c>
      <c r="R1461">
        <v>-0.98122790000000004</v>
      </c>
      <c r="S1461">
        <v>-1.4668429999999999</v>
      </c>
      <c r="T1461">
        <v>-0.26147320000000002</v>
      </c>
      <c r="U1461">
        <v>-2.7857669999999999</v>
      </c>
      <c r="V1461">
        <v>0.110055399999999</v>
      </c>
      <c r="W1461">
        <v>4.2199300000000002E-2</v>
      </c>
      <c r="X1461">
        <v>0.99302919999999995</v>
      </c>
      <c r="Y1461">
        <v>0.38951019999999997</v>
      </c>
      <c r="Z1461">
        <v>8.3873920000000005E-2</v>
      </c>
      <c r="AA1461">
        <v>0.91719509999999904</v>
      </c>
      <c r="AB1461">
        <v>25</v>
      </c>
      <c r="AC1461">
        <v>-6.1544999999999801</v>
      </c>
      <c r="AD1461">
        <v>-1.1013297496200001</v>
      </c>
      <c r="AE1461">
        <v>-11.500999999999999</v>
      </c>
      <c r="AF1461">
        <v>5.1457377960584898</v>
      </c>
      <c r="AG1461">
        <v>-1.1013297496200001</v>
      </c>
      <c r="AH1461">
        <v>11.8857937968746</v>
      </c>
      <c r="AI1461">
        <v>94.860314313268105</v>
      </c>
      <c r="AJ1461">
        <v>66.590680356148297</v>
      </c>
      <c r="AK1461">
        <v>12.998601419576101</v>
      </c>
    </row>
    <row r="1462" spans="1:37" x14ac:dyDescent="0.2">
      <c r="A1462" t="str">
        <f>"20200111153635710"</f>
        <v>20200111153635710</v>
      </c>
      <c r="B1462" t="str">
        <f>"1578728195704461"</f>
        <v>1578728195704461</v>
      </c>
      <c r="C1462" t="s">
        <v>37</v>
      </c>
      <c r="D1462">
        <v>6.0360069999999997</v>
      </c>
      <c r="E1462">
        <v>0.61651089999999997</v>
      </c>
      <c r="F1462" t="s">
        <v>44</v>
      </c>
      <c r="G1462">
        <v>-196.2758</v>
      </c>
      <c r="H1462" s="1">
        <v>5.4139379999999997E-7</v>
      </c>
      <c r="I1462">
        <v>296.54219999999998</v>
      </c>
      <c r="J1462">
        <v>-191.6524</v>
      </c>
      <c r="K1462">
        <v>1.101197</v>
      </c>
      <c r="L1462">
        <v>304.87490000000003</v>
      </c>
      <c r="M1462">
        <v>-8.8829350000000001E-2</v>
      </c>
      <c r="N1462">
        <v>0</v>
      </c>
      <c r="O1462">
        <v>-0.99584839999999997</v>
      </c>
      <c r="P1462">
        <v>-0.1988721</v>
      </c>
      <c r="Q1462">
        <v>2.3990500000000001E-2</v>
      </c>
      <c r="R1462">
        <v>-0.97973199999999905</v>
      </c>
      <c r="S1462">
        <v>-1.5041199999999999</v>
      </c>
      <c r="T1462">
        <v>-0.35621379999999903</v>
      </c>
      <c r="U1462">
        <v>-2.7725520000000001</v>
      </c>
      <c r="V1462">
        <v>0.11149969999999999</v>
      </c>
      <c r="W1462">
        <v>4.2561849999999998E-2</v>
      </c>
      <c r="X1462">
        <v>0.99285259999999997</v>
      </c>
      <c r="Y1462">
        <v>0.3937814</v>
      </c>
      <c r="Z1462">
        <v>0.1138299</v>
      </c>
      <c r="AA1462">
        <v>0.91212879999999996</v>
      </c>
      <c r="AB1462">
        <v>25</v>
      </c>
      <c r="AC1462">
        <v>-4.6234000000000002</v>
      </c>
      <c r="AD1462">
        <v>-1.1011964586062</v>
      </c>
      <c r="AE1462">
        <v>-8.33270000000004</v>
      </c>
      <c r="AF1462">
        <v>3.8138526018371701</v>
      </c>
      <c r="AG1462">
        <v>-1.1011964586062</v>
      </c>
      <c r="AH1462">
        <v>8.5957376721030503</v>
      </c>
      <c r="AI1462">
        <v>96.6789605145173</v>
      </c>
      <c r="AJ1462">
        <v>66.0735631486437</v>
      </c>
      <c r="AK1462">
        <v>9.4680943930971893</v>
      </c>
    </row>
    <row r="1463" spans="1:37" x14ac:dyDescent="0.2">
      <c r="A1463" t="str">
        <f>"20200111153635733"</f>
        <v>20200111153635733</v>
      </c>
      <c r="B1463" t="str">
        <f>"1578728195723981"</f>
        <v>1578728195723981</v>
      </c>
      <c r="C1463" t="s">
        <v>37</v>
      </c>
      <c r="D1463">
        <v>6.0374429999999997</v>
      </c>
      <c r="E1463">
        <v>0.61437369999999902</v>
      </c>
      <c r="F1463" t="s">
        <v>44</v>
      </c>
      <c r="G1463">
        <v>-195.76499999999999</v>
      </c>
      <c r="H1463" s="1">
        <v>3.9619779999999997E-7</v>
      </c>
      <c r="I1463">
        <v>297.36669999999998</v>
      </c>
      <c r="J1463">
        <v>-191.6831</v>
      </c>
      <c r="K1463">
        <v>1.1010329999999999</v>
      </c>
      <c r="L1463">
        <v>304.61950000000002</v>
      </c>
      <c r="M1463">
        <v>-9.5701820000000007E-2</v>
      </c>
      <c r="N1463">
        <v>0</v>
      </c>
      <c r="O1463">
        <v>-0.99521099999999996</v>
      </c>
      <c r="P1463">
        <v>-0.20569389999999901</v>
      </c>
      <c r="Q1463">
        <v>2.4634389999999999E-2</v>
      </c>
      <c r="R1463">
        <v>-0.97830629999999996</v>
      </c>
      <c r="S1463">
        <v>-1.5143279999999999</v>
      </c>
      <c r="T1463">
        <v>-0.40547909999999998</v>
      </c>
      <c r="U1463">
        <v>-2.76464799999999</v>
      </c>
      <c r="V1463">
        <v>0.1115898</v>
      </c>
      <c r="W1463">
        <v>4.3172120000000001E-2</v>
      </c>
      <c r="X1463">
        <v>0.99281620000000004</v>
      </c>
      <c r="Y1463">
        <v>0.39021020000000001</v>
      </c>
      <c r="Z1463">
        <v>0.1294942</v>
      </c>
      <c r="AA1463">
        <v>0.91157410000000005</v>
      </c>
      <c r="AB1463">
        <v>25</v>
      </c>
      <c r="AC1463">
        <v>-4.0818999999999903</v>
      </c>
      <c r="AD1463">
        <v>-1.1010326038022</v>
      </c>
      <c r="AE1463">
        <v>-7.2528000000000299</v>
      </c>
      <c r="AF1463">
        <v>3.3109647763782202</v>
      </c>
      <c r="AG1463">
        <v>-1.1010326038022</v>
      </c>
      <c r="AH1463">
        <v>7.4793168126310903</v>
      </c>
      <c r="AI1463">
        <v>97.666521077882095</v>
      </c>
      <c r="AJ1463">
        <v>66.121852708552197</v>
      </c>
      <c r="AK1463">
        <v>8.2531776019154499</v>
      </c>
    </row>
    <row r="1464" spans="1:37" x14ac:dyDescent="0.2">
      <c r="A1464" t="str">
        <f>"20200111153635754"</f>
        <v>20200111153635754</v>
      </c>
      <c r="B1464" t="str">
        <f>"1578728195744476"</f>
        <v>1578728195744476</v>
      </c>
      <c r="C1464" t="s">
        <v>37</v>
      </c>
      <c r="D1464">
        <v>6.0514830000000002</v>
      </c>
      <c r="E1464">
        <v>0.61261429999999995</v>
      </c>
      <c r="F1464" t="s">
        <v>44</v>
      </c>
      <c r="G1464">
        <v>-195.52459999999999</v>
      </c>
      <c r="H1464" s="1">
        <v>3.4857799999999901E-7</v>
      </c>
      <c r="I1464">
        <v>297.63709999999998</v>
      </c>
      <c r="J1464">
        <v>-191.71289999999999</v>
      </c>
      <c r="K1464">
        <v>1.1008739999999999</v>
      </c>
      <c r="L1464">
        <v>304.38749999999999</v>
      </c>
      <c r="M1464">
        <v>-0.1022286</v>
      </c>
      <c r="N1464">
        <v>0</v>
      </c>
      <c r="O1464">
        <v>-0.99456199999999995</v>
      </c>
      <c r="P1464">
        <v>-0.21244189999999999</v>
      </c>
      <c r="Q1464">
        <v>2.5266999999999901E-2</v>
      </c>
      <c r="R1464">
        <v>-0.97684740000000003</v>
      </c>
      <c r="S1464">
        <v>-1.5175479999999999</v>
      </c>
      <c r="T1464">
        <v>-0.43495649999999902</v>
      </c>
      <c r="U1464">
        <v>-2.758362</v>
      </c>
      <c r="V1464">
        <v>0.1119559</v>
      </c>
      <c r="W1464">
        <v>4.37595E-2</v>
      </c>
      <c r="X1464">
        <v>0.9927492</v>
      </c>
      <c r="Y1464">
        <v>0.3852507</v>
      </c>
      <c r="Z1464">
        <v>0.13896729999999999</v>
      </c>
      <c r="AA1464">
        <v>0.91228829999999905</v>
      </c>
      <c r="AB1464">
        <v>25</v>
      </c>
      <c r="AC1464">
        <v>-3.8117000000000001</v>
      </c>
      <c r="AD1464">
        <v>-1.1008736514219899</v>
      </c>
      <c r="AE1464">
        <v>-6.7504000000000097</v>
      </c>
      <c r="AF1464">
        <v>3.0401928790980799</v>
      </c>
      <c r="AG1464">
        <v>-1.1008736514219899</v>
      </c>
      <c r="AH1464">
        <v>6.9643187157493296</v>
      </c>
      <c r="AI1464">
        <v>98.243160813611198</v>
      </c>
      <c r="AJ1464">
        <v>66.416880509071007</v>
      </c>
      <c r="AK1464">
        <v>7.6783091050732102</v>
      </c>
    </row>
    <row r="1465" spans="1:37" x14ac:dyDescent="0.2">
      <c r="A1465" t="str">
        <f>"20200111153635777"</f>
        <v>20200111153635777</v>
      </c>
      <c r="B1465" t="str">
        <f>"1578728195773757"</f>
        <v>1578728195773757</v>
      </c>
      <c r="C1465" t="s">
        <v>37</v>
      </c>
      <c r="D1465">
        <v>6.0012410000000003</v>
      </c>
      <c r="E1465">
        <v>0.61099539999999997</v>
      </c>
      <c r="F1465" t="s">
        <v>44</v>
      </c>
      <c r="G1465">
        <v>-195.42850000000001</v>
      </c>
      <c r="H1465" s="1">
        <v>3.4190359999999999E-7</v>
      </c>
      <c r="I1465">
        <v>297.67500000000001</v>
      </c>
      <c r="J1465">
        <v>-191.74639999999999</v>
      </c>
      <c r="K1465">
        <v>1.1007009999999999</v>
      </c>
      <c r="L1465">
        <v>304.14269999999999</v>
      </c>
      <c r="M1465">
        <v>-0.109413699999999</v>
      </c>
      <c r="N1465">
        <v>0</v>
      </c>
      <c r="O1465">
        <v>-0.99379689999999998</v>
      </c>
      <c r="P1465">
        <v>-0.21991639999999901</v>
      </c>
      <c r="Q1465">
        <v>2.588615E-2</v>
      </c>
      <c r="R1465">
        <v>-0.97517540000000003</v>
      </c>
      <c r="S1465">
        <v>-1.5230709999999901</v>
      </c>
      <c r="T1465">
        <v>-0.45125870000000001</v>
      </c>
      <c r="U1465">
        <v>-2.7515259999999899</v>
      </c>
      <c r="V1465">
        <v>0.1124122</v>
      </c>
      <c r="W1465">
        <v>4.4325429999999999E-2</v>
      </c>
      <c r="X1465">
        <v>0.99267249999999996</v>
      </c>
      <c r="Y1465">
        <v>0.38058189999999997</v>
      </c>
      <c r="Z1465">
        <v>0.14428070000000001</v>
      </c>
      <c r="AA1465">
        <v>0.91342239999999997</v>
      </c>
      <c r="AB1465">
        <v>25</v>
      </c>
      <c r="AC1465">
        <v>-3.6821000000000201</v>
      </c>
      <c r="AD1465">
        <v>-1.1007006580963901</v>
      </c>
      <c r="AE1465">
        <v>-6.4676999999999696</v>
      </c>
      <c r="AF1465">
        <v>2.8889977072522202</v>
      </c>
      <c r="AG1465">
        <v>-1.1007006580963901</v>
      </c>
      <c r="AH1465">
        <v>6.6855707757888396</v>
      </c>
      <c r="AI1465">
        <v>98.594149319467803</v>
      </c>
      <c r="AJ1465">
        <v>66.629653172514097</v>
      </c>
      <c r="AK1465">
        <v>7.3657794081362598</v>
      </c>
    </row>
    <row r="1466" spans="1:37" x14ac:dyDescent="0.2">
      <c r="A1466" t="str">
        <f>"20200111153635801"</f>
        <v>20200111153635801</v>
      </c>
      <c r="B1466" t="str">
        <f>"1578728195794253"</f>
        <v>1578728195794253</v>
      </c>
      <c r="C1466" t="s">
        <v>37</v>
      </c>
      <c r="D1466">
        <v>6.0240200000000002</v>
      </c>
      <c r="E1466">
        <v>0.61051730000000004</v>
      </c>
      <c r="F1466" t="s">
        <v>44</v>
      </c>
      <c r="G1466">
        <v>-195.3424</v>
      </c>
      <c r="H1466" s="1">
        <v>3.375669E-7</v>
      </c>
      <c r="I1466">
        <v>297.69959999999998</v>
      </c>
      <c r="J1466">
        <v>-191.78229999999999</v>
      </c>
      <c r="K1466">
        <v>1.100528</v>
      </c>
      <c r="L1466">
        <v>303.89640000000003</v>
      </c>
      <c r="M1466">
        <v>-0.116970899999999</v>
      </c>
      <c r="N1466">
        <v>0</v>
      </c>
      <c r="O1466">
        <v>-0.99293580000000004</v>
      </c>
      <c r="P1466">
        <v>-0.22724139999999901</v>
      </c>
      <c r="Q1466">
        <v>2.5788910000000002E-2</v>
      </c>
      <c r="R1466">
        <v>-0.97349730000000001</v>
      </c>
      <c r="S1466">
        <v>-1.531174</v>
      </c>
      <c r="T1466">
        <v>-0.46868219999999999</v>
      </c>
      <c r="U1466">
        <v>-2.7435</v>
      </c>
      <c r="V1466">
        <v>0.1123406</v>
      </c>
      <c r="W1466">
        <v>4.4184899999999999E-2</v>
      </c>
      <c r="X1466">
        <v>0.99268690000000004</v>
      </c>
      <c r="Y1466">
        <v>0.37633899999999998</v>
      </c>
      <c r="Z1466">
        <v>0.1499335</v>
      </c>
      <c r="AA1466">
        <v>0.91426960000000002</v>
      </c>
      <c r="AB1466">
        <v>24</v>
      </c>
      <c r="AC1466">
        <v>-3.5600999999999998</v>
      </c>
      <c r="AD1466">
        <v>-1.1005276624331</v>
      </c>
      <c r="AE1466">
        <v>-6.1968000000000503</v>
      </c>
      <c r="AF1466">
        <v>2.7455555916791501</v>
      </c>
      <c r="AG1466">
        <v>-1.1005276624331</v>
      </c>
      <c r="AH1466">
        <v>6.4185482378879097</v>
      </c>
      <c r="AI1466">
        <v>98.958595209672097</v>
      </c>
      <c r="AJ1466">
        <v>66.841019741543107</v>
      </c>
      <c r="AK1466">
        <v>7.0673190196053204</v>
      </c>
    </row>
    <row r="1467" spans="1:37" x14ac:dyDescent="0.2">
      <c r="A1467" t="str">
        <f>"20200111153635822"</f>
        <v>20200111153635822</v>
      </c>
      <c r="B1467" t="str">
        <f>"1578728195813772"</f>
        <v>1578728195813772</v>
      </c>
      <c r="C1467" t="s">
        <v>37</v>
      </c>
      <c r="D1467">
        <v>6.0373049999999999</v>
      </c>
      <c r="E1467">
        <v>0.6102398</v>
      </c>
      <c r="F1467" t="s">
        <v>44</v>
      </c>
      <c r="G1467">
        <v>-195.39189999999999</v>
      </c>
      <c r="H1467" s="1">
        <v>3.6875029999999899E-7</v>
      </c>
      <c r="I1467">
        <v>297.52249999999998</v>
      </c>
      <c r="J1467">
        <v>-191.82089999999999</v>
      </c>
      <c r="K1467">
        <v>1.100365</v>
      </c>
      <c r="L1467">
        <v>303.649</v>
      </c>
      <c r="M1467">
        <v>-0.1249295</v>
      </c>
      <c r="N1467">
        <v>0</v>
      </c>
      <c r="O1467">
        <v>-0.99196569999999995</v>
      </c>
      <c r="P1467">
        <v>-0.23456250000000001</v>
      </c>
      <c r="Q1467">
        <v>2.6088989999999999E-2</v>
      </c>
      <c r="R1467">
        <v>-0.97175100000000003</v>
      </c>
      <c r="S1467">
        <v>-1.5476840000000001</v>
      </c>
      <c r="T1467">
        <v>-0.47186830000000002</v>
      </c>
      <c r="U1467">
        <v>-2.73291</v>
      </c>
      <c r="V1467">
        <v>0.111874399999999</v>
      </c>
      <c r="W1467">
        <v>4.4454529999999999E-2</v>
      </c>
      <c r="X1467">
        <v>0.99272749999999998</v>
      </c>
      <c r="Y1467">
        <v>0.37453930000000002</v>
      </c>
      <c r="Z1467">
        <v>0.15105569999999999</v>
      </c>
      <c r="AA1467">
        <v>0.91482379999999996</v>
      </c>
      <c r="AB1467">
        <v>24</v>
      </c>
      <c r="AC1467">
        <v>-3.57099999999999</v>
      </c>
      <c r="AD1467">
        <v>-1.1003646312497</v>
      </c>
      <c r="AE1467">
        <v>-6.1265000000000196</v>
      </c>
      <c r="AF1467">
        <v>2.7121752948498301</v>
      </c>
      <c r="AG1467">
        <v>-1.1003646312497</v>
      </c>
      <c r="AH1467">
        <v>6.3712855978901901</v>
      </c>
      <c r="AI1467">
        <v>99.029267247317804</v>
      </c>
      <c r="AJ1467">
        <v>66.941162072631798</v>
      </c>
      <c r="AK1467">
        <v>7.0114176399343098</v>
      </c>
    </row>
    <row r="1468" spans="1:37" x14ac:dyDescent="0.2">
      <c r="A1468" t="str">
        <f>"20200111153635845"</f>
        <v>20200111153635845</v>
      </c>
      <c r="B1468" t="str">
        <f>"1578728195834268"</f>
        <v>1578728195834268</v>
      </c>
      <c r="C1468" t="s">
        <v>37</v>
      </c>
      <c r="D1468">
        <v>6.01884</v>
      </c>
      <c r="E1468">
        <v>0.60960570000000003</v>
      </c>
      <c r="F1468" t="s">
        <v>44</v>
      </c>
      <c r="G1468">
        <v>-195.43629999999999</v>
      </c>
      <c r="H1468" s="1">
        <v>3.9644690000000001E-7</v>
      </c>
      <c r="I1468">
        <v>297.36529999999999</v>
      </c>
      <c r="J1468">
        <v>-191.86009999999999</v>
      </c>
      <c r="K1468">
        <v>1.1002369999999999</v>
      </c>
      <c r="L1468">
        <v>303.41239999999999</v>
      </c>
      <c r="M1468">
        <v>-0.13280500000000001</v>
      </c>
      <c r="N1468">
        <v>0</v>
      </c>
      <c r="O1468">
        <v>-0.99094179999999998</v>
      </c>
      <c r="P1468">
        <v>-0.242271599999999</v>
      </c>
      <c r="Q1468">
        <v>2.6294870000000001E-2</v>
      </c>
      <c r="R1468">
        <v>-0.96985209999999999</v>
      </c>
      <c r="S1468">
        <v>-1.5660860000000001</v>
      </c>
      <c r="T1468">
        <v>-0.47665360000000001</v>
      </c>
      <c r="U1468">
        <v>-2.7219849999999899</v>
      </c>
      <c r="V1468">
        <v>0.1118895</v>
      </c>
      <c r="W1468">
        <v>4.4632209999999999E-2</v>
      </c>
      <c r="X1468">
        <v>0.99271779999999998</v>
      </c>
      <c r="Y1468">
        <v>0.3733012</v>
      </c>
      <c r="Z1468">
        <v>0.15263699999999999</v>
      </c>
      <c r="AA1468">
        <v>0.91506730000000003</v>
      </c>
      <c r="AB1468">
        <v>24</v>
      </c>
      <c r="AC1468">
        <v>-3.5762</v>
      </c>
      <c r="AD1468">
        <v>-1.1002366035530999</v>
      </c>
      <c r="AE1468">
        <v>-6.0471000000000004</v>
      </c>
      <c r="AF1468">
        <v>2.6756425828396901</v>
      </c>
      <c r="AG1468">
        <v>-1.1002366035530999</v>
      </c>
      <c r="AH1468">
        <v>6.3136964008515504</v>
      </c>
      <c r="AI1468">
        <v>99.115345040450194</v>
      </c>
      <c r="AJ1468">
        <v>67.033553518839199</v>
      </c>
      <c r="AK1468">
        <v>6.94495111984447</v>
      </c>
    </row>
    <row r="1469" spans="1:37" x14ac:dyDescent="0.2">
      <c r="A1469" t="str">
        <f>"20200111153635867"</f>
        <v>20200111153635867</v>
      </c>
      <c r="B1469" t="str">
        <f>"1578728195853788"</f>
        <v>1578728195853788</v>
      </c>
      <c r="C1469" t="s">
        <v>37</v>
      </c>
      <c r="D1469">
        <v>5.9816029999999998</v>
      </c>
      <c r="E1469">
        <v>0.60941509999999999</v>
      </c>
      <c r="F1469" t="s">
        <v>44</v>
      </c>
      <c r="G1469">
        <v>-195.4701</v>
      </c>
      <c r="H1469" s="1">
        <v>4.2068620000000002E-7</v>
      </c>
      <c r="I1469">
        <v>297.2276</v>
      </c>
      <c r="J1469">
        <v>-191.9006</v>
      </c>
      <c r="K1469">
        <v>1.1001350000000001</v>
      </c>
      <c r="L1469">
        <v>303.18040000000002</v>
      </c>
      <c r="M1469">
        <v>-0.140770799999999</v>
      </c>
      <c r="N1469">
        <v>0</v>
      </c>
      <c r="O1469">
        <v>-0.98984150000000004</v>
      </c>
      <c r="P1469">
        <v>-0.25073210000000001</v>
      </c>
      <c r="Q1469">
        <v>2.6157630000000001E-2</v>
      </c>
      <c r="R1469">
        <v>-0.96770319999999899</v>
      </c>
      <c r="S1469">
        <v>-1.5824279999999999</v>
      </c>
      <c r="T1469">
        <v>-0.48227799999999998</v>
      </c>
      <c r="U1469">
        <v>-2.7110289999999999</v>
      </c>
      <c r="V1469">
        <v>0.112584199999999</v>
      </c>
      <c r="W1469">
        <v>4.4461670000000002E-2</v>
      </c>
      <c r="X1469">
        <v>0.9926469</v>
      </c>
      <c r="Y1469">
        <v>0.37142979999999998</v>
      </c>
      <c r="Z1469">
        <v>0.1545079</v>
      </c>
      <c r="AA1469">
        <v>0.91551469999999902</v>
      </c>
      <c r="AB1469">
        <v>24</v>
      </c>
      <c r="AC1469">
        <v>-3.5695000000000001</v>
      </c>
      <c r="AD1469">
        <v>-1.1001345793138</v>
      </c>
      <c r="AE1469">
        <v>-5.9528000000000203</v>
      </c>
      <c r="AF1469">
        <v>2.6297309758227101</v>
      </c>
      <c r="AG1469">
        <v>-1.1001345793138</v>
      </c>
      <c r="AH1469">
        <v>6.2393375552221499</v>
      </c>
      <c r="AI1469">
        <v>99.228786055335107</v>
      </c>
      <c r="AJ1469">
        <v>67.145745035908504</v>
      </c>
      <c r="AK1469">
        <v>6.85967304073663</v>
      </c>
    </row>
    <row r="1470" spans="1:37" x14ac:dyDescent="0.2">
      <c r="A1470" t="str">
        <f>"20200111153635888"</f>
        <v>20200111153635888</v>
      </c>
      <c r="B1470" t="str">
        <f>"1578728195884045"</f>
        <v>1578728195884045</v>
      </c>
      <c r="C1470" t="s">
        <v>37</v>
      </c>
      <c r="D1470">
        <v>5.9584960000000002</v>
      </c>
      <c r="E1470">
        <v>0.60915779999999997</v>
      </c>
      <c r="F1470" t="s">
        <v>44</v>
      </c>
      <c r="G1470">
        <v>-195.51060000000001</v>
      </c>
      <c r="H1470" s="1">
        <v>4.4171289999999999E-7</v>
      </c>
      <c r="I1470">
        <v>297.10820000000001</v>
      </c>
      <c r="J1470">
        <v>-191.94370000000001</v>
      </c>
      <c r="K1470">
        <v>1.100041</v>
      </c>
      <c r="L1470">
        <v>302.94619999999998</v>
      </c>
      <c r="M1470">
        <v>-0.14905750000000001</v>
      </c>
      <c r="N1470">
        <v>0</v>
      </c>
      <c r="O1470">
        <v>-0.9886277</v>
      </c>
      <c r="P1470">
        <v>-0.259745</v>
      </c>
      <c r="Q1470">
        <v>2.6238049999999999E-2</v>
      </c>
      <c r="R1470">
        <v>-0.96532099999999899</v>
      </c>
      <c r="S1470">
        <v>-1.603882</v>
      </c>
      <c r="T1470">
        <v>-0.48876839999999999</v>
      </c>
      <c r="U1470">
        <v>-2.6977540000000002</v>
      </c>
      <c r="V1470">
        <v>0.1135379</v>
      </c>
      <c r="W1470">
        <v>4.450312E-2</v>
      </c>
      <c r="X1470">
        <v>0.99253649999999904</v>
      </c>
      <c r="Y1470">
        <v>0.3708555</v>
      </c>
      <c r="Z1470">
        <v>0.15662190000000001</v>
      </c>
      <c r="AA1470">
        <v>0.91538829999999904</v>
      </c>
      <c r="AB1470">
        <v>24</v>
      </c>
      <c r="AC1470">
        <v>-3.5669</v>
      </c>
      <c r="AD1470">
        <v>-1.1000405582871</v>
      </c>
      <c r="AE1470">
        <v>-5.8379999999999601</v>
      </c>
      <c r="AF1470">
        <v>2.5897120480645901</v>
      </c>
      <c r="AG1470">
        <v>-1.1000405582871</v>
      </c>
      <c r="AH1470">
        <v>6.1456452072687</v>
      </c>
      <c r="AI1470">
        <v>99.366504020292098</v>
      </c>
      <c r="AJ1470">
        <v>67.149939826968094</v>
      </c>
      <c r="AK1470">
        <v>6.7591162688174196</v>
      </c>
    </row>
    <row r="1471" spans="1:37" x14ac:dyDescent="0.2">
      <c r="A1471" t="str">
        <f>"20200111153635911"</f>
        <v>20200111153635911</v>
      </c>
      <c r="B1471" t="str">
        <f>"1578728195904541"</f>
        <v>1578728195904541</v>
      </c>
      <c r="C1471" t="s">
        <v>37</v>
      </c>
      <c r="D1471">
        <v>6.0373080000000003</v>
      </c>
      <c r="E1471">
        <v>0.60893390000000003</v>
      </c>
      <c r="F1471" t="s">
        <v>44</v>
      </c>
      <c r="G1471">
        <v>-195.58160000000001</v>
      </c>
      <c r="H1471" s="1">
        <v>4.7042120000000001E-7</v>
      </c>
      <c r="I1471">
        <v>296.9452</v>
      </c>
      <c r="J1471">
        <v>-191.9898</v>
      </c>
      <c r="K1471">
        <v>1.0999399999999999</v>
      </c>
      <c r="L1471">
        <v>302.7088</v>
      </c>
      <c r="M1471">
        <v>-0.15770149999999999</v>
      </c>
      <c r="N1471">
        <v>0</v>
      </c>
      <c r="O1471">
        <v>-0.98728590000000005</v>
      </c>
      <c r="P1471">
        <v>-0.26976529999999999</v>
      </c>
      <c r="Q1471">
        <v>2.6454490000000001E-2</v>
      </c>
      <c r="R1471">
        <v>-0.96256280000000005</v>
      </c>
      <c r="S1471">
        <v>-1.6267399999999901</v>
      </c>
      <c r="T1471">
        <v>-0.49190249999999902</v>
      </c>
      <c r="U1471">
        <v>-2.6834410000000002</v>
      </c>
      <c r="V1471">
        <v>0.1151862</v>
      </c>
      <c r="W1471">
        <v>4.4657469999999998E-2</v>
      </c>
      <c r="X1471">
        <v>0.99233959999999999</v>
      </c>
      <c r="Y1471">
        <v>0.3705254</v>
      </c>
      <c r="Z1471">
        <v>0.15767729999999999</v>
      </c>
      <c r="AA1471">
        <v>0.91534079999999995</v>
      </c>
      <c r="AB1471">
        <v>24</v>
      </c>
      <c r="AC1471">
        <v>-3.5918000000000001</v>
      </c>
      <c r="AD1471">
        <v>-1.0999395295787999</v>
      </c>
      <c r="AE1471">
        <v>-5.7635999999999896</v>
      </c>
      <c r="AF1471">
        <v>2.5703018712144301</v>
      </c>
      <c r="AG1471">
        <v>-1.0999395295787999</v>
      </c>
      <c r="AH1471">
        <v>6.0980256825829402</v>
      </c>
      <c r="AI1471">
        <v>99.437127890857596</v>
      </c>
      <c r="AJ1471">
        <v>67.144704196477093</v>
      </c>
      <c r="AK1471">
        <v>6.7083705848245803</v>
      </c>
    </row>
    <row r="1472" spans="1:37" x14ac:dyDescent="0.2">
      <c r="A1472" t="str">
        <f>"20200111153635933"</f>
        <v>20200111153635933</v>
      </c>
      <c r="B1472" t="str">
        <f>"1578728195924061"</f>
        <v>1578728195924061</v>
      </c>
      <c r="C1472" t="s">
        <v>37</v>
      </c>
      <c r="D1472">
        <v>5.9738809999999898</v>
      </c>
      <c r="E1472">
        <v>0.60862169999999904</v>
      </c>
      <c r="F1472" t="s">
        <v>44</v>
      </c>
      <c r="G1472">
        <v>-195.65270000000001</v>
      </c>
      <c r="H1472" s="1">
        <v>4.9642619999999999E-7</v>
      </c>
      <c r="I1472">
        <v>296.79759999999999</v>
      </c>
      <c r="J1472">
        <v>-192.0369</v>
      </c>
      <c r="K1472">
        <v>1.0998399999999999</v>
      </c>
      <c r="L1472">
        <v>302.4785</v>
      </c>
      <c r="M1472">
        <v>-0.1663154</v>
      </c>
      <c r="N1472">
        <v>0</v>
      </c>
      <c r="O1472">
        <v>-0.98587190000000002</v>
      </c>
      <c r="P1472">
        <v>-0.27977269999999999</v>
      </c>
      <c r="Q1472">
        <v>2.6225660000000001E-2</v>
      </c>
      <c r="R1472">
        <v>-0.95970849999999996</v>
      </c>
      <c r="S1472">
        <v>-1.6527099999999999</v>
      </c>
      <c r="T1472">
        <v>-0.49629190000000001</v>
      </c>
      <c r="U1472">
        <v>-2.6671450000000001</v>
      </c>
      <c r="V1472">
        <v>0.1168606</v>
      </c>
      <c r="W1472">
        <v>4.4353539999999997E-2</v>
      </c>
      <c r="X1472">
        <v>0.99215739999999997</v>
      </c>
      <c r="Y1472">
        <v>0.37125469999999999</v>
      </c>
      <c r="Z1472">
        <v>0.15912019999999999</v>
      </c>
      <c r="AA1472">
        <v>0.91479549999999998</v>
      </c>
      <c r="AB1472">
        <v>24</v>
      </c>
      <c r="AC1472">
        <v>-3.6158000000000001</v>
      </c>
      <c r="AD1472">
        <v>-1.0998395035738</v>
      </c>
      <c r="AE1472">
        <v>-5.6809000000000003</v>
      </c>
      <c r="AF1472">
        <v>2.55232828104515</v>
      </c>
      <c r="AG1472">
        <v>-1.0998395035738</v>
      </c>
      <c r="AH1472">
        <v>6.0420553734458098</v>
      </c>
      <c r="AI1472">
        <v>99.518991584030999</v>
      </c>
      <c r="AJ1472">
        <v>67.099483660092702</v>
      </c>
      <c r="AK1472">
        <v>6.6505984485330201</v>
      </c>
    </row>
    <row r="1473" spans="1:37" x14ac:dyDescent="0.2">
      <c r="A1473" t="str">
        <f>"20200111153635957"</f>
        <v>20200111153635957</v>
      </c>
      <c r="B1473" t="str">
        <f>"1578728195944556"</f>
        <v>1578728195944556</v>
      </c>
      <c r="C1473" t="s">
        <v>37</v>
      </c>
      <c r="D1473">
        <v>6.0368019999999998</v>
      </c>
      <c r="E1473">
        <v>0.6082689</v>
      </c>
      <c r="F1473" t="s">
        <v>44</v>
      </c>
      <c r="G1473">
        <v>-195.7116</v>
      </c>
      <c r="H1473" s="1">
        <v>5.2968259999999997E-7</v>
      </c>
      <c r="I1473">
        <v>296.67430000000002</v>
      </c>
      <c r="J1473">
        <v>-192.0874</v>
      </c>
      <c r="K1473">
        <v>1.0997379999999899</v>
      </c>
      <c r="L1473">
        <v>302.24310000000003</v>
      </c>
      <c r="M1473">
        <v>-0.1753382</v>
      </c>
      <c r="N1473">
        <v>0</v>
      </c>
      <c r="O1473">
        <v>-0.9843075</v>
      </c>
      <c r="P1473">
        <v>-0.28941709999999998</v>
      </c>
      <c r="Q1473">
        <v>2.6011739999999998E-2</v>
      </c>
      <c r="R1473">
        <v>-0.95684979999999997</v>
      </c>
      <c r="S1473">
        <v>-1.67807</v>
      </c>
      <c r="T1473">
        <v>-0.50223830000000003</v>
      </c>
      <c r="U1473">
        <v>-2.650452</v>
      </c>
      <c r="V1473">
        <v>0.1177648</v>
      </c>
      <c r="W1473">
        <v>4.4071529999999998E-2</v>
      </c>
      <c r="X1473">
        <v>0.99206309999999998</v>
      </c>
      <c r="Y1473">
        <v>0.37145099999999998</v>
      </c>
      <c r="Z1473">
        <v>0.161051</v>
      </c>
      <c r="AA1473">
        <v>0.91437780000000002</v>
      </c>
      <c r="AB1473">
        <v>23</v>
      </c>
      <c r="AC1473">
        <v>-3.6242000000000001</v>
      </c>
      <c r="AD1473">
        <v>-1.0997374703173901</v>
      </c>
      <c r="AE1473">
        <v>-5.5688000000000004</v>
      </c>
      <c r="AF1473">
        <v>2.5223153525394202</v>
      </c>
      <c r="AG1473">
        <v>-1.0997374703173901</v>
      </c>
      <c r="AH1473">
        <v>5.9549414769512996</v>
      </c>
      <c r="AI1473">
        <v>99.650888581665001</v>
      </c>
      <c r="AJ1473">
        <v>67.044098362887496</v>
      </c>
      <c r="AK1473">
        <v>6.5599409475384096</v>
      </c>
    </row>
    <row r="1474" spans="1:37" x14ac:dyDescent="0.2">
      <c r="A1474" t="str">
        <f>"20200111153635978"</f>
        <v>20200111153635978</v>
      </c>
      <c r="B1474" t="str">
        <f>"1578728195974344"</f>
        <v>1578728195974344</v>
      </c>
      <c r="C1474" t="s">
        <v>37</v>
      </c>
      <c r="D1474">
        <v>5.9603650000000004</v>
      </c>
      <c r="E1474">
        <v>0.60788540000000002</v>
      </c>
      <c r="F1474" t="s">
        <v>44</v>
      </c>
      <c r="G1474">
        <v>-195.79069999999999</v>
      </c>
      <c r="H1474" s="1">
        <v>5.7992959999999996E-7</v>
      </c>
      <c r="I1474">
        <v>296.51229999999998</v>
      </c>
      <c r="J1474">
        <v>-192.1378</v>
      </c>
      <c r="K1474">
        <v>1.0996440000000001</v>
      </c>
      <c r="L1474">
        <v>302.01940000000002</v>
      </c>
      <c r="M1474">
        <v>-0.18413279999999899</v>
      </c>
      <c r="N1474">
        <v>0</v>
      </c>
      <c r="O1474">
        <v>-0.98270079999999904</v>
      </c>
      <c r="P1474">
        <v>-0.29946630000000002</v>
      </c>
      <c r="Q1474">
        <v>2.5871669999999999E-2</v>
      </c>
      <c r="R1474">
        <v>-0.9537561</v>
      </c>
      <c r="S1474">
        <v>-1.7022250000000001</v>
      </c>
      <c r="T1474">
        <v>-0.50548769999999998</v>
      </c>
      <c r="U1474">
        <v>-2.634125</v>
      </c>
      <c r="V1474">
        <v>0.1193364</v>
      </c>
      <c r="W1474">
        <v>4.3857640000000003E-2</v>
      </c>
      <c r="X1474">
        <v>0.99188469999999995</v>
      </c>
      <c r="Y1474">
        <v>0.3715675</v>
      </c>
      <c r="Z1474">
        <v>0.1621262</v>
      </c>
      <c r="AA1474">
        <v>0.91414039999999996</v>
      </c>
      <c r="AB1474">
        <v>23</v>
      </c>
      <c r="AC1474">
        <v>-3.6528999999999798</v>
      </c>
      <c r="AD1474">
        <v>-1.0996434200703999</v>
      </c>
      <c r="AE1474">
        <v>-5.5071000000000296</v>
      </c>
      <c r="AF1474">
        <v>2.5067687498077</v>
      </c>
      <c r="AG1474">
        <v>-1.0996434200703999</v>
      </c>
      <c r="AH1474">
        <v>5.9216863059971203</v>
      </c>
      <c r="AI1474">
        <v>99.704087632823203</v>
      </c>
      <c r="AJ1474">
        <v>67.056083616389003</v>
      </c>
      <c r="AK1474">
        <v>6.5237622521786003</v>
      </c>
    </row>
    <row r="1475" spans="1:37" x14ac:dyDescent="0.2">
      <c r="A1475" t="str">
        <f>"20200111153636012"</f>
        <v>20200111153636012</v>
      </c>
      <c r="B1475" t="str">
        <f>"1578728196004600"</f>
        <v>1578728196004600</v>
      </c>
      <c r="C1475" t="s">
        <v>37</v>
      </c>
      <c r="D1475">
        <v>5.9764819999999999</v>
      </c>
      <c r="E1475">
        <v>0.60745389999999999</v>
      </c>
      <c r="F1475" t="s">
        <v>44</v>
      </c>
      <c r="G1475">
        <v>-195.8689</v>
      </c>
      <c r="H1475" s="1">
        <v>6.2505659999999996E-7</v>
      </c>
      <c r="I1475">
        <v>296.36509999999998</v>
      </c>
      <c r="J1475">
        <v>-192.21940000000001</v>
      </c>
      <c r="K1475">
        <v>1.0995189999999999</v>
      </c>
      <c r="L1475">
        <v>301.6789</v>
      </c>
      <c r="M1475">
        <v>-0.19798289999999999</v>
      </c>
      <c r="N1475">
        <v>0</v>
      </c>
      <c r="O1475">
        <v>-0.98000529999999997</v>
      </c>
      <c r="P1475">
        <v>-0.31429959999999901</v>
      </c>
      <c r="Q1475">
        <v>2.6311959999999999E-2</v>
      </c>
      <c r="R1475">
        <v>-0.948959199999999</v>
      </c>
      <c r="S1475">
        <v>-1.726898</v>
      </c>
      <c r="T1475">
        <v>-0.50895230000000002</v>
      </c>
      <c r="U1475">
        <v>-2.617035</v>
      </c>
      <c r="V1475">
        <v>0.12082469999999999</v>
      </c>
      <c r="W1475">
        <v>4.4192530000000001E-2</v>
      </c>
      <c r="X1475">
        <v>0.99168969999999901</v>
      </c>
      <c r="Y1475">
        <v>0.3671372</v>
      </c>
      <c r="Z1475">
        <v>0.16317719999999999</v>
      </c>
      <c r="AA1475">
        <v>0.91574199999999994</v>
      </c>
      <c r="AB1475">
        <v>23</v>
      </c>
      <c r="AC1475">
        <v>-3.6494999999999802</v>
      </c>
      <c r="AD1475">
        <v>-1.0995183749434001</v>
      </c>
      <c r="AE1475">
        <v>-5.3138000000000103</v>
      </c>
      <c r="AF1475">
        <v>2.4536022573073302</v>
      </c>
      <c r="AG1475">
        <v>-1.0995183749434001</v>
      </c>
      <c r="AH1475">
        <v>5.76357866282477</v>
      </c>
      <c r="AI1475">
        <v>99.955531063471597</v>
      </c>
      <c r="AJ1475">
        <v>66.940151490046404</v>
      </c>
      <c r="AK1475">
        <v>6.3598697861254001</v>
      </c>
    </row>
    <row r="1476" spans="1:37" x14ac:dyDescent="0.2">
      <c r="A1476" t="str">
        <f>"20200111153636034"</f>
        <v>20200111153636034</v>
      </c>
      <c r="B1476" t="str">
        <f>"1578728196024119"</f>
        <v>1578728196024119</v>
      </c>
      <c r="C1476" t="s">
        <v>37</v>
      </c>
      <c r="D1476">
        <v>6.0106209999999898</v>
      </c>
      <c r="E1476">
        <v>0.60718629999999996</v>
      </c>
      <c r="F1476" t="s">
        <v>44</v>
      </c>
      <c r="G1476">
        <v>-196.00370000000001</v>
      </c>
      <c r="H1476" s="1">
        <v>6.9809089999999996E-7</v>
      </c>
      <c r="I1476">
        <v>296.12459999999999</v>
      </c>
      <c r="J1476">
        <v>-192.2765</v>
      </c>
      <c r="K1476">
        <v>1.0994429999999999</v>
      </c>
      <c r="L1476">
        <v>301.45339999999999</v>
      </c>
      <c r="M1476">
        <v>-0.20740349999999999</v>
      </c>
      <c r="N1476">
        <v>0</v>
      </c>
      <c r="O1476">
        <v>-0.97805580000000003</v>
      </c>
      <c r="P1476">
        <v>-0.32394889999999998</v>
      </c>
      <c r="Q1476">
        <v>2.6026799999999899E-2</v>
      </c>
      <c r="R1476">
        <v>-0.94571649999999996</v>
      </c>
      <c r="S1476">
        <v>-1.7652889999999899</v>
      </c>
      <c r="T1476">
        <v>-0.51289600000000002</v>
      </c>
      <c r="U1476">
        <v>-2.5909419999999899</v>
      </c>
      <c r="V1476">
        <v>0.1213848</v>
      </c>
      <c r="W1476">
        <v>4.3837630000000002E-2</v>
      </c>
      <c r="X1476">
        <v>0.99163709999999905</v>
      </c>
      <c r="Y1476">
        <v>0.37163689999999999</v>
      </c>
      <c r="Z1476">
        <v>0.164491</v>
      </c>
      <c r="AA1476">
        <v>0.91368959999999999</v>
      </c>
      <c r="AB1476">
        <v>23</v>
      </c>
      <c r="AC1476">
        <v>-3.7272000000000101</v>
      </c>
      <c r="AD1476">
        <v>-1.0994423019091</v>
      </c>
      <c r="AE1476">
        <v>-5.3288000000000002</v>
      </c>
      <c r="AF1476">
        <v>2.4700885391543599</v>
      </c>
      <c r="AG1476">
        <v>-1.0994423019091</v>
      </c>
      <c r="AH1476">
        <v>5.8197153370268202</v>
      </c>
      <c r="AI1476">
        <v>99.865159112529298</v>
      </c>
      <c r="AJ1476">
        <v>67.001952560676798</v>
      </c>
      <c r="AK1476">
        <v>6.4171019448434903</v>
      </c>
    </row>
    <row r="1477" spans="1:37" x14ac:dyDescent="0.2">
      <c r="A1477" t="str">
        <f>"20200111153636056"</f>
        <v>20200111153636056</v>
      </c>
      <c r="B1477" t="str">
        <f>"1578728196044615"</f>
        <v>1578728196044615</v>
      </c>
      <c r="C1477" t="s">
        <v>37</v>
      </c>
      <c r="D1477">
        <v>6.0221609999999997</v>
      </c>
      <c r="E1477">
        <v>0.60708409999999902</v>
      </c>
      <c r="F1477" t="s">
        <v>44</v>
      </c>
      <c r="G1477">
        <v>-196.0789</v>
      </c>
      <c r="H1477" s="1">
        <v>7.4051569999999898E-7</v>
      </c>
      <c r="I1477">
        <v>295.98570000000001</v>
      </c>
      <c r="J1477">
        <v>-192.33459999999999</v>
      </c>
      <c r="K1477">
        <v>1.099378</v>
      </c>
      <c r="L1477">
        <v>301.23320000000001</v>
      </c>
      <c r="M1477">
        <v>-0.21678649999999899</v>
      </c>
      <c r="N1477">
        <v>0</v>
      </c>
      <c r="O1477">
        <v>-0.97601979999999999</v>
      </c>
      <c r="P1477">
        <v>-0.33391749999999998</v>
      </c>
      <c r="Q1477">
        <v>2.591659E-2</v>
      </c>
      <c r="R1477">
        <v>-0.94224580000000002</v>
      </c>
      <c r="S1477">
        <v>-1.7896270000000001</v>
      </c>
      <c r="T1477">
        <v>-0.5174609</v>
      </c>
      <c r="U1477">
        <v>-2.5733950000000001</v>
      </c>
      <c r="V1477">
        <v>0.122336899999999</v>
      </c>
      <c r="W1477">
        <v>4.364755E-2</v>
      </c>
      <c r="X1477">
        <v>0.99152839999999998</v>
      </c>
      <c r="Y1477">
        <v>0.3713455</v>
      </c>
      <c r="Z1477">
        <v>0.16591600000000001</v>
      </c>
      <c r="AA1477">
        <v>0.91355039999999998</v>
      </c>
      <c r="AB1477">
        <v>23</v>
      </c>
      <c r="AC1477">
        <v>-3.7443</v>
      </c>
      <c r="AD1477">
        <v>-1.0993772594843001</v>
      </c>
      <c r="AE1477">
        <v>-5.2474999999999996</v>
      </c>
      <c r="AF1477">
        <v>2.44626537937468</v>
      </c>
      <c r="AG1477">
        <v>-1.0993772594843001</v>
      </c>
      <c r="AH1477">
        <v>5.7668080026056403</v>
      </c>
      <c r="AI1477">
        <v>99.954119071124794</v>
      </c>
      <c r="AJ1477">
        <v>67.013465930195494</v>
      </c>
      <c r="AK1477">
        <v>6.3599464780699897</v>
      </c>
    </row>
    <row r="1478" spans="1:37" x14ac:dyDescent="0.2">
      <c r="A1478" t="str">
        <f>"20200111153636078"</f>
        <v>20200111153636078</v>
      </c>
      <c r="B1478" t="str">
        <f>"1578728196074403"</f>
        <v>1578728196074403</v>
      </c>
      <c r="C1478" t="s">
        <v>37</v>
      </c>
      <c r="D1478">
        <v>5.9758389999999997</v>
      </c>
      <c r="E1478">
        <v>0.62492499999999995</v>
      </c>
      <c r="F1478" t="s">
        <v>44</v>
      </c>
      <c r="G1478">
        <v>-196.1816</v>
      </c>
      <c r="H1478" s="1">
        <v>7.8886589999999899E-7</v>
      </c>
      <c r="I1478">
        <v>295.82319999999999</v>
      </c>
      <c r="J1478">
        <v>-192.39439999999999</v>
      </c>
      <c r="K1478">
        <v>1.0993280000000001</v>
      </c>
      <c r="L1478">
        <v>301.01620000000003</v>
      </c>
      <c r="M1478">
        <v>-0.2262248</v>
      </c>
      <c r="N1478">
        <v>0</v>
      </c>
      <c r="O1478">
        <v>-0.97387669999999904</v>
      </c>
      <c r="P1478">
        <v>-0.34384670000000001</v>
      </c>
      <c r="Q1478">
        <v>2.6144460000000001E-2</v>
      </c>
      <c r="R1478">
        <v>-0.938662199999999</v>
      </c>
      <c r="S1478">
        <v>-1.8164369999999901</v>
      </c>
      <c r="T1478">
        <v>-0.51909799999999995</v>
      </c>
      <c r="U1478">
        <v>-2.5544739999999999</v>
      </c>
      <c r="V1478">
        <v>0.1232162</v>
      </c>
      <c r="W1478">
        <v>4.3797610000000001E-2</v>
      </c>
      <c r="X1478">
        <v>0.99141290000000004</v>
      </c>
      <c r="Y1478">
        <v>0.37189270000000002</v>
      </c>
      <c r="Z1478">
        <v>0.16639579999999901</v>
      </c>
      <c r="AA1478">
        <v>0.91324059999999996</v>
      </c>
      <c r="AB1478">
        <v>23</v>
      </c>
      <c r="AC1478">
        <v>-3.7872000000000101</v>
      </c>
      <c r="AD1478">
        <v>-1.0993272111340999</v>
      </c>
      <c r="AE1478">
        <v>-5.1930000000000396</v>
      </c>
      <c r="AF1478">
        <v>2.4425111266857402</v>
      </c>
      <c r="AG1478">
        <v>-1.0993272111340999</v>
      </c>
      <c r="AH1478">
        <v>5.7471128103005702</v>
      </c>
      <c r="AI1478">
        <v>99.984282692998903</v>
      </c>
      <c r="AJ1478">
        <v>66.974607783057607</v>
      </c>
      <c r="AK1478">
        <v>6.3406377104708103</v>
      </c>
    </row>
    <row r="1479" spans="1:37" x14ac:dyDescent="0.2">
      <c r="A1479" t="str">
        <f>"20200111153636102"</f>
        <v>20200111153636102</v>
      </c>
      <c r="B1479" t="str">
        <f>"1578728196093923"</f>
        <v>1578728196093923</v>
      </c>
      <c r="C1479" t="s">
        <v>37</v>
      </c>
      <c r="D1479">
        <v>5.738963</v>
      </c>
      <c r="E1479">
        <v>0.63035559999999902</v>
      </c>
      <c r="F1479" t="s">
        <v>44</v>
      </c>
      <c r="G1479">
        <v>-196.56659999999999</v>
      </c>
      <c r="H1479" s="1">
        <v>7.7417689999999999E-7</v>
      </c>
      <c r="I1479">
        <v>295.76819999999998</v>
      </c>
      <c r="J1479">
        <v>-192.4607</v>
      </c>
      <c r="K1479">
        <v>1.099275</v>
      </c>
      <c r="L1479">
        <v>300.78590000000003</v>
      </c>
      <c r="M1479">
        <v>-0.23645349999999901</v>
      </c>
      <c r="N1479">
        <v>0</v>
      </c>
      <c r="O1479">
        <v>-0.97144449999999904</v>
      </c>
      <c r="P1479">
        <v>-0.35465570000000002</v>
      </c>
      <c r="Q1479">
        <v>2.637076E-2</v>
      </c>
      <c r="R1479">
        <v>-0.93462529999999999</v>
      </c>
      <c r="S1479">
        <v>-1.976715</v>
      </c>
      <c r="T1479">
        <v>-0.52084830000000004</v>
      </c>
      <c r="U1479">
        <v>-2.48645</v>
      </c>
      <c r="V1479">
        <v>0.1242414</v>
      </c>
      <c r="W1479">
        <v>4.3946720000000002E-2</v>
      </c>
      <c r="X1479">
        <v>0.9912784</v>
      </c>
      <c r="Y1479">
        <v>0.4108214</v>
      </c>
      <c r="Z1479">
        <v>0.16557749999999999</v>
      </c>
      <c r="AA1479">
        <v>0.89655450000000003</v>
      </c>
      <c r="AB1479">
        <v>23</v>
      </c>
      <c r="AC1479">
        <v>-4.1058999999999903</v>
      </c>
      <c r="AD1479">
        <v>-1.0992742258231001</v>
      </c>
      <c r="AE1479">
        <v>-5.0177000000000396</v>
      </c>
      <c r="AF1479">
        <v>2.7244221404642701</v>
      </c>
      <c r="AG1479">
        <v>-1.0992742258231001</v>
      </c>
      <c r="AH1479">
        <v>5.6830276192249798</v>
      </c>
      <c r="AI1479">
        <v>99.894201151641894</v>
      </c>
      <c r="AJ1479">
        <v>64.387115405441904</v>
      </c>
      <c r="AK1479">
        <v>6.3974747161583103</v>
      </c>
    </row>
    <row r="1480" spans="1:37" x14ac:dyDescent="0.2">
      <c r="A1480" t="str">
        <f>"20200111153636125"</f>
        <v>20200111153636125</v>
      </c>
      <c r="B1480" t="str">
        <f>"1578728196114420"</f>
        <v>1578728196114420</v>
      </c>
      <c r="C1480" t="s">
        <v>37</v>
      </c>
      <c r="D1480">
        <v>5.9972310000000002</v>
      </c>
      <c r="E1480">
        <v>0.62807009999999996</v>
      </c>
      <c r="F1480" t="s">
        <v>44</v>
      </c>
      <c r="G1480">
        <v>-197.46180000000001</v>
      </c>
      <c r="H1480" s="1">
        <v>1.036525E-6</v>
      </c>
      <c r="I1480">
        <v>294.8014</v>
      </c>
      <c r="J1480">
        <v>-192.52690000000001</v>
      </c>
      <c r="K1480">
        <v>1.099229</v>
      </c>
      <c r="L1480">
        <v>300.56540000000001</v>
      </c>
      <c r="M1480">
        <v>-0.24643879999999899</v>
      </c>
      <c r="N1480">
        <v>0</v>
      </c>
      <c r="O1480">
        <v>-0.9689605</v>
      </c>
      <c r="P1480">
        <v>-0.36526599999999998</v>
      </c>
      <c r="Q1480">
        <v>2.685355E-2</v>
      </c>
      <c r="R1480">
        <v>-0.9305158</v>
      </c>
      <c r="S1480">
        <v>-2.0445859999999998</v>
      </c>
      <c r="T1480">
        <v>-0.44941740000000002</v>
      </c>
      <c r="U1480">
        <v>-2.4466549999999998</v>
      </c>
      <c r="V1480">
        <v>0.125333</v>
      </c>
      <c r="W1480">
        <v>4.4356880000000001E-2</v>
      </c>
      <c r="X1480">
        <v>0.99112269999999902</v>
      </c>
      <c r="Y1480">
        <v>0.42562699999999998</v>
      </c>
      <c r="Z1480">
        <v>0.14304429999999899</v>
      </c>
      <c r="AA1480">
        <v>0.89352109999999996</v>
      </c>
      <c r="AB1480">
        <v>22</v>
      </c>
      <c r="AC1480">
        <v>-4.9348999999999901</v>
      </c>
      <c r="AD1480">
        <v>-1.099227963475</v>
      </c>
      <c r="AE1480">
        <v>-5.7640000000000002</v>
      </c>
      <c r="AF1480">
        <v>3.2927924602235499</v>
      </c>
      <c r="AG1480">
        <v>-1.099227963475</v>
      </c>
      <c r="AH1480">
        <v>6.6627205627368902</v>
      </c>
      <c r="AI1480">
        <v>98.413343572737105</v>
      </c>
      <c r="AJ1480">
        <v>63.700892552234897</v>
      </c>
      <c r="AK1480">
        <v>7.5128309976271499</v>
      </c>
    </row>
    <row r="1481" spans="1:37" x14ac:dyDescent="0.2">
      <c r="A1481" t="str">
        <f>"20200111153636146"</f>
        <v>20200111153636146</v>
      </c>
      <c r="B1481" t="str">
        <f>"1578728196133939"</f>
        <v>1578728196133939</v>
      </c>
      <c r="C1481" t="s">
        <v>37</v>
      </c>
      <c r="D1481">
        <v>5.9662989999999896</v>
      </c>
      <c r="E1481">
        <v>0.62576299999999996</v>
      </c>
      <c r="F1481" t="s">
        <v>44</v>
      </c>
      <c r="G1481">
        <v>-197.46099999999899</v>
      </c>
      <c r="H1481" s="1">
        <v>1.0616769999999999E-6</v>
      </c>
      <c r="I1481">
        <v>294.73039999999997</v>
      </c>
      <c r="J1481">
        <v>-192.5917</v>
      </c>
      <c r="K1481">
        <v>1.0992029999999999</v>
      </c>
      <c r="L1481">
        <v>300.35809999999998</v>
      </c>
      <c r="M1481">
        <v>-0.2559729</v>
      </c>
      <c r="N1481">
        <v>0</v>
      </c>
      <c r="O1481">
        <v>-0.96648670000000003</v>
      </c>
      <c r="P1481">
        <v>-0.37553320000000001</v>
      </c>
      <c r="Q1481">
        <v>2.6822729999999999E-2</v>
      </c>
      <c r="R1481">
        <v>-0.92642119999999994</v>
      </c>
      <c r="S1481">
        <v>-2.0552220000000001</v>
      </c>
      <c r="T1481">
        <v>-0.45786739999999998</v>
      </c>
      <c r="U1481">
        <v>-2.4304809999999999</v>
      </c>
      <c r="V1481">
        <v>0.12653149999999999</v>
      </c>
      <c r="W1481">
        <v>4.4252079999999999E-2</v>
      </c>
      <c r="X1481">
        <v>0.99097500000000005</v>
      </c>
      <c r="Y1481">
        <v>0.42166359999999897</v>
      </c>
      <c r="Z1481">
        <v>0.1458044</v>
      </c>
      <c r="AA1481">
        <v>0.894953</v>
      </c>
      <c r="AB1481">
        <v>22</v>
      </c>
      <c r="AC1481">
        <v>-4.8692999999999804</v>
      </c>
      <c r="AD1481">
        <v>-1.0992019383230001</v>
      </c>
      <c r="AE1481">
        <v>-5.6276999999999999</v>
      </c>
      <c r="AF1481">
        <v>3.1964608764111402</v>
      </c>
      <c r="AG1481">
        <v>-1.0992019383230001</v>
      </c>
      <c r="AH1481">
        <v>6.5440109364889096</v>
      </c>
      <c r="AI1481">
        <v>98.582759189354604</v>
      </c>
      <c r="AJ1481">
        <v>63.966529978989101</v>
      </c>
      <c r="AK1481">
        <v>7.3654386273002501</v>
      </c>
    </row>
    <row r="1482" spans="1:37" x14ac:dyDescent="0.2">
      <c r="A1482" t="str">
        <f>"20200111153636168"</f>
        <v>20200111153636168</v>
      </c>
      <c r="B1482" t="str">
        <f>"1578728196163727"</f>
        <v>1578728196163727</v>
      </c>
      <c r="C1482" t="s">
        <v>37</v>
      </c>
      <c r="D1482">
        <v>6.0233850000000002</v>
      </c>
      <c r="E1482">
        <v>0.62303039999999998</v>
      </c>
      <c r="F1482" t="s">
        <v>44</v>
      </c>
      <c r="G1482">
        <v>-197.274</v>
      </c>
      <c r="H1482" s="1">
        <v>1.0253379999999999E-6</v>
      </c>
      <c r="I1482">
        <v>294.8802</v>
      </c>
      <c r="J1482">
        <v>-192.6593</v>
      </c>
      <c r="K1482">
        <v>1.0991879999999901</v>
      </c>
      <c r="L1482">
        <v>300.14940000000001</v>
      </c>
      <c r="M1482">
        <v>-0.26569949999999998</v>
      </c>
      <c r="N1482">
        <v>0</v>
      </c>
      <c r="O1482">
        <v>-0.96385869999999996</v>
      </c>
      <c r="P1482">
        <v>-0.38577600000000001</v>
      </c>
      <c r="Q1482">
        <v>2.7283950000000001E-2</v>
      </c>
      <c r="R1482">
        <v>-0.92218919999999904</v>
      </c>
      <c r="S1482">
        <v>-2.0646209999999998</v>
      </c>
      <c r="T1482">
        <v>-0.48467729999999998</v>
      </c>
      <c r="U1482">
        <v>-2.4154049999999998</v>
      </c>
      <c r="V1482">
        <v>0.1275396</v>
      </c>
      <c r="W1482">
        <v>4.4639829999999998E-2</v>
      </c>
      <c r="X1482">
        <v>0.99082839999999905</v>
      </c>
      <c r="Y1482">
        <v>0.41645320000000002</v>
      </c>
      <c r="Z1482">
        <v>0.15423629999999999</v>
      </c>
      <c r="AA1482">
        <v>0.89597870000000002</v>
      </c>
      <c r="AB1482">
        <v>22</v>
      </c>
      <c r="AC1482">
        <v>-4.6146999999999903</v>
      </c>
      <c r="AD1482">
        <v>-1.09918697466199</v>
      </c>
      <c r="AE1482">
        <v>-5.2692000000000103</v>
      </c>
      <c r="AF1482">
        <v>2.9752033447089099</v>
      </c>
      <c r="AG1482">
        <v>-1.09918697466199</v>
      </c>
      <c r="AH1482">
        <v>6.1545176230594798</v>
      </c>
      <c r="AI1482">
        <v>99.134715688435094</v>
      </c>
      <c r="AJ1482">
        <v>64.200050718612601</v>
      </c>
      <c r="AK1482">
        <v>6.9237370054171903</v>
      </c>
    </row>
    <row r="1483" spans="1:37" x14ac:dyDescent="0.2">
      <c r="A1483" t="str">
        <f>"20200111153636191"</f>
        <v>20200111153636191</v>
      </c>
      <c r="B1483" t="str">
        <f>"1578728196184223"</f>
        <v>1578728196184223</v>
      </c>
      <c r="C1483" t="s">
        <v>37</v>
      </c>
      <c r="D1483">
        <v>5.9992710000000002</v>
      </c>
      <c r="E1483">
        <v>0.62183080000000002</v>
      </c>
      <c r="F1483" t="s">
        <v>44</v>
      </c>
      <c r="G1483">
        <v>-197.119</v>
      </c>
      <c r="H1483" s="1">
        <v>1.004319E-6</v>
      </c>
      <c r="I1483">
        <v>294.9785</v>
      </c>
      <c r="J1483">
        <v>-192.7311</v>
      </c>
      <c r="K1483">
        <v>1.0991839999999999</v>
      </c>
      <c r="L1483">
        <v>299.93549999999999</v>
      </c>
      <c r="M1483">
        <v>-0.27579629999999999</v>
      </c>
      <c r="N1483">
        <v>0</v>
      </c>
      <c r="O1483">
        <v>-0.96101939999999997</v>
      </c>
      <c r="P1483">
        <v>-0.39580949999999998</v>
      </c>
      <c r="Q1483">
        <v>2.7270039999999999E-2</v>
      </c>
      <c r="R1483">
        <v>-0.91792759999999995</v>
      </c>
      <c r="S1483">
        <v>-2.071396</v>
      </c>
      <c r="T1483">
        <v>-0.51053230000000005</v>
      </c>
      <c r="U1483">
        <v>-2.401672</v>
      </c>
      <c r="V1483">
        <v>0.12795090000000001</v>
      </c>
      <c r="W1483">
        <v>4.4557899999999998E-2</v>
      </c>
      <c r="X1483">
        <v>0.99077899999999997</v>
      </c>
      <c r="Y1483">
        <v>0.41003509999999999</v>
      </c>
      <c r="Z1483">
        <v>0.16232060000000001</v>
      </c>
      <c r="AA1483">
        <v>0.89750949999999996</v>
      </c>
      <c r="AB1483">
        <v>22</v>
      </c>
      <c r="AC1483">
        <v>-4.3879000000000197</v>
      </c>
      <c r="AD1483">
        <v>-1.099182995681</v>
      </c>
      <c r="AE1483">
        <v>-4.9569999999999901</v>
      </c>
      <c r="AF1483">
        <v>2.77380409214115</v>
      </c>
      <c r="AG1483">
        <v>-1.099182995681</v>
      </c>
      <c r="AH1483">
        <v>5.8147651925741499</v>
      </c>
      <c r="AI1483">
        <v>99.682290146191903</v>
      </c>
      <c r="AJ1483">
        <v>64.497564846543696</v>
      </c>
      <c r="AK1483">
        <v>6.5355708736379796</v>
      </c>
    </row>
    <row r="1484" spans="1:37" x14ac:dyDescent="0.2">
      <c r="A1484" t="str">
        <f>"20200111153636214"</f>
        <v>20200111153636214</v>
      </c>
      <c r="B1484" t="str">
        <f>"1578728196203744"</f>
        <v>1578728196203744</v>
      </c>
      <c r="C1484" t="s">
        <v>37</v>
      </c>
      <c r="D1484">
        <v>6.0555879999999904</v>
      </c>
      <c r="E1484">
        <v>0.6206583</v>
      </c>
      <c r="F1484" t="s">
        <v>44</v>
      </c>
      <c r="G1484">
        <v>-197.1456</v>
      </c>
      <c r="H1484" s="1">
        <v>1.0302520000000001E-6</v>
      </c>
      <c r="I1484">
        <v>294.89850000000001</v>
      </c>
      <c r="J1484">
        <v>-192.8083</v>
      </c>
      <c r="K1484">
        <v>1.0991819999999899</v>
      </c>
      <c r="L1484">
        <v>299.71409999999997</v>
      </c>
      <c r="M1484">
        <v>-0.28638409999999997</v>
      </c>
      <c r="N1484">
        <v>0</v>
      </c>
      <c r="O1484">
        <v>-0.95791959999999998</v>
      </c>
      <c r="P1484">
        <v>-0.40614820000000001</v>
      </c>
      <c r="Q1484">
        <v>2.6700620000000001E-2</v>
      </c>
      <c r="R1484">
        <v>-0.91341709999999998</v>
      </c>
      <c r="S1484">
        <v>-2.0885310000000001</v>
      </c>
      <c r="T1484">
        <v>-0.52003009999999905</v>
      </c>
      <c r="U1484">
        <v>-2.383057</v>
      </c>
      <c r="V1484">
        <v>0.1281902</v>
      </c>
      <c r="W1484">
        <v>4.3899550000000002E-2</v>
      </c>
      <c r="X1484">
        <v>0.99077760000000004</v>
      </c>
      <c r="Y1484">
        <v>0.40678550000000002</v>
      </c>
      <c r="Z1484">
        <v>0.1651986</v>
      </c>
      <c r="AA1484">
        <v>0.8984626</v>
      </c>
      <c r="AB1484">
        <v>22</v>
      </c>
      <c r="AC1484">
        <v>-4.3372999999999902</v>
      </c>
      <c r="AD1484">
        <v>-1.0991809697479999</v>
      </c>
      <c r="AE1484">
        <v>-4.8155999999999599</v>
      </c>
      <c r="AF1484">
        <v>2.6985681511900999</v>
      </c>
      <c r="AG1484">
        <v>-1.0991809697479999</v>
      </c>
      <c r="AH1484">
        <v>5.6924431655826799</v>
      </c>
      <c r="AI1484">
        <v>99.897421669892196</v>
      </c>
      <c r="AJ1484">
        <v>64.636170999795198</v>
      </c>
      <c r="AK1484">
        <v>6.3948712312495202</v>
      </c>
    </row>
    <row r="1485" spans="1:37" x14ac:dyDescent="0.2">
      <c r="A1485" t="str">
        <f>"20200111153636236"</f>
        <v>20200111153636236</v>
      </c>
      <c r="B1485" t="str">
        <f>"1578728196233999"</f>
        <v>1578728196233999</v>
      </c>
      <c r="C1485" t="s">
        <v>37</v>
      </c>
      <c r="D1485">
        <v>6.1034670000000002</v>
      </c>
      <c r="E1485">
        <v>0.61882530000000002</v>
      </c>
      <c r="F1485" t="s">
        <v>44</v>
      </c>
      <c r="G1485">
        <v>-197.16200000000001</v>
      </c>
      <c r="H1485" s="1">
        <v>1.052949E-6</v>
      </c>
      <c r="I1485">
        <v>294.83019999999999</v>
      </c>
      <c r="J1485">
        <v>-192.88560000000001</v>
      </c>
      <c r="K1485">
        <v>1.0991789999999999</v>
      </c>
      <c r="L1485">
        <v>299.5</v>
      </c>
      <c r="M1485">
        <v>-0.29672129999999902</v>
      </c>
      <c r="N1485">
        <v>0</v>
      </c>
      <c r="O1485">
        <v>-0.95477089999999998</v>
      </c>
      <c r="P1485">
        <v>-0.41606270000000001</v>
      </c>
      <c r="Q1485">
        <v>2.5453569999999998E-2</v>
      </c>
      <c r="R1485">
        <v>-0.90897969999999895</v>
      </c>
      <c r="S1485">
        <v>-2.10664399999999</v>
      </c>
      <c r="T1485">
        <v>-0.5318619</v>
      </c>
      <c r="U1485">
        <v>-2.3631899999999999</v>
      </c>
      <c r="V1485">
        <v>0.12822900000000001</v>
      </c>
      <c r="W1485">
        <v>4.2511350000000003E-2</v>
      </c>
      <c r="X1485">
        <v>0.99083299999999996</v>
      </c>
      <c r="Y1485">
        <v>0.40409609999999901</v>
      </c>
      <c r="Z1485">
        <v>0.16878979999999999</v>
      </c>
      <c r="AA1485">
        <v>0.89900859999999905</v>
      </c>
      <c r="AB1485">
        <v>22</v>
      </c>
      <c r="AC1485">
        <v>-4.27639999999999</v>
      </c>
      <c r="AD1485">
        <v>-1.0991779470509999</v>
      </c>
      <c r="AE1485">
        <v>-4.6698000000000004</v>
      </c>
      <c r="AF1485">
        <v>2.6189332787847399</v>
      </c>
      <c r="AG1485">
        <v>-1.0991779470509999</v>
      </c>
      <c r="AH1485">
        <v>5.5609734420915702</v>
      </c>
      <c r="AI1485">
        <v>100.13852639535099</v>
      </c>
      <c r="AJ1485">
        <v>64.781969516785395</v>
      </c>
      <c r="AK1485">
        <v>6.2443117556426699</v>
      </c>
    </row>
    <row r="1486" spans="1:37" x14ac:dyDescent="0.2">
      <c r="A1486" t="str">
        <f>"20200111153636258"</f>
        <v>20200111153636258</v>
      </c>
      <c r="B1486" t="str">
        <f>"1578728196254496"</f>
        <v>1578728196254496</v>
      </c>
      <c r="C1486" t="s">
        <v>37</v>
      </c>
      <c r="D1486">
        <v>6.0156330000000002</v>
      </c>
      <c r="E1486">
        <v>0.61790840000000002</v>
      </c>
      <c r="F1486" t="s">
        <v>44</v>
      </c>
      <c r="G1486">
        <v>-197.1267</v>
      </c>
      <c r="H1486" s="1">
        <v>1.066069E-6</v>
      </c>
      <c r="I1486">
        <v>294.80189999999999</v>
      </c>
      <c r="J1486">
        <v>-192.95939999999999</v>
      </c>
      <c r="K1486">
        <v>1.099172</v>
      </c>
      <c r="L1486">
        <v>299.3023</v>
      </c>
      <c r="M1486">
        <v>-0.30633290000000002</v>
      </c>
      <c r="N1486">
        <v>0</v>
      </c>
      <c r="O1486">
        <v>-0.95173509999999995</v>
      </c>
      <c r="P1486">
        <v>-0.42489129999999897</v>
      </c>
      <c r="Q1486">
        <v>2.47087E-2</v>
      </c>
      <c r="R1486">
        <v>-0.90490720000000002</v>
      </c>
      <c r="S1486">
        <v>-2.1180880000000002</v>
      </c>
      <c r="T1486">
        <v>-0.54893979999999998</v>
      </c>
      <c r="U1486">
        <v>-2.3462830000000001</v>
      </c>
      <c r="V1486">
        <v>0.12786149999999999</v>
      </c>
      <c r="W1486">
        <v>4.1564230000000001E-2</v>
      </c>
      <c r="X1486">
        <v>0.99092069999999999</v>
      </c>
      <c r="Y1486">
        <v>0.39988499999999999</v>
      </c>
      <c r="Z1486">
        <v>0.174042</v>
      </c>
      <c r="AA1486">
        <v>0.89988959999999996</v>
      </c>
      <c r="AB1486">
        <v>22</v>
      </c>
      <c r="AC1486">
        <v>-4.1673000000000098</v>
      </c>
      <c r="AD1486">
        <v>-1.0991709339309901</v>
      </c>
      <c r="AE1486">
        <v>-4.5004000000000097</v>
      </c>
      <c r="AF1486">
        <v>2.5074830342025898</v>
      </c>
      <c r="AG1486">
        <v>-1.0991709339309901</v>
      </c>
      <c r="AH1486">
        <v>5.3877431151422801</v>
      </c>
      <c r="AI1486">
        <v>100.479150654493</v>
      </c>
      <c r="AJ1486">
        <v>65.042492011447706</v>
      </c>
      <c r="AK1486">
        <v>6.0434612420016096</v>
      </c>
    </row>
    <row r="1487" spans="1:37" x14ac:dyDescent="0.2">
      <c r="A1487" t="str">
        <f>"20200111153636282"</f>
        <v>20200111153636282</v>
      </c>
      <c r="B1487" t="str">
        <f>"1578728196274522"</f>
        <v>1578728196274522</v>
      </c>
      <c r="C1487" t="s">
        <v>37</v>
      </c>
      <c r="D1487">
        <v>6.0946999999999996</v>
      </c>
      <c r="E1487">
        <v>0.61704429999999999</v>
      </c>
      <c r="F1487" t="s">
        <v>44</v>
      </c>
      <c r="G1487">
        <v>-197.18729999999999</v>
      </c>
      <c r="H1487" s="1">
        <v>1.1004380000000001E-6</v>
      </c>
      <c r="I1487">
        <v>294.68950000000001</v>
      </c>
      <c r="J1487">
        <v>-193.04169999999999</v>
      </c>
      <c r="K1487">
        <v>1.099162</v>
      </c>
      <c r="L1487">
        <v>299.089</v>
      </c>
      <c r="M1487">
        <v>-0.31673559999999901</v>
      </c>
      <c r="N1487">
        <v>0</v>
      </c>
      <c r="O1487">
        <v>-0.94833060000000002</v>
      </c>
      <c r="P1487">
        <v>-0.43357269999999998</v>
      </c>
      <c r="Q1487">
        <v>2.4561159999999999E-2</v>
      </c>
      <c r="R1487">
        <v>-0.90078389999999997</v>
      </c>
      <c r="S1487">
        <v>-2.1340479999999999</v>
      </c>
      <c r="T1487">
        <v>-0.55481210000000003</v>
      </c>
      <c r="U1487">
        <v>-2.3283390000000002</v>
      </c>
      <c r="V1487">
        <v>0.12652769999999999</v>
      </c>
      <c r="W1487">
        <v>4.1112099999999999E-2</v>
      </c>
      <c r="X1487">
        <v>0.99111070000000001</v>
      </c>
      <c r="Y1487">
        <v>0.39646409999999999</v>
      </c>
      <c r="Z1487">
        <v>0.17568010000000001</v>
      </c>
      <c r="AA1487">
        <v>0.901084199999999</v>
      </c>
      <c r="AB1487">
        <v>22</v>
      </c>
      <c r="AC1487">
        <v>-4.1456</v>
      </c>
      <c r="AD1487">
        <v>-1.0991608995619999</v>
      </c>
      <c r="AE1487">
        <v>-4.3994999999999802</v>
      </c>
      <c r="AF1487">
        <v>2.4571237866968199</v>
      </c>
      <c r="AG1487">
        <v>-1.0991608995619999</v>
      </c>
      <c r="AH1487">
        <v>5.3106114443924097</v>
      </c>
      <c r="AI1487">
        <v>100.638616423234</v>
      </c>
      <c r="AJ1487">
        <v>65.170873727046498</v>
      </c>
      <c r="AK1487">
        <v>5.95383959303481</v>
      </c>
    </row>
    <row r="1488" spans="1:37" x14ac:dyDescent="0.2">
      <c r="A1488" t="str">
        <f>"20200111153636302"</f>
        <v>20200111153636302</v>
      </c>
      <c r="B1488" t="str">
        <f>"1578728196294042"</f>
        <v>1578728196294042</v>
      </c>
      <c r="C1488" t="s">
        <v>37</v>
      </c>
      <c r="D1488">
        <v>6.101667</v>
      </c>
      <c r="E1488">
        <v>0.61597190000000002</v>
      </c>
      <c r="F1488" t="s">
        <v>44</v>
      </c>
      <c r="G1488">
        <v>-197.262</v>
      </c>
      <c r="H1488" s="1">
        <v>1.13099E-6</v>
      </c>
      <c r="I1488">
        <v>294.55200000000002</v>
      </c>
      <c r="J1488">
        <v>-193.11949999999999</v>
      </c>
      <c r="K1488">
        <v>1.099172</v>
      </c>
      <c r="L1488">
        <v>298.89350000000002</v>
      </c>
      <c r="M1488">
        <v>-0.3262506</v>
      </c>
      <c r="N1488">
        <v>0</v>
      </c>
      <c r="O1488">
        <v>-0.94510680000000002</v>
      </c>
      <c r="P1488">
        <v>-0.44100600000000001</v>
      </c>
      <c r="Q1488">
        <v>2.4662920000000001E-2</v>
      </c>
      <c r="R1488">
        <v>-0.8971652</v>
      </c>
      <c r="S1488">
        <v>-2.149734</v>
      </c>
      <c r="T1488">
        <v>-0.55989309999999903</v>
      </c>
      <c r="U1488">
        <v>-2.311035</v>
      </c>
      <c r="V1488">
        <v>0.1247535</v>
      </c>
      <c r="W1488">
        <v>4.0889139999999997E-2</v>
      </c>
      <c r="X1488">
        <v>0.99134489999999997</v>
      </c>
      <c r="Y1488">
        <v>0.39371780000000001</v>
      </c>
      <c r="Z1488">
        <v>0.17705870000000001</v>
      </c>
      <c r="AA1488">
        <v>0.90201799999999999</v>
      </c>
      <c r="AB1488">
        <v>22</v>
      </c>
      <c r="AC1488">
        <v>-4.1425000000000098</v>
      </c>
      <c r="AD1488">
        <v>-1.0991708690099999</v>
      </c>
      <c r="AE1488">
        <v>-4.3414999999999901</v>
      </c>
      <c r="AF1488">
        <v>2.4179766378635601</v>
      </c>
      <c r="AG1488">
        <v>-1.0991708690099999</v>
      </c>
      <c r="AH1488">
        <v>5.2784802681179697</v>
      </c>
      <c r="AI1488">
        <v>100.72026244301701</v>
      </c>
      <c r="AJ1488">
        <v>65.388338208829794</v>
      </c>
      <c r="AK1488">
        <v>5.9090728174092497</v>
      </c>
    </row>
    <row r="1489" spans="1:37" x14ac:dyDescent="0.2">
      <c r="A1489" t="str">
        <f>"20200111153636325"</f>
        <v>20200111153636325</v>
      </c>
      <c r="B1489" t="str">
        <f>"1578728196314537"</f>
        <v>1578728196314537</v>
      </c>
      <c r="C1489" t="s">
        <v>37</v>
      </c>
      <c r="D1489">
        <v>6.1165079999999996</v>
      </c>
      <c r="E1489">
        <v>0.61488949999999998</v>
      </c>
      <c r="F1489" t="s">
        <v>44</v>
      </c>
      <c r="G1489">
        <v>-197.32990000000001</v>
      </c>
      <c r="H1489" s="1">
        <v>1.1487600000000001E-6</v>
      </c>
      <c r="I1489">
        <v>294.4169</v>
      </c>
      <c r="J1489">
        <v>-193.20320000000001</v>
      </c>
      <c r="K1489">
        <v>1.099207</v>
      </c>
      <c r="L1489">
        <v>298.6893</v>
      </c>
      <c r="M1489">
        <v>-0.33615050000000002</v>
      </c>
      <c r="N1489">
        <v>0</v>
      </c>
      <c r="O1489">
        <v>-0.94163869999999905</v>
      </c>
      <c r="P1489">
        <v>-0.44917209999999902</v>
      </c>
      <c r="Q1489">
        <v>2.5347910000000001E-2</v>
      </c>
      <c r="R1489">
        <v>-0.89308569999999998</v>
      </c>
      <c r="S1489">
        <v>-2.1606900000000002</v>
      </c>
      <c r="T1489">
        <v>-0.56407719999999995</v>
      </c>
      <c r="U1489">
        <v>-2.2973020000000002</v>
      </c>
      <c r="V1489">
        <v>0.12339739999999901</v>
      </c>
      <c r="W1489">
        <v>4.1226449999999998E-2</v>
      </c>
      <c r="X1489">
        <v>0.99150059999999995</v>
      </c>
      <c r="Y1489">
        <v>0.388918599999999</v>
      </c>
      <c r="Z1489">
        <v>0.17807999999999999</v>
      </c>
      <c r="AA1489">
        <v>0.90389699999999995</v>
      </c>
      <c r="AB1489">
        <v>22</v>
      </c>
      <c r="AC1489">
        <v>-4.1266999999999996</v>
      </c>
      <c r="AD1489">
        <v>-1.09920585124</v>
      </c>
      <c r="AE1489">
        <v>-4.2724000000000002</v>
      </c>
      <c r="AF1489">
        <v>2.36895834516036</v>
      </c>
      <c r="AG1489">
        <v>-1.09920585124</v>
      </c>
      <c r="AH1489">
        <v>5.2319478019016303</v>
      </c>
      <c r="AI1489">
        <v>100.83481263006701</v>
      </c>
      <c r="AJ1489">
        <v>65.639596878215102</v>
      </c>
      <c r="AK1489">
        <v>5.8475204100822502</v>
      </c>
    </row>
    <row r="1490" spans="1:37" x14ac:dyDescent="0.2">
      <c r="A1490" t="str">
        <f>"20200111153636347"</f>
        <v>20200111153636347</v>
      </c>
      <c r="B1490" t="str">
        <f>"1578728196343818"</f>
        <v>1578728196343818</v>
      </c>
      <c r="C1490" t="s">
        <v>37</v>
      </c>
      <c r="D1490">
        <v>6.1143720000000004</v>
      </c>
      <c r="E1490">
        <v>0.613521599999999</v>
      </c>
      <c r="F1490" t="s">
        <v>44</v>
      </c>
      <c r="G1490">
        <v>-197.4273</v>
      </c>
      <c r="H1490" s="1">
        <v>1.168259E-6</v>
      </c>
      <c r="I1490">
        <v>294.25720000000001</v>
      </c>
      <c r="J1490">
        <v>-193.2859</v>
      </c>
      <c r="K1490">
        <v>1.099261</v>
      </c>
      <c r="L1490">
        <v>298.49279999999999</v>
      </c>
      <c r="M1490">
        <v>-0.345613</v>
      </c>
      <c r="N1490">
        <v>0</v>
      </c>
      <c r="O1490">
        <v>-0.93821399999999999</v>
      </c>
      <c r="P1490">
        <v>-0.45768809999999899</v>
      </c>
      <c r="Q1490">
        <v>2.583104E-2</v>
      </c>
      <c r="R1490">
        <v>-0.88873760000000002</v>
      </c>
      <c r="S1490">
        <v>-2.174515</v>
      </c>
      <c r="T1490">
        <v>-0.56585569999999996</v>
      </c>
      <c r="U1490">
        <v>-2.2815859999999999</v>
      </c>
      <c r="V1490">
        <v>0.12289129999999999</v>
      </c>
      <c r="W1490">
        <v>4.1386529999999998E-2</v>
      </c>
      <c r="X1490">
        <v>0.99155680000000002</v>
      </c>
      <c r="Y1490">
        <v>0.38559450000000001</v>
      </c>
      <c r="Z1490">
        <v>0.17835899999999999</v>
      </c>
      <c r="AA1490">
        <v>0.90526519999999999</v>
      </c>
      <c r="AB1490">
        <v>22</v>
      </c>
      <c r="AC1490">
        <v>-4.1414</v>
      </c>
      <c r="AD1490">
        <v>-1.0992598317410001</v>
      </c>
      <c r="AE1490">
        <v>-4.2355999999999696</v>
      </c>
      <c r="AF1490">
        <v>2.3413864117001699</v>
      </c>
      <c r="AG1490">
        <v>-1.0992598317410001</v>
      </c>
      <c r="AH1490">
        <v>5.2260886593912499</v>
      </c>
      <c r="AI1490">
        <v>100.866114823049</v>
      </c>
      <c r="AJ1490">
        <v>65.866719269957102</v>
      </c>
      <c r="AK1490">
        <v>5.8311632786598704</v>
      </c>
    </row>
    <row r="1491" spans="1:37" x14ac:dyDescent="0.2">
      <c r="A1491" t="str">
        <f>"20200111153636371"</f>
        <v>20200111153636371</v>
      </c>
      <c r="B1491" t="str">
        <f>"1578728196364314"</f>
        <v>1578728196364314</v>
      </c>
      <c r="C1491" t="s">
        <v>37</v>
      </c>
      <c r="D1491">
        <v>6.1504289999999999</v>
      </c>
      <c r="E1491">
        <v>0.6127378</v>
      </c>
      <c r="F1491" t="s">
        <v>44</v>
      </c>
      <c r="G1491">
        <v>-197.52879999999999</v>
      </c>
      <c r="H1491" s="1">
        <v>1.1872020000000001E-6</v>
      </c>
      <c r="I1491">
        <v>294.0985</v>
      </c>
      <c r="J1491">
        <v>-193.3768</v>
      </c>
      <c r="K1491">
        <v>1.0993310000000001</v>
      </c>
      <c r="L1491">
        <v>298.28250000000003</v>
      </c>
      <c r="M1491">
        <v>-0.35563210000000001</v>
      </c>
      <c r="N1491">
        <v>0</v>
      </c>
      <c r="O1491">
        <v>-0.934469199999999</v>
      </c>
      <c r="P1491">
        <v>-0.46803719999999999</v>
      </c>
      <c r="Q1491">
        <v>2.4356470000000002E-2</v>
      </c>
      <c r="R1491">
        <v>-0.88337330000000003</v>
      </c>
      <c r="S1491">
        <v>-2.1874689999999899</v>
      </c>
      <c r="T1491">
        <v>-0.56673490000000004</v>
      </c>
      <c r="U1491">
        <v>-2.265533</v>
      </c>
      <c r="V1491">
        <v>0.12381159999999999</v>
      </c>
      <c r="W1491">
        <v>3.9568409999999998E-2</v>
      </c>
      <c r="X1491">
        <v>0.99151650000000002</v>
      </c>
      <c r="Y1491">
        <v>0.38161230000000002</v>
      </c>
      <c r="Z1491">
        <v>0.17833389999999999</v>
      </c>
      <c r="AA1491">
        <v>0.90695599999999998</v>
      </c>
      <c r="AB1491">
        <v>22</v>
      </c>
      <c r="AC1491">
        <v>-4.1519999999999797</v>
      </c>
      <c r="AD1491">
        <v>-1.099329812798</v>
      </c>
      <c r="AE1491">
        <v>-4.1840000000000197</v>
      </c>
      <c r="AF1491">
        <v>2.31188817751613</v>
      </c>
      <c r="AG1491">
        <v>-1.099329812798</v>
      </c>
      <c r="AH1491">
        <v>5.2061102777589197</v>
      </c>
      <c r="AI1491">
        <v>100.923135062298</v>
      </c>
      <c r="AJ1491">
        <v>66.0553296260629</v>
      </c>
      <c r="AK1491">
        <v>5.8014599202987203</v>
      </c>
    </row>
    <row r="1492" spans="1:37" x14ac:dyDescent="0.2">
      <c r="A1492" t="str">
        <f>"20200111153636393"</f>
        <v>20200111153636393</v>
      </c>
      <c r="B1492" t="str">
        <f>"1578728196383837"</f>
        <v>1578728196383837</v>
      </c>
      <c r="C1492" t="s">
        <v>37</v>
      </c>
      <c r="D1492">
        <v>6.185352</v>
      </c>
      <c r="E1492">
        <v>0.61199979999999998</v>
      </c>
      <c r="F1492" t="s">
        <v>44</v>
      </c>
      <c r="G1492">
        <v>-197.6189</v>
      </c>
      <c r="H1492" s="1">
        <v>1.2002979999999999E-6</v>
      </c>
      <c r="I1492">
        <v>293.97879999999998</v>
      </c>
      <c r="J1492">
        <v>-193.46960000000001</v>
      </c>
      <c r="K1492">
        <v>1.099423</v>
      </c>
      <c r="L1492">
        <v>298.07339999999999</v>
      </c>
      <c r="M1492">
        <v>-0.36542459999999999</v>
      </c>
      <c r="N1492">
        <v>0</v>
      </c>
      <c r="O1492">
        <v>-0.93068980000000001</v>
      </c>
      <c r="P1492">
        <v>-0.4792672</v>
      </c>
      <c r="Q1492">
        <v>2.1657869999999999E-2</v>
      </c>
      <c r="R1492">
        <v>-0.87740209999999996</v>
      </c>
      <c r="S1492">
        <v>-2.2092290000000001</v>
      </c>
      <c r="T1492">
        <v>-0.57251059999999998</v>
      </c>
      <c r="U1492">
        <v>-2.241333</v>
      </c>
      <c r="V1492">
        <v>0.12596879999999999</v>
      </c>
      <c r="W1492">
        <v>3.6533160000000002E-2</v>
      </c>
      <c r="X1492">
        <v>0.9913613</v>
      </c>
      <c r="Y1492">
        <v>0.38106709999999999</v>
      </c>
      <c r="Z1492">
        <v>0.1798814</v>
      </c>
      <c r="AA1492">
        <v>0.90687949999999995</v>
      </c>
      <c r="AB1492">
        <v>22</v>
      </c>
      <c r="AC1492">
        <v>-4.1492999999999798</v>
      </c>
      <c r="AD1492">
        <v>-1.0994217997019999</v>
      </c>
      <c r="AE1492">
        <v>-4.0946000000000096</v>
      </c>
      <c r="AF1492">
        <v>2.2845179747747202</v>
      </c>
      <c r="AG1492">
        <v>-1.0994217997019999</v>
      </c>
      <c r="AH1492">
        <v>5.1448114676561598</v>
      </c>
      <c r="AI1492">
        <v>101.051113374156</v>
      </c>
      <c r="AJ1492">
        <v>66.056716723685497</v>
      </c>
      <c r="AK1492">
        <v>5.7355763187717397</v>
      </c>
    </row>
    <row r="1493" spans="1:37" x14ac:dyDescent="0.2">
      <c r="A1493" t="str">
        <f>"20200111153636418"</f>
        <v>20200111153636418</v>
      </c>
      <c r="B1493" t="str">
        <f>"1578728196414090"</f>
        <v>1578728196414090</v>
      </c>
      <c r="C1493" t="s">
        <v>37</v>
      </c>
      <c r="D1493">
        <v>6.1510499999999997</v>
      </c>
      <c r="E1493">
        <v>0.61071600000000004</v>
      </c>
      <c r="F1493" t="s">
        <v>44</v>
      </c>
      <c r="G1493">
        <v>-197.6841</v>
      </c>
      <c r="H1493" s="1">
        <v>1.2093119999999999E-6</v>
      </c>
      <c r="I1493">
        <v>293.8947</v>
      </c>
      <c r="J1493">
        <v>-193.56290000000001</v>
      </c>
      <c r="K1493">
        <v>1.09954</v>
      </c>
      <c r="L1493">
        <v>297.86810000000003</v>
      </c>
      <c r="M1493">
        <v>-0.3748011</v>
      </c>
      <c r="N1493">
        <v>0</v>
      </c>
      <c r="O1493">
        <v>-0.92695930000000004</v>
      </c>
      <c r="P1493">
        <v>-0.49042129999999901</v>
      </c>
      <c r="Q1493">
        <v>1.9100240000000001E-2</v>
      </c>
      <c r="R1493">
        <v>-0.87127659999999996</v>
      </c>
      <c r="S1493">
        <v>-2.23287999999999</v>
      </c>
      <c r="T1493">
        <v>-0.58248319999999998</v>
      </c>
      <c r="U1493">
        <v>-2.2138979999999999</v>
      </c>
      <c r="V1493">
        <v>0.12853499999999901</v>
      </c>
      <c r="W1493">
        <v>3.3668179999999999E-2</v>
      </c>
      <c r="X1493">
        <v>0.99113329999999999</v>
      </c>
      <c r="Y1493">
        <v>0.38175879999999901</v>
      </c>
      <c r="Z1493">
        <v>0.1827763</v>
      </c>
      <c r="AA1493">
        <v>0.90600939999999996</v>
      </c>
      <c r="AB1493">
        <v>22</v>
      </c>
      <c r="AC1493">
        <v>-4.1211999999999804</v>
      </c>
      <c r="AD1493">
        <v>-1.0995387906880001</v>
      </c>
      <c r="AE1493">
        <v>-3.9734000000000198</v>
      </c>
      <c r="AF1493">
        <v>2.2483234389503099</v>
      </c>
      <c r="AG1493">
        <v>-1.0995387906880001</v>
      </c>
      <c r="AH1493">
        <v>5.04249714559118</v>
      </c>
      <c r="AI1493">
        <v>101.26335931621701</v>
      </c>
      <c r="AJ1493">
        <v>65.969102319523799</v>
      </c>
      <c r="AK1493">
        <v>5.6294512433856498</v>
      </c>
    </row>
    <row r="1494" spans="1:37" x14ac:dyDescent="0.2">
      <c r="A1494" t="str">
        <f>"20200111153636438"</f>
        <v>20200111153636438</v>
      </c>
      <c r="B1494" t="str">
        <f>"1578728196433609"</f>
        <v>1578728196433609</v>
      </c>
      <c r="C1494" t="s">
        <v>37</v>
      </c>
      <c r="D1494">
        <v>6.0960369999999999</v>
      </c>
      <c r="E1494">
        <v>0.61125169999999995</v>
      </c>
      <c r="F1494" t="s">
        <v>44</v>
      </c>
      <c r="G1494">
        <v>-197.72190000000001</v>
      </c>
      <c r="H1494" s="1">
        <v>1.2181329999999899E-6</v>
      </c>
      <c r="I1494">
        <v>293.82560000000001</v>
      </c>
      <c r="J1494">
        <v>-193.6498</v>
      </c>
      <c r="K1494">
        <v>1.099685</v>
      </c>
      <c r="L1494">
        <v>297.68119999999999</v>
      </c>
      <c r="M1494">
        <v>-0.38307419999999998</v>
      </c>
      <c r="N1494">
        <v>0</v>
      </c>
      <c r="O1494">
        <v>-0.92357559999999905</v>
      </c>
      <c r="P1494">
        <v>-0.50021400000000005</v>
      </c>
      <c r="Q1494">
        <v>1.6757279999999999E-2</v>
      </c>
      <c r="R1494">
        <v>-0.86573979999999995</v>
      </c>
      <c r="S1494">
        <v>-2.2517849999999999</v>
      </c>
      <c r="T1494">
        <v>-0.59531709999999904</v>
      </c>
      <c r="U1494">
        <v>-2.1887209999999899</v>
      </c>
      <c r="V1494">
        <v>0.1307826</v>
      </c>
      <c r="W1494">
        <v>3.1079840000000001E-2</v>
      </c>
      <c r="X1494">
        <v>0.99092380000000002</v>
      </c>
      <c r="Y1494">
        <v>0.38195469999999998</v>
      </c>
      <c r="Z1494">
        <v>0.186616899999999</v>
      </c>
      <c r="AA1494">
        <v>0.90514349999999999</v>
      </c>
      <c r="AB1494">
        <v>21</v>
      </c>
      <c r="AC1494">
        <v>-4.0720999999999998</v>
      </c>
      <c r="AD1494">
        <v>-1.099683781867</v>
      </c>
      <c r="AE1494">
        <v>-3.8555999999999799</v>
      </c>
      <c r="AF1494">
        <v>2.19962532689149</v>
      </c>
      <c r="AG1494">
        <v>-1.099683781867</v>
      </c>
      <c r="AH1494">
        <v>4.9318733399795196</v>
      </c>
      <c r="AI1494">
        <v>101.51027804983499</v>
      </c>
      <c r="AJ1494">
        <v>65.963033435344698</v>
      </c>
      <c r="AK1494">
        <v>5.5109918018814499</v>
      </c>
    </row>
    <row r="1495" spans="1:37" x14ac:dyDescent="0.2">
      <c r="A1495" t="str">
        <f>"20200111153636460"</f>
        <v>20200111153636460</v>
      </c>
      <c r="B1495" t="str">
        <f>"1578728196454106"</f>
        <v>1578728196454106</v>
      </c>
      <c r="C1495" t="s">
        <v>37</v>
      </c>
      <c r="D1495">
        <v>5.9654889999999998</v>
      </c>
      <c r="E1495">
        <v>0.61866849999999995</v>
      </c>
      <c r="F1495" t="s">
        <v>44</v>
      </c>
      <c r="G1495">
        <v>-197.92529999999999</v>
      </c>
      <c r="H1495" s="1">
        <v>1.2344659999999999E-6</v>
      </c>
      <c r="I1495">
        <v>293.63040000000001</v>
      </c>
      <c r="J1495">
        <v>-193.7424</v>
      </c>
      <c r="K1495">
        <v>1.0998889999999999</v>
      </c>
      <c r="L1495">
        <v>297.48590000000002</v>
      </c>
      <c r="M1495">
        <v>-0.39141019999999999</v>
      </c>
      <c r="N1495">
        <v>0</v>
      </c>
      <c r="O1495">
        <v>-0.92007850000000002</v>
      </c>
      <c r="P1495">
        <v>-0.50934520000000005</v>
      </c>
      <c r="Q1495">
        <v>1.3881799999999901E-2</v>
      </c>
      <c r="R1495">
        <v>-0.8604503</v>
      </c>
      <c r="S1495">
        <v>-2.2794490000000001</v>
      </c>
      <c r="T1495">
        <v>-0.58628659999999999</v>
      </c>
      <c r="U1495">
        <v>-2.1596069999999998</v>
      </c>
      <c r="V1495">
        <v>0.13223070000000001</v>
      </c>
      <c r="W1495">
        <v>2.799652E-2</v>
      </c>
      <c r="X1495">
        <v>0.99082349999999997</v>
      </c>
      <c r="Y1495">
        <v>0.38561040000000002</v>
      </c>
      <c r="Z1495">
        <v>0.18370610000000001</v>
      </c>
      <c r="AA1495">
        <v>0.9041884</v>
      </c>
      <c r="AB1495">
        <v>21</v>
      </c>
      <c r="AC1495">
        <v>-4.1828999999999796</v>
      </c>
      <c r="AD1495">
        <v>-1.09988776553399</v>
      </c>
      <c r="AE1495">
        <v>-3.8555000000000001</v>
      </c>
      <c r="AF1495">
        <v>2.2554951345468801</v>
      </c>
      <c r="AG1495">
        <v>-1.09988776553399</v>
      </c>
      <c r="AH1495">
        <v>4.9983976311898504</v>
      </c>
      <c r="AI1495">
        <v>101.34150319565499</v>
      </c>
      <c r="AJ1495">
        <v>65.713026345707704</v>
      </c>
      <c r="AK1495">
        <v>5.5929411116353096</v>
      </c>
    </row>
    <row r="1496" spans="1:37" x14ac:dyDescent="0.2">
      <c r="A1496" t="str">
        <f>"20200111153636481"</f>
        <v>20200111153636481</v>
      </c>
      <c r="B1496" t="str">
        <f>"1578728196474134"</f>
        <v>1578728196474134</v>
      </c>
      <c r="C1496" t="s">
        <v>37</v>
      </c>
      <c r="D1496">
        <v>5.7782749999999998</v>
      </c>
      <c r="E1496">
        <v>0.62073789999999995</v>
      </c>
      <c r="F1496" t="s">
        <v>44</v>
      </c>
      <c r="G1496">
        <v>-200.79230000000001</v>
      </c>
      <c r="H1496">
        <v>8.0000020000000005E-2</v>
      </c>
      <c r="I1496">
        <v>291.1764</v>
      </c>
      <c r="J1496">
        <v>-193.83500000000001</v>
      </c>
      <c r="K1496">
        <v>1.100123</v>
      </c>
      <c r="L1496">
        <v>297.29430000000002</v>
      </c>
      <c r="M1496">
        <v>-0.3992406</v>
      </c>
      <c r="N1496">
        <v>0</v>
      </c>
      <c r="O1496">
        <v>-0.91671209999999903</v>
      </c>
      <c r="P1496">
        <v>-0.51686809999999905</v>
      </c>
      <c r="Q1496">
        <v>1.203045E-2</v>
      </c>
      <c r="R1496">
        <v>-0.85598090000000004</v>
      </c>
      <c r="S1496">
        <v>-2.348465</v>
      </c>
      <c r="T1496">
        <v>-0.33974769999999999</v>
      </c>
      <c r="U1496">
        <v>-2.10183699999999</v>
      </c>
      <c r="V1496">
        <v>0.13241610000000001</v>
      </c>
      <c r="W1496">
        <v>2.5990719999999998E-2</v>
      </c>
      <c r="X1496">
        <v>0.9908534</v>
      </c>
      <c r="Y1496">
        <v>0.4122767</v>
      </c>
      <c r="Z1496">
        <v>0.10758139999999899</v>
      </c>
      <c r="AA1496">
        <v>0.90468459999999995</v>
      </c>
      <c r="AB1496">
        <v>21</v>
      </c>
      <c r="AC1496">
        <v>-6.9573</v>
      </c>
      <c r="AD1496">
        <v>-1.02012298</v>
      </c>
      <c r="AE1496">
        <v>-6.1179000000000103</v>
      </c>
      <c r="AF1496">
        <v>3.8886640628209599</v>
      </c>
      <c r="AG1496">
        <v>-1.02012298</v>
      </c>
      <c r="AH1496">
        <v>8.2865530874936493</v>
      </c>
      <c r="AI1496">
        <v>96.3590779153933</v>
      </c>
      <c r="AJ1496">
        <v>64.860554701738806</v>
      </c>
      <c r="AK1496">
        <v>9.2102834462165095</v>
      </c>
    </row>
    <row r="1497" spans="1:37" x14ac:dyDescent="0.2">
      <c r="A1497" t="str">
        <f>"20200111153636504"</f>
        <v>20200111153636504</v>
      </c>
      <c r="B1497" t="str">
        <f>"1578728196494632"</f>
        <v>1578728196494632</v>
      </c>
      <c r="C1497" t="s">
        <v>37</v>
      </c>
      <c r="D1497">
        <v>5.839728</v>
      </c>
      <c r="E1497">
        <v>0.62124659999999998</v>
      </c>
      <c r="F1497" t="s">
        <v>44</v>
      </c>
      <c r="G1497">
        <v>-200.77119999999999</v>
      </c>
      <c r="H1497">
        <v>8.0000039999999994E-2</v>
      </c>
      <c r="I1497">
        <v>291.2568</v>
      </c>
      <c r="J1497">
        <v>-193.93090000000001</v>
      </c>
      <c r="K1497">
        <v>1.1003590000000001</v>
      </c>
      <c r="L1497">
        <v>297.0992</v>
      </c>
      <c r="M1497">
        <v>-0.40691579999999999</v>
      </c>
      <c r="N1497">
        <v>0</v>
      </c>
      <c r="O1497">
        <v>-0.91333469999999894</v>
      </c>
      <c r="P1497">
        <v>-0.52358349999999998</v>
      </c>
      <c r="Q1497">
        <v>1.19097E-2</v>
      </c>
      <c r="R1497">
        <v>-0.85189169999999903</v>
      </c>
      <c r="S1497">
        <v>-2.38063</v>
      </c>
      <c r="T1497">
        <v>-0.35012480000000001</v>
      </c>
      <c r="U1497">
        <v>-2.072174</v>
      </c>
      <c r="V1497">
        <v>0.1318782</v>
      </c>
      <c r="W1497">
        <v>2.5739519999999998E-2</v>
      </c>
      <c r="X1497">
        <v>0.99093169999999897</v>
      </c>
      <c r="Y1497">
        <v>0.41685309999999998</v>
      </c>
      <c r="Z1497">
        <v>0.11060879999999999</v>
      </c>
      <c r="AA1497">
        <v>0.90221909999999905</v>
      </c>
      <c r="AB1497">
        <v>21</v>
      </c>
      <c r="AC1497">
        <v>-6.8402999999999796</v>
      </c>
      <c r="AD1497">
        <v>-1.02035896</v>
      </c>
      <c r="AE1497">
        <v>-5.8423999999999898</v>
      </c>
      <c r="AF1497">
        <v>3.8214164841129099</v>
      </c>
      <c r="AG1497">
        <v>-1.02035896</v>
      </c>
      <c r="AH1497">
        <v>8.0173162122664401</v>
      </c>
      <c r="AI1497">
        <v>96.553762078041899</v>
      </c>
      <c r="AJ1497">
        <v>64.515413826213702</v>
      </c>
      <c r="AK1497">
        <v>8.9398946078671706</v>
      </c>
    </row>
    <row r="1498" spans="1:37" x14ac:dyDescent="0.2">
      <c r="A1498" t="str">
        <f>"20200111153636526"</f>
        <v>20200111153636526</v>
      </c>
      <c r="B1498" t="str">
        <f>"1578728196514149"</f>
        <v>1578728196514149</v>
      </c>
      <c r="C1498" t="s">
        <v>37</v>
      </c>
      <c r="D1498">
        <v>5.8116389999999898</v>
      </c>
      <c r="E1498">
        <v>0.62173120000000004</v>
      </c>
      <c r="F1498" t="s">
        <v>44</v>
      </c>
      <c r="G1498">
        <v>-200.8134</v>
      </c>
      <c r="H1498">
        <v>8.0000039999999994E-2</v>
      </c>
      <c r="I1498">
        <v>291.21679999999998</v>
      </c>
      <c r="J1498">
        <v>-194.0258</v>
      </c>
      <c r="K1498">
        <v>1.1005819999999999</v>
      </c>
      <c r="L1498">
        <v>296.90940000000001</v>
      </c>
      <c r="M1498">
        <v>-0.41409109999999999</v>
      </c>
      <c r="N1498">
        <v>0</v>
      </c>
      <c r="O1498">
        <v>-0.91010740000000001</v>
      </c>
      <c r="P1498">
        <v>-0.52954579999999996</v>
      </c>
      <c r="Q1498">
        <v>1.339944E-2</v>
      </c>
      <c r="R1498">
        <v>-0.84817589999999998</v>
      </c>
      <c r="S1498">
        <v>-2.400131</v>
      </c>
      <c r="T1498">
        <v>-0.3558325</v>
      </c>
      <c r="U1498">
        <v>-2.0513919999999999</v>
      </c>
      <c r="V1498">
        <v>0.1310413</v>
      </c>
      <c r="W1498">
        <v>2.711995E-2</v>
      </c>
      <c r="X1498">
        <v>0.9910059</v>
      </c>
      <c r="Y1498">
        <v>0.41769790000000001</v>
      </c>
      <c r="Z1498">
        <v>0.11218980000000001</v>
      </c>
      <c r="AA1498">
        <v>0.90163289999999996</v>
      </c>
      <c r="AB1498">
        <v>21</v>
      </c>
      <c r="AC1498">
        <v>-6.7875999999999896</v>
      </c>
      <c r="AD1498">
        <v>-1.0205819599999999</v>
      </c>
      <c r="AE1498">
        <v>-5.6926000000000201</v>
      </c>
      <c r="AF1498">
        <v>3.7705901779179798</v>
      </c>
      <c r="AG1498">
        <v>-1.0205819599999999</v>
      </c>
      <c r="AH1498">
        <v>7.8878028984997899</v>
      </c>
      <c r="AI1498">
        <v>96.6583070395655</v>
      </c>
      <c r="AJ1498">
        <v>64.450897264102807</v>
      </c>
      <c r="AK1498">
        <v>8.8020663706013202</v>
      </c>
    </row>
    <row r="1499" spans="1:37" x14ac:dyDescent="0.2">
      <c r="A1499" t="str">
        <f>"20200111153636548"</f>
        <v>20200111153636548</v>
      </c>
      <c r="B1499" t="str">
        <f>"1578728196544406"</f>
        <v>1578728196544406</v>
      </c>
      <c r="C1499" t="s">
        <v>37</v>
      </c>
      <c r="D1499">
        <v>5.8698249999999996</v>
      </c>
      <c r="E1499">
        <v>0.62206879999999998</v>
      </c>
      <c r="F1499" t="s">
        <v>44</v>
      </c>
      <c r="G1499">
        <v>-201.15989999999999</v>
      </c>
      <c r="H1499">
        <v>8.0000130000000003E-2</v>
      </c>
      <c r="I1499">
        <v>290.91079999999999</v>
      </c>
      <c r="J1499">
        <v>-194.12190000000001</v>
      </c>
      <c r="K1499">
        <v>1.1007959999999899</v>
      </c>
      <c r="L1499">
        <v>296.71980000000002</v>
      </c>
      <c r="M1499">
        <v>-0.42094369999999998</v>
      </c>
      <c r="N1499">
        <v>0</v>
      </c>
      <c r="O1499">
        <v>-0.90696089999999996</v>
      </c>
      <c r="P1499">
        <v>-0.53564750000000005</v>
      </c>
      <c r="Q1499">
        <v>1.5096E-2</v>
      </c>
      <c r="R1499">
        <v>-0.84430689999999997</v>
      </c>
      <c r="S1499">
        <v>-2.4178310000000001</v>
      </c>
      <c r="T1499">
        <v>-0.3458852</v>
      </c>
      <c r="U1499">
        <v>-2.032959</v>
      </c>
      <c r="V1499">
        <v>0.1307277</v>
      </c>
      <c r="W1499">
        <v>2.8712919999999999E-2</v>
      </c>
      <c r="X1499">
        <v>0.99100239999999995</v>
      </c>
      <c r="Y1499">
        <v>0.4184349</v>
      </c>
      <c r="Z1499">
        <v>0.1088741</v>
      </c>
      <c r="AA1499">
        <v>0.90169769999999905</v>
      </c>
      <c r="AB1499">
        <v>21</v>
      </c>
      <c r="AC1499">
        <v>-7.0379999999999798</v>
      </c>
      <c r="AD1499">
        <v>-1.0207958699999999</v>
      </c>
      <c r="AE1499">
        <v>-5.8090000000000197</v>
      </c>
      <c r="AF1499">
        <v>3.88970810518502</v>
      </c>
      <c r="AG1499">
        <v>-1.0207958699999999</v>
      </c>
      <c r="AH1499">
        <v>8.1303456411172395</v>
      </c>
      <c r="AI1499">
        <v>96.461751791949496</v>
      </c>
      <c r="AJ1499">
        <v>64.432683035417597</v>
      </c>
      <c r="AK1499">
        <v>9.0705222339061198</v>
      </c>
    </row>
    <row r="1500" spans="1:37" x14ac:dyDescent="0.2">
      <c r="A1500" t="str">
        <f>"20200111153636572"</f>
        <v>20200111153636572</v>
      </c>
      <c r="B1500" t="str">
        <f>"1578728196564901"</f>
        <v>1578728196564901</v>
      </c>
      <c r="C1500" t="s">
        <v>37</v>
      </c>
      <c r="D1500">
        <v>5.8246010000000004</v>
      </c>
      <c r="E1500">
        <v>0.62202100000000005</v>
      </c>
      <c r="F1500" t="s">
        <v>44</v>
      </c>
      <c r="G1500">
        <v>-201.44649999999999</v>
      </c>
      <c r="H1500">
        <v>8.0000230000000006E-2</v>
      </c>
      <c r="I1500">
        <v>290.66039999999998</v>
      </c>
      <c r="J1500">
        <v>-194.2285</v>
      </c>
      <c r="K1500">
        <v>1.1010249999999999</v>
      </c>
      <c r="L1500">
        <v>296.5129</v>
      </c>
      <c r="M1500">
        <v>-0.42806909999999998</v>
      </c>
      <c r="N1500">
        <v>0</v>
      </c>
      <c r="O1500">
        <v>-0.90362260000000005</v>
      </c>
      <c r="P1500">
        <v>-0.54274100000000003</v>
      </c>
      <c r="Q1500">
        <v>1.7017930000000001E-2</v>
      </c>
      <c r="R1500">
        <v>-0.83972780000000002</v>
      </c>
      <c r="S1500">
        <v>-2.4350429999999998</v>
      </c>
      <c r="T1500">
        <v>-0.33936240000000001</v>
      </c>
      <c r="U1500">
        <v>-2.014465</v>
      </c>
      <c r="V1500">
        <v>0.13129540000000001</v>
      </c>
      <c r="W1500">
        <v>3.052697E-2</v>
      </c>
      <c r="X1500">
        <v>0.99087320000000001</v>
      </c>
      <c r="Y1500">
        <v>0.41869319999999999</v>
      </c>
      <c r="Z1500">
        <v>0.1066144</v>
      </c>
      <c r="AA1500">
        <v>0.90184779999999998</v>
      </c>
      <c r="AB1500">
        <v>21</v>
      </c>
      <c r="AC1500">
        <v>-7.2179999999999804</v>
      </c>
      <c r="AD1500">
        <v>-1.0210247699999999</v>
      </c>
      <c r="AE1500">
        <v>-5.8525000000000196</v>
      </c>
      <c r="AF1500">
        <v>3.96959788830674</v>
      </c>
      <c r="AG1500">
        <v>-1.0210247699999999</v>
      </c>
      <c r="AH1500">
        <v>8.2792359534016704</v>
      </c>
      <c r="AI1500">
        <v>96.345350115838002</v>
      </c>
      <c r="AJ1500">
        <v>64.383946246022703</v>
      </c>
      <c r="AK1500">
        <v>9.23828701372185</v>
      </c>
    </row>
    <row r="1501" spans="1:37" x14ac:dyDescent="0.2">
      <c r="A1501" t="str">
        <f>"20200111153636594"</f>
        <v>20200111153636594</v>
      </c>
      <c r="B1501" t="str">
        <f>"1578728196584421"</f>
        <v>1578728196584421</v>
      </c>
      <c r="C1501" t="s">
        <v>37</v>
      </c>
      <c r="D1501">
        <v>5.8155169999999998</v>
      </c>
      <c r="E1501">
        <v>0.62163359999999901</v>
      </c>
      <c r="F1501" t="s">
        <v>44</v>
      </c>
      <c r="G1501">
        <v>-201.74610000000001</v>
      </c>
      <c r="H1501">
        <v>8.0000230000000006E-2</v>
      </c>
      <c r="I1501">
        <v>290.39659999999998</v>
      </c>
      <c r="J1501">
        <v>-194.32419999999999</v>
      </c>
      <c r="K1501">
        <v>1.1012309999999901</v>
      </c>
      <c r="L1501">
        <v>296.32979999999998</v>
      </c>
      <c r="M1501">
        <v>-0.43409619999999999</v>
      </c>
      <c r="N1501">
        <v>0</v>
      </c>
      <c r="O1501">
        <v>-0.90074500000000002</v>
      </c>
      <c r="P1501">
        <v>-0.54937409999999998</v>
      </c>
      <c r="Q1501">
        <v>1.8595589999999999E-2</v>
      </c>
      <c r="R1501">
        <v>-0.8353699</v>
      </c>
      <c r="S1501">
        <v>-2.451721</v>
      </c>
      <c r="T1501">
        <v>-0.332989799999999</v>
      </c>
      <c r="U1501">
        <v>-1.9947509999999999</v>
      </c>
      <c r="V1501">
        <v>0.13253789999999999</v>
      </c>
      <c r="W1501">
        <v>3.2014439999999998E-2</v>
      </c>
      <c r="X1501">
        <v>0.99066080000000001</v>
      </c>
      <c r="Y1501">
        <v>0.42018610000000001</v>
      </c>
      <c r="Z1501">
        <v>0.10449649999999901</v>
      </c>
      <c r="AA1501">
        <v>0.90140119999999901</v>
      </c>
      <c r="AB1501">
        <v>21</v>
      </c>
      <c r="AC1501">
        <v>-7.4219000000000204</v>
      </c>
      <c r="AD1501">
        <v>-1.0212307699999901</v>
      </c>
      <c r="AE1501">
        <v>-5.9331999999999896</v>
      </c>
      <c r="AF1501">
        <v>4.0631758619082996</v>
      </c>
      <c r="AG1501">
        <v>-1.0212307699999901</v>
      </c>
      <c r="AH1501">
        <v>8.4692284546098904</v>
      </c>
      <c r="AI1501">
        <v>96.204663876330102</v>
      </c>
      <c r="AJ1501">
        <v>64.370287736962297</v>
      </c>
      <c r="AK1501">
        <v>9.4488169093682295</v>
      </c>
    </row>
    <row r="1502" spans="1:37" x14ac:dyDescent="0.2">
      <c r="A1502" t="str">
        <f>"20200111153636617"</f>
        <v>20200111153636617</v>
      </c>
      <c r="B1502" t="str">
        <f>"1578728196613703"</f>
        <v>1578728196613703</v>
      </c>
      <c r="C1502" t="s">
        <v>37</v>
      </c>
      <c r="D1502">
        <v>5.8519670000000001</v>
      </c>
      <c r="E1502">
        <v>0.6214324</v>
      </c>
      <c r="F1502" t="s">
        <v>44</v>
      </c>
      <c r="G1502">
        <v>-201.97049999999999</v>
      </c>
      <c r="H1502">
        <v>8.0000230000000006E-2</v>
      </c>
      <c r="I1502">
        <v>290.19740000000002</v>
      </c>
      <c r="J1502">
        <v>-194.4281</v>
      </c>
      <c r="K1502">
        <v>1.10144</v>
      </c>
      <c r="L1502">
        <v>296.13350000000003</v>
      </c>
      <c r="M1502">
        <v>-0.44031579999999898</v>
      </c>
      <c r="N1502">
        <v>0</v>
      </c>
      <c r="O1502">
        <v>-0.8977233</v>
      </c>
      <c r="P1502">
        <v>-0.55607439999999997</v>
      </c>
      <c r="Q1502">
        <v>1.9920440000000001E-2</v>
      </c>
      <c r="R1502">
        <v>-0.83089400000000002</v>
      </c>
      <c r="S1502">
        <v>-2.46531699999999</v>
      </c>
      <c r="T1502">
        <v>-0.329264</v>
      </c>
      <c r="U1502">
        <v>-1.9772029999999901</v>
      </c>
      <c r="V1502">
        <v>0.13366310000000001</v>
      </c>
      <c r="W1502">
        <v>3.3258330000000003E-2</v>
      </c>
      <c r="X1502">
        <v>0.99046859999999903</v>
      </c>
      <c r="Y1502">
        <v>0.42035820000000002</v>
      </c>
      <c r="Z1502">
        <v>0.1031876</v>
      </c>
      <c r="AA1502">
        <v>0.90147169999999899</v>
      </c>
      <c r="AB1502">
        <v>21</v>
      </c>
      <c r="AC1502">
        <v>-7.5423999999999802</v>
      </c>
      <c r="AD1502">
        <v>-1.02143977</v>
      </c>
      <c r="AE1502">
        <v>-5.9360999999999997</v>
      </c>
      <c r="AF1502">
        <v>4.1111168973837797</v>
      </c>
      <c r="AG1502">
        <v>-1.02143977</v>
      </c>
      <c r="AH1502">
        <v>8.5540657487714995</v>
      </c>
      <c r="AI1502">
        <v>96.142834540556393</v>
      </c>
      <c r="AJ1502">
        <v>64.330881632273403</v>
      </c>
      <c r="AK1502">
        <v>9.5455048154614506</v>
      </c>
    </row>
    <row r="1503" spans="1:37" x14ac:dyDescent="0.2">
      <c r="A1503" t="str">
        <f>"20200111153636639"</f>
        <v>20200111153636639</v>
      </c>
      <c r="B1503" t="str">
        <f>"1578728196634197"</f>
        <v>1578728196634197</v>
      </c>
      <c r="C1503" t="s">
        <v>37</v>
      </c>
      <c r="D1503">
        <v>5.8334580000000003</v>
      </c>
      <c r="E1503">
        <v>0.62117469999999997</v>
      </c>
      <c r="F1503" t="s">
        <v>44</v>
      </c>
      <c r="G1503">
        <v>-202.21729999999999</v>
      </c>
      <c r="H1503">
        <v>8.0000210000000002E-2</v>
      </c>
      <c r="I1503">
        <v>289.98230000000001</v>
      </c>
      <c r="J1503">
        <v>-194.52699999999999</v>
      </c>
      <c r="K1503">
        <v>1.1016010000000001</v>
      </c>
      <c r="L1503">
        <v>295.94880000000001</v>
      </c>
      <c r="M1503">
        <v>-0.44596789999999997</v>
      </c>
      <c r="N1503">
        <v>0</v>
      </c>
      <c r="O1503">
        <v>-0.89493069999999897</v>
      </c>
      <c r="P1503">
        <v>-0.561596599999999</v>
      </c>
      <c r="Q1503">
        <v>2.077145E-2</v>
      </c>
      <c r="R1503">
        <v>-0.82715059999999996</v>
      </c>
      <c r="S1503">
        <v>-2.4800719999999998</v>
      </c>
      <c r="T1503">
        <v>-0.32522709999999999</v>
      </c>
      <c r="U1503">
        <v>-1.9585269999999999</v>
      </c>
      <c r="V1503">
        <v>0.13401859999999999</v>
      </c>
      <c r="W1503">
        <v>3.4048000000000002E-2</v>
      </c>
      <c r="X1503">
        <v>0.99039379999999999</v>
      </c>
      <c r="Y1503">
        <v>0.42154989999999998</v>
      </c>
      <c r="Z1503">
        <v>0.10181119999999901</v>
      </c>
      <c r="AA1503">
        <v>0.90107169999999903</v>
      </c>
      <c r="AB1503">
        <v>21</v>
      </c>
      <c r="AC1503">
        <v>-7.6902999999999704</v>
      </c>
      <c r="AD1503">
        <v>-1.0216007899999999</v>
      </c>
      <c r="AE1503">
        <v>-5.9664999999999901</v>
      </c>
      <c r="AF1503">
        <v>4.17586301075713</v>
      </c>
      <c r="AG1503">
        <v>-1.0216007899999999</v>
      </c>
      <c r="AH1503">
        <v>8.6745985489634698</v>
      </c>
      <c r="AI1503">
        <v>96.0572214141866</v>
      </c>
      <c r="AJ1503">
        <v>64.294312087133207</v>
      </c>
      <c r="AK1503">
        <v>9.6814337804076001</v>
      </c>
    </row>
    <row r="1504" spans="1:37" x14ac:dyDescent="0.2">
      <c r="A1504" t="str">
        <f>"20200111153636661"</f>
        <v>20200111153636661</v>
      </c>
      <c r="B1504" t="str">
        <f>"1578728196653717"</f>
        <v>1578728196653717</v>
      </c>
      <c r="C1504" t="s">
        <v>37</v>
      </c>
      <c r="D1504">
        <v>5.8803669999999997</v>
      </c>
      <c r="E1504">
        <v>0.62064799999999998</v>
      </c>
      <c r="F1504" t="s">
        <v>44</v>
      </c>
      <c r="G1504">
        <v>-203.04810000000001</v>
      </c>
      <c r="H1504" s="1">
        <v>3.1586539999999999E-6</v>
      </c>
      <c r="I1504">
        <v>289.30669999999998</v>
      </c>
      <c r="J1504">
        <v>-194.62639999999999</v>
      </c>
      <c r="K1504">
        <v>1.1017129999999999</v>
      </c>
      <c r="L1504">
        <v>295.76569999999998</v>
      </c>
      <c r="M1504">
        <v>-0.45142529999999997</v>
      </c>
      <c r="N1504">
        <v>0</v>
      </c>
      <c r="O1504">
        <v>-0.89219190000000004</v>
      </c>
      <c r="P1504">
        <v>-0.56659019999999904</v>
      </c>
      <c r="Q1504">
        <v>2.099548E-2</v>
      </c>
      <c r="R1504">
        <v>-0.82373249999999998</v>
      </c>
      <c r="S1504">
        <v>-2.4924009999999899</v>
      </c>
      <c r="T1504">
        <v>-0.32221479999999902</v>
      </c>
      <c r="U1504">
        <v>-1.9428099999999999</v>
      </c>
      <c r="V1504">
        <v>0.13395660000000001</v>
      </c>
      <c r="W1504">
        <v>3.4214319999999999E-2</v>
      </c>
      <c r="X1504">
        <v>0.99039639999999995</v>
      </c>
      <c r="Y1504">
        <v>0.42180420000000002</v>
      </c>
      <c r="Z1504">
        <v>0.1007291</v>
      </c>
      <c r="AA1504">
        <v>0.90107429999999999</v>
      </c>
      <c r="AB1504">
        <v>21</v>
      </c>
      <c r="AC1504">
        <v>-8.4217000000000102</v>
      </c>
      <c r="AD1504">
        <v>-1.101709841346</v>
      </c>
      <c r="AE1504">
        <v>-6.4589999999999996</v>
      </c>
      <c r="AF1504">
        <v>4.54947490114382</v>
      </c>
      <c r="AG1504">
        <v>-1.101709841346</v>
      </c>
      <c r="AH1504">
        <v>9.4634634527886696</v>
      </c>
      <c r="AI1504">
        <v>95.989697121488803</v>
      </c>
      <c r="AJ1504">
        <v>64.324498074303193</v>
      </c>
      <c r="AK1504">
        <v>10.557870380570201</v>
      </c>
    </row>
    <row r="1505" spans="1:37" x14ac:dyDescent="0.2">
      <c r="A1505" t="str">
        <f>"20200111153636683"</f>
        <v>20200111153636683</v>
      </c>
      <c r="B1505" t="str">
        <f>"1578728196674214"</f>
        <v>1578728196674214</v>
      </c>
      <c r="C1505" t="s">
        <v>37</v>
      </c>
      <c r="D1505">
        <v>5.8058079999999999</v>
      </c>
      <c r="E1505">
        <v>0.62051610000000001</v>
      </c>
      <c r="F1505" t="s">
        <v>44</v>
      </c>
      <c r="G1505">
        <v>-203.2002</v>
      </c>
      <c r="H1505" s="1">
        <v>3.2397250000000001E-6</v>
      </c>
      <c r="I1505">
        <v>289.15069999999997</v>
      </c>
      <c r="J1505">
        <v>-194.73429999999999</v>
      </c>
      <c r="K1505">
        <v>1.1017709999999901</v>
      </c>
      <c r="L1505">
        <v>295.56959999999998</v>
      </c>
      <c r="M1505">
        <v>-0.45716220000000002</v>
      </c>
      <c r="N1505">
        <v>0</v>
      </c>
      <c r="O1505">
        <v>-0.88926729999999998</v>
      </c>
      <c r="P1505">
        <v>-0.57210039999999995</v>
      </c>
      <c r="Q1505">
        <v>2.078725E-2</v>
      </c>
      <c r="R1505">
        <v>-0.81992049999999905</v>
      </c>
      <c r="S1505">
        <v>-2.5011749999999999</v>
      </c>
      <c r="T1505">
        <v>-0.32139489999999998</v>
      </c>
      <c r="U1505">
        <v>-1.9297489999999999</v>
      </c>
      <c r="V1505">
        <v>0.1342092</v>
      </c>
      <c r="W1505">
        <v>3.3936019999999997E-2</v>
      </c>
      <c r="X1505">
        <v>0.99037180000000002</v>
      </c>
      <c r="Y1505">
        <v>0.42047879999999899</v>
      </c>
      <c r="Z1505">
        <v>0.1003071</v>
      </c>
      <c r="AA1505">
        <v>0.901740599999999</v>
      </c>
      <c r="AB1505">
        <v>21</v>
      </c>
      <c r="AC1505">
        <v>-8.4658999999999995</v>
      </c>
      <c r="AD1505">
        <v>-1.10176776027499</v>
      </c>
      <c r="AE1505">
        <v>-6.4188999999999998</v>
      </c>
      <c r="AF1505">
        <v>4.5455588692767499</v>
      </c>
      <c r="AG1505">
        <v>-1.10176776027499</v>
      </c>
      <c r="AH1505">
        <v>9.4774711921927093</v>
      </c>
      <c r="AI1505">
        <v>95.983824934630604</v>
      </c>
      <c r="AJ1505">
        <v>64.376819297411203</v>
      </c>
      <c r="AK1505">
        <v>10.568749113801699</v>
      </c>
    </row>
    <row r="1506" spans="1:37" x14ac:dyDescent="0.2">
      <c r="A1506" t="str">
        <f>"20200111153636705"</f>
        <v>20200111153636705</v>
      </c>
      <c r="B1506" t="str">
        <f>"1578728196693736"</f>
        <v>1578728196693736</v>
      </c>
      <c r="C1506" t="s">
        <v>37</v>
      </c>
      <c r="D1506">
        <v>5.8039839999999998</v>
      </c>
      <c r="E1506">
        <v>0.61964129999999995</v>
      </c>
      <c r="F1506" t="s">
        <v>44</v>
      </c>
      <c r="G1506">
        <v>-203.44110000000001</v>
      </c>
      <c r="H1506" s="1">
        <v>3.3647280000000001E-6</v>
      </c>
      <c r="I1506">
        <v>288.9427</v>
      </c>
      <c r="J1506">
        <v>-194.8329</v>
      </c>
      <c r="K1506">
        <v>1.101774</v>
      </c>
      <c r="L1506">
        <v>295.39280000000002</v>
      </c>
      <c r="M1506">
        <v>-0.46229619999999999</v>
      </c>
      <c r="N1506">
        <v>0</v>
      </c>
      <c r="O1506">
        <v>-0.88661029999999996</v>
      </c>
      <c r="P1506">
        <v>-0.57709200000000005</v>
      </c>
      <c r="Q1506">
        <v>2.0619350000000002E-2</v>
      </c>
      <c r="R1506">
        <v>-0.81641889999999995</v>
      </c>
      <c r="S1506">
        <v>-2.5135649999999998</v>
      </c>
      <c r="T1506">
        <v>-0.31807079999999999</v>
      </c>
      <c r="U1506">
        <v>-1.913116</v>
      </c>
      <c r="V1506">
        <v>0.13452139999999899</v>
      </c>
      <c r="W1506">
        <v>3.3700590000000002E-2</v>
      </c>
      <c r="X1506">
        <v>0.99033740000000003</v>
      </c>
      <c r="Y1506">
        <v>0.42125489999999999</v>
      </c>
      <c r="Z1506">
        <v>9.9156480000000005E-2</v>
      </c>
      <c r="AA1506">
        <v>0.90150560000000002</v>
      </c>
      <c r="AB1506">
        <v>21</v>
      </c>
      <c r="AC1506">
        <v>-8.6082000000000001</v>
      </c>
      <c r="AD1506">
        <v>-1.101770635272</v>
      </c>
      <c r="AE1506">
        <v>-6.4501000000000204</v>
      </c>
      <c r="AF1506">
        <v>4.6024515442730696</v>
      </c>
      <c r="AG1506">
        <v>-1.101770635272</v>
      </c>
      <c r="AH1506">
        <v>9.5985529472852509</v>
      </c>
      <c r="AI1506">
        <v>95.909175504996199</v>
      </c>
      <c r="AJ1506">
        <v>64.382547075469702</v>
      </c>
      <c r="AK1506">
        <v>10.701807204017801</v>
      </c>
    </row>
    <row r="1507" spans="1:37" x14ac:dyDescent="0.2">
      <c r="A1507" t="str">
        <f>"20200111153636728"</f>
        <v>20200111153636728</v>
      </c>
      <c r="B1507" t="str">
        <f>"1578728196723989"</f>
        <v>1578728196723989</v>
      </c>
      <c r="C1507" t="s">
        <v>37</v>
      </c>
      <c r="D1507">
        <v>5.8373239999999997</v>
      </c>
      <c r="E1507">
        <v>0.61961029999999995</v>
      </c>
      <c r="F1507" t="s">
        <v>44</v>
      </c>
      <c r="G1507">
        <v>-207.65620000000001</v>
      </c>
      <c r="H1507" s="1">
        <v>5.5163379999999998E-6</v>
      </c>
      <c r="I1507">
        <v>285.71289999999999</v>
      </c>
      <c r="J1507">
        <v>-194.93979999999999</v>
      </c>
      <c r="K1507">
        <v>1.1017489999999901</v>
      </c>
      <c r="L1507">
        <v>295.2038</v>
      </c>
      <c r="M1507">
        <v>-0.46779779999999999</v>
      </c>
      <c r="N1507">
        <v>0</v>
      </c>
      <c r="O1507">
        <v>-0.88372079999999997</v>
      </c>
      <c r="P1507">
        <v>-0.58223970000000003</v>
      </c>
      <c r="Q1507">
        <v>2.0106389999999998E-2</v>
      </c>
      <c r="R1507">
        <v>-0.81276890000000002</v>
      </c>
      <c r="S1507">
        <v>-2.5176090000000002</v>
      </c>
      <c r="T1507">
        <v>-0.21631059999999999</v>
      </c>
      <c r="U1507">
        <v>-1.900452</v>
      </c>
      <c r="V1507">
        <v>0.1346165</v>
      </c>
      <c r="W1507">
        <v>3.3117269999999997E-2</v>
      </c>
      <c r="X1507">
        <v>0.99034419999999901</v>
      </c>
      <c r="Y1507">
        <v>0.42152099999999998</v>
      </c>
      <c r="Z1507">
        <v>6.756914E-2</v>
      </c>
      <c r="AA1507">
        <v>0.90429780000000004</v>
      </c>
      <c r="AB1507">
        <v>21</v>
      </c>
      <c r="AC1507">
        <v>-12.7164</v>
      </c>
      <c r="AD1507">
        <v>-1.1017434836619999</v>
      </c>
      <c r="AE1507">
        <v>-9.4908999999999999</v>
      </c>
      <c r="AF1507">
        <v>6.7659957970183298</v>
      </c>
      <c r="AG1507">
        <v>-1.1017434836619999</v>
      </c>
      <c r="AH1507">
        <v>14.268674733223101</v>
      </c>
      <c r="AI1507">
        <v>93.990934158061606</v>
      </c>
      <c r="AJ1507">
        <v>64.630379723516299</v>
      </c>
      <c r="AK1507">
        <v>15.829959458936701</v>
      </c>
    </row>
    <row r="1508" spans="1:37" x14ac:dyDescent="0.2">
      <c r="A1508" t="str">
        <f>"20200111153636749"</f>
        <v>20200111153636749</v>
      </c>
      <c r="B1508" t="str">
        <f>"1578728196744485"</f>
        <v>1578728196744485</v>
      </c>
      <c r="C1508" t="s">
        <v>37</v>
      </c>
      <c r="D1508">
        <v>5.8342049999999999</v>
      </c>
      <c r="E1508">
        <v>0.61949339999999997</v>
      </c>
      <c r="F1508" t="s">
        <v>44</v>
      </c>
      <c r="G1508">
        <v>-207.8014</v>
      </c>
      <c r="H1508" s="1">
        <v>5.5883749999999997E-6</v>
      </c>
      <c r="I1508">
        <v>285.62549999999999</v>
      </c>
      <c r="J1508">
        <v>-195.03870000000001</v>
      </c>
      <c r="K1508">
        <v>1.1016969999999999</v>
      </c>
      <c r="L1508">
        <v>295.03120000000001</v>
      </c>
      <c r="M1508">
        <v>-0.4728887</v>
      </c>
      <c r="N1508">
        <v>0</v>
      </c>
      <c r="O1508">
        <v>-0.88100789999999995</v>
      </c>
      <c r="P1508">
        <v>-0.58696590000000004</v>
      </c>
      <c r="Q1508">
        <v>2.133786E-2</v>
      </c>
      <c r="R1508">
        <v>-0.80933049999999995</v>
      </c>
      <c r="S1508">
        <v>-2.529938</v>
      </c>
      <c r="T1508">
        <v>-0.2167171</v>
      </c>
      <c r="U1508">
        <v>-1.8840939999999999</v>
      </c>
      <c r="V1508">
        <v>0.1347032</v>
      </c>
      <c r="W1508">
        <v>3.4284370000000002E-2</v>
      </c>
      <c r="X1508">
        <v>0.99029269999999903</v>
      </c>
      <c r="Y1508">
        <v>0.42215999999999998</v>
      </c>
      <c r="Z1508">
        <v>6.7598130000000006E-2</v>
      </c>
      <c r="AA1508">
        <v>0.90399750000000001</v>
      </c>
      <c r="AB1508">
        <v>21</v>
      </c>
      <c r="AC1508">
        <v>-12.762699999999899</v>
      </c>
      <c r="AD1508">
        <v>-1.1016914116249901</v>
      </c>
      <c r="AE1508">
        <v>-9.4057000000000208</v>
      </c>
      <c r="AF1508">
        <v>6.7642119330366803</v>
      </c>
      <c r="AG1508">
        <v>-1.1016914116249901</v>
      </c>
      <c r="AH1508">
        <v>14.254443607385999</v>
      </c>
      <c r="AI1508">
        <v>93.994180529987503</v>
      </c>
      <c r="AJ1508">
        <v>64.614090865251001</v>
      </c>
      <c r="AK1508">
        <v>15.816366510600099</v>
      </c>
    </row>
    <row r="1509" spans="1:37" x14ac:dyDescent="0.2">
      <c r="A1509" t="str">
        <f>"20200111153636771"</f>
        <v>20200111153636771</v>
      </c>
      <c r="B1509" t="str">
        <f>"1578728196764005"</f>
        <v>1578728196764005</v>
      </c>
      <c r="C1509" t="s">
        <v>37</v>
      </c>
      <c r="D1509">
        <v>5.8692229999999999</v>
      </c>
      <c r="E1509">
        <v>0.61980179999999996</v>
      </c>
      <c r="F1509" t="s">
        <v>44</v>
      </c>
      <c r="G1509">
        <v>-208.4898</v>
      </c>
      <c r="H1509" s="1">
        <v>5.9364849999999996E-6</v>
      </c>
      <c r="I1509">
        <v>285.13560000000001</v>
      </c>
      <c r="J1509">
        <v>-195.1491</v>
      </c>
      <c r="K1509">
        <v>1.1016159999999999</v>
      </c>
      <c r="L1509">
        <v>294.8417</v>
      </c>
      <c r="M1509">
        <v>-0.47860559999999902</v>
      </c>
      <c r="N1509">
        <v>0</v>
      </c>
      <c r="O1509">
        <v>-0.87791600000000003</v>
      </c>
      <c r="P1509">
        <v>-0.59220090000000003</v>
      </c>
      <c r="Q1509">
        <v>2.33546E-2</v>
      </c>
      <c r="R1509">
        <v>-0.80545230000000001</v>
      </c>
      <c r="S1509">
        <v>-2.5410459999999899</v>
      </c>
      <c r="T1509">
        <v>-0.20812030000000001</v>
      </c>
      <c r="U1509">
        <v>-1.8693849999999901</v>
      </c>
      <c r="V1509">
        <v>0.13473789999999999</v>
      </c>
      <c r="W1509">
        <v>3.6231039999999999E-2</v>
      </c>
      <c r="X1509">
        <v>0.99021859999999995</v>
      </c>
      <c r="Y1509">
        <v>0.42171540000000002</v>
      </c>
      <c r="Z1509">
        <v>6.4794749999999998E-2</v>
      </c>
      <c r="AA1509">
        <v>0.90441019999999905</v>
      </c>
      <c r="AB1509">
        <v>21</v>
      </c>
      <c r="AC1509">
        <v>-13.340699999999901</v>
      </c>
      <c r="AD1509">
        <v>-1.1016100635149999</v>
      </c>
      <c r="AE1509">
        <v>-9.7060999999999904</v>
      </c>
      <c r="AF1509">
        <v>7.0359572688541103</v>
      </c>
      <c r="AG1509">
        <v>-1.1016100635149999</v>
      </c>
      <c r="AH1509">
        <v>14.8413950018056</v>
      </c>
      <c r="AI1509">
        <v>93.837093538609096</v>
      </c>
      <c r="AJ1509">
        <v>64.635467199529899</v>
      </c>
      <c r="AK1509">
        <v>16.461629476476499</v>
      </c>
    </row>
    <row r="1510" spans="1:37" x14ac:dyDescent="0.2">
      <c r="A1510" t="str">
        <f>"20200111153636794"</f>
        <v>20200111153636794</v>
      </c>
      <c r="B1510" t="str">
        <f>"1578728196784501"</f>
        <v>1578728196784501</v>
      </c>
      <c r="C1510" t="s">
        <v>37</v>
      </c>
      <c r="D1510">
        <v>5.8534280000000001</v>
      </c>
      <c r="E1510">
        <v>0.62010369999999904</v>
      </c>
      <c r="F1510" t="s">
        <v>44</v>
      </c>
      <c r="G1510">
        <v>-209.05080000000001</v>
      </c>
      <c r="H1510" s="1">
        <v>6.2170680000000001E-6</v>
      </c>
      <c r="I1510">
        <v>284.77179999999998</v>
      </c>
      <c r="J1510">
        <v>-195.25839999999999</v>
      </c>
      <c r="K1510">
        <v>1.1015109999999999</v>
      </c>
      <c r="L1510">
        <v>294.65699999999998</v>
      </c>
      <c r="M1510">
        <v>-0.48433660000000001</v>
      </c>
      <c r="N1510">
        <v>0</v>
      </c>
      <c r="O1510">
        <v>-0.87476759999999998</v>
      </c>
      <c r="P1510">
        <v>-0.59695569999999998</v>
      </c>
      <c r="Q1510">
        <v>2.543521E-2</v>
      </c>
      <c r="R1510">
        <v>-0.80187109999999995</v>
      </c>
      <c r="S1510">
        <v>-2.5558169999999998</v>
      </c>
      <c r="T1510">
        <v>-0.20253009999999999</v>
      </c>
      <c r="U1510">
        <v>-1.8513489999999999</v>
      </c>
      <c r="V1510">
        <v>0.13417960000000001</v>
      </c>
      <c r="W1510">
        <v>3.8251430000000003E-2</v>
      </c>
      <c r="X1510">
        <v>0.9902185</v>
      </c>
      <c r="Y1510">
        <v>0.42256519999999997</v>
      </c>
      <c r="Z1510">
        <v>6.2929669999999993E-2</v>
      </c>
      <c r="AA1510">
        <v>0.90414519999999998</v>
      </c>
      <c r="AB1510">
        <v>21</v>
      </c>
      <c r="AC1510">
        <v>-13.792400000000001</v>
      </c>
      <c r="AD1510">
        <v>-1.1015047829319999</v>
      </c>
      <c r="AE1510">
        <v>-9.8851999999999904</v>
      </c>
      <c r="AF1510">
        <v>7.24756846747895</v>
      </c>
      <c r="AG1510">
        <v>-1.1015047829319999</v>
      </c>
      <c r="AH1510">
        <v>15.2646275513339</v>
      </c>
      <c r="AI1510">
        <v>93.7296192202827</v>
      </c>
      <c r="AJ1510">
        <v>64.601867171869799</v>
      </c>
      <c r="AK1510">
        <v>16.933676971011302</v>
      </c>
    </row>
    <row r="1511" spans="1:37" x14ac:dyDescent="0.2">
      <c r="A1511" t="str">
        <f>"20200111153636817"</f>
        <v>20200111153636817</v>
      </c>
      <c r="B1511" t="str">
        <f>"1578728196813781"</f>
        <v>1578728196813781</v>
      </c>
      <c r="C1511" t="s">
        <v>37</v>
      </c>
      <c r="D1511">
        <v>5.8756589999999997</v>
      </c>
      <c r="E1511">
        <v>0.61988529999999997</v>
      </c>
      <c r="F1511" t="s">
        <v>44</v>
      </c>
      <c r="G1511">
        <v>-209.4178</v>
      </c>
      <c r="H1511" s="1">
        <v>6.3994979999999998E-6</v>
      </c>
      <c r="I1511">
        <v>284.54669999999999</v>
      </c>
      <c r="J1511">
        <v>-195.36850000000001</v>
      </c>
      <c r="K1511">
        <v>1.10137</v>
      </c>
      <c r="L1511">
        <v>294.4742</v>
      </c>
      <c r="M1511">
        <v>-0.49020190000000002</v>
      </c>
      <c r="N1511">
        <v>0</v>
      </c>
      <c r="O1511">
        <v>-0.87149460000000001</v>
      </c>
      <c r="P1511">
        <v>-0.60169189999999995</v>
      </c>
      <c r="Q1511">
        <v>2.707818E-2</v>
      </c>
      <c r="R1511">
        <v>-0.79826900000000001</v>
      </c>
      <c r="S1511">
        <v>-2.5695039999999998</v>
      </c>
      <c r="T1511">
        <v>-0.19988909999999999</v>
      </c>
      <c r="U1511">
        <v>-1.8347169999999999</v>
      </c>
      <c r="V1511">
        <v>0.13344339999999999</v>
      </c>
      <c r="W1511">
        <v>3.9838079999999998E-2</v>
      </c>
      <c r="X1511">
        <v>0.99025540000000001</v>
      </c>
      <c r="Y1511">
        <v>0.42268850000000002</v>
      </c>
      <c r="Z1511">
        <v>6.196219E-2</v>
      </c>
      <c r="AA1511">
        <v>0.90415440000000002</v>
      </c>
      <c r="AB1511">
        <v>21</v>
      </c>
      <c r="AC1511">
        <v>-14.049299999999899</v>
      </c>
      <c r="AD1511">
        <v>-1.101363600502</v>
      </c>
      <c r="AE1511">
        <v>-9.9275000000000002</v>
      </c>
      <c r="AF1511">
        <v>7.3480264826555297</v>
      </c>
      <c r="AG1511">
        <v>-1.101363600502</v>
      </c>
      <c r="AH1511">
        <v>15.476867401903901</v>
      </c>
      <c r="AI1511">
        <v>93.678173503572296</v>
      </c>
      <c r="AJ1511">
        <v>64.602810938725497</v>
      </c>
      <c r="AK1511">
        <v>17.167991133106799</v>
      </c>
    </row>
    <row r="1512" spans="1:37" x14ac:dyDescent="0.2">
      <c r="A1512" t="str">
        <f>"20200111153636839"</f>
        <v>20200111153636839</v>
      </c>
      <c r="B1512" t="str">
        <f>"1578728196834277"</f>
        <v>1578728196834277</v>
      </c>
      <c r="C1512" t="s">
        <v>37</v>
      </c>
      <c r="D1512">
        <v>5.832446</v>
      </c>
      <c r="E1512">
        <v>0.62024159999999995</v>
      </c>
      <c r="F1512" t="s">
        <v>45</v>
      </c>
      <c r="G1512">
        <v>-210.55969999999999</v>
      </c>
      <c r="H1512" s="1">
        <v>-1.238949E-6</v>
      </c>
      <c r="I1512">
        <v>283.75290000000001</v>
      </c>
      <c r="J1512">
        <v>-195.47329999999999</v>
      </c>
      <c r="K1512">
        <v>1.101227</v>
      </c>
      <c r="L1512">
        <v>294.30309999999997</v>
      </c>
      <c r="M1512">
        <v>-0.49588369999999998</v>
      </c>
      <c r="N1512">
        <v>0</v>
      </c>
      <c r="O1512">
        <v>-0.86827449999999995</v>
      </c>
      <c r="P1512">
        <v>-0.60673069999999996</v>
      </c>
      <c r="Q1512">
        <v>2.7671749999999998E-2</v>
      </c>
      <c r="R1512">
        <v>-0.79442570000000001</v>
      </c>
      <c r="S1512">
        <v>-2.579285</v>
      </c>
      <c r="T1512">
        <v>-0.18699930000000001</v>
      </c>
      <c r="U1512">
        <v>-1.820343</v>
      </c>
      <c r="V1512">
        <v>0.13327069999999999</v>
      </c>
      <c r="W1512">
        <v>4.0376000000000002E-2</v>
      </c>
      <c r="X1512">
        <v>0.9902569</v>
      </c>
      <c r="Y1512">
        <v>0.42197190000000001</v>
      </c>
      <c r="Z1512">
        <v>5.7856749999999998E-2</v>
      </c>
      <c r="AA1512">
        <v>0.90476089999999998</v>
      </c>
      <c r="AB1512">
        <v>21</v>
      </c>
      <c r="AC1512">
        <v>-15.0863999999999</v>
      </c>
      <c r="AD1512">
        <v>-1.101228238949</v>
      </c>
      <c r="AE1512">
        <v>-10.550199999999901</v>
      </c>
      <c r="AF1512">
        <v>7.8401916889723102</v>
      </c>
      <c r="AG1512">
        <v>-1.101228238949</v>
      </c>
      <c r="AH1512">
        <v>16.583881583728498</v>
      </c>
      <c r="AI1512">
        <v>93.435504883493806</v>
      </c>
      <c r="AJ1512">
        <v>64.697100530047905</v>
      </c>
      <c r="AK1512">
        <v>18.3767907355234</v>
      </c>
    </row>
    <row r="1513" spans="1:37" x14ac:dyDescent="0.2">
      <c r="A1513" t="str">
        <f>"20200111153636861"</f>
        <v>20200111153636861</v>
      </c>
      <c r="B1513" t="str">
        <f>"1578728196853797"</f>
        <v>1578728196853797</v>
      </c>
      <c r="C1513" t="s">
        <v>37</v>
      </c>
      <c r="D1513">
        <v>5.8209150000000003</v>
      </c>
      <c r="E1513">
        <v>0.62013859999999998</v>
      </c>
      <c r="F1513" t="s">
        <v>45</v>
      </c>
      <c r="G1513">
        <v>-211.48949999999999</v>
      </c>
      <c r="H1513" s="1">
        <v>-7.4414109999999895E-7</v>
      </c>
      <c r="I1513">
        <v>283.17200000000003</v>
      </c>
      <c r="J1513">
        <v>-195.58860000000001</v>
      </c>
      <c r="K1513">
        <v>1.101065</v>
      </c>
      <c r="L1513">
        <v>294.11829999999998</v>
      </c>
      <c r="M1513">
        <v>-0.50224429999999998</v>
      </c>
      <c r="N1513">
        <v>0</v>
      </c>
      <c r="O1513">
        <v>-0.86461100000000002</v>
      </c>
      <c r="P1513">
        <v>-0.61269859999999998</v>
      </c>
      <c r="Q1513">
        <v>2.754914E-2</v>
      </c>
      <c r="R1513">
        <v>-0.78983669999999995</v>
      </c>
      <c r="S1513">
        <v>-2.5930789999999999</v>
      </c>
      <c r="T1513">
        <v>-0.17829239999999999</v>
      </c>
      <c r="U1513">
        <v>-1.802155</v>
      </c>
      <c r="V1513">
        <v>0.13347429999999999</v>
      </c>
      <c r="W1513">
        <v>4.0193510000000002E-2</v>
      </c>
      <c r="X1513">
        <v>0.99023689999999998</v>
      </c>
      <c r="Y1513">
        <v>0.4220005</v>
      </c>
      <c r="Z1513">
        <v>5.5028460000000001E-2</v>
      </c>
      <c r="AA1513">
        <v>0.90492399999999995</v>
      </c>
      <c r="AB1513">
        <v>21</v>
      </c>
      <c r="AC1513">
        <v>-15.900899999999901</v>
      </c>
      <c r="AD1513">
        <v>-1.1010657441411</v>
      </c>
      <c r="AE1513">
        <v>-10.9462999999999</v>
      </c>
      <c r="AF1513">
        <v>8.2244392449023902</v>
      </c>
      <c r="AG1513">
        <v>-1.1010657441411</v>
      </c>
      <c r="AH1513">
        <v>17.395568200920401</v>
      </c>
      <c r="AI1513">
        <v>93.2750402805043</v>
      </c>
      <c r="AJ1513">
        <v>64.695714704368896</v>
      </c>
      <c r="AK1513">
        <v>19.273285648764901</v>
      </c>
    </row>
    <row r="1514" spans="1:37" x14ac:dyDescent="0.2">
      <c r="A1514" t="str">
        <f>"20200111153636883"</f>
        <v>20200111153636883</v>
      </c>
      <c r="B1514" t="str">
        <f>"1578728196874293"</f>
        <v>1578728196874293</v>
      </c>
      <c r="C1514" t="s">
        <v>37</v>
      </c>
      <c r="D1514">
        <v>5.7771629999999998</v>
      </c>
      <c r="E1514">
        <v>0.61996470000000004</v>
      </c>
      <c r="F1514" t="s">
        <v>45</v>
      </c>
      <c r="G1514">
        <v>-211.1651</v>
      </c>
      <c r="H1514" s="1">
        <v>-9.1678989999999995E-7</v>
      </c>
      <c r="I1514">
        <v>283.46289999999999</v>
      </c>
      <c r="J1514">
        <v>-195.7003</v>
      </c>
      <c r="K1514">
        <v>1.10092099999999</v>
      </c>
      <c r="L1514">
        <v>293.9427</v>
      </c>
      <c r="M1514">
        <v>-0.50850609999999996</v>
      </c>
      <c r="N1514">
        <v>0</v>
      </c>
      <c r="O1514">
        <v>-0.86094280000000001</v>
      </c>
      <c r="P1514">
        <v>-0.61810679999999996</v>
      </c>
      <c r="Q1514">
        <v>2.8832819999999999E-2</v>
      </c>
      <c r="R1514">
        <v>-0.78556519999999996</v>
      </c>
      <c r="S1514">
        <v>-2.6063540000000001</v>
      </c>
      <c r="T1514">
        <v>-0.18423719999999999</v>
      </c>
      <c r="U1514">
        <v>-1.7829279999999901</v>
      </c>
      <c r="V1514">
        <v>0.13313739999999999</v>
      </c>
      <c r="W1514">
        <v>4.143227E-2</v>
      </c>
      <c r="X1514">
        <v>0.99023119999999998</v>
      </c>
      <c r="Y1514">
        <v>0.42202699999999999</v>
      </c>
      <c r="Z1514">
        <v>5.6725999999999999E-2</v>
      </c>
      <c r="AA1514">
        <v>0.90480689999999997</v>
      </c>
      <c r="AB1514">
        <v>21</v>
      </c>
      <c r="AC1514">
        <v>-15.464799999999901</v>
      </c>
      <c r="AD1514">
        <v>-1.10092191678989</v>
      </c>
      <c r="AE1514">
        <v>-10.479799999999999</v>
      </c>
      <c r="AF1514">
        <v>7.9584212115295303</v>
      </c>
      <c r="AG1514">
        <v>-1.10092191678989</v>
      </c>
      <c r="AH1514">
        <v>16.829684806061699</v>
      </c>
      <c r="AI1514">
        <v>93.384349330183397</v>
      </c>
      <c r="AJ1514">
        <v>64.691469888242494</v>
      </c>
      <c r="AK1514">
        <v>18.649042546961301</v>
      </c>
    </row>
    <row r="1515" spans="1:37" x14ac:dyDescent="0.2">
      <c r="A1515" t="str">
        <f>"20200111153636906"</f>
        <v>20200111153636906</v>
      </c>
      <c r="B1515" t="str">
        <f>"1578728196893812"</f>
        <v>1578728196893812</v>
      </c>
      <c r="C1515" t="s">
        <v>37</v>
      </c>
      <c r="D1515">
        <v>5.7849949999999897</v>
      </c>
      <c r="E1515">
        <v>0.61991130000000005</v>
      </c>
      <c r="F1515" t="s">
        <v>45</v>
      </c>
      <c r="G1515">
        <v>-211.2467</v>
      </c>
      <c r="H1515" s="1">
        <v>-8.7336419999999896E-7</v>
      </c>
      <c r="I1515">
        <v>283.45920000000001</v>
      </c>
      <c r="J1515">
        <v>-195.8167</v>
      </c>
      <c r="K1515">
        <v>1.100806</v>
      </c>
      <c r="L1515">
        <v>293.76330000000002</v>
      </c>
      <c r="M1515">
        <v>-0.51508489999999996</v>
      </c>
      <c r="N1515">
        <v>0</v>
      </c>
      <c r="O1515">
        <v>-0.85702319999999999</v>
      </c>
      <c r="P1515">
        <v>-0.62424089999999999</v>
      </c>
      <c r="Q1515">
        <v>3.1640840000000003E-2</v>
      </c>
      <c r="R1515">
        <v>-0.78059140000000005</v>
      </c>
      <c r="S1515">
        <v>-2.6182560000000001</v>
      </c>
      <c r="T1515">
        <v>-0.18541289999999999</v>
      </c>
      <c r="U1515">
        <v>-1.7655939999999899</v>
      </c>
      <c r="V1515">
        <v>0.13340869999999999</v>
      </c>
      <c r="W1515">
        <v>4.419729E-2</v>
      </c>
      <c r="X1515">
        <v>0.99007509999999999</v>
      </c>
      <c r="Y1515">
        <v>0.42109669999999999</v>
      </c>
      <c r="Z1515">
        <v>5.6924780000000001E-2</v>
      </c>
      <c r="AA1515">
        <v>0.90522769999999997</v>
      </c>
      <c r="AB1515">
        <v>21</v>
      </c>
      <c r="AC1515">
        <v>-15.43</v>
      </c>
      <c r="AD1515">
        <v>-1.1008068733642</v>
      </c>
      <c r="AE1515">
        <v>-10.3041</v>
      </c>
      <c r="AF1515">
        <v>7.8893982991376301</v>
      </c>
      <c r="AG1515">
        <v>-1.1008068733642</v>
      </c>
      <c r="AH1515">
        <v>16.721422072303898</v>
      </c>
      <c r="AI1515">
        <v>93.407254035309094</v>
      </c>
      <c r="AJ1515">
        <v>64.741413159056506</v>
      </c>
      <c r="AK1515">
        <v>18.521888062911302</v>
      </c>
    </row>
    <row r="1516" spans="1:37" x14ac:dyDescent="0.2">
      <c r="A1516" t="str">
        <f>"20200111153636928"</f>
        <v>20200111153636928</v>
      </c>
      <c r="B1516" t="str">
        <f>"1578728196924069"</f>
        <v>1578728196924069</v>
      </c>
      <c r="C1516" t="s">
        <v>37</v>
      </c>
      <c r="D1516">
        <v>5.9790979999999996</v>
      </c>
      <c r="E1516">
        <v>0.62592930000000002</v>
      </c>
      <c r="F1516" t="s">
        <v>45</v>
      </c>
      <c r="G1516">
        <v>-211.71850000000001</v>
      </c>
      <c r="H1516" s="1">
        <v>-6.2228050000000005E-7</v>
      </c>
      <c r="I1516">
        <v>283.22050000000002</v>
      </c>
      <c r="J1516">
        <v>-195.93450000000001</v>
      </c>
      <c r="K1516">
        <v>1.1007199999999999</v>
      </c>
      <c r="L1516">
        <v>293.58499999999998</v>
      </c>
      <c r="M1516">
        <v>-0.52178659999999999</v>
      </c>
      <c r="N1516">
        <v>0</v>
      </c>
      <c r="O1516">
        <v>-0.85295929999999998</v>
      </c>
      <c r="P1516">
        <v>-0.63088089999999997</v>
      </c>
      <c r="Q1516">
        <v>3.487796E-2</v>
      </c>
      <c r="R1516">
        <v>-0.77509549999999905</v>
      </c>
      <c r="S1516">
        <v>-2.6325379999999998</v>
      </c>
      <c r="T1516">
        <v>-0.1822377</v>
      </c>
      <c r="U1516">
        <v>-1.7453609999999999</v>
      </c>
      <c r="V1516">
        <v>0.13421830000000001</v>
      </c>
      <c r="W1516">
        <v>4.7393030000000003E-2</v>
      </c>
      <c r="X1516">
        <v>0.98981790000000003</v>
      </c>
      <c r="Y1516">
        <v>0.4211434</v>
      </c>
      <c r="Z1516">
        <v>5.5793799999999998E-2</v>
      </c>
      <c r="AA1516">
        <v>0.90527639999999998</v>
      </c>
      <c r="AB1516">
        <v>21</v>
      </c>
      <c r="AC1516">
        <v>-15.783999999999899</v>
      </c>
      <c r="AD1516">
        <v>-1.1007206222804999</v>
      </c>
      <c r="AE1516">
        <v>-10.3644999999999</v>
      </c>
      <c r="AF1516">
        <v>8.0285735139005592</v>
      </c>
      <c r="AG1516">
        <v>-1.1007206222804999</v>
      </c>
      <c r="AH1516">
        <v>17.020242272820902</v>
      </c>
      <c r="AI1516">
        <v>93.3474464990055</v>
      </c>
      <c r="AJ1516">
        <v>64.746403327490299</v>
      </c>
      <c r="AK1516">
        <v>18.850947604349699</v>
      </c>
    </row>
    <row r="1517" spans="1:37" x14ac:dyDescent="0.2">
      <c r="A1517" t="str">
        <f>"20200111153636950"</f>
        <v>20200111153636950</v>
      </c>
      <c r="B1517" t="str">
        <f>"1578728196944565"</f>
        <v>1578728196944565</v>
      </c>
      <c r="C1517" t="s">
        <v>37</v>
      </c>
      <c r="D1517">
        <v>5.7312440000000002</v>
      </c>
      <c r="E1517">
        <v>0.63588820000000001</v>
      </c>
      <c r="F1517" t="s">
        <v>44</v>
      </c>
      <c r="G1517">
        <v>-204.5976</v>
      </c>
      <c r="H1517" s="1">
        <v>3.94818E-6</v>
      </c>
      <c r="I1517">
        <v>288.13549999999998</v>
      </c>
      <c r="J1517">
        <v>-196.04650000000001</v>
      </c>
      <c r="K1517">
        <v>1.100662</v>
      </c>
      <c r="L1517">
        <v>293.41860000000003</v>
      </c>
      <c r="M1517">
        <v>-0.52818069999999995</v>
      </c>
      <c r="N1517">
        <v>0</v>
      </c>
      <c r="O1517">
        <v>-0.84901459999999995</v>
      </c>
      <c r="P1517">
        <v>-0.63740019999999997</v>
      </c>
      <c r="Q1517">
        <v>3.760003E-2</v>
      </c>
      <c r="R1517">
        <v>-0.7696151</v>
      </c>
      <c r="S1517">
        <v>-2.6929780000000001</v>
      </c>
      <c r="T1517">
        <v>-0.34216419999999997</v>
      </c>
      <c r="U1517">
        <v>-1.694</v>
      </c>
      <c r="V1517">
        <v>0.13524259999999999</v>
      </c>
      <c r="W1517">
        <v>5.0079199999999997E-2</v>
      </c>
      <c r="X1517">
        <v>0.98954609999999998</v>
      </c>
      <c r="Y1517">
        <v>0.43224759999999901</v>
      </c>
      <c r="Z1517">
        <v>0.1037674</v>
      </c>
      <c r="AA1517">
        <v>0.89576469999999897</v>
      </c>
      <c r="AB1517">
        <v>21</v>
      </c>
      <c r="AC1517">
        <v>-8.5510999999999893</v>
      </c>
      <c r="AD1517">
        <v>-1.10065805182</v>
      </c>
      <c r="AE1517">
        <v>-5.2831000000000401</v>
      </c>
      <c r="AF1517">
        <v>4.4170593201478603</v>
      </c>
      <c r="AG1517">
        <v>-1.10065805182</v>
      </c>
      <c r="AH1517">
        <v>8.8961811662738306</v>
      </c>
      <c r="AI1517">
        <v>96.323431049979703</v>
      </c>
      <c r="AJ1517">
        <v>63.595057069065803</v>
      </c>
      <c r="AK1517">
        <v>9.9931927094350801</v>
      </c>
    </row>
    <row r="1518" spans="1:37" x14ac:dyDescent="0.2">
      <c r="A1518" t="str">
        <f>"20200111153636973"</f>
        <v>20200111153636973</v>
      </c>
      <c r="B1518" t="str">
        <f>"1578728196964085"</f>
        <v>1578728196964085</v>
      </c>
      <c r="C1518" t="s">
        <v>37</v>
      </c>
      <c r="D1518">
        <v>5.8049390000000001</v>
      </c>
      <c r="E1518">
        <v>0.68249159999999998</v>
      </c>
      <c r="F1518" t="s">
        <v>44</v>
      </c>
      <c r="G1518">
        <v>-206.22139999999999</v>
      </c>
      <c r="H1518" s="1">
        <v>4.7273319999999997E-6</v>
      </c>
      <c r="I1518">
        <v>287.45999999999998</v>
      </c>
      <c r="J1518">
        <v>-196.17169999999999</v>
      </c>
      <c r="K1518">
        <v>1.1005940000000001</v>
      </c>
      <c r="L1518">
        <v>293.23599999999999</v>
      </c>
      <c r="M1518">
        <v>-0.53534209999999904</v>
      </c>
      <c r="N1518">
        <v>0</v>
      </c>
      <c r="O1518">
        <v>-0.84451739999999997</v>
      </c>
      <c r="P1518">
        <v>-0.64461610000000003</v>
      </c>
      <c r="Q1518">
        <v>4.005119E-2</v>
      </c>
      <c r="R1518">
        <v>-0.76345680000000005</v>
      </c>
      <c r="S1518">
        <v>-2.7674409999999998</v>
      </c>
      <c r="T1518">
        <v>-0.29936239999999997</v>
      </c>
      <c r="U1518">
        <v>-1.620636</v>
      </c>
      <c r="V1518">
        <v>0.1362922</v>
      </c>
      <c r="W1518">
        <v>5.2496439999999998E-2</v>
      </c>
      <c r="X1518">
        <v>0.98927679999999996</v>
      </c>
      <c r="Y1518">
        <v>0.45421650000000002</v>
      </c>
      <c r="Z1518">
        <v>9.0543399999999996E-2</v>
      </c>
      <c r="AA1518">
        <v>0.88627829999999996</v>
      </c>
      <c r="AB1518">
        <v>21</v>
      </c>
      <c r="AC1518">
        <v>-10.0497</v>
      </c>
      <c r="AD1518">
        <v>-1.100589272668</v>
      </c>
      <c r="AE1518">
        <v>-5.7760000000000096</v>
      </c>
      <c r="AF1518">
        <v>5.3473395631010501</v>
      </c>
      <c r="AG1518">
        <v>-1.100589272668</v>
      </c>
      <c r="AH1518">
        <v>10.167319398332101</v>
      </c>
      <c r="AI1518">
        <v>95.472545701286606</v>
      </c>
      <c r="AJ1518">
        <v>62.258589256351499</v>
      </c>
      <c r="AK1518">
        <v>11.540351853297899</v>
      </c>
    </row>
    <row r="1519" spans="1:37" x14ac:dyDescent="0.2">
      <c r="A1519" t="str">
        <f>"20200111153636996"</f>
        <v>20200111153636996</v>
      </c>
      <c r="B1519" t="str">
        <f>"1578728196984580"</f>
        <v>1578728196984580</v>
      </c>
      <c r="C1519" t="s">
        <v>37</v>
      </c>
      <c r="D1519">
        <v>5.7647399999999998</v>
      </c>
      <c r="E1519">
        <v>0.68313330000000005</v>
      </c>
      <c r="F1519" t="s">
        <v>45</v>
      </c>
      <c r="G1519">
        <v>-229.35059999999999</v>
      </c>
      <c r="H1519">
        <v>8.0000180000000004E-2</v>
      </c>
      <c r="I1519">
        <v>278.5539</v>
      </c>
      <c r="J1519">
        <v>-196.29239999999999</v>
      </c>
      <c r="K1519">
        <v>1.1005339999999999</v>
      </c>
      <c r="L1519">
        <v>293.06330000000003</v>
      </c>
      <c r="M1519">
        <v>-0.54224280000000002</v>
      </c>
      <c r="N1519">
        <v>0</v>
      </c>
      <c r="O1519">
        <v>-0.84010309999999899</v>
      </c>
      <c r="P1519">
        <v>-0.65145989999999998</v>
      </c>
      <c r="Q1519">
        <v>4.2145139999999998E-2</v>
      </c>
      <c r="R1519">
        <v>-0.75751169999999901</v>
      </c>
      <c r="S1519">
        <v>-3.057404</v>
      </c>
      <c r="T1519">
        <v>-9.4046589999999999E-2</v>
      </c>
      <c r="U1519">
        <v>-1.3529359999999999</v>
      </c>
      <c r="V1519">
        <v>0.13718449999999999</v>
      </c>
      <c r="W1519">
        <v>5.4563430000000003E-2</v>
      </c>
      <c r="X1519">
        <v>0.98904159999999997</v>
      </c>
      <c r="Y1519">
        <v>0.54846269999999997</v>
      </c>
      <c r="Z1519">
        <v>2.8182269999999999E-2</v>
      </c>
      <c r="AA1519">
        <v>0.83569989999999905</v>
      </c>
      <c r="AB1519">
        <v>21</v>
      </c>
      <c r="AC1519">
        <v>-33.058199999999999</v>
      </c>
      <c r="AD1519">
        <v>-1.02053382</v>
      </c>
      <c r="AE1519">
        <v>-14.509399999999999</v>
      </c>
      <c r="AF1519">
        <v>19.890770444137299</v>
      </c>
      <c r="AG1519">
        <v>-1.02053382</v>
      </c>
      <c r="AH1519">
        <v>30.093920352994999</v>
      </c>
      <c r="AI1519">
        <v>91.620495018938101</v>
      </c>
      <c r="AJ1519">
        <v>56.537033448652501</v>
      </c>
      <c r="AK1519">
        <v>36.0877857501889</v>
      </c>
    </row>
    <row r="1520" spans="1:37" x14ac:dyDescent="0.2">
      <c r="A1520" t="str">
        <f>"20200111153637016"</f>
        <v>20200111153637016</v>
      </c>
      <c r="B1520" t="str">
        <f>"1578728197013861"</f>
        <v>1578728197013861</v>
      </c>
      <c r="C1520" t="s">
        <v>37</v>
      </c>
      <c r="D1520">
        <v>5.7420540000000004</v>
      </c>
      <c r="E1520">
        <v>0.68233310000000003</v>
      </c>
      <c r="F1520" t="s">
        <v>46</v>
      </c>
      <c r="G1520">
        <v>-233.8725</v>
      </c>
      <c r="H1520">
        <v>0.12939500000000001</v>
      </c>
      <c r="I1520">
        <v>276.8972</v>
      </c>
      <c r="J1520">
        <v>-196.40770000000001</v>
      </c>
      <c r="K1520">
        <v>1.1004750000000001</v>
      </c>
      <c r="L1520">
        <v>292.90129999999999</v>
      </c>
      <c r="M1520">
        <v>-0.54883119999999996</v>
      </c>
      <c r="N1520">
        <v>0</v>
      </c>
      <c r="O1520">
        <v>-0.83581380000000005</v>
      </c>
      <c r="P1520">
        <v>-0.65755129999999995</v>
      </c>
      <c r="Q1520">
        <v>4.363496E-2</v>
      </c>
      <c r="R1520">
        <v>-0.75214530000000002</v>
      </c>
      <c r="S1520">
        <v>-3.0730740000000001</v>
      </c>
      <c r="T1520">
        <v>-7.940817E-2</v>
      </c>
      <c r="U1520">
        <v>-1.32196</v>
      </c>
      <c r="V1520">
        <v>0.13746259999999999</v>
      </c>
      <c r="W1520">
        <v>5.6035540000000002E-2</v>
      </c>
      <c r="X1520">
        <v>0.98892060000000004</v>
      </c>
      <c r="Y1520">
        <v>0.55066850000000001</v>
      </c>
      <c r="Z1520">
        <v>2.3747259999999999E-2</v>
      </c>
      <c r="AA1520">
        <v>0.83438619999999997</v>
      </c>
      <c r="AB1520">
        <v>21</v>
      </c>
      <c r="AC1520">
        <v>-37.464799999999997</v>
      </c>
      <c r="AD1520">
        <v>-0.97108000000000005</v>
      </c>
      <c r="AE1520">
        <v>-16.004099999999902</v>
      </c>
      <c r="AF1520">
        <v>22.5195017045796</v>
      </c>
      <c r="AG1520">
        <v>-0.97108000000000005</v>
      </c>
      <c r="AH1520">
        <v>33.922413124531303</v>
      </c>
      <c r="AI1520">
        <v>91.366223168339204</v>
      </c>
      <c r="AJ1520">
        <v>56.421678211313697</v>
      </c>
      <c r="AK1520">
        <v>40.728381573300197</v>
      </c>
    </row>
    <row r="1521" spans="1:37" x14ac:dyDescent="0.2">
      <c r="A1521" t="str">
        <f>"20200111153637039"</f>
        <v>20200111153637039</v>
      </c>
      <c r="B1521" t="str">
        <f>"1578728197034358"</f>
        <v>1578728197034358</v>
      </c>
      <c r="C1521" t="s">
        <v>37</v>
      </c>
      <c r="D1521">
        <v>5.8215560000000002</v>
      </c>
      <c r="E1521">
        <v>0.6808805</v>
      </c>
      <c r="F1521" t="s">
        <v>46</v>
      </c>
      <c r="G1521">
        <v>-233.8725</v>
      </c>
      <c r="H1521">
        <v>0.15221589999999999</v>
      </c>
      <c r="I1521">
        <v>277.07429999999999</v>
      </c>
      <c r="J1521">
        <v>-196.5291</v>
      </c>
      <c r="K1521">
        <v>1.100406</v>
      </c>
      <c r="L1521">
        <v>292.73390000000001</v>
      </c>
      <c r="M1521">
        <v>-0.55575220000000003</v>
      </c>
      <c r="N1521">
        <v>0</v>
      </c>
      <c r="O1521">
        <v>-0.83122770000000001</v>
      </c>
      <c r="P1521">
        <v>-0.66397810000000002</v>
      </c>
      <c r="Q1521">
        <v>4.4541839999999999E-2</v>
      </c>
      <c r="R1521">
        <v>-0.74642439999999999</v>
      </c>
      <c r="S1521">
        <v>-3.0795140000000001</v>
      </c>
      <c r="T1521">
        <v>-7.793891E-2</v>
      </c>
      <c r="U1521">
        <v>-1.300934</v>
      </c>
      <c r="V1521">
        <v>0.13778389999999999</v>
      </c>
      <c r="W1521">
        <v>5.6923420000000002E-2</v>
      </c>
      <c r="X1521">
        <v>0.98882519999999996</v>
      </c>
      <c r="Y1521">
        <v>0.5492051</v>
      </c>
      <c r="Z1521">
        <v>2.3253409999999999E-2</v>
      </c>
      <c r="AA1521">
        <v>0.835364</v>
      </c>
      <c r="AB1521">
        <v>21</v>
      </c>
      <c r="AC1521">
        <v>-37.343400000000003</v>
      </c>
      <c r="AD1521">
        <v>-0.94819010000000004</v>
      </c>
      <c r="AE1521">
        <v>-15.659599999999999</v>
      </c>
      <c r="AF1521">
        <v>22.328003227885102</v>
      </c>
      <c r="AG1521">
        <v>-0.94819010000000004</v>
      </c>
      <c r="AH1521">
        <v>33.7552398364355</v>
      </c>
      <c r="AI1521">
        <v>91.342108104842595</v>
      </c>
      <c r="AJ1521">
        <v>56.516648625033</v>
      </c>
      <c r="AK1521">
        <v>40.482774225903398</v>
      </c>
    </row>
    <row r="1522" spans="1:37" x14ac:dyDescent="0.2">
      <c r="A1522" t="str">
        <f>"20200111153637073"</f>
        <v>20200111153637073</v>
      </c>
      <c r="B1522" t="str">
        <f>"1578728197064613"</f>
        <v>1578728197064613</v>
      </c>
      <c r="C1522" t="s">
        <v>37</v>
      </c>
      <c r="D1522">
        <v>6.1348789999999997</v>
      </c>
      <c r="E1522">
        <v>0.67648909999999995</v>
      </c>
      <c r="F1522" t="s">
        <v>45</v>
      </c>
      <c r="G1522">
        <v>-230.87569999999999</v>
      </c>
      <c r="H1522">
        <v>8.0001470000000005E-2</v>
      </c>
      <c r="I1522">
        <v>278.45080000000002</v>
      </c>
      <c r="J1522">
        <v>-196.71889999999999</v>
      </c>
      <c r="K1522">
        <v>1.1002730000000001</v>
      </c>
      <c r="L1522">
        <v>292.47919999999999</v>
      </c>
      <c r="M1522">
        <v>-0.56655889999999998</v>
      </c>
      <c r="N1522">
        <v>0</v>
      </c>
      <c r="O1522">
        <v>-0.82389959999999995</v>
      </c>
      <c r="P1522">
        <v>-0.67411580000000004</v>
      </c>
      <c r="Q1522">
        <v>4.3334070000000002E-2</v>
      </c>
      <c r="R1522">
        <v>-0.73735390000000001</v>
      </c>
      <c r="S1522">
        <v>-3.0830690000000001</v>
      </c>
      <c r="T1522">
        <v>-9.1595049999999997E-2</v>
      </c>
      <c r="U1522">
        <v>-1.2821039999999999</v>
      </c>
      <c r="V1522">
        <v>0.138345</v>
      </c>
      <c r="W1522">
        <v>5.5690370000000003E-2</v>
      </c>
      <c r="X1522">
        <v>0.9888171</v>
      </c>
      <c r="Y1522">
        <v>0.54285680000000003</v>
      </c>
      <c r="Z1522">
        <v>2.7182169999999999E-2</v>
      </c>
      <c r="AA1522">
        <v>0.8393853</v>
      </c>
      <c r="AB1522">
        <v>21</v>
      </c>
      <c r="AC1522">
        <v>-34.156799999999997</v>
      </c>
      <c r="AD1522">
        <v>-1.02027153</v>
      </c>
      <c r="AE1522">
        <v>-14.0283999999999</v>
      </c>
      <c r="AF1522">
        <v>20.180476511286098</v>
      </c>
      <c r="AG1522">
        <v>-1.02027153</v>
      </c>
      <c r="AH1522">
        <v>30.8893482339559</v>
      </c>
      <c r="AI1522">
        <v>91.583923934006506</v>
      </c>
      <c r="AJ1522">
        <v>56.842809746539601</v>
      </c>
      <c r="AK1522">
        <v>36.911304779648397</v>
      </c>
    </row>
    <row r="1523" spans="1:37" x14ac:dyDescent="0.2">
      <c r="A1523" t="str">
        <f>"20200111153637095"</f>
        <v>20200111153637095</v>
      </c>
      <c r="B1523" t="str">
        <f>"1578728197084132"</f>
        <v>1578728197084132</v>
      </c>
      <c r="C1523" t="s">
        <v>37</v>
      </c>
      <c r="D1523">
        <v>6.1230010000000004</v>
      </c>
      <c r="E1523">
        <v>0.67394350000000003</v>
      </c>
      <c r="F1523" t="s">
        <v>45</v>
      </c>
      <c r="G1523">
        <v>-221.51840000000001</v>
      </c>
      <c r="H1523" s="1">
        <v>-7.2876809999999896E-7</v>
      </c>
      <c r="I1523">
        <v>282.30119999999999</v>
      </c>
      <c r="J1523">
        <v>-196.84690000000001</v>
      </c>
      <c r="K1523">
        <v>1.1002000000000001</v>
      </c>
      <c r="L1523">
        <v>292.31130000000002</v>
      </c>
      <c r="M1523">
        <v>-0.57383050000000002</v>
      </c>
      <c r="N1523">
        <v>0</v>
      </c>
      <c r="O1523">
        <v>-0.8188512</v>
      </c>
      <c r="P1523">
        <v>-0.68102790000000002</v>
      </c>
      <c r="Q1523">
        <v>4.1861929999999999E-2</v>
      </c>
      <c r="R1523">
        <v>-0.7310603</v>
      </c>
      <c r="S1523">
        <v>-3.0774689999999998</v>
      </c>
      <c r="T1523">
        <v>-0.13653709999999999</v>
      </c>
      <c r="U1523">
        <v>-1.263031</v>
      </c>
      <c r="V1523">
        <v>0.13884289999999999</v>
      </c>
      <c r="W1523">
        <v>5.4203460000000002E-2</v>
      </c>
      <c r="X1523">
        <v>0.98882990000000004</v>
      </c>
      <c r="Y1523">
        <v>0.53883300000000001</v>
      </c>
      <c r="Z1523">
        <v>4.0477730000000003E-2</v>
      </c>
      <c r="AA1523">
        <v>0.84143950000000001</v>
      </c>
      <c r="AB1523">
        <v>21</v>
      </c>
      <c r="AC1523">
        <v>-24.671500000000002</v>
      </c>
      <c r="AD1523">
        <v>-1.1002007287680999</v>
      </c>
      <c r="AE1523">
        <v>-10.0101</v>
      </c>
      <c r="AF1523">
        <v>14.434993739750301</v>
      </c>
      <c r="AG1523">
        <v>-1.1002007287680999</v>
      </c>
      <c r="AH1523">
        <v>22.318182569635699</v>
      </c>
      <c r="AI1523">
        <v>92.370280533898807</v>
      </c>
      <c r="AJ1523">
        <v>57.105947516981999</v>
      </c>
      <c r="AK1523">
        <v>26.602269811461699</v>
      </c>
    </row>
    <row r="1524" spans="1:37" x14ac:dyDescent="0.2">
      <c r="A1524" t="str">
        <f>"20200111153637119"</f>
        <v>20200111153637119</v>
      </c>
      <c r="B1524" t="str">
        <f>"1578728197114389"</f>
        <v>1578728197114389</v>
      </c>
      <c r="C1524" t="s">
        <v>37</v>
      </c>
      <c r="D1524">
        <v>6.1473690000000003</v>
      </c>
      <c r="E1524">
        <v>0.67060249999999999</v>
      </c>
      <c r="F1524" t="s">
        <v>45</v>
      </c>
      <c r="G1524">
        <v>-217.90629999999999</v>
      </c>
      <c r="H1524" s="1">
        <v>2.6705669999999899E-6</v>
      </c>
      <c r="I1524">
        <v>283.76949999999999</v>
      </c>
      <c r="J1524">
        <v>-196.9794</v>
      </c>
      <c r="K1524">
        <v>1.1001339999999999</v>
      </c>
      <c r="L1524">
        <v>292.140999999999</v>
      </c>
      <c r="M1524">
        <v>-0.58133889999999999</v>
      </c>
      <c r="N1524">
        <v>0</v>
      </c>
      <c r="O1524">
        <v>-0.81353769999999903</v>
      </c>
      <c r="P1524">
        <v>-0.68747819999999904</v>
      </c>
      <c r="Q1524">
        <v>4.0501080000000002E-2</v>
      </c>
      <c r="R1524">
        <v>-0.72507480000000002</v>
      </c>
      <c r="S1524">
        <v>-3.075806</v>
      </c>
      <c r="T1524">
        <v>-0.16068769999999999</v>
      </c>
      <c r="U1524">
        <v>-1.2475590000000001</v>
      </c>
      <c r="V1524">
        <v>0.13845370000000001</v>
      </c>
      <c r="W1524">
        <v>5.2843090000000002E-2</v>
      </c>
      <c r="X1524">
        <v>0.98895809999999995</v>
      </c>
      <c r="Y1524">
        <v>0.53420909999999999</v>
      </c>
      <c r="Z1524">
        <v>4.7498230000000002E-2</v>
      </c>
      <c r="AA1524">
        <v>0.84401689999999996</v>
      </c>
      <c r="AB1524">
        <v>21</v>
      </c>
      <c r="AC1524">
        <v>-20.9268999999999</v>
      </c>
      <c r="AD1524">
        <v>-1.100131329433</v>
      </c>
      <c r="AE1524">
        <v>-8.3714999999999602</v>
      </c>
      <c r="AF1524">
        <v>12.130469210474301</v>
      </c>
      <c r="AG1524">
        <v>-1.100131329433</v>
      </c>
      <c r="AH1524">
        <v>18.9329584960151</v>
      </c>
      <c r="AI1524">
        <v>92.801013667427398</v>
      </c>
      <c r="AJ1524">
        <v>57.352049927480898</v>
      </c>
      <c r="AK1524">
        <v>22.512562928731501</v>
      </c>
    </row>
    <row r="1525" spans="1:37" x14ac:dyDescent="0.2">
      <c r="A1525" t="str">
        <f>"20200111153637141"</f>
        <v>20200111153637141</v>
      </c>
      <c r="B1525" t="str">
        <f>"1578728197133910"</f>
        <v>1578728197133910</v>
      </c>
      <c r="C1525" t="s">
        <v>37</v>
      </c>
      <c r="D1525">
        <v>6.1310000000000002</v>
      </c>
      <c r="E1525">
        <v>0.66889949999999998</v>
      </c>
      <c r="F1525" t="s">
        <v>45</v>
      </c>
      <c r="G1525">
        <v>-214.4177</v>
      </c>
      <c r="H1525" s="1">
        <v>8.1411000000000003E-7</v>
      </c>
      <c r="I1525">
        <v>285.10469999999998</v>
      </c>
      <c r="J1525">
        <v>-197.10650000000001</v>
      </c>
      <c r="K1525">
        <v>1.100071</v>
      </c>
      <c r="L1525">
        <v>291.98110000000003</v>
      </c>
      <c r="M1525">
        <v>-0.58854119999999999</v>
      </c>
      <c r="N1525">
        <v>0</v>
      </c>
      <c r="O1525">
        <v>-0.80834220000000001</v>
      </c>
      <c r="P1525">
        <v>-0.6939651</v>
      </c>
      <c r="Q1525">
        <v>3.9216500000000001E-2</v>
      </c>
      <c r="R1525">
        <v>-0.71894009999999997</v>
      </c>
      <c r="S1525">
        <v>-3.0691220000000001</v>
      </c>
      <c r="T1525">
        <v>-0.19362170000000001</v>
      </c>
      <c r="U1525">
        <v>-1.2383729999999999</v>
      </c>
      <c r="V1525">
        <v>0.138506399999999</v>
      </c>
      <c r="W1525">
        <v>5.155216E-2</v>
      </c>
      <c r="X1525">
        <v>0.98901890000000003</v>
      </c>
      <c r="Y1525">
        <v>0.52766969999999902</v>
      </c>
      <c r="Z1525">
        <v>5.7053380000000001E-2</v>
      </c>
      <c r="AA1525">
        <v>0.84753159999999905</v>
      </c>
      <c r="AB1525">
        <v>20</v>
      </c>
      <c r="AC1525">
        <v>-17.3111999999999</v>
      </c>
      <c r="AD1525">
        <v>-1.1000701858899999</v>
      </c>
      <c r="AE1525">
        <v>-6.8764000000000403</v>
      </c>
      <c r="AF1525">
        <v>9.9127599771552806</v>
      </c>
      <c r="AG1525">
        <v>-1.1000701858899999</v>
      </c>
      <c r="AH1525">
        <v>15.693693226900701</v>
      </c>
      <c r="AI1525">
        <v>93.391612202622099</v>
      </c>
      <c r="AJ1525">
        <v>57.721866678059698</v>
      </c>
      <c r="AK1525">
        <v>18.594756569491398</v>
      </c>
    </row>
    <row r="1526" spans="1:37" x14ac:dyDescent="0.2">
      <c r="A1526" t="str">
        <f>"20200111153637163"</f>
        <v>20200111153637163</v>
      </c>
      <c r="B1526" t="str">
        <f>"1578728197154405"</f>
        <v>1578728197154405</v>
      </c>
      <c r="C1526" t="s">
        <v>37</v>
      </c>
      <c r="D1526">
        <v>6.174709</v>
      </c>
      <c r="E1526">
        <v>0.66747639999999997</v>
      </c>
      <c r="F1526" t="s">
        <v>45</v>
      </c>
      <c r="G1526">
        <v>-212.99420000000001</v>
      </c>
      <c r="H1526" s="1">
        <v>5.657958E-8</v>
      </c>
      <c r="I1526">
        <v>285.66879999999998</v>
      </c>
      <c r="J1526">
        <v>-197.23939999999999</v>
      </c>
      <c r="K1526">
        <v>1.0999989999999999</v>
      </c>
      <c r="L1526">
        <v>291.81729999999999</v>
      </c>
      <c r="M1526">
        <v>-0.59607080000000001</v>
      </c>
      <c r="N1526">
        <v>0</v>
      </c>
      <c r="O1526">
        <v>-0.80280580000000001</v>
      </c>
      <c r="P1526">
        <v>-0.70093890000000003</v>
      </c>
      <c r="Q1526">
        <v>3.9882290000000001E-2</v>
      </c>
      <c r="R1526">
        <v>-0.71210560000000001</v>
      </c>
      <c r="S1526">
        <v>-3.0709840000000002</v>
      </c>
      <c r="T1526">
        <v>-0.21263649999999901</v>
      </c>
      <c r="U1526">
        <v>-1.2201229999999901</v>
      </c>
      <c r="V1526">
        <v>0.1389415</v>
      </c>
      <c r="W1526">
        <v>5.2204069999999998E-2</v>
      </c>
      <c r="X1526">
        <v>0.98892369999999996</v>
      </c>
      <c r="Y1526">
        <v>0.52388869999999998</v>
      </c>
      <c r="Z1526">
        <v>6.242748E-2</v>
      </c>
      <c r="AA1526">
        <v>0.84949599999999903</v>
      </c>
      <c r="AB1526">
        <v>20</v>
      </c>
      <c r="AC1526">
        <v>-15.754799999999999</v>
      </c>
      <c r="AD1526">
        <v>-1.09999894342042</v>
      </c>
      <c r="AE1526">
        <v>-6.1485000000000101</v>
      </c>
      <c r="AF1526">
        <v>8.94616621191728</v>
      </c>
      <c r="AG1526">
        <v>-1.09999894342042</v>
      </c>
      <c r="AH1526">
        <v>14.268116924122999</v>
      </c>
      <c r="AI1526">
        <v>93.737105116054096</v>
      </c>
      <c r="AJ1526">
        <v>57.912123919639001</v>
      </c>
      <c r="AK1526">
        <v>16.876701340227001</v>
      </c>
    </row>
    <row r="1527" spans="1:37" x14ac:dyDescent="0.2">
      <c r="A1527" t="str">
        <f>"20200111153637185"</f>
        <v>20200111153637185</v>
      </c>
      <c r="B1527" t="str">
        <f>"1578728197173928"</f>
        <v>1578728197173928</v>
      </c>
      <c r="C1527" t="s">
        <v>37</v>
      </c>
      <c r="D1527">
        <v>6.1461249999999996</v>
      </c>
      <c r="E1527">
        <v>0.66612899999999997</v>
      </c>
      <c r="F1527" t="s">
        <v>45</v>
      </c>
      <c r="G1527">
        <v>-212.36420000000001</v>
      </c>
      <c r="H1527" s="1">
        <v>-2.7866059999999999E-7</v>
      </c>
      <c r="I1527">
        <v>285.92410000000001</v>
      </c>
      <c r="J1527">
        <v>-197.36840000000001</v>
      </c>
      <c r="K1527">
        <v>1.0999379999999901</v>
      </c>
      <c r="L1527">
        <v>291.66160000000002</v>
      </c>
      <c r="M1527">
        <v>-0.60335109999999903</v>
      </c>
      <c r="N1527">
        <v>0</v>
      </c>
      <c r="O1527">
        <v>-0.79734830000000001</v>
      </c>
      <c r="P1527">
        <v>-0.70745609999999903</v>
      </c>
      <c r="Q1527">
        <v>4.0983480000000003E-2</v>
      </c>
      <c r="R1527">
        <v>-0.70556830000000004</v>
      </c>
      <c r="S1527">
        <v>-3.0753330000000001</v>
      </c>
      <c r="T1527">
        <v>-0.223663099999999</v>
      </c>
      <c r="U1527">
        <v>-1.1982729999999999</v>
      </c>
      <c r="V1527">
        <v>0.1390961</v>
      </c>
      <c r="W1527">
        <v>5.3297829999999997E-2</v>
      </c>
      <c r="X1527">
        <v>0.98884359999999905</v>
      </c>
      <c r="Y1527">
        <v>0.52155989999999997</v>
      </c>
      <c r="Z1527">
        <v>6.5443870000000001E-2</v>
      </c>
      <c r="AA1527">
        <v>0.85070119999999905</v>
      </c>
      <c r="AB1527">
        <v>20</v>
      </c>
      <c r="AC1527">
        <v>-14.995799999999999</v>
      </c>
      <c r="AD1527">
        <v>-1.09993827866059</v>
      </c>
      <c r="AE1527">
        <v>-5.7375000000000096</v>
      </c>
      <c r="AF1527">
        <v>8.4563247680698392</v>
      </c>
      <c r="AG1527">
        <v>-1.09993827866059</v>
      </c>
      <c r="AH1527">
        <v>13.5602616188705</v>
      </c>
      <c r="AI1527">
        <v>93.937354388139894</v>
      </c>
      <c r="AJ1527">
        <v>58.051892118907098</v>
      </c>
      <c r="AK1527">
        <v>16.018738651096999</v>
      </c>
    </row>
    <row r="1528" spans="1:37" x14ac:dyDescent="0.2">
      <c r="A1528" t="str">
        <f>"20200111153637207"</f>
        <v>20200111153637207</v>
      </c>
      <c r="B1528" t="str">
        <f>"1578728197204181"</f>
        <v>1578728197204181</v>
      </c>
      <c r="C1528" t="s">
        <v>37</v>
      </c>
      <c r="D1528">
        <v>5.8735039999999996</v>
      </c>
      <c r="E1528">
        <v>0.66497819999999996</v>
      </c>
      <c r="F1528" t="s">
        <v>45</v>
      </c>
      <c r="G1528">
        <v>-212.02930000000001</v>
      </c>
      <c r="H1528" s="1">
        <v>-4.568813E-7</v>
      </c>
      <c r="I1528">
        <v>286.05290000000002</v>
      </c>
      <c r="J1528">
        <v>-197.49850000000001</v>
      </c>
      <c r="K1528">
        <v>1.099874</v>
      </c>
      <c r="L1528">
        <v>291.50760000000002</v>
      </c>
      <c r="M1528">
        <v>-0.61066909999999996</v>
      </c>
      <c r="N1528">
        <v>0</v>
      </c>
      <c r="O1528">
        <v>-0.7917575</v>
      </c>
      <c r="P1528">
        <v>-0.71425930000000004</v>
      </c>
      <c r="Q1528">
        <v>4.1290880000000002E-2</v>
      </c>
      <c r="R1528">
        <v>-0.69866280000000003</v>
      </c>
      <c r="S1528">
        <v>-3.079132</v>
      </c>
      <c r="T1528">
        <v>-0.231012</v>
      </c>
      <c r="U1528">
        <v>-1.177948</v>
      </c>
      <c r="V1528">
        <v>0.1395941</v>
      </c>
      <c r="W1528">
        <v>5.3592099999999997E-2</v>
      </c>
      <c r="X1528">
        <v>0.98875749999999996</v>
      </c>
      <c r="Y1528">
        <v>0.51879809999999904</v>
      </c>
      <c r="Z1528">
        <v>6.7343470000000002E-2</v>
      </c>
      <c r="AA1528">
        <v>0.8522402</v>
      </c>
      <c r="AB1528">
        <v>20</v>
      </c>
      <c r="AC1528">
        <v>-14.530799999999999</v>
      </c>
      <c r="AD1528">
        <v>-1.0998744568812999</v>
      </c>
      <c r="AE1528">
        <v>-5.4546999999999999</v>
      </c>
      <c r="AF1528">
        <v>8.1338382608184308</v>
      </c>
      <c r="AG1528">
        <v>-1.0998744568812999</v>
      </c>
      <c r="AH1528">
        <v>13.1277275902429</v>
      </c>
      <c r="AI1528">
        <v>94.073727847869094</v>
      </c>
      <c r="AJ1528">
        <v>58.217965738566399</v>
      </c>
      <c r="AK1528">
        <v>15.482450721952199</v>
      </c>
    </row>
    <row r="1529" spans="1:37" x14ac:dyDescent="0.2">
      <c r="A1529" t="str">
        <f>"20200111153637229"</f>
        <v>20200111153637229</v>
      </c>
      <c r="B1529" t="str">
        <f>"1578728197223702"</f>
        <v>1578728197223702</v>
      </c>
      <c r="C1529" t="s">
        <v>37</v>
      </c>
      <c r="D1529">
        <v>6.1134949999999897</v>
      </c>
      <c r="E1529">
        <v>0.6639699</v>
      </c>
      <c r="F1529" t="s">
        <v>45</v>
      </c>
      <c r="G1529">
        <v>-211.45580000000001</v>
      </c>
      <c r="H1529" s="1">
        <v>-7.6206800000000004E-7</v>
      </c>
      <c r="I1529">
        <v>286.28039999999999</v>
      </c>
      <c r="J1529">
        <v>-197.6319</v>
      </c>
      <c r="K1529">
        <v>1.099807</v>
      </c>
      <c r="L1529">
        <v>291.35289999999998</v>
      </c>
      <c r="M1529">
        <v>-0.618162199999999</v>
      </c>
      <c r="N1529">
        <v>0</v>
      </c>
      <c r="O1529">
        <v>-0.78592090000000003</v>
      </c>
      <c r="P1529">
        <v>-0.72117209999999998</v>
      </c>
      <c r="Q1529">
        <v>4.1167380000000003E-2</v>
      </c>
      <c r="R1529">
        <v>-0.69153189999999998</v>
      </c>
      <c r="S1529">
        <v>-3.08432</v>
      </c>
      <c r="T1529">
        <v>-0.24305180000000001</v>
      </c>
      <c r="U1529">
        <v>-1.1551209999999901</v>
      </c>
      <c r="V1529">
        <v>0.14003929999999901</v>
      </c>
      <c r="W1529">
        <v>5.345544E-2</v>
      </c>
      <c r="X1529">
        <v>0.98870190000000002</v>
      </c>
      <c r="Y1529">
        <v>0.51641759999999903</v>
      </c>
      <c r="Z1529">
        <v>7.0566989999999996E-2</v>
      </c>
      <c r="AA1529">
        <v>0.85342439999999997</v>
      </c>
      <c r="AB1529">
        <v>20</v>
      </c>
      <c r="AC1529">
        <v>-13.8239</v>
      </c>
      <c r="AD1529">
        <v>-1.099807762068</v>
      </c>
      <c r="AE1529">
        <v>-5.07249999999999</v>
      </c>
      <c r="AF1529">
        <v>7.6867717476913802</v>
      </c>
      <c r="AG1529">
        <v>-1.099807762068</v>
      </c>
      <c r="AH1529">
        <v>12.463745283581201</v>
      </c>
      <c r="AI1529">
        <v>94.295172468804594</v>
      </c>
      <c r="AJ1529">
        <v>58.336599612572599</v>
      </c>
      <c r="AK1529">
        <v>14.684719388146499</v>
      </c>
    </row>
    <row r="1530" spans="1:37" x14ac:dyDescent="0.2">
      <c r="A1530" t="str">
        <f>"20200111153637252"</f>
        <v>20200111153637252</v>
      </c>
      <c r="B1530" t="str">
        <f>"1578728197244197"</f>
        <v>1578728197244197</v>
      </c>
      <c r="C1530" t="s">
        <v>37</v>
      </c>
      <c r="D1530">
        <v>6.1218830000000004</v>
      </c>
      <c r="E1530">
        <v>0.66353850000000003</v>
      </c>
      <c r="F1530" t="s">
        <v>45</v>
      </c>
      <c r="G1530">
        <v>-211.10310000000001</v>
      </c>
      <c r="H1530" s="1">
        <v>-9.4978139999999997E-7</v>
      </c>
      <c r="I1530">
        <v>286.4237</v>
      </c>
      <c r="J1530">
        <v>-197.7765</v>
      </c>
      <c r="K1530">
        <v>1.0997110000000001</v>
      </c>
      <c r="L1530">
        <v>291.18880000000001</v>
      </c>
      <c r="M1530">
        <v>-0.62626610000000005</v>
      </c>
      <c r="N1530">
        <v>0</v>
      </c>
      <c r="O1530">
        <v>-0.77947789999999995</v>
      </c>
      <c r="P1530">
        <v>-0.72856519999999902</v>
      </c>
      <c r="Q1530">
        <v>4.0863179999999999E-2</v>
      </c>
      <c r="R1530">
        <v>-0.68375649999999999</v>
      </c>
      <c r="S1530">
        <v>-3.0900880000000002</v>
      </c>
      <c r="T1530">
        <v>-0.25228020000000001</v>
      </c>
      <c r="U1530">
        <v>-1.130676</v>
      </c>
      <c r="V1530">
        <v>0.1404281</v>
      </c>
      <c r="W1530">
        <v>5.3139270000000002E-2</v>
      </c>
      <c r="X1530">
        <v>0.98866390000000004</v>
      </c>
      <c r="Y1530">
        <v>0.51381509999999997</v>
      </c>
      <c r="Z1530">
        <v>7.2906550000000001E-2</v>
      </c>
      <c r="AA1530">
        <v>0.85479749999999999</v>
      </c>
      <c r="AB1530">
        <v>20</v>
      </c>
      <c r="AC1530">
        <v>-13.326599999999999</v>
      </c>
      <c r="AD1530">
        <v>-1.0997119497814001</v>
      </c>
      <c r="AE1530">
        <v>-4.7651000000000101</v>
      </c>
      <c r="AF1530">
        <v>7.3598920928211102</v>
      </c>
      <c r="AG1530">
        <v>-1.0997119497814001</v>
      </c>
      <c r="AH1530">
        <v>11.989138056939399</v>
      </c>
      <c r="AI1530">
        <v>94.469801350573306</v>
      </c>
      <c r="AJ1530">
        <v>58.455068302836899</v>
      </c>
      <c r="AK1530">
        <v>14.110875569532</v>
      </c>
    </row>
    <row r="1531" spans="1:37" x14ac:dyDescent="0.2">
      <c r="A1531" t="str">
        <f>"20200111153637274"</f>
        <v>20200111153637274</v>
      </c>
      <c r="B1531" t="str">
        <f>"1578728197264694"</f>
        <v>1578728197264694</v>
      </c>
      <c r="C1531" t="s">
        <v>37</v>
      </c>
      <c r="D1531">
        <v>6.1120539999999997</v>
      </c>
      <c r="E1531">
        <v>0.64824399999999904</v>
      </c>
      <c r="F1531" t="s">
        <v>45</v>
      </c>
      <c r="G1531">
        <v>-211.00129999999999</v>
      </c>
      <c r="H1531" s="1">
        <v>-1.0039489999999999E-6</v>
      </c>
      <c r="I1531">
        <v>286.49439999999998</v>
      </c>
      <c r="J1531">
        <v>-197.9119</v>
      </c>
      <c r="K1531">
        <v>1.099618</v>
      </c>
      <c r="L1531">
        <v>291.03859999999997</v>
      </c>
      <c r="M1531">
        <v>-0.63384090000000004</v>
      </c>
      <c r="N1531">
        <v>0</v>
      </c>
      <c r="O1531">
        <v>-0.77333059999999998</v>
      </c>
      <c r="P1531">
        <v>-0.73581439999999998</v>
      </c>
      <c r="Q1531">
        <v>3.957811E-2</v>
      </c>
      <c r="R1531">
        <v>-0.67602580000000001</v>
      </c>
      <c r="S1531">
        <v>-3.099548</v>
      </c>
      <c r="T1531">
        <v>-0.25774389999999903</v>
      </c>
      <c r="U1531">
        <v>-1.10025</v>
      </c>
      <c r="V1531">
        <v>0.141269799999999</v>
      </c>
      <c r="W1531">
        <v>5.183596E-2</v>
      </c>
      <c r="X1531">
        <v>0.98861309999999902</v>
      </c>
      <c r="Y1531">
        <v>0.5136039</v>
      </c>
      <c r="Z1531">
        <v>7.4188989999999996E-2</v>
      </c>
      <c r="AA1531">
        <v>0.85481399999999996</v>
      </c>
      <c r="AB1531">
        <v>20</v>
      </c>
      <c r="AC1531">
        <v>-13.0893999999999</v>
      </c>
      <c r="AD1531">
        <v>-1.0996190039489999</v>
      </c>
      <c r="AE1531">
        <v>-4.5441999999999796</v>
      </c>
      <c r="AF1531">
        <v>7.1975456376408697</v>
      </c>
      <c r="AG1531">
        <v>-1.0996190039489999</v>
      </c>
      <c r="AH1531">
        <v>11.7380499032733</v>
      </c>
      <c r="AI1531">
        <v>94.566047620878095</v>
      </c>
      <c r="AJ1531">
        <v>58.484177987330199</v>
      </c>
      <c r="AK1531">
        <v>13.8128795220802</v>
      </c>
    </row>
    <row r="1532" spans="1:37" x14ac:dyDescent="0.2">
      <c r="A1532" t="str">
        <f>"20200111153637297"</f>
        <v>20200111153637297</v>
      </c>
      <c r="B1532" t="str">
        <f>"1578728197293973"</f>
        <v>1578728197293973</v>
      </c>
      <c r="C1532" t="s">
        <v>37</v>
      </c>
      <c r="D1532">
        <v>6.1053169999999897</v>
      </c>
      <c r="E1532">
        <v>0.64770079999999997</v>
      </c>
      <c r="F1532" t="s">
        <v>44</v>
      </c>
      <c r="G1532">
        <v>-207.30500000000001</v>
      </c>
      <c r="H1532" s="1">
        <v>5.2085479999999998E-6</v>
      </c>
      <c r="I1532">
        <v>287.4522</v>
      </c>
      <c r="J1532">
        <v>-198.0539</v>
      </c>
      <c r="K1532">
        <v>1.0995159999999999</v>
      </c>
      <c r="L1532">
        <v>290.8843</v>
      </c>
      <c r="M1532">
        <v>-0.641775599999999</v>
      </c>
      <c r="N1532">
        <v>0</v>
      </c>
      <c r="O1532">
        <v>-0.7667583</v>
      </c>
      <c r="P1532">
        <v>-0.74371779999999998</v>
      </c>
      <c r="Q1532">
        <v>3.7316719999999998E-2</v>
      </c>
      <c r="R1532">
        <v>-0.66745159999999903</v>
      </c>
      <c r="S1532">
        <v>-3.032486</v>
      </c>
      <c r="T1532">
        <v>-0.35499809999999998</v>
      </c>
      <c r="U1532">
        <v>-1.1578059999999999</v>
      </c>
      <c r="V1532">
        <v>0.1426132</v>
      </c>
      <c r="W1532">
        <v>4.9548179999999997E-2</v>
      </c>
      <c r="X1532">
        <v>0.98853749999999996</v>
      </c>
      <c r="Y1532">
        <v>0.48145699999999902</v>
      </c>
      <c r="Z1532">
        <v>0.1014694</v>
      </c>
      <c r="AA1532">
        <v>0.87057629999999997</v>
      </c>
      <c r="AB1532">
        <v>20</v>
      </c>
      <c r="AC1532">
        <v>-9.2510999999999992</v>
      </c>
      <c r="AD1532">
        <v>-1.0995107914519999</v>
      </c>
      <c r="AE1532">
        <v>-3.4320999999999899</v>
      </c>
      <c r="AF1532">
        <v>4.8312346276125702</v>
      </c>
      <c r="AG1532">
        <v>-1.0995107914519999</v>
      </c>
      <c r="AH1532">
        <v>8.4645014201911106</v>
      </c>
      <c r="AI1532">
        <v>96.436562811051999</v>
      </c>
      <c r="AJ1532">
        <v>60.283821324465698</v>
      </c>
      <c r="AK1532">
        <v>9.8080342729814909</v>
      </c>
    </row>
    <row r="1533" spans="1:37" x14ac:dyDescent="0.2">
      <c r="A1533" t="str">
        <f>"20200111153637319"</f>
        <v>20200111153637319</v>
      </c>
      <c r="B1533" t="str">
        <f>"1578728197314469"</f>
        <v>1578728197314469</v>
      </c>
      <c r="C1533" t="s">
        <v>37</v>
      </c>
      <c r="D1533">
        <v>6.1274069999999998</v>
      </c>
      <c r="E1533">
        <v>0.64690019999999904</v>
      </c>
      <c r="F1533" t="s">
        <v>44</v>
      </c>
      <c r="G1533">
        <v>-207.1165</v>
      </c>
      <c r="H1533" s="1">
        <v>5.1180080000000002E-6</v>
      </c>
      <c r="I1533">
        <v>287.53179999999998</v>
      </c>
      <c r="J1533">
        <v>-198.18950000000001</v>
      </c>
      <c r="K1533">
        <v>1.0994090000000001</v>
      </c>
      <c r="L1533">
        <v>290.74020000000002</v>
      </c>
      <c r="M1533">
        <v>-0.6493331</v>
      </c>
      <c r="N1533">
        <v>0</v>
      </c>
      <c r="O1533">
        <v>-0.76036800000000004</v>
      </c>
      <c r="P1533">
        <v>-0.75096409999999902</v>
      </c>
      <c r="Q1533">
        <v>3.5835180000000001E-2</v>
      </c>
      <c r="R1533">
        <v>-0.65937000000000001</v>
      </c>
      <c r="S1533">
        <v>-3.042297</v>
      </c>
      <c r="T1533">
        <v>-0.36910209999999999</v>
      </c>
      <c r="U1533">
        <v>-1.125427</v>
      </c>
      <c r="V1533">
        <v>0.14356459999999999</v>
      </c>
      <c r="W1533">
        <v>4.8045549999999999E-2</v>
      </c>
      <c r="X1533">
        <v>0.98847399999999996</v>
      </c>
      <c r="Y1533">
        <v>0.48139399999999899</v>
      </c>
      <c r="Z1533">
        <v>0.10503510000000001</v>
      </c>
      <c r="AA1533">
        <v>0.87018819999999997</v>
      </c>
      <c r="AB1533">
        <v>20</v>
      </c>
      <c r="AC1533">
        <v>-8.9269999999999907</v>
      </c>
      <c r="AD1533">
        <v>-1.099403881992</v>
      </c>
      <c r="AE1533">
        <v>-3.2084000000000401</v>
      </c>
      <c r="AF1533">
        <v>4.6426118902601203</v>
      </c>
      <c r="AG1533">
        <v>-1.099403881992</v>
      </c>
      <c r="AH1533">
        <v>8.1278400812295306</v>
      </c>
      <c r="AI1533">
        <v>96.698905659469801</v>
      </c>
      <c r="AJ1533">
        <v>60.2650472656684</v>
      </c>
      <c r="AK1533">
        <v>9.4246654288290301</v>
      </c>
    </row>
    <row r="1534" spans="1:37" x14ac:dyDescent="0.2">
      <c r="A1534" t="str">
        <f>"20200111153637341"</f>
        <v>20200111153637341</v>
      </c>
      <c r="B1534" t="str">
        <f>"1578728197333989"</f>
        <v>1578728197333989</v>
      </c>
      <c r="C1534" t="s">
        <v>37</v>
      </c>
      <c r="D1534">
        <v>6.1781509999999997</v>
      </c>
      <c r="E1534">
        <v>0.64600029999999997</v>
      </c>
      <c r="F1534" t="s">
        <v>44</v>
      </c>
      <c r="G1534">
        <v>-207.10669999999999</v>
      </c>
      <c r="H1534" s="1">
        <v>5.113538E-6</v>
      </c>
      <c r="I1534">
        <v>287.53300000000002</v>
      </c>
      <c r="J1534">
        <v>-198.3348</v>
      </c>
      <c r="K1534">
        <v>1.0992919999999999</v>
      </c>
      <c r="L1534">
        <v>290.58969999999999</v>
      </c>
      <c r="M1534">
        <v>-0.65741510000000003</v>
      </c>
      <c r="N1534">
        <v>0</v>
      </c>
      <c r="O1534">
        <v>-0.75339060000000002</v>
      </c>
      <c r="P1534">
        <v>-0.75885170000000002</v>
      </c>
      <c r="Q1534">
        <v>3.4062269999999999E-2</v>
      </c>
      <c r="R1534">
        <v>-0.6503719</v>
      </c>
      <c r="S1534">
        <v>-3.0496979999999998</v>
      </c>
      <c r="T1534">
        <v>-0.37599719999999998</v>
      </c>
      <c r="U1534">
        <v>-1.0968929999999999</v>
      </c>
      <c r="V1534">
        <v>0.14483969999999999</v>
      </c>
      <c r="W1534">
        <v>4.6247030000000001E-2</v>
      </c>
      <c r="X1534">
        <v>0.98837379999999997</v>
      </c>
      <c r="Y1534">
        <v>0.4797167</v>
      </c>
      <c r="Z1534">
        <v>0.106432999999999</v>
      </c>
      <c r="AA1534">
        <v>0.8709443</v>
      </c>
      <c r="AB1534">
        <v>20</v>
      </c>
      <c r="AC1534">
        <v>-8.7718999999999792</v>
      </c>
      <c r="AD1534">
        <v>-1.099286886462</v>
      </c>
      <c r="AE1534">
        <v>-3.05669999999997</v>
      </c>
      <c r="AF1534">
        <v>4.53609943983626</v>
      </c>
      <c r="AG1534">
        <v>-1.099286886462</v>
      </c>
      <c r="AH1534">
        <v>7.9590465086751498</v>
      </c>
      <c r="AI1534">
        <v>96.842621806948699</v>
      </c>
      <c r="AJ1534">
        <v>60.319886744220497</v>
      </c>
      <c r="AK1534">
        <v>9.2266489644986596</v>
      </c>
    </row>
    <row r="1535" spans="1:37" x14ac:dyDescent="0.2">
      <c r="A1535" t="str">
        <f>"20200111153637364"</f>
        <v>20200111153637364</v>
      </c>
      <c r="B1535" t="str">
        <f>"1578728197354485"</f>
        <v>1578728197354485</v>
      </c>
      <c r="C1535" t="s">
        <v>37</v>
      </c>
      <c r="D1535">
        <v>5.92631</v>
      </c>
      <c r="E1535">
        <v>0.64807029999999999</v>
      </c>
      <c r="F1535" t="s">
        <v>44</v>
      </c>
      <c r="G1535">
        <v>-207.18199999999999</v>
      </c>
      <c r="H1535" s="1">
        <v>5.1492999999999898E-6</v>
      </c>
      <c r="I1535">
        <v>287.50599999999997</v>
      </c>
      <c r="J1535">
        <v>-198.47989999999999</v>
      </c>
      <c r="K1535">
        <v>1.0991789999999999</v>
      </c>
      <c r="L1535">
        <v>290.44260000000003</v>
      </c>
      <c r="M1535">
        <v>-0.66545540000000003</v>
      </c>
      <c r="N1535">
        <v>0</v>
      </c>
      <c r="O1535">
        <v>-0.74629789999999996</v>
      </c>
      <c r="P1535">
        <v>-0.76687680000000003</v>
      </c>
      <c r="Q1535">
        <v>3.2230719999999997E-2</v>
      </c>
      <c r="R1535">
        <v>-0.64098469999999996</v>
      </c>
      <c r="S1535">
        <v>-3.057159</v>
      </c>
      <c r="T1535">
        <v>-0.37985770000000002</v>
      </c>
      <c r="U1535">
        <v>-1.0655520000000001</v>
      </c>
      <c r="V1535">
        <v>0.14644760000000001</v>
      </c>
      <c r="W1535">
        <v>4.4386889999999998E-2</v>
      </c>
      <c r="X1535">
        <v>0.98822209999999999</v>
      </c>
      <c r="Y1535">
        <v>0.47883199999999998</v>
      </c>
      <c r="Z1535">
        <v>0.10700319999999899</v>
      </c>
      <c r="AA1535">
        <v>0.871361099999999</v>
      </c>
      <c r="AB1535">
        <v>20</v>
      </c>
      <c r="AC1535">
        <v>-8.7021000000000299</v>
      </c>
      <c r="AD1535">
        <v>-1.0991738507</v>
      </c>
      <c r="AE1535">
        <v>-2.9366000000000501</v>
      </c>
      <c r="AF1535">
        <v>4.4765368068007501</v>
      </c>
      <c r="AG1535">
        <v>-1.0991738507</v>
      </c>
      <c r="AH1535">
        <v>7.8705373262334302</v>
      </c>
      <c r="AI1535">
        <v>96.921538800469193</v>
      </c>
      <c r="AJ1535">
        <v>60.370017653595703</v>
      </c>
      <c r="AK1535">
        <v>9.1210154445839091</v>
      </c>
    </row>
    <row r="1536" spans="1:37" x14ac:dyDescent="0.2">
      <c r="A1536" t="str">
        <f>"20200111153637386"</f>
        <v>20200111153637386</v>
      </c>
      <c r="B1536" t="str">
        <f>"1578728197383766"</f>
        <v>1578728197383766</v>
      </c>
      <c r="C1536" t="s">
        <v>37</v>
      </c>
      <c r="D1536">
        <v>6.2062499999999998</v>
      </c>
      <c r="E1536">
        <v>0.64851829999999999</v>
      </c>
      <c r="F1536" t="s">
        <v>44</v>
      </c>
      <c r="G1536">
        <v>-207.4572</v>
      </c>
      <c r="H1536" s="1">
        <v>5.2734199999999999E-6</v>
      </c>
      <c r="I1536">
        <v>287.48230000000001</v>
      </c>
      <c r="J1536">
        <v>-198.62620000000001</v>
      </c>
      <c r="K1536">
        <v>1.099091</v>
      </c>
      <c r="L1536">
        <v>290.29790000000003</v>
      </c>
      <c r="M1536">
        <v>-0.67349669999999995</v>
      </c>
      <c r="N1536">
        <v>0</v>
      </c>
      <c r="O1536">
        <v>-0.73904859999999895</v>
      </c>
      <c r="P1536">
        <v>-0.77519380000000004</v>
      </c>
      <c r="Q1536">
        <v>2.985937E-2</v>
      </c>
      <c r="R1536">
        <v>-0.63101790000000002</v>
      </c>
      <c r="S1536">
        <v>-3.079132</v>
      </c>
      <c r="T1536">
        <v>-0.37700659999999903</v>
      </c>
      <c r="U1536">
        <v>-1.0153809999999901</v>
      </c>
      <c r="V1536">
        <v>0.1485658</v>
      </c>
      <c r="W1536">
        <v>4.1983010000000001E-2</v>
      </c>
      <c r="X1536">
        <v>0.98801090000000003</v>
      </c>
      <c r="Y1536">
        <v>0.48415469999999999</v>
      </c>
      <c r="Z1536">
        <v>0.10571179999999999</v>
      </c>
      <c r="AA1536">
        <v>0.86857309999999999</v>
      </c>
      <c r="AB1536">
        <v>20</v>
      </c>
      <c r="AC1536">
        <v>-8.83099999999998</v>
      </c>
      <c r="AD1536">
        <v>-1.09908572658</v>
      </c>
      <c r="AE1536">
        <v>-2.8156000000000101</v>
      </c>
      <c r="AF1536">
        <v>4.5665184739909002</v>
      </c>
      <c r="AG1536">
        <v>-1.09908572658</v>
      </c>
      <c r="AH1536">
        <v>7.91802439356095</v>
      </c>
      <c r="AI1536">
        <v>96.856548485719898</v>
      </c>
      <c r="AJ1536">
        <v>60.026898743116</v>
      </c>
      <c r="AK1536">
        <v>9.2063125465464406</v>
      </c>
    </row>
    <row r="1537" spans="1:37" x14ac:dyDescent="0.2">
      <c r="A1537" t="str">
        <f>"20200111153637410"</f>
        <v>20200111153637410</v>
      </c>
      <c r="B1537" t="str">
        <f>"1578728197404261"</f>
        <v>1578728197404261</v>
      </c>
      <c r="C1537" t="s">
        <v>37</v>
      </c>
      <c r="D1537">
        <v>5.952744</v>
      </c>
      <c r="E1537">
        <v>0.64815389999999995</v>
      </c>
      <c r="F1537" t="s">
        <v>44</v>
      </c>
      <c r="G1537">
        <v>-207.61109999999999</v>
      </c>
      <c r="H1537" s="1">
        <v>5.3423979999999901E-6</v>
      </c>
      <c r="I1537">
        <v>287.47379999999998</v>
      </c>
      <c r="J1537">
        <v>-198.77699999999999</v>
      </c>
      <c r="K1537">
        <v>1.0990249999999999</v>
      </c>
      <c r="L1537">
        <v>290.15199999999999</v>
      </c>
      <c r="M1537">
        <v>-0.68171839999999995</v>
      </c>
      <c r="N1537">
        <v>0</v>
      </c>
      <c r="O1537">
        <v>-0.73147130000000005</v>
      </c>
      <c r="P1537">
        <v>-0.78301350000000003</v>
      </c>
      <c r="Q1537">
        <v>2.8182740000000001E-2</v>
      </c>
      <c r="R1537">
        <v>-0.62136630000000004</v>
      </c>
      <c r="S1537">
        <v>-3.0931700000000002</v>
      </c>
      <c r="T1537">
        <v>-0.37837329999999902</v>
      </c>
      <c r="U1537">
        <v>-0.97222900000000001</v>
      </c>
      <c r="V1537">
        <v>0.1497839</v>
      </c>
      <c r="W1537">
        <v>4.0292149999999999E-2</v>
      </c>
      <c r="X1537">
        <v>0.98789749999999998</v>
      </c>
      <c r="Y1537">
        <v>0.4865295</v>
      </c>
      <c r="Z1537">
        <v>0.10557419999999899</v>
      </c>
      <c r="AA1537">
        <v>0.86726190000000003</v>
      </c>
      <c r="AB1537">
        <v>20</v>
      </c>
      <c r="AC1537">
        <v>-8.8340999999999692</v>
      </c>
      <c r="AD1537">
        <v>-1.0990196576019999</v>
      </c>
      <c r="AE1537">
        <v>-2.6781999999999999</v>
      </c>
      <c r="AF1537">
        <v>4.5717969889804904</v>
      </c>
      <c r="AG1537">
        <v>-1.0990196576019999</v>
      </c>
      <c r="AH1537">
        <v>7.8706714431406599</v>
      </c>
      <c r="AI1537">
        <v>96.884742378732298</v>
      </c>
      <c r="AJ1537">
        <v>59.849198581250299</v>
      </c>
      <c r="AK1537">
        <v>9.1682408826402799</v>
      </c>
    </row>
    <row r="1538" spans="1:37" x14ac:dyDescent="0.2">
      <c r="A1538" t="str">
        <f>"20200111153637431"</f>
        <v>20200111153637431</v>
      </c>
      <c r="B1538" t="str">
        <f>"1578728197423781"</f>
        <v>1578728197423781</v>
      </c>
      <c r="C1538" t="s">
        <v>37</v>
      </c>
      <c r="D1538">
        <v>5.9575620000000002</v>
      </c>
      <c r="E1538">
        <v>0.64834099999999995</v>
      </c>
      <c r="F1538" t="s">
        <v>44</v>
      </c>
      <c r="G1538">
        <v>-207.68099999999899</v>
      </c>
      <c r="H1538" s="1">
        <v>5.3741010000000002E-6</v>
      </c>
      <c r="I1538">
        <v>287.4658</v>
      </c>
      <c r="J1538">
        <v>-198.923</v>
      </c>
      <c r="K1538">
        <v>1.098983</v>
      </c>
      <c r="L1538">
        <v>290.01409999999998</v>
      </c>
      <c r="M1538">
        <v>-0.68959589999999904</v>
      </c>
      <c r="N1538">
        <v>0</v>
      </c>
      <c r="O1538">
        <v>-0.7240489</v>
      </c>
      <c r="P1538">
        <v>-0.79094960000000003</v>
      </c>
      <c r="Q1538">
        <v>2.5618149999999999E-2</v>
      </c>
      <c r="R1538">
        <v>-0.61134489999999997</v>
      </c>
      <c r="S1538">
        <v>-3.1023860000000001</v>
      </c>
      <c r="T1538">
        <v>-0.38292769999999998</v>
      </c>
      <c r="U1538">
        <v>-0.93597410000000003</v>
      </c>
      <c r="V1538">
        <v>0.15169959999999999</v>
      </c>
      <c r="W1538">
        <v>3.7703460000000001E-2</v>
      </c>
      <c r="X1538">
        <v>0.98770729999999995</v>
      </c>
      <c r="Y1538">
        <v>0.486956</v>
      </c>
      <c r="Z1538">
        <v>0.10628849999999999</v>
      </c>
      <c r="AA1538">
        <v>0.86693519999999902</v>
      </c>
      <c r="AB1538">
        <v>20</v>
      </c>
      <c r="AC1538">
        <v>-8.7579999999999796</v>
      </c>
      <c r="AD1538">
        <v>-1.0989776258990001</v>
      </c>
      <c r="AE1538">
        <v>-2.5482999999999798</v>
      </c>
      <c r="AF1538">
        <v>4.51880702896666</v>
      </c>
      <c r="AG1538">
        <v>-1.0989776258990001</v>
      </c>
      <c r="AH1538">
        <v>7.7725719492035603</v>
      </c>
      <c r="AI1538">
        <v>96.968982697258795</v>
      </c>
      <c r="AJ1538">
        <v>59.827197013204199</v>
      </c>
      <c r="AK1538">
        <v>9.0576069407328106</v>
      </c>
    </row>
    <row r="1539" spans="1:37" x14ac:dyDescent="0.2">
      <c r="A1539" t="str">
        <f>"20200111153637454"</f>
        <v>20200111153637454</v>
      </c>
      <c r="B1539" t="str">
        <f>"1578728197444277"</f>
        <v>1578728197444277</v>
      </c>
      <c r="C1539" t="s">
        <v>37</v>
      </c>
      <c r="D1539">
        <v>5.9908739999999998</v>
      </c>
      <c r="E1539">
        <v>0.64833759999999996</v>
      </c>
      <c r="F1539" t="s">
        <v>44</v>
      </c>
      <c r="G1539">
        <v>-207.79050000000001</v>
      </c>
      <c r="H1539" s="1">
        <v>5.4227520000000004E-6</v>
      </c>
      <c r="I1539">
        <v>287.46469999999999</v>
      </c>
      <c r="J1539">
        <v>-199.07299999999901</v>
      </c>
      <c r="K1539">
        <v>1.098932</v>
      </c>
      <c r="L1539">
        <v>289.87569999999999</v>
      </c>
      <c r="M1539">
        <v>-0.6975943</v>
      </c>
      <c r="N1539">
        <v>0</v>
      </c>
      <c r="O1539">
        <v>-0.71634569999999997</v>
      </c>
      <c r="P1539">
        <v>-0.79872129999999997</v>
      </c>
      <c r="Q1539">
        <v>2.391391E-2</v>
      </c>
      <c r="R1539">
        <v>-0.60122600000000004</v>
      </c>
      <c r="S1539">
        <v>-3.1135410000000001</v>
      </c>
      <c r="T1539">
        <v>-0.38587059999999901</v>
      </c>
      <c r="U1539">
        <v>-0.89514159999999898</v>
      </c>
      <c r="V1539">
        <v>0.15332029999999999</v>
      </c>
      <c r="W1539">
        <v>3.5981819999999998E-2</v>
      </c>
      <c r="X1539">
        <v>0.98752119999999999</v>
      </c>
      <c r="Y1539">
        <v>0.48852619999999902</v>
      </c>
      <c r="Z1539">
        <v>0.106544</v>
      </c>
      <c r="AA1539">
        <v>0.86602000000000001</v>
      </c>
      <c r="AB1539">
        <v>20</v>
      </c>
      <c r="AC1539">
        <v>-8.7175000000000296</v>
      </c>
      <c r="AD1539">
        <v>-1.0989265772479999</v>
      </c>
      <c r="AE1539">
        <v>-2.411</v>
      </c>
      <c r="AF1539">
        <v>4.4969417864961496</v>
      </c>
      <c r="AG1539">
        <v>-1.0989265772479999</v>
      </c>
      <c r="AH1539">
        <v>7.6956098050827997</v>
      </c>
      <c r="AI1539">
        <v>97.028653036090603</v>
      </c>
      <c r="AJ1539">
        <v>59.700052704633698</v>
      </c>
      <c r="AK1539">
        <v>8.9806756608511193</v>
      </c>
    </row>
    <row r="1540" spans="1:37" x14ac:dyDescent="0.2">
      <c r="A1540" t="str">
        <f>"20200111153637477"</f>
        <v>20200111153637477</v>
      </c>
      <c r="B1540" t="str">
        <f>"1578728197474533"</f>
        <v>1578728197474533</v>
      </c>
      <c r="C1540" t="s">
        <v>37</v>
      </c>
      <c r="D1540">
        <v>6.0081790000000002</v>
      </c>
      <c r="E1540">
        <v>0.6473295</v>
      </c>
      <c r="F1540" t="s">
        <v>44</v>
      </c>
      <c r="G1540">
        <v>-207.92429999999999</v>
      </c>
      <c r="H1540" s="1">
        <v>5.4832229999999999E-6</v>
      </c>
      <c r="I1540">
        <v>287.45139999999998</v>
      </c>
      <c r="J1540">
        <v>-199.22890000000001</v>
      </c>
      <c r="K1540">
        <v>1.0988979999999999</v>
      </c>
      <c r="L1540">
        <v>289.73500000000001</v>
      </c>
      <c r="M1540">
        <v>-0.70580350000000003</v>
      </c>
      <c r="N1540">
        <v>0</v>
      </c>
      <c r="O1540">
        <v>-0.70825819999999995</v>
      </c>
      <c r="P1540">
        <v>-0.80600769999999899</v>
      </c>
      <c r="Q1540">
        <v>2.282174E-2</v>
      </c>
      <c r="R1540">
        <v>-0.59146509999999997</v>
      </c>
      <c r="S1540">
        <v>-3.1236570000000001</v>
      </c>
      <c r="T1540">
        <v>-0.3878144</v>
      </c>
      <c r="U1540">
        <v>-0.85552980000000001</v>
      </c>
      <c r="V1540">
        <v>0.15396119999999999</v>
      </c>
      <c r="W1540">
        <v>3.4889120000000003E-2</v>
      </c>
      <c r="X1540">
        <v>0.98746069999999997</v>
      </c>
      <c r="Y1540">
        <v>0.48938939999999997</v>
      </c>
      <c r="Z1540">
        <v>0.106449</v>
      </c>
      <c r="AA1540">
        <v>0.86554409999999904</v>
      </c>
      <c r="AB1540">
        <v>20</v>
      </c>
      <c r="AC1540">
        <v>-8.6953999999999692</v>
      </c>
      <c r="AD1540">
        <v>-1.0988925167769901</v>
      </c>
      <c r="AE1540">
        <v>-2.2836000000000301</v>
      </c>
      <c r="AF1540">
        <v>4.4803580479731098</v>
      </c>
      <c r="AG1540">
        <v>-1.0988925167769901</v>
      </c>
      <c r="AH1540">
        <v>7.6412786148517302</v>
      </c>
      <c r="AI1540">
        <v>97.071846743196303</v>
      </c>
      <c r="AJ1540">
        <v>59.615361726321801</v>
      </c>
      <c r="AK1540">
        <v>8.9258227559848091</v>
      </c>
    </row>
    <row r="1541" spans="1:37" x14ac:dyDescent="0.2">
      <c r="A1541" t="str">
        <f>"20200111153637499"</f>
        <v>20200111153637499</v>
      </c>
      <c r="B1541" t="str">
        <f>"1578728197494053"</f>
        <v>1578728197494053</v>
      </c>
      <c r="C1541" t="s">
        <v>37</v>
      </c>
      <c r="D1541">
        <v>6.0343279999999897</v>
      </c>
      <c r="E1541">
        <v>0.64703049999999995</v>
      </c>
      <c r="F1541" t="s">
        <v>44</v>
      </c>
      <c r="G1541">
        <v>-208.06039999999999</v>
      </c>
      <c r="H1541" s="1">
        <v>5.5473460000000002E-6</v>
      </c>
      <c r="I1541">
        <v>287.4085</v>
      </c>
      <c r="J1541">
        <v>-199.38149999999999</v>
      </c>
      <c r="K1541">
        <v>1.0988629999999999</v>
      </c>
      <c r="L1541">
        <v>289.60059999999999</v>
      </c>
      <c r="M1541">
        <v>-0.71371779999999996</v>
      </c>
      <c r="N1541">
        <v>0</v>
      </c>
      <c r="O1541">
        <v>-0.70028199999999996</v>
      </c>
      <c r="P1541">
        <v>-0.81241640000000004</v>
      </c>
      <c r="Q1541">
        <v>2.1750060000000002E-2</v>
      </c>
      <c r="R1541">
        <v>-0.58267219999999997</v>
      </c>
      <c r="S1541">
        <v>-3.1283259999999999</v>
      </c>
      <c r="T1541">
        <v>-0.3892525</v>
      </c>
      <c r="U1541">
        <v>-0.82409669999999902</v>
      </c>
      <c r="V1541">
        <v>0.1536005</v>
      </c>
      <c r="W1541">
        <v>3.3833549999999997E-2</v>
      </c>
      <c r="X1541">
        <v>0.98755369999999998</v>
      </c>
      <c r="Y1541">
        <v>0.48804120000000001</v>
      </c>
      <c r="Z1541">
        <v>0.106185999999999</v>
      </c>
      <c r="AA1541">
        <v>0.86633729999999998</v>
      </c>
      <c r="AB1541">
        <v>20</v>
      </c>
      <c r="AC1541">
        <v>-8.6788999999999898</v>
      </c>
      <c r="AD1541">
        <v>-1.098857452654</v>
      </c>
      <c r="AE1541">
        <v>-2.19209999999998</v>
      </c>
      <c r="AF1541">
        <v>4.4466076008222197</v>
      </c>
      <c r="AG1541">
        <v>-1.098857452654</v>
      </c>
      <c r="AH1541">
        <v>7.61543332850471</v>
      </c>
      <c r="AI1541">
        <v>97.102858102943202</v>
      </c>
      <c r="AJ1541">
        <v>59.719590696054802</v>
      </c>
      <c r="AK1541">
        <v>8.8867672208651598</v>
      </c>
    </row>
    <row r="1542" spans="1:37" x14ac:dyDescent="0.2">
      <c r="A1542" t="str">
        <f>"20200111153637521"</f>
        <v>20200111153637521</v>
      </c>
      <c r="B1542" t="str">
        <f>"1578728197514548"</f>
        <v>1578728197514548</v>
      </c>
      <c r="C1542" t="s">
        <v>37</v>
      </c>
      <c r="D1542">
        <v>6.1124960000000002</v>
      </c>
      <c r="E1542">
        <v>0.64603500000000003</v>
      </c>
      <c r="F1542" t="s">
        <v>44</v>
      </c>
      <c r="G1542">
        <v>-208.22579999999999</v>
      </c>
      <c r="H1542" s="1">
        <v>5.6243520000000003E-6</v>
      </c>
      <c r="I1542">
        <v>287.36660000000001</v>
      </c>
      <c r="J1542">
        <v>-199.52860000000001</v>
      </c>
      <c r="K1542">
        <v>1.0988329999999999</v>
      </c>
      <c r="L1542">
        <v>289.4742</v>
      </c>
      <c r="M1542">
        <v>-0.72122540000000002</v>
      </c>
      <c r="N1542">
        <v>0</v>
      </c>
      <c r="O1542">
        <v>-0.69254689999999997</v>
      </c>
      <c r="P1542">
        <v>-0.81820850000000001</v>
      </c>
      <c r="Q1542">
        <v>2.0685229999999999E-2</v>
      </c>
      <c r="R1542">
        <v>-0.57454969999999905</v>
      </c>
      <c r="S1542">
        <v>-3.1351469999999999</v>
      </c>
      <c r="T1542">
        <v>-0.3895248</v>
      </c>
      <c r="U1542">
        <v>-0.79193119999999995</v>
      </c>
      <c r="V1542">
        <v>0.1527963</v>
      </c>
      <c r="W1542">
        <v>3.2792710000000003E-2</v>
      </c>
      <c r="X1542">
        <v>0.98771350000000002</v>
      </c>
      <c r="Y1542">
        <v>0.48748930000000001</v>
      </c>
      <c r="Z1542">
        <v>0.10558869999999999</v>
      </c>
      <c r="AA1542">
        <v>0.86672099999999996</v>
      </c>
      <c r="AB1542">
        <v>20</v>
      </c>
      <c r="AC1542">
        <v>-8.6971999999999792</v>
      </c>
      <c r="AD1542">
        <v>-1.098827375648</v>
      </c>
      <c r="AE1542">
        <v>-2.1075999999999899</v>
      </c>
      <c r="AF1542">
        <v>4.4367500402343198</v>
      </c>
      <c r="AG1542">
        <v>-1.098827375648</v>
      </c>
      <c r="AH1542">
        <v>7.6182154794827603</v>
      </c>
      <c r="AI1542">
        <v>97.104708952574398</v>
      </c>
      <c r="AJ1542">
        <v>59.784032331403303</v>
      </c>
      <c r="AK1542">
        <v>8.8842208219304997</v>
      </c>
    </row>
    <row r="1543" spans="1:37" x14ac:dyDescent="0.2">
      <c r="A1543" t="str">
        <f>"20200111153637543"</f>
        <v>20200111153637543</v>
      </c>
      <c r="B1543" t="str">
        <f>"1578728197534069"</f>
        <v>1578728197534069</v>
      </c>
      <c r="C1543" t="s">
        <v>37</v>
      </c>
      <c r="D1543">
        <v>6.0836930000000002</v>
      </c>
      <c r="E1543">
        <v>0.64504859999999997</v>
      </c>
      <c r="F1543" t="s">
        <v>44</v>
      </c>
      <c r="G1543">
        <v>-208.27629999999999</v>
      </c>
      <c r="H1543" s="1">
        <v>5.6494880000000004E-6</v>
      </c>
      <c r="I1543">
        <v>287.33510000000001</v>
      </c>
      <c r="J1543">
        <v>-199.69159999999999</v>
      </c>
      <c r="K1543">
        <v>1.0988199999999999</v>
      </c>
      <c r="L1543">
        <v>289.33749999999998</v>
      </c>
      <c r="M1543">
        <v>-0.72938899999999995</v>
      </c>
      <c r="N1543">
        <v>0</v>
      </c>
      <c r="O1543">
        <v>-0.68394350000000004</v>
      </c>
      <c r="P1543">
        <v>-0.82457800000000003</v>
      </c>
      <c r="Q1543">
        <v>1.9101549999999998E-2</v>
      </c>
      <c r="R1543">
        <v>-0.56542569999999903</v>
      </c>
      <c r="S1543">
        <v>-3.1377109999999999</v>
      </c>
      <c r="T1543">
        <v>-0.39414169999999998</v>
      </c>
      <c r="U1543">
        <v>-0.76727290000000004</v>
      </c>
      <c r="V1543">
        <v>0.15205389999999999</v>
      </c>
      <c r="W1543">
        <v>3.1234729999999999E-2</v>
      </c>
      <c r="X1543">
        <v>0.98787860000000005</v>
      </c>
      <c r="Y1543">
        <v>0.48362440000000001</v>
      </c>
      <c r="Z1543">
        <v>0.1059505</v>
      </c>
      <c r="AA1543">
        <v>0.86883940000000004</v>
      </c>
      <c r="AB1543">
        <v>20</v>
      </c>
      <c r="AC1543">
        <v>-8.5846999999999891</v>
      </c>
      <c r="AD1543">
        <v>-1.098814350512</v>
      </c>
      <c r="AE1543">
        <v>-2.0023999999999602</v>
      </c>
      <c r="AF1543">
        <v>4.3438963040595198</v>
      </c>
      <c r="AG1543">
        <v>-1.098814350512</v>
      </c>
      <c r="AH1543">
        <v>7.5151577390592896</v>
      </c>
      <c r="AI1543">
        <v>97.214563525338093</v>
      </c>
      <c r="AJ1543">
        <v>59.971315489628701</v>
      </c>
      <c r="AK1543">
        <v>8.7495384975583601</v>
      </c>
    </row>
    <row r="1544" spans="1:37" x14ac:dyDescent="0.2">
      <c r="A1544" t="str">
        <f>"20200111153637567"</f>
        <v>20200111153637567</v>
      </c>
      <c r="B1544" t="str">
        <f>"1578728197564327"</f>
        <v>1578728197564327</v>
      </c>
      <c r="C1544" t="s">
        <v>37</v>
      </c>
      <c r="D1544">
        <v>6.3746529999999897</v>
      </c>
      <c r="E1544">
        <v>0.64334499999999994</v>
      </c>
      <c r="F1544" t="s">
        <v>44</v>
      </c>
      <c r="G1544">
        <v>-208.3143</v>
      </c>
      <c r="H1544" s="1">
        <v>5.6686850000000003E-6</v>
      </c>
      <c r="I1544">
        <v>287.30860000000001</v>
      </c>
      <c r="J1544">
        <v>-199.8511</v>
      </c>
      <c r="K1544">
        <v>1.0988229999999899</v>
      </c>
      <c r="L1544">
        <v>289.20670000000001</v>
      </c>
      <c r="M1544">
        <v>-0.73722469999999996</v>
      </c>
      <c r="N1544">
        <v>0</v>
      </c>
      <c r="O1544">
        <v>-0.67548999999999904</v>
      </c>
      <c r="P1544">
        <v>-0.83066580000000001</v>
      </c>
      <c r="Q1544">
        <v>1.747259E-2</v>
      </c>
      <c r="R1544">
        <v>-0.55649749999999998</v>
      </c>
      <c r="S1544">
        <v>-3.1407620000000001</v>
      </c>
      <c r="T1544">
        <v>-0.40023409999999998</v>
      </c>
      <c r="U1544">
        <v>-0.7390137</v>
      </c>
      <c r="V1544">
        <v>0.15132119999999999</v>
      </c>
      <c r="W1544">
        <v>2.9633299999999901E-2</v>
      </c>
      <c r="X1544">
        <v>0.98804040000000004</v>
      </c>
      <c r="Y1544">
        <v>0.48096660000000002</v>
      </c>
      <c r="Z1544">
        <v>0.10675610000000001</v>
      </c>
      <c r="AA1544">
        <v>0.87021510000000002</v>
      </c>
      <c r="AB1544">
        <v>20</v>
      </c>
      <c r="AC1544">
        <v>-8.4632000000000005</v>
      </c>
      <c r="AD1544">
        <v>-1.09881733131499</v>
      </c>
      <c r="AE1544">
        <v>-1.8980999999999999</v>
      </c>
      <c r="AF1544">
        <v>4.2497334766354404</v>
      </c>
      <c r="AG1544">
        <v>-1.09881733131499</v>
      </c>
      <c r="AH1544">
        <v>7.4034059713951397</v>
      </c>
      <c r="AI1544">
        <v>97.334832948491197</v>
      </c>
      <c r="AJ1544">
        <v>60.143137295115899</v>
      </c>
      <c r="AK1544">
        <v>8.6068608753321492</v>
      </c>
    </row>
    <row r="1545" spans="1:37" x14ac:dyDescent="0.2">
      <c r="A1545" t="str">
        <f>"20200111153637588"</f>
        <v>20200111153637588</v>
      </c>
      <c r="B1545" t="str">
        <f>"1578728197583846"</f>
        <v>1578728197583846</v>
      </c>
      <c r="C1545" t="s">
        <v>37</v>
      </c>
      <c r="D1545">
        <v>6.3154969999999997</v>
      </c>
      <c r="E1545">
        <v>0.64264460000000001</v>
      </c>
      <c r="F1545" t="s">
        <v>44</v>
      </c>
      <c r="G1545">
        <v>-208.3563</v>
      </c>
      <c r="H1545" s="1">
        <v>5.6910170000000001E-6</v>
      </c>
      <c r="I1545">
        <v>287.26589999999999</v>
      </c>
      <c r="J1545">
        <v>-200.00299999999999</v>
      </c>
      <c r="K1545">
        <v>1.098848</v>
      </c>
      <c r="L1545">
        <v>289.08510000000001</v>
      </c>
      <c r="M1545">
        <v>-0.74453130000000001</v>
      </c>
      <c r="N1545">
        <v>0</v>
      </c>
      <c r="O1545">
        <v>-0.66742780000000002</v>
      </c>
      <c r="P1545">
        <v>-0.83605269999999998</v>
      </c>
      <c r="Q1545">
        <v>1.724738E-2</v>
      </c>
      <c r="R1545">
        <v>-0.54837780000000003</v>
      </c>
      <c r="S1545">
        <v>-3.1400450000000002</v>
      </c>
      <c r="T1545">
        <v>-0.40567700000000001</v>
      </c>
      <c r="U1545">
        <v>-0.71655269999999904</v>
      </c>
      <c r="V1545">
        <v>0.1501934</v>
      </c>
      <c r="W1545">
        <v>2.944217E-2</v>
      </c>
      <c r="X1545">
        <v>0.98821809999999999</v>
      </c>
      <c r="Y1545">
        <v>0.47715029999999897</v>
      </c>
      <c r="Z1545">
        <v>0.1073981</v>
      </c>
      <c r="AA1545">
        <v>0.87223459999999997</v>
      </c>
      <c r="AB1545">
        <v>20</v>
      </c>
      <c r="AC1545">
        <v>-8.3533000000000097</v>
      </c>
      <c r="AD1545">
        <v>-1.0988423089829999</v>
      </c>
      <c r="AE1545">
        <v>-1.8192000000000199</v>
      </c>
      <c r="AF1545">
        <v>4.1526190529609899</v>
      </c>
      <c r="AG1545">
        <v>-1.0988423089829999</v>
      </c>
      <c r="AH1545">
        <v>7.31344709019793</v>
      </c>
      <c r="AI1545">
        <v>97.443902146715004</v>
      </c>
      <c r="AJ1545">
        <v>60.411830206520001</v>
      </c>
      <c r="AK1545">
        <v>8.4816394500208698</v>
      </c>
    </row>
    <row r="1546" spans="1:37" x14ac:dyDescent="0.2">
      <c r="A1546" t="str">
        <f>"20200111153637611"</f>
        <v>20200111153637611</v>
      </c>
      <c r="B1546" t="str">
        <f>"1578728197604342"</f>
        <v>1578728197604342</v>
      </c>
      <c r="C1546" t="s">
        <v>37</v>
      </c>
      <c r="D1546">
        <v>6.3076439999999998</v>
      </c>
      <c r="E1546">
        <v>0.61218669999999997</v>
      </c>
      <c r="F1546" t="s">
        <v>44</v>
      </c>
      <c r="G1546">
        <v>-208.5027</v>
      </c>
      <c r="H1546" s="1">
        <v>5.7601759999999997E-6</v>
      </c>
      <c r="I1546">
        <v>287.2176</v>
      </c>
      <c r="J1546">
        <v>-200.15950000000001</v>
      </c>
      <c r="K1546">
        <v>1.09887</v>
      </c>
      <c r="L1546">
        <v>288.96260000000001</v>
      </c>
      <c r="M1546">
        <v>-0.75190950000000001</v>
      </c>
      <c r="N1546">
        <v>0</v>
      </c>
      <c r="O1546">
        <v>-0.65910459999999904</v>
      </c>
      <c r="P1546">
        <v>-0.84118649999999995</v>
      </c>
      <c r="Q1546">
        <v>1.698539E-2</v>
      </c>
      <c r="R1546">
        <v>-0.54047860000000003</v>
      </c>
      <c r="S1546">
        <v>-3.1436459999999999</v>
      </c>
      <c r="T1546">
        <v>-0.40640850000000001</v>
      </c>
      <c r="U1546">
        <v>-0.69070430000000005</v>
      </c>
      <c r="V1546">
        <v>0.14850559999999999</v>
      </c>
      <c r="W1546">
        <v>2.922483E-2</v>
      </c>
      <c r="X1546">
        <v>0.98847960000000001</v>
      </c>
      <c r="Y1546">
        <v>0.47448170000000001</v>
      </c>
      <c r="Z1546">
        <v>0.10670159999999999</v>
      </c>
      <c r="AA1546">
        <v>0.87377450000000001</v>
      </c>
      <c r="AB1546">
        <v>20</v>
      </c>
      <c r="AC1546">
        <v>-8.3431999999999906</v>
      </c>
      <c r="AD1546">
        <v>-1.0988642398240001</v>
      </c>
      <c r="AE1546">
        <v>-1.7450000000000001</v>
      </c>
      <c r="AF1546">
        <v>4.1189493469376002</v>
      </c>
      <c r="AG1546">
        <v>-1.0988642398240001</v>
      </c>
      <c r="AH1546">
        <v>7.3028871711585301</v>
      </c>
      <c r="AI1546">
        <v>97.466673866009103</v>
      </c>
      <c r="AJ1546">
        <v>60.576281606318098</v>
      </c>
      <c r="AK1546">
        <v>8.4560870013779699</v>
      </c>
    </row>
    <row r="1547" spans="1:37" x14ac:dyDescent="0.2">
      <c r="A1547" t="str">
        <f>"20200111153637633"</f>
        <v>20200111153637633</v>
      </c>
      <c r="B1547" t="str">
        <f>"1578728197623862"</f>
        <v>1578728197623862</v>
      </c>
      <c r="C1547" t="s">
        <v>37</v>
      </c>
      <c r="D1547">
        <v>6.3092309999999996</v>
      </c>
      <c r="E1547">
        <v>0.61196010000000001</v>
      </c>
      <c r="F1547" t="s">
        <v>44</v>
      </c>
      <c r="G1547">
        <v>-205.9853</v>
      </c>
      <c r="H1547" s="1">
        <v>4.6370139999999998E-6</v>
      </c>
      <c r="I1547">
        <v>287.29509999999999</v>
      </c>
      <c r="J1547">
        <v>-200.3245</v>
      </c>
      <c r="K1547">
        <v>1.0989089999999999</v>
      </c>
      <c r="L1547">
        <v>288.83640000000003</v>
      </c>
      <c r="M1547">
        <v>-0.75951579999999996</v>
      </c>
      <c r="N1547">
        <v>0</v>
      </c>
      <c r="O1547">
        <v>-0.65032469999999998</v>
      </c>
      <c r="P1547">
        <v>-0.84650609999999904</v>
      </c>
      <c r="Q1547">
        <v>1.7687950000000001E-2</v>
      </c>
      <c r="R1547">
        <v>-0.53208489999999997</v>
      </c>
      <c r="S1547">
        <v>-3.0221100000000001</v>
      </c>
      <c r="T1547">
        <v>-0.57003590000000004</v>
      </c>
      <c r="U1547">
        <v>-0.86502080000000003</v>
      </c>
      <c r="V1547">
        <v>0.14685100000000001</v>
      </c>
      <c r="W1547">
        <v>2.9969799999999901E-2</v>
      </c>
      <c r="X1547">
        <v>0.98870449999999999</v>
      </c>
      <c r="Y1547">
        <v>0.40127679999999999</v>
      </c>
      <c r="Z1547">
        <v>0.1453489</v>
      </c>
      <c r="AA1547">
        <v>0.90435089999999996</v>
      </c>
      <c r="AB1547">
        <v>20</v>
      </c>
      <c r="AC1547">
        <v>-5.6607999999999903</v>
      </c>
      <c r="AD1547">
        <v>-1.09890436298599</v>
      </c>
      <c r="AE1547">
        <v>-1.5413000000000301</v>
      </c>
      <c r="AF1547">
        <v>2.4258757226607601</v>
      </c>
      <c r="AG1547">
        <v>-1.09890436298599</v>
      </c>
      <c r="AH1547">
        <v>5.1226568004936404</v>
      </c>
      <c r="AI1547">
        <v>100.972259018285</v>
      </c>
      <c r="AJ1547">
        <v>64.659724873130003</v>
      </c>
      <c r="AK1547">
        <v>5.7735670530815097</v>
      </c>
    </row>
    <row r="1548" spans="1:37" x14ac:dyDescent="0.2">
      <c r="A1548" t="str">
        <f>"20200111153637655"</f>
        <v>20200111153637655</v>
      </c>
      <c r="B1548" t="str">
        <f>"1578728197644357"</f>
        <v>1578728197644357</v>
      </c>
      <c r="C1548" t="s">
        <v>37</v>
      </c>
      <c r="D1548">
        <v>6.2798470000000002</v>
      </c>
      <c r="E1548">
        <v>0.63618479999999999</v>
      </c>
      <c r="F1548" t="s">
        <v>44</v>
      </c>
      <c r="G1548">
        <v>-206.19990000000001</v>
      </c>
      <c r="H1548" s="1">
        <v>4.7394270000000004E-6</v>
      </c>
      <c r="I1548">
        <v>287.21260000000001</v>
      </c>
      <c r="J1548">
        <v>-200.48070000000001</v>
      </c>
      <c r="K1548">
        <v>1.098949</v>
      </c>
      <c r="L1548">
        <v>288.71960000000001</v>
      </c>
      <c r="M1548">
        <v>-0.76655130000000005</v>
      </c>
      <c r="N1548">
        <v>0</v>
      </c>
      <c r="O1548">
        <v>-0.64201730000000001</v>
      </c>
      <c r="P1548">
        <v>-0.85131759999999901</v>
      </c>
      <c r="Q1548">
        <v>1.8821000000000001E-2</v>
      </c>
      <c r="R1548">
        <v>-0.52431369999999999</v>
      </c>
      <c r="S1548">
        <v>-3.029541</v>
      </c>
      <c r="T1548">
        <v>-0.56662999999999997</v>
      </c>
      <c r="U1548">
        <v>-0.83724979999999904</v>
      </c>
      <c r="V1548">
        <v>0.14513519999999999</v>
      </c>
      <c r="W1548">
        <v>3.1143219999999999E-2</v>
      </c>
      <c r="X1548">
        <v>0.98892159999999996</v>
      </c>
      <c r="Y1548">
        <v>0.39992080000000002</v>
      </c>
      <c r="Z1548">
        <v>0.14319989999999999</v>
      </c>
      <c r="AA1548">
        <v>0.90529400000000004</v>
      </c>
      <c r="AB1548">
        <v>20</v>
      </c>
      <c r="AC1548">
        <v>-5.7191999999999998</v>
      </c>
      <c r="AD1548">
        <v>-1.098944260573</v>
      </c>
      <c r="AE1548">
        <v>-1.5069999999999999</v>
      </c>
      <c r="AF1548">
        <v>2.4329055294594699</v>
      </c>
      <c r="AG1548">
        <v>-1.098944260573</v>
      </c>
      <c r="AH1548">
        <v>5.1735360842739304</v>
      </c>
      <c r="AI1548">
        <v>100.880831841758</v>
      </c>
      <c r="AJ1548">
        <v>64.814289174970199</v>
      </c>
      <c r="AK1548">
        <v>5.8216993582978196</v>
      </c>
    </row>
    <row r="1549" spans="1:37" x14ac:dyDescent="0.2">
      <c r="A1549" t="str">
        <f>"20200111153637678"</f>
        <v>20200111153637678</v>
      </c>
      <c r="B1549" t="str">
        <f>"1578728197674613"</f>
        <v>1578728197674613</v>
      </c>
      <c r="C1549" t="s">
        <v>37</v>
      </c>
      <c r="D1549">
        <v>6.1626129999999897</v>
      </c>
      <c r="E1549">
        <v>0.64930269999999901</v>
      </c>
      <c r="F1549" t="s">
        <v>45</v>
      </c>
      <c r="G1549">
        <v>-210.2321</v>
      </c>
      <c r="H1549" s="1">
        <v>-1.413281E-6</v>
      </c>
      <c r="I1549">
        <v>286.70749999999998</v>
      </c>
      <c r="J1549">
        <v>-200.65049999999999</v>
      </c>
      <c r="K1549">
        <v>1.0989930000000001</v>
      </c>
      <c r="L1549">
        <v>288.59559999999999</v>
      </c>
      <c r="M1549">
        <v>-0.77402680000000001</v>
      </c>
      <c r="N1549">
        <v>0</v>
      </c>
      <c r="O1549">
        <v>-0.63298460000000001</v>
      </c>
      <c r="P1549">
        <v>-0.856819199999999</v>
      </c>
      <c r="Q1549">
        <v>1.9965599999999899E-2</v>
      </c>
      <c r="R1549">
        <v>-0.51523059999999998</v>
      </c>
      <c r="S1549">
        <v>-3.1335299999999999</v>
      </c>
      <c r="T1549">
        <v>-0.35313850000000002</v>
      </c>
      <c r="U1549">
        <v>-0.64657589999999998</v>
      </c>
      <c r="V1549">
        <v>0.14405270000000001</v>
      </c>
      <c r="W1549">
        <v>3.2316129999999998E-2</v>
      </c>
      <c r="X1549">
        <v>0.98904219999999898</v>
      </c>
      <c r="Y1549">
        <v>0.45762209999999998</v>
      </c>
      <c r="Z1549">
        <v>9.0254790000000001E-2</v>
      </c>
      <c r="AA1549">
        <v>0.88455409999999901</v>
      </c>
      <c r="AB1549">
        <v>20</v>
      </c>
      <c r="AC1549">
        <v>-9.5815999999999999</v>
      </c>
      <c r="AD1549">
        <v>-1.0989944132809999</v>
      </c>
      <c r="AE1549">
        <v>-1.8880999999999999</v>
      </c>
      <c r="AF1549">
        <v>4.5464791068107298</v>
      </c>
      <c r="AG1549">
        <v>-1.0989944132809999</v>
      </c>
      <c r="AH1549">
        <v>8.5047665441568494</v>
      </c>
      <c r="AI1549">
        <v>96.501350037253303</v>
      </c>
      <c r="AJ1549">
        <v>61.871925964261997</v>
      </c>
      <c r="AK1549">
        <v>9.7061483071143702</v>
      </c>
    </row>
    <row r="1550" spans="1:37" x14ac:dyDescent="0.2">
      <c r="A1550" t="str">
        <f>"20200111153637699"</f>
        <v>20200111153637699</v>
      </c>
      <c r="B1550" t="str">
        <f>"1578728197694133"</f>
        <v>1578728197694133</v>
      </c>
      <c r="C1550" t="s">
        <v>37</v>
      </c>
      <c r="D1550">
        <v>6.1563759999999998</v>
      </c>
      <c r="E1550">
        <v>0.65172890000000006</v>
      </c>
      <c r="F1550" t="s">
        <v>45</v>
      </c>
      <c r="G1550">
        <v>-211.0462</v>
      </c>
      <c r="H1550" s="1">
        <v>-9.8003979999999904E-7</v>
      </c>
      <c r="I1550">
        <v>286.88889999999998</v>
      </c>
      <c r="J1550">
        <v>-200.79920000000001</v>
      </c>
      <c r="K1550">
        <v>1.0990229999999901</v>
      </c>
      <c r="L1550">
        <v>288.48950000000002</v>
      </c>
      <c r="M1550">
        <v>-0.78042279999999997</v>
      </c>
      <c r="N1550">
        <v>0</v>
      </c>
      <c r="O1550">
        <v>-0.62508169999999996</v>
      </c>
      <c r="P1550">
        <v>-0.86174879999999998</v>
      </c>
      <c r="Q1550">
        <v>1.980838E-2</v>
      </c>
      <c r="R1550">
        <v>-0.50694839999999997</v>
      </c>
      <c r="S1550">
        <v>-3.19387799999999</v>
      </c>
      <c r="T1550">
        <v>-0.33764359999999999</v>
      </c>
      <c r="U1550">
        <v>-0.52435299999999996</v>
      </c>
      <c r="V1550">
        <v>0.1435265</v>
      </c>
      <c r="W1550">
        <v>3.2174580000000001E-2</v>
      </c>
      <c r="X1550">
        <v>0.98912330000000004</v>
      </c>
      <c r="Y1550">
        <v>0.48498279999999899</v>
      </c>
      <c r="Z1550">
        <v>8.6024219999999998E-2</v>
      </c>
      <c r="AA1550">
        <v>0.87028240000000001</v>
      </c>
      <c r="AB1550">
        <v>20</v>
      </c>
      <c r="AC1550">
        <v>-10.2469999999999</v>
      </c>
      <c r="AD1550">
        <v>-1.0990239800397901</v>
      </c>
      <c r="AE1550">
        <v>-1.60060000000004</v>
      </c>
      <c r="AF1550">
        <v>5.0993549102619404</v>
      </c>
      <c r="AG1550">
        <v>-1.0990239800397901</v>
      </c>
      <c r="AH1550">
        <v>8.8985330599275798</v>
      </c>
      <c r="AI1550">
        <v>96.116373814092896</v>
      </c>
      <c r="AJ1550">
        <v>60.184889575162501</v>
      </c>
      <c r="AK1550">
        <v>10.3148031890162</v>
      </c>
    </row>
    <row r="1551" spans="1:37" x14ac:dyDescent="0.2">
      <c r="A1551" t="str">
        <f>"20200111153637722"</f>
        <v>20200111153637722</v>
      </c>
      <c r="B1551" t="str">
        <f>"1578728197714631"</f>
        <v>1578728197714631</v>
      </c>
      <c r="C1551" t="s">
        <v>37</v>
      </c>
      <c r="D1551">
        <v>6.1752839999999898</v>
      </c>
      <c r="E1551">
        <v>0.652285</v>
      </c>
      <c r="F1551" t="s">
        <v>45</v>
      </c>
      <c r="G1551">
        <v>-211.53229999999999</v>
      </c>
      <c r="H1551" s="1">
        <v>-7.2139730000000004E-7</v>
      </c>
      <c r="I1551">
        <v>286.89460000000003</v>
      </c>
      <c r="J1551">
        <v>-200.9659</v>
      </c>
      <c r="K1551">
        <v>1.099051</v>
      </c>
      <c r="L1551">
        <v>288.3734</v>
      </c>
      <c r="M1551">
        <v>-0.78743549999999995</v>
      </c>
      <c r="N1551">
        <v>0</v>
      </c>
      <c r="O1551">
        <v>-0.616224199999999</v>
      </c>
      <c r="P1551">
        <v>-0.86732919999999902</v>
      </c>
      <c r="Q1551">
        <v>1.9460499999999999E-2</v>
      </c>
      <c r="R1551">
        <v>-0.49735449999999998</v>
      </c>
      <c r="S1551">
        <v>-3.2083590000000002</v>
      </c>
      <c r="T1551">
        <v>-0.32852229999999999</v>
      </c>
      <c r="U1551">
        <v>-0.47677609999999898</v>
      </c>
      <c r="V1551">
        <v>0.14332420000000001</v>
      </c>
      <c r="W1551">
        <v>3.1835719999999998E-2</v>
      </c>
      <c r="X1551">
        <v>0.98916360000000003</v>
      </c>
      <c r="Y1551">
        <v>0.48868210000000001</v>
      </c>
      <c r="Z1551">
        <v>8.3006960000000005E-2</v>
      </c>
      <c r="AA1551">
        <v>0.86850419999999995</v>
      </c>
      <c r="AB1551">
        <v>20</v>
      </c>
      <c r="AC1551">
        <v>-10.5663999999999</v>
      </c>
      <c r="AD1551">
        <v>-1.0990517213972999</v>
      </c>
      <c r="AE1551">
        <v>-1.4787999999999699</v>
      </c>
      <c r="AF1551">
        <v>5.2912359648815697</v>
      </c>
      <c r="AG1551">
        <v>-1.0990517213972999</v>
      </c>
      <c r="AH1551">
        <v>9.13567544255306</v>
      </c>
      <c r="AI1551">
        <v>95.943251121510002</v>
      </c>
      <c r="AJ1551">
        <v>59.921268866234001</v>
      </c>
      <c r="AK1551">
        <v>10.6144080623476</v>
      </c>
    </row>
    <row r="1552" spans="1:37" x14ac:dyDescent="0.2">
      <c r="A1552" t="str">
        <f>"20200111153637744"</f>
        <v>20200111153637744</v>
      </c>
      <c r="B1552" t="str">
        <f>"1578728197734149"</f>
        <v>1578728197734149</v>
      </c>
      <c r="C1552" t="s">
        <v>37</v>
      </c>
      <c r="D1552">
        <v>6.1455099999999998</v>
      </c>
      <c r="E1552">
        <v>0.65238640000000003</v>
      </c>
      <c r="F1552" t="s">
        <v>45</v>
      </c>
      <c r="G1552">
        <v>-211.65629999999999</v>
      </c>
      <c r="H1552" s="1">
        <v>-6.5537319999999999E-7</v>
      </c>
      <c r="I1552">
        <v>286.92059999999998</v>
      </c>
      <c r="J1552">
        <v>-201.13900000000001</v>
      </c>
      <c r="K1552">
        <v>1.0990839999999999</v>
      </c>
      <c r="L1552">
        <v>288.25580000000002</v>
      </c>
      <c r="M1552">
        <v>-0.794547</v>
      </c>
      <c r="N1552">
        <v>0</v>
      </c>
      <c r="O1552">
        <v>-0.60702749999999905</v>
      </c>
      <c r="P1552">
        <v>-0.87322759999999999</v>
      </c>
      <c r="Q1552">
        <v>1.8722639999999999E-2</v>
      </c>
      <c r="R1552">
        <v>-0.48695319999999997</v>
      </c>
      <c r="S1552">
        <v>-3.2157290000000001</v>
      </c>
      <c r="T1552">
        <v>-0.33059850000000002</v>
      </c>
      <c r="U1552">
        <v>-0.4370117</v>
      </c>
      <c r="V1552">
        <v>0.1436424</v>
      </c>
      <c r="W1552">
        <v>3.1097949999999999E-2</v>
      </c>
      <c r="X1552">
        <v>0.98914089999999999</v>
      </c>
      <c r="Y1552">
        <v>0.4893536</v>
      </c>
      <c r="Z1552">
        <v>8.277553E-2</v>
      </c>
      <c r="AA1552">
        <v>0.86814809999999998</v>
      </c>
      <c r="AB1552">
        <v>20</v>
      </c>
      <c r="AC1552">
        <v>-10.517299999999899</v>
      </c>
      <c r="AD1552">
        <v>-1.0990846553731899</v>
      </c>
      <c r="AE1552">
        <v>-1.3352000000000399</v>
      </c>
      <c r="AF1552">
        <v>5.2673659963014501</v>
      </c>
      <c r="AG1552">
        <v>-1.0990846553731899</v>
      </c>
      <c r="AH1552">
        <v>9.0704816659088507</v>
      </c>
      <c r="AI1552">
        <v>95.981889411762793</v>
      </c>
      <c r="AJ1552">
        <v>59.855616167589503</v>
      </c>
      <c r="AK1552">
        <v>10.5464102551654</v>
      </c>
    </row>
    <row r="1553" spans="1:37" x14ac:dyDescent="0.2">
      <c r="A1553" t="str">
        <f>"20200111153637766"</f>
        <v>20200111153637766</v>
      </c>
      <c r="B1553" t="str">
        <f>"1578728197753669"</f>
        <v>1578728197753669</v>
      </c>
      <c r="C1553" t="s">
        <v>37</v>
      </c>
      <c r="D1553">
        <v>6.1363430000000001</v>
      </c>
      <c r="E1553">
        <v>0.65216989999999997</v>
      </c>
      <c r="F1553" t="s">
        <v>45</v>
      </c>
      <c r="G1553">
        <v>-211.75839999999999</v>
      </c>
      <c r="H1553" s="1">
        <v>-6.0105709999999997E-7</v>
      </c>
      <c r="I1553">
        <v>286.94549999999998</v>
      </c>
      <c r="J1553">
        <v>-201.2979</v>
      </c>
      <c r="K1553">
        <v>1.0991089999999999</v>
      </c>
      <c r="L1553">
        <v>288.15019999999998</v>
      </c>
      <c r="M1553">
        <v>-0.80093249999999905</v>
      </c>
      <c r="N1553">
        <v>0</v>
      </c>
      <c r="O1553">
        <v>-0.59857689999999997</v>
      </c>
      <c r="P1553">
        <v>-0.87863340000000001</v>
      </c>
      <c r="Q1553">
        <v>1.8365360000000001E-2</v>
      </c>
      <c r="R1553">
        <v>-0.477143599999999</v>
      </c>
      <c r="S1553">
        <v>-3.22103899999999</v>
      </c>
      <c r="T1553">
        <v>-0.33336909999999997</v>
      </c>
      <c r="U1553">
        <v>-0.39743040000000002</v>
      </c>
      <c r="V1553">
        <v>0.1442388</v>
      </c>
      <c r="W1553">
        <v>3.0735720000000001E-2</v>
      </c>
      <c r="X1553">
        <v>0.98906550000000004</v>
      </c>
      <c r="Y1553">
        <v>0.49076209999999998</v>
      </c>
      <c r="Z1553">
        <v>8.2839889999999999E-2</v>
      </c>
      <c r="AA1553">
        <v>0.86734659999999997</v>
      </c>
      <c r="AB1553">
        <v>20</v>
      </c>
      <c r="AC1553">
        <v>-10.4604999999999</v>
      </c>
      <c r="AD1553">
        <v>-1.0991096010571</v>
      </c>
      <c r="AE1553">
        <v>-1.2047000000000001</v>
      </c>
      <c r="AF1553">
        <v>5.2400005594863499</v>
      </c>
      <c r="AG1553">
        <v>-1.0991096010571</v>
      </c>
      <c r="AH1553">
        <v>9.0021438589520599</v>
      </c>
      <c r="AI1553">
        <v>96.023545883881397</v>
      </c>
      <c r="AJ1553">
        <v>59.797015765389503</v>
      </c>
      <c r="AK1553">
        <v>10.473979274173701</v>
      </c>
    </row>
    <row r="1554" spans="1:37" x14ac:dyDescent="0.2">
      <c r="A1554" t="str">
        <f>"20200111153637788"</f>
        <v>20200111153637788</v>
      </c>
      <c r="B1554" t="str">
        <f>"1578728197783925"</f>
        <v>1578728197783925</v>
      </c>
      <c r="C1554" t="s">
        <v>37</v>
      </c>
      <c r="D1554">
        <v>6.1600149999999996</v>
      </c>
      <c r="E1554">
        <v>0.65140310000000001</v>
      </c>
      <c r="F1554" t="s">
        <v>45</v>
      </c>
      <c r="G1554">
        <v>-211.67009999999999</v>
      </c>
      <c r="H1554" s="1">
        <v>-6.4803329999999997E-7</v>
      </c>
      <c r="I1554">
        <v>286.98250000000002</v>
      </c>
      <c r="J1554">
        <v>-201.46520000000001</v>
      </c>
      <c r="K1554">
        <v>1.0991379999999999</v>
      </c>
      <c r="L1554">
        <v>288.04169999999999</v>
      </c>
      <c r="M1554">
        <v>-0.807504</v>
      </c>
      <c r="N1554">
        <v>0</v>
      </c>
      <c r="O1554">
        <v>-0.58968219999999905</v>
      </c>
      <c r="P1554">
        <v>-0.88427080000000002</v>
      </c>
      <c r="Q1554">
        <v>1.8236780000000001E-2</v>
      </c>
      <c r="R1554">
        <v>-0.4666188</v>
      </c>
      <c r="S1554">
        <v>-3.2244109999999999</v>
      </c>
      <c r="T1554">
        <v>-0.3416804</v>
      </c>
      <c r="U1554">
        <v>-0.36300659999999901</v>
      </c>
      <c r="V1554">
        <v>0.14510719999999999</v>
      </c>
      <c r="W1554">
        <v>3.059655E-2</v>
      </c>
      <c r="X1554">
        <v>0.98894269999999995</v>
      </c>
      <c r="Y1554">
        <v>0.49016609999999999</v>
      </c>
      <c r="Z1554">
        <v>8.4129739999999995E-2</v>
      </c>
      <c r="AA1554">
        <v>0.86755939999999998</v>
      </c>
      <c r="AB1554">
        <v>19</v>
      </c>
      <c r="AC1554">
        <v>-10.204899999999901</v>
      </c>
      <c r="AD1554">
        <v>-1.0991386480333001</v>
      </c>
      <c r="AE1554">
        <v>-1.0591999999999699</v>
      </c>
      <c r="AF1554">
        <v>5.1043046045067104</v>
      </c>
      <c r="AG1554">
        <v>-1.0991386480333001</v>
      </c>
      <c r="AH1554">
        <v>8.7654275928730296</v>
      </c>
      <c r="AI1554">
        <v>96.184496516516802</v>
      </c>
      <c r="AJ1554">
        <v>59.786799540172503</v>
      </c>
      <c r="AK1554">
        <v>10.2026835758583</v>
      </c>
    </row>
    <row r="1555" spans="1:37" x14ac:dyDescent="0.2">
      <c r="A1555" t="str">
        <f>"20200111153637810"</f>
        <v>20200111153637810</v>
      </c>
      <c r="B1555" t="str">
        <f>"1578728197804421"</f>
        <v>1578728197804421</v>
      </c>
      <c r="C1555" t="s">
        <v>37</v>
      </c>
      <c r="D1555">
        <v>6.1960069999999998</v>
      </c>
      <c r="E1555">
        <v>0.6507193</v>
      </c>
      <c r="F1555" t="s">
        <v>45</v>
      </c>
      <c r="G1555">
        <v>-211.57759999999999</v>
      </c>
      <c r="H1555" s="1">
        <v>-6.9726440000000001E-7</v>
      </c>
      <c r="I1555">
        <v>287.00720000000001</v>
      </c>
      <c r="J1555">
        <v>-201.6292</v>
      </c>
      <c r="K1555">
        <v>1.0991580000000001</v>
      </c>
      <c r="L1555">
        <v>287.93779999999998</v>
      </c>
      <c r="M1555">
        <v>-0.81379969999999902</v>
      </c>
      <c r="N1555">
        <v>0</v>
      </c>
      <c r="O1555">
        <v>-0.58096300000000001</v>
      </c>
      <c r="P1555">
        <v>-0.88942119999999902</v>
      </c>
      <c r="Q1555">
        <v>1.7623429999999999E-2</v>
      </c>
      <c r="R1555">
        <v>-0.45674929999999903</v>
      </c>
      <c r="S1555">
        <v>-3.2257389999999999</v>
      </c>
      <c r="T1555">
        <v>-0.35061209999999998</v>
      </c>
      <c r="U1555">
        <v>-0.32998660000000002</v>
      </c>
      <c r="V1555">
        <v>0.1454725</v>
      </c>
      <c r="W1555">
        <v>2.9977420000000001E-2</v>
      </c>
      <c r="X1555">
        <v>0.98890809999999996</v>
      </c>
      <c r="Y1555">
        <v>0.48937959999999903</v>
      </c>
      <c r="Z1555">
        <v>8.5572319999999993E-2</v>
      </c>
      <c r="AA1555">
        <v>0.86786229999999998</v>
      </c>
      <c r="AB1555">
        <v>19</v>
      </c>
      <c r="AC1555">
        <v>-9.9483999999999906</v>
      </c>
      <c r="AD1555">
        <v>-1.0991586972644001</v>
      </c>
      <c r="AE1555">
        <v>-0.93059999999996901</v>
      </c>
      <c r="AF1555">
        <v>4.9628066378033697</v>
      </c>
      <c r="AG1555">
        <v>-1.0991586972644001</v>
      </c>
      <c r="AH1555">
        <v>8.5342892375316097</v>
      </c>
      <c r="AI1555">
        <v>96.352973017734399</v>
      </c>
      <c r="AJ1555">
        <v>59.821409639273497</v>
      </c>
      <c r="AK1555">
        <v>9.9333625905755092</v>
      </c>
    </row>
    <row r="1556" spans="1:37" x14ac:dyDescent="0.2">
      <c r="A1556" t="str">
        <f>"20200111153637833"</f>
        <v>20200111153637833</v>
      </c>
      <c r="B1556" t="str">
        <f>"1578728197823941"</f>
        <v>1578728197823941</v>
      </c>
      <c r="C1556" t="s">
        <v>37</v>
      </c>
      <c r="D1556">
        <v>6.2024349999999897</v>
      </c>
      <c r="E1556">
        <v>0.64993020000000001</v>
      </c>
      <c r="F1556" t="s">
        <v>45</v>
      </c>
      <c r="G1556">
        <v>-211.65889999999999</v>
      </c>
      <c r="H1556" s="1">
        <v>-6.5399619999999999E-7</v>
      </c>
      <c r="I1556">
        <v>287.00920000000002</v>
      </c>
      <c r="J1556">
        <v>-201.80090000000001</v>
      </c>
      <c r="K1556">
        <v>1.0991709999999999</v>
      </c>
      <c r="L1556">
        <v>287.83159999999998</v>
      </c>
      <c r="M1556">
        <v>-0.82025040000000005</v>
      </c>
      <c r="N1556">
        <v>0</v>
      </c>
      <c r="O1556">
        <v>-0.571820199999999</v>
      </c>
      <c r="P1556">
        <v>-0.89426879999999997</v>
      </c>
      <c r="Q1556">
        <v>1.694915E-2</v>
      </c>
      <c r="R1556">
        <v>-0.44720919999999997</v>
      </c>
      <c r="S1556">
        <v>-3.2265779999999999</v>
      </c>
      <c r="T1556">
        <v>-0.35359940000000001</v>
      </c>
      <c r="U1556">
        <v>-0.29873660000000002</v>
      </c>
      <c r="V1556">
        <v>0.14497939999999901</v>
      </c>
      <c r="W1556">
        <v>2.9277259999999999E-2</v>
      </c>
      <c r="X1556">
        <v>0.98900149999999998</v>
      </c>
      <c r="Y1556">
        <v>0.48794140000000003</v>
      </c>
      <c r="Z1556">
        <v>8.5467719999999997E-2</v>
      </c>
      <c r="AA1556">
        <v>0.86868199999999995</v>
      </c>
      <c r="AB1556">
        <v>19</v>
      </c>
      <c r="AC1556">
        <v>-9.8579999999999703</v>
      </c>
      <c r="AD1556">
        <v>-1.0991716539962</v>
      </c>
      <c r="AE1556">
        <v>-0.82239999999995905</v>
      </c>
      <c r="AF1556">
        <v>4.90242562718751</v>
      </c>
      <c r="AG1556">
        <v>-1.0991716539962</v>
      </c>
      <c r="AH1556">
        <v>8.4528336475246899</v>
      </c>
      <c r="AI1556">
        <v>96.418014388605002</v>
      </c>
      <c r="AJ1556">
        <v>59.887372002929801</v>
      </c>
      <c r="AK1556">
        <v>9.8332269386900304</v>
      </c>
    </row>
    <row r="1557" spans="1:37" x14ac:dyDescent="0.2">
      <c r="A1557" t="str">
        <f>"20200111153637855"</f>
        <v>20200111153637855</v>
      </c>
      <c r="B1557" t="str">
        <f>"1578728197844436"</f>
        <v>1578728197844436</v>
      </c>
      <c r="C1557" t="s">
        <v>37</v>
      </c>
      <c r="D1557">
        <v>6.2171989999999999</v>
      </c>
      <c r="E1557">
        <v>0.64918669999999901</v>
      </c>
      <c r="F1557" t="s">
        <v>45</v>
      </c>
      <c r="G1557">
        <v>-211.66929999999999</v>
      </c>
      <c r="H1557" s="1">
        <v>-6.4848699999999998E-7</v>
      </c>
      <c r="I1557">
        <v>287.00790000000001</v>
      </c>
      <c r="J1557">
        <v>-201.96610000000001</v>
      </c>
      <c r="K1557">
        <v>1.099148</v>
      </c>
      <c r="L1557">
        <v>287.7319</v>
      </c>
      <c r="M1557">
        <v>-0.82631529999999997</v>
      </c>
      <c r="N1557">
        <v>0</v>
      </c>
      <c r="O1557">
        <v>-0.56302359999999996</v>
      </c>
      <c r="P1557">
        <v>-0.89887799999999995</v>
      </c>
      <c r="Q1557">
        <v>1.6889189999999998E-2</v>
      </c>
      <c r="R1557">
        <v>-0.43787399999999999</v>
      </c>
      <c r="S1557">
        <v>-3.2268219999999999</v>
      </c>
      <c r="T1557">
        <v>-0.35941580000000001</v>
      </c>
      <c r="U1557">
        <v>-0.26934809999999998</v>
      </c>
      <c r="V1557">
        <v>0.1447059</v>
      </c>
      <c r="W1557">
        <v>2.9116630000000001E-2</v>
      </c>
      <c r="X1557">
        <v>0.98904619999999999</v>
      </c>
      <c r="Y1557">
        <v>0.48634650000000001</v>
      </c>
      <c r="Z1557">
        <v>8.6041610000000004E-2</v>
      </c>
      <c r="AA1557">
        <v>0.86951939999999905</v>
      </c>
      <c r="AB1557">
        <v>19</v>
      </c>
      <c r="AC1557">
        <v>-9.7031999999999794</v>
      </c>
      <c r="AD1557">
        <v>-1.0991486484869999</v>
      </c>
      <c r="AE1557">
        <v>-0.72399999999998899</v>
      </c>
      <c r="AF1557">
        <v>4.8040799746882499</v>
      </c>
      <c r="AG1557">
        <v>-1.0991486484869999</v>
      </c>
      <c r="AH1557">
        <v>8.3202344423280099</v>
      </c>
      <c r="AI1557">
        <v>96.526513386397795</v>
      </c>
      <c r="AJ1557">
        <v>59.997983831975603</v>
      </c>
      <c r="AK1557">
        <v>9.6702437058211093</v>
      </c>
    </row>
    <row r="1558" spans="1:37" x14ac:dyDescent="0.2">
      <c r="A1558" t="str">
        <f>"20200111153637878"</f>
        <v>20200111153637878</v>
      </c>
      <c r="B1558" t="str">
        <f>"1578728197873718"</f>
        <v>1578728197873718</v>
      </c>
      <c r="C1558" t="s">
        <v>37</v>
      </c>
      <c r="D1558">
        <v>5.92666</v>
      </c>
      <c r="E1558">
        <v>0.69746839999999999</v>
      </c>
      <c r="F1558" t="s">
        <v>45</v>
      </c>
      <c r="G1558">
        <v>-211.81120000000001</v>
      </c>
      <c r="H1558" s="1">
        <v>-5.729393E-7</v>
      </c>
      <c r="I1558">
        <v>286.99560000000002</v>
      </c>
      <c r="J1558">
        <v>-202.14230000000001</v>
      </c>
      <c r="K1558">
        <v>1.09911</v>
      </c>
      <c r="L1558">
        <v>287.62810000000002</v>
      </c>
      <c r="M1558">
        <v>-0.83262499999999995</v>
      </c>
      <c r="N1558">
        <v>0</v>
      </c>
      <c r="O1558">
        <v>-0.55365489999999995</v>
      </c>
      <c r="P1558">
        <v>-0.90342489999999998</v>
      </c>
      <c r="Q1558">
        <v>1.7091189999999999E-2</v>
      </c>
      <c r="R1558">
        <v>-0.42840620000000001</v>
      </c>
      <c r="S1558">
        <v>-3.226715</v>
      </c>
      <c r="T1558">
        <v>-0.36024429999999902</v>
      </c>
      <c r="U1558">
        <v>-0.2413025</v>
      </c>
      <c r="V1558">
        <v>0.14392099999999999</v>
      </c>
      <c r="W1558">
        <v>2.9147610000000001E-2</v>
      </c>
      <c r="X1558">
        <v>0.98915980000000003</v>
      </c>
      <c r="Y1558">
        <v>0.48403609999999903</v>
      </c>
      <c r="Z1558">
        <v>8.5313730000000004E-2</v>
      </c>
      <c r="AA1558">
        <v>0.87087919999999996</v>
      </c>
      <c r="AB1558">
        <v>19</v>
      </c>
      <c r="AC1558">
        <v>-9.6689000000000007</v>
      </c>
      <c r="AD1558">
        <v>-1.0991105729393</v>
      </c>
      <c r="AE1558">
        <v>-0.63249999999999296</v>
      </c>
      <c r="AF1558">
        <v>4.7657651205152796</v>
      </c>
      <c r="AG1558">
        <v>-1.0991105729393</v>
      </c>
      <c r="AH1558">
        <v>8.2948732487041799</v>
      </c>
      <c r="AI1558">
        <v>96.554084150682598</v>
      </c>
      <c r="AJ1558">
        <v>60.1207606230371</v>
      </c>
      <c r="AK1558">
        <v>9.6294072220222997</v>
      </c>
    </row>
    <row r="1559" spans="1:37" x14ac:dyDescent="0.2">
      <c r="A1559" t="str">
        <f>"20200111153637900"</f>
        <v>20200111153637900</v>
      </c>
      <c r="B1559" t="str">
        <f>"1578728197894213"</f>
        <v>1578728197894213</v>
      </c>
      <c r="C1559" t="s">
        <v>37</v>
      </c>
      <c r="D1559">
        <v>5.8744870000000002</v>
      </c>
      <c r="E1559">
        <v>0.70289840000000003</v>
      </c>
      <c r="F1559" t="s">
        <v>45</v>
      </c>
      <c r="G1559">
        <v>-243.77529999999999</v>
      </c>
      <c r="H1559" s="1">
        <v>4.7223149999999998E-7</v>
      </c>
      <c r="I1559">
        <v>289.33240000000001</v>
      </c>
      <c r="J1559">
        <v>-202.3107</v>
      </c>
      <c r="K1559">
        <v>1.0990789999999999</v>
      </c>
      <c r="L1559">
        <v>287.53129999999999</v>
      </c>
      <c r="M1559">
        <v>-0.83849039999999997</v>
      </c>
      <c r="N1559">
        <v>0</v>
      </c>
      <c r="O1559">
        <v>-0.54473689999999997</v>
      </c>
      <c r="P1559">
        <v>-0.90760200000000002</v>
      </c>
      <c r="Q1559">
        <v>1.6549520000000002E-2</v>
      </c>
      <c r="R1559">
        <v>-0.41950519999999902</v>
      </c>
      <c r="S1559">
        <v>-3.3881679999999998</v>
      </c>
      <c r="T1559">
        <v>-8.9447499999999999E-2</v>
      </c>
      <c r="U1559">
        <v>0.138702399999999</v>
      </c>
      <c r="V1559">
        <v>0.14307719999999999</v>
      </c>
      <c r="W1559">
        <v>2.840024E-2</v>
      </c>
      <c r="X1559">
        <v>0.98930390000000001</v>
      </c>
      <c r="Y1559">
        <v>0.57825819999999895</v>
      </c>
      <c r="Z1559">
        <v>2.141125E-2</v>
      </c>
      <c r="AA1559">
        <v>0.81557279999999999</v>
      </c>
      <c r="AB1559">
        <v>19</v>
      </c>
      <c r="AC1559">
        <v>-41.464599999999898</v>
      </c>
      <c r="AD1559">
        <v>-1.0990785277685</v>
      </c>
      <c r="AE1559">
        <v>1.8011000000000099</v>
      </c>
      <c r="AF1559">
        <v>24.082970699544902</v>
      </c>
      <c r="AG1559">
        <v>-1.0990785277685</v>
      </c>
      <c r="AH1559">
        <v>33.766168399730802</v>
      </c>
      <c r="AI1559">
        <v>91.517984624232398</v>
      </c>
      <c r="AJ1559">
        <v>54.502477822924398</v>
      </c>
      <c r="AK1559">
        <v>41.489174247318097</v>
      </c>
    </row>
    <row r="1560" spans="1:37" x14ac:dyDescent="0.2">
      <c r="A1560" t="str">
        <f>"20200111153637922"</f>
        <v>20200111153637922</v>
      </c>
      <c r="B1560" t="str">
        <f>"1578728197913733"</f>
        <v>1578728197913733</v>
      </c>
      <c r="C1560" t="s">
        <v>37</v>
      </c>
      <c r="D1560">
        <v>5.8339739999999898</v>
      </c>
      <c r="E1560">
        <v>0.70398499999999997</v>
      </c>
      <c r="F1560" t="s">
        <v>45</v>
      </c>
      <c r="G1560">
        <v>-273.94389999999999</v>
      </c>
      <c r="H1560">
        <v>8.0000859999999993E-2</v>
      </c>
      <c r="I1560">
        <v>291.96980000000002</v>
      </c>
      <c r="J1560">
        <v>-202.48750000000001</v>
      </c>
      <c r="K1560">
        <v>1.099062</v>
      </c>
      <c r="L1560">
        <v>287.43220000000002</v>
      </c>
      <c r="M1560">
        <v>-0.84447249999999996</v>
      </c>
      <c r="N1560">
        <v>0</v>
      </c>
      <c r="O1560">
        <v>-0.53542380000000001</v>
      </c>
      <c r="P1560">
        <v>-0.9116495</v>
      </c>
      <c r="Q1560">
        <v>1.6207800000000001E-2</v>
      </c>
      <c r="R1560">
        <v>-0.4106495</v>
      </c>
      <c r="S1560">
        <v>-3.403778</v>
      </c>
      <c r="T1560">
        <v>-4.8423290000000001E-2</v>
      </c>
      <c r="U1560">
        <v>0.21090700000000001</v>
      </c>
      <c r="V1560">
        <v>0.14174790000000001</v>
      </c>
      <c r="W1560">
        <v>2.7802999999999901E-2</v>
      </c>
      <c r="X1560">
        <v>0.98951230000000001</v>
      </c>
      <c r="Y1560">
        <v>0.58657000000000004</v>
      </c>
      <c r="Z1560">
        <v>1.148922E-2</v>
      </c>
      <c r="AA1560">
        <v>0.80981709999999996</v>
      </c>
      <c r="AB1560">
        <v>19</v>
      </c>
      <c r="AC1560">
        <v>-71.456399999999903</v>
      </c>
      <c r="AD1560">
        <v>-1.01906114</v>
      </c>
      <c r="AE1560">
        <v>4.5375999999999896</v>
      </c>
      <c r="AF1560">
        <v>42.086757909591803</v>
      </c>
      <c r="AG1560">
        <v>-1.01906114</v>
      </c>
      <c r="AH1560">
        <v>57.907127221838401</v>
      </c>
      <c r="AI1560">
        <v>90.815579864258197</v>
      </c>
      <c r="AJ1560">
        <v>53.9904378714741</v>
      </c>
      <c r="AK1560">
        <v>71.593079693737394</v>
      </c>
    </row>
    <row r="1561" spans="1:37" x14ac:dyDescent="0.2">
      <c r="A1561" t="str">
        <f>"20200111153637945"</f>
        <v>20200111153637945</v>
      </c>
      <c r="B1561" t="str">
        <f>"1578728197934229"</f>
        <v>1578728197934229</v>
      </c>
      <c r="C1561" t="s">
        <v>37</v>
      </c>
      <c r="D1561">
        <v>5.9141550000000001</v>
      </c>
      <c r="E1561">
        <v>0.70291689999999996</v>
      </c>
      <c r="F1561" t="s">
        <v>46</v>
      </c>
      <c r="G1561">
        <v>-285.14060000000001</v>
      </c>
      <c r="H1561">
        <v>0.48045749999999998</v>
      </c>
      <c r="I1561">
        <v>293.54860000000002</v>
      </c>
      <c r="J1561">
        <v>-202.66249999999999</v>
      </c>
      <c r="K1561">
        <v>1.0990629999999999</v>
      </c>
      <c r="L1561">
        <v>287.33640000000003</v>
      </c>
      <c r="M1561">
        <v>-0.85021970000000002</v>
      </c>
      <c r="N1561">
        <v>0</v>
      </c>
      <c r="O1561">
        <v>-0.52625840000000002</v>
      </c>
      <c r="P1561">
        <v>-0.91548379999999996</v>
      </c>
      <c r="Q1561">
        <v>1.556304E-2</v>
      </c>
      <c r="R1561">
        <v>-0.40205400000000002</v>
      </c>
      <c r="S1561">
        <v>-3.4047089999999902</v>
      </c>
      <c r="T1561">
        <v>-2.5482060000000001E-2</v>
      </c>
      <c r="U1561">
        <v>0.25195309999999999</v>
      </c>
      <c r="V1561">
        <v>0.1403402</v>
      </c>
      <c r="W1561">
        <v>2.6882570000000001E-2</v>
      </c>
      <c r="X1561">
        <v>0.98973829999999996</v>
      </c>
      <c r="Y1561">
        <v>0.58759159999999999</v>
      </c>
      <c r="Z1561">
        <v>5.9895319999999997E-3</v>
      </c>
      <c r="AA1561">
        <v>0.80913550000000001</v>
      </c>
      <c r="AB1561">
        <v>19</v>
      </c>
      <c r="AC1561">
        <v>-82.478099999999998</v>
      </c>
      <c r="AD1561">
        <v>-0.61860549999999903</v>
      </c>
      <c r="AE1561">
        <v>6.2121999999999904</v>
      </c>
      <c r="AF1561">
        <v>48.6881515986626</v>
      </c>
      <c r="AG1561">
        <v>-0.61860549999999903</v>
      </c>
      <c r="AH1561">
        <v>66.857512824195297</v>
      </c>
      <c r="AI1561">
        <v>90.4285342696801</v>
      </c>
      <c r="AJ1561">
        <v>53.936486775006401</v>
      </c>
      <c r="AK1561">
        <v>82.709405752286898</v>
      </c>
    </row>
    <row r="1562" spans="1:37" x14ac:dyDescent="0.2">
      <c r="A1562" t="str">
        <f>"20200111153637967"</f>
        <v>20200111153637967</v>
      </c>
      <c r="B1562" t="str">
        <f>"1578728197964485"</f>
        <v>1578728197964485</v>
      </c>
      <c r="C1562" t="s">
        <v>37</v>
      </c>
      <c r="D1562">
        <v>5.8808769999999999</v>
      </c>
      <c r="E1562">
        <v>0.7017333</v>
      </c>
      <c r="F1562" t="s">
        <v>40</v>
      </c>
      <c r="G1562">
        <v>-387.92869999999999</v>
      </c>
      <c r="H1562">
        <v>-0.05</v>
      </c>
      <c r="I1562">
        <v>302.39830000000001</v>
      </c>
      <c r="J1562">
        <v>-202.8355</v>
      </c>
      <c r="K1562">
        <v>1.0990709999999999</v>
      </c>
      <c r="L1562">
        <v>287.24400000000003</v>
      </c>
      <c r="M1562">
        <v>-0.85572839999999994</v>
      </c>
      <c r="N1562">
        <v>0</v>
      </c>
      <c r="O1562">
        <v>-0.51726119999999998</v>
      </c>
      <c r="P1562">
        <v>-0.91913849999999997</v>
      </c>
      <c r="Q1562">
        <v>1.5241970000000001E-2</v>
      </c>
      <c r="R1562">
        <v>-0.39363959999999998</v>
      </c>
      <c r="S1562">
        <v>-3.398666</v>
      </c>
      <c r="T1562">
        <v>-2.1079299999999999E-2</v>
      </c>
      <c r="U1562">
        <v>0.2763062</v>
      </c>
      <c r="V1562">
        <v>0.13896600000000001</v>
      </c>
      <c r="W1562">
        <v>2.626624E-2</v>
      </c>
      <c r="X1562">
        <v>0.98994869999999902</v>
      </c>
      <c r="Y1562">
        <v>0.5849299</v>
      </c>
      <c r="Z1562">
        <v>4.9065150000000002E-3</v>
      </c>
      <c r="AA1562">
        <v>0.81106899999999904</v>
      </c>
      <c r="AB1562">
        <v>20</v>
      </c>
      <c r="AC1562">
        <v>-185.0932</v>
      </c>
      <c r="AD1562">
        <v>-1.149071</v>
      </c>
      <c r="AE1562">
        <v>15.1542999999999</v>
      </c>
      <c r="AF1562">
        <v>108.714561906981</v>
      </c>
      <c r="AG1562">
        <v>-1.149071</v>
      </c>
      <c r="AH1562">
        <v>150.55779271566601</v>
      </c>
      <c r="AI1562">
        <v>90.354518875358593</v>
      </c>
      <c r="AJ1562">
        <v>54.167755053982802</v>
      </c>
      <c r="AK1562">
        <v>185.70898007959499</v>
      </c>
    </row>
    <row r="1563" spans="1:37" x14ac:dyDescent="0.2">
      <c r="A1563" t="str">
        <f>"20200111153637987"</f>
        <v>20200111153637987</v>
      </c>
      <c r="B1563" t="str">
        <f>"1578728197984005"</f>
        <v>1578728197984005</v>
      </c>
      <c r="C1563" t="s">
        <v>37</v>
      </c>
      <c r="D1563">
        <v>5.9559360000000003</v>
      </c>
      <c r="E1563">
        <v>0.700565199999999</v>
      </c>
      <c r="F1563" t="s">
        <v>47</v>
      </c>
      <c r="G1563">
        <v>-369.09469999999999</v>
      </c>
      <c r="H1563">
        <v>3.2434230000000001E-2</v>
      </c>
      <c r="I1563">
        <v>301.88839999999999</v>
      </c>
      <c r="J1563">
        <v>-203.00489999999999</v>
      </c>
      <c r="K1563">
        <v>1.0990799999999901</v>
      </c>
      <c r="L1563">
        <v>287.15539999999999</v>
      </c>
      <c r="M1563">
        <v>-0.86094179999999998</v>
      </c>
      <c r="N1563">
        <v>0</v>
      </c>
      <c r="O1563">
        <v>-0.50854549999999998</v>
      </c>
      <c r="P1563">
        <v>-0.92269849999999998</v>
      </c>
      <c r="Q1563">
        <v>1.50779E-2</v>
      </c>
      <c r="R1563">
        <v>-0.38522719999999999</v>
      </c>
      <c r="S1563">
        <v>-3.3922729999999999</v>
      </c>
      <c r="T1563">
        <v>-2.1761539999999999E-2</v>
      </c>
      <c r="U1563">
        <v>0.298797599999999</v>
      </c>
      <c r="V1563">
        <v>0.1379445</v>
      </c>
      <c r="W1563">
        <v>2.5786710000000001E-2</v>
      </c>
      <c r="X1563">
        <v>0.99010419999999999</v>
      </c>
      <c r="Y1563">
        <v>0.5821501</v>
      </c>
      <c r="Z1563">
        <v>5.016609E-3</v>
      </c>
      <c r="AA1563">
        <v>0.81306590000000001</v>
      </c>
      <c r="AB1563">
        <v>20</v>
      </c>
      <c r="AC1563">
        <v>-166.0898</v>
      </c>
      <c r="AD1563">
        <v>-1.0666457699999901</v>
      </c>
      <c r="AE1563">
        <v>14.733000000000001</v>
      </c>
      <c r="AF1563">
        <v>97.152306721029305</v>
      </c>
      <c r="AG1563">
        <v>-1.0666457699999901</v>
      </c>
      <c r="AH1563">
        <v>135.50659365909399</v>
      </c>
      <c r="AI1563">
        <v>90.366530213094194</v>
      </c>
      <c r="AJ1563">
        <v>54.361130321926801</v>
      </c>
      <c r="AK1563">
        <v>166.738553908526</v>
      </c>
    </row>
    <row r="1564" spans="1:37" x14ac:dyDescent="0.2">
      <c r="A1564" t="str">
        <f>"20200111153638012"</f>
        <v>20200111153638012</v>
      </c>
      <c r="B1564" t="str">
        <f>"1578728198004501"</f>
        <v>1578728198004501</v>
      </c>
      <c r="C1564" t="s">
        <v>37</v>
      </c>
      <c r="D1564">
        <v>5.9361569999999997</v>
      </c>
      <c r="E1564">
        <v>0.69924949999999997</v>
      </c>
      <c r="F1564" t="s">
        <v>40</v>
      </c>
      <c r="G1564">
        <v>-348.9434</v>
      </c>
      <c r="H1564">
        <v>-0.05</v>
      </c>
      <c r="I1564">
        <v>300.9984</v>
      </c>
      <c r="J1564">
        <v>-203.19489999999999</v>
      </c>
      <c r="K1564">
        <v>1.099092</v>
      </c>
      <c r="L1564">
        <v>287.05849999999998</v>
      </c>
      <c r="M1564">
        <v>-0.86656730000000004</v>
      </c>
      <c r="N1564">
        <v>0</v>
      </c>
      <c r="O1564">
        <v>-0.49891000000000002</v>
      </c>
      <c r="P1564">
        <v>-0.92651539999999999</v>
      </c>
      <c r="Q1564">
        <v>1.5225600000000001E-2</v>
      </c>
      <c r="R1564">
        <v>-0.37594870000000002</v>
      </c>
      <c r="S1564">
        <v>-3.3858799999999998</v>
      </c>
      <c r="T1564">
        <v>-2.6659490000000001E-2</v>
      </c>
      <c r="U1564">
        <v>0.32116699999999998</v>
      </c>
      <c r="V1564">
        <v>0.13682279999999999</v>
      </c>
      <c r="W1564">
        <v>2.5561710000000001E-2</v>
      </c>
      <c r="X1564">
        <v>0.99026569999999903</v>
      </c>
      <c r="Y1564">
        <v>0.57852230000000004</v>
      </c>
      <c r="Z1564">
        <v>6.0754290000000002E-3</v>
      </c>
      <c r="AA1564">
        <v>0.81564389999999998</v>
      </c>
      <c r="AB1564">
        <v>20</v>
      </c>
      <c r="AC1564">
        <v>-145.74850000000001</v>
      </c>
      <c r="AD1564">
        <v>-1.149092</v>
      </c>
      <c r="AE1564">
        <v>13.9399</v>
      </c>
      <c r="AF1564">
        <v>84.796379833297095</v>
      </c>
      <c r="AG1564">
        <v>-1.149092</v>
      </c>
      <c r="AH1564">
        <v>119.347724949206</v>
      </c>
      <c r="AI1564">
        <v>90.449690598265903</v>
      </c>
      <c r="AJ1564">
        <v>54.606263142336402</v>
      </c>
      <c r="AK1564">
        <v>146.40910455230701</v>
      </c>
    </row>
    <row r="1565" spans="1:37" x14ac:dyDescent="0.2">
      <c r="A1565" t="str">
        <f>"20200111153638032"</f>
        <v>20200111153638032</v>
      </c>
      <c r="B1565" t="str">
        <f>"1578728198024021"</f>
        <v>1578728198024021</v>
      </c>
      <c r="C1565" t="s">
        <v>37</v>
      </c>
      <c r="D1565">
        <v>5.7954910000000002</v>
      </c>
      <c r="E1565">
        <v>0.69837299999999902</v>
      </c>
      <c r="F1565" t="s">
        <v>48</v>
      </c>
      <c r="G1565">
        <v>-309.95780000000002</v>
      </c>
      <c r="H1565">
        <v>3.9919759999999999E-2</v>
      </c>
      <c r="I1565">
        <v>297.97750000000002</v>
      </c>
      <c r="J1565">
        <v>-203.36940000000001</v>
      </c>
      <c r="K1565">
        <v>1.099113</v>
      </c>
      <c r="L1565">
        <v>286.97140000000002</v>
      </c>
      <c r="M1565">
        <v>-0.8715231</v>
      </c>
      <c r="N1565">
        <v>0</v>
      </c>
      <c r="O1565">
        <v>-0.49021099999999901</v>
      </c>
      <c r="P1565">
        <v>-0.9298189</v>
      </c>
      <c r="Q1565">
        <v>1.58891E-2</v>
      </c>
      <c r="R1565">
        <v>-0.36767420000000001</v>
      </c>
      <c r="S1565">
        <v>-3.3786769999999899</v>
      </c>
      <c r="T1565">
        <v>-3.3519149999999998E-2</v>
      </c>
      <c r="U1565">
        <v>0.34555049999999998</v>
      </c>
      <c r="V1565">
        <v>0.1357293</v>
      </c>
      <c r="W1565">
        <v>2.586869E-2</v>
      </c>
      <c r="X1565">
        <v>0.99040819999999996</v>
      </c>
      <c r="Y1565">
        <v>0.57632819999999996</v>
      </c>
      <c r="Z1565">
        <v>7.5663290000000001E-3</v>
      </c>
      <c r="AA1565">
        <v>0.81718329999999995</v>
      </c>
      <c r="AB1565">
        <v>20</v>
      </c>
      <c r="AC1565">
        <v>-106.58839999999999</v>
      </c>
      <c r="AD1565">
        <v>-1.0591932399999999</v>
      </c>
      <c r="AE1565">
        <v>11.0061</v>
      </c>
      <c r="AF1565">
        <v>61.841184162565803</v>
      </c>
      <c r="AG1565">
        <v>-1.0591932399999999</v>
      </c>
      <c r="AH1565">
        <v>87.496547025057794</v>
      </c>
      <c r="AI1565">
        <v>90.566386850450598</v>
      </c>
      <c r="AJ1565">
        <v>54.747930753379897</v>
      </c>
      <c r="AK1565">
        <v>107.149893561572</v>
      </c>
    </row>
    <row r="1566" spans="1:37" x14ac:dyDescent="0.2">
      <c r="A1566" t="str">
        <f>"20200111153638057"</f>
        <v>20200111153638057</v>
      </c>
      <c r="B1566" t="str">
        <f>"1578728198054277"</f>
        <v>1578728198054277</v>
      </c>
      <c r="C1566" t="s">
        <v>37</v>
      </c>
      <c r="D1566">
        <v>6.2703150000000001</v>
      </c>
      <c r="E1566">
        <v>0.69624010000000003</v>
      </c>
      <c r="F1566" t="s">
        <v>48</v>
      </c>
      <c r="G1566">
        <v>-300.08870000000002</v>
      </c>
      <c r="H1566" s="1">
        <v>7.1572400000000001E-7</v>
      </c>
      <c r="I1566">
        <v>297.55880000000002</v>
      </c>
      <c r="J1566">
        <v>-203.5574</v>
      </c>
      <c r="K1566">
        <v>1.0991379999999999</v>
      </c>
      <c r="L1566">
        <v>286.87979999999999</v>
      </c>
      <c r="M1566">
        <v>-0.87664850000000005</v>
      </c>
      <c r="N1566">
        <v>0</v>
      </c>
      <c r="O1566">
        <v>-0.48099619999999998</v>
      </c>
      <c r="P1566">
        <v>-0.93333630000000001</v>
      </c>
      <c r="Q1566">
        <v>1.6559850000000001E-2</v>
      </c>
      <c r="R1566">
        <v>-0.35862159999999998</v>
      </c>
      <c r="S1566">
        <v>-3.3730769999999999</v>
      </c>
      <c r="T1566">
        <v>-3.833139E-2</v>
      </c>
      <c r="U1566">
        <v>0.36923220000000001</v>
      </c>
      <c r="V1566">
        <v>0.13490189999999999</v>
      </c>
      <c r="W1566">
        <v>2.6135160000000001E-2</v>
      </c>
      <c r="X1566">
        <v>0.99051420000000001</v>
      </c>
      <c r="Y1566">
        <v>0.57350330000000005</v>
      </c>
      <c r="Z1566">
        <v>8.5558079999999998E-3</v>
      </c>
      <c r="AA1566">
        <v>0.81915859999999996</v>
      </c>
      <c r="AB1566">
        <v>20</v>
      </c>
      <c r="AC1566">
        <v>-96.531300000000002</v>
      </c>
      <c r="AD1566">
        <v>-1.0991372842759899</v>
      </c>
      <c r="AE1566">
        <v>10.679</v>
      </c>
      <c r="AF1566">
        <v>55.789400901526498</v>
      </c>
      <c r="AG1566">
        <v>-1.0991372842759899</v>
      </c>
      <c r="AH1566">
        <v>79.482450429797396</v>
      </c>
      <c r="AI1566">
        <v>90.648488214686395</v>
      </c>
      <c r="AJ1566">
        <v>54.934660210519802</v>
      </c>
      <c r="AK1566">
        <v>97.113980878378797</v>
      </c>
    </row>
    <row r="1567" spans="1:37" x14ac:dyDescent="0.2">
      <c r="A1567" t="str">
        <f>"20200111153638079"</f>
        <v>20200111153638079</v>
      </c>
      <c r="B1567" t="str">
        <f>"1578728198073797"</f>
        <v>1578728198073797</v>
      </c>
      <c r="C1567" t="s">
        <v>37</v>
      </c>
      <c r="D1567">
        <v>5.8909760000000002</v>
      </c>
      <c r="E1567">
        <v>0.62265470000000001</v>
      </c>
      <c r="F1567" t="s">
        <v>45</v>
      </c>
      <c r="G1567">
        <v>-265.7688</v>
      </c>
      <c r="H1567">
        <v>8.000024E-2</v>
      </c>
      <c r="I1567">
        <v>294.0247</v>
      </c>
      <c r="J1567">
        <v>-203.74260000000001</v>
      </c>
      <c r="K1567">
        <v>1.099164</v>
      </c>
      <c r="L1567">
        <v>286.79149999999998</v>
      </c>
      <c r="M1567">
        <v>-0.88148130000000002</v>
      </c>
      <c r="N1567">
        <v>0</v>
      </c>
      <c r="O1567">
        <v>-0.47209129999999899</v>
      </c>
      <c r="P1567">
        <v>-0.93653090000000005</v>
      </c>
      <c r="Q1567">
        <v>1.7343629999999999E-2</v>
      </c>
      <c r="R1567">
        <v>-0.35015550000000001</v>
      </c>
      <c r="S1567">
        <v>-3.3637079999999999</v>
      </c>
      <c r="T1567">
        <v>-5.5103779999999998E-2</v>
      </c>
      <c r="U1567">
        <v>0.386322</v>
      </c>
      <c r="V1567">
        <v>0.1338271</v>
      </c>
      <c r="W1567">
        <v>2.6519830000000001E-2</v>
      </c>
      <c r="X1567">
        <v>0.99064979999999903</v>
      </c>
      <c r="Y1567">
        <v>0.56948359999999998</v>
      </c>
      <c r="Z1567">
        <v>1.2167290000000001E-2</v>
      </c>
      <c r="AA1567">
        <v>0.82191259999999999</v>
      </c>
      <c r="AB1567">
        <v>20</v>
      </c>
      <c r="AC1567">
        <v>-62.026199999999903</v>
      </c>
      <c r="AD1567">
        <v>-1.0191637600000001</v>
      </c>
      <c r="AE1567">
        <v>7.2332000000000098</v>
      </c>
      <c r="AF1567">
        <v>35.650612964615902</v>
      </c>
      <c r="AG1567">
        <v>-1.0191637600000001</v>
      </c>
      <c r="AH1567">
        <v>51.249642965564298</v>
      </c>
      <c r="AI1567">
        <v>90.935266560029106</v>
      </c>
      <c r="AJ1567">
        <v>55.176499732372598</v>
      </c>
      <c r="AK1567">
        <v>62.438215890753597</v>
      </c>
    </row>
    <row r="1568" spans="1:37" x14ac:dyDescent="0.2">
      <c r="A1568" t="str">
        <f>"20200111153638101"</f>
        <v>20200111153638101</v>
      </c>
      <c r="B1568" t="str">
        <f>"1578728198094293"</f>
        <v>1578728198094293</v>
      </c>
      <c r="C1568" t="s">
        <v>37</v>
      </c>
      <c r="D1568">
        <v>6.1035659999999998</v>
      </c>
      <c r="E1568">
        <v>0.60384389999999999</v>
      </c>
      <c r="F1568" t="s">
        <v>45</v>
      </c>
      <c r="G1568">
        <v>-215.37129999999999</v>
      </c>
      <c r="H1568" s="1">
        <v>1.3215350000000001E-6</v>
      </c>
      <c r="I1568">
        <v>286.31079999999997</v>
      </c>
      <c r="J1568">
        <v>-203.92840000000001</v>
      </c>
      <c r="K1568">
        <v>1.0991919999999999</v>
      </c>
      <c r="L1568">
        <v>286.70510000000002</v>
      </c>
      <c r="M1568">
        <v>-0.886119199999999</v>
      </c>
      <c r="N1568">
        <v>0</v>
      </c>
      <c r="O1568">
        <v>-0.46333779999999902</v>
      </c>
      <c r="P1568">
        <v>-0.93953019999999998</v>
      </c>
      <c r="Q1568">
        <v>1.7349E-2</v>
      </c>
      <c r="R1568">
        <v>-0.34202640000000001</v>
      </c>
      <c r="S1568">
        <v>-3.1600039999999998</v>
      </c>
      <c r="T1568">
        <v>-0.29868840000000002</v>
      </c>
      <c r="U1568">
        <v>-0.13064580000000001</v>
      </c>
      <c r="V1568">
        <v>0.1325877</v>
      </c>
      <c r="W1568">
        <v>2.6135160000000001E-2</v>
      </c>
      <c r="X1568">
        <v>0.99082669999999995</v>
      </c>
      <c r="Y1568">
        <v>0.42256320000000003</v>
      </c>
      <c r="Z1568">
        <v>6.217545E-2</v>
      </c>
      <c r="AA1568">
        <v>0.90419830000000001</v>
      </c>
      <c r="AB1568">
        <v>20</v>
      </c>
      <c r="AC1568">
        <v>-11.4428999999999</v>
      </c>
      <c r="AD1568">
        <v>-1.0991906784649901</v>
      </c>
      <c r="AE1568">
        <v>-0.394300000000043</v>
      </c>
      <c r="AF1568">
        <v>4.9075759284321601</v>
      </c>
      <c r="AG1568">
        <v>-1.0991906784649901</v>
      </c>
      <c r="AH1568">
        <v>10.228767833144699</v>
      </c>
      <c r="AI1568">
        <v>95.533918383458399</v>
      </c>
      <c r="AJ1568">
        <v>64.369159166955399</v>
      </c>
      <c r="AK1568">
        <v>11.398254823670401</v>
      </c>
    </row>
    <row r="1569" spans="1:37" x14ac:dyDescent="0.2">
      <c r="A1569" t="str">
        <f>"20200111153638134"</f>
        <v>20200111153638134</v>
      </c>
      <c r="B1569" t="str">
        <f>"1578728198124549"</f>
        <v>1578728198124549</v>
      </c>
      <c r="C1569" t="s">
        <v>37</v>
      </c>
      <c r="D1569">
        <v>5.9502980000000001</v>
      </c>
      <c r="E1569">
        <v>0.59455590000000003</v>
      </c>
      <c r="F1569" t="s">
        <v>45</v>
      </c>
      <c r="G1569">
        <v>-217.34880000000001</v>
      </c>
      <c r="H1569" s="1">
        <v>2.3738809999999999E-6</v>
      </c>
      <c r="I1569">
        <v>285.64909999999998</v>
      </c>
      <c r="J1569">
        <v>-204.209</v>
      </c>
      <c r="K1569">
        <v>1.0991979999999999</v>
      </c>
      <c r="L1569">
        <v>286.57819999999998</v>
      </c>
      <c r="M1569">
        <v>-0.89277070000000003</v>
      </c>
      <c r="N1569">
        <v>0</v>
      </c>
      <c r="O1569">
        <v>-0.45040289999999999</v>
      </c>
      <c r="P1569">
        <v>-0.94422890000000004</v>
      </c>
      <c r="Q1569">
        <v>1.7972849999999999E-2</v>
      </c>
      <c r="R1569">
        <v>-0.32879979999999998</v>
      </c>
      <c r="S1569">
        <v>-3.1087340000000001</v>
      </c>
      <c r="T1569">
        <v>-0.25461800000000001</v>
      </c>
      <c r="U1569">
        <v>-0.24459839999999999</v>
      </c>
      <c r="V1569">
        <v>0.1320791</v>
      </c>
      <c r="W1569">
        <v>2.615804E-2</v>
      </c>
      <c r="X1569">
        <v>0.99089400000000005</v>
      </c>
      <c r="Y1569">
        <v>0.37636350000000002</v>
      </c>
      <c r="Z1569">
        <v>5.093375E-2</v>
      </c>
      <c r="AA1569">
        <v>0.92507099999999898</v>
      </c>
      <c r="AB1569">
        <v>20</v>
      </c>
      <c r="AC1569">
        <v>-13.139799999999999</v>
      </c>
      <c r="AD1569">
        <v>-1.0991956261189999</v>
      </c>
      <c r="AE1569">
        <v>-0.92910000000000503</v>
      </c>
      <c r="AF1569">
        <v>5.0537890294860999</v>
      </c>
      <c r="AG1569">
        <v>-1.0991956261189999</v>
      </c>
      <c r="AH1569">
        <v>12.065874699676399</v>
      </c>
      <c r="AI1569">
        <v>94.803087332773401</v>
      </c>
      <c r="AJ1569">
        <v>67.273637699494003</v>
      </c>
      <c r="AK1569">
        <v>13.127617714091301</v>
      </c>
    </row>
    <row r="1570" spans="1:37" x14ac:dyDescent="0.2">
      <c r="A1570" t="str">
        <f>"20200111153638156"</f>
        <v>20200111153638156</v>
      </c>
      <c r="B1570" t="str">
        <f>"1578728198144068"</f>
        <v>1578728198144068</v>
      </c>
      <c r="C1570" t="s">
        <v>37</v>
      </c>
      <c r="D1570">
        <v>5.8602449999999999</v>
      </c>
      <c r="E1570">
        <v>0.59311440000000004</v>
      </c>
      <c r="F1570" t="s">
        <v>45</v>
      </c>
      <c r="G1570">
        <v>-218.31819999999999</v>
      </c>
      <c r="H1570" s="1">
        <v>2.8897259999999999E-6</v>
      </c>
      <c r="I1570">
        <v>285.33819999999997</v>
      </c>
      <c r="J1570">
        <v>-204.39189999999999</v>
      </c>
      <c r="K1570">
        <v>1.0991660000000001</v>
      </c>
      <c r="L1570">
        <v>286.49779999999998</v>
      </c>
      <c r="M1570">
        <v>-0.8969144</v>
      </c>
      <c r="N1570">
        <v>0</v>
      </c>
      <c r="O1570">
        <v>-0.44210240000000001</v>
      </c>
      <c r="P1570">
        <v>-0.94692119999999902</v>
      </c>
      <c r="Q1570">
        <v>1.8745789999999998E-2</v>
      </c>
      <c r="R1570">
        <v>-0.32091950000000002</v>
      </c>
      <c r="S1570">
        <v>-3.0872959999999998</v>
      </c>
      <c r="T1570">
        <v>-0.24051939999999999</v>
      </c>
      <c r="U1570">
        <v>-0.27133179999999901</v>
      </c>
      <c r="V1570">
        <v>0.1311407</v>
      </c>
      <c r="W1570">
        <v>2.6557009999999999E-2</v>
      </c>
      <c r="X1570">
        <v>0.991008</v>
      </c>
      <c r="Y1570">
        <v>0.3595816</v>
      </c>
      <c r="Z1570">
        <v>4.7187340000000001E-2</v>
      </c>
      <c r="AA1570">
        <v>0.93191979999999996</v>
      </c>
      <c r="AB1570">
        <v>20</v>
      </c>
      <c r="AC1570">
        <v>-13.9262999999999</v>
      </c>
      <c r="AD1570">
        <v>-1.099163110274</v>
      </c>
      <c r="AE1570">
        <v>-1.15960000000001</v>
      </c>
      <c r="AF1570">
        <v>5.08555674807294</v>
      </c>
      <c r="AG1570">
        <v>-1.099163110274</v>
      </c>
      <c r="AH1570">
        <v>12.9239907529389</v>
      </c>
      <c r="AI1570">
        <v>94.525045230320003</v>
      </c>
      <c r="AJ1570">
        <v>68.520491324733896</v>
      </c>
      <c r="AK1570">
        <v>13.931998563124599</v>
      </c>
    </row>
    <row r="1571" spans="1:37" x14ac:dyDescent="0.2">
      <c r="A1571" t="str">
        <f>"20200111153638177"</f>
        <v>20200111153638177</v>
      </c>
      <c r="B1571" t="str">
        <f>"1578728198173981"</f>
        <v>1578728198173981</v>
      </c>
      <c r="C1571" t="s">
        <v>37</v>
      </c>
      <c r="D1571">
        <v>5.9039619999999999</v>
      </c>
      <c r="E1571">
        <v>0.59174740000000003</v>
      </c>
      <c r="F1571" t="s">
        <v>45</v>
      </c>
      <c r="G1571">
        <v>-218.88720000000001</v>
      </c>
      <c r="H1571" s="1">
        <v>3.1925330000000002E-6</v>
      </c>
      <c r="I1571">
        <v>285.29349999999999</v>
      </c>
      <c r="J1571">
        <v>-204.57929999999999</v>
      </c>
      <c r="K1571">
        <v>1.0991070000000001</v>
      </c>
      <c r="L1571">
        <v>286.41730000000001</v>
      </c>
      <c r="M1571">
        <v>-0.90101629999999999</v>
      </c>
      <c r="N1571">
        <v>0</v>
      </c>
      <c r="O1571">
        <v>-0.43368999999999902</v>
      </c>
      <c r="P1571">
        <v>-0.94930429999999999</v>
      </c>
      <c r="Q1571">
        <v>1.9411870000000001E-2</v>
      </c>
      <c r="R1571">
        <v>-0.31375979999999998</v>
      </c>
      <c r="S1571">
        <v>-3.0859070000000002</v>
      </c>
      <c r="T1571">
        <v>-0.23400070000000001</v>
      </c>
      <c r="U1571">
        <v>-0.2563782</v>
      </c>
      <c r="V1571">
        <v>0.1293464</v>
      </c>
      <c r="W1571">
        <v>2.6852069999999999E-2</v>
      </c>
      <c r="X1571">
        <v>0.99123589999999995</v>
      </c>
      <c r="Y1571">
        <v>0.35545019999999999</v>
      </c>
      <c r="Z1571">
        <v>4.5218769999999998E-2</v>
      </c>
      <c r="AA1571">
        <v>0.93360080000000001</v>
      </c>
      <c r="AB1571">
        <v>20</v>
      </c>
      <c r="AC1571">
        <v>-14.3079</v>
      </c>
      <c r="AD1571">
        <v>-1.0991038074670001</v>
      </c>
      <c r="AE1571">
        <v>-1.1238000000000099</v>
      </c>
      <c r="AF1571">
        <v>5.1625680026449601</v>
      </c>
      <c r="AG1571">
        <v>-1.0991038074670001</v>
      </c>
      <c r="AH1571">
        <v>13.3015732802955</v>
      </c>
      <c r="AI1571">
        <v>94.404866585925305</v>
      </c>
      <c r="AJ1571">
        <v>68.787915821969705</v>
      </c>
      <c r="AK1571">
        <v>14.3105551706631</v>
      </c>
    </row>
    <row r="1572" spans="1:37" x14ac:dyDescent="0.2">
      <c r="A1572" t="str">
        <f>"20200111153638201"</f>
        <v>20200111153638201</v>
      </c>
      <c r="B1572" t="str">
        <f>"1578728198194477"</f>
        <v>1578728198194477</v>
      </c>
      <c r="C1572" t="s">
        <v>37</v>
      </c>
      <c r="D1572">
        <v>5.8827739999999897</v>
      </c>
      <c r="E1572">
        <v>0.59091499999999997</v>
      </c>
      <c r="F1572" t="s">
        <v>45</v>
      </c>
      <c r="G1572">
        <v>-219.53960000000001</v>
      </c>
      <c r="H1572" s="1">
        <v>3.5397269999999999E-6</v>
      </c>
      <c r="I1572">
        <v>285.23669999999998</v>
      </c>
      <c r="J1572">
        <v>-204.77879999999999</v>
      </c>
      <c r="K1572">
        <v>1.0990279999999999</v>
      </c>
      <c r="L1572">
        <v>286.33370000000002</v>
      </c>
      <c r="M1572">
        <v>-0.90523609999999899</v>
      </c>
      <c r="N1572">
        <v>0</v>
      </c>
      <c r="O1572">
        <v>-0.42482019999999998</v>
      </c>
      <c r="P1572">
        <v>-0.95194179999999995</v>
      </c>
      <c r="Q1572">
        <v>1.909901E-2</v>
      </c>
      <c r="R1572">
        <v>-0.30568319999999999</v>
      </c>
      <c r="S1572">
        <v>-3.0843959999999999</v>
      </c>
      <c r="T1572">
        <v>-0.22660379999999999</v>
      </c>
      <c r="U1572">
        <v>-0.24340819999999999</v>
      </c>
      <c r="V1572">
        <v>0.1280261</v>
      </c>
      <c r="W1572">
        <v>2.6131339999999999E-2</v>
      </c>
      <c r="X1572">
        <v>0.99142649999999999</v>
      </c>
      <c r="Y1572">
        <v>0.3502981</v>
      </c>
      <c r="Z1572">
        <v>4.3048990000000002E-2</v>
      </c>
      <c r="AA1572">
        <v>0.93564840000000005</v>
      </c>
      <c r="AB1572">
        <v>20</v>
      </c>
      <c r="AC1572">
        <v>-14.7608</v>
      </c>
      <c r="AD1572">
        <v>-1.0990244602729999</v>
      </c>
      <c r="AE1572">
        <v>-1.09700000000003</v>
      </c>
      <c r="AF1572">
        <v>5.2489027985014296</v>
      </c>
      <c r="AG1572">
        <v>-1.0990244602729999</v>
      </c>
      <c r="AH1572">
        <v>13.7527367119531</v>
      </c>
      <c r="AI1572">
        <v>94.269792923722306</v>
      </c>
      <c r="AJ1572">
        <v>69.110023798063295</v>
      </c>
      <c r="AK1572">
        <v>14.761321161085</v>
      </c>
    </row>
    <row r="1573" spans="1:37" x14ac:dyDescent="0.2">
      <c r="A1573" t="str">
        <f>"20200111153638222"</f>
        <v>20200111153638222</v>
      </c>
      <c r="B1573" t="str">
        <f>"1578728198213997"</f>
        <v>1578728198213997</v>
      </c>
      <c r="C1573" t="s">
        <v>37</v>
      </c>
      <c r="D1573">
        <v>5.9370890000000003</v>
      </c>
      <c r="E1573">
        <v>0.58984910000000002</v>
      </c>
      <c r="F1573" t="s">
        <v>45</v>
      </c>
      <c r="G1573">
        <v>-219.84690000000001</v>
      </c>
      <c r="H1573" s="1">
        <v>3.7032349999999999E-6</v>
      </c>
      <c r="I1573">
        <v>285.24209999999999</v>
      </c>
      <c r="J1573">
        <v>-204.97370000000001</v>
      </c>
      <c r="K1573">
        <v>1.0989439999999999</v>
      </c>
      <c r="L1573">
        <v>286.2543</v>
      </c>
      <c r="M1573">
        <v>-0.90921949999999996</v>
      </c>
      <c r="N1573">
        <v>0</v>
      </c>
      <c r="O1573">
        <v>-0.41623490000000002</v>
      </c>
      <c r="P1573">
        <v>-0.954595999999999</v>
      </c>
      <c r="Q1573">
        <v>1.842777E-2</v>
      </c>
      <c r="R1573">
        <v>-0.29733309999999902</v>
      </c>
      <c r="S1573">
        <v>-3.0842130000000001</v>
      </c>
      <c r="T1573">
        <v>-0.22495409999999999</v>
      </c>
      <c r="U1573">
        <v>-0.2234497</v>
      </c>
      <c r="V1573">
        <v>0.12732069999999901</v>
      </c>
      <c r="W1573">
        <v>2.505547E-2</v>
      </c>
      <c r="X1573">
        <v>0.99154509999999996</v>
      </c>
      <c r="Y1573">
        <v>0.34750749999999903</v>
      </c>
      <c r="Z1573">
        <v>4.208688E-2</v>
      </c>
      <c r="AA1573">
        <v>0.93673220000000001</v>
      </c>
      <c r="AB1573">
        <v>21</v>
      </c>
      <c r="AC1573">
        <v>-14.873199999999899</v>
      </c>
      <c r="AD1573">
        <v>-1.0989402967649999</v>
      </c>
      <c r="AE1573">
        <v>-1.0122</v>
      </c>
      <c r="AF1573">
        <v>5.2421266540422904</v>
      </c>
      <c r="AG1573">
        <v>-1.0989402967649999</v>
      </c>
      <c r="AH1573">
        <v>13.8694247177789</v>
      </c>
      <c r="AI1573">
        <v>94.2388611214907</v>
      </c>
      <c r="AJ1573">
        <v>69.295272626991903</v>
      </c>
      <c r="AK1573">
        <v>14.8677000116027</v>
      </c>
    </row>
    <row r="1574" spans="1:37" x14ac:dyDescent="0.2">
      <c r="A1574" t="str">
        <f>"20200111153638245"</f>
        <v>20200111153638245</v>
      </c>
      <c r="B1574" t="str">
        <f>"1578728198234492"</f>
        <v>1578728198234492</v>
      </c>
      <c r="C1574" t="s">
        <v>37</v>
      </c>
      <c r="D1574">
        <v>5.9549190000000003</v>
      </c>
      <c r="E1574">
        <v>0.58890129999999996</v>
      </c>
      <c r="F1574" t="s">
        <v>45</v>
      </c>
      <c r="G1574">
        <v>-219.77619999999999</v>
      </c>
      <c r="H1574" s="1">
        <v>3.6656219999999999E-6</v>
      </c>
      <c r="I1574">
        <v>285.27120000000002</v>
      </c>
      <c r="J1574">
        <v>-205.17349999999999</v>
      </c>
      <c r="K1574">
        <v>1.0988549999999999</v>
      </c>
      <c r="L1574">
        <v>286.1748</v>
      </c>
      <c r="M1574">
        <v>-0.91317599999999999</v>
      </c>
      <c r="N1574">
        <v>0</v>
      </c>
      <c r="O1574">
        <v>-0.40748899999999999</v>
      </c>
      <c r="P1574">
        <v>-0.95738799999999902</v>
      </c>
      <c r="Q1574">
        <v>1.722187E-2</v>
      </c>
      <c r="R1574">
        <v>-0.28829129999999997</v>
      </c>
      <c r="S1574">
        <v>-3.0833439999999999</v>
      </c>
      <c r="T1574">
        <v>-0.22890759999999999</v>
      </c>
      <c r="U1574">
        <v>-0.20477290000000001</v>
      </c>
      <c r="V1574">
        <v>0.1271719</v>
      </c>
      <c r="W1574">
        <v>2.3447099999999998E-2</v>
      </c>
      <c r="X1574">
        <v>0.99160349999999997</v>
      </c>
      <c r="Y1574">
        <v>0.34409609999999902</v>
      </c>
      <c r="Z1574">
        <v>4.2133280000000002E-2</v>
      </c>
      <c r="AA1574">
        <v>0.93798859999999995</v>
      </c>
      <c r="AB1574">
        <v>21</v>
      </c>
      <c r="AC1574">
        <v>-14.6027</v>
      </c>
      <c r="AD1574">
        <v>-1.098851334378</v>
      </c>
      <c r="AE1574">
        <v>-0.90359999999998297</v>
      </c>
      <c r="AF1574">
        <v>5.0967032480943599</v>
      </c>
      <c r="AG1574">
        <v>-1.098851334378</v>
      </c>
      <c r="AH1574">
        <v>13.6266022549166</v>
      </c>
      <c r="AI1574">
        <v>94.319342784509004</v>
      </c>
      <c r="AJ1574">
        <v>69.492897385292295</v>
      </c>
      <c r="AK1574">
        <v>14.5900016198731</v>
      </c>
    </row>
    <row r="1575" spans="1:37" x14ac:dyDescent="0.2">
      <c r="A1575" t="str">
        <f>"20200111153638267"</f>
        <v>20200111153638267</v>
      </c>
      <c r="B1575" t="str">
        <f>"1578728198264749"</f>
        <v>1578728198264749</v>
      </c>
      <c r="C1575" t="s">
        <v>37</v>
      </c>
      <c r="D1575">
        <v>6.2590339999999998</v>
      </c>
      <c r="E1575">
        <v>0.5876169</v>
      </c>
      <c r="F1575" t="s">
        <v>45</v>
      </c>
      <c r="G1575">
        <v>-219.71510000000001</v>
      </c>
      <c r="H1575" s="1">
        <v>3.6331180000000001E-6</v>
      </c>
      <c r="I1575">
        <v>285.31349999999998</v>
      </c>
      <c r="J1575">
        <v>-205.37039999999999</v>
      </c>
      <c r="K1575">
        <v>1.098773</v>
      </c>
      <c r="L1575">
        <v>286.0985</v>
      </c>
      <c r="M1575">
        <v>-0.91695459999999995</v>
      </c>
      <c r="N1575">
        <v>0</v>
      </c>
      <c r="O1575">
        <v>-0.39892109999999997</v>
      </c>
      <c r="P1575">
        <v>-0.95987929999999999</v>
      </c>
      <c r="Q1575">
        <v>1.610017E-2</v>
      </c>
      <c r="R1575">
        <v>-0.27995209999999998</v>
      </c>
      <c r="S1575">
        <v>-3.0827330000000002</v>
      </c>
      <c r="T1575">
        <v>-0.2329494</v>
      </c>
      <c r="U1575">
        <v>-0.18258669999999999</v>
      </c>
      <c r="V1575">
        <v>0.126503</v>
      </c>
      <c r="W1575">
        <v>2.1949739999999999E-2</v>
      </c>
      <c r="X1575">
        <v>0.99172340000000003</v>
      </c>
      <c r="Y1575">
        <v>0.34197420000000001</v>
      </c>
      <c r="Z1575">
        <v>4.2227609999999999E-2</v>
      </c>
      <c r="AA1575">
        <v>0.93876000000000004</v>
      </c>
      <c r="AB1575">
        <v>21</v>
      </c>
      <c r="AC1575">
        <v>-14.3447</v>
      </c>
      <c r="AD1575">
        <v>-1.098769366882</v>
      </c>
      <c r="AE1575">
        <v>-0.78500000000002501</v>
      </c>
      <c r="AF1575">
        <v>4.9736405997472097</v>
      </c>
      <c r="AG1575">
        <v>-1.098769366882</v>
      </c>
      <c r="AH1575">
        <v>13.3886510450583</v>
      </c>
      <c r="AI1575">
        <v>94.399130916785097</v>
      </c>
      <c r="AJ1575">
        <v>69.620883254286198</v>
      </c>
      <c r="AK1575">
        <v>14.324816639084499</v>
      </c>
    </row>
    <row r="1576" spans="1:37" x14ac:dyDescent="0.2">
      <c r="A1576" t="str">
        <f>"20200111153638290"</f>
        <v>20200111153638290</v>
      </c>
      <c r="B1576" t="str">
        <f>"1578728198284269"</f>
        <v>1578728198284269</v>
      </c>
      <c r="C1576" t="s">
        <v>37</v>
      </c>
      <c r="D1576">
        <v>6.0117989999999999</v>
      </c>
      <c r="E1576">
        <v>0.58656299999999995</v>
      </c>
      <c r="F1576" t="s">
        <v>45</v>
      </c>
      <c r="G1576">
        <v>-219.9606</v>
      </c>
      <c r="H1576" s="1">
        <v>-1.557749E-6</v>
      </c>
      <c r="I1576">
        <v>285.31470000000002</v>
      </c>
      <c r="J1576">
        <v>-205.57400000000001</v>
      </c>
      <c r="K1576">
        <v>1.098692</v>
      </c>
      <c r="L1576">
        <v>286.02170000000001</v>
      </c>
      <c r="M1576">
        <v>-0.92073400000000005</v>
      </c>
      <c r="N1576">
        <v>0</v>
      </c>
      <c r="O1576">
        <v>-0.39012619999999998</v>
      </c>
      <c r="P1576">
        <v>-0.96237929999999905</v>
      </c>
      <c r="Q1576">
        <v>1.5900350000000001E-2</v>
      </c>
      <c r="R1576">
        <v>-0.27124470000000001</v>
      </c>
      <c r="S1576">
        <v>-3.0810240000000002</v>
      </c>
      <c r="T1576">
        <v>-0.23202899999999901</v>
      </c>
      <c r="U1576">
        <v>-0.16552729999999999</v>
      </c>
      <c r="V1576">
        <v>0.12598909999999999</v>
      </c>
      <c r="W1576">
        <v>2.1354310000000001E-2</v>
      </c>
      <c r="X1576">
        <v>0.99180170000000001</v>
      </c>
      <c r="Y1576">
        <v>0.33817770000000003</v>
      </c>
      <c r="Z1576">
        <v>4.1343280000000003E-2</v>
      </c>
      <c r="AA1576">
        <v>0.940173699999999</v>
      </c>
      <c r="AB1576">
        <v>21</v>
      </c>
      <c r="AC1576">
        <v>-14.3865999999999</v>
      </c>
      <c r="AD1576">
        <v>-1.098693557749</v>
      </c>
      <c r="AE1576">
        <v>-0.70699999999999297</v>
      </c>
      <c r="AF1576">
        <v>4.9330542748778798</v>
      </c>
      <c r="AG1576">
        <v>-1.098693557749</v>
      </c>
      <c r="AH1576">
        <v>13.444171104940001</v>
      </c>
      <c r="AI1576">
        <v>94.387193748331896</v>
      </c>
      <c r="AJ1576">
        <v>69.850455850851105</v>
      </c>
      <c r="AK1576">
        <v>14.362725671391001</v>
      </c>
    </row>
    <row r="1577" spans="1:37" x14ac:dyDescent="0.2">
      <c r="A1577" t="str">
        <f>"20200111153638312"</f>
        <v>20200111153638312</v>
      </c>
      <c r="B1577" t="str">
        <f>"1578728198304765"</f>
        <v>1578728198304765</v>
      </c>
      <c r="C1577" t="s">
        <v>37</v>
      </c>
      <c r="D1577">
        <v>6.0212729999999999</v>
      </c>
      <c r="E1577">
        <v>0.5852193</v>
      </c>
      <c r="F1577" t="s">
        <v>45</v>
      </c>
      <c r="G1577">
        <v>-220.45320000000001</v>
      </c>
      <c r="H1577" s="1">
        <v>-1.2955979999999899E-6</v>
      </c>
      <c r="I1577">
        <v>285.31849999999997</v>
      </c>
      <c r="J1577">
        <v>-205.77879999999999</v>
      </c>
      <c r="K1577">
        <v>1.098614</v>
      </c>
      <c r="L1577">
        <v>285.94639999999998</v>
      </c>
      <c r="M1577">
        <v>-0.92440020000000001</v>
      </c>
      <c r="N1577">
        <v>0</v>
      </c>
      <c r="O1577">
        <v>-0.38136579999999998</v>
      </c>
      <c r="P1577">
        <v>-0.96453770000000005</v>
      </c>
      <c r="Q1577">
        <v>1.5276420000000001E-2</v>
      </c>
      <c r="R1577">
        <v>-0.26350390000000001</v>
      </c>
      <c r="S1577">
        <v>-3.0800169999999998</v>
      </c>
      <c r="T1577">
        <v>-0.22743089999999899</v>
      </c>
      <c r="U1577">
        <v>-0.1455688</v>
      </c>
      <c r="V1577">
        <v>0.1245298</v>
      </c>
      <c r="W1577">
        <v>2.033076E-2</v>
      </c>
      <c r="X1577">
        <v>0.99200759999999899</v>
      </c>
      <c r="Y1577">
        <v>0.33540979999999998</v>
      </c>
      <c r="Z1577">
        <v>3.9851369999999997E-2</v>
      </c>
      <c r="AA1577">
        <v>0.94122899999999998</v>
      </c>
      <c r="AB1577">
        <v>21</v>
      </c>
      <c r="AC1577">
        <v>-14.6744</v>
      </c>
      <c r="AD1577">
        <v>-1.098615295598</v>
      </c>
      <c r="AE1577">
        <v>-0.627900000000011</v>
      </c>
      <c r="AF1577">
        <v>4.9880879439468497</v>
      </c>
      <c r="AG1577">
        <v>-1.098615295598</v>
      </c>
      <c r="AH1577">
        <v>13.727980509424199</v>
      </c>
      <c r="AI1577">
        <v>94.301467876319094</v>
      </c>
      <c r="AJ1577">
        <v>70.031289350650894</v>
      </c>
      <c r="AK1577">
        <v>14.647369244045199</v>
      </c>
    </row>
    <row r="1578" spans="1:37" x14ac:dyDescent="0.2">
      <c r="A1578" t="str">
        <f>"20200111153638335"</f>
        <v>20200111153638335</v>
      </c>
      <c r="B1578" t="str">
        <f>"1578728198324285"</f>
        <v>1578728198324285</v>
      </c>
      <c r="C1578" t="s">
        <v>37</v>
      </c>
      <c r="D1578">
        <v>6.0024649999999999</v>
      </c>
      <c r="E1578">
        <v>0.58379539999999996</v>
      </c>
      <c r="F1578" t="s">
        <v>45</v>
      </c>
      <c r="G1578">
        <v>-220.43270000000001</v>
      </c>
      <c r="H1578" s="1">
        <v>-1.3065459999999999E-6</v>
      </c>
      <c r="I1578">
        <v>285.32330000000002</v>
      </c>
      <c r="J1578">
        <v>-205.98910000000001</v>
      </c>
      <c r="K1578">
        <v>1.0985510000000001</v>
      </c>
      <c r="L1578">
        <v>285.87119999999999</v>
      </c>
      <c r="M1578">
        <v>-0.92801480000000003</v>
      </c>
      <c r="N1578">
        <v>0</v>
      </c>
      <c r="O1578">
        <v>-0.37249120000000002</v>
      </c>
      <c r="P1578">
        <v>-0.96666319999999994</v>
      </c>
      <c r="Q1578">
        <v>1.442356E-2</v>
      </c>
      <c r="R1578">
        <v>-0.25564419999999999</v>
      </c>
      <c r="S1578">
        <v>-3.078201</v>
      </c>
      <c r="T1578">
        <v>-0.23077639999999999</v>
      </c>
      <c r="U1578">
        <v>-0.130889899999999</v>
      </c>
      <c r="V1578">
        <v>0.1230858</v>
      </c>
      <c r="W1578">
        <v>1.9052610000000001E-2</v>
      </c>
      <c r="X1578">
        <v>0.99221309999999996</v>
      </c>
      <c r="Y1578">
        <v>0.33081290000000002</v>
      </c>
      <c r="Z1578">
        <v>3.9677039999999997E-2</v>
      </c>
      <c r="AA1578">
        <v>0.94286190000000003</v>
      </c>
      <c r="AB1578">
        <v>21</v>
      </c>
      <c r="AC1578">
        <v>-14.4436</v>
      </c>
      <c r="AD1578">
        <v>-1.0985523065459999</v>
      </c>
      <c r="AE1578">
        <v>-0.54789999999996997</v>
      </c>
      <c r="AF1578">
        <v>4.8437690736791197</v>
      </c>
      <c r="AG1578">
        <v>-1.0985523065459999</v>
      </c>
      <c r="AH1578">
        <v>13.530070061522499</v>
      </c>
      <c r="AI1578">
        <v>94.371327819743598</v>
      </c>
      <c r="AJ1578">
        <v>70.302617626191704</v>
      </c>
      <c r="AK1578">
        <v>14.4129008835507</v>
      </c>
    </row>
    <row r="1579" spans="1:37" x14ac:dyDescent="0.2">
      <c r="A1579" t="str">
        <f>"20200111153638362"</f>
        <v>20200111153638362</v>
      </c>
      <c r="B1579" t="str">
        <f>"1578728198354541"</f>
        <v>1578728198354541</v>
      </c>
      <c r="C1579" t="s">
        <v>37</v>
      </c>
      <c r="D1579">
        <v>6.0030979999999996</v>
      </c>
      <c r="E1579">
        <v>0.58246290000000001</v>
      </c>
      <c r="F1579" t="s">
        <v>45</v>
      </c>
      <c r="G1579">
        <v>-220.30240000000001</v>
      </c>
      <c r="H1579" s="1">
        <v>-1.37585199999999E-6</v>
      </c>
      <c r="I1579">
        <v>285.32769999999999</v>
      </c>
      <c r="J1579">
        <v>-206.23750000000001</v>
      </c>
      <c r="K1579">
        <v>1.0985100000000001</v>
      </c>
      <c r="L1579">
        <v>285.78469999999999</v>
      </c>
      <c r="M1579">
        <v>-0.93208189999999902</v>
      </c>
      <c r="N1579">
        <v>0</v>
      </c>
      <c r="O1579">
        <v>-0.362203</v>
      </c>
      <c r="P1579">
        <v>-0.96916170000000001</v>
      </c>
      <c r="Q1579">
        <v>1.3761829999999999E-2</v>
      </c>
      <c r="R1579">
        <v>-0.24604179999999901</v>
      </c>
      <c r="S1579">
        <v>-3.0760959999999899</v>
      </c>
      <c r="T1579">
        <v>-0.23609069999999999</v>
      </c>
      <c r="U1579">
        <v>-0.1167908</v>
      </c>
      <c r="V1579">
        <v>0.12193909999999999</v>
      </c>
      <c r="W1579">
        <v>1.7872639999999999E-2</v>
      </c>
      <c r="X1579">
        <v>0.99237659999999905</v>
      </c>
      <c r="Y1579">
        <v>0.3246117</v>
      </c>
      <c r="Z1579">
        <v>3.9647349999999998E-2</v>
      </c>
      <c r="AA1579">
        <v>0.94501599999999997</v>
      </c>
      <c r="AB1579">
        <v>22</v>
      </c>
      <c r="AC1579">
        <v>-14.0648999999999</v>
      </c>
      <c r="AD1579">
        <v>-1.098511375852</v>
      </c>
      <c r="AE1579">
        <v>-0.45699999999999302</v>
      </c>
      <c r="AF1579">
        <v>4.6401873051117102</v>
      </c>
      <c r="AG1579">
        <v>-1.098511375852</v>
      </c>
      <c r="AH1579">
        <v>13.194974442585499</v>
      </c>
      <c r="AI1579">
        <v>94.490650615144304</v>
      </c>
      <c r="AJ1579">
        <v>70.625101685549197</v>
      </c>
      <c r="AK1579">
        <v>14.0301609402701</v>
      </c>
    </row>
    <row r="1580" spans="1:37" x14ac:dyDescent="0.2">
      <c r="A1580" t="str">
        <f>"20200111153638378"</f>
        <v>20200111153638378</v>
      </c>
      <c r="B1580" t="str">
        <f>"1578728198374568"</f>
        <v>1578728198374568</v>
      </c>
      <c r="C1580" t="s">
        <v>37</v>
      </c>
      <c r="D1580">
        <v>6.0330510000000004</v>
      </c>
      <c r="E1580">
        <v>0.56018009999999996</v>
      </c>
      <c r="F1580" t="s">
        <v>45</v>
      </c>
      <c r="G1580">
        <v>-220.2492</v>
      </c>
      <c r="H1580" s="1">
        <v>-1.404177E-6</v>
      </c>
      <c r="I1580">
        <v>285.34350000000001</v>
      </c>
      <c r="J1580">
        <v>-206.40559999999999</v>
      </c>
      <c r="K1580">
        <v>1.0985009999999999</v>
      </c>
      <c r="L1580">
        <v>285.72770000000003</v>
      </c>
      <c r="M1580">
        <v>-0.93469999999999998</v>
      </c>
      <c r="N1580">
        <v>0</v>
      </c>
      <c r="O1580">
        <v>-0.35539809999999999</v>
      </c>
      <c r="P1580">
        <v>-0.97064629999999996</v>
      </c>
      <c r="Q1580">
        <v>1.3616100000000001E-2</v>
      </c>
      <c r="R1580">
        <v>-0.240125799999999</v>
      </c>
      <c r="S1580">
        <v>-3.0743099999999899</v>
      </c>
      <c r="T1580">
        <v>-0.2410254</v>
      </c>
      <c r="U1580">
        <v>-9.6801760000000001E-2</v>
      </c>
      <c r="V1580">
        <v>0.1207488</v>
      </c>
      <c r="W1580">
        <v>1.738396E-2</v>
      </c>
      <c r="X1580">
        <v>0.99253089999999999</v>
      </c>
      <c r="Y1580">
        <v>0.32377059999999902</v>
      </c>
      <c r="Z1580">
        <v>3.9974559999999999E-2</v>
      </c>
      <c r="AA1580">
        <v>0.94529069999999904</v>
      </c>
      <c r="AB1580">
        <v>22</v>
      </c>
      <c r="AC1580">
        <v>-13.8436</v>
      </c>
      <c r="AD1580">
        <v>-1.098502404177</v>
      </c>
      <c r="AE1580">
        <v>-0.38420000000002102</v>
      </c>
      <c r="AF1580">
        <v>4.5324247211183</v>
      </c>
      <c r="AG1580">
        <v>-1.098502404177</v>
      </c>
      <c r="AH1580">
        <v>12.994582290636499</v>
      </c>
      <c r="AI1580">
        <v>94.563641637126594</v>
      </c>
      <c r="AJ1580">
        <v>70.771564716528601</v>
      </c>
      <c r="AK1580">
        <v>13.8061127871936</v>
      </c>
    </row>
    <row r="1581" spans="1:37" x14ac:dyDescent="0.2">
      <c r="A1581" t="str">
        <f>"20200111153638401"</f>
        <v>20200111153638401</v>
      </c>
      <c r="B1581" t="str">
        <f>"1578728198394089"</f>
        <v>1578728198394089</v>
      </c>
      <c r="C1581" t="s">
        <v>37</v>
      </c>
      <c r="D1581">
        <v>5.9338559999999996</v>
      </c>
      <c r="E1581">
        <v>0.5598651</v>
      </c>
      <c r="F1581" t="s">
        <v>45</v>
      </c>
      <c r="G1581">
        <v>-218.2714</v>
      </c>
      <c r="H1581" s="1">
        <v>2.864826E-6</v>
      </c>
      <c r="I1581">
        <v>284.74799999999999</v>
      </c>
      <c r="J1581">
        <v>-206.62200000000001</v>
      </c>
      <c r="K1581">
        <v>1.0984849999999999</v>
      </c>
      <c r="L1581">
        <v>285.65609999999998</v>
      </c>
      <c r="M1581">
        <v>-0.93791219999999997</v>
      </c>
      <c r="N1581">
        <v>0</v>
      </c>
      <c r="O1581">
        <v>-0.34683900000000001</v>
      </c>
      <c r="P1581">
        <v>-0.9722459</v>
      </c>
      <c r="Q1581">
        <v>1.4586500000000001E-2</v>
      </c>
      <c r="R1581">
        <v>-0.23350660000000001</v>
      </c>
      <c r="S1581">
        <v>-3.032715</v>
      </c>
      <c r="T1581">
        <v>-0.28076020000000002</v>
      </c>
      <c r="U1581">
        <v>-0.25039670000000003</v>
      </c>
      <c r="V1581">
        <v>0.11843679999999999</v>
      </c>
      <c r="W1581">
        <v>1.7936049999999999E-2</v>
      </c>
      <c r="X1581">
        <v>0.99279959999999901</v>
      </c>
      <c r="Y1581">
        <v>0.26595259999999998</v>
      </c>
      <c r="Z1581">
        <v>4.3624280000000001E-2</v>
      </c>
      <c r="AA1581">
        <v>0.96299849999999998</v>
      </c>
      <c r="AB1581">
        <v>22</v>
      </c>
      <c r="AC1581">
        <v>-11.649399999999901</v>
      </c>
      <c r="AD1581">
        <v>-1.098482135174</v>
      </c>
      <c r="AE1581">
        <v>-0.90809999999999003</v>
      </c>
      <c r="AF1581">
        <v>3.16085030908663</v>
      </c>
      <c r="AG1581">
        <v>-1.098482135174</v>
      </c>
      <c r="AH1581">
        <v>11.1427324037119</v>
      </c>
      <c r="AI1581">
        <v>95.417773547544897</v>
      </c>
      <c r="AJ1581">
        <v>74.162992389900296</v>
      </c>
      <c r="AK1581">
        <v>11.634350996015201</v>
      </c>
    </row>
    <row r="1582" spans="1:37" x14ac:dyDescent="0.2">
      <c r="A1582" t="str">
        <f>"20200111153638425"</f>
        <v>20200111153638425</v>
      </c>
      <c r="B1582" t="str">
        <f>"1578728198414583"</f>
        <v>1578728198414583</v>
      </c>
      <c r="C1582" t="s">
        <v>37</v>
      </c>
      <c r="D1582">
        <v>5.9529329999999998</v>
      </c>
      <c r="E1582">
        <v>0.55903389999999997</v>
      </c>
      <c r="F1582" t="s">
        <v>45</v>
      </c>
      <c r="G1582">
        <v>-218.84200000000001</v>
      </c>
      <c r="H1582" s="1">
        <v>3.1685030000000001E-6</v>
      </c>
      <c r="I1582">
        <v>284.71910000000003</v>
      </c>
      <c r="J1582">
        <v>-206.85339999999999</v>
      </c>
      <c r="K1582">
        <v>1.098487</v>
      </c>
      <c r="L1582">
        <v>285.58159999999998</v>
      </c>
      <c r="M1582">
        <v>-0.94114419999999899</v>
      </c>
      <c r="N1582">
        <v>0</v>
      </c>
      <c r="O1582">
        <v>-0.33797719999999998</v>
      </c>
      <c r="P1582">
        <v>-0.97374490000000002</v>
      </c>
      <c r="Q1582">
        <v>1.6124429999999999E-2</v>
      </c>
      <c r="R1582">
        <v>-0.22707039999999901</v>
      </c>
      <c r="S1582">
        <v>-3.0338590000000001</v>
      </c>
      <c r="T1582">
        <v>-0.27271990000000002</v>
      </c>
      <c r="U1582">
        <v>-0.2326355</v>
      </c>
      <c r="V1582">
        <v>0.1156404</v>
      </c>
      <c r="W1582">
        <v>1.9055470000000001E-2</v>
      </c>
      <c r="X1582">
        <v>0.99310830000000005</v>
      </c>
      <c r="Y1582">
        <v>0.26268370000000002</v>
      </c>
      <c r="Z1582">
        <v>4.1485330000000001E-2</v>
      </c>
      <c r="AA1582">
        <v>0.96398969999999995</v>
      </c>
      <c r="AB1582">
        <v>22</v>
      </c>
      <c r="AC1582">
        <v>-11.9886</v>
      </c>
      <c r="AD1582">
        <v>-1.098483831497</v>
      </c>
      <c r="AE1582">
        <v>-0.86249999999995397</v>
      </c>
      <c r="AF1582">
        <v>3.2133285563284999</v>
      </c>
      <c r="AG1582">
        <v>-1.098483831497</v>
      </c>
      <c r="AH1582">
        <v>11.4787422914185</v>
      </c>
      <c r="AI1582">
        <v>95.265192018001102</v>
      </c>
      <c r="AJ1582">
        <v>74.361082871524303</v>
      </c>
      <c r="AK1582">
        <v>11.9705334773258</v>
      </c>
    </row>
    <row r="1583" spans="1:37" x14ac:dyDescent="0.2">
      <c r="A1583" t="str">
        <f>"20200111153638446"</f>
        <v>20200111153638446</v>
      </c>
      <c r="B1583" t="str">
        <f>"1578728198434103"</f>
        <v>1578728198434103</v>
      </c>
      <c r="C1583" t="s">
        <v>37</v>
      </c>
      <c r="D1583">
        <v>5.9077830000000002</v>
      </c>
      <c r="E1583">
        <v>0.55870659999999905</v>
      </c>
      <c r="F1583" t="s">
        <v>45</v>
      </c>
      <c r="G1583">
        <v>-219.16849999999999</v>
      </c>
      <c r="H1583" s="1">
        <v>3.34225199999999E-6</v>
      </c>
      <c r="I1583">
        <v>284.69049999999999</v>
      </c>
      <c r="J1583">
        <v>-207.0641</v>
      </c>
      <c r="K1583">
        <v>1.0984969999999901</v>
      </c>
      <c r="L1583">
        <v>285.51549999999997</v>
      </c>
      <c r="M1583">
        <v>-0.94391959999999997</v>
      </c>
      <c r="N1583">
        <v>0</v>
      </c>
      <c r="O1583">
        <v>-0.330152</v>
      </c>
      <c r="P1583">
        <v>-0.97490889999999997</v>
      </c>
      <c r="Q1583">
        <v>1.666757E-2</v>
      </c>
      <c r="R1583">
        <v>-0.22197910000000001</v>
      </c>
      <c r="S1583">
        <v>-3.0341640000000001</v>
      </c>
      <c r="T1583">
        <v>-0.27064149999999998</v>
      </c>
      <c r="U1583">
        <v>-0.2195435</v>
      </c>
      <c r="V1583">
        <v>0.1125795</v>
      </c>
      <c r="W1583">
        <v>1.924379E-2</v>
      </c>
      <c r="X1583">
        <v>0.99345640000000002</v>
      </c>
      <c r="Y1583">
        <v>0.25889679999999998</v>
      </c>
      <c r="Z1583">
        <v>4.0350459999999998E-2</v>
      </c>
      <c r="AA1583">
        <v>0.96506179999999997</v>
      </c>
      <c r="AB1583">
        <v>22</v>
      </c>
      <c r="AC1583">
        <v>-12.104399999999901</v>
      </c>
      <c r="AD1583">
        <v>-1.09849365774799</v>
      </c>
      <c r="AE1583">
        <v>-0.82499999999998797</v>
      </c>
      <c r="AF1583">
        <v>3.19142051319277</v>
      </c>
      <c r="AG1583">
        <v>-1.09849365774799</v>
      </c>
      <c r="AH1583">
        <v>11.6029280018556</v>
      </c>
      <c r="AI1583">
        <v>95.215720421712504</v>
      </c>
      <c r="AJ1583">
        <v>74.620923974453504</v>
      </c>
      <c r="AK1583">
        <v>12.0838649208101</v>
      </c>
    </row>
    <row r="1584" spans="1:37" x14ac:dyDescent="0.2">
      <c r="A1584" t="str">
        <f>"20200111153638468"</f>
        <v>20200111153638468</v>
      </c>
      <c r="B1584" t="str">
        <f>"1578728198464360"</f>
        <v>1578728198464360</v>
      </c>
      <c r="C1584" t="s">
        <v>37</v>
      </c>
      <c r="D1584">
        <v>5.8788339999999897</v>
      </c>
      <c r="E1584">
        <v>0.55784840000000002</v>
      </c>
      <c r="F1584" t="s">
        <v>45</v>
      </c>
      <c r="G1584">
        <v>-219.78129999999999</v>
      </c>
      <c r="H1584" s="1">
        <v>3.6683550000000001E-6</v>
      </c>
      <c r="I1584">
        <v>284.64920000000001</v>
      </c>
      <c r="J1584">
        <v>-207.27330000000001</v>
      </c>
      <c r="K1584">
        <v>1.098511</v>
      </c>
      <c r="L1584">
        <v>285.45150000000001</v>
      </c>
      <c r="M1584">
        <v>-0.94652209999999903</v>
      </c>
      <c r="N1584">
        <v>0</v>
      </c>
      <c r="O1584">
        <v>-0.3226195</v>
      </c>
      <c r="P1584">
        <v>-0.97594609999999904</v>
      </c>
      <c r="Q1584">
        <v>1.7118129999999999E-2</v>
      </c>
      <c r="R1584">
        <v>-0.21733939999999999</v>
      </c>
      <c r="S1584">
        <v>-3.034637</v>
      </c>
      <c r="T1584">
        <v>-0.262127</v>
      </c>
      <c r="U1584">
        <v>-0.2067261</v>
      </c>
      <c r="V1584">
        <v>0.1093828</v>
      </c>
      <c r="W1584">
        <v>1.936821E-2</v>
      </c>
      <c r="X1584">
        <v>0.993811</v>
      </c>
      <c r="Y1584">
        <v>0.25544709999999998</v>
      </c>
      <c r="Z1584">
        <v>3.8325169999999999E-2</v>
      </c>
      <c r="AA1584">
        <v>0.96606309999999995</v>
      </c>
      <c r="AB1584">
        <v>23</v>
      </c>
      <c r="AC1584">
        <v>-12.5079999999999</v>
      </c>
      <c r="AD1584">
        <v>-1.098507331645</v>
      </c>
      <c r="AE1584">
        <v>-0.80230000000000201</v>
      </c>
      <c r="AF1584">
        <v>3.25097817338701</v>
      </c>
      <c r="AG1584">
        <v>-1.098507331645</v>
      </c>
      <c r="AH1584">
        <v>12.005789423083</v>
      </c>
      <c r="AI1584">
        <v>95.047125083469695</v>
      </c>
      <c r="AJ1584">
        <v>74.848554338039193</v>
      </c>
      <c r="AK1584">
        <v>12.4865750753731</v>
      </c>
    </row>
    <row r="1585" spans="1:37" x14ac:dyDescent="0.2">
      <c r="A1585" t="str">
        <f>"20200111153638492"</f>
        <v>20200111153638492</v>
      </c>
      <c r="B1585" t="str">
        <f>"1578728198484390"</f>
        <v>1578728198484390</v>
      </c>
      <c r="C1585" t="s">
        <v>37</v>
      </c>
      <c r="D1585">
        <v>5.8991759999999998</v>
      </c>
      <c r="E1585">
        <v>0.55724149999999995</v>
      </c>
      <c r="F1585" t="s">
        <v>45</v>
      </c>
      <c r="G1585">
        <v>-220.0761</v>
      </c>
      <c r="H1585" s="1">
        <v>-1.496293E-6</v>
      </c>
      <c r="I1585">
        <v>284.6105</v>
      </c>
      <c r="J1585">
        <v>-207.51730000000001</v>
      </c>
      <c r="K1585">
        <v>1.098535</v>
      </c>
      <c r="L1585">
        <v>285.37860000000001</v>
      </c>
      <c r="M1585">
        <v>-0.94937450000000001</v>
      </c>
      <c r="N1585">
        <v>0</v>
      </c>
      <c r="O1585">
        <v>-0.31413039999999998</v>
      </c>
      <c r="P1585">
        <v>-0.97716049999999999</v>
      </c>
      <c r="Q1585">
        <v>1.87072E-2</v>
      </c>
      <c r="R1585">
        <v>-0.2116779</v>
      </c>
      <c r="S1585">
        <v>-3.0341339999999999</v>
      </c>
      <c r="T1585">
        <v>-0.26033590000000001</v>
      </c>
      <c r="U1585">
        <v>-0.1993103</v>
      </c>
      <c r="V1585">
        <v>0.1062451</v>
      </c>
      <c r="W1585">
        <v>2.0604879999999999E-2</v>
      </c>
      <c r="X1585">
        <v>0.99412639999999997</v>
      </c>
      <c r="Y1585">
        <v>0.24920580000000001</v>
      </c>
      <c r="Z1585">
        <v>3.7116980000000001E-2</v>
      </c>
      <c r="AA1585">
        <v>0.96773899999999902</v>
      </c>
      <c r="AB1585">
        <v>23</v>
      </c>
      <c r="AC1585">
        <v>-12.5587999999999</v>
      </c>
      <c r="AD1585">
        <v>-1.098536496293</v>
      </c>
      <c r="AE1585">
        <v>-0.768100000000004</v>
      </c>
      <c r="AF1585">
        <v>3.1915740905707901</v>
      </c>
      <c r="AG1585">
        <v>-1.098536496293</v>
      </c>
      <c r="AH1585">
        <v>12.0723255482048</v>
      </c>
      <c r="AI1585">
        <v>95.027586418291094</v>
      </c>
      <c r="AJ1585">
        <v>75.191446628671798</v>
      </c>
      <c r="AK1585">
        <v>12.535309001023</v>
      </c>
    </row>
    <row r="1586" spans="1:37" x14ac:dyDescent="0.2">
      <c r="A1586" t="str">
        <f>"20200111153638513"</f>
        <v>20200111153638513</v>
      </c>
      <c r="B1586" t="str">
        <f>"1578728198503909"</f>
        <v>1578728198503909</v>
      </c>
      <c r="C1586" t="s">
        <v>37</v>
      </c>
      <c r="D1586">
        <v>6.0011510000000001</v>
      </c>
      <c r="E1586">
        <v>0.5571758</v>
      </c>
      <c r="F1586" t="s">
        <v>45</v>
      </c>
      <c r="G1586">
        <v>-220.5078</v>
      </c>
      <c r="H1586" s="1">
        <v>-1.2665770000000001E-6</v>
      </c>
      <c r="I1586">
        <v>284.57889999999998</v>
      </c>
      <c r="J1586">
        <v>-207.738</v>
      </c>
      <c r="K1586">
        <v>1.098562</v>
      </c>
      <c r="L1586">
        <v>285.31439999999998</v>
      </c>
      <c r="M1586">
        <v>-0.95179609999999903</v>
      </c>
      <c r="N1586">
        <v>0</v>
      </c>
      <c r="O1586">
        <v>-0.30671890000000002</v>
      </c>
      <c r="P1586">
        <v>-0.97800719999999997</v>
      </c>
      <c r="Q1586">
        <v>1.9399050000000001E-2</v>
      </c>
      <c r="R1586">
        <v>-0.20766850000000001</v>
      </c>
      <c r="S1586">
        <v>-3.0345610000000001</v>
      </c>
      <c r="T1586">
        <v>-0.25661649999999903</v>
      </c>
      <c r="U1586">
        <v>-0.18682860000000001</v>
      </c>
      <c r="V1586">
        <v>0.10256709999999999</v>
      </c>
      <c r="W1586">
        <v>2.1023940000000001E-2</v>
      </c>
      <c r="X1586">
        <v>0.9945039</v>
      </c>
      <c r="Y1586">
        <v>0.24572359999999999</v>
      </c>
      <c r="Z1586">
        <v>3.5848089999999999E-2</v>
      </c>
      <c r="AA1586">
        <v>0.9686768</v>
      </c>
      <c r="AB1586">
        <v>23</v>
      </c>
      <c r="AC1586">
        <v>-12.7698</v>
      </c>
      <c r="AD1586">
        <v>-1.098563266577</v>
      </c>
      <c r="AE1586">
        <v>-0.73550000000000104</v>
      </c>
      <c r="AF1586">
        <v>3.1931514461967598</v>
      </c>
      <c r="AG1586">
        <v>-1.098563266577</v>
      </c>
      <c r="AH1586">
        <v>12.289235116485401</v>
      </c>
      <c r="AI1586">
        <v>94.944883355540398</v>
      </c>
      <c r="AJ1586">
        <v>75.434735260024695</v>
      </c>
      <c r="AK1586">
        <v>12.744738410704199</v>
      </c>
    </row>
    <row r="1587" spans="1:37" x14ac:dyDescent="0.2">
      <c r="A1587" t="str">
        <f>"20200111153638536"</f>
        <v>20200111153638536</v>
      </c>
      <c r="B1587" t="str">
        <f>"1578728198524405"</f>
        <v>1578728198524405</v>
      </c>
      <c r="C1587" t="s">
        <v>37</v>
      </c>
      <c r="D1587">
        <v>5.8930369999999996</v>
      </c>
      <c r="E1587">
        <v>0.55906769999999995</v>
      </c>
      <c r="F1587" t="s">
        <v>45</v>
      </c>
      <c r="G1587">
        <v>-220.82830000000001</v>
      </c>
      <c r="H1587" s="1">
        <v>-1.0960190000000001E-6</v>
      </c>
      <c r="I1587">
        <v>284.56119999999999</v>
      </c>
      <c r="J1587">
        <v>-207.9682</v>
      </c>
      <c r="K1587">
        <v>1.0986</v>
      </c>
      <c r="L1587">
        <v>285.24919999999997</v>
      </c>
      <c r="M1587">
        <v>-0.95417280000000004</v>
      </c>
      <c r="N1587">
        <v>0</v>
      </c>
      <c r="O1587">
        <v>-0.29924590000000001</v>
      </c>
      <c r="P1587">
        <v>-0.97899249999999904</v>
      </c>
      <c r="Q1587">
        <v>1.922652E-2</v>
      </c>
      <c r="R1587">
        <v>-0.20298949999999999</v>
      </c>
      <c r="S1587">
        <v>-3.0354459999999999</v>
      </c>
      <c r="T1587">
        <v>-0.25474089999999999</v>
      </c>
      <c r="U1587">
        <v>-0.1746521</v>
      </c>
      <c r="V1587">
        <v>9.9515439999999997E-2</v>
      </c>
      <c r="W1587">
        <v>2.0591539999999998E-2</v>
      </c>
      <c r="X1587">
        <v>0.99482289999999995</v>
      </c>
      <c r="Y1587">
        <v>0.2420786</v>
      </c>
      <c r="Z1587">
        <v>3.4832759999999997E-2</v>
      </c>
      <c r="AA1587">
        <v>0.96963120000000003</v>
      </c>
      <c r="AB1587">
        <v>23</v>
      </c>
      <c r="AC1587">
        <v>-12.860099999999999</v>
      </c>
      <c r="AD1587">
        <v>-1.098601096019</v>
      </c>
      <c r="AE1587">
        <v>-0.68799999999998795</v>
      </c>
      <c r="AF1587">
        <v>3.1688118169706998</v>
      </c>
      <c r="AG1587">
        <v>-1.098601096019</v>
      </c>
      <c r="AH1587">
        <v>12.3865408339389</v>
      </c>
      <c r="AI1587">
        <v>94.911127058778007</v>
      </c>
      <c r="AJ1587">
        <v>75.649965341794399</v>
      </c>
      <c r="AK1587">
        <v>12.832563521385101</v>
      </c>
    </row>
    <row r="1588" spans="1:37" x14ac:dyDescent="0.2">
      <c r="A1588" t="str">
        <f>"20200111153638558"</f>
        <v>20200111153638558</v>
      </c>
      <c r="B1588" t="str">
        <f>"1578728198554662"</f>
        <v>1578728198554662</v>
      </c>
      <c r="C1588" t="s">
        <v>37</v>
      </c>
      <c r="D1588">
        <v>5.8615810000000002</v>
      </c>
      <c r="E1588">
        <v>0.57763409999999904</v>
      </c>
      <c r="F1588" t="s">
        <v>45</v>
      </c>
      <c r="G1588">
        <v>-220.96619999999999</v>
      </c>
      <c r="H1588" s="1">
        <v>-1.0226359999999899E-6</v>
      </c>
      <c r="I1588">
        <v>284.62860000000001</v>
      </c>
      <c r="J1588">
        <v>-208.19919999999999</v>
      </c>
      <c r="K1588">
        <v>1.0986340000000001</v>
      </c>
      <c r="L1588">
        <v>285.18529999999998</v>
      </c>
      <c r="M1588">
        <v>-0.95641880000000001</v>
      </c>
      <c r="N1588">
        <v>0</v>
      </c>
      <c r="O1588">
        <v>-0.29198990000000002</v>
      </c>
      <c r="P1588">
        <v>-0.97995030000000005</v>
      </c>
      <c r="Q1588">
        <v>1.885995E-2</v>
      </c>
      <c r="R1588">
        <v>-0.19834779999999999</v>
      </c>
      <c r="S1588">
        <v>-3.0393219999999999</v>
      </c>
      <c r="T1588">
        <v>-0.2568859</v>
      </c>
      <c r="U1588">
        <v>-0.14511109999999999</v>
      </c>
      <c r="V1588">
        <v>9.6664199999999895E-2</v>
      </c>
      <c r="W1588">
        <v>1.9992269999999999E-2</v>
      </c>
      <c r="X1588">
        <v>0.99511620000000001</v>
      </c>
      <c r="Y1588">
        <v>0.24416889999999999</v>
      </c>
      <c r="Z1588">
        <v>3.4598579999999997E-2</v>
      </c>
      <c r="AA1588">
        <v>0.96911530000000001</v>
      </c>
      <c r="AB1588">
        <v>23</v>
      </c>
      <c r="AC1588">
        <v>-12.7669999999999</v>
      </c>
      <c r="AD1588">
        <v>-1.098635022636</v>
      </c>
      <c r="AE1588">
        <v>-0.55669999999997799</v>
      </c>
      <c r="AF1588">
        <v>3.1719606448659898</v>
      </c>
      <c r="AG1588">
        <v>-1.098635022636</v>
      </c>
      <c r="AH1588">
        <v>12.2824009564597</v>
      </c>
      <c r="AI1588">
        <v>94.949832275619102</v>
      </c>
      <c r="AJ1588">
        <v>75.519608660718802</v>
      </c>
      <c r="AK1588">
        <v>12.732859321487201</v>
      </c>
    </row>
    <row r="1589" spans="1:37" x14ac:dyDescent="0.2">
      <c r="A1589" t="str">
        <f>"20200111153638581"</f>
        <v>20200111153638581</v>
      </c>
      <c r="B1589" t="str">
        <f>"1578728198574616"</f>
        <v>1578728198574616</v>
      </c>
      <c r="C1589" t="s">
        <v>37</v>
      </c>
      <c r="D1589">
        <v>5.9218859999999998</v>
      </c>
      <c r="E1589">
        <v>0.57532839999999996</v>
      </c>
      <c r="F1589" t="s">
        <v>45</v>
      </c>
      <c r="G1589">
        <v>-221.1097</v>
      </c>
      <c r="H1589" s="1">
        <v>-9.4628149999999996E-7</v>
      </c>
      <c r="I1589">
        <v>285.24700000000001</v>
      </c>
      <c r="J1589">
        <v>-208.4417</v>
      </c>
      <c r="K1589">
        <v>1.0986719999999901</v>
      </c>
      <c r="L1589">
        <v>285.12</v>
      </c>
      <c r="M1589">
        <v>-0.95863729999999903</v>
      </c>
      <c r="N1589">
        <v>0</v>
      </c>
      <c r="O1589">
        <v>-0.28462389999999999</v>
      </c>
      <c r="P1589">
        <v>-0.98094530000000002</v>
      </c>
      <c r="Q1589">
        <v>1.8246869999999998E-2</v>
      </c>
      <c r="R1589">
        <v>-0.19342519999999999</v>
      </c>
      <c r="S1589">
        <v>-3.0693820000000001</v>
      </c>
      <c r="T1589">
        <v>-0.26119330000000002</v>
      </c>
      <c r="U1589">
        <v>1.467896E-2</v>
      </c>
      <c r="V1589">
        <v>9.3995010000000004E-2</v>
      </c>
      <c r="W1589">
        <v>1.915797E-2</v>
      </c>
      <c r="X1589">
        <v>0.9953883</v>
      </c>
      <c r="Y1589">
        <v>0.28716019999999998</v>
      </c>
      <c r="Z1589">
        <v>3.6121100000000003E-2</v>
      </c>
      <c r="AA1589">
        <v>0.95720119999999898</v>
      </c>
      <c r="AB1589">
        <v>24</v>
      </c>
      <c r="AC1589">
        <v>-12.667999999999999</v>
      </c>
      <c r="AD1589">
        <v>-1.0986729462814999</v>
      </c>
      <c r="AE1589">
        <v>0.12700000000000899</v>
      </c>
      <c r="AF1589">
        <v>3.6995451384795701</v>
      </c>
      <c r="AG1589">
        <v>-1.0986729462814999</v>
      </c>
      <c r="AH1589">
        <v>12.017508860014299</v>
      </c>
      <c r="AI1589">
        <v>94.993599679028506</v>
      </c>
      <c r="AJ1589">
        <v>72.889213524682603</v>
      </c>
      <c r="AK1589">
        <v>12.621974317636001</v>
      </c>
    </row>
    <row r="1590" spans="1:37" x14ac:dyDescent="0.2">
      <c r="A1590" t="str">
        <f>"20200111153638603"</f>
        <v>20200111153638603</v>
      </c>
      <c r="B1590" t="str">
        <f>"1578728198594136"</f>
        <v>1578728198594136</v>
      </c>
      <c r="C1590" t="s">
        <v>37</v>
      </c>
      <c r="D1590">
        <v>5.9210440000000002</v>
      </c>
      <c r="E1590">
        <v>0.57401740000000001</v>
      </c>
      <c r="F1590" t="s">
        <v>45</v>
      </c>
      <c r="G1590">
        <v>-221.43780000000001</v>
      </c>
      <c r="H1590" s="1">
        <v>-7.7167539999999997E-7</v>
      </c>
      <c r="I1590">
        <v>285.17</v>
      </c>
      <c r="J1590">
        <v>-208.68099999999899</v>
      </c>
      <c r="K1590">
        <v>1.0987049999999901</v>
      </c>
      <c r="L1590">
        <v>285.05720000000002</v>
      </c>
      <c r="M1590">
        <v>-0.96070159999999905</v>
      </c>
      <c r="N1590">
        <v>0</v>
      </c>
      <c r="O1590">
        <v>-0.27757850000000001</v>
      </c>
      <c r="P1590">
        <v>-0.98182380000000002</v>
      </c>
      <c r="Q1590">
        <v>1.7618990000000001E-2</v>
      </c>
      <c r="R1590">
        <v>-0.18897559999999999</v>
      </c>
      <c r="S1590">
        <v>-3.0653990000000002</v>
      </c>
      <c r="T1590">
        <v>-0.25914510000000002</v>
      </c>
      <c r="U1590">
        <v>1.1810299999999999E-2</v>
      </c>
      <c r="V1590">
        <v>9.1190759999999996E-2</v>
      </c>
      <c r="W1590">
        <v>1.8335569999999999E-2</v>
      </c>
      <c r="X1590">
        <v>0.99566469999999896</v>
      </c>
      <c r="Y1590">
        <v>0.27931109999999998</v>
      </c>
      <c r="Z1590">
        <v>3.497753E-2</v>
      </c>
      <c r="AA1590">
        <v>0.95956339999999996</v>
      </c>
      <c r="AB1590">
        <v>24</v>
      </c>
      <c r="AC1590">
        <v>-12.7568</v>
      </c>
      <c r="AD1590">
        <v>-1.0987057716753901</v>
      </c>
      <c r="AE1590">
        <v>0.112799999999992</v>
      </c>
      <c r="AF1590">
        <v>3.6225160569833701</v>
      </c>
      <c r="AG1590">
        <v>-1.0987057716753901</v>
      </c>
      <c r="AH1590">
        <v>12.1341805240036</v>
      </c>
      <c r="AI1590">
        <v>94.958707631714304</v>
      </c>
      <c r="AJ1590">
        <v>73.377627609262603</v>
      </c>
      <c r="AK1590">
        <v>12.7109446519495</v>
      </c>
    </row>
    <row r="1591" spans="1:37" x14ac:dyDescent="0.2">
      <c r="A1591" t="str">
        <f>"20200111153638626"</f>
        <v>20200111153638626</v>
      </c>
      <c r="B1591" t="str">
        <f>"1578728198614634"</f>
        <v>1578728198614634</v>
      </c>
      <c r="C1591" t="s">
        <v>37</v>
      </c>
      <c r="D1591">
        <v>5.8621509999999999</v>
      </c>
      <c r="E1591">
        <v>0.57308559999999997</v>
      </c>
      <c r="F1591" t="s">
        <v>45</v>
      </c>
      <c r="G1591">
        <v>-221.40539999999999</v>
      </c>
      <c r="H1591" s="1">
        <v>-7.8890629999999996E-7</v>
      </c>
      <c r="I1591">
        <v>285.12279999999998</v>
      </c>
      <c r="J1591">
        <v>-208.91980000000001</v>
      </c>
      <c r="K1591">
        <v>1.0987209999999901</v>
      </c>
      <c r="L1591">
        <v>284.99619999999999</v>
      </c>
      <c r="M1591">
        <v>-0.96265590000000001</v>
      </c>
      <c r="N1591">
        <v>0</v>
      </c>
      <c r="O1591">
        <v>-0.27072429999999997</v>
      </c>
      <c r="P1591">
        <v>-0.98297570000000001</v>
      </c>
      <c r="Q1591">
        <v>1.8012529999999999E-2</v>
      </c>
      <c r="R1591">
        <v>-0.1828516</v>
      </c>
      <c r="S1591">
        <v>-3.0633240000000002</v>
      </c>
      <c r="T1591">
        <v>-0.26450770000000001</v>
      </c>
      <c r="U1591">
        <v>1.5777590000000001E-2</v>
      </c>
      <c r="V1591">
        <v>9.0299229999999994E-2</v>
      </c>
      <c r="W1591">
        <v>1.8530560000000001E-2</v>
      </c>
      <c r="X1591">
        <v>0.99574229999999997</v>
      </c>
      <c r="Y1591">
        <v>0.27367199999999903</v>
      </c>
      <c r="Z1591">
        <v>3.4907580000000001E-2</v>
      </c>
      <c r="AA1591">
        <v>0.96118939999999997</v>
      </c>
      <c r="AB1591">
        <v>24</v>
      </c>
      <c r="AC1591">
        <v>-12.4855999999999</v>
      </c>
      <c r="AD1591">
        <v>-1.0987217889062999</v>
      </c>
      <c r="AE1591">
        <v>0.12659999999999599</v>
      </c>
      <c r="AF1591">
        <v>3.47512296296087</v>
      </c>
      <c r="AG1591">
        <v>-1.0987217889062999</v>
      </c>
      <c r="AH1591">
        <v>11.8929866486669</v>
      </c>
      <c r="AI1591">
        <v>95.067502273158098</v>
      </c>
      <c r="AJ1591">
        <v>73.7116716454548</v>
      </c>
      <c r="AK1591">
        <v>12.438922807160001</v>
      </c>
    </row>
    <row r="1592" spans="1:37" x14ac:dyDescent="0.2">
      <c r="A1592" t="str">
        <f>"20200111153638646"</f>
        <v>20200111153638646</v>
      </c>
      <c r="B1592" t="str">
        <f>"1578728198634153"</f>
        <v>1578728198634153</v>
      </c>
      <c r="C1592" t="s">
        <v>37</v>
      </c>
      <c r="D1592">
        <v>5.9242929999999996</v>
      </c>
      <c r="E1592">
        <v>0.57211179999999995</v>
      </c>
      <c r="F1592" t="s">
        <v>45</v>
      </c>
      <c r="G1592">
        <v>-221.5103</v>
      </c>
      <c r="H1592" s="1">
        <v>-7.3308579999999997E-7</v>
      </c>
      <c r="I1592">
        <v>285.10919999999999</v>
      </c>
      <c r="J1592">
        <v>-209.1447</v>
      </c>
      <c r="K1592">
        <v>1.098722</v>
      </c>
      <c r="L1592">
        <v>284.94</v>
      </c>
      <c r="M1592">
        <v>-0.9644083</v>
      </c>
      <c r="N1592">
        <v>0</v>
      </c>
      <c r="O1592">
        <v>-0.26441490000000001</v>
      </c>
      <c r="P1592">
        <v>-0.98384729999999998</v>
      </c>
      <c r="Q1592">
        <v>1.77398E-2</v>
      </c>
      <c r="R1592">
        <v>-0.17812939999999999</v>
      </c>
      <c r="S1592">
        <v>-3.061966</v>
      </c>
      <c r="T1592">
        <v>-0.26720479999999902</v>
      </c>
      <c r="U1592">
        <v>2.7496340000000001E-2</v>
      </c>
      <c r="V1592">
        <v>8.855499E-2</v>
      </c>
      <c r="W1592">
        <v>1.809767E-2</v>
      </c>
      <c r="X1592">
        <v>0.99590689999999904</v>
      </c>
      <c r="Y1592">
        <v>0.27104669999999997</v>
      </c>
      <c r="Z1592">
        <v>3.4631849999999999E-2</v>
      </c>
      <c r="AA1592">
        <v>0.96194299999999999</v>
      </c>
      <c r="AB1592">
        <v>24</v>
      </c>
      <c r="AC1592">
        <v>-12.365600000000001</v>
      </c>
      <c r="AD1592">
        <v>-1.0987227330858</v>
      </c>
      <c r="AE1592">
        <v>0.169199999999989</v>
      </c>
      <c r="AF1592">
        <v>3.4059446509443299</v>
      </c>
      <c r="AG1592">
        <v>-1.0987227330858</v>
      </c>
      <c r="AH1592">
        <v>11.7877113297462</v>
      </c>
      <c r="AI1592">
        <v>95.116968182986795</v>
      </c>
      <c r="AJ1592">
        <v>73.883863945690507</v>
      </c>
      <c r="AK1592">
        <v>12.3190011365744</v>
      </c>
    </row>
    <row r="1593" spans="1:37" x14ac:dyDescent="0.2">
      <c r="A1593" t="str">
        <f>"20200111153638669"</f>
        <v>20200111153638669</v>
      </c>
      <c r="B1593" t="str">
        <f>"1578728198664407"</f>
        <v>1578728198664407</v>
      </c>
      <c r="C1593" t="s">
        <v>37</v>
      </c>
      <c r="D1593">
        <v>5.983034</v>
      </c>
      <c r="E1593">
        <v>0.571042099999999</v>
      </c>
      <c r="F1593" t="s">
        <v>45</v>
      </c>
      <c r="G1593">
        <v>-221.49979999999999</v>
      </c>
      <c r="H1593" s="1">
        <v>-7.3864890000000005E-7</v>
      </c>
      <c r="I1593">
        <v>285.0797</v>
      </c>
      <c r="J1593">
        <v>-209.3904</v>
      </c>
      <c r="K1593">
        <v>1.098714</v>
      </c>
      <c r="L1593">
        <v>284.88029999999998</v>
      </c>
      <c r="M1593">
        <v>-0.96622759999999996</v>
      </c>
      <c r="N1593">
        <v>0</v>
      </c>
      <c r="O1593">
        <v>-0.25768789999999903</v>
      </c>
      <c r="P1593">
        <v>-0.98486989999999996</v>
      </c>
      <c r="Q1593">
        <v>1.7137969999999999E-2</v>
      </c>
      <c r="R1593">
        <v>-0.1724464</v>
      </c>
      <c r="S1593">
        <v>-3.060425</v>
      </c>
      <c r="T1593">
        <v>-0.27215840000000002</v>
      </c>
      <c r="U1593">
        <v>3.4606930000000001E-2</v>
      </c>
      <c r="V1593">
        <v>8.7358060000000001E-2</v>
      </c>
      <c r="W1593">
        <v>1.7335329999999999E-2</v>
      </c>
      <c r="X1593">
        <v>0.99602619999999897</v>
      </c>
      <c r="Y1593">
        <v>0.26654440000000001</v>
      </c>
      <c r="Z1593">
        <v>3.4509390000000001E-2</v>
      </c>
      <c r="AA1593">
        <v>0.96320459999999997</v>
      </c>
      <c r="AB1593">
        <v>25</v>
      </c>
      <c r="AC1593">
        <v>-12.1093999999999</v>
      </c>
      <c r="AD1593">
        <v>-1.0987147386489</v>
      </c>
      <c r="AE1593">
        <v>0.199400000000025</v>
      </c>
      <c r="AF1593">
        <v>3.2860687931929</v>
      </c>
      <c r="AG1593">
        <v>-1.0987147386489</v>
      </c>
      <c r="AH1593">
        <v>11.553969634961099</v>
      </c>
      <c r="AI1593">
        <v>95.226115488585194</v>
      </c>
      <c r="AJ1593">
        <v>74.123698260139193</v>
      </c>
      <c r="AK1593">
        <v>12.0623230149139</v>
      </c>
    </row>
    <row r="1594" spans="1:37" x14ac:dyDescent="0.2">
      <c r="A1594" t="str">
        <f>"20200111153638693"</f>
        <v>20200111153638693</v>
      </c>
      <c r="B1594" t="str">
        <f>"1578728198684436"</f>
        <v>1578728198684436</v>
      </c>
      <c r="C1594" t="s">
        <v>37</v>
      </c>
      <c r="D1594">
        <v>5.9536759999999997</v>
      </c>
      <c r="E1594">
        <v>0.57066260000000002</v>
      </c>
      <c r="F1594" t="s">
        <v>45</v>
      </c>
      <c r="G1594">
        <v>-221.38650000000001</v>
      </c>
      <c r="H1594" s="1">
        <v>-7.9898790000000004E-7</v>
      </c>
      <c r="I1594">
        <v>285.05290000000002</v>
      </c>
      <c r="J1594">
        <v>-209.66130000000001</v>
      </c>
      <c r="K1594">
        <v>1.0987039999999999</v>
      </c>
      <c r="L1594">
        <v>284.81619999999998</v>
      </c>
      <c r="M1594">
        <v>-0.968126499999999</v>
      </c>
      <c r="N1594">
        <v>0</v>
      </c>
      <c r="O1594">
        <v>-0.25046049999999997</v>
      </c>
      <c r="P1594">
        <v>-0.98589689999999996</v>
      </c>
      <c r="Q1594">
        <v>1.7509429999999999E-2</v>
      </c>
      <c r="R1594">
        <v>-0.16643640000000001</v>
      </c>
      <c r="S1594">
        <v>-3.0586549999999999</v>
      </c>
      <c r="T1594">
        <v>-0.28014229999999901</v>
      </c>
      <c r="U1594">
        <v>4.400635E-2</v>
      </c>
      <c r="V1594">
        <v>8.5989309999999999E-2</v>
      </c>
      <c r="W1594">
        <v>1.755369E-2</v>
      </c>
      <c r="X1594">
        <v>0.99614139999999995</v>
      </c>
      <c r="Y1594">
        <v>0.26223170000000001</v>
      </c>
      <c r="Z1594">
        <v>3.4698380000000001E-2</v>
      </c>
      <c r="AA1594">
        <v>0.96438089999999999</v>
      </c>
      <c r="AB1594">
        <v>25</v>
      </c>
      <c r="AC1594">
        <v>-11.725199999999999</v>
      </c>
      <c r="AD1594">
        <v>-1.0987047989879</v>
      </c>
      <c r="AE1594">
        <v>0.23670000000004099</v>
      </c>
      <c r="AF1594">
        <v>3.1383111153397598</v>
      </c>
      <c r="AG1594">
        <v>-1.0987047989879</v>
      </c>
      <c r="AH1594">
        <v>11.193947395010699</v>
      </c>
      <c r="AI1594">
        <v>95.398859888109499</v>
      </c>
      <c r="AJ1594">
        <v>74.3387421805418</v>
      </c>
      <c r="AK1594">
        <v>11.677354459561901</v>
      </c>
    </row>
    <row r="1595" spans="1:37" x14ac:dyDescent="0.2">
      <c r="A1595" t="str">
        <f>"20200111153638715"</f>
        <v>20200111153638715</v>
      </c>
      <c r="B1595" t="str">
        <f>"1578728198703958"</f>
        <v>1578728198703958</v>
      </c>
      <c r="C1595" t="s">
        <v>37</v>
      </c>
      <c r="D1595">
        <v>5.9631499999999997</v>
      </c>
      <c r="E1595">
        <v>0.5624614</v>
      </c>
      <c r="F1595" t="s">
        <v>45</v>
      </c>
      <c r="G1595">
        <v>-221.5804</v>
      </c>
      <c r="H1595" s="1">
        <v>-6.9576210000000003E-7</v>
      </c>
      <c r="I1595">
        <v>285.04880000000003</v>
      </c>
      <c r="J1595">
        <v>-209.90299999999999</v>
      </c>
      <c r="K1595">
        <v>1.098698</v>
      </c>
      <c r="L1595">
        <v>284.76069999999999</v>
      </c>
      <c r="M1595">
        <v>-0.96973359999999997</v>
      </c>
      <c r="N1595">
        <v>0</v>
      </c>
      <c r="O1595">
        <v>-0.2441642</v>
      </c>
      <c r="P1595">
        <v>-0.98687899999999995</v>
      </c>
      <c r="Q1595">
        <v>1.7857230000000002E-2</v>
      </c>
      <c r="R1595">
        <v>-0.16047120000000001</v>
      </c>
      <c r="S1595">
        <v>-3.0579990000000001</v>
      </c>
      <c r="T1595">
        <v>-0.28188659999999999</v>
      </c>
      <c r="U1595">
        <v>5.9661869999999999E-2</v>
      </c>
      <c r="V1595">
        <v>8.5540469999999993E-2</v>
      </c>
      <c r="W1595">
        <v>1.777633E-2</v>
      </c>
      <c r="X1595">
        <v>0.99617610000000001</v>
      </c>
      <c r="Y1595">
        <v>0.26090679999999999</v>
      </c>
      <c r="Z1595">
        <v>3.4296449999999999E-2</v>
      </c>
      <c r="AA1595">
        <v>0.96475460000000002</v>
      </c>
      <c r="AB1595">
        <v>25</v>
      </c>
      <c r="AC1595">
        <v>-11.6774</v>
      </c>
      <c r="AD1595">
        <v>-1.0986986957620899</v>
      </c>
      <c r="AE1595">
        <v>0.28810000000004199</v>
      </c>
      <c r="AF1595">
        <v>3.10313051343369</v>
      </c>
      <c r="AG1595">
        <v>-1.0986986957620899</v>
      </c>
      <c r="AH1595">
        <v>11.1549379625956</v>
      </c>
      <c r="AI1595">
        <v>95.420631012322303</v>
      </c>
      <c r="AJ1595">
        <v>74.454258664391702</v>
      </c>
      <c r="AK1595">
        <v>11.630528739349201</v>
      </c>
    </row>
    <row r="1596" spans="1:37" x14ac:dyDescent="0.2">
      <c r="A1596" t="str">
        <f>"20200111153638737"</f>
        <v>20200111153638737</v>
      </c>
      <c r="B1596" t="str">
        <f>"1578728198724451"</f>
        <v>1578728198724451</v>
      </c>
      <c r="C1596" t="s">
        <v>37</v>
      </c>
      <c r="D1596">
        <v>5.9681139999999999</v>
      </c>
      <c r="E1596">
        <v>0.56291159999999996</v>
      </c>
      <c r="F1596" t="s">
        <v>45</v>
      </c>
      <c r="G1596">
        <v>-221.02070000000001</v>
      </c>
      <c r="H1596" s="1">
        <v>-9.9364879999999904E-7</v>
      </c>
      <c r="I1596">
        <v>284.81110000000001</v>
      </c>
      <c r="J1596">
        <v>-210.14850000000001</v>
      </c>
      <c r="K1596">
        <v>1.0986929999999999</v>
      </c>
      <c r="L1596">
        <v>284.70569999999998</v>
      </c>
      <c r="M1596">
        <v>-0.97128930000000002</v>
      </c>
      <c r="N1596">
        <v>0</v>
      </c>
      <c r="O1596">
        <v>-0.23790029999999901</v>
      </c>
      <c r="P1596">
        <v>-0.98773799999999901</v>
      </c>
      <c r="Q1596">
        <v>1.816357E-2</v>
      </c>
      <c r="R1596">
        <v>-0.1550617</v>
      </c>
      <c r="S1596">
        <v>-3.047577</v>
      </c>
      <c r="T1596">
        <v>-0.30117630000000001</v>
      </c>
      <c r="U1596">
        <v>1.382446E-2</v>
      </c>
      <c r="V1596">
        <v>8.4569270000000002E-2</v>
      </c>
      <c r="W1596">
        <v>1.7978480000000002E-2</v>
      </c>
      <c r="X1596">
        <v>0.99625540000000001</v>
      </c>
      <c r="Y1596">
        <v>0.23999229999999899</v>
      </c>
      <c r="Z1596">
        <v>3.5114920000000001E-2</v>
      </c>
      <c r="AA1596">
        <v>0.97013950000000004</v>
      </c>
      <c r="AB1596">
        <v>25</v>
      </c>
      <c r="AC1596">
        <v>-10.8721999999999</v>
      </c>
      <c r="AD1596">
        <v>-1.0986939936487901</v>
      </c>
      <c r="AE1596">
        <v>0.105400000000031</v>
      </c>
      <c r="AF1596">
        <v>2.6616950979027898</v>
      </c>
      <c r="AG1596">
        <v>-1.0986939936487901</v>
      </c>
      <c r="AH1596">
        <v>10.428492023576799</v>
      </c>
      <c r="AI1596">
        <v>95.828703076103494</v>
      </c>
      <c r="AJ1596">
        <v>75.681915080536498</v>
      </c>
      <c r="AK1596">
        <v>10.8187427722303</v>
      </c>
    </row>
    <row r="1597" spans="1:37" x14ac:dyDescent="0.2">
      <c r="A1597" t="str">
        <f>"20200111153638759"</f>
        <v>20200111153638759</v>
      </c>
      <c r="B1597" t="str">
        <f>"1578728198754708"</f>
        <v>1578728198754708</v>
      </c>
      <c r="C1597" t="s">
        <v>37</v>
      </c>
      <c r="D1597">
        <v>6.0037519999999898</v>
      </c>
      <c r="E1597">
        <v>0.56283190000000005</v>
      </c>
      <c r="F1597" t="s">
        <v>45</v>
      </c>
      <c r="G1597">
        <v>-221.7637</v>
      </c>
      <c r="H1597" s="1">
        <v>-5.9825280000000005E-7</v>
      </c>
      <c r="I1597">
        <v>284.83499999999998</v>
      </c>
      <c r="J1597">
        <v>-210.40190000000001</v>
      </c>
      <c r="K1597">
        <v>1.098684</v>
      </c>
      <c r="L1597">
        <v>284.65050000000002</v>
      </c>
      <c r="M1597">
        <v>-0.97282119999999905</v>
      </c>
      <c r="N1597">
        <v>0</v>
      </c>
      <c r="O1597">
        <v>-0.23155709999999999</v>
      </c>
      <c r="P1597">
        <v>-0.98852369999999901</v>
      </c>
      <c r="Q1597">
        <v>1.9003630000000001E-2</v>
      </c>
      <c r="R1597">
        <v>-0.14986669999999999</v>
      </c>
      <c r="S1597">
        <v>-3.0478669999999899</v>
      </c>
      <c r="T1597">
        <v>-0.28830159999999899</v>
      </c>
      <c r="U1597">
        <v>3.3935550000000002E-2</v>
      </c>
      <c r="V1597">
        <v>8.33097E-2</v>
      </c>
      <c r="W1597">
        <v>1.8729849999999999E-2</v>
      </c>
      <c r="X1597">
        <v>0.99634769999999995</v>
      </c>
      <c r="Y1597">
        <v>0.24028070000000001</v>
      </c>
      <c r="Z1597">
        <v>3.3048580000000001E-2</v>
      </c>
      <c r="AA1597">
        <v>0.97014069999999997</v>
      </c>
      <c r="AB1597">
        <v>26</v>
      </c>
      <c r="AC1597">
        <v>-11.361799999999899</v>
      </c>
      <c r="AD1597">
        <v>-1.0986845982528</v>
      </c>
      <c r="AE1597">
        <v>0.184499999999957</v>
      </c>
      <c r="AF1597">
        <v>2.7843619531980499</v>
      </c>
      <c r="AG1597">
        <v>-1.0986845982528</v>
      </c>
      <c r="AH1597">
        <v>10.9083036627531</v>
      </c>
      <c r="AI1597">
        <v>95.573901523835005</v>
      </c>
      <c r="AJ1597">
        <v>75.6809135443755</v>
      </c>
      <c r="AK1597">
        <v>11.311536948252799</v>
      </c>
    </row>
    <row r="1598" spans="1:37" x14ac:dyDescent="0.2">
      <c r="A1598" t="str">
        <f>"20200111153638782"</f>
        <v>20200111153638782</v>
      </c>
      <c r="B1598" t="str">
        <f>"1578728198774736"</f>
        <v>1578728198774736</v>
      </c>
      <c r="C1598" t="s">
        <v>37</v>
      </c>
      <c r="D1598">
        <v>5.9996710000000002</v>
      </c>
      <c r="E1598">
        <v>0.56193389999999999</v>
      </c>
      <c r="F1598" t="s">
        <v>45</v>
      </c>
      <c r="G1598">
        <v>-222.3672</v>
      </c>
      <c r="H1598" s="1">
        <v>-2.7706179999999999E-7</v>
      </c>
      <c r="I1598">
        <v>284.8451</v>
      </c>
      <c r="J1598">
        <v>-210.6669</v>
      </c>
      <c r="K1598">
        <v>1.098668</v>
      </c>
      <c r="L1598">
        <v>284.59460000000001</v>
      </c>
      <c r="M1598">
        <v>-0.97434929999999997</v>
      </c>
      <c r="N1598">
        <v>0</v>
      </c>
      <c r="O1598">
        <v>-0.2250404</v>
      </c>
      <c r="P1598">
        <v>-0.98921680000000001</v>
      </c>
      <c r="Q1598">
        <v>1.9803129999999999E-2</v>
      </c>
      <c r="R1598">
        <v>-0.14511309999999999</v>
      </c>
      <c r="S1598">
        <v>-3.0477449999999999</v>
      </c>
      <c r="T1598">
        <v>-0.27985019999999999</v>
      </c>
      <c r="U1598">
        <v>4.9560550000000002E-2</v>
      </c>
      <c r="V1598">
        <v>8.1434110000000004E-2</v>
      </c>
      <c r="W1598">
        <v>1.9460229999999999E-2</v>
      </c>
      <c r="X1598">
        <v>0.99648869999999901</v>
      </c>
      <c r="Y1598">
        <v>0.23891219999999999</v>
      </c>
      <c r="Z1598">
        <v>3.1439120000000001E-2</v>
      </c>
      <c r="AA1598">
        <v>0.97053210000000001</v>
      </c>
      <c r="AB1598">
        <v>26</v>
      </c>
      <c r="AC1598">
        <v>-11.7003</v>
      </c>
      <c r="AD1598">
        <v>-1.0986682770617999</v>
      </c>
      <c r="AE1598">
        <v>0.25049999999998801</v>
      </c>
      <c r="AF1598">
        <v>2.8519796212999999</v>
      </c>
      <c r="AG1598">
        <v>-1.0986682770617999</v>
      </c>
      <c r="AH1598">
        <v>11.2447046491005</v>
      </c>
      <c r="AI1598">
        <v>95.410159777904099</v>
      </c>
      <c r="AJ1598">
        <v>75.768245940164107</v>
      </c>
      <c r="AK1598">
        <v>11.652649586632</v>
      </c>
    </row>
    <row r="1599" spans="1:37" x14ac:dyDescent="0.2">
      <c r="A1599" t="str">
        <f>"20200111153638804"</f>
        <v>20200111153638804</v>
      </c>
      <c r="B1599" t="str">
        <f>"1578728198794256"</f>
        <v>1578728198794256</v>
      </c>
      <c r="C1599" t="s">
        <v>37</v>
      </c>
      <c r="D1599">
        <v>5.9382999999999999</v>
      </c>
      <c r="E1599">
        <v>0.56179080000000003</v>
      </c>
      <c r="F1599" t="s">
        <v>45</v>
      </c>
      <c r="G1599">
        <v>-222.464</v>
      </c>
      <c r="H1599" s="1">
        <v>-2.2555889999999899E-7</v>
      </c>
      <c r="I1599">
        <v>284.81709999999998</v>
      </c>
      <c r="J1599">
        <v>-210.923</v>
      </c>
      <c r="K1599">
        <v>1.098641</v>
      </c>
      <c r="L1599">
        <v>284.5421</v>
      </c>
      <c r="M1599">
        <v>-0.97576240000000003</v>
      </c>
      <c r="N1599">
        <v>0</v>
      </c>
      <c r="O1599">
        <v>-0.21883249999999899</v>
      </c>
      <c r="P1599">
        <v>-0.98987700000000001</v>
      </c>
      <c r="Q1599">
        <v>2.082355E-2</v>
      </c>
      <c r="R1599">
        <v>-0.14039279999999901</v>
      </c>
      <c r="S1599">
        <v>-3.046799</v>
      </c>
      <c r="T1599">
        <v>-0.28375009999999901</v>
      </c>
      <c r="U1599">
        <v>5.7464599999999998E-2</v>
      </c>
      <c r="V1599">
        <v>7.984977E-2</v>
      </c>
      <c r="W1599">
        <v>2.04242E-2</v>
      </c>
      <c r="X1599">
        <v>0.99659759999999997</v>
      </c>
      <c r="Y1599">
        <v>0.23523930000000001</v>
      </c>
      <c r="Z1599">
        <v>3.1149059999999999E-2</v>
      </c>
      <c r="AA1599">
        <v>0.97143819999999903</v>
      </c>
      <c r="AB1599">
        <v>26</v>
      </c>
      <c r="AC1599">
        <v>-11.541</v>
      </c>
      <c r="AD1599">
        <v>-1.0986412255589</v>
      </c>
      <c r="AE1599">
        <v>0.27499999999997699</v>
      </c>
      <c r="AF1599">
        <v>2.7688039362564099</v>
      </c>
      <c r="AG1599">
        <v>-1.0986412255589</v>
      </c>
      <c r="AH1599">
        <v>11.100558966496999</v>
      </c>
      <c r="AI1599">
        <v>95.485267393368801</v>
      </c>
      <c r="AJ1599">
        <v>75.994539391555705</v>
      </c>
      <c r="AK1599">
        <v>11.4932892223507</v>
      </c>
    </row>
    <row r="1600" spans="1:37" x14ac:dyDescent="0.2">
      <c r="A1600" t="str">
        <f>"20200111153638825"</f>
        <v>20200111153638825</v>
      </c>
      <c r="B1600" t="str">
        <f>"1578728198814755"</f>
        <v>1578728198814755</v>
      </c>
      <c r="C1600" t="s">
        <v>37</v>
      </c>
      <c r="D1600">
        <v>5.944267</v>
      </c>
      <c r="E1600">
        <v>0.56156130000000004</v>
      </c>
      <c r="F1600" t="s">
        <v>45</v>
      </c>
      <c r="G1600">
        <v>-222.7276</v>
      </c>
      <c r="H1600" s="1">
        <v>-8.5306649999999906E-8</v>
      </c>
      <c r="I1600">
        <v>284.81779999999998</v>
      </c>
      <c r="J1600">
        <v>-211.18099999999899</v>
      </c>
      <c r="K1600">
        <v>1.0986039999999999</v>
      </c>
      <c r="L1600">
        <v>284.49079999999998</v>
      </c>
      <c r="M1600">
        <v>-0.97713090000000002</v>
      </c>
      <c r="N1600">
        <v>0</v>
      </c>
      <c r="O1600">
        <v>-0.21263859999999901</v>
      </c>
      <c r="P1600">
        <v>-0.99045380000000005</v>
      </c>
      <c r="Q1600">
        <v>2.1543739999999999E-2</v>
      </c>
      <c r="R1600">
        <v>-0.13615160000000001</v>
      </c>
      <c r="S1600">
        <v>-3.0467070000000001</v>
      </c>
      <c r="T1600">
        <v>-0.2835531</v>
      </c>
      <c r="U1600">
        <v>7.1136469999999993E-2</v>
      </c>
      <c r="V1600">
        <v>7.7801850000000006E-2</v>
      </c>
      <c r="W1600">
        <v>2.1103070000000002E-2</v>
      </c>
      <c r="X1600">
        <v>0.99674549999999995</v>
      </c>
      <c r="Y1600">
        <v>0.2334706</v>
      </c>
      <c r="Z1600">
        <v>3.0481979999999999E-2</v>
      </c>
      <c r="AA1600">
        <v>0.97188600000000003</v>
      </c>
      <c r="AB1600">
        <v>26</v>
      </c>
      <c r="AC1600">
        <v>-11.5466</v>
      </c>
      <c r="AD1600">
        <v>-1.0986040853066501</v>
      </c>
      <c r="AE1600">
        <v>0.32699999999999801</v>
      </c>
      <c r="AF1600">
        <v>2.7499008532182598</v>
      </c>
      <c r="AG1600">
        <v>-1.0986040853066501</v>
      </c>
      <c r="AH1600">
        <v>11.112490485530101</v>
      </c>
      <c r="AI1600">
        <v>95.481739191907295</v>
      </c>
      <c r="AJ1600">
        <v>76.100789567961499</v>
      </c>
      <c r="AK1600">
        <v>11.5002752327838</v>
      </c>
    </row>
    <row r="1601" spans="1:37" x14ac:dyDescent="0.2">
      <c r="A1601" t="str">
        <f>"20200111153638848"</f>
        <v>20200111153638848</v>
      </c>
      <c r="B1601" t="str">
        <f>"1578728198844033"</f>
        <v>1578728198844033</v>
      </c>
      <c r="C1601" t="s">
        <v>37</v>
      </c>
      <c r="D1601">
        <v>5.9464569999999997</v>
      </c>
      <c r="E1601">
        <v>0.561056</v>
      </c>
      <c r="F1601" t="s">
        <v>45</v>
      </c>
      <c r="G1601">
        <v>-222.9847</v>
      </c>
      <c r="H1601" s="1">
        <v>5.1497549999999998E-8</v>
      </c>
      <c r="I1601">
        <v>284.81099999999998</v>
      </c>
      <c r="J1601">
        <v>-211.4461</v>
      </c>
      <c r="K1601">
        <v>1.0985510000000001</v>
      </c>
      <c r="L1601">
        <v>284.43979999999999</v>
      </c>
      <c r="M1601">
        <v>-0.97848279999999999</v>
      </c>
      <c r="N1601">
        <v>0</v>
      </c>
      <c r="O1601">
        <v>-0.20632909999999999</v>
      </c>
      <c r="P1601">
        <v>-0.99097829999999998</v>
      </c>
      <c r="Q1601">
        <v>2.232756E-2</v>
      </c>
      <c r="R1601">
        <v>-0.13215070000000001</v>
      </c>
      <c r="S1601">
        <v>-3.0464319999999998</v>
      </c>
      <c r="T1601">
        <v>-0.28354179999999901</v>
      </c>
      <c r="U1601">
        <v>8.2641599999999996E-2</v>
      </c>
      <c r="V1601">
        <v>7.5401650000000001E-2</v>
      </c>
      <c r="W1601">
        <v>2.1858679999999998E-2</v>
      </c>
      <c r="X1601">
        <v>0.99691359999999996</v>
      </c>
      <c r="Y1601">
        <v>0.23090579999999999</v>
      </c>
      <c r="Z1601">
        <v>2.9788289999999999E-2</v>
      </c>
      <c r="AA1601">
        <v>0.97252000000000005</v>
      </c>
      <c r="AB1601">
        <v>27</v>
      </c>
      <c r="AC1601">
        <v>-11.538600000000001</v>
      </c>
      <c r="AD1601">
        <v>-1.0985509485024501</v>
      </c>
      <c r="AE1601">
        <v>0.37119999999998698</v>
      </c>
      <c r="AF1601">
        <v>2.719337968299</v>
      </c>
      <c r="AG1601">
        <v>-1.0985509485024501</v>
      </c>
      <c r="AH1601">
        <v>11.1131023355326</v>
      </c>
      <c r="AI1601">
        <v>95.484670355807907</v>
      </c>
      <c r="AJ1601">
        <v>76.250101533536196</v>
      </c>
      <c r="AK1601">
        <v>11.4935919838973</v>
      </c>
    </row>
    <row r="1602" spans="1:37" x14ac:dyDescent="0.2">
      <c r="A1602" t="str">
        <f>"20200111153638869"</f>
        <v>20200111153638869</v>
      </c>
      <c r="B1602" t="str">
        <f>"1578728198864527"</f>
        <v>1578728198864527</v>
      </c>
      <c r="C1602" t="s">
        <v>37</v>
      </c>
      <c r="D1602">
        <v>5.9536829999999998</v>
      </c>
      <c r="E1602">
        <v>0.5607972</v>
      </c>
      <c r="F1602" t="s">
        <v>45</v>
      </c>
      <c r="G1602">
        <v>-223.24680000000001</v>
      </c>
      <c r="H1602" s="1">
        <v>1.90996E-7</v>
      </c>
      <c r="I1602">
        <v>284.79250000000002</v>
      </c>
      <c r="J1602">
        <v>-211.7045</v>
      </c>
      <c r="K1602">
        <v>1.098495</v>
      </c>
      <c r="L1602">
        <v>284.39170000000001</v>
      </c>
      <c r="M1602">
        <v>-0.97975129999999999</v>
      </c>
      <c r="N1602">
        <v>0</v>
      </c>
      <c r="O1602">
        <v>-0.20021810000000001</v>
      </c>
      <c r="P1602">
        <v>-0.99140509999999904</v>
      </c>
      <c r="Q1602">
        <v>2.2519790000000001E-2</v>
      </c>
      <c r="R1602">
        <v>-0.1288753</v>
      </c>
      <c r="S1602">
        <v>-3.0458369999999899</v>
      </c>
      <c r="T1602">
        <v>-0.28354249999999998</v>
      </c>
      <c r="U1602">
        <v>9.1033939999999994E-2</v>
      </c>
      <c r="V1602">
        <v>7.2477040000000006E-2</v>
      </c>
      <c r="W1602">
        <v>2.2038889999999998E-2</v>
      </c>
      <c r="X1602">
        <v>0.99712659999999997</v>
      </c>
      <c r="Y1602">
        <v>0.2275567</v>
      </c>
      <c r="Z1602">
        <v>2.9079569999999999E-2</v>
      </c>
      <c r="AA1602">
        <v>0.97333060000000005</v>
      </c>
      <c r="AB1602">
        <v>27</v>
      </c>
      <c r="AC1602">
        <v>-11.542299999999999</v>
      </c>
      <c r="AD1602">
        <v>-1.0984948090040001</v>
      </c>
      <c r="AE1602">
        <v>0.40080000000000299</v>
      </c>
      <c r="AF1602">
        <v>2.67942203295978</v>
      </c>
      <c r="AG1602">
        <v>-1.0984948090040001</v>
      </c>
      <c r="AH1602">
        <v>11.1276684322186</v>
      </c>
      <c r="AI1602">
        <v>95.482134753794895</v>
      </c>
      <c r="AJ1602">
        <v>76.461520936685005</v>
      </c>
      <c r="AK1602">
        <v>11.4983041364156</v>
      </c>
    </row>
    <row r="1603" spans="1:37" x14ac:dyDescent="0.2">
      <c r="A1603" t="str">
        <f>"20200111153638895"</f>
        <v>20200111153638895</v>
      </c>
      <c r="B1603" t="str">
        <f>"1578728198884557"</f>
        <v>1578728198884557</v>
      </c>
      <c r="C1603" t="s">
        <v>37</v>
      </c>
      <c r="D1603">
        <v>5.9860829999999998</v>
      </c>
      <c r="E1603">
        <v>0.5604749</v>
      </c>
      <c r="F1603" t="s">
        <v>45</v>
      </c>
      <c r="G1603">
        <v>-223.47309999999999</v>
      </c>
      <c r="H1603" s="1">
        <v>3.1141439999999998E-7</v>
      </c>
      <c r="I1603">
        <v>284.77539999999999</v>
      </c>
      <c r="J1603">
        <v>-212.00890000000001</v>
      </c>
      <c r="K1603">
        <v>1.098425</v>
      </c>
      <c r="L1603">
        <v>284.33699999999999</v>
      </c>
      <c r="M1603">
        <v>-0.98118689999999997</v>
      </c>
      <c r="N1603">
        <v>0</v>
      </c>
      <c r="O1603">
        <v>-0.1930608</v>
      </c>
      <c r="P1603">
        <v>-0.99195049999999996</v>
      </c>
      <c r="Q1603">
        <v>2.312604E-2</v>
      </c>
      <c r="R1603">
        <v>-0.1244975</v>
      </c>
      <c r="S1603">
        <v>-3.04536399999999</v>
      </c>
      <c r="T1603">
        <v>-0.28425729999999999</v>
      </c>
      <c r="U1603">
        <v>9.9273680000000003E-2</v>
      </c>
      <c r="V1603">
        <v>6.960653E-2</v>
      </c>
      <c r="W1603">
        <v>2.2636219999999999E-2</v>
      </c>
      <c r="X1603">
        <v>0.99731769999999997</v>
      </c>
      <c r="Y1603">
        <v>0.2231243</v>
      </c>
      <c r="Z1603">
        <v>2.8293249999999999E-2</v>
      </c>
      <c r="AA1603">
        <v>0.97437929999999995</v>
      </c>
      <c r="AB1603">
        <v>27</v>
      </c>
      <c r="AC1603">
        <v>-11.4641999999999</v>
      </c>
      <c r="AD1603">
        <v>-1.0984246885855999</v>
      </c>
      <c r="AE1603">
        <v>0.43840000000000101</v>
      </c>
      <c r="AF1603">
        <v>2.6194278801200901</v>
      </c>
      <c r="AG1603">
        <v>-1.0984246885855999</v>
      </c>
      <c r="AH1603">
        <v>11.062476193737</v>
      </c>
      <c r="AI1603">
        <v>95.518852320616702</v>
      </c>
      <c r="AJ1603">
        <v>76.678569557570995</v>
      </c>
      <c r="AK1603">
        <v>11.421309852755201</v>
      </c>
    </row>
    <row r="1604" spans="1:37" x14ac:dyDescent="0.2">
      <c r="A1604" t="str">
        <f>"20200111153638916"</f>
        <v>20200111153638916</v>
      </c>
      <c r="B1604" t="str">
        <f>"1578728198904077"</f>
        <v>1578728198904077</v>
      </c>
      <c r="C1604" t="s">
        <v>37</v>
      </c>
      <c r="D1604">
        <v>5.9675690000000001</v>
      </c>
      <c r="E1604">
        <v>0.55619589999999997</v>
      </c>
      <c r="F1604" t="s">
        <v>45</v>
      </c>
      <c r="G1604">
        <v>-223.8152</v>
      </c>
      <c r="H1604" s="1">
        <v>4.9349639999999998E-7</v>
      </c>
      <c r="I1604">
        <v>284.76350000000002</v>
      </c>
      <c r="J1604">
        <v>-212.2775</v>
      </c>
      <c r="K1604">
        <v>1.0983620000000001</v>
      </c>
      <c r="L1604">
        <v>284.29050000000001</v>
      </c>
      <c r="M1604">
        <v>-0.98240019999999995</v>
      </c>
      <c r="N1604">
        <v>0</v>
      </c>
      <c r="O1604">
        <v>-0.18678800000000001</v>
      </c>
      <c r="P1604">
        <v>-0.99244429999999995</v>
      </c>
      <c r="Q1604">
        <v>2.3662760000000001E-2</v>
      </c>
      <c r="R1604">
        <v>-0.1203921</v>
      </c>
      <c r="S1604">
        <v>-3.0447389999999999</v>
      </c>
      <c r="T1604">
        <v>-0.2832732</v>
      </c>
      <c r="U1604">
        <v>0.1099854</v>
      </c>
      <c r="V1604">
        <v>6.7367060000000006E-2</v>
      </c>
      <c r="W1604">
        <v>2.316965E-2</v>
      </c>
      <c r="X1604">
        <v>0.99745919999999899</v>
      </c>
      <c r="Y1604">
        <v>0.22037849999999901</v>
      </c>
      <c r="Z1604">
        <v>2.7498890000000002E-2</v>
      </c>
      <c r="AA1604">
        <v>0.97502670000000002</v>
      </c>
      <c r="AB1604">
        <v>27</v>
      </c>
      <c r="AC1604">
        <v>-11.537699999999999</v>
      </c>
      <c r="AD1604">
        <v>-1.0983615065036001</v>
      </c>
      <c r="AE1604">
        <v>0.47300000000001302</v>
      </c>
      <c r="AF1604">
        <v>2.5962897008859702</v>
      </c>
      <c r="AG1604">
        <v>-1.0983615065036001</v>
      </c>
      <c r="AH1604">
        <v>11.145451436535399</v>
      </c>
      <c r="AI1604">
        <v>95.482357471526001</v>
      </c>
      <c r="AJ1604">
        <v>76.887019503684897</v>
      </c>
      <c r="AK1604">
        <v>11.4964431862235</v>
      </c>
    </row>
    <row r="1605" spans="1:37" x14ac:dyDescent="0.2">
      <c r="A1605" t="str">
        <f>"20200111153638938"</f>
        <v>20200111153638938</v>
      </c>
      <c r="B1605" t="str">
        <f>"1578728198934333"</f>
        <v>1578728198934333</v>
      </c>
      <c r="C1605" t="s">
        <v>37</v>
      </c>
      <c r="D1605">
        <v>5.9591609999999999</v>
      </c>
      <c r="E1605">
        <v>0.55820700000000001</v>
      </c>
      <c r="F1605" t="s">
        <v>38</v>
      </c>
      <c r="G1605">
        <v>-213.0403</v>
      </c>
      <c r="H1605">
        <v>1.0164010000000001</v>
      </c>
      <c r="I1605">
        <v>284.31290000000001</v>
      </c>
      <c r="J1605">
        <v>-212.53880000000001</v>
      </c>
      <c r="K1605">
        <v>1.098314</v>
      </c>
      <c r="L1605">
        <v>284.24689999999998</v>
      </c>
      <c r="M1605">
        <v>-0.98353219999999997</v>
      </c>
      <c r="N1605">
        <v>0</v>
      </c>
      <c r="O1605">
        <v>-0.180733</v>
      </c>
      <c r="P1605">
        <v>-0.99288359999999998</v>
      </c>
      <c r="Q1605">
        <v>2.512754E-2</v>
      </c>
      <c r="R1605">
        <v>-0.1164087</v>
      </c>
      <c r="S1605">
        <v>-3.041382</v>
      </c>
      <c r="T1605">
        <v>-0.32668469999999999</v>
      </c>
      <c r="U1605">
        <v>8.8592530000000003E-2</v>
      </c>
      <c r="V1605">
        <v>6.5237649999999994E-2</v>
      </c>
      <c r="W1605">
        <v>2.463694E-2</v>
      </c>
      <c r="X1605">
        <v>0.99756559999999905</v>
      </c>
      <c r="Y1605">
        <v>0.20707049999999999</v>
      </c>
      <c r="Z1605">
        <v>3.0372360000000001E-2</v>
      </c>
      <c r="AA1605">
        <v>0.97785449999999996</v>
      </c>
      <c r="AB1605">
        <v>27</v>
      </c>
      <c r="AC1605">
        <v>-0.50149999999999295</v>
      </c>
      <c r="AD1605">
        <v>-8.1912999999999903E-2</v>
      </c>
      <c r="AE1605">
        <v>6.6000000000030895E-2</v>
      </c>
      <c r="AF1605">
        <v>0.151575735333805</v>
      </c>
      <c r="AG1605">
        <v>-8.1912999999999903E-2</v>
      </c>
      <c r="AH1605">
        <v>0.46901340458808899</v>
      </c>
      <c r="AI1605">
        <v>99.435546433429394</v>
      </c>
      <c r="AJ1605">
        <v>72.0902068209936</v>
      </c>
      <c r="AK1605">
        <v>0.49965840010380502</v>
      </c>
    </row>
    <row r="1606" spans="1:37" x14ac:dyDescent="0.2">
      <c r="A1606" t="str">
        <f>"20200111153638960"</f>
        <v>20200111153638960</v>
      </c>
      <c r="B1606" t="str">
        <f>"1578728198953853"</f>
        <v>1578728198953853</v>
      </c>
      <c r="C1606" t="s">
        <v>37</v>
      </c>
      <c r="D1606">
        <v>6.0539690000000004</v>
      </c>
      <c r="E1606">
        <v>0.55720400000000003</v>
      </c>
      <c r="F1606" t="s">
        <v>38</v>
      </c>
      <c r="G1606">
        <v>-213.28890000000001</v>
      </c>
      <c r="H1606">
        <v>1.0203260000000001</v>
      </c>
      <c r="I1606">
        <v>284.27530000000002</v>
      </c>
      <c r="J1606">
        <v>-212.80779999999999</v>
      </c>
      <c r="K1606">
        <v>1.098276</v>
      </c>
      <c r="L1606">
        <v>284.20359999999999</v>
      </c>
      <c r="M1606">
        <v>-0.98464529999999995</v>
      </c>
      <c r="N1606">
        <v>0</v>
      </c>
      <c r="O1606">
        <v>-0.17456759999999999</v>
      </c>
      <c r="P1606">
        <v>-0.99318819999999997</v>
      </c>
      <c r="Q1606">
        <v>2.727957E-2</v>
      </c>
      <c r="R1606">
        <v>-0.1132843</v>
      </c>
      <c r="S1606">
        <v>-3.0430450000000002</v>
      </c>
      <c r="T1606">
        <v>-0.31653989999999999</v>
      </c>
      <c r="U1606">
        <v>0.1155701</v>
      </c>
      <c r="V1606">
        <v>6.2142389999999999E-2</v>
      </c>
      <c r="W1606">
        <v>2.680869E-2</v>
      </c>
      <c r="X1606">
        <v>0.99770720000000002</v>
      </c>
      <c r="Y1606">
        <v>0.209743399999999</v>
      </c>
      <c r="Z1606">
        <v>2.8923689999999998E-2</v>
      </c>
      <c r="AA1606">
        <v>0.97732849999999905</v>
      </c>
      <c r="AB1606">
        <v>28</v>
      </c>
      <c r="AC1606">
        <v>-0.48110000000002601</v>
      </c>
      <c r="AD1606">
        <v>-7.7949999999999894E-2</v>
      </c>
      <c r="AE1606">
        <v>7.1700000000021094E-2</v>
      </c>
      <c r="AF1606">
        <v>0.15071298302536501</v>
      </c>
      <c r="AG1606">
        <v>-7.7949999999999894E-2</v>
      </c>
      <c r="AH1606">
        <v>0.449648640107215</v>
      </c>
      <c r="AI1606">
        <v>99.334251917671594</v>
      </c>
      <c r="AJ1606">
        <v>71.469906833167499</v>
      </c>
      <c r="AK1606">
        <v>0.480598070431698</v>
      </c>
    </row>
    <row r="1607" spans="1:37" x14ac:dyDescent="0.2">
      <c r="A1607" t="str">
        <f>"20200111153639071"</f>
        <v>20200111153639071</v>
      </c>
      <c r="B1607" t="str">
        <f>"1578728199064648"</f>
        <v>1578728199064648</v>
      </c>
      <c r="C1607" t="s">
        <v>37</v>
      </c>
      <c r="D1607">
        <v>5.7703790000000001</v>
      </c>
      <c r="E1607">
        <v>0.5436048</v>
      </c>
      <c r="F1607" t="s">
        <v>38</v>
      </c>
      <c r="G1607">
        <v>-214.73650000000001</v>
      </c>
      <c r="H1607">
        <v>0.82497540000000003</v>
      </c>
      <c r="I1607">
        <v>284.13040000000001</v>
      </c>
      <c r="J1607">
        <v>-214.23939999999999</v>
      </c>
      <c r="K1607">
        <v>1.0982959999999999</v>
      </c>
      <c r="L1607">
        <v>284.00009999999997</v>
      </c>
      <c r="M1607">
        <v>-0.98966430000000005</v>
      </c>
      <c r="N1607">
        <v>0</v>
      </c>
      <c r="O1607">
        <v>-0.1434039</v>
      </c>
      <c r="P1607">
        <v>-0.99443890000000001</v>
      </c>
      <c r="Q1607">
        <v>3.6934549999999997E-2</v>
      </c>
      <c r="R1607">
        <v>-9.8627629999999994E-2</v>
      </c>
      <c r="S1607">
        <v>-3.0923769999999999</v>
      </c>
      <c r="T1607">
        <v>-1.0603559999999901</v>
      </c>
      <c r="U1607">
        <v>0.35327150000000002</v>
      </c>
      <c r="V1607">
        <v>4.5415730000000001E-2</v>
      </c>
      <c r="W1607">
        <v>3.6634649999999998E-2</v>
      </c>
      <c r="X1607">
        <v>0.99829619999999997</v>
      </c>
      <c r="Y1607">
        <v>0.23348730000000001</v>
      </c>
      <c r="Z1607">
        <v>8.6433620000000003E-2</v>
      </c>
      <c r="AA1607">
        <v>0.96851069999999995</v>
      </c>
      <c r="AB1607">
        <v>29</v>
      </c>
      <c r="AC1607">
        <v>-0.49710000000001697</v>
      </c>
      <c r="AD1607">
        <v>-0.27332059999999903</v>
      </c>
      <c r="AE1607">
        <v>0.130300000000033</v>
      </c>
      <c r="AF1607">
        <v>0.15608607505279901</v>
      </c>
      <c r="AG1607">
        <v>-0.27332059999999903</v>
      </c>
      <c r="AH1607">
        <v>0.368917952377464</v>
      </c>
      <c r="AI1607">
        <v>124.306277652547</v>
      </c>
      <c r="AJ1607">
        <v>67.067187848735898</v>
      </c>
      <c r="AK1607">
        <v>0.48494068585356798</v>
      </c>
    </row>
    <row r="1608" spans="1:37" x14ac:dyDescent="0.2">
      <c r="A1608" t="str">
        <f>"20200111153639095"</f>
        <v>20200111153639095</v>
      </c>
      <c r="B1608" t="str">
        <f>"1578728199084674"</f>
        <v>1578728199084674</v>
      </c>
      <c r="C1608" t="s">
        <v>37</v>
      </c>
      <c r="D1608">
        <v>8.5962829999999997</v>
      </c>
      <c r="E1608">
        <v>0.54213149999999999</v>
      </c>
      <c r="F1608" t="s">
        <v>38</v>
      </c>
      <c r="G1608">
        <v>-215.07230000000001</v>
      </c>
      <c r="H1608">
        <v>1.034098</v>
      </c>
      <c r="I1608">
        <v>284.0145</v>
      </c>
      <c r="J1608">
        <v>-214.54589999999999</v>
      </c>
      <c r="K1608">
        <v>1.0983510000000001</v>
      </c>
      <c r="L1608">
        <v>283.96179999999998</v>
      </c>
      <c r="M1608">
        <v>-0.99054310000000001</v>
      </c>
      <c r="N1608">
        <v>0</v>
      </c>
      <c r="O1608">
        <v>-0.13720160000000001</v>
      </c>
      <c r="P1608">
        <v>-0.99475720000000001</v>
      </c>
      <c r="Q1608">
        <v>3.8306670000000001E-2</v>
      </c>
      <c r="R1608">
        <v>-9.4817879999999993E-2</v>
      </c>
      <c r="S1608">
        <v>-3.0306090000000001</v>
      </c>
      <c r="T1608">
        <v>-0.23344200000000001</v>
      </c>
      <c r="U1608">
        <v>5.1849369999999999E-2</v>
      </c>
      <c r="V1608">
        <v>4.2989079999999999E-2</v>
      </c>
      <c r="W1608">
        <v>3.8039870000000003E-2</v>
      </c>
      <c r="X1608">
        <v>0.99835110000000005</v>
      </c>
      <c r="Y1608">
        <v>0.15326699999999999</v>
      </c>
      <c r="Z1608">
        <v>1.6423739999999999E-2</v>
      </c>
      <c r="AA1608">
        <v>0.98804829999999999</v>
      </c>
      <c r="AB1608">
        <v>29</v>
      </c>
      <c r="AC1608">
        <v>-0.52640000000002296</v>
      </c>
      <c r="AD1608">
        <v>-6.4253000000000102E-2</v>
      </c>
      <c r="AE1608">
        <v>5.27000000000157E-2</v>
      </c>
      <c r="AF1608">
        <v>0.12261583288043899</v>
      </c>
      <c r="AG1608">
        <v>-6.4253000000000102E-2</v>
      </c>
      <c r="AH1608">
        <v>0.50671676558883805</v>
      </c>
      <c r="AI1608">
        <v>97.026022423635098</v>
      </c>
      <c r="AJ1608">
        <v>76.396993488049802</v>
      </c>
      <c r="AK1608">
        <v>0.52528560898884102</v>
      </c>
    </row>
    <row r="1609" spans="1:37" x14ac:dyDescent="0.2">
      <c r="A1609" t="str">
        <f>"20200111153639116"</f>
        <v>20200111153639116</v>
      </c>
      <c r="B1609" t="str">
        <f>"1578728199113955"</f>
        <v>1578728199113955</v>
      </c>
      <c r="C1609" t="s">
        <v>37</v>
      </c>
      <c r="D1609">
        <v>5.7631550000000002</v>
      </c>
      <c r="E1609">
        <v>0.54010190000000002</v>
      </c>
      <c r="F1609" t="s">
        <v>45</v>
      </c>
      <c r="G1609">
        <v>-235.65899999999999</v>
      </c>
      <c r="H1609" s="1">
        <v>1.4876660000000001E-6</v>
      </c>
      <c r="I1609">
        <v>284.31810000000002</v>
      </c>
      <c r="J1609">
        <v>-214.83599999999899</v>
      </c>
      <c r="K1609">
        <v>1.098425</v>
      </c>
      <c r="L1609">
        <v>283.9271</v>
      </c>
      <c r="M1609">
        <v>-0.99131130000000001</v>
      </c>
      <c r="N1609">
        <v>0</v>
      </c>
      <c r="O1609">
        <v>-0.13153809999999999</v>
      </c>
      <c r="P1609">
        <v>-0.99501059999999997</v>
      </c>
      <c r="Q1609">
        <v>3.9661420000000003E-2</v>
      </c>
      <c r="R1609">
        <v>-9.1548030000000002E-2</v>
      </c>
      <c r="S1609">
        <v>-3.0267330000000001</v>
      </c>
      <c r="T1609">
        <v>-0.1574574</v>
      </c>
      <c r="U1609">
        <v>5.1086430000000002E-2</v>
      </c>
      <c r="V1609">
        <v>4.056539E-2</v>
      </c>
      <c r="W1609">
        <v>3.9429279999999997E-2</v>
      </c>
      <c r="X1609">
        <v>0.99839859999999903</v>
      </c>
      <c r="Y1609">
        <v>0.14787159999999999</v>
      </c>
      <c r="Z1609">
        <v>1.0668189999999999E-2</v>
      </c>
      <c r="AA1609">
        <v>0.98894910000000003</v>
      </c>
      <c r="AB1609">
        <v>29</v>
      </c>
      <c r="AC1609">
        <v>-20.823</v>
      </c>
      <c r="AD1609">
        <v>-1.098423512334</v>
      </c>
      <c r="AE1609">
        <v>0.391000000000019</v>
      </c>
      <c r="AF1609">
        <v>3.11794701701066</v>
      </c>
      <c r="AG1609">
        <v>-1.098423512334</v>
      </c>
      <c r="AH1609">
        <v>20.533523301426499</v>
      </c>
      <c r="AI1609">
        <v>93.027432989177896</v>
      </c>
      <c r="AJ1609">
        <v>81.365784715027402</v>
      </c>
      <c r="AK1609">
        <v>20.797925545197099</v>
      </c>
    </row>
    <row r="1610" spans="1:37" x14ac:dyDescent="0.2">
      <c r="A1610" t="str">
        <f>"20200111153639138"</f>
        <v>20200111153639138</v>
      </c>
      <c r="B1610" t="str">
        <f>"1578728199134451"</f>
        <v>1578728199134451</v>
      </c>
      <c r="C1610" t="s">
        <v>37</v>
      </c>
      <c r="D1610">
        <v>6.3600110000000001</v>
      </c>
      <c r="E1610">
        <v>0.54015740000000001</v>
      </c>
      <c r="F1610" t="s">
        <v>45</v>
      </c>
      <c r="G1610">
        <v>-247.5369</v>
      </c>
      <c r="H1610" s="1">
        <v>2.4739920000000001E-6</v>
      </c>
      <c r="I1610">
        <v>284.40899999999999</v>
      </c>
      <c r="J1610">
        <v>-215.11240000000001</v>
      </c>
      <c r="K1610">
        <v>1.0985119999999999</v>
      </c>
      <c r="L1610">
        <v>283.8954</v>
      </c>
      <c r="M1610">
        <v>-0.99198569999999997</v>
      </c>
      <c r="N1610">
        <v>0</v>
      </c>
      <c r="O1610">
        <v>-0.1263505</v>
      </c>
      <c r="P1610">
        <v>-0.99516819999999895</v>
      </c>
      <c r="Q1610">
        <v>4.067892E-2</v>
      </c>
      <c r="R1610">
        <v>-8.9363330000000005E-2</v>
      </c>
      <c r="S1610">
        <v>-3.023193</v>
      </c>
      <c r="T1610">
        <v>-0.10154879999999999</v>
      </c>
      <c r="U1610">
        <v>4.4555659999999997E-2</v>
      </c>
      <c r="V1610">
        <v>3.7531780000000001E-2</v>
      </c>
      <c r="W1610">
        <v>4.0488919999999998E-2</v>
      </c>
      <c r="X1610">
        <v>0.9984748</v>
      </c>
      <c r="Y1610">
        <v>0.1408046</v>
      </c>
      <c r="Z1610">
        <v>6.5991409999999898E-3</v>
      </c>
      <c r="AA1610">
        <v>0.99001539999999999</v>
      </c>
      <c r="AB1610">
        <v>29</v>
      </c>
      <c r="AC1610">
        <v>-32.424499999999902</v>
      </c>
      <c r="AD1610">
        <v>-1.098509526008</v>
      </c>
      <c r="AE1610">
        <v>0.51359999999999595</v>
      </c>
      <c r="AF1610">
        <v>4.6010557588621097</v>
      </c>
      <c r="AG1610">
        <v>-1.098509526008</v>
      </c>
      <c r="AH1610">
        <v>32.062953272410503</v>
      </c>
      <c r="AI1610">
        <v>91.942362777306201</v>
      </c>
      <c r="AJ1610">
        <v>81.833766100177399</v>
      </c>
      <c r="AK1610">
        <v>32.410020207085097</v>
      </c>
    </row>
    <row r="1611" spans="1:37" x14ac:dyDescent="0.2">
      <c r="A1611" t="str">
        <f>"20200111153639173"</f>
        <v>20200111153639173</v>
      </c>
      <c r="B1611" t="str">
        <f>"1578728199164707"</f>
        <v>1578728199164707</v>
      </c>
      <c r="C1611" t="s">
        <v>37</v>
      </c>
      <c r="D1611">
        <v>5.7349379999999996</v>
      </c>
      <c r="E1611">
        <v>0.53775759999999995</v>
      </c>
      <c r="F1611" t="s">
        <v>48</v>
      </c>
      <c r="G1611">
        <v>-301.87220000000002</v>
      </c>
      <c r="H1611" s="1">
        <v>3.5670170000000002E-6</v>
      </c>
      <c r="I1611">
        <v>285.36540000000002</v>
      </c>
      <c r="J1611">
        <v>-215.57650000000001</v>
      </c>
      <c r="K1611">
        <v>1.0986879999999899</v>
      </c>
      <c r="L1611">
        <v>283.84519999999998</v>
      </c>
      <c r="M1611">
        <v>-0.99299530000000003</v>
      </c>
      <c r="N1611">
        <v>0</v>
      </c>
      <c r="O1611">
        <v>-0.1181545</v>
      </c>
      <c r="P1611">
        <v>-0.99567569999999905</v>
      </c>
      <c r="Q1611">
        <v>3.9731460000000003E-2</v>
      </c>
      <c r="R1611">
        <v>-8.3971340000000005E-2</v>
      </c>
      <c r="S1611">
        <v>-3.0207060000000001</v>
      </c>
      <c r="T1611">
        <v>-3.8246629999999997E-2</v>
      </c>
      <c r="U1611">
        <v>5.1177979999999998E-2</v>
      </c>
      <c r="V1611">
        <v>3.4670840000000001E-2</v>
      </c>
      <c r="W1611">
        <v>3.9589850000000003E-2</v>
      </c>
      <c r="X1611">
        <v>0.99861429999999995</v>
      </c>
      <c r="Y1611">
        <v>0.13493859999999999</v>
      </c>
      <c r="Z1611">
        <v>2.3477559999999999E-3</v>
      </c>
      <c r="AA1611">
        <v>0.99085119999999904</v>
      </c>
      <c r="AB1611">
        <v>30</v>
      </c>
      <c r="AC1611">
        <v>-86.295699999999997</v>
      </c>
      <c r="AD1611">
        <v>-1.0986844329829999</v>
      </c>
      <c r="AE1611">
        <v>1.52020000000004</v>
      </c>
      <c r="AF1611">
        <v>11.7038793097942</v>
      </c>
      <c r="AG1611">
        <v>-1.0986844329829999</v>
      </c>
      <c r="AH1611">
        <v>85.497745159459697</v>
      </c>
      <c r="AI1611">
        <v>90.729433954943701</v>
      </c>
      <c r="AJ1611">
        <v>82.2051670543988</v>
      </c>
      <c r="AK1611">
        <v>86.302099196563105</v>
      </c>
    </row>
    <row r="1612" spans="1:37" x14ac:dyDescent="0.2">
      <c r="A1612" t="str">
        <f>"20200111153639194"</f>
        <v>20200111153639194</v>
      </c>
      <c r="B1612" t="str">
        <f>"1578728199184737"</f>
        <v>1578728199184737</v>
      </c>
      <c r="C1612" t="s">
        <v>37</v>
      </c>
      <c r="D1612">
        <v>8.4188309999999902</v>
      </c>
      <c r="E1612">
        <v>0.53672369999999903</v>
      </c>
      <c r="F1612" t="s">
        <v>45</v>
      </c>
      <c r="G1612">
        <v>-276.12520000000001</v>
      </c>
      <c r="H1612" s="1">
        <v>1.7135239999999901E-6</v>
      </c>
      <c r="I1612">
        <v>284.82679999999999</v>
      </c>
      <c r="J1612">
        <v>-215.87719999999999</v>
      </c>
      <c r="K1612">
        <v>1.0988100000000001</v>
      </c>
      <c r="L1612">
        <v>283.81420000000003</v>
      </c>
      <c r="M1612">
        <v>-0.99357830000000003</v>
      </c>
      <c r="N1612">
        <v>0</v>
      </c>
      <c r="O1612">
        <v>-0.1131465</v>
      </c>
      <c r="P1612">
        <v>-0.99593089999999995</v>
      </c>
      <c r="Q1612">
        <v>3.9807549999999997E-2</v>
      </c>
      <c r="R1612">
        <v>-8.0852830000000001E-2</v>
      </c>
      <c r="S1612">
        <v>-3.0193629999999998</v>
      </c>
      <c r="T1612">
        <v>-5.4787870000000002E-2</v>
      </c>
      <c r="U1612">
        <v>4.8950199999999902E-2</v>
      </c>
      <c r="V1612">
        <v>3.2751549999999997E-2</v>
      </c>
      <c r="W1612">
        <v>3.9699909999999998E-2</v>
      </c>
      <c r="X1612">
        <v>0.99867479999999997</v>
      </c>
      <c r="Y1612">
        <v>0.1291977</v>
      </c>
      <c r="Z1612">
        <v>3.2219670000000001E-3</v>
      </c>
      <c r="AA1612">
        <v>0.99161359999999998</v>
      </c>
      <c r="AB1612">
        <v>30</v>
      </c>
      <c r="AC1612">
        <v>-60.247999999999998</v>
      </c>
      <c r="AD1612">
        <v>-1.098808286476</v>
      </c>
      <c r="AE1612">
        <v>1.01259999999996</v>
      </c>
      <c r="AF1612">
        <v>7.82034731048235</v>
      </c>
      <c r="AG1612">
        <v>-1.098808286476</v>
      </c>
      <c r="AH1612">
        <v>59.726673064492097</v>
      </c>
      <c r="AI1612">
        <v>91.045049403207301</v>
      </c>
      <c r="AJ1612">
        <v>82.540379580549498</v>
      </c>
      <c r="AK1612">
        <v>60.246499375977997</v>
      </c>
    </row>
    <row r="1613" spans="1:37" x14ac:dyDescent="0.2">
      <c r="A1613" t="str">
        <f>"20200111153639215"</f>
        <v>20200111153639215</v>
      </c>
      <c r="B1613" t="str">
        <f>"1578728199204257"</f>
        <v>1578728199204257</v>
      </c>
      <c r="C1613" t="s">
        <v>37</v>
      </c>
      <c r="D1613">
        <v>5.6852869999999998</v>
      </c>
      <c r="E1613">
        <v>0.5348889</v>
      </c>
      <c r="F1613" t="s">
        <v>45</v>
      </c>
      <c r="G1613">
        <v>-263.52690000000001</v>
      </c>
      <c r="H1613" s="1">
        <v>3.400396E-7</v>
      </c>
      <c r="I1613">
        <v>284.61130000000003</v>
      </c>
      <c r="J1613">
        <v>-216.17519999999999</v>
      </c>
      <c r="K1613">
        <v>1.0989370000000001</v>
      </c>
      <c r="L1613">
        <v>283.78480000000002</v>
      </c>
      <c r="M1613">
        <v>-0.9941044</v>
      </c>
      <c r="N1613">
        <v>0</v>
      </c>
      <c r="O1613">
        <v>-0.1084271</v>
      </c>
      <c r="P1613">
        <v>-0.99616399999999905</v>
      </c>
      <c r="Q1613">
        <v>4.1832279999999999E-2</v>
      </c>
      <c r="R1613">
        <v>-7.6861139999999994E-2</v>
      </c>
      <c r="S1613">
        <v>-3.0191189999999999</v>
      </c>
      <c r="T1613">
        <v>-6.9621440000000007E-2</v>
      </c>
      <c r="U1613">
        <v>5.0506589999999997E-2</v>
      </c>
      <c r="V1613">
        <v>3.2009719999999998E-2</v>
      </c>
      <c r="W1613">
        <v>4.174862E-2</v>
      </c>
      <c r="X1613">
        <v>0.99861529999999998</v>
      </c>
      <c r="Y1613">
        <v>0.12497799999999901</v>
      </c>
      <c r="Z1613">
        <v>3.9374290000000001E-3</v>
      </c>
      <c r="AA1613">
        <v>0.99215169999999997</v>
      </c>
      <c r="AB1613">
        <v>30</v>
      </c>
      <c r="AC1613">
        <v>-47.351700000000001</v>
      </c>
      <c r="AD1613">
        <v>-1.0989366599604</v>
      </c>
      <c r="AE1613">
        <v>0.82650000000001</v>
      </c>
      <c r="AF1613">
        <v>5.9526296476033798</v>
      </c>
      <c r="AG1613">
        <v>-1.0989366599604</v>
      </c>
      <c r="AH1613">
        <v>46.957634323232398</v>
      </c>
      <c r="AI1613">
        <v>91.329992952971907</v>
      </c>
      <c r="AJ1613">
        <v>82.775379928418701</v>
      </c>
      <c r="AK1613">
        <v>47.346181289926101</v>
      </c>
    </row>
    <row r="1614" spans="1:37" x14ac:dyDescent="0.2">
      <c r="A1614" t="str">
        <f>"20200111153639239"</f>
        <v>20200111153639239</v>
      </c>
      <c r="B1614" t="str">
        <f>"1578728199234509"</f>
        <v>1578728199234509</v>
      </c>
      <c r="C1614" t="s">
        <v>37</v>
      </c>
      <c r="D1614">
        <v>5.6653979999999997</v>
      </c>
      <c r="E1614">
        <v>0.53295839999999906</v>
      </c>
      <c r="F1614" t="s">
        <v>45</v>
      </c>
      <c r="G1614">
        <v>-258.07389999999998</v>
      </c>
      <c r="H1614" s="1">
        <v>2.75975199999999E-6</v>
      </c>
      <c r="I1614">
        <v>284.44639999999998</v>
      </c>
      <c r="J1614">
        <v>-216.4819</v>
      </c>
      <c r="K1614">
        <v>1.0990869999999999</v>
      </c>
      <c r="L1614">
        <v>283.75569999999999</v>
      </c>
      <c r="M1614">
        <v>-0.9945948</v>
      </c>
      <c r="N1614">
        <v>0</v>
      </c>
      <c r="O1614">
        <v>-0.1038336</v>
      </c>
      <c r="P1614">
        <v>-0.99649929999999998</v>
      </c>
      <c r="Q1614">
        <v>4.2949750000000002E-2</v>
      </c>
      <c r="R1614">
        <v>-7.1727669999999993E-2</v>
      </c>
      <c r="S1614">
        <v>-3.0185550000000001</v>
      </c>
      <c r="T1614">
        <v>-7.9171660000000005E-2</v>
      </c>
      <c r="U1614">
        <v>4.7668460000000003E-2</v>
      </c>
      <c r="V1614">
        <v>3.2532640000000002E-2</v>
      </c>
      <c r="W1614">
        <v>4.2881030000000001E-2</v>
      </c>
      <c r="X1614">
        <v>0.99855039999999995</v>
      </c>
      <c r="Y1614">
        <v>0.119448499999999</v>
      </c>
      <c r="Z1614">
        <v>4.285713E-3</v>
      </c>
      <c r="AA1614">
        <v>0.99283120000000002</v>
      </c>
      <c r="AB1614">
        <v>30</v>
      </c>
      <c r="AC1614">
        <v>-41.591999999999899</v>
      </c>
      <c r="AD1614">
        <v>-1.0990842402480001</v>
      </c>
      <c r="AE1614">
        <v>0.69069999999999199</v>
      </c>
      <c r="AF1614">
        <v>5.0021211165677899</v>
      </c>
      <c r="AG1614">
        <v>-1.0990842402480001</v>
      </c>
      <c r="AH1614">
        <v>41.266655668376799</v>
      </c>
      <c r="AI1614">
        <v>91.514557755186502</v>
      </c>
      <c r="AJ1614">
        <v>83.088632973065899</v>
      </c>
      <c r="AK1614">
        <v>41.583242681209299</v>
      </c>
    </row>
    <row r="1615" spans="1:37" x14ac:dyDescent="0.2">
      <c r="A1615" t="str">
        <f>"20200111153639260"</f>
        <v>20200111153639260</v>
      </c>
      <c r="B1615" t="str">
        <f>"1578728199254030"</f>
        <v>1578728199254030</v>
      </c>
      <c r="C1615" t="s">
        <v>37</v>
      </c>
      <c r="D1615">
        <v>5.6564860000000001</v>
      </c>
      <c r="E1615">
        <v>0.53177430000000003</v>
      </c>
      <c r="F1615" t="s">
        <v>45</v>
      </c>
      <c r="G1615">
        <v>-248.5821</v>
      </c>
      <c r="H1615" s="1">
        <v>3.030162E-6</v>
      </c>
      <c r="I1615">
        <v>284.25880000000001</v>
      </c>
      <c r="J1615">
        <v>-216.7886</v>
      </c>
      <c r="K1615">
        <v>1.0992409999999999</v>
      </c>
      <c r="L1615">
        <v>283.72789999999998</v>
      </c>
      <c r="M1615">
        <v>-0.99503419999999898</v>
      </c>
      <c r="N1615">
        <v>0</v>
      </c>
      <c r="O1615">
        <v>-9.9535180000000001E-2</v>
      </c>
      <c r="P1615">
        <v>-0.99679459999999998</v>
      </c>
      <c r="Q1615">
        <v>4.3067420000000002E-2</v>
      </c>
      <c r="R1615">
        <v>-6.7422780000000002E-2</v>
      </c>
      <c r="S1615">
        <v>-3.0183869999999899</v>
      </c>
      <c r="T1615">
        <v>-0.103347299999999</v>
      </c>
      <c r="U1615">
        <v>4.7302249999999997E-2</v>
      </c>
      <c r="V1615">
        <v>3.2515349999999998E-2</v>
      </c>
      <c r="W1615">
        <v>4.302015E-2</v>
      </c>
      <c r="X1615">
        <v>0.99854489999999996</v>
      </c>
      <c r="Y1615">
        <v>0.11498899999999999</v>
      </c>
      <c r="Z1615">
        <v>5.3710969999999896E-3</v>
      </c>
      <c r="AA1615">
        <v>0.99335219999999902</v>
      </c>
      <c r="AB1615">
        <v>31</v>
      </c>
      <c r="AC1615">
        <v>-31.793499999999899</v>
      </c>
      <c r="AD1615">
        <v>-1.0992379698379999</v>
      </c>
      <c r="AE1615">
        <v>0.53090000000003101</v>
      </c>
      <c r="AF1615">
        <v>3.6884269767907401</v>
      </c>
      <c r="AG1615">
        <v>-1.0992379698379999</v>
      </c>
      <c r="AH1615">
        <v>31.545073789660801</v>
      </c>
      <c r="AI1615">
        <v>91.982261025763904</v>
      </c>
      <c r="AJ1615">
        <v>83.330938291310005</v>
      </c>
      <c r="AK1615">
        <v>31.778994604496202</v>
      </c>
    </row>
    <row r="1616" spans="1:37" x14ac:dyDescent="0.2">
      <c r="A1616" t="str">
        <f>"20200111153639283"</f>
        <v>20200111153639283</v>
      </c>
      <c r="B1616" t="str">
        <f>"1578728199274028"</f>
        <v>1578728199274028</v>
      </c>
      <c r="C1616" t="s">
        <v>37</v>
      </c>
      <c r="D1616">
        <v>5.6589309999999999</v>
      </c>
      <c r="E1616">
        <v>0.53069699999999997</v>
      </c>
      <c r="F1616" t="s">
        <v>45</v>
      </c>
      <c r="G1616">
        <v>-244.68940000000001</v>
      </c>
      <c r="H1616" s="1">
        <v>9.5868719999999997E-7</v>
      </c>
      <c r="I1616">
        <v>284.19029999999998</v>
      </c>
      <c r="J1616">
        <v>-217.1096</v>
      </c>
      <c r="K1616">
        <v>1.099397</v>
      </c>
      <c r="L1616">
        <v>283.69979999999998</v>
      </c>
      <c r="M1616">
        <v>-0.99544539999999904</v>
      </c>
      <c r="N1616">
        <v>0</v>
      </c>
      <c r="O1616">
        <v>-9.5333360000000006E-2</v>
      </c>
      <c r="P1616">
        <v>-0.99706240000000002</v>
      </c>
      <c r="Q1616">
        <v>4.315861E-2</v>
      </c>
      <c r="R1616">
        <v>-6.3276399999999997E-2</v>
      </c>
      <c r="S1616">
        <v>-3.018173</v>
      </c>
      <c r="T1616">
        <v>-0.1189103</v>
      </c>
      <c r="U1616">
        <v>5.0018310000000003E-2</v>
      </c>
      <c r="V1616">
        <v>3.2435279999999997E-2</v>
      </c>
      <c r="W1616">
        <v>4.3137340000000003E-2</v>
      </c>
      <c r="X1616">
        <v>0.998542499999999</v>
      </c>
      <c r="Y1616">
        <v>0.1116545</v>
      </c>
      <c r="Z1616">
        <v>5.9491789999999998E-3</v>
      </c>
      <c r="AA1616">
        <v>0.99372929999999904</v>
      </c>
      <c r="AB1616">
        <v>31</v>
      </c>
      <c r="AC1616">
        <v>-27.579799999999999</v>
      </c>
      <c r="AD1616">
        <v>-1.0993960413128001</v>
      </c>
      <c r="AE1616">
        <v>0.49049999999999699</v>
      </c>
      <c r="AF1616">
        <v>3.1125966029821202</v>
      </c>
      <c r="AG1616">
        <v>-1.0993960413128001</v>
      </c>
      <c r="AH1616">
        <v>27.3639563136562</v>
      </c>
      <c r="AI1616">
        <v>92.285997844723994</v>
      </c>
      <c r="AJ1616">
        <v>83.510608949825496</v>
      </c>
      <c r="AK1616">
        <v>27.562348129363599</v>
      </c>
    </row>
    <row r="1617" spans="1:37" x14ac:dyDescent="0.2">
      <c r="A1617" t="str">
        <f>"20200111153639306"</f>
        <v>20200111153639306</v>
      </c>
      <c r="B1617" t="str">
        <f>"1578728199294521"</f>
        <v>1578728199294521</v>
      </c>
      <c r="C1617" t="s">
        <v>37</v>
      </c>
      <c r="D1617">
        <v>5.5453739999999998</v>
      </c>
      <c r="E1617">
        <v>0.52968099999999996</v>
      </c>
      <c r="F1617" t="s">
        <v>45</v>
      </c>
      <c r="G1617">
        <v>-242.37209999999999</v>
      </c>
      <c r="H1617" s="1">
        <v>-2.74474E-7</v>
      </c>
      <c r="I1617">
        <v>284.14920000000001</v>
      </c>
      <c r="J1617">
        <v>-217.42609999999999</v>
      </c>
      <c r="K1617">
        <v>1.09954</v>
      </c>
      <c r="L1617">
        <v>283.67329999999998</v>
      </c>
      <c r="M1617">
        <v>-0.99581180000000002</v>
      </c>
      <c r="N1617">
        <v>0</v>
      </c>
      <c r="O1617">
        <v>-9.1426530000000006E-2</v>
      </c>
      <c r="P1617">
        <v>-0.99725609999999998</v>
      </c>
      <c r="Q1617">
        <v>4.388864E-2</v>
      </c>
      <c r="R1617">
        <v>-5.961723E-2</v>
      </c>
      <c r="S1617">
        <v>-3.0179290000000001</v>
      </c>
      <c r="T1617">
        <v>-0.13133719999999999</v>
      </c>
      <c r="U1617">
        <v>5.368042E-2</v>
      </c>
      <c r="V1617">
        <v>3.2168559999999999E-2</v>
      </c>
      <c r="W1617">
        <v>4.389622E-2</v>
      </c>
      <c r="X1617">
        <v>0.99851800000000002</v>
      </c>
      <c r="Y1617">
        <v>0.1089325</v>
      </c>
      <c r="Z1617">
        <v>6.3422330000000001E-3</v>
      </c>
      <c r="AA1617">
        <v>0.99402889999999999</v>
      </c>
      <c r="AB1617">
        <v>31</v>
      </c>
      <c r="AC1617">
        <v>-24.945999999999898</v>
      </c>
      <c r="AD1617">
        <v>-1.0995402744739999</v>
      </c>
      <c r="AE1617">
        <v>0.47590000000002403</v>
      </c>
      <c r="AF1617">
        <v>2.7492938291150701</v>
      </c>
      <c r="AG1617">
        <v>-1.0995402744739999</v>
      </c>
      <c r="AH1617">
        <v>24.749946024356099</v>
      </c>
      <c r="AI1617">
        <v>92.528217613475405</v>
      </c>
      <c r="AJ1617">
        <v>83.661409384172899</v>
      </c>
      <c r="AK1617">
        <v>24.9264404515073</v>
      </c>
    </row>
    <row r="1618" spans="1:37" x14ac:dyDescent="0.2">
      <c r="A1618" t="str">
        <f>"20200111153639328"</f>
        <v>20200111153639328</v>
      </c>
      <c r="B1618" t="str">
        <f>"1578728199324779"</f>
        <v>1578728199324779</v>
      </c>
      <c r="C1618" t="s">
        <v>37</v>
      </c>
      <c r="D1618">
        <v>5.6725940000000001</v>
      </c>
      <c r="E1618">
        <v>0.52883599999999997</v>
      </c>
      <c r="F1618" t="s">
        <v>38</v>
      </c>
      <c r="G1618">
        <v>-218.35990000000001</v>
      </c>
      <c r="H1618">
        <v>1.0572549999999901</v>
      </c>
      <c r="I1618">
        <v>283.69099999999997</v>
      </c>
      <c r="J1618">
        <v>-217.73159999999999</v>
      </c>
      <c r="K1618">
        <v>1.0996649999999999</v>
      </c>
      <c r="L1618">
        <v>283.64859999999999</v>
      </c>
      <c r="M1618">
        <v>-0.99613240000000003</v>
      </c>
      <c r="N1618">
        <v>0</v>
      </c>
      <c r="O1618">
        <v>-8.7863880000000005E-2</v>
      </c>
      <c r="P1618">
        <v>-0.99746420000000002</v>
      </c>
      <c r="Q1618">
        <v>4.4251390000000002E-2</v>
      </c>
      <c r="R1618">
        <v>-5.5741159999999998E-2</v>
      </c>
      <c r="S1618">
        <v>-3.0176699999999999</v>
      </c>
      <c r="T1618">
        <v>-0.13669200000000001</v>
      </c>
      <c r="U1618">
        <v>5.6579589999999999E-2</v>
      </c>
      <c r="V1618">
        <v>3.2464649999999998E-2</v>
      </c>
      <c r="W1618">
        <v>4.4284469999999999E-2</v>
      </c>
      <c r="X1618">
        <v>0.99849129999999997</v>
      </c>
      <c r="Y1618">
        <v>0.10632319999999899</v>
      </c>
      <c r="Z1618">
        <v>6.3811919999999999E-3</v>
      </c>
      <c r="AA1618">
        <v>0.99431119999999995</v>
      </c>
      <c r="AB1618">
        <v>31</v>
      </c>
      <c r="AC1618">
        <v>-0.62830000000002395</v>
      </c>
      <c r="AD1618">
        <v>-4.2410000000000003E-2</v>
      </c>
      <c r="AE1618">
        <v>4.23999999999864E-2</v>
      </c>
      <c r="AF1618">
        <v>9.7000946555720197E-2</v>
      </c>
      <c r="AG1618">
        <v>-4.2410000000000003E-2</v>
      </c>
      <c r="AH1618">
        <v>0.619335592379199</v>
      </c>
      <c r="AI1618">
        <v>93.870269898798497</v>
      </c>
      <c r="AJ1618">
        <v>81.098593082685298</v>
      </c>
      <c r="AK1618">
        <v>0.62831868324951001</v>
      </c>
    </row>
    <row r="1619" spans="1:37" x14ac:dyDescent="0.2">
      <c r="A1619" t="str">
        <f>"20200111153639350"</f>
        <v>20200111153639350</v>
      </c>
      <c r="B1619" t="str">
        <f>"1578728199344297"</f>
        <v>1578728199344297</v>
      </c>
      <c r="C1619" t="s">
        <v>37</v>
      </c>
      <c r="D1619">
        <v>5.9067429999999996</v>
      </c>
      <c r="E1619">
        <v>0.52776599999999996</v>
      </c>
      <c r="F1619" t="s">
        <v>38</v>
      </c>
      <c r="G1619">
        <v>-218.63319999999999</v>
      </c>
      <c r="H1619">
        <v>1.05542</v>
      </c>
      <c r="I1619">
        <v>283.6671</v>
      </c>
      <c r="J1619">
        <v>-218.05019999999999</v>
      </c>
      <c r="K1619">
        <v>1.0997920000000001</v>
      </c>
      <c r="L1619">
        <v>283.62380000000002</v>
      </c>
      <c r="M1619">
        <v>-0.99643559999999998</v>
      </c>
      <c r="N1619">
        <v>0</v>
      </c>
      <c r="O1619">
        <v>-8.4356650000000005E-2</v>
      </c>
      <c r="P1619">
        <v>-0.99767719999999904</v>
      </c>
      <c r="Q1619">
        <v>4.3257740000000003E-2</v>
      </c>
      <c r="R1619">
        <v>-5.2621550000000003E-2</v>
      </c>
      <c r="S1619">
        <v>-3.017639</v>
      </c>
      <c r="T1619">
        <v>-0.14815039999999999</v>
      </c>
      <c r="U1619">
        <v>6.1370849999999998E-2</v>
      </c>
      <c r="V1619">
        <v>3.2054409999999998E-2</v>
      </c>
      <c r="W1619">
        <v>4.3324080000000001E-2</v>
      </c>
      <c r="X1619">
        <v>0.99854669999999901</v>
      </c>
      <c r="Y1619">
        <v>0.1043728</v>
      </c>
      <c r="Z1619">
        <v>6.6960199999999996E-3</v>
      </c>
      <c r="AA1619">
        <v>0.994515699999999</v>
      </c>
      <c r="AB1619">
        <v>32</v>
      </c>
      <c r="AC1619">
        <v>-0.58299999999999796</v>
      </c>
      <c r="AD1619">
        <v>-4.4372000000000002E-2</v>
      </c>
      <c r="AE1619">
        <v>4.3299999999987897E-2</v>
      </c>
      <c r="AF1619">
        <v>9.1796757007049007E-2</v>
      </c>
      <c r="AG1619">
        <v>-4.4372000000000002E-2</v>
      </c>
      <c r="AH1619">
        <v>0.57396277293335796</v>
      </c>
      <c r="AI1619">
        <v>94.365377580569401</v>
      </c>
      <c r="AJ1619">
        <v>80.9133523452209</v>
      </c>
      <c r="AK1619">
        <v>0.58294835422562097</v>
      </c>
    </row>
    <row r="1620" spans="1:37" x14ac:dyDescent="0.2">
      <c r="A1620" t="str">
        <f>"20200111153639373"</f>
        <v>20200111153639373</v>
      </c>
      <c r="B1620" t="str">
        <f>"1578728199363817"</f>
        <v>1578728199363817</v>
      </c>
      <c r="C1620" t="s">
        <v>37</v>
      </c>
      <c r="D1620">
        <v>5.6793589999999998</v>
      </c>
      <c r="E1620">
        <v>0.52665269999999897</v>
      </c>
      <c r="F1620" t="s">
        <v>38</v>
      </c>
      <c r="G1620">
        <v>-218.91820000000001</v>
      </c>
      <c r="H1620">
        <v>1.055553</v>
      </c>
      <c r="I1620">
        <v>283.64210000000003</v>
      </c>
      <c r="J1620">
        <v>-218.37960000000001</v>
      </c>
      <c r="K1620">
        <v>1.0999099999999999</v>
      </c>
      <c r="L1620">
        <v>283.59910000000002</v>
      </c>
      <c r="M1620">
        <v>-0.99672019999999995</v>
      </c>
      <c r="N1620">
        <v>0</v>
      </c>
      <c r="O1620">
        <v>-8.0925720000000007E-2</v>
      </c>
      <c r="P1620">
        <v>-0.9978418</v>
      </c>
      <c r="Q1620">
        <v>4.2346460000000002E-2</v>
      </c>
      <c r="R1620">
        <v>-5.0186410000000001E-2</v>
      </c>
      <c r="S1620">
        <v>-3.016953</v>
      </c>
      <c r="T1620">
        <v>-0.15376600000000001</v>
      </c>
      <c r="U1620">
        <v>6.2927250000000004E-2</v>
      </c>
      <c r="V1620">
        <v>3.1037550000000001E-2</v>
      </c>
      <c r="W1620">
        <v>4.2452749999999997E-2</v>
      </c>
      <c r="X1620">
        <v>0.99861630000000001</v>
      </c>
      <c r="Y1620">
        <v>0.10145650000000001</v>
      </c>
      <c r="Z1620">
        <v>6.7024559999999999E-3</v>
      </c>
      <c r="AA1620">
        <v>0.99481739999999996</v>
      </c>
      <c r="AB1620">
        <v>32</v>
      </c>
      <c r="AC1620">
        <v>-0.53860000000000197</v>
      </c>
      <c r="AD1620">
        <v>-4.4356999999999903E-2</v>
      </c>
      <c r="AE1620">
        <v>4.3000000000006297E-2</v>
      </c>
      <c r="AF1620">
        <v>8.5866850043704396E-2</v>
      </c>
      <c r="AG1620">
        <v>-4.4356999999999903E-2</v>
      </c>
      <c r="AH1620">
        <v>0.52978314797063397</v>
      </c>
      <c r="AI1620">
        <v>94.724653637519594</v>
      </c>
      <c r="AJ1620">
        <v>80.793602867755297</v>
      </c>
      <c r="AK1620">
        <v>0.53852654833267299</v>
      </c>
    </row>
    <row r="1621" spans="1:37" x14ac:dyDescent="0.2">
      <c r="A1621" t="str">
        <f>"20200111153639396"</f>
        <v>20200111153639396</v>
      </c>
      <c r="B1621" t="str">
        <f>"1578728199383847"</f>
        <v>1578728199383847</v>
      </c>
      <c r="C1621" t="s">
        <v>37</v>
      </c>
      <c r="D1621">
        <v>5.7414639999999997</v>
      </c>
      <c r="E1621">
        <v>0.52568149999999902</v>
      </c>
      <c r="F1621" t="s">
        <v>38</v>
      </c>
      <c r="G1621">
        <v>-219.20580000000001</v>
      </c>
      <c r="H1621">
        <v>1.0568789999999999</v>
      </c>
      <c r="I1621">
        <v>283.61610000000002</v>
      </c>
      <c r="J1621">
        <v>-218.7039</v>
      </c>
      <c r="K1621">
        <v>1.10002</v>
      </c>
      <c r="L1621">
        <v>283.57569999999998</v>
      </c>
      <c r="M1621">
        <v>-0.99697599999999997</v>
      </c>
      <c r="N1621">
        <v>0</v>
      </c>
      <c r="O1621">
        <v>-7.7710059999999997E-2</v>
      </c>
      <c r="P1621">
        <v>-0.99792839999999905</v>
      </c>
      <c r="Q1621">
        <v>4.236637E-2</v>
      </c>
      <c r="R1621">
        <v>-4.841645E-2</v>
      </c>
      <c r="S1621">
        <v>-3.016327</v>
      </c>
      <c r="T1621">
        <v>-0.15706589999999901</v>
      </c>
      <c r="U1621">
        <v>6.2377929999999998E-2</v>
      </c>
      <c r="V1621">
        <v>2.9576910000000001E-2</v>
      </c>
      <c r="W1621">
        <v>4.2515160000000003E-2</v>
      </c>
      <c r="X1621">
        <v>0.99865789999999999</v>
      </c>
      <c r="Y1621">
        <v>9.8068630000000004E-2</v>
      </c>
      <c r="Z1621">
        <v>6.5924009999999899E-3</v>
      </c>
      <c r="AA1621">
        <v>0.99515779999999998</v>
      </c>
      <c r="AB1621">
        <v>32</v>
      </c>
      <c r="AC1621">
        <v>-0.50190000000000601</v>
      </c>
      <c r="AD1621">
        <v>-4.3140999999999798E-2</v>
      </c>
      <c r="AE1621">
        <v>4.0400000000033701E-2</v>
      </c>
      <c r="AF1621">
        <v>7.8702771238971903E-2</v>
      </c>
      <c r="AG1621">
        <v>-4.3140999999999798E-2</v>
      </c>
      <c r="AH1621">
        <v>0.493619226946581</v>
      </c>
      <c r="AI1621">
        <v>94.932814112737304</v>
      </c>
      <c r="AJ1621">
        <v>80.940996781200894</v>
      </c>
      <c r="AK1621">
        <v>0.50171228138549095</v>
      </c>
    </row>
    <row r="1622" spans="1:37" x14ac:dyDescent="0.2">
      <c r="A1622" t="str">
        <f>"20200111153639418"</f>
        <v>20200111153639418</v>
      </c>
      <c r="B1622" t="str">
        <f>"1578728199414101"</f>
        <v>1578728199414101</v>
      </c>
      <c r="C1622" t="s">
        <v>37</v>
      </c>
      <c r="D1622">
        <v>5.991949</v>
      </c>
      <c r="E1622">
        <v>0.52448289999999997</v>
      </c>
      <c r="F1622" t="s">
        <v>38</v>
      </c>
      <c r="G1622">
        <v>-219.4957</v>
      </c>
      <c r="H1622">
        <v>1.0584899999999999</v>
      </c>
      <c r="I1622">
        <v>283.59190000000001</v>
      </c>
      <c r="J1622">
        <v>-219.01750000000001</v>
      </c>
      <c r="K1622">
        <v>1.1001190000000001</v>
      </c>
      <c r="L1622">
        <v>283.55399999999997</v>
      </c>
      <c r="M1622">
        <v>-0.99720450000000005</v>
      </c>
      <c r="N1622">
        <v>0</v>
      </c>
      <c r="O1622">
        <v>-7.4719590000000002E-2</v>
      </c>
      <c r="P1622">
        <v>-0.99796600000000002</v>
      </c>
      <c r="Q1622">
        <v>4.2919369999999998E-2</v>
      </c>
      <c r="R1622">
        <v>-4.713643E-2</v>
      </c>
      <c r="S1622">
        <v>-3.0158839999999998</v>
      </c>
      <c r="T1622">
        <v>-0.15829689999999999</v>
      </c>
      <c r="U1622">
        <v>6.0546879999999997E-2</v>
      </c>
      <c r="V1622">
        <v>2.7856220000000001E-2</v>
      </c>
      <c r="W1622">
        <v>4.3111139999999999E-2</v>
      </c>
      <c r="X1622">
        <v>0.99868179999999995</v>
      </c>
      <c r="Y1622">
        <v>9.448761E-2</v>
      </c>
      <c r="Z1622">
        <v>6.3945269999999997E-3</v>
      </c>
      <c r="AA1622">
        <v>0.99550550000000004</v>
      </c>
      <c r="AB1622">
        <v>32</v>
      </c>
      <c r="AC1622">
        <v>-0.47819999999998603</v>
      </c>
      <c r="AD1622">
        <v>-4.1629000000000103E-2</v>
      </c>
      <c r="AE1622">
        <v>3.7899999999979103E-2</v>
      </c>
      <c r="AF1622">
        <v>7.2975386143364199E-2</v>
      </c>
      <c r="AG1622">
        <v>-4.1629000000000103E-2</v>
      </c>
      <c r="AH1622">
        <v>0.47048810759634402</v>
      </c>
      <c r="AI1622">
        <v>94.996946171307997</v>
      </c>
      <c r="AJ1622">
        <v>81.183353164514202</v>
      </c>
      <c r="AK1622">
        <v>0.47793037151175199</v>
      </c>
    </row>
    <row r="1623" spans="1:37" x14ac:dyDescent="0.2">
      <c r="A1623" t="str">
        <f>"20200111153639439"</f>
        <v>20200111153639439</v>
      </c>
      <c r="B1623" t="str">
        <f>"1578728199434597"</f>
        <v>1578728199434597</v>
      </c>
      <c r="C1623" t="s">
        <v>37</v>
      </c>
      <c r="D1623">
        <v>5.7133500000000002</v>
      </c>
      <c r="E1623">
        <v>0.52366120000000005</v>
      </c>
      <c r="F1623" t="s">
        <v>38</v>
      </c>
      <c r="G1623">
        <v>-219.7868</v>
      </c>
      <c r="H1623">
        <v>1.0596840000000001</v>
      </c>
      <c r="I1623">
        <v>283.56799999999998</v>
      </c>
      <c r="J1623">
        <v>-219.33750000000001</v>
      </c>
      <c r="K1623">
        <v>1.10019</v>
      </c>
      <c r="L1623">
        <v>283.5326</v>
      </c>
      <c r="M1623">
        <v>-0.99742209999999998</v>
      </c>
      <c r="N1623">
        <v>0</v>
      </c>
      <c r="O1623">
        <v>-7.1756009999999995E-2</v>
      </c>
      <c r="P1623">
        <v>-0.99792639999999999</v>
      </c>
      <c r="Q1623">
        <v>4.438893E-2</v>
      </c>
      <c r="R1623">
        <v>-4.6612019999999997E-2</v>
      </c>
      <c r="S1623">
        <v>-3.015533</v>
      </c>
      <c r="T1623">
        <v>-0.15846869999999999</v>
      </c>
      <c r="U1623">
        <v>5.4809570000000002E-2</v>
      </c>
      <c r="V1623">
        <v>2.541237E-2</v>
      </c>
      <c r="W1623">
        <v>4.4629830000000002E-2</v>
      </c>
      <c r="X1623">
        <v>0.99868040000000002</v>
      </c>
      <c r="Y1623">
        <v>8.9647480000000002E-2</v>
      </c>
      <c r="Z1623">
        <v>6.119813E-3</v>
      </c>
      <c r="AA1623">
        <v>0.99595480000000003</v>
      </c>
      <c r="AB1623">
        <v>32</v>
      </c>
      <c r="AC1623">
        <v>-0.44929999999999298</v>
      </c>
      <c r="AD1623">
        <v>-4.0505999999999903E-2</v>
      </c>
      <c r="AE1623">
        <v>3.5399999999981398E-2</v>
      </c>
      <c r="AF1623">
        <v>6.7007470968132199E-2</v>
      </c>
      <c r="AG1623">
        <v>-4.0505999999999903E-2</v>
      </c>
      <c r="AH1623">
        <v>0.44203112117508903</v>
      </c>
      <c r="AI1623">
        <v>95.176921430465399</v>
      </c>
      <c r="AJ1623">
        <v>81.380162983037394</v>
      </c>
      <c r="AK1623">
        <v>0.44891229576483199</v>
      </c>
    </row>
    <row r="1624" spans="1:37" x14ac:dyDescent="0.2">
      <c r="A1624" t="str">
        <f>"20200111153639461"</f>
        <v>20200111153639461</v>
      </c>
      <c r="B1624" t="str">
        <f>"1578728199454117"</f>
        <v>1578728199454117</v>
      </c>
      <c r="C1624" t="s">
        <v>37</v>
      </c>
      <c r="D1624">
        <v>5.7568630000000001</v>
      </c>
      <c r="E1624">
        <v>0.52291569999999998</v>
      </c>
      <c r="F1624" t="s">
        <v>45</v>
      </c>
      <c r="G1624">
        <v>-240.6283</v>
      </c>
      <c r="H1624" s="1">
        <v>-1.2024299999999999E-6</v>
      </c>
      <c r="I1624">
        <v>283.8879</v>
      </c>
      <c r="J1624">
        <v>-219.67509999999999</v>
      </c>
      <c r="K1624">
        <v>1.1002430000000001</v>
      </c>
      <c r="L1624">
        <v>283.5111</v>
      </c>
      <c r="M1624">
        <v>-0.99763760000000001</v>
      </c>
      <c r="N1624">
        <v>0</v>
      </c>
      <c r="O1624">
        <v>-6.8695930000000002E-2</v>
      </c>
      <c r="P1624">
        <v>-0.99784649999999997</v>
      </c>
      <c r="Q1624">
        <v>4.597528E-2</v>
      </c>
      <c r="R1624">
        <v>-4.6786050000000003E-2</v>
      </c>
      <c r="S1624">
        <v>-3.0155029999999998</v>
      </c>
      <c r="T1624">
        <v>-0.15582449999999901</v>
      </c>
      <c r="U1624">
        <v>5.0323489999999999E-2</v>
      </c>
      <c r="V1624">
        <v>2.2175839999999999E-2</v>
      </c>
      <c r="W1624">
        <v>4.627179E-2</v>
      </c>
      <c r="X1624">
        <v>0.99868269999999904</v>
      </c>
      <c r="Y1624">
        <v>8.5127759999999997E-2</v>
      </c>
      <c r="Z1624">
        <v>5.7434699999999997E-3</v>
      </c>
      <c r="AA1624">
        <v>0.9963535</v>
      </c>
      <c r="AB1624">
        <v>32</v>
      </c>
      <c r="AC1624">
        <v>-20.953199999999999</v>
      </c>
      <c r="AD1624">
        <v>-1.1002442024300001</v>
      </c>
      <c r="AE1624">
        <v>0.37680000000000202</v>
      </c>
      <c r="AF1624">
        <v>1.8103195831482799</v>
      </c>
      <c r="AG1624">
        <v>-1.1002442024300001</v>
      </c>
      <c r="AH1624">
        <v>20.820427715825101</v>
      </c>
      <c r="AI1624">
        <v>93.013601569259905</v>
      </c>
      <c r="AJ1624">
        <v>85.030675493181604</v>
      </c>
      <c r="AK1624">
        <v>20.927924038662098</v>
      </c>
    </row>
    <row r="1625" spans="1:37" x14ac:dyDescent="0.2">
      <c r="A1625" t="str">
        <f>"20200111153639484"</f>
        <v>20200111153639484</v>
      </c>
      <c r="B1625" t="str">
        <f>"1578728199474144"</f>
        <v>1578728199474144</v>
      </c>
      <c r="C1625" t="s">
        <v>37</v>
      </c>
      <c r="D1625">
        <v>5.7637769999999904</v>
      </c>
      <c r="E1625">
        <v>0.5221114</v>
      </c>
      <c r="F1625" t="s">
        <v>38</v>
      </c>
      <c r="G1625">
        <v>-220.66249999999999</v>
      </c>
      <c r="H1625">
        <v>1.0503819999999999</v>
      </c>
      <c r="I1625">
        <v>283.5256</v>
      </c>
      <c r="J1625">
        <v>-220.01150000000001</v>
      </c>
      <c r="K1625">
        <v>1.100274</v>
      </c>
      <c r="L1625">
        <v>283.4907</v>
      </c>
      <c r="M1625">
        <v>-0.99783999999999995</v>
      </c>
      <c r="N1625">
        <v>0</v>
      </c>
      <c r="O1625">
        <v>-6.5690360000000003E-2</v>
      </c>
      <c r="P1625">
        <v>-0.99777530000000003</v>
      </c>
      <c r="Q1625">
        <v>4.6762280000000003E-2</v>
      </c>
      <c r="R1625">
        <v>-4.7516170000000003E-2</v>
      </c>
      <c r="S1625">
        <v>-3.015533</v>
      </c>
      <c r="T1625">
        <v>-0.15229019999999999</v>
      </c>
      <c r="U1625">
        <v>4.4067380000000003E-2</v>
      </c>
      <c r="V1625">
        <v>1.8436919999999999E-2</v>
      </c>
      <c r="W1625">
        <v>4.7117729999999997E-2</v>
      </c>
      <c r="X1625">
        <v>0.99871919999999903</v>
      </c>
      <c r="Y1625">
        <v>8.007802E-2</v>
      </c>
      <c r="Z1625">
        <v>5.3344550000000001E-3</v>
      </c>
      <c r="AA1625">
        <v>0.9967743</v>
      </c>
      <c r="AB1625">
        <v>33</v>
      </c>
      <c r="AC1625">
        <v>-0.65099999999998204</v>
      </c>
      <c r="AD1625">
        <v>-4.9891999999999999E-2</v>
      </c>
      <c r="AE1625">
        <v>3.48999999999932E-2</v>
      </c>
      <c r="AF1625">
        <v>7.7137274278753207E-2</v>
      </c>
      <c r="AG1625">
        <v>-4.9891999999999999E-2</v>
      </c>
      <c r="AH1625">
        <v>0.64353230244432202</v>
      </c>
      <c r="AI1625">
        <v>94.401795616997006</v>
      </c>
      <c r="AJ1625">
        <v>83.164827713629293</v>
      </c>
      <c r="AK1625">
        <v>0.65005630143584203</v>
      </c>
    </row>
    <row r="1626" spans="1:37" x14ac:dyDescent="0.2">
      <c r="A1626" t="str">
        <f>"20200111153639506"</f>
        <v>20200111153639506</v>
      </c>
      <c r="B1626" t="str">
        <f>"1578728199494644"</f>
        <v>1578728199494644</v>
      </c>
      <c r="C1626" t="s">
        <v>37</v>
      </c>
      <c r="D1626">
        <v>5.7976720000000004</v>
      </c>
      <c r="E1626">
        <v>0.52142569999999999</v>
      </c>
      <c r="F1626" t="s">
        <v>38</v>
      </c>
      <c r="G1626">
        <v>-220.9615</v>
      </c>
      <c r="H1626">
        <v>1.0526789999999999</v>
      </c>
      <c r="I1626">
        <v>283.50209999999998</v>
      </c>
      <c r="J1626">
        <v>-220.33410000000001</v>
      </c>
      <c r="K1626">
        <v>1.1002860000000001</v>
      </c>
      <c r="L1626">
        <v>283.47190000000001</v>
      </c>
      <c r="M1626">
        <v>-0.99802369999999996</v>
      </c>
      <c r="N1626">
        <v>0</v>
      </c>
      <c r="O1626">
        <v>-6.2837240000000003E-2</v>
      </c>
      <c r="P1626">
        <v>-0.99774439999999998</v>
      </c>
      <c r="Q1626">
        <v>4.6725679999999999E-2</v>
      </c>
      <c r="R1626">
        <v>-4.819917E-2</v>
      </c>
      <c r="S1626">
        <v>-3.0154879999999999</v>
      </c>
      <c r="T1626">
        <v>-0.15117610000000001</v>
      </c>
      <c r="U1626">
        <v>3.5888669999999998E-2</v>
      </c>
      <c r="V1626">
        <v>1.489678E-2</v>
      </c>
      <c r="W1626">
        <v>4.713821E-2</v>
      </c>
      <c r="X1626">
        <v>0.99877729999999998</v>
      </c>
      <c r="Y1626">
        <v>7.4537430000000002E-2</v>
      </c>
      <c r="Z1626">
        <v>5.0140430000000001E-3</v>
      </c>
      <c r="AA1626">
        <v>0.99720560000000003</v>
      </c>
      <c r="AB1626">
        <v>33</v>
      </c>
      <c r="AC1626">
        <v>-0.62739999999999396</v>
      </c>
      <c r="AD1626">
        <v>-4.7606999999999899E-2</v>
      </c>
      <c r="AE1626">
        <v>3.0199999999979299E-2</v>
      </c>
      <c r="AF1626">
        <v>6.9167080252120899E-2</v>
      </c>
      <c r="AG1626">
        <v>-4.7606999999999899E-2</v>
      </c>
      <c r="AH1626">
        <v>0.62069688506118803</v>
      </c>
      <c r="AI1626">
        <v>94.359081228483902</v>
      </c>
      <c r="AJ1626">
        <v>83.641503018737097</v>
      </c>
      <c r="AK1626">
        <v>0.62635064825085396</v>
      </c>
    </row>
    <row r="1627" spans="1:37" x14ac:dyDescent="0.2">
      <c r="A1627" t="str">
        <f>"20200111153639530"</f>
        <v>20200111153639530</v>
      </c>
      <c r="B1627" t="str">
        <f>"1578728199523921"</f>
        <v>1578728199523921</v>
      </c>
      <c r="C1627" t="s">
        <v>37</v>
      </c>
      <c r="D1627">
        <v>5.7919179999999999</v>
      </c>
      <c r="E1627">
        <v>0.52037599999999995</v>
      </c>
      <c r="F1627" t="s">
        <v>38</v>
      </c>
      <c r="G1627">
        <v>-221.2612</v>
      </c>
      <c r="H1627">
        <v>1.0533569999999901</v>
      </c>
      <c r="I1627">
        <v>283.48099999999999</v>
      </c>
      <c r="J1627">
        <v>-220.69200000000001</v>
      </c>
      <c r="K1627">
        <v>1.100293</v>
      </c>
      <c r="L1627">
        <v>283.45209999999997</v>
      </c>
      <c r="M1627">
        <v>-0.99821519999999997</v>
      </c>
      <c r="N1627">
        <v>0</v>
      </c>
      <c r="O1627">
        <v>-5.9716690000000003E-2</v>
      </c>
      <c r="P1627">
        <v>-0.99775239999999998</v>
      </c>
      <c r="Q1627">
        <v>4.5659400000000003E-2</v>
      </c>
      <c r="R1627">
        <v>-4.9045699999999998E-2</v>
      </c>
      <c r="S1627">
        <v>-3.0153500000000002</v>
      </c>
      <c r="T1627">
        <v>-0.1526911</v>
      </c>
      <c r="U1627">
        <v>2.9052729999999999E-2</v>
      </c>
      <c r="V1627">
        <v>1.0921490000000001E-2</v>
      </c>
      <c r="W1627">
        <v>4.613461E-2</v>
      </c>
      <c r="X1627">
        <v>0.99887549999999903</v>
      </c>
      <c r="Y1627">
        <v>6.9166169999999999E-2</v>
      </c>
      <c r="Z1627">
        <v>4.7708459999999996E-3</v>
      </c>
      <c r="AA1627">
        <v>0.99759379999999998</v>
      </c>
      <c r="AB1627">
        <v>33</v>
      </c>
      <c r="AC1627">
        <v>-0.56919999999999504</v>
      </c>
      <c r="AD1627">
        <v>-4.6935999999999999E-2</v>
      </c>
      <c r="AE1627">
        <v>2.8900000000021402E-2</v>
      </c>
      <c r="AF1627">
        <v>6.24158589934398E-2</v>
      </c>
      <c r="AG1627">
        <v>-4.6935999999999999E-2</v>
      </c>
      <c r="AH1627">
        <v>0.56264247538038104</v>
      </c>
      <c r="AI1627">
        <v>94.739669056210104</v>
      </c>
      <c r="AJ1627">
        <v>83.669864743735602</v>
      </c>
      <c r="AK1627">
        <v>0.56803633920027596</v>
      </c>
    </row>
    <row r="1628" spans="1:37" x14ac:dyDescent="0.2">
      <c r="A1628" t="str">
        <f>"20200111153639552"</f>
        <v>20200111153639552</v>
      </c>
      <c r="B1628" t="str">
        <f>"1578728199544417"</f>
        <v>1578728199544417</v>
      </c>
      <c r="C1628" t="s">
        <v>37</v>
      </c>
      <c r="D1628">
        <v>6.0156999999999998</v>
      </c>
      <c r="E1628">
        <v>0.52024239999999999</v>
      </c>
      <c r="F1628" t="s">
        <v>38</v>
      </c>
      <c r="G1628">
        <v>-221.56370000000001</v>
      </c>
      <c r="H1628">
        <v>1.054908</v>
      </c>
      <c r="I1628">
        <v>283.45769999999999</v>
      </c>
      <c r="J1628">
        <v>-221.01830000000001</v>
      </c>
      <c r="K1628">
        <v>1.1003080000000001</v>
      </c>
      <c r="L1628">
        <v>283.435</v>
      </c>
      <c r="M1628">
        <v>-0.99837699999999996</v>
      </c>
      <c r="N1628">
        <v>0</v>
      </c>
      <c r="O1628">
        <v>-5.6948180000000001E-2</v>
      </c>
      <c r="P1628">
        <v>-0.99782090000000001</v>
      </c>
      <c r="Q1628">
        <v>4.2849119999999997E-2</v>
      </c>
      <c r="R1628">
        <v>-5.0175699999999997E-2</v>
      </c>
      <c r="S1628">
        <v>-3.0148769999999998</v>
      </c>
      <c r="T1628">
        <v>-0.15701180000000001</v>
      </c>
      <c r="U1628">
        <v>1.8829350000000002E-2</v>
      </c>
      <c r="V1628">
        <v>7.0059989999999997E-3</v>
      </c>
      <c r="W1628">
        <v>4.338268E-2</v>
      </c>
      <c r="X1628">
        <v>0.99903399999999998</v>
      </c>
      <c r="Y1628">
        <v>6.3019770000000003E-2</v>
      </c>
      <c r="Z1628">
        <v>4.6025720000000001E-3</v>
      </c>
      <c r="AA1628">
        <v>0.99800169999999999</v>
      </c>
      <c r="AB1628">
        <v>33</v>
      </c>
      <c r="AC1628">
        <v>-0.5454</v>
      </c>
      <c r="AD1628">
        <v>-4.54000000000001E-2</v>
      </c>
      <c r="AE1628">
        <v>2.2699999999986099E-2</v>
      </c>
      <c r="AF1628">
        <v>5.3353645191348199E-2</v>
      </c>
      <c r="AG1628">
        <v>-4.54000000000001E-2</v>
      </c>
      <c r="AH1628">
        <v>0.53949040747152199</v>
      </c>
      <c r="AI1628">
        <v>94.787062250539606</v>
      </c>
      <c r="AJ1628">
        <v>84.352020712031901</v>
      </c>
      <c r="AK1628">
        <v>0.54401991802597904</v>
      </c>
    </row>
    <row r="1629" spans="1:37" x14ac:dyDescent="0.2">
      <c r="A1629" t="str">
        <f>"20200111153639576"</f>
        <v>20200111153639576</v>
      </c>
      <c r="B1629" t="str">
        <f>"1578728199563937"</f>
        <v>1578728199563937</v>
      </c>
      <c r="C1629" t="s">
        <v>37</v>
      </c>
      <c r="D1629">
        <v>5.9161169999999998</v>
      </c>
      <c r="E1629">
        <v>0.54525369999999995</v>
      </c>
      <c r="F1629" t="s">
        <v>38</v>
      </c>
      <c r="G1629">
        <v>-221.8655</v>
      </c>
      <c r="H1629">
        <v>1.0535129999999999</v>
      </c>
      <c r="I1629">
        <v>283.43950000000001</v>
      </c>
      <c r="J1629">
        <v>-221.3827</v>
      </c>
      <c r="K1629">
        <v>1.1003540000000001</v>
      </c>
      <c r="L1629">
        <v>283.41680000000002</v>
      </c>
      <c r="M1629">
        <v>-0.99854109999999996</v>
      </c>
      <c r="N1629">
        <v>0</v>
      </c>
      <c r="O1629">
        <v>-5.3993680000000002E-2</v>
      </c>
      <c r="P1629">
        <v>-0.99798310000000001</v>
      </c>
      <c r="Q1629">
        <v>3.9467919999999997E-2</v>
      </c>
      <c r="R1629">
        <v>-4.971892E-2</v>
      </c>
      <c r="S1629">
        <v>-3.0144959999999998</v>
      </c>
      <c r="T1629">
        <v>-0.16654279999999999</v>
      </c>
      <c r="U1629">
        <v>1.5747069999999998E-2</v>
      </c>
      <c r="V1629">
        <v>4.4867589999999999E-3</v>
      </c>
      <c r="W1629">
        <v>4.0052499999999998E-2</v>
      </c>
      <c r="X1629">
        <v>0.99918750000000001</v>
      </c>
      <c r="Y1629">
        <v>5.9036730000000003E-2</v>
      </c>
      <c r="Z1629">
        <v>4.6092859999999998E-3</v>
      </c>
      <c r="AA1629">
        <v>0.99824519999999906</v>
      </c>
      <c r="AB1629">
        <v>34</v>
      </c>
      <c r="AC1629">
        <v>-0.48279999999999701</v>
      </c>
      <c r="AD1629">
        <v>-4.6841000000000098E-2</v>
      </c>
      <c r="AE1629">
        <v>2.2699999999986099E-2</v>
      </c>
      <c r="AF1629">
        <v>4.8281578980204097E-2</v>
      </c>
      <c r="AG1629">
        <v>-4.6841000000000098E-2</v>
      </c>
      <c r="AH1629">
        <v>0.47639575551823599</v>
      </c>
      <c r="AI1629">
        <v>95.587046790871199</v>
      </c>
      <c r="AJ1629">
        <v>84.212968298184606</v>
      </c>
      <c r="AK1629">
        <v>0.48112171643526203</v>
      </c>
    </row>
    <row r="1630" spans="1:37" x14ac:dyDescent="0.2">
      <c r="A1630" t="str">
        <f>"20200111153639597"</f>
        <v>20200111153639597</v>
      </c>
      <c r="B1630" t="str">
        <f>"1578728199594701"</f>
        <v>1578728199594701</v>
      </c>
      <c r="C1630" t="s">
        <v>37</v>
      </c>
      <c r="D1630">
        <v>5.9121449999999998</v>
      </c>
      <c r="E1630">
        <v>0.54552609999999901</v>
      </c>
      <c r="F1630" t="s">
        <v>38</v>
      </c>
      <c r="G1630">
        <v>-222.11969999999999</v>
      </c>
      <c r="H1630">
        <v>0.94633780000000001</v>
      </c>
      <c r="I1630">
        <v>283.4717</v>
      </c>
      <c r="J1630">
        <v>-221.71979999999999</v>
      </c>
      <c r="K1630">
        <v>1.100441</v>
      </c>
      <c r="L1630">
        <v>283.40069999999997</v>
      </c>
      <c r="M1630">
        <v>-0.99867609999999996</v>
      </c>
      <c r="N1630">
        <v>0</v>
      </c>
      <c r="O1630">
        <v>-5.1438110000000002E-2</v>
      </c>
      <c r="P1630">
        <v>-0.99812309999999904</v>
      </c>
      <c r="Q1630">
        <v>3.7633069999999998E-2</v>
      </c>
      <c r="R1630">
        <v>-4.8311809999999997E-2</v>
      </c>
      <c r="S1630">
        <v>-3.0424959999999999</v>
      </c>
      <c r="T1630">
        <v>-0.63576880000000002</v>
      </c>
      <c r="U1630">
        <v>0.2264099</v>
      </c>
      <c r="V1630">
        <v>3.3216399999999998E-3</v>
      </c>
      <c r="W1630">
        <v>3.825572E-2</v>
      </c>
      <c r="X1630">
        <v>0.99926250000000005</v>
      </c>
      <c r="Y1630">
        <v>0.1216868</v>
      </c>
      <c r="Z1630">
        <v>2.3182419999999999E-2</v>
      </c>
      <c r="AA1630">
        <v>0.99229780000000001</v>
      </c>
      <c r="AB1630">
        <v>34</v>
      </c>
      <c r="AC1630">
        <v>-0.39990000000000198</v>
      </c>
      <c r="AD1630">
        <v>-0.1541032</v>
      </c>
      <c r="AE1630">
        <v>7.1000000000026306E-2</v>
      </c>
      <c r="AF1630">
        <v>7.9964427510288802E-2</v>
      </c>
      <c r="AG1630">
        <v>-0.1541032</v>
      </c>
      <c r="AH1630">
        <v>0.34591985772873501</v>
      </c>
      <c r="AI1630">
        <v>113.46287368741601</v>
      </c>
      <c r="AJ1630">
        <v>76.9838771504118</v>
      </c>
      <c r="AK1630">
        <v>0.387043478033614</v>
      </c>
    </row>
    <row r="1631" spans="1:37" x14ac:dyDescent="0.2">
      <c r="A1631" t="str">
        <f>"20200111153639619"</f>
        <v>20200111153639619</v>
      </c>
      <c r="B1631" t="str">
        <f>"1578728199614220"</f>
        <v>1578728199614220</v>
      </c>
      <c r="C1631" t="s">
        <v>37</v>
      </c>
      <c r="D1631">
        <v>5.8856580000000003</v>
      </c>
      <c r="E1631">
        <v>0.545099</v>
      </c>
      <c r="F1631" t="s">
        <v>38</v>
      </c>
      <c r="G1631">
        <v>-222.42060000000001</v>
      </c>
      <c r="H1631">
        <v>0.93575540000000001</v>
      </c>
      <c r="I1631">
        <v>283.45499999999998</v>
      </c>
      <c r="J1631">
        <v>-222.04349999999999</v>
      </c>
      <c r="K1631">
        <v>1.1005609999999999</v>
      </c>
      <c r="L1631">
        <v>283.385999999999</v>
      </c>
      <c r="M1631">
        <v>-0.99878960000000006</v>
      </c>
      <c r="N1631">
        <v>0</v>
      </c>
      <c r="O1631">
        <v>-4.9182469999999999E-2</v>
      </c>
      <c r="P1631">
        <v>-0.99819419999999903</v>
      </c>
      <c r="Q1631">
        <v>3.748195E-2</v>
      </c>
      <c r="R1631">
        <v>-4.694197E-2</v>
      </c>
      <c r="S1631">
        <v>-3.0439759999999998</v>
      </c>
      <c r="T1631">
        <v>-0.71529600000000004</v>
      </c>
      <c r="U1631">
        <v>0.2349243</v>
      </c>
      <c r="V1631">
        <v>2.4243300000000001E-3</v>
      </c>
      <c r="W1631">
        <v>3.8138499999999999E-2</v>
      </c>
      <c r="X1631">
        <v>0.99926949999999903</v>
      </c>
      <c r="Y1631">
        <v>0.12127209999999999</v>
      </c>
      <c r="Z1631">
        <v>2.5424760000000001E-2</v>
      </c>
      <c r="AA1631">
        <v>0.99229369999999995</v>
      </c>
      <c r="AB1631">
        <v>34</v>
      </c>
      <c r="AC1631">
        <v>-0.37710000000001198</v>
      </c>
      <c r="AD1631">
        <v>-0.1648056</v>
      </c>
      <c r="AE1631">
        <v>6.9000000000016798E-2</v>
      </c>
      <c r="AF1631">
        <v>7.38203640435251E-2</v>
      </c>
      <c r="AG1631">
        <v>-0.1648056</v>
      </c>
      <c r="AH1631">
        <v>0.315029075870084</v>
      </c>
      <c r="AI1631">
        <v>116.99187580537</v>
      </c>
      <c r="AJ1631">
        <v>76.811902209647101</v>
      </c>
      <c r="AK1631">
        <v>0.36311657987819501</v>
      </c>
    </row>
    <row r="1632" spans="1:37" x14ac:dyDescent="0.2">
      <c r="A1632" t="str">
        <f>"20200111153639640"</f>
        <v>20200111153639640</v>
      </c>
      <c r="B1632" t="str">
        <f>"1578728199634719"</f>
        <v>1578728199634719</v>
      </c>
      <c r="C1632" t="s">
        <v>37</v>
      </c>
      <c r="D1632">
        <v>5.9017520000000001</v>
      </c>
      <c r="E1632">
        <v>0.54483149999999902</v>
      </c>
      <c r="F1632" t="s">
        <v>38</v>
      </c>
      <c r="G1632">
        <v>-222.72909999999999</v>
      </c>
      <c r="H1632">
        <v>0.93773099999999998</v>
      </c>
      <c r="I1632">
        <v>283.4391</v>
      </c>
      <c r="J1632">
        <v>-222.37950000000001</v>
      </c>
      <c r="K1632">
        <v>1.1007100000000001</v>
      </c>
      <c r="L1632">
        <v>283.37130000000002</v>
      </c>
      <c r="M1632">
        <v>-0.99889139999999998</v>
      </c>
      <c r="N1632">
        <v>0</v>
      </c>
      <c r="O1632">
        <v>-4.7070620000000001E-2</v>
      </c>
      <c r="P1632">
        <v>-0.99823589999999995</v>
      </c>
      <c r="Q1632">
        <v>3.7523099999999997E-2</v>
      </c>
      <c r="R1632">
        <v>-4.6014409999999999E-2</v>
      </c>
      <c r="S1632">
        <v>-3.04365499999999</v>
      </c>
      <c r="T1632">
        <v>-0.72288050000000004</v>
      </c>
      <c r="U1632">
        <v>0.235809299999999</v>
      </c>
      <c r="V1632">
        <v>1.2264769999999999E-3</v>
      </c>
      <c r="W1632">
        <v>3.8215689999999997E-2</v>
      </c>
      <c r="X1632">
        <v>0.99926879999999996</v>
      </c>
      <c r="Y1632">
        <v>0.119479399999999</v>
      </c>
      <c r="Z1632">
        <v>2.4985819999999999E-2</v>
      </c>
      <c r="AA1632">
        <v>0.99252220000000002</v>
      </c>
      <c r="AB1632">
        <v>34</v>
      </c>
      <c r="AC1632">
        <v>-0.34959999999998098</v>
      </c>
      <c r="AD1632">
        <v>-0.16297900000000001</v>
      </c>
      <c r="AE1632">
        <v>6.7799999999976907E-2</v>
      </c>
      <c r="AF1632">
        <v>6.9602345089504997E-2</v>
      </c>
      <c r="AG1632">
        <v>-0.16297900000000001</v>
      </c>
      <c r="AH1632">
        <v>0.28609727485940101</v>
      </c>
      <c r="AI1632">
        <v>118.965318903944</v>
      </c>
      <c r="AJ1632">
        <v>76.326591066093698</v>
      </c>
      <c r="AK1632">
        <v>0.33653869252276802</v>
      </c>
    </row>
    <row r="1633" spans="1:37" x14ac:dyDescent="0.2">
      <c r="A1633" t="str">
        <f>"20200111153639663"</f>
        <v>20200111153639663</v>
      </c>
      <c r="B1633" t="str">
        <f>"1578728199654236"</f>
        <v>1578728199654236</v>
      </c>
      <c r="C1633" t="s">
        <v>37</v>
      </c>
      <c r="D1633">
        <v>5.9164919999999999</v>
      </c>
      <c r="E1633">
        <v>0.54464259999999998</v>
      </c>
      <c r="F1633" t="s">
        <v>38</v>
      </c>
      <c r="G1633">
        <v>-223.32560000000001</v>
      </c>
      <c r="H1633">
        <v>0.87613529999999995</v>
      </c>
      <c r="I1633">
        <v>283.44499999999999</v>
      </c>
      <c r="J1633">
        <v>-222.745</v>
      </c>
      <c r="K1633">
        <v>1.100884</v>
      </c>
      <c r="L1633">
        <v>283.35590000000002</v>
      </c>
      <c r="M1633">
        <v>-0.99898500000000001</v>
      </c>
      <c r="N1633">
        <v>0</v>
      </c>
      <c r="O1633">
        <v>-4.5038729999999999E-2</v>
      </c>
      <c r="P1633">
        <v>-0.99829780000000001</v>
      </c>
      <c r="Q1633">
        <v>3.786146E-2</v>
      </c>
      <c r="R1633">
        <v>-4.4364639999999997E-2</v>
      </c>
      <c r="S1633">
        <v>-3.043396</v>
      </c>
      <c r="T1633">
        <v>-0.72248570000000001</v>
      </c>
      <c r="U1633">
        <v>0.2367554</v>
      </c>
      <c r="V1633">
        <v>8.3053990000000002E-4</v>
      </c>
      <c r="W1633">
        <v>3.8588780000000003E-2</v>
      </c>
      <c r="X1633">
        <v>0.9992548</v>
      </c>
      <c r="Y1633">
        <v>0.11787889999999999</v>
      </c>
      <c r="Z1633">
        <v>2.4312139999999999E-2</v>
      </c>
      <c r="AA1633">
        <v>0.99273029999999995</v>
      </c>
      <c r="AB1633">
        <v>35</v>
      </c>
      <c r="AC1633">
        <v>-0.580600000000004</v>
      </c>
      <c r="AD1633">
        <v>-0.224748699999999</v>
      </c>
      <c r="AE1633">
        <v>8.9099999999973506E-2</v>
      </c>
      <c r="AF1633">
        <v>0.10045308685542199</v>
      </c>
      <c r="AG1633">
        <v>-0.224748699999999</v>
      </c>
      <c r="AH1633">
        <v>0.50244206557100601</v>
      </c>
      <c r="AI1633">
        <v>113.68379812042301</v>
      </c>
      <c r="AJ1633">
        <v>78.693941055037399</v>
      </c>
      <c r="AK1633">
        <v>0.55950945484927395</v>
      </c>
    </row>
    <row r="1634" spans="1:37" x14ac:dyDescent="0.2">
      <c r="A1634" t="str">
        <f>"20200111153639685"</f>
        <v>20200111153639685</v>
      </c>
      <c r="B1634" t="str">
        <f>"1578728199674264"</f>
        <v>1578728199674264</v>
      </c>
      <c r="C1634" t="s">
        <v>37</v>
      </c>
      <c r="D1634">
        <v>5.9300730000000001</v>
      </c>
      <c r="E1634">
        <v>0.5445603</v>
      </c>
      <c r="F1634" t="s">
        <v>38</v>
      </c>
      <c r="G1634">
        <v>-223.64279999999999</v>
      </c>
      <c r="H1634">
        <v>0.88872719999999905</v>
      </c>
      <c r="I1634">
        <v>283.42680000000001</v>
      </c>
      <c r="J1634">
        <v>-223.08789999999999</v>
      </c>
      <c r="K1634">
        <v>1.101032</v>
      </c>
      <c r="L1634">
        <v>283.34190000000001</v>
      </c>
      <c r="M1634">
        <v>-0.99906059999999997</v>
      </c>
      <c r="N1634">
        <v>0</v>
      </c>
      <c r="O1634">
        <v>-4.3327020000000001E-2</v>
      </c>
      <c r="P1634">
        <v>-0.99832330000000002</v>
      </c>
      <c r="Q1634">
        <v>3.8488149999999999E-2</v>
      </c>
      <c r="R1634">
        <v>-4.323461E-2</v>
      </c>
      <c r="S1634">
        <v>-3.0430299999999999</v>
      </c>
      <c r="T1634">
        <v>-0.71916329999999995</v>
      </c>
      <c r="U1634">
        <v>0.239563</v>
      </c>
      <c r="V1634">
        <v>2.377984E-4</v>
      </c>
      <c r="W1634">
        <v>3.9250130000000001E-2</v>
      </c>
      <c r="X1634">
        <v>0.99922939999999905</v>
      </c>
      <c r="Y1634">
        <v>0.1172035</v>
      </c>
      <c r="Z1634">
        <v>2.3728289999999999E-2</v>
      </c>
      <c r="AA1634">
        <v>0.99282440000000005</v>
      </c>
      <c r="AB1634">
        <v>35</v>
      </c>
      <c r="AC1634">
        <v>-0.55490000000000295</v>
      </c>
      <c r="AD1634">
        <v>-0.21230479999999999</v>
      </c>
      <c r="AE1634">
        <v>8.4900000000004597E-2</v>
      </c>
      <c r="AF1634">
        <v>9.52398579816503E-2</v>
      </c>
      <c r="AG1634">
        <v>-0.21230479999999999</v>
      </c>
      <c r="AH1634">
        <v>0.48178811799025401</v>
      </c>
      <c r="AI1634">
        <v>113.378566406022</v>
      </c>
      <c r="AJ1634">
        <v>78.817939992251397</v>
      </c>
      <c r="AK1634">
        <v>0.53503621306225202</v>
      </c>
    </row>
    <row r="1635" spans="1:37" x14ac:dyDescent="0.2">
      <c r="A1635" t="str">
        <f>"20200111153639708"</f>
        <v>20200111153639708</v>
      </c>
      <c r="B1635" t="str">
        <f>"1578728199704522"</f>
        <v>1578728199704522</v>
      </c>
      <c r="C1635" t="s">
        <v>37</v>
      </c>
      <c r="D1635">
        <v>5.9452160000000003</v>
      </c>
      <c r="E1635">
        <v>0.54525230000000002</v>
      </c>
      <c r="F1635" t="s">
        <v>38</v>
      </c>
      <c r="G1635">
        <v>-223.9598</v>
      </c>
      <c r="H1635">
        <v>0.89628529999999995</v>
      </c>
      <c r="I1635">
        <v>283.41140000000001</v>
      </c>
      <c r="J1635">
        <v>-223.41229999999999</v>
      </c>
      <c r="K1635">
        <v>1.1011569999999999</v>
      </c>
      <c r="L1635">
        <v>283.32909999999998</v>
      </c>
      <c r="M1635">
        <v>-0.99912319999999999</v>
      </c>
      <c r="N1635">
        <v>0</v>
      </c>
      <c r="O1635">
        <v>-4.1860950000000001E-2</v>
      </c>
      <c r="P1635">
        <v>-0.99835799999999997</v>
      </c>
      <c r="Q1635">
        <v>3.8455080000000003E-2</v>
      </c>
      <c r="R1635">
        <v>-4.2452400000000001E-2</v>
      </c>
      <c r="S1635">
        <v>-3.0430759999999899</v>
      </c>
      <c r="T1635">
        <v>-0.71456750000000002</v>
      </c>
      <c r="U1635">
        <v>0.2422791</v>
      </c>
      <c r="V1635">
        <v>-4.5771260000000003E-4</v>
      </c>
      <c r="W1635">
        <v>3.925203E-2</v>
      </c>
      <c r="X1635">
        <v>0.99922929999999999</v>
      </c>
      <c r="Y1635">
        <v>0.1167347</v>
      </c>
      <c r="Z1635">
        <v>2.3186169999999999E-2</v>
      </c>
      <c r="AA1635">
        <v>0.99289240000000001</v>
      </c>
      <c r="AB1635">
        <v>35</v>
      </c>
      <c r="AC1635">
        <v>-0.54750000000001298</v>
      </c>
      <c r="AD1635">
        <v>-0.20487169999999899</v>
      </c>
      <c r="AE1635">
        <v>8.2300000000032E-2</v>
      </c>
      <c r="AF1635">
        <v>9.24832130810464E-2</v>
      </c>
      <c r="AG1635">
        <v>-0.20487169999999899</v>
      </c>
      <c r="AH1635">
        <v>0.47810857717808197</v>
      </c>
      <c r="AI1635">
        <v>112.81678146849799</v>
      </c>
      <c r="AJ1635">
        <v>79.052167112687798</v>
      </c>
      <c r="AK1635">
        <v>0.52831181108691305</v>
      </c>
    </row>
    <row r="1636" spans="1:37" x14ac:dyDescent="0.2">
      <c r="A1636" t="str">
        <f>"20200111153639730"</f>
        <v>20200111153639730</v>
      </c>
      <c r="B1636" t="str">
        <f>"1578728199724042"</f>
        <v>1578728199724042</v>
      </c>
      <c r="C1636" t="s">
        <v>37</v>
      </c>
      <c r="D1636">
        <v>5.8807179999999999</v>
      </c>
      <c r="E1636">
        <v>0.54658699999999905</v>
      </c>
      <c r="F1636" t="s">
        <v>38</v>
      </c>
      <c r="G1636">
        <v>-224.27539999999999</v>
      </c>
      <c r="H1636">
        <v>0.89557299999999995</v>
      </c>
      <c r="I1636">
        <v>283.40019999999998</v>
      </c>
      <c r="J1636">
        <v>-223.79390000000001</v>
      </c>
      <c r="K1636">
        <v>1.1012759999999999</v>
      </c>
      <c r="L1636">
        <v>283.31450000000001</v>
      </c>
      <c r="M1636">
        <v>-0.99918779999999996</v>
      </c>
      <c r="N1636">
        <v>0</v>
      </c>
      <c r="O1636">
        <v>-4.0291100000000003E-2</v>
      </c>
      <c r="P1636">
        <v>-0.99848769999999998</v>
      </c>
      <c r="Q1636">
        <v>3.7297770000000001E-2</v>
      </c>
      <c r="R1636">
        <v>-4.039446E-2</v>
      </c>
      <c r="S1636">
        <v>-3.0435029999999998</v>
      </c>
      <c r="T1636">
        <v>-0.72491689999999998</v>
      </c>
      <c r="U1636">
        <v>0.25018309999999999</v>
      </c>
      <c r="V1636" s="1">
        <v>1.8073190000000001E-5</v>
      </c>
      <c r="W1636">
        <v>3.8131360000000003E-2</v>
      </c>
      <c r="X1636">
        <v>0.99927279999999996</v>
      </c>
      <c r="Y1636">
        <v>0.11762359999999999</v>
      </c>
      <c r="Z1636">
        <v>2.324352E-2</v>
      </c>
      <c r="AA1636">
        <v>0.99278619999999995</v>
      </c>
      <c r="AB1636">
        <v>35</v>
      </c>
      <c r="AC1636">
        <v>-0.481499999999982</v>
      </c>
      <c r="AD1636">
        <v>-0.205703</v>
      </c>
      <c r="AE1636">
        <v>8.5699999999974297E-2</v>
      </c>
      <c r="AF1636">
        <v>8.9242913761407805E-2</v>
      </c>
      <c r="AG1636">
        <v>-0.205703</v>
      </c>
      <c r="AH1636">
        <v>0.40585722528634999</v>
      </c>
      <c r="AI1636">
        <v>116.335876441671</v>
      </c>
      <c r="AJ1636">
        <v>77.598732090824399</v>
      </c>
      <c r="AK1636">
        <v>0.46367888584963801</v>
      </c>
    </row>
    <row r="1637" spans="1:37" x14ac:dyDescent="0.2">
      <c r="A1637" t="str">
        <f>"20200111153639752"</f>
        <v>20200111153639752</v>
      </c>
      <c r="B1637" t="str">
        <f>"1578728199744537"</f>
        <v>1578728199744537</v>
      </c>
      <c r="C1637" t="s">
        <v>37</v>
      </c>
      <c r="D1637">
        <v>5.9007899999999998</v>
      </c>
      <c r="E1637">
        <v>0.54758699999999905</v>
      </c>
      <c r="F1637" t="s">
        <v>38</v>
      </c>
      <c r="G1637">
        <v>-224.59690000000001</v>
      </c>
      <c r="H1637">
        <v>0.9058851</v>
      </c>
      <c r="I1637">
        <v>283.38490000000002</v>
      </c>
      <c r="J1637">
        <v>-224.14699999999999</v>
      </c>
      <c r="K1637">
        <v>1.101359</v>
      </c>
      <c r="L1637">
        <v>283.3014</v>
      </c>
      <c r="M1637">
        <v>-0.99924109999999999</v>
      </c>
      <c r="N1637">
        <v>0</v>
      </c>
      <c r="O1637">
        <v>-3.8941129999999997E-2</v>
      </c>
      <c r="P1637">
        <v>-0.99857109999999905</v>
      </c>
      <c r="Q1637">
        <v>3.7270190000000002E-2</v>
      </c>
      <c r="R1637">
        <v>-3.830194E-2</v>
      </c>
      <c r="S1637">
        <v>-3.042999</v>
      </c>
      <c r="T1637">
        <v>-0.74051400000000001</v>
      </c>
      <c r="U1637">
        <v>0.26669309999999902</v>
      </c>
      <c r="V1637">
        <v>7.5394820000000001E-4</v>
      </c>
      <c r="W1637">
        <v>3.8138020000000002E-2</v>
      </c>
      <c r="X1637">
        <v>0.99927219999999894</v>
      </c>
      <c r="Y1637">
        <v>0.1213857</v>
      </c>
      <c r="Z1637">
        <v>2.385557E-2</v>
      </c>
      <c r="AA1637">
        <v>0.9923187</v>
      </c>
      <c r="AB1637">
        <v>35</v>
      </c>
      <c r="AC1637">
        <v>-0.44989999999998498</v>
      </c>
      <c r="AD1637">
        <v>-0.19547389999999901</v>
      </c>
      <c r="AE1637">
        <v>8.3500000000015007E-2</v>
      </c>
      <c r="AF1637">
        <v>8.5376060195940198E-2</v>
      </c>
      <c r="AG1637">
        <v>-0.19547389999999901</v>
      </c>
      <c r="AH1637">
        <v>0.37743015978251698</v>
      </c>
      <c r="AI1637">
        <v>116.80039698960699</v>
      </c>
      <c r="AJ1637">
        <v>77.253995288770099</v>
      </c>
      <c r="AK1637">
        <v>0.43353505365684902</v>
      </c>
    </row>
    <row r="1638" spans="1:37" x14ac:dyDescent="0.2">
      <c r="A1638" t="str">
        <f>"20200111153639774"</f>
        <v>20200111153639774</v>
      </c>
      <c r="B1638" t="str">
        <f>"1578728199764058"</f>
        <v>1578728199764058</v>
      </c>
      <c r="C1638" t="s">
        <v>37</v>
      </c>
      <c r="D1638">
        <v>5.9018800000000002</v>
      </c>
      <c r="E1638">
        <v>0.54827789999999998</v>
      </c>
      <c r="F1638" t="s">
        <v>38</v>
      </c>
      <c r="G1638">
        <v>-224.91829999999999</v>
      </c>
      <c r="H1638">
        <v>0.91162779999999999</v>
      </c>
      <c r="I1638">
        <v>283.3725</v>
      </c>
      <c r="J1638">
        <v>-224.49889999999999</v>
      </c>
      <c r="K1638">
        <v>1.101426</v>
      </c>
      <c r="L1638">
        <v>283.28879999999998</v>
      </c>
      <c r="M1638">
        <v>-0.99929029999999996</v>
      </c>
      <c r="N1638">
        <v>0</v>
      </c>
      <c r="O1638">
        <v>-3.765992E-2</v>
      </c>
      <c r="P1638">
        <v>-0.99865059999999894</v>
      </c>
      <c r="Q1638">
        <v>3.7253210000000002E-2</v>
      </c>
      <c r="R1638">
        <v>-3.6185790000000002E-2</v>
      </c>
      <c r="S1638">
        <v>-3.043015</v>
      </c>
      <c r="T1638">
        <v>-0.74863159999999995</v>
      </c>
      <c r="U1638">
        <v>0.28057859999999901</v>
      </c>
      <c r="V1638">
        <v>1.5837609999999999E-3</v>
      </c>
      <c r="W1638">
        <v>3.8156130000000003E-2</v>
      </c>
      <c r="X1638">
        <v>0.99927060000000001</v>
      </c>
      <c r="Y1638">
        <v>0.12445299999999999</v>
      </c>
      <c r="Z1638">
        <v>2.4165929999999999E-2</v>
      </c>
      <c r="AA1638">
        <v>0.99193120000000001</v>
      </c>
      <c r="AB1638">
        <v>35</v>
      </c>
      <c r="AC1638">
        <v>-0.419399999999996</v>
      </c>
      <c r="AD1638">
        <v>-0.1897982</v>
      </c>
      <c r="AE1638">
        <v>8.3700000000021604E-2</v>
      </c>
      <c r="AF1638">
        <v>8.3073509570700602E-2</v>
      </c>
      <c r="AG1638">
        <v>-0.1897982</v>
      </c>
      <c r="AH1638">
        <v>0.34750727326935299</v>
      </c>
      <c r="AI1638">
        <v>117.97736738198699</v>
      </c>
      <c r="AJ1638">
        <v>76.555448631061196</v>
      </c>
      <c r="AK1638">
        <v>0.404581103971421</v>
      </c>
    </row>
    <row r="1639" spans="1:37" x14ac:dyDescent="0.2">
      <c r="A1639" t="str">
        <f>"20200111153639796"</f>
        <v>20200111153639796</v>
      </c>
      <c r="B1639" t="str">
        <f>"1578728199784087"</f>
        <v>1578728199784087</v>
      </c>
      <c r="C1639" t="s">
        <v>37</v>
      </c>
      <c r="D1639">
        <v>5.9094540000000002</v>
      </c>
      <c r="E1639">
        <v>0.54891119999999904</v>
      </c>
      <c r="F1639" t="s">
        <v>38</v>
      </c>
      <c r="G1639">
        <v>-225.2415</v>
      </c>
      <c r="H1639">
        <v>0.917408</v>
      </c>
      <c r="I1639">
        <v>283.36020000000002</v>
      </c>
      <c r="J1639">
        <v>-224.84630000000001</v>
      </c>
      <c r="K1639">
        <v>1.101477</v>
      </c>
      <c r="L1639">
        <v>283.27670000000001</v>
      </c>
      <c r="M1639">
        <v>-0.99933570000000005</v>
      </c>
      <c r="N1639">
        <v>0</v>
      </c>
      <c r="O1639">
        <v>-3.6431850000000002E-2</v>
      </c>
      <c r="P1639">
        <v>-0.99871880000000002</v>
      </c>
      <c r="Q1639">
        <v>3.690392E-2</v>
      </c>
      <c r="R1639">
        <v>-3.462548E-2</v>
      </c>
      <c r="S1639">
        <v>-3.042786</v>
      </c>
      <c r="T1639">
        <v>-0.75397879999999995</v>
      </c>
      <c r="U1639">
        <v>0.29235840000000002</v>
      </c>
      <c r="V1639">
        <v>1.911514E-3</v>
      </c>
      <c r="W1639">
        <v>3.7844019999999999E-2</v>
      </c>
      <c r="X1639">
        <v>0.9992818</v>
      </c>
      <c r="Y1639">
        <v>0.126943</v>
      </c>
      <c r="Z1639">
        <v>2.4335260000000001E-2</v>
      </c>
      <c r="AA1639">
        <v>0.99161149999999998</v>
      </c>
      <c r="AB1639">
        <v>36</v>
      </c>
      <c r="AC1639">
        <v>-0.39519999999998801</v>
      </c>
      <c r="AD1639">
        <v>-0.18406900000000001</v>
      </c>
      <c r="AE1639">
        <v>8.3500000000015007E-2</v>
      </c>
      <c r="AF1639">
        <v>8.1017967312987396E-2</v>
      </c>
      <c r="AG1639">
        <v>-0.18406900000000001</v>
      </c>
      <c r="AH1639">
        <v>0.32450726961044601</v>
      </c>
      <c r="AI1639">
        <v>118.825465359395</v>
      </c>
      <c r="AJ1639">
        <v>75.981846271787703</v>
      </c>
      <c r="AK1639">
        <v>0.38177254461073401</v>
      </c>
    </row>
    <row r="1640" spans="1:37" x14ac:dyDescent="0.2">
      <c r="A1640" t="str">
        <f>"20200111153639819"</f>
        <v>20200111153639819</v>
      </c>
      <c r="B1640" t="str">
        <f>"1578728199814340"</f>
        <v>1578728199814340</v>
      </c>
      <c r="C1640" t="s">
        <v>37</v>
      </c>
      <c r="D1640">
        <v>5.8625870000000004</v>
      </c>
      <c r="E1640">
        <v>0.54967069999999996</v>
      </c>
      <c r="F1640" t="s">
        <v>38</v>
      </c>
      <c r="G1640">
        <v>-225.5658</v>
      </c>
      <c r="H1640">
        <v>0.92169259999999997</v>
      </c>
      <c r="I1640">
        <v>283.34800000000001</v>
      </c>
      <c r="J1640">
        <v>-225.2149</v>
      </c>
      <c r="K1640">
        <v>1.101521</v>
      </c>
      <c r="L1640">
        <v>283.26429999999999</v>
      </c>
      <c r="M1640">
        <v>-0.99938150000000003</v>
      </c>
      <c r="N1640">
        <v>0</v>
      </c>
      <c r="O1640">
        <v>-3.5151839999999997E-2</v>
      </c>
      <c r="P1640">
        <v>-0.99880179999999996</v>
      </c>
      <c r="Q1640">
        <v>3.6796969999999998E-2</v>
      </c>
      <c r="R1640">
        <v>-3.2265439999999999E-2</v>
      </c>
      <c r="S1640">
        <v>-3.042389</v>
      </c>
      <c r="T1640">
        <v>-0.76024559999999997</v>
      </c>
      <c r="U1640">
        <v>0.30126950000000002</v>
      </c>
      <c r="V1640">
        <v>2.9893039999999999E-3</v>
      </c>
      <c r="W1640">
        <v>3.777494E-2</v>
      </c>
      <c r="X1640">
        <v>0.9992818</v>
      </c>
      <c r="Y1640">
        <v>0.1284747</v>
      </c>
      <c r="Z1640">
        <v>2.4405079999999999E-2</v>
      </c>
      <c r="AA1640">
        <v>0.99141250000000003</v>
      </c>
      <c r="AB1640">
        <v>36</v>
      </c>
      <c r="AC1640">
        <v>-0.35089999999999499</v>
      </c>
      <c r="AD1640">
        <v>-0.1798284</v>
      </c>
      <c r="AE1640">
        <v>8.3700000000021604E-2</v>
      </c>
      <c r="AF1640">
        <v>7.6879016792474997E-2</v>
      </c>
      <c r="AG1640">
        <v>-0.1798284</v>
      </c>
      <c r="AH1640">
        <v>0.27852811724118898</v>
      </c>
      <c r="AI1640">
        <v>121.896707838187</v>
      </c>
      <c r="AJ1640">
        <v>74.569490198364093</v>
      </c>
      <c r="AK1640">
        <v>0.34033299687726298</v>
      </c>
    </row>
    <row r="1641" spans="1:37" x14ac:dyDescent="0.2">
      <c r="A1641" t="str">
        <f>"20200111153639841"</f>
        <v>20200111153639841</v>
      </c>
      <c r="B1641" t="str">
        <f>"1578728199834837"</f>
        <v>1578728199834837</v>
      </c>
      <c r="C1641" t="s">
        <v>37</v>
      </c>
      <c r="D1641">
        <v>5.8646709999999898</v>
      </c>
      <c r="E1641">
        <v>0.5500391</v>
      </c>
      <c r="F1641" t="s">
        <v>38</v>
      </c>
      <c r="G1641">
        <v>-225.89359999999999</v>
      </c>
      <c r="H1641">
        <v>0.93064570000000002</v>
      </c>
      <c r="I1641">
        <v>283.33429999999998</v>
      </c>
      <c r="J1641">
        <v>-225.57919999999999</v>
      </c>
      <c r="K1641">
        <v>1.1015520000000001</v>
      </c>
      <c r="L1641">
        <v>283.25259999999997</v>
      </c>
      <c r="M1641">
        <v>-0.9994248</v>
      </c>
      <c r="N1641">
        <v>0</v>
      </c>
      <c r="O1641">
        <v>-3.38993E-2</v>
      </c>
      <c r="P1641">
        <v>-0.99888269999999901</v>
      </c>
      <c r="Q1641">
        <v>3.6819039999999997E-2</v>
      </c>
      <c r="R1641">
        <v>-2.9625060000000002E-2</v>
      </c>
      <c r="S1641">
        <v>-3.0419459999999998</v>
      </c>
      <c r="T1641">
        <v>-0.76583900000000005</v>
      </c>
      <c r="U1641">
        <v>0.31326290000000001</v>
      </c>
      <c r="V1641">
        <v>4.3758159999999898E-3</v>
      </c>
      <c r="W1641">
        <v>3.7834029999999998E-2</v>
      </c>
      <c r="X1641">
        <v>0.99927440000000001</v>
      </c>
      <c r="Y1641">
        <v>0.1310046</v>
      </c>
      <c r="Z1641">
        <v>2.4581160000000001E-2</v>
      </c>
      <c r="AA1641">
        <v>0.99107690000000004</v>
      </c>
      <c r="AB1641">
        <v>36</v>
      </c>
      <c r="AC1641">
        <v>-0.31440000000000601</v>
      </c>
      <c r="AD1641">
        <v>-0.17090630000000001</v>
      </c>
      <c r="AE1641">
        <v>8.1700000000012096E-2</v>
      </c>
      <c r="AF1641">
        <v>7.2298488978175507E-2</v>
      </c>
      <c r="AG1641">
        <v>-0.17090630000000001</v>
      </c>
      <c r="AH1641">
        <v>0.24392919035817201</v>
      </c>
      <c r="AI1641">
        <v>123.891387751358</v>
      </c>
      <c r="AJ1641">
        <v>73.490634931034904</v>
      </c>
      <c r="AK1641">
        <v>0.30649222632394901</v>
      </c>
    </row>
    <row r="1642" spans="1:37" x14ac:dyDescent="0.2">
      <c r="A1642" t="str">
        <f>"20200111153639864"</f>
        <v>20200111153639864</v>
      </c>
      <c r="B1642" t="str">
        <f>"1578728199854355"</f>
        <v>1578728199854355</v>
      </c>
      <c r="C1642" t="s">
        <v>37</v>
      </c>
      <c r="D1642">
        <v>5.8508009999999997</v>
      </c>
      <c r="E1642">
        <v>0.550284</v>
      </c>
      <c r="F1642" t="s">
        <v>38</v>
      </c>
      <c r="G1642">
        <v>-226.52119999999999</v>
      </c>
      <c r="H1642">
        <v>0.8636258</v>
      </c>
      <c r="I1642">
        <v>283.35289999999998</v>
      </c>
      <c r="J1642">
        <v>-225.9556</v>
      </c>
      <c r="K1642">
        <v>1.1015760000000001</v>
      </c>
      <c r="L1642">
        <v>283.24090000000001</v>
      </c>
      <c r="M1642">
        <v>-0.99946759999999901</v>
      </c>
      <c r="N1642">
        <v>0</v>
      </c>
      <c r="O1642">
        <v>-3.2610769999999997E-2</v>
      </c>
      <c r="P1642">
        <v>-0.99895879999999904</v>
      </c>
      <c r="Q1642">
        <v>3.6205229999999998E-2</v>
      </c>
      <c r="R1642">
        <v>-2.7759389999999998E-2</v>
      </c>
      <c r="S1642">
        <v>-3.0412750000000002</v>
      </c>
      <c r="T1642">
        <v>-0.76812230000000004</v>
      </c>
      <c r="U1642">
        <v>0.32385249999999999</v>
      </c>
      <c r="V1642">
        <v>4.951006E-3</v>
      </c>
      <c r="W1642">
        <v>3.7261750000000003E-2</v>
      </c>
      <c r="X1642">
        <v>0.99929330000000005</v>
      </c>
      <c r="Y1642">
        <v>0.13310759999999999</v>
      </c>
      <c r="Z1642">
        <v>2.459443E-2</v>
      </c>
      <c r="AA1642">
        <v>0.99079640000000002</v>
      </c>
      <c r="AB1642">
        <v>36</v>
      </c>
      <c r="AC1642">
        <v>-0.565599999999989</v>
      </c>
      <c r="AD1642">
        <v>-0.2379502</v>
      </c>
      <c r="AE1642">
        <v>0.111999999999966</v>
      </c>
      <c r="AF1642">
        <v>0.11141038988188599</v>
      </c>
      <c r="AG1642">
        <v>-0.2379502</v>
      </c>
      <c r="AH1642">
        <v>0.47991134801997398</v>
      </c>
      <c r="AI1642">
        <v>115.77949588997301</v>
      </c>
      <c r="AJ1642">
        <v>76.930410407732595</v>
      </c>
      <c r="AK1642">
        <v>0.54712656178623098</v>
      </c>
    </row>
    <row r="1643" spans="1:37" x14ac:dyDescent="0.2">
      <c r="A1643" t="str">
        <f>"20200111153639886"</f>
        <v>20200111153639886</v>
      </c>
      <c r="B1643" t="str">
        <f>"1578728199884612"</f>
        <v>1578728199884612</v>
      </c>
      <c r="C1643" t="s">
        <v>37</v>
      </c>
      <c r="D1643">
        <v>5.7817040000000004</v>
      </c>
      <c r="E1643">
        <v>0.56011999999999995</v>
      </c>
      <c r="F1643" t="s">
        <v>38</v>
      </c>
      <c r="G1643">
        <v>-226.85380000000001</v>
      </c>
      <c r="H1643">
        <v>0.87343930000000003</v>
      </c>
      <c r="I1643">
        <v>283.33909999999997</v>
      </c>
      <c r="J1643">
        <v>-226.31880000000001</v>
      </c>
      <c r="K1643">
        <v>1.101583</v>
      </c>
      <c r="L1643">
        <v>283.23</v>
      </c>
      <c r="M1643">
        <v>-0.99950720000000004</v>
      </c>
      <c r="N1643">
        <v>0</v>
      </c>
      <c r="O1643">
        <v>-3.1370910000000002E-2</v>
      </c>
      <c r="P1643">
        <v>-0.99898619999999905</v>
      </c>
      <c r="Q1643">
        <v>3.5774220000000002E-2</v>
      </c>
      <c r="R1643">
        <v>-2.7326389999999999E-2</v>
      </c>
      <c r="S1643">
        <v>-3.0403289999999998</v>
      </c>
      <c r="T1643">
        <v>-0.77215699999999998</v>
      </c>
      <c r="U1643">
        <v>0.33190920000000002</v>
      </c>
      <c r="V1643">
        <v>4.1424590000000002E-3</v>
      </c>
      <c r="W1643">
        <v>3.6874820000000003E-2</v>
      </c>
      <c r="X1643">
        <v>0.99931130000000001</v>
      </c>
      <c r="Y1643">
        <v>0.13444879999999901</v>
      </c>
      <c r="Z1643">
        <v>2.4581780000000001E-2</v>
      </c>
      <c r="AA1643">
        <v>0.99061559999999904</v>
      </c>
      <c r="AB1643">
        <v>37</v>
      </c>
      <c r="AC1643">
        <v>-0.53499999999999603</v>
      </c>
      <c r="AD1643">
        <v>-0.22814369999999901</v>
      </c>
      <c r="AE1643">
        <v>0.109099999999955</v>
      </c>
      <c r="AF1643">
        <v>0.107126708103956</v>
      </c>
      <c r="AG1643">
        <v>-0.22814369999999901</v>
      </c>
      <c r="AH1643">
        <v>0.45234081725160302</v>
      </c>
      <c r="AI1643">
        <v>116.14119141611501</v>
      </c>
      <c r="AJ1643">
        <v>76.676265526121995</v>
      </c>
      <c r="AK1643">
        <v>0.51782033022152396</v>
      </c>
    </row>
    <row r="1644" spans="1:37" x14ac:dyDescent="0.2">
      <c r="A1644" t="str">
        <f>"20200111153639908"</f>
        <v>20200111153639908</v>
      </c>
      <c r="B1644" t="str">
        <f>"1578728199904132"</f>
        <v>1578728199904132</v>
      </c>
      <c r="C1644" t="s">
        <v>37</v>
      </c>
      <c r="D1644">
        <v>5.7566930000000003</v>
      </c>
      <c r="E1644">
        <v>0.56206789999999995</v>
      </c>
      <c r="F1644" t="s">
        <v>38</v>
      </c>
      <c r="G1644">
        <v>-227.18049999999999</v>
      </c>
      <c r="H1644">
        <v>0.8607378</v>
      </c>
      <c r="I1644">
        <v>283.34719999999999</v>
      </c>
      <c r="J1644">
        <v>-226.67230000000001</v>
      </c>
      <c r="K1644">
        <v>1.101583</v>
      </c>
      <c r="L1644">
        <v>283.2199</v>
      </c>
      <c r="M1644">
        <v>-0.99954409999999905</v>
      </c>
      <c r="N1644">
        <v>0</v>
      </c>
      <c r="O1644">
        <v>-3.016659E-2</v>
      </c>
      <c r="P1644">
        <v>-0.99902649999999904</v>
      </c>
      <c r="Q1644">
        <v>3.5082049999999997E-2</v>
      </c>
      <c r="R1644">
        <v>-2.674377E-2</v>
      </c>
      <c r="S1644">
        <v>-3.0448300000000001</v>
      </c>
      <c r="T1644">
        <v>-0.85101800000000005</v>
      </c>
      <c r="U1644">
        <v>0.41336059999999902</v>
      </c>
      <c r="V1644">
        <v>3.5190239999999999E-3</v>
      </c>
      <c r="W1644">
        <v>3.6225319999999998E-2</v>
      </c>
      <c r="X1644">
        <v>0.99933739999999904</v>
      </c>
      <c r="Y1644">
        <v>0.15729170000000001</v>
      </c>
      <c r="Z1644">
        <v>2.9715180000000001E-2</v>
      </c>
      <c r="AA1644">
        <v>0.98710499999999901</v>
      </c>
      <c r="AB1644">
        <v>37</v>
      </c>
      <c r="AC1644">
        <v>-0.50819999999998799</v>
      </c>
      <c r="AD1644">
        <v>-0.24084519999999901</v>
      </c>
      <c r="AE1644">
        <v>0.127299999999991</v>
      </c>
      <c r="AF1644">
        <v>0.117698581872088</v>
      </c>
      <c r="AG1644">
        <v>-0.24084519999999901</v>
      </c>
      <c r="AH1644">
        <v>0.41617500568502303</v>
      </c>
      <c r="AI1644">
        <v>119.11212107160701</v>
      </c>
      <c r="AJ1644">
        <v>74.208550034722293</v>
      </c>
      <c r="AK1644">
        <v>0.49503636421445801</v>
      </c>
    </row>
    <row r="1645" spans="1:37" x14ac:dyDescent="0.2">
      <c r="A1645" t="str">
        <f>"20200111153639932"</f>
        <v>20200111153639932</v>
      </c>
      <c r="B1645" t="str">
        <f>"1578728199924628"</f>
        <v>1578728199924628</v>
      </c>
      <c r="C1645" t="s">
        <v>37</v>
      </c>
      <c r="D1645">
        <v>5.788062</v>
      </c>
      <c r="E1645">
        <v>0.56209609999999999</v>
      </c>
      <c r="F1645" t="s">
        <v>38</v>
      </c>
      <c r="G1645">
        <v>-227.5145</v>
      </c>
      <c r="H1645">
        <v>0.86519740000000001</v>
      </c>
      <c r="I1645">
        <v>283.33909999999997</v>
      </c>
      <c r="J1645">
        <v>-227.07550000000001</v>
      </c>
      <c r="K1645">
        <v>1.101586</v>
      </c>
      <c r="L1645">
        <v>283.2088</v>
      </c>
      <c r="M1645">
        <v>-0.99958469999999999</v>
      </c>
      <c r="N1645">
        <v>0</v>
      </c>
      <c r="O1645">
        <v>-2.8795979999999999E-2</v>
      </c>
      <c r="P1645">
        <v>-0.99904159999999997</v>
      </c>
      <c r="Q1645">
        <v>3.4456849999999997E-2</v>
      </c>
      <c r="R1645">
        <v>-2.6998620000000001E-2</v>
      </c>
      <c r="S1645">
        <v>-3.0444640000000001</v>
      </c>
      <c r="T1645">
        <v>-0.85455380000000003</v>
      </c>
      <c r="U1645">
        <v>0.43057250000000002</v>
      </c>
      <c r="V1645">
        <v>1.8922769999999999E-3</v>
      </c>
      <c r="W1645">
        <v>3.5652059999999999E-2</v>
      </c>
      <c r="X1645">
        <v>0.99936250000000004</v>
      </c>
      <c r="Y1645">
        <v>0.16127710000000001</v>
      </c>
      <c r="Z1645">
        <v>2.9997059999999999E-2</v>
      </c>
      <c r="AA1645">
        <v>0.98645319999999903</v>
      </c>
      <c r="AB1645">
        <v>37</v>
      </c>
      <c r="AC1645">
        <v>-0.43899999999999201</v>
      </c>
      <c r="AD1645">
        <v>-0.23638859999999901</v>
      </c>
      <c r="AE1645">
        <v>0.13029999999997699</v>
      </c>
      <c r="AF1645">
        <v>0.112822918672204</v>
      </c>
      <c r="AG1645">
        <v>-0.23638859999999901</v>
      </c>
      <c r="AH1645">
        <v>0.343524999522269</v>
      </c>
      <c r="AI1645">
        <v>123.1754487956</v>
      </c>
      <c r="AJ1645">
        <v>71.818418373514007</v>
      </c>
      <c r="AK1645">
        <v>0.431993063005009</v>
      </c>
    </row>
    <row r="1646" spans="1:37" x14ac:dyDescent="0.2">
      <c r="A1646" t="str">
        <f>"20200111153639953"</f>
        <v>20200111153639953</v>
      </c>
      <c r="B1646" t="str">
        <f>"1578728199944148"</f>
        <v>1578728199944148</v>
      </c>
      <c r="C1646" t="s">
        <v>37</v>
      </c>
      <c r="D1646">
        <v>5.7392690000000002</v>
      </c>
      <c r="E1646">
        <v>0.56186230000000004</v>
      </c>
      <c r="F1646" t="s">
        <v>38</v>
      </c>
      <c r="G1646">
        <v>-227.85480000000001</v>
      </c>
      <c r="H1646">
        <v>0.88364469999999995</v>
      </c>
      <c r="I1646">
        <v>283.31920000000002</v>
      </c>
      <c r="J1646">
        <v>-227.43889999999999</v>
      </c>
      <c r="K1646">
        <v>1.1015779999999999</v>
      </c>
      <c r="L1646">
        <v>283.19929999999999</v>
      </c>
      <c r="M1646">
        <v>-0.99961939999999905</v>
      </c>
      <c r="N1646">
        <v>0</v>
      </c>
      <c r="O1646">
        <v>-2.7563310000000001E-2</v>
      </c>
      <c r="P1646">
        <v>-0.99902089999999999</v>
      </c>
      <c r="Q1646">
        <v>3.3782279999999998E-2</v>
      </c>
      <c r="R1646">
        <v>-2.8568099999999999E-2</v>
      </c>
      <c r="S1646">
        <v>-3.0438839999999998</v>
      </c>
      <c r="T1646">
        <v>-0.85116849999999999</v>
      </c>
      <c r="U1646">
        <v>0.43045040000000001</v>
      </c>
      <c r="V1646">
        <v>-9.1193130000000004E-4</v>
      </c>
      <c r="W1646">
        <v>3.5028740000000003E-2</v>
      </c>
      <c r="X1646">
        <v>0.99938590000000005</v>
      </c>
      <c r="Y1646">
        <v>0.16018969999999999</v>
      </c>
      <c r="Z1646">
        <v>2.9402749999999998E-2</v>
      </c>
      <c r="AA1646">
        <v>0.98664830000000003</v>
      </c>
      <c r="AB1646">
        <v>37</v>
      </c>
      <c r="AC1646">
        <v>-0.41590000000002098</v>
      </c>
      <c r="AD1646">
        <v>-0.2179333</v>
      </c>
      <c r="AE1646">
        <v>0.119900000000029</v>
      </c>
      <c r="AF1646">
        <v>0.10476020456376001</v>
      </c>
      <c r="AG1646">
        <v>-0.2179333</v>
      </c>
      <c r="AH1646">
        <v>0.32902563364616899</v>
      </c>
      <c r="AI1646">
        <v>122.257688593777</v>
      </c>
      <c r="AJ1646">
        <v>72.338771042428604</v>
      </c>
      <c r="AK1646">
        <v>0.40832277833277197</v>
      </c>
    </row>
    <row r="1647" spans="1:37" x14ac:dyDescent="0.2">
      <c r="A1647" t="str">
        <f>"20200111153639976"</f>
        <v>20200111153639976</v>
      </c>
      <c r="B1647" t="str">
        <f>"1578728199964646"</f>
        <v>1578728199964646</v>
      </c>
      <c r="C1647" t="s">
        <v>37</v>
      </c>
      <c r="D1647">
        <v>5.7103320000000002</v>
      </c>
      <c r="E1647">
        <v>0.56142599999999998</v>
      </c>
      <c r="F1647" t="s">
        <v>38</v>
      </c>
      <c r="G1647">
        <v>-228.1926</v>
      </c>
      <c r="H1647">
        <v>0.89084789999999903</v>
      </c>
      <c r="I1647">
        <v>283.30509999999998</v>
      </c>
      <c r="J1647">
        <v>-227.81190000000001</v>
      </c>
      <c r="K1647">
        <v>1.1015760000000001</v>
      </c>
      <c r="L1647">
        <v>283.19</v>
      </c>
      <c r="M1647">
        <v>-0.99965329999999997</v>
      </c>
      <c r="N1647">
        <v>0</v>
      </c>
      <c r="O1647">
        <v>-2.630037E-2</v>
      </c>
      <c r="P1647">
        <v>-0.99896689999999999</v>
      </c>
      <c r="Q1647">
        <v>3.3674170000000003E-2</v>
      </c>
      <c r="R1647">
        <v>-3.051773E-2</v>
      </c>
      <c r="S1647">
        <v>-3.0439150000000001</v>
      </c>
      <c r="T1647">
        <v>-0.85100069999999906</v>
      </c>
      <c r="U1647">
        <v>0.42620849999999999</v>
      </c>
      <c r="V1647">
        <v>-4.1247899999999997E-3</v>
      </c>
      <c r="W1647">
        <v>3.4973940000000002E-2</v>
      </c>
      <c r="X1647">
        <v>0.99937969999999898</v>
      </c>
      <c r="Y1647">
        <v>0.1577354</v>
      </c>
      <c r="Z1647">
        <v>2.8719379999999999E-2</v>
      </c>
      <c r="AA1647">
        <v>0.98706369999999899</v>
      </c>
      <c r="AB1647">
        <v>37</v>
      </c>
      <c r="AC1647">
        <v>-0.38069999999998999</v>
      </c>
      <c r="AD1647">
        <v>-0.2107281</v>
      </c>
      <c r="AE1647">
        <v>0.11509999999998401</v>
      </c>
      <c r="AF1647">
        <v>9.7657231505463099E-2</v>
      </c>
      <c r="AG1647">
        <v>-0.2107281</v>
      </c>
      <c r="AH1647">
        <v>0.29478542559674298</v>
      </c>
      <c r="AI1647">
        <v>124.160226563718</v>
      </c>
      <c r="AJ1647">
        <v>71.670873568556701</v>
      </c>
      <c r="AK1647">
        <v>0.375288840946776</v>
      </c>
    </row>
    <row r="1648" spans="1:37" x14ac:dyDescent="0.2">
      <c r="A1648" t="str">
        <f>"20200111153639998"</f>
        <v>20200111153639998</v>
      </c>
      <c r="B1648" t="str">
        <f>"1578728199993924"</f>
        <v>1578728199993924</v>
      </c>
      <c r="C1648" t="s">
        <v>37</v>
      </c>
      <c r="D1648">
        <v>5.6952829999999999</v>
      </c>
      <c r="E1648">
        <v>0.56111009999999995</v>
      </c>
      <c r="F1648" t="s">
        <v>38</v>
      </c>
      <c r="G1648">
        <v>-228.53290000000001</v>
      </c>
      <c r="H1648">
        <v>0.90048479999999997</v>
      </c>
      <c r="I1648">
        <v>283.28890000000001</v>
      </c>
      <c r="J1648">
        <v>-228.1825</v>
      </c>
      <c r="K1648">
        <v>1.101575</v>
      </c>
      <c r="L1648">
        <v>283.18119999999999</v>
      </c>
      <c r="M1648">
        <v>-0.99968539999999995</v>
      </c>
      <c r="N1648">
        <v>0</v>
      </c>
      <c r="O1648">
        <v>-2.5048879999999999E-2</v>
      </c>
      <c r="P1648">
        <v>-0.99888779999999999</v>
      </c>
      <c r="Q1648">
        <v>3.4436500000000002E-2</v>
      </c>
      <c r="R1648">
        <v>-3.2202960000000003E-2</v>
      </c>
      <c r="S1648">
        <v>-3.044495</v>
      </c>
      <c r="T1648">
        <v>-0.84915969999999996</v>
      </c>
      <c r="U1648">
        <v>0.41790769999999999</v>
      </c>
      <c r="V1648">
        <v>-7.0595839999999998E-3</v>
      </c>
      <c r="W1648">
        <v>3.5788830000000001E-2</v>
      </c>
      <c r="X1648">
        <v>0.99933449999999902</v>
      </c>
      <c r="Y1648">
        <v>0.1540475</v>
      </c>
      <c r="Z1648">
        <v>2.7815619999999999E-2</v>
      </c>
      <c r="AA1648">
        <v>0.98767190000000005</v>
      </c>
      <c r="AB1648">
        <v>37</v>
      </c>
      <c r="AC1648">
        <v>-0.35040000000000698</v>
      </c>
      <c r="AD1648">
        <v>-0.2010902</v>
      </c>
      <c r="AE1648">
        <v>0.107700000000022</v>
      </c>
      <c r="AF1648">
        <v>8.9508556811076403E-2</v>
      </c>
      <c r="AG1648">
        <v>-0.2010902</v>
      </c>
      <c r="AH1648">
        <v>0.26718989344952798</v>
      </c>
      <c r="AI1648">
        <v>125.51288532752</v>
      </c>
      <c r="AJ1648">
        <v>71.4791616075468</v>
      </c>
      <c r="AK1648">
        <v>0.34617840695226998</v>
      </c>
    </row>
    <row r="1649" spans="1:37" x14ac:dyDescent="0.2">
      <c r="A1649" t="str">
        <f>"20200111153640021"</f>
        <v>20200111153640021</v>
      </c>
      <c r="B1649" t="str">
        <f>"1578728200014420"</f>
        <v>1578728200014420</v>
      </c>
      <c r="C1649" t="s">
        <v>37</v>
      </c>
      <c r="D1649">
        <v>5.7195109999999998</v>
      </c>
      <c r="E1649">
        <v>0.56103029999999998</v>
      </c>
      <c r="F1649" t="s">
        <v>38</v>
      </c>
      <c r="G1649">
        <v>-228.87440000000001</v>
      </c>
      <c r="H1649">
        <v>0.90917359999999903</v>
      </c>
      <c r="I1649">
        <v>283.27480000000003</v>
      </c>
      <c r="J1649">
        <v>-228.56720000000001</v>
      </c>
      <c r="K1649">
        <v>1.1015729999999999</v>
      </c>
      <c r="L1649">
        <v>283.17250000000001</v>
      </c>
      <c r="M1649">
        <v>-0.99971699999999997</v>
      </c>
      <c r="N1649">
        <v>0</v>
      </c>
      <c r="O1649">
        <v>-2.3752929999999998E-2</v>
      </c>
      <c r="P1649">
        <v>-0.99879340000000005</v>
      </c>
      <c r="Q1649">
        <v>3.5361280000000002E-2</v>
      </c>
      <c r="R1649">
        <v>-3.4078369999999997E-2</v>
      </c>
      <c r="S1649">
        <v>-3.0458069999999999</v>
      </c>
      <c r="T1649">
        <v>-0.84693439999999998</v>
      </c>
      <c r="U1649">
        <v>0.4113464</v>
      </c>
      <c r="V1649">
        <v>-1.022899E-2</v>
      </c>
      <c r="W1649">
        <v>3.6768559999999999E-2</v>
      </c>
      <c r="X1649">
        <v>0.99927149999999998</v>
      </c>
      <c r="Y1649">
        <v>0.1508274</v>
      </c>
      <c r="Z1649">
        <v>2.6947869999999999E-2</v>
      </c>
      <c r="AA1649">
        <v>0.98819269999999904</v>
      </c>
      <c r="AB1649">
        <v>38</v>
      </c>
      <c r="AC1649">
        <v>-0.30719999999999398</v>
      </c>
      <c r="AD1649">
        <v>-0.1923994</v>
      </c>
      <c r="AE1649">
        <v>0.10230000000001301</v>
      </c>
      <c r="AF1649">
        <v>8.0975833105492195E-2</v>
      </c>
      <c r="AG1649">
        <v>-0.1923994</v>
      </c>
      <c r="AH1649">
        <v>0.22517507251282901</v>
      </c>
      <c r="AI1649">
        <v>128.80047892943099</v>
      </c>
      <c r="AJ1649">
        <v>70.2207668724418</v>
      </c>
      <c r="AK1649">
        <v>0.30704792451447399</v>
      </c>
    </row>
    <row r="1650" spans="1:37" x14ac:dyDescent="0.2">
      <c r="A1650" t="str">
        <f>"20200111153640044"</f>
        <v>20200111153640044</v>
      </c>
      <c r="B1650" t="str">
        <f>"1578728200033940"</f>
        <v>1578728200033940</v>
      </c>
      <c r="C1650" t="s">
        <v>37</v>
      </c>
      <c r="D1650">
        <v>5.6694559999999896</v>
      </c>
      <c r="E1650">
        <v>0.56107899999999999</v>
      </c>
      <c r="F1650" t="s">
        <v>38</v>
      </c>
      <c r="G1650">
        <v>-229.52850000000001</v>
      </c>
      <c r="H1650">
        <v>0.83546969999999998</v>
      </c>
      <c r="I1650">
        <v>283.30130000000003</v>
      </c>
      <c r="J1650">
        <v>-228.98400000000001</v>
      </c>
      <c r="K1650">
        <v>1.1015680000000001</v>
      </c>
      <c r="L1650">
        <v>283.16359999999997</v>
      </c>
      <c r="M1650">
        <v>-0.9997492</v>
      </c>
      <c r="N1650">
        <v>0</v>
      </c>
      <c r="O1650">
        <v>-2.235148E-2</v>
      </c>
      <c r="P1650">
        <v>-0.99871299999999996</v>
      </c>
      <c r="Q1650">
        <v>3.562063E-2</v>
      </c>
      <c r="R1650">
        <v>-3.6114319999999998E-2</v>
      </c>
      <c r="S1650">
        <v>-3.047409</v>
      </c>
      <c r="T1650">
        <v>-0.84354910000000005</v>
      </c>
      <c r="U1650">
        <v>0.40801999999999999</v>
      </c>
      <c r="V1650">
        <v>-1.3665200000000001E-2</v>
      </c>
      <c r="W1650">
        <v>3.7087820000000001E-2</v>
      </c>
      <c r="X1650">
        <v>0.99921859999999996</v>
      </c>
      <c r="Y1650">
        <v>0.14850859999999999</v>
      </c>
      <c r="Z1650">
        <v>2.6139269999999999E-2</v>
      </c>
      <c r="AA1650">
        <v>0.98856559999999905</v>
      </c>
      <c r="AB1650">
        <v>38</v>
      </c>
      <c r="AC1650">
        <v>-0.54449999999999898</v>
      </c>
      <c r="AD1650">
        <v>-0.26609830000000001</v>
      </c>
      <c r="AE1650">
        <v>0.137700000000052</v>
      </c>
      <c r="AF1650">
        <v>0.12236767610541099</v>
      </c>
      <c r="AG1650">
        <v>-0.26609830000000001</v>
      </c>
      <c r="AH1650">
        <v>0.44205620918330701</v>
      </c>
      <c r="AI1650">
        <v>120.119693886804</v>
      </c>
      <c r="AJ1650">
        <v>74.527126955866805</v>
      </c>
      <c r="AK1650">
        <v>0.53027902607574895</v>
      </c>
    </row>
    <row r="1651" spans="1:37" x14ac:dyDescent="0.2">
      <c r="A1651" t="str">
        <f>"20200111153640066"</f>
        <v>20200111153640066</v>
      </c>
      <c r="B1651" t="str">
        <f>"1578728200054436"</f>
        <v>1578728200054436</v>
      </c>
      <c r="C1651" t="s">
        <v>37</v>
      </c>
      <c r="D1651">
        <v>5.6927940000000001</v>
      </c>
      <c r="E1651">
        <v>0.56105469999999902</v>
      </c>
      <c r="F1651" t="s">
        <v>38</v>
      </c>
      <c r="G1651">
        <v>-229.87860000000001</v>
      </c>
      <c r="H1651">
        <v>0.85443060000000004</v>
      </c>
      <c r="I1651">
        <v>283.28230000000002</v>
      </c>
      <c r="J1651">
        <v>-229.3415</v>
      </c>
      <c r="K1651">
        <v>1.1015649999999999</v>
      </c>
      <c r="L1651">
        <v>283.15649999999999</v>
      </c>
      <c r="M1651">
        <v>-0.99977519999999998</v>
      </c>
      <c r="N1651">
        <v>0</v>
      </c>
      <c r="O1651">
        <v>-2.1152089999999998E-2</v>
      </c>
      <c r="P1651">
        <v>-0.9986659</v>
      </c>
      <c r="Q1651">
        <v>3.5605169999999998E-2</v>
      </c>
      <c r="R1651">
        <v>-3.7407129999999997E-2</v>
      </c>
      <c r="S1651">
        <v>-3.0485229999999999</v>
      </c>
      <c r="T1651">
        <v>-0.84213689999999997</v>
      </c>
      <c r="U1651">
        <v>0.40405269999999999</v>
      </c>
      <c r="V1651">
        <v>-1.61561E-2</v>
      </c>
      <c r="W1651">
        <v>3.7122599999999999E-2</v>
      </c>
      <c r="X1651">
        <v>0.99918009999999902</v>
      </c>
      <c r="Y1651">
        <v>0.14616599999999999</v>
      </c>
      <c r="Z1651">
        <v>2.5449679999999999E-2</v>
      </c>
      <c r="AA1651">
        <v>0.988932699999999</v>
      </c>
      <c r="AB1651">
        <v>38</v>
      </c>
      <c r="AC1651">
        <v>-0.53710000000000901</v>
      </c>
      <c r="AD1651">
        <v>-0.247134399999999</v>
      </c>
      <c r="AE1651">
        <v>0.125800000000026</v>
      </c>
      <c r="AF1651">
        <v>0.11420996698909</v>
      </c>
      <c r="AG1651">
        <v>-0.247134399999999</v>
      </c>
      <c r="AH1651">
        <v>0.44500373771361801</v>
      </c>
      <c r="AI1651">
        <v>118.276693692291</v>
      </c>
      <c r="AJ1651">
        <v>75.605746521529198</v>
      </c>
      <c r="AK1651">
        <v>0.52167773078989998</v>
      </c>
    </row>
    <row r="1652" spans="1:37" x14ac:dyDescent="0.2">
      <c r="A1652" t="str">
        <f>"20200111153640087"</f>
        <v>20200111153640087</v>
      </c>
      <c r="B1652" t="str">
        <f>"1578728200084692"</f>
        <v>1578728200084692</v>
      </c>
      <c r="C1652" t="s">
        <v>37</v>
      </c>
      <c r="D1652">
        <v>5.6977789999999997</v>
      </c>
      <c r="E1652">
        <v>0.56122830000000001</v>
      </c>
      <c r="F1652" t="s">
        <v>38</v>
      </c>
      <c r="G1652">
        <v>-230.22450000000001</v>
      </c>
      <c r="H1652">
        <v>0.85806119999999997</v>
      </c>
      <c r="I1652">
        <v>283.272999999999</v>
      </c>
      <c r="J1652">
        <v>-229.71289999999999</v>
      </c>
      <c r="K1652">
        <v>1.1015520000000001</v>
      </c>
      <c r="L1652">
        <v>283.14960000000002</v>
      </c>
      <c r="M1652">
        <v>-0.99980079999999905</v>
      </c>
      <c r="N1652">
        <v>0</v>
      </c>
      <c r="O1652">
        <v>-1.9907879999999999E-2</v>
      </c>
      <c r="P1652">
        <v>-0.99863670000000004</v>
      </c>
      <c r="Q1652">
        <v>3.5260060000000003E-2</v>
      </c>
      <c r="R1652">
        <v>-3.8496420000000003E-2</v>
      </c>
      <c r="S1652">
        <v>-3.049026</v>
      </c>
      <c r="T1652">
        <v>-0.84069729999999998</v>
      </c>
      <c r="U1652">
        <v>0.402099599999999</v>
      </c>
      <c r="V1652">
        <v>-1.848988E-2</v>
      </c>
      <c r="W1652">
        <v>3.682908E-2</v>
      </c>
      <c r="X1652">
        <v>0.99915049999999905</v>
      </c>
      <c r="Y1652">
        <v>0.14442389999999999</v>
      </c>
      <c r="Z1652">
        <v>2.4834330000000002E-2</v>
      </c>
      <c r="AA1652">
        <v>0.98920419999999998</v>
      </c>
      <c r="AB1652">
        <v>38</v>
      </c>
      <c r="AC1652">
        <v>-0.51160000000001504</v>
      </c>
      <c r="AD1652">
        <v>-0.24349080000000001</v>
      </c>
      <c r="AE1652">
        <v>0.123399999999946</v>
      </c>
      <c r="AF1652">
        <v>0.110010976673022</v>
      </c>
      <c r="AG1652">
        <v>-0.24349080000000001</v>
      </c>
      <c r="AH1652">
        <v>0.41928740784900997</v>
      </c>
      <c r="AI1652">
        <v>119.323469725897</v>
      </c>
      <c r="AJ1652">
        <v>75.298339945061997</v>
      </c>
      <c r="AK1652">
        <v>0.49718418624684202</v>
      </c>
    </row>
    <row r="1653" spans="1:37" x14ac:dyDescent="0.2">
      <c r="A1653" t="str">
        <f>"20200111153640110"</f>
        <v>20200111153640110</v>
      </c>
      <c r="B1653" t="str">
        <f>"1578728200104212"</f>
        <v>1578728200104212</v>
      </c>
      <c r="C1653" t="s">
        <v>37</v>
      </c>
      <c r="D1653">
        <v>5.6994449999999999</v>
      </c>
      <c r="E1653">
        <v>0.56151830000000003</v>
      </c>
      <c r="F1653" t="s">
        <v>38</v>
      </c>
      <c r="G1653">
        <v>-230.57329999999999</v>
      </c>
      <c r="H1653">
        <v>0.86457589999999995</v>
      </c>
      <c r="I1653">
        <v>283.26369999999997</v>
      </c>
      <c r="J1653">
        <v>-230.10239999999999</v>
      </c>
      <c r="K1653">
        <v>1.10154</v>
      </c>
      <c r="L1653">
        <v>283.14280000000002</v>
      </c>
      <c r="M1653">
        <v>-0.99982569999999904</v>
      </c>
      <c r="N1653">
        <v>0</v>
      </c>
      <c r="O1653">
        <v>-1.8604539999999999E-2</v>
      </c>
      <c r="P1653">
        <v>-0.99861540000000004</v>
      </c>
      <c r="Q1653">
        <v>3.431087E-2</v>
      </c>
      <c r="R1653">
        <v>-3.9879119999999997E-2</v>
      </c>
      <c r="S1653">
        <v>-3.0493619999999999</v>
      </c>
      <c r="T1653">
        <v>-0.83983799999999997</v>
      </c>
      <c r="U1653">
        <v>0.40472409999999998</v>
      </c>
      <c r="V1653">
        <v>-2.1177109999999999E-2</v>
      </c>
      <c r="W1653">
        <v>3.5934649999999999E-2</v>
      </c>
      <c r="X1653">
        <v>0.99912969999999901</v>
      </c>
      <c r="Y1653">
        <v>0.1440342</v>
      </c>
      <c r="Z1653">
        <v>2.4402340000000002E-2</v>
      </c>
      <c r="AA1653">
        <v>0.98927180000000003</v>
      </c>
      <c r="AB1653">
        <v>39</v>
      </c>
      <c r="AC1653">
        <v>-0.47089999999999999</v>
      </c>
      <c r="AD1653">
        <v>-0.23696410000000001</v>
      </c>
      <c r="AE1653">
        <v>0.12089999999994901</v>
      </c>
      <c r="AF1653">
        <v>0.104753970430484</v>
      </c>
      <c r="AG1653">
        <v>-0.23696410000000001</v>
      </c>
      <c r="AH1653">
        <v>0.37862155643828399</v>
      </c>
      <c r="AI1653">
        <v>121.098339720016</v>
      </c>
      <c r="AJ1653">
        <v>74.534725539254893</v>
      </c>
      <c r="AK1653">
        <v>0.45878062514616902</v>
      </c>
    </row>
    <row r="1654" spans="1:37" x14ac:dyDescent="0.2">
      <c r="A1654" t="str">
        <f>"20200111153640133"</f>
        <v>20200111153640133</v>
      </c>
      <c r="B1654" t="str">
        <f>"1578728200124708"</f>
        <v>1578728200124708</v>
      </c>
      <c r="C1654" t="s">
        <v>37</v>
      </c>
      <c r="D1654">
        <v>5.7210779999999897</v>
      </c>
      <c r="E1654">
        <v>0.56181409999999998</v>
      </c>
      <c r="F1654" t="s">
        <v>38</v>
      </c>
      <c r="G1654">
        <v>-230.9247</v>
      </c>
      <c r="H1654">
        <v>0.87438419999999895</v>
      </c>
      <c r="I1654">
        <v>283.2527</v>
      </c>
      <c r="J1654">
        <v>-230.517</v>
      </c>
      <c r="K1654">
        <v>1.101526</v>
      </c>
      <c r="L1654">
        <v>283.135999999999</v>
      </c>
      <c r="M1654">
        <v>-0.99985049999999998</v>
      </c>
      <c r="N1654">
        <v>0</v>
      </c>
      <c r="O1654">
        <v>-1.7219669999999999E-2</v>
      </c>
      <c r="P1654">
        <v>-0.99854750000000003</v>
      </c>
      <c r="Q1654">
        <v>3.4690430000000001E-2</v>
      </c>
      <c r="R1654">
        <v>-4.122601E-2</v>
      </c>
      <c r="S1654">
        <v>-3.0493769999999998</v>
      </c>
      <c r="T1654">
        <v>-0.84230079999999996</v>
      </c>
      <c r="U1654">
        <v>0.40707399999999999</v>
      </c>
      <c r="V1654">
        <v>-2.390654E-2</v>
      </c>
      <c r="W1654">
        <v>3.6373519999999999E-2</v>
      </c>
      <c r="X1654">
        <v>0.9990523</v>
      </c>
      <c r="Y1654">
        <v>0.1434522</v>
      </c>
      <c r="Z1654">
        <v>2.4017400000000001E-2</v>
      </c>
      <c r="AA1654">
        <v>0.98936579999999996</v>
      </c>
      <c r="AB1654">
        <v>39</v>
      </c>
      <c r="AC1654">
        <v>-0.407700000000005</v>
      </c>
      <c r="AD1654">
        <v>-0.2271418</v>
      </c>
      <c r="AE1654">
        <v>0.116700000000037</v>
      </c>
      <c r="AF1654">
        <v>9.61258282601406E-2</v>
      </c>
      <c r="AG1654">
        <v>-0.2271418</v>
      </c>
      <c r="AH1654">
        <v>0.31520229017199602</v>
      </c>
      <c r="AI1654">
        <v>124.57778995010101</v>
      </c>
      <c r="AJ1654">
        <v>73.040101897629697</v>
      </c>
      <c r="AK1654">
        <v>0.400232502297864</v>
      </c>
    </row>
    <row r="1655" spans="1:37" x14ac:dyDescent="0.2">
      <c r="A1655" t="str">
        <f>"20200111153640155"</f>
        <v>20200111153640155</v>
      </c>
      <c r="B1655" t="str">
        <f>"1578728200144227"</f>
        <v>1578728200144227</v>
      </c>
      <c r="C1655" t="s">
        <v>37</v>
      </c>
      <c r="D1655">
        <v>5.7211759999999998</v>
      </c>
      <c r="E1655">
        <v>0.56203919999999996</v>
      </c>
      <c r="F1655" t="s">
        <v>38</v>
      </c>
      <c r="G1655">
        <v>-231.28049999999999</v>
      </c>
      <c r="H1655">
        <v>0.89121209999999995</v>
      </c>
      <c r="I1655">
        <v>283.23869999999999</v>
      </c>
      <c r="J1655">
        <v>-230.90719999999999</v>
      </c>
      <c r="K1655">
        <v>1.101515</v>
      </c>
      <c r="L1655">
        <v>283.1302</v>
      </c>
      <c r="M1655">
        <v>-0.99987199999999998</v>
      </c>
      <c r="N1655">
        <v>0</v>
      </c>
      <c r="O1655">
        <v>-1.5918000000000002E-2</v>
      </c>
      <c r="P1655">
        <v>-0.99846109999999899</v>
      </c>
      <c r="Q1655">
        <v>3.5090080000000003E-2</v>
      </c>
      <c r="R1655">
        <v>-4.2949040000000001E-2</v>
      </c>
      <c r="S1655">
        <v>-3.05047599999999</v>
      </c>
      <c r="T1655">
        <v>-0.84030000000000005</v>
      </c>
      <c r="U1655">
        <v>0.40994259999999899</v>
      </c>
      <c r="V1655">
        <v>-2.6929120000000001E-2</v>
      </c>
      <c r="W1655">
        <v>3.6829550000000003E-2</v>
      </c>
      <c r="X1655">
        <v>0.99895859999999903</v>
      </c>
      <c r="Y1655">
        <v>0.14312469999999999</v>
      </c>
      <c r="Z1655">
        <v>2.3557959999999999E-2</v>
      </c>
      <c r="AA1655">
        <v>0.98942419999999998</v>
      </c>
      <c r="AB1655">
        <v>39</v>
      </c>
      <c r="AC1655">
        <v>-0.37330000000000002</v>
      </c>
      <c r="AD1655">
        <v>-0.21030289999999999</v>
      </c>
      <c r="AE1655">
        <v>0.10849999999999201</v>
      </c>
      <c r="AF1655">
        <v>8.8522133098176095E-2</v>
      </c>
      <c r="AG1655">
        <v>-0.21030289999999999</v>
      </c>
      <c r="AH1655">
        <v>0.287413124564117</v>
      </c>
      <c r="AI1655">
        <v>124.964816333115</v>
      </c>
      <c r="AJ1655">
        <v>72.881369637137993</v>
      </c>
      <c r="AK1655">
        <v>0.36697381646157001</v>
      </c>
    </row>
    <row r="1656" spans="1:37" x14ac:dyDescent="0.2">
      <c r="A1656" t="str">
        <f>"20200111153640177"</f>
        <v>20200111153640177</v>
      </c>
      <c r="B1656" t="str">
        <f>"1578728200174484"</f>
        <v>1578728200174484</v>
      </c>
      <c r="C1656" t="s">
        <v>37</v>
      </c>
      <c r="D1656">
        <v>5.787032</v>
      </c>
      <c r="E1656">
        <v>0.56238909999999998</v>
      </c>
      <c r="F1656" t="s">
        <v>38</v>
      </c>
      <c r="G1656">
        <v>-231.6352</v>
      </c>
      <c r="H1656">
        <v>0.90146289999999996</v>
      </c>
      <c r="I1656">
        <v>283.2285</v>
      </c>
      <c r="J1656">
        <v>-231.28639999999999</v>
      </c>
      <c r="K1656">
        <v>1.1014889999999999</v>
      </c>
      <c r="L1656">
        <v>283.12509999999997</v>
      </c>
      <c r="M1656">
        <v>-0.99989130000000004</v>
      </c>
      <c r="N1656">
        <v>0</v>
      </c>
      <c r="O1656">
        <v>-1.4653879999999999E-2</v>
      </c>
      <c r="P1656">
        <v>-0.99831409999999998</v>
      </c>
      <c r="Q1656">
        <v>3.5141739999999998E-2</v>
      </c>
      <c r="R1656">
        <v>-4.61979E-2</v>
      </c>
      <c r="S1656">
        <v>-3.0517729999999998</v>
      </c>
      <c r="T1656">
        <v>-0.83851390000000003</v>
      </c>
      <c r="U1656">
        <v>0.41091919999999998</v>
      </c>
      <c r="V1656">
        <v>-3.1442030000000003E-2</v>
      </c>
      <c r="W1656">
        <v>3.6942000000000003E-2</v>
      </c>
      <c r="X1656">
        <v>0.9988226</v>
      </c>
      <c r="Y1656">
        <v>0.1422379</v>
      </c>
      <c r="Z1656">
        <v>2.3040830000000002E-2</v>
      </c>
      <c r="AA1656">
        <v>0.98956429999999995</v>
      </c>
      <c r="AB1656">
        <v>39</v>
      </c>
      <c r="AC1656">
        <v>-0.34880000000001099</v>
      </c>
      <c r="AD1656">
        <v>-0.20002609999999901</v>
      </c>
      <c r="AE1656">
        <v>0.103400000000021</v>
      </c>
      <c r="AF1656">
        <v>8.3314210680129397E-2</v>
      </c>
      <c r="AG1656">
        <v>-0.20002609999999901</v>
      </c>
      <c r="AH1656">
        <v>0.26664138466571002</v>
      </c>
      <c r="AI1656">
        <v>125.603794775111</v>
      </c>
      <c r="AJ1656">
        <v>72.648172238349105</v>
      </c>
      <c r="AK1656">
        <v>0.34358307059415799</v>
      </c>
    </row>
    <row r="1657" spans="1:37" x14ac:dyDescent="0.2">
      <c r="A1657" t="str">
        <f>"20200111153640210"</f>
        <v>20200111153640210</v>
      </c>
      <c r="B1657" t="str">
        <f>"1578728200204740"</f>
        <v>1578728200204740</v>
      </c>
      <c r="C1657" t="s">
        <v>37</v>
      </c>
      <c r="D1657">
        <v>5.8503629999999998</v>
      </c>
      <c r="E1657">
        <v>0.56265540000000003</v>
      </c>
      <c r="F1657" t="s">
        <v>38</v>
      </c>
      <c r="G1657">
        <v>-231.99019999999999</v>
      </c>
      <c r="H1657">
        <v>0.90845359999999997</v>
      </c>
      <c r="I1657">
        <v>283.2192</v>
      </c>
      <c r="J1657">
        <v>-231.87270000000001</v>
      </c>
      <c r="K1657">
        <v>1.1014539999999999</v>
      </c>
      <c r="L1657">
        <v>283.11799999999999</v>
      </c>
      <c r="M1657">
        <v>-0.99991770000000002</v>
      </c>
      <c r="N1657">
        <v>0</v>
      </c>
      <c r="O1657">
        <v>-1.270335E-2</v>
      </c>
      <c r="P1657">
        <v>-0.99816609999999995</v>
      </c>
      <c r="Q1657">
        <v>3.3172670000000001E-2</v>
      </c>
      <c r="R1657">
        <v>-5.0636109999999998E-2</v>
      </c>
      <c r="S1657">
        <v>-3.053436</v>
      </c>
      <c r="T1657">
        <v>-0.83748349999999905</v>
      </c>
      <c r="U1657">
        <v>0.40814210000000001</v>
      </c>
      <c r="V1657">
        <v>-3.783458E-2</v>
      </c>
      <c r="W1657">
        <v>3.5064970000000001E-2</v>
      </c>
      <c r="X1657">
        <v>0.99866860000000002</v>
      </c>
      <c r="Y1657">
        <v>0.13954079999999999</v>
      </c>
      <c r="Z1657">
        <v>2.2117910000000001E-2</v>
      </c>
      <c r="AA1657">
        <v>0.98996930000000005</v>
      </c>
      <c r="AB1657">
        <v>39</v>
      </c>
      <c r="AC1657">
        <v>-0.117499999999978</v>
      </c>
      <c r="AD1657">
        <v>-0.19300039999999999</v>
      </c>
      <c r="AE1657">
        <v>0.10120000000000499</v>
      </c>
      <c r="AF1657">
        <v>4.0284692779889199E-2</v>
      </c>
      <c r="AG1657">
        <v>-0.19300039999999999</v>
      </c>
      <c r="AH1657">
        <v>4.5588975189395198E-2</v>
      </c>
      <c r="AI1657">
        <v>162.50410782884799</v>
      </c>
      <c r="AJ1657">
        <v>48.5345802096477</v>
      </c>
      <c r="AK1657">
        <v>0.202361966612675</v>
      </c>
    </row>
    <row r="1658" spans="1:37" x14ac:dyDescent="0.2">
      <c r="A1658" t="str">
        <f>"20200111153640232"</f>
        <v>20200111153640232</v>
      </c>
      <c r="B1658" t="str">
        <f>"1578728200224260"</f>
        <v>1578728200224260</v>
      </c>
      <c r="C1658" t="s">
        <v>37</v>
      </c>
      <c r="D1658">
        <v>5.8293679999999997</v>
      </c>
      <c r="E1658">
        <v>0.55024059999999997</v>
      </c>
      <c r="F1658" t="s">
        <v>38</v>
      </c>
      <c r="G1658">
        <v>-232.68729999999999</v>
      </c>
      <c r="H1658">
        <v>0.87667390000000001</v>
      </c>
      <c r="I1658">
        <v>283.22469999999998</v>
      </c>
      <c r="J1658">
        <v>-232.27070000000001</v>
      </c>
      <c r="K1658">
        <v>1.1014329999999899</v>
      </c>
      <c r="L1658">
        <v>283.1139</v>
      </c>
      <c r="M1658">
        <v>-0.99993369999999904</v>
      </c>
      <c r="N1658">
        <v>0</v>
      </c>
      <c r="O1658">
        <v>-1.138106E-2</v>
      </c>
      <c r="P1658">
        <v>-0.99810650000000001</v>
      </c>
      <c r="Q1658">
        <v>3.1439269999999998E-2</v>
      </c>
      <c r="R1658">
        <v>-5.287236E-2</v>
      </c>
      <c r="S1658">
        <v>-3.0538020000000001</v>
      </c>
      <c r="T1658">
        <v>-0.84261260000000004</v>
      </c>
      <c r="U1658">
        <v>0.39959719999999999</v>
      </c>
      <c r="V1658">
        <v>-4.1396780000000001E-2</v>
      </c>
      <c r="W1658">
        <v>3.3392239999999997E-2</v>
      </c>
      <c r="X1658">
        <v>0.99858459999999905</v>
      </c>
      <c r="Y1658">
        <v>0.1356184</v>
      </c>
      <c r="Z1658">
        <v>2.1363920000000002E-2</v>
      </c>
      <c r="AA1658">
        <v>0.99053080000000004</v>
      </c>
      <c r="AB1658">
        <v>40</v>
      </c>
      <c r="AC1658">
        <v>-0.41659999999998798</v>
      </c>
      <c r="AD1658">
        <v>-0.22475909999999899</v>
      </c>
      <c r="AE1658">
        <v>0.110799999999983</v>
      </c>
      <c r="AF1658">
        <v>9.0840174196631401E-2</v>
      </c>
      <c r="AG1658">
        <v>-0.22475909999999899</v>
      </c>
      <c r="AH1658">
        <v>0.326544176976728</v>
      </c>
      <c r="AI1658">
        <v>123.548984088065</v>
      </c>
      <c r="AJ1658">
        <v>74.454151968656205</v>
      </c>
      <c r="AK1658">
        <v>0.40669360678315702</v>
      </c>
    </row>
    <row r="1659" spans="1:37" x14ac:dyDescent="0.2">
      <c r="A1659" t="str">
        <f>"20200111153640255"</f>
        <v>20200111153640255</v>
      </c>
      <c r="B1659" t="str">
        <f>"1578728200244755"</f>
        <v>1578728200244755</v>
      </c>
      <c r="C1659" t="s">
        <v>37</v>
      </c>
      <c r="D1659">
        <v>5.825812</v>
      </c>
      <c r="E1659">
        <v>0.52602230000000005</v>
      </c>
      <c r="F1659" t="s">
        <v>38</v>
      </c>
      <c r="G1659">
        <v>-233.0667</v>
      </c>
      <c r="H1659">
        <v>0.93282069999999995</v>
      </c>
      <c r="I1659">
        <v>283.18790000000001</v>
      </c>
      <c r="J1659">
        <v>-232.6763</v>
      </c>
      <c r="K1659">
        <v>1.1014109999999999</v>
      </c>
      <c r="L1659">
        <v>283.1103</v>
      </c>
      <c r="M1659">
        <v>-0.99994799999999995</v>
      </c>
      <c r="N1659">
        <v>0</v>
      </c>
      <c r="O1659">
        <v>-1.003565E-2</v>
      </c>
      <c r="P1659">
        <v>-0.998077399999999</v>
      </c>
      <c r="Q1659">
        <v>3.1223339999999999E-2</v>
      </c>
      <c r="R1659">
        <v>-5.3541409999999998E-2</v>
      </c>
      <c r="S1659">
        <v>-3.0409090000000001</v>
      </c>
      <c r="T1659">
        <v>-0.64418790000000004</v>
      </c>
      <c r="U1659">
        <v>0.2817383</v>
      </c>
      <c r="V1659">
        <v>-4.340919E-2</v>
      </c>
      <c r="W1659">
        <v>3.3232119999999997E-2</v>
      </c>
      <c r="X1659">
        <v>0.99850450000000002</v>
      </c>
      <c r="Y1659">
        <v>9.982444E-2</v>
      </c>
      <c r="Z1659">
        <v>1.253427E-2</v>
      </c>
      <c r="AA1659">
        <v>0.99492610000000004</v>
      </c>
      <c r="AB1659">
        <v>40</v>
      </c>
      <c r="AC1659">
        <v>-0.39039999999999903</v>
      </c>
      <c r="AD1659">
        <v>-0.1685903</v>
      </c>
      <c r="AE1659">
        <v>7.7600000000018099E-2</v>
      </c>
      <c r="AF1659">
        <v>6.9114949690180699E-2</v>
      </c>
      <c r="AG1659">
        <v>-0.1685903</v>
      </c>
      <c r="AH1659">
        <v>0.330339422209811</v>
      </c>
      <c r="AI1659">
        <v>116.543884715997</v>
      </c>
      <c r="AJ1659">
        <v>78.182808711392894</v>
      </c>
      <c r="AK1659">
        <v>0.37725813363091099</v>
      </c>
    </row>
    <row r="1660" spans="1:37" x14ac:dyDescent="0.2">
      <c r="A1660" t="str">
        <f>"20200111153640276"</f>
        <v>20200111153640276</v>
      </c>
      <c r="B1660" t="str">
        <f>"1578728200274036"</f>
        <v>1578728200274036</v>
      </c>
      <c r="C1660" t="s">
        <v>37</v>
      </c>
      <c r="D1660">
        <v>5.854622</v>
      </c>
      <c r="E1660">
        <v>0.50825699999999996</v>
      </c>
      <c r="F1660" t="s">
        <v>38</v>
      </c>
      <c r="G1660">
        <v>-233.4666</v>
      </c>
      <c r="H1660">
        <v>1.0198</v>
      </c>
      <c r="I1660">
        <v>283.12779999999998</v>
      </c>
      <c r="J1660">
        <v>-233.0658</v>
      </c>
      <c r="K1660">
        <v>1.101394</v>
      </c>
      <c r="L1660">
        <v>283.10730000000001</v>
      </c>
      <c r="M1660">
        <v>-0.99995999999999996</v>
      </c>
      <c r="N1660">
        <v>0</v>
      </c>
      <c r="O1660">
        <v>-8.7444759999999993E-3</v>
      </c>
      <c r="P1660">
        <v>-0.99811530000000004</v>
      </c>
      <c r="Q1660">
        <v>3.089014E-2</v>
      </c>
      <c r="R1660">
        <v>-5.3028260000000001E-2</v>
      </c>
      <c r="S1660">
        <v>-3.0190890000000001</v>
      </c>
      <c r="T1660">
        <v>-0.3117856</v>
      </c>
      <c r="U1660">
        <v>6.6375729999999994E-2</v>
      </c>
      <c r="V1660">
        <v>-4.4185670000000003E-2</v>
      </c>
      <c r="W1660">
        <v>3.2949510000000001E-2</v>
      </c>
      <c r="X1660">
        <v>0.99847980000000003</v>
      </c>
      <c r="Y1660">
        <v>3.0512890000000001E-2</v>
      </c>
      <c r="Z1660">
        <v>2.4717540000000001E-3</v>
      </c>
      <c r="AA1660">
        <v>0.99953130000000001</v>
      </c>
      <c r="AB1660">
        <v>40</v>
      </c>
      <c r="AC1660">
        <v>-0.40080000000000299</v>
      </c>
      <c r="AD1660">
        <v>-8.1593999999999903E-2</v>
      </c>
      <c r="AE1660">
        <v>2.04999999999699E-2</v>
      </c>
      <c r="AF1660">
        <v>2.30511698187774E-2</v>
      </c>
      <c r="AG1660">
        <v>-8.1593999999999903E-2</v>
      </c>
      <c r="AH1660">
        <v>0.38470339114726798</v>
      </c>
      <c r="AI1660">
        <v>101.953921265899</v>
      </c>
      <c r="AJ1660">
        <v>86.570975075308795</v>
      </c>
      <c r="AK1660">
        <v>0.39393608165059202</v>
      </c>
    </row>
    <row r="1661" spans="1:37" x14ac:dyDescent="0.2">
      <c r="A1661" t="str">
        <f>"20200111153640299"</f>
        <v>20200111153640299</v>
      </c>
      <c r="B1661" t="str">
        <f>"1578728200294532"</f>
        <v>1578728200294532</v>
      </c>
      <c r="C1661" t="s">
        <v>37</v>
      </c>
      <c r="D1661">
        <v>5.8424480000000001</v>
      </c>
      <c r="E1661">
        <v>0.50717630000000002</v>
      </c>
      <c r="F1661" t="s">
        <v>38</v>
      </c>
      <c r="G1661">
        <v>-233.83420000000001</v>
      </c>
      <c r="H1661">
        <v>1.032632</v>
      </c>
      <c r="I1661">
        <v>283.08769999999998</v>
      </c>
      <c r="J1661">
        <v>-233.4659</v>
      </c>
      <c r="K1661">
        <v>1.1013819999999901</v>
      </c>
      <c r="L1661">
        <v>283.1046</v>
      </c>
      <c r="M1661">
        <v>-0.99997060000000004</v>
      </c>
      <c r="N1661">
        <v>0</v>
      </c>
      <c r="O1661">
        <v>-7.4221859999999999E-3</v>
      </c>
      <c r="P1661">
        <v>-0.99824859999999904</v>
      </c>
      <c r="Q1661">
        <v>3.0878220000000001E-2</v>
      </c>
      <c r="R1661">
        <v>-5.0464670000000003E-2</v>
      </c>
      <c r="S1661">
        <v>-3.0099179999999999</v>
      </c>
      <c r="T1661">
        <v>-0.26945200000000002</v>
      </c>
      <c r="U1661">
        <v>-7.7270510000000001E-2</v>
      </c>
      <c r="V1661">
        <v>-4.2940550000000001E-2</v>
      </c>
      <c r="W1661">
        <v>3.2982869999999997E-2</v>
      </c>
      <c r="X1661">
        <v>0.99853309999999995</v>
      </c>
      <c r="Y1661">
        <v>-1.8199980000000001E-2</v>
      </c>
      <c r="Z1661">
        <v>-1.4989410000000001E-4</v>
      </c>
      <c r="AA1661">
        <v>0.99983440000000001</v>
      </c>
      <c r="AB1661">
        <v>40</v>
      </c>
      <c r="AC1661">
        <v>-0.36830000000000401</v>
      </c>
      <c r="AD1661">
        <v>-6.8749999999999797E-2</v>
      </c>
      <c r="AE1661">
        <v>-1.6900000000020999E-2</v>
      </c>
      <c r="AF1661">
        <v>-1.36899139229448E-2</v>
      </c>
      <c r="AG1661">
        <v>-6.8749999999999797E-2</v>
      </c>
      <c r="AH1661">
        <v>0.35603526577328798</v>
      </c>
      <c r="AI1661">
        <v>100.921357711206</v>
      </c>
      <c r="AJ1661">
        <v>92.201995552357502</v>
      </c>
      <c r="AK1661">
        <v>0.362870619804737</v>
      </c>
    </row>
    <row r="1662" spans="1:37" x14ac:dyDescent="0.2">
      <c r="A1662" t="str">
        <f>"20200111153640322"</f>
        <v>20200111153640322</v>
      </c>
      <c r="B1662" t="str">
        <f>"1578728200314053"</f>
        <v>1578728200314053</v>
      </c>
      <c r="C1662" t="s">
        <v>37</v>
      </c>
      <c r="D1662">
        <v>5.853923</v>
      </c>
      <c r="E1662">
        <v>0.50645039999999997</v>
      </c>
      <c r="F1662" t="s">
        <v>38</v>
      </c>
      <c r="G1662">
        <v>-234.2021</v>
      </c>
      <c r="H1662">
        <v>1.0398459999999901</v>
      </c>
      <c r="I1662">
        <v>283.08530000000002</v>
      </c>
      <c r="J1662">
        <v>-233.89089999999999</v>
      </c>
      <c r="K1662">
        <v>1.1013759999999999</v>
      </c>
      <c r="L1662">
        <v>283.10239999999999</v>
      </c>
      <c r="M1662">
        <v>-0.99997979999999997</v>
      </c>
      <c r="N1662">
        <v>0</v>
      </c>
      <c r="O1662">
        <v>-6.0342009999999899E-3</v>
      </c>
      <c r="P1662">
        <v>-0.99838439999999995</v>
      </c>
      <c r="Q1662">
        <v>3.0209529999999998E-2</v>
      </c>
      <c r="R1662">
        <v>-4.8127459999999997E-2</v>
      </c>
      <c r="S1662">
        <v>-3.0090029999999999</v>
      </c>
      <c r="T1662">
        <v>-0.251608</v>
      </c>
      <c r="U1662">
        <v>-7.9711909999999997E-2</v>
      </c>
      <c r="V1662">
        <v>-4.199054E-2</v>
      </c>
      <c r="W1662">
        <v>3.2361889999999997E-2</v>
      </c>
      <c r="X1662">
        <v>0.99859370000000003</v>
      </c>
      <c r="Y1662">
        <v>-2.0399179999999999E-2</v>
      </c>
      <c r="Z1662">
        <v>-3.4764699999999997E-4</v>
      </c>
      <c r="AA1662">
        <v>0.99979189999999996</v>
      </c>
      <c r="AB1662">
        <v>40</v>
      </c>
      <c r="AC1662">
        <v>-0.31120000000001302</v>
      </c>
      <c r="AD1662">
        <v>-6.15300000000003E-2</v>
      </c>
      <c r="AE1662">
        <v>-1.7099999999970798E-2</v>
      </c>
      <c r="AF1662">
        <v>-1.46508266391467E-2</v>
      </c>
      <c r="AG1662">
        <v>-6.15300000000003E-2</v>
      </c>
      <c r="AH1662">
        <v>0.29961985640907601</v>
      </c>
      <c r="AI1662">
        <v>101.59145763583</v>
      </c>
      <c r="AJ1662">
        <v>92.799422139412698</v>
      </c>
      <c r="AK1662">
        <v>0.30622319633856199</v>
      </c>
    </row>
    <row r="1663" spans="1:37" x14ac:dyDescent="0.2">
      <c r="A1663" t="str">
        <f>"20200111153640345"</f>
        <v>20200111153640345</v>
      </c>
      <c r="B1663" t="str">
        <f>"1578728200334548"</f>
        <v>1578728200334548</v>
      </c>
      <c r="C1663" t="s">
        <v>37</v>
      </c>
      <c r="D1663">
        <v>5.8889719999999999</v>
      </c>
      <c r="E1663">
        <v>0.50544330000000004</v>
      </c>
      <c r="F1663" t="s">
        <v>38</v>
      </c>
      <c r="G1663">
        <v>-234.9177</v>
      </c>
      <c r="H1663">
        <v>1.021684</v>
      </c>
      <c r="I1663">
        <v>283.07549999999998</v>
      </c>
      <c r="J1663">
        <v>-234.3056</v>
      </c>
      <c r="K1663">
        <v>1.10138</v>
      </c>
      <c r="L1663">
        <v>283.10090000000002</v>
      </c>
      <c r="M1663">
        <v>-0.99998690000000001</v>
      </c>
      <c r="N1663">
        <v>0</v>
      </c>
      <c r="O1663">
        <v>-4.70688099999999E-3</v>
      </c>
      <c r="P1663">
        <v>-0.99848409999999999</v>
      </c>
      <c r="Q1663">
        <v>2.957707E-2</v>
      </c>
      <c r="R1663">
        <v>-4.6420969999999999E-2</v>
      </c>
      <c r="S1663">
        <v>-3.00808699999999</v>
      </c>
      <c r="T1663">
        <v>-0.23345859999999999</v>
      </c>
      <c r="U1663">
        <v>-7.9193120000000006E-2</v>
      </c>
      <c r="V1663">
        <v>-4.161086E-2</v>
      </c>
      <c r="W1663">
        <v>3.177663E-2</v>
      </c>
      <c r="X1663">
        <v>0.99862839999999997</v>
      </c>
      <c r="Y1663">
        <v>-2.1561420000000001E-2</v>
      </c>
      <c r="Z1663">
        <v>-4.7060869999999999E-4</v>
      </c>
      <c r="AA1663">
        <v>0.99976739999999997</v>
      </c>
      <c r="AB1663">
        <v>41</v>
      </c>
      <c r="AC1663">
        <v>-0.61209999999999798</v>
      </c>
      <c r="AD1663">
        <v>-7.9695999999999906E-2</v>
      </c>
      <c r="AE1663">
        <v>-2.5400000000047301E-2</v>
      </c>
      <c r="AF1663">
        <v>-2.21438867216853E-2</v>
      </c>
      <c r="AG1663">
        <v>-7.9695999999999906E-2</v>
      </c>
      <c r="AH1663">
        <v>0.60202462401771895</v>
      </c>
      <c r="AI1663">
        <v>97.5359294684514</v>
      </c>
      <c r="AJ1663">
        <v>92.106524355153496</v>
      </c>
      <c r="AK1663">
        <v>0.60768038643584599</v>
      </c>
    </row>
    <row r="1664" spans="1:37" x14ac:dyDescent="0.2">
      <c r="A1664" t="str">
        <f>"20200111153640366"</f>
        <v>20200111153640366</v>
      </c>
      <c r="B1664" t="str">
        <f>"1578728200363828"</f>
        <v>1578728200363828</v>
      </c>
      <c r="C1664" t="s">
        <v>37</v>
      </c>
      <c r="D1664">
        <v>5.8104940000000003</v>
      </c>
      <c r="E1664">
        <v>0.50513829999999904</v>
      </c>
      <c r="F1664" t="s">
        <v>38</v>
      </c>
      <c r="G1664">
        <v>-235.28479999999999</v>
      </c>
      <c r="H1664">
        <v>1.023884</v>
      </c>
      <c r="I1664">
        <v>283.07459999999998</v>
      </c>
      <c r="J1664">
        <v>-234.70339999999999</v>
      </c>
      <c r="K1664">
        <v>1.1013930000000001</v>
      </c>
      <c r="L1664">
        <v>283.09980000000002</v>
      </c>
      <c r="M1664">
        <v>-0.99999189999999905</v>
      </c>
      <c r="N1664">
        <v>0</v>
      </c>
      <c r="O1664">
        <v>-3.4631200000000001E-3</v>
      </c>
      <c r="P1664">
        <v>-0.99849429999999995</v>
      </c>
      <c r="Q1664">
        <v>3.082269E-2</v>
      </c>
      <c r="R1664">
        <v>-4.5380660000000003E-2</v>
      </c>
      <c r="S1664">
        <v>-3.0078130000000001</v>
      </c>
      <c r="T1664">
        <v>-0.23809820000000001</v>
      </c>
      <c r="U1664">
        <v>-8.1146239999999994E-2</v>
      </c>
      <c r="V1664">
        <v>-4.1809109999999997E-2</v>
      </c>
      <c r="W1664">
        <v>3.3068649999999998E-2</v>
      </c>
      <c r="X1664">
        <v>0.99857830000000003</v>
      </c>
      <c r="Y1664">
        <v>-2.344419E-2</v>
      </c>
      <c r="Z1664">
        <v>-6.5264369999999997E-4</v>
      </c>
      <c r="AA1664">
        <v>0.99972490000000003</v>
      </c>
      <c r="AB1664">
        <v>41</v>
      </c>
      <c r="AC1664">
        <v>-0.58140000000000203</v>
      </c>
      <c r="AD1664">
        <v>-7.7508999999999995E-2</v>
      </c>
      <c r="AE1664">
        <v>-2.52000000000407E-2</v>
      </c>
      <c r="AF1664">
        <v>-2.27822432125315E-2</v>
      </c>
      <c r="AG1664">
        <v>-7.7508999999999995E-2</v>
      </c>
      <c r="AH1664">
        <v>0.57134840289455402</v>
      </c>
      <c r="AI1664">
        <v>97.719510208870204</v>
      </c>
      <c r="AJ1664">
        <v>92.283432006497307</v>
      </c>
      <c r="AK1664">
        <v>0.57703177830770502</v>
      </c>
    </row>
    <row r="1665" spans="1:37" x14ac:dyDescent="0.2">
      <c r="A1665" t="str">
        <f>"20200111153640389"</f>
        <v>20200111153640389</v>
      </c>
      <c r="B1665" t="str">
        <f>"1578728200384324"</f>
        <v>1578728200384324</v>
      </c>
      <c r="C1665" t="s">
        <v>37</v>
      </c>
      <c r="D1665">
        <v>5.8397410000000001</v>
      </c>
      <c r="E1665">
        <v>0.50517619999999996</v>
      </c>
      <c r="F1665" t="s">
        <v>38</v>
      </c>
      <c r="G1665">
        <v>-235.65639999999999</v>
      </c>
      <c r="H1665">
        <v>1.0293909999999999</v>
      </c>
      <c r="I1665">
        <v>283.0745</v>
      </c>
      <c r="J1665">
        <v>-235.10329999999999</v>
      </c>
      <c r="K1665">
        <v>1.1014250000000001</v>
      </c>
      <c r="L1665">
        <v>283.0992</v>
      </c>
      <c r="M1665">
        <v>-0.99999519999999997</v>
      </c>
      <c r="N1665">
        <v>0</v>
      </c>
      <c r="O1665">
        <v>-2.2584469999999998E-3</v>
      </c>
      <c r="P1665">
        <v>-0.99849279999999996</v>
      </c>
      <c r="Q1665">
        <v>3.2062470000000003E-2</v>
      </c>
      <c r="R1665">
        <v>-4.4545210000000002E-2</v>
      </c>
      <c r="S1665">
        <v>-3.0079039999999999</v>
      </c>
      <c r="T1665">
        <v>-0.22733999999999999</v>
      </c>
      <c r="U1665">
        <v>-8.0200199999999999E-2</v>
      </c>
      <c r="V1665">
        <v>-4.2174389999999999E-2</v>
      </c>
      <c r="W1665">
        <v>3.4354910000000002E-2</v>
      </c>
      <c r="X1665">
        <v>0.99851939999999995</v>
      </c>
      <c r="Y1665">
        <v>-2.433304E-2</v>
      </c>
      <c r="Z1665">
        <v>-7.4766329999999997E-4</v>
      </c>
      <c r="AA1665">
        <v>0.99970360000000003</v>
      </c>
      <c r="AB1665">
        <v>41</v>
      </c>
      <c r="AC1665">
        <v>-0.55310000000000004</v>
      </c>
      <c r="AD1665">
        <v>-7.2034000000000098E-2</v>
      </c>
      <c r="AE1665">
        <v>-2.4699999999995701E-2</v>
      </c>
      <c r="AF1665">
        <v>-2.3060423147572801E-2</v>
      </c>
      <c r="AG1665">
        <v>-7.2034000000000098E-2</v>
      </c>
      <c r="AH1665">
        <v>0.54394651334644495</v>
      </c>
      <c r="AI1665">
        <v>97.537005432244499</v>
      </c>
      <c r="AJ1665">
        <v>92.4275809616977</v>
      </c>
      <c r="AK1665">
        <v>0.54917983361873302</v>
      </c>
    </row>
    <row r="1666" spans="1:37" x14ac:dyDescent="0.2">
      <c r="A1666" t="str">
        <f>"20200111153640411"</f>
        <v>20200111153640411</v>
      </c>
      <c r="B1666" t="str">
        <f>"1578728200403844"</f>
        <v>1578728200403844</v>
      </c>
      <c r="C1666" t="s">
        <v>37</v>
      </c>
      <c r="D1666">
        <v>5.4226910000000004</v>
      </c>
      <c r="E1666">
        <v>0.50491739999999996</v>
      </c>
      <c r="F1666" t="s">
        <v>38</v>
      </c>
      <c r="G1666">
        <v>-236.02959999999999</v>
      </c>
      <c r="H1666">
        <v>1.0344450000000001</v>
      </c>
      <c r="I1666">
        <v>283.0754</v>
      </c>
      <c r="J1666">
        <v>-235.53200000000001</v>
      </c>
      <c r="K1666">
        <v>1.1014629999999901</v>
      </c>
      <c r="L1666">
        <v>283.09899999999999</v>
      </c>
      <c r="M1666">
        <v>-0.99999709999999997</v>
      </c>
      <c r="N1666">
        <v>0</v>
      </c>
      <c r="O1666">
        <v>-1.045048E-3</v>
      </c>
      <c r="P1666">
        <v>-0.99847609999999998</v>
      </c>
      <c r="Q1666">
        <v>3.298678E-2</v>
      </c>
      <c r="R1666">
        <v>-4.4243820000000003E-2</v>
      </c>
      <c r="S1666">
        <v>-3.008041</v>
      </c>
      <c r="T1666">
        <v>-0.2176112</v>
      </c>
      <c r="U1666">
        <v>-7.8125E-2</v>
      </c>
      <c r="V1666">
        <v>-4.3084230000000001E-2</v>
      </c>
      <c r="W1666">
        <v>3.5328020000000002E-2</v>
      </c>
      <c r="X1666">
        <v>0.99844659999999996</v>
      </c>
      <c r="Y1666">
        <v>-2.4856400000000001E-2</v>
      </c>
      <c r="Z1666">
        <v>-8.2228029999999999E-4</v>
      </c>
      <c r="AA1666">
        <v>0.99969069999999904</v>
      </c>
      <c r="AB1666">
        <v>41</v>
      </c>
      <c r="AC1666">
        <v>-0.49759999999997701</v>
      </c>
      <c r="AD1666">
        <v>-6.70179999999998E-2</v>
      </c>
      <c r="AE1666">
        <v>-2.35999999999876E-2</v>
      </c>
      <c r="AF1666">
        <v>-2.2669679221219201E-2</v>
      </c>
      <c r="AG1666">
        <v>-6.70179999999998E-2</v>
      </c>
      <c r="AH1666">
        <v>0.48877816242028699</v>
      </c>
      <c r="AI1666">
        <v>97.799051185616307</v>
      </c>
      <c r="AJ1666">
        <v>92.655492593949305</v>
      </c>
      <c r="AK1666">
        <v>0.49387186469665001</v>
      </c>
    </row>
    <row r="1667" spans="1:37" x14ac:dyDescent="0.2">
      <c r="A1667" t="str">
        <f>"20200111153640434"</f>
        <v>20200111153640434</v>
      </c>
      <c r="B1667" t="str">
        <f>"1578728200424340"</f>
        <v>1578728200424340</v>
      </c>
      <c r="C1667" t="s">
        <v>37</v>
      </c>
      <c r="D1667">
        <v>5.8892709999999999</v>
      </c>
      <c r="E1667">
        <v>0.50473729999999895</v>
      </c>
      <c r="F1667" t="s">
        <v>45</v>
      </c>
      <c r="G1667">
        <v>-251.23519999999999</v>
      </c>
      <c r="H1667" s="1">
        <v>-8.795035E-7</v>
      </c>
      <c r="I1667">
        <v>282.68150000000003</v>
      </c>
      <c r="J1667">
        <v>-235.95320000000001</v>
      </c>
      <c r="K1667">
        <v>1.1015219999999999</v>
      </c>
      <c r="L1667">
        <v>283.09930000000003</v>
      </c>
      <c r="M1667">
        <v>-0.99999760000000004</v>
      </c>
      <c r="N1667">
        <v>0</v>
      </c>
      <c r="O1667" s="1">
        <v>3.8128340000000002E-5</v>
      </c>
      <c r="P1667">
        <v>-0.99845949999999895</v>
      </c>
      <c r="Q1667">
        <v>3.2839460000000001E-2</v>
      </c>
      <c r="R1667">
        <v>-4.4730819999999998E-2</v>
      </c>
      <c r="S1667">
        <v>-3.0080259999999899</v>
      </c>
      <c r="T1667">
        <v>-0.21099079999999901</v>
      </c>
      <c r="U1667">
        <v>-7.9986570000000007E-2</v>
      </c>
      <c r="V1667">
        <v>-4.4658780000000002E-2</v>
      </c>
      <c r="W1667">
        <v>3.5227469999999997E-2</v>
      </c>
      <c r="X1667">
        <v>0.99838099999999996</v>
      </c>
      <c r="Y1667">
        <v>-2.6554479999999998E-2</v>
      </c>
      <c r="Z1667">
        <v>-9.3266439999999996E-4</v>
      </c>
      <c r="AA1667">
        <v>0.99964699999999995</v>
      </c>
      <c r="AB1667">
        <v>41</v>
      </c>
      <c r="AC1667">
        <v>-15.281999999999901</v>
      </c>
      <c r="AD1667">
        <v>-1.1015228795034999</v>
      </c>
      <c r="AE1667">
        <v>-0.41779999999999901</v>
      </c>
      <c r="AF1667">
        <v>-0.416221816516265</v>
      </c>
      <c r="AG1667">
        <v>-1.1015228795034999</v>
      </c>
      <c r="AH1667">
        <v>15.203055703632099</v>
      </c>
      <c r="AI1667">
        <v>94.142522776353999</v>
      </c>
      <c r="AJ1667">
        <v>91.568224071762103</v>
      </c>
      <c r="AK1667">
        <v>15.248589967021701</v>
      </c>
    </row>
    <row r="1668" spans="1:37" x14ac:dyDescent="0.2">
      <c r="A1668" t="str">
        <f>"20200111153640455"</f>
        <v>20200111153640455</v>
      </c>
      <c r="B1668" t="str">
        <f>"1578728200443863"</f>
        <v>1578728200443863</v>
      </c>
      <c r="C1668" t="s">
        <v>37</v>
      </c>
      <c r="D1668">
        <v>5.8457699999999999</v>
      </c>
      <c r="E1668">
        <v>0.50452759999999996</v>
      </c>
      <c r="F1668" t="s">
        <v>45</v>
      </c>
      <c r="G1668">
        <v>-251.92089999999999</v>
      </c>
      <c r="H1668" s="1">
        <v>-5.1460500000000005E-7</v>
      </c>
      <c r="I1668">
        <v>282.65629999999999</v>
      </c>
      <c r="J1668">
        <v>-236.35120000000001</v>
      </c>
      <c r="K1668">
        <v>1.101588</v>
      </c>
      <c r="L1668">
        <v>283.09989999999999</v>
      </c>
      <c r="M1668">
        <v>-0.99999699999999903</v>
      </c>
      <c r="N1668">
        <v>0</v>
      </c>
      <c r="O1668">
        <v>9.3163849999999999E-4</v>
      </c>
      <c r="P1668">
        <v>-0.99848719999999902</v>
      </c>
      <c r="Q1668">
        <v>3.159787E-2</v>
      </c>
      <c r="R1668">
        <v>-4.5003120000000001E-2</v>
      </c>
      <c r="S1668">
        <v>-3.0077210000000001</v>
      </c>
      <c r="T1668">
        <v>-0.207485799999999</v>
      </c>
      <c r="U1668">
        <v>-8.3435060000000005E-2</v>
      </c>
      <c r="V1668">
        <v>-4.5833680000000002E-2</v>
      </c>
      <c r="W1668">
        <v>3.402608E-2</v>
      </c>
      <c r="X1668">
        <v>0.99836939999999996</v>
      </c>
      <c r="Y1668">
        <v>-2.8590790000000001E-2</v>
      </c>
      <c r="Z1668">
        <v>-1.0489799999999999E-3</v>
      </c>
      <c r="AA1668">
        <v>0.999590599999999</v>
      </c>
      <c r="AB1668">
        <v>41</v>
      </c>
      <c r="AC1668">
        <v>-15.5696999999999</v>
      </c>
      <c r="AD1668">
        <v>-1.101588514605</v>
      </c>
      <c r="AE1668">
        <v>-0.44360000000000299</v>
      </c>
      <c r="AF1668">
        <v>-0.45582523216146398</v>
      </c>
      <c r="AG1668">
        <v>-1.101588514605</v>
      </c>
      <c r="AH1668">
        <v>15.4917931889476</v>
      </c>
      <c r="AI1668">
        <v>94.065581553880705</v>
      </c>
      <c r="AJ1668">
        <v>91.685365192195803</v>
      </c>
      <c r="AK1668">
        <v>15.5375973080431</v>
      </c>
    </row>
    <row r="1669" spans="1:37" x14ac:dyDescent="0.2">
      <c r="A1669" t="str">
        <f>"20200111153640478"</f>
        <v>20200111153640478</v>
      </c>
      <c r="B1669" t="str">
        <f>"1578728200474116"</f>
        <v>1578728200474116</v>
      </c>
      <c r="C1669" t="s">
        <v>37</v>
      </c>
      <c r="D1669">
        <v>5.8940250000000001</v>
      </c>
      <c r="E1669">
        <v>0.5041255</v>
      </c>
      <c r="F1669" t="s">
        <v>45</v>
      </c>
      <c r="G1669">
        <v>-252.20570000000001</v>
      </c>
      <c r="H1669" s="1">
        <v>-3.6299640000000003E-7</v>
      </c>
      <c r="I1669">
        <v>282.64510000000001</v>
      </c>
      <c r="J1669">
        <v>-236.7792</v>
      </c>
      <c r="K1669">
        <v>1.1016889999999999</v>
      </c>
      <c r="L1669">
        <v>283.10070000000002</v>
      </c>
      <c r="M1669">
        <v>-0.99999579999999999</v>
      </c>
      <c r="N1669">
        <v>0</v>
      </c>
      <c r="O1669">
        <v>1.730002E-3</v>
      </c>
      <c r="P1669">
        <v>-0.99856460000000002</v>
      </c>
      <c r="Q1669">
        <v>2.9567119999999999E-2</v>
      </c>
      <c r="R1669">
        <v>-4.466022E-2</v>
      </c>
      <c r="S1669">
        <v>-3.0072779999999999</v>
      </c>
      <c r="T1669">
        <v>-0.20894859999999901</v>
      </c>
      <c r="U1669">
        <v>-8.627319E-2</v>
      </c>
      <c r="V1669">
        <v>-4.6302790000000003E-2</v>
      </c>
      <c r="W1669">
        <v>3.2033029999999997E-2</v>
      </c>
      <c r="X1669">
        <v>0.99841369999999896</v>
      </c>
      <c r="Y1669">
        <v>-3.032835E-2</v>
      </c>
      <c r="Z1669">
        <v>-1.1721710000000001E-3</v>
      </c>
      <c r="AA1669">
        <v>0.99953930000000002</v>
      </c>
      <c r="AB1669">
        <v>42</v>
      </c>
      <c r="AC1669">
        <v>-15.426500000000001</v>
      </c>
      <c r="AD1669">
        <v>-1.10168936299639</v>
      </c>
      <c r="AE1669">
        <v>-0.455600000000004</v>
      </c>
      <c r="AF1669">
        <v>-0.47984212897794698</v>
      </c>
      <c r="AG1669">
        <v>-1.10168936299639</v>
      </c>
      <c r="AH1669">
        <v>15.347482375460499</v>
      </c>
      <c r="AI1669">
        <v>94.1038258704409</v>
      </c>
      <c r="AJ1669">
        <v>91.790780739855194</v>
      </c>
      <c r="AK1669">
        <v>15.394453000556799</v>
      </c>
    </row>
    <row r="1670" spans="1:37" x14ac:dyDescent="0.2">
      <c r="A1670" t="str">
        <f>"20200111153640500"</f>
        <v>20200111153640500</v>
      </c>
      <c r="B1670" t="str">
        <f>"1578728200494612"</f>
        <v>1578728200494612</v>
      </c>
      <c r="C1670" t="s">
        <v>37</v>
      </c>
      <c r="D1670">
        <v>5.9213399999999998</v>
      </c>
      <c r="E1670">
        <v>0.50372419999999996</v>
      </c>
      <c r="F1670" t="s">
        <v>45</v>
      </c>
      <c r="G1670">
        <v>-252.4357</v>
      </c>
      <c r="H1670" s="1">
        <v>-2.4064129999999901E-7</v>
      </c>
      <c r="I1670">
        <v>282.6377</v>
      </c>
      <c r="J1670">
        <v>-237.18680000000001</v>
      </c>
      <c r="K1670">
        <v>1.101801</v>
      </c>
      <c r="L1670">
        <v>283.10180000000003</v>
      </c>
      <c r="M1670">
        <v>-0.99999450000000001</v>
      </c>
      <c r="N1670">
        <v>0</v>
      </c>
      <c r="O1670">
        <v>2.3071749999999999E-3</v>
      </c>
      <c r="P1670">
        <v>-0.99858080000000005</v>
      </c>
      <c r="Q1670">
        <v>2.737359E-2</v>
      </c>
      <c r="R1670">
        <v>-4.5685120000000003E-2</v>
      </c>
      <c r="S1670">
        <v>-3.0065770000000001</v>
      </c>
      <c r="T1670">
        <v>-0.2115612</v>
      </c>
      <c r="U1670">
        <v>-8.8928220000000002E-2</v>
      </c>
      <c r="V1670">
        <v>-4.7919370000000003E-2</v>
      </c>
      <c r="W1670">
        <v>2.9875909999999999E-2</v>
      </c>
      <c r="X1670">
        <v>0.99840429999999902</v>
      </c>
      <c r="Y1670">
        <v>-3.1786839999999997E-2</v>
      </c>
      <c r="Z1670">
        <v>-1.278848E-3</v>
      </c>
      <c r="AA1670">
        <v>0.99949379999999999</v>
      </c>
      <c r="AB1670">
        <v>42</v>
      </c>
      <c r="AC1670">
        <v>-15.2488999999999</v>
      </c>
      <c r="AD1670">
        <v>-1.1018012406413</v>
      </c>
      <c r="AE1670">
        <v>-0.46410000000002999</v>
      </c>
      <c r="AF1670">
        <v>-0.49669007091488798</v>
      </c>
      <c r="AG1670">
        <v>-1.1018012406413</v>
      </c>
      <c r="AH1670">
        <v>15.168670722564199</v>
      </c>
      <c r="AI1670">
        <v>94.152258941407993</v>
      </c>
      <c r="AJ1670">
        <v>91.875449791798701</v>
      </c>
      <c r="AK1670">
        <v>15.216742045852</v>
      </c>
    </row>
    <row r="1671" spans="1:37" x14ac:dyDescent="0.2">
      <c r="A1671" t="str">
        <f>"20200111153640523"</f>
        <v>20200111153640523</v>
      </c>
      <c r="B1671" t="str">
        <f>"1578728200514136"</f>
        <v>1578728200514136</v>
      </c>
      <c r="C1671" t="s">
        <v>37</v>
      </c>
      <c r="D1671">
        <v>5.9537949999999897</v>
      </c>
      <c r="E1671">
        <v>0.50312389999999996</v>
      </c>
      <c r="F1671" t="s">
        <v>38</v>
      </c>
      <c r="G1671">
        <v>-238.267</v>
      </c>
      <c r="H1671">
        <v>1.0233490000000001</v>
      </c>
      <c r="I1671">
        <v>283.0677</v>
      </c>
      <c r="J1671">
        <v>-237.62690000000001</v>
      </c>
      <c r="K1671">
        <v>1.1019330000000001</v>
      </c>
      <c r="L1671">
        <v>283.10300000000001</v>
      </c>
      <c r="M1671">
        <v>-0.99999329999999997</v>
      </c>
      <c r="N1671">
        <v>0</v>
      </c>
      <c r="O1671">
        <v>2.7442009999999999E-3</v>
      </c>
      <c r="P1671">
        <v>-0.99856160000000005</v>
      </c>
      <c r="Q1671">
        <v>2.6007180000000001E-2</v>
      </c>
      <c r="R1671">
        <v>-4.6890349999999997E-2</v>
      </c>
      <c r="S1671">
        <v>-3.0058750000000001</v>
      </c>
      <c r="T1671">
        <v>-0.21838850000000001</v>
      </c>
      <c r="U1671">
        <v>-9.5397949999999995E-2</v>
      </c>
      <c r="V1671">
        <v>-4.9574170000000001E-2</v>
      </c>
      <c r="W1671">
        <v>2.8547050000000001E-2</v>
      </c>
      <c r="X1671">
        <v>0.99836239999999998</v>
      </c>
      <c r="Y1671">
        <v>-3.4366180000000003E-2</v>
      </c>
      <c r="Z1671">
        <v>-1.44553E-3</v>
      </c>
      <c r="AA1671">
        <v>0.99940819999999997</v>
      </c>
      <c r="AB1671">
        <v>42</v>
      </c>
      <c r="AC1671">
        <v>-0.64009999999998901</v>
      </c>
      <c r="AD1671">
        <v>-7.8583999999999904E-2</v>
      </c>
      <c r="AE1671">
        <v>-3.53000000000065E-2</v>
      </c>
      <c r="AF1671">
        <v>-3.6507855099911099E-2</v>
      </c>
      <c r="AG1671">
        <v>-7.8583999999999904E-2</v>
      </c>
      <c r="AH1671">
        <v>0.63052620504658097</v>
      </c>
      <c r="AI1671">
        <v>97.092520487024203</v>
      </c>
      <c r="AJ1671">
        <v>93.313761073123004</v>
      </c>
      <c r="AK1671">
        <v>0.63645232640822302</v>
      </c>
    </row>
    <row r="1672" spans="1:37" x14ac:dyDescent="0.2">
      <c r="A1672" t="str">
        <f>"20200111153640546"</f>
        <v>20200111153640546</v>
      </c>
      <c r="B1672" t="str">
        <f>"1578728200534628"</f>
        <v>1578728200534628</v>
      </c>
      <c r="C1672" t="s">
        <v>37</v>
      </c>
      <c r="D1672">
        <v>5.9163180000000004</v>
      </c>
      <c r="E1672">
        <v>0.50261469999999997</v>
      </c>
      <c r="F1672" t="s">
        <v>38</v>
      </c>
      <c r="G1672">
        <v>-238.64789999999999</v>
      </c>
      <c r="H1672">
        <v>1.0259129999999901</v>
      </c>
      <c r="I1672">
        <v>283.06760000000003</v>
      </c>
      <c r="J1672">
        <v>-238.0548</v>
      </c>
      <c r="K1672">
        <v>1.10206</v>
      </c>
      <c r="L1672">
        <v>283.1044</v>
      </c>
      <c r="M1672">
        <v>-0.99999229999999995</v>
      </c>
      <c r="N1672">
        <v>0</v>
      </c>
      <c r="O1672">
        <v>3.0265420000000001E-3</v>
      </c>
      <c r="P1672">
        <v>-0.99856350000000005</v>
      </c>
      <c r="Q1672">
        <v>2.464701E-2</v>
      </c>
      <c r="R1672">
        <v>-4.7577550000000003E-2</v>
      </c>
      <c r="S1672">
        <v>-3.0052490000000001</v>
      </c>
      <c r="T1672">
        <v>-0.22373370000000001</v>
      </c>
      <c r="U1672">
        <v>-0.10446169999999901</v>
      </c>
      <c r="V1672">
        <v>-5.055432E-2</v>
      </c>
      <c r="W1672">
        <v>2.7222909999999999E-2</v>
      </c>
      <c r="X1672">
        <v>0.99835019999999997</v>
      </c>
      <c r="Y1672">
        <v>-3.7650889999999999E-2</v>
      </c>
      <c r="Z1672">
        <v>-1.624096E-3</v>
      </c>
      <c r="AA1672">
        <v>0.9992896</v>
      </c>
      <c r="AB1672">
        <v>42</v>
      </c>
      <c r="AC1672">
        <v>-0.59309999999999197</v>
      </c>
      <c r="AD1672">
        <v>-7.6147000000000103E-2</v>
      </c>
      <c r="AE1672">
        <v>-3.6799999999971002E-2</v>
      </c>
      <c r="AF1672">
        <v>-3.7971377819639003E-2</v>
      </c>
      <c r="AG1672">
        <v>-7.6147000000000103E-2</v>
      </c>
      <c r="AH1672">
        <v>0.58340620344114402</v>
      </c>
      <c r="AI1672">
        <v>97.420762694044001</v>
      </c>
      <c r="AJ1672">
        <v>93.723881255659606</v>
      </c>
      <c r="AK1672">
        <v>0.58957865408792698</v>
      </c>
    </row>
    <row r="1673" spans="1:37" x14ac:dyDescent="0.2">
      <c r="A1673" t="str">
        <f>"20200111153640568"</f>
        <v>20200111153640568</v>
      </c>
      <c r="B1673" t="str">
        <f>"1578728200564885"</f>
        <v>1578728200564885</v>
      </c>
      <c r="C1673" t="s">
        <v>37</v>
      </c>
      <c r="D1673">
        <v>6.0062259999999998</v>
      </c>
      <c r="E1673">
        <v>0.48224149999999999</v>
      </c>
      <c r="F1673" t="s">
        <v>38</v>
      </c>
      <c r="G1673">
        <v>-239.0378</v>
      </c>
      <c r="H1673">
        <v>1.0269950000000001</v>
      </c>
      <c r="I1673">
        <v>283.06819999999999</v>
      </c>
      <c r="J1673">
        <v>-238.4717</v>
      </c>
      <c r="K1673">
        <v>1.102182</v>
      </c>
      <c r="L1673">
        <v>283.10570000000001</v>
      </c>
      <c r="M1673">
        <v>-0.99999189999999905</v>
      </c>
      <c r="N1673">
        <v>0</v>
      </c>
      <c r="O1673">
        <v>3.1644009999999998E-3</v>
      </c>
      <c r="P1673">
        <v>-0.99858169999999902</v>
      </c>
      <c r="Q1673">
        <v>2.3435580000000001E-2</v>
      </c>
      <c r="R1673">
        <v>-4.7810100000000001E-2</v>
      </c>
      <c r="S1673">
        <v>-3.0046840000000001</v>
      </c>
      <c r="T1673">
        <v>-0.22963739999999999</v>
      </c>
      <c r="U1673">
        <v>-0.1113586</v>
      </c>
      <c r="V1673">
        <v>-5.0935319999999999E-2</v>
      </c>
      <c r="W1673">
        <v>2.6045539999999999E-2</v>
      </c>
      <c r="X1673">
        <v>0.99836219999999998</v>
      </c>
      <c r="Y1673">
        <v>-4.0072389999999999E-2</v>
      </c>
      <c r="Z1673">
        <v>-1.769957E-3</v>
      </c>
      <c r="AA1673">
        <v>0.99919519999999995</v>
      </c>
      <c r="AB1673">
        <v>42</v>
      </c>
      <c r="AC1673">
        <v>-0.56610000000000504</v>
      </c>
      <c r="AD1673">
        <v>-7.5186999999999796E-2</v>
      </c>
      <c r="AE1673">
        <v>-3.7500000000022703E-2</v>
      </c>
      <c r="AF1673">
        <v>-3.8613026261241197E-2</v>
      </c>
      <c r="AG1673">
        <v>-7.5186999999999796E-2</v>
      </c>
      <c r="AH1673">
        <v>0.55620981109065304</v>
      </c>
      <c r="AI1673">
        <v>97.680167136059097</v>
      </c>
      <c r="AJ1673">
        <v>93.971198583245794</v>
      </c>
      <c r="AK1673">
        <v>0.56259524057669597</v>
      </c>
    </row>
    <row r="1674" spans="1:37" x14ac:dyDescent="0.2">
      <c r="A1674" t="str">
        <f>"20200111153640591"</f>
        <v>20200111153640591</v>
      </c>
      <c r="B1674" t="str">
        <f>"1578728200584404"</f>
        <v>1578728200584404</v>
      </c>
      <c r="C1674" t="s">
        <v>37</v>
      </c>
      <c r="D1674">
        <v>5.7502769999999996</v>
      </c>
      <c r="E1674">
        <v>0.47967019999999999</v>
      </c>
      <c r="F1674" t="s">
        <v>45</v>
      </c>
      <c r="G1674">
        <v>-251.49770000000001</v>
      </c>
      <c r="H1674" s="1">
        <v>-7.3978869999999998E-7</v>
      </c>
      <c r="I1674">
        <v>281.91320000000002</v>
      </c>
      <c r="J1674">
        <v>-238.90690000000001</v>
      </c>
      <c r="K1674">
        <v>1.1023160000000001</v>
      </c>
      <c r="L1674">
        <v>283.1071</v>
      </c>
      <c r="M1674">
        <v>-0.99999169999999904</v>
      </c>
      <c r="N1674">
        <v>0</v>
      </c>
      <c r="O1674">
        <v>3.1587640000000001E-3</v>
      </c>
      <c r="P1674">
        <v>-0.99858159999999896</v>
      </c>
      <c r="Q1674">
        <v>2.304931E-2</v>
      </c>
      <c r="R1674">
        <v>-4.7995309999999999E-2</v>
      </c>
      <c r="S1674">
        <v>-2.997055</v>
      </c>
      <c r="T1674">
        <v>-0.25359379999999998</v>
      </c>
      <c r="U1674">
        <v>-0.2743835</v>
      </c>
      <c r="V1674">
        <v>-5.1123340000000003E-2</v>
      </c>
      <c r="W1674">
        <v>2.5694229999999998E-2</v>
      </c>
      <c r="X1674">
        <v>0.99836179999999997</v>
      </c>
      <c r="Y1674">
        <v>-9.3970719999999994E-2</v>
      </c>
      <c r="Z1674">
        <v>-4.226563E-3</v>
      </c>
      <c r="AA1674">
        <v>0.99556599999999995</v>
      </c>
      <c r="AB1674">
        <v>42</v>
      </c>
      <c r="AC1674">
        <v>-12.5908</v>
      </c>
      <c r="AD1674">
        <v>-1.1023167397886999</v>
      </c>
      <c r="AE1674">
        <v>-1.19389999999998</v>
      </c>
      <c r="AF1674">
        <v>-1.22436454601131</v>
      </c>
      <c r="AG1674">
        <v>-1.1023167397886999</v>
      </c>
      <c r="AH1674">
        <v>12.492068802702899</v>
      </c>
      <c r="AI1674">
        <v>95.018869239778795</v>
      </c>
      <c r="AJ1674">
        <v>95.597758029250997</v>
      </c>
      <c r="AK1674">
        <v>12.600236256031501</v>
      </c>
    </row>
    <row r="1675" spans="1:37" x14ac:dyDescent="0.2">
      <c r="A1675" t="str">
        <f>"20200111153640613"</f>
        <v>20200111153640613</v>
      </c>
      <c r="B1675" t="str">
        <f>"1578728200604901"</f>
        <v>1578728200604901</v>
      </c>
      <c r="C1675" t="s">
        <v>37</v>
      </c>
      <c r="D1675">
        <v>5.8337810000000001</v>
      </c>
      <c r="E1675">
        <v>0.47939520000000002</v>
      </c>
      <c r="F1675" t="s">
        <v>45</v>
      </c>
      <c r="G1675">
        <v>-252.22970000000001</v>
      </c>
      <c r="H1675" s="1">
        <v>-3.5027729999999998E-7</v>
      </c>
      <c r="I1675">
        <v>281.79129999999998</v>
      </c>
      <c r="J1675">
        <v>-239.34</v>
      </c>
      <c r="K1675">
        <v>1.102455</v>
      </c>
      <c r="L1675">
        <v>283.10829999999999</v>
      </c>
      <c r="M1675">
        <v>-0.99999199999999999</v>
      </c>
      <c r="N1675">
        <v>0</v>
      </c>
      <c r="O1675">
        <v>3.0077259999999901E-3</v>
      </c>
      <c r="P1675">
        <v>-0.99856460000000002</v>
      </c>
      <c r="Q1675">
        <v>2.2298470000000001E-2</v>
      </c>
      <c r="R1675">
        <v>-4.8700569999999999E-2</v>
      </c>
      <c r="S1675">
        <v>-2.9957579999999999</v>
      </c>
      <c r="T1675">
        <v>-0.24786759999999999</v>
      </c>
      <c r="U1675">
        <v>-0.29586790000000002</v>
      </c>
      <c r="V1675">
        <v>-5.1687459999999998E-2</v>
      </c>
      <c r="W1675">
        <v>2.497777E-2</v>
      </c>
      <c r="X1675">
        <v>0.99835090000000004</v>
      </c>
      <c r="Y1675">
        <v>-0.1009251</v>
      </c>
      <c r="Z1675">
        <v>-4.4059059999999898E-3</v>
      </c>
      <c r="AA1675">
        <v>0.99488430000000005</v>
      </c>
      <c r="AB1675">
        <v>43</v>
      </c>
      <c r="AC1675">
        <v>-12.889699999999999</v>
      </c>
      <c r="AD1675">
        <v>-1.1024553502773</v>
      </c>
      <c r="AE1675">
        <v>-1.3169999999999999</v>
      </c>
      <c r="AF1675">
        <v>-1.3460179748713601</v>
      </c>
      <c r="AG1675">
        <v>-1.1024553502773</v>
      </c>
      <c r="AH1675">
        <v>12.793061418725699</v>
      </c>
      <c r="AI1675">
        <v>94.898448971511996</v>
      </c>
      <c r="AJ1675">
        <v>96.006259297896506</v>
      </c>
      <c r="AK1675">
        <v>12.910832376393101</v>
      </c>
    </row>
    <row r="1676" spans="1:37" x14ac:dyDescent="0.2">
      <c r="A1676" t="str">
        <f>"20200111153640635"</f>
        <v>20200111153640635</v>
      </c>
      <c r="B1676" t="str">
        <f>"1578728200624420"</f>
        <v>1578728200624420</v>
      </c>
      <c r="C1676" t="s">
        <v>37</v>
      </c>
      <c r="D1676">
        <v>5.6905190000000001</v>
      </c>
      <c r="E1676">
        <v>0.47870249999999998</v>
      </c>
      <c r="F1676" t="s">
        <v>45</v>
      </c>
      <c r="G1676">
        <v>-252.74780000000001</v>
      </c>
      <c r="H1676" s="1">
        <v>-7.4562369999999995E-8</v>
      </c>
      <c r="I1676">
        <v>281.76310000000001</v>
      </c>
      <c r="J1676">
        <v>-239.761</v>
      </c>
      <c r="K1676">
        <v>1.102592</v>
      </c>
      <c r="L1676">
        <v>283.10939999999999</v>
      </c>
      <c r="M1676">
        <v>-0.99999280000000002</v>
      </c>
      <c r="N1676">
        <v>0</v>
      </c>
      <c r="O1676">
        <v>2.7386649999999999E-3</v>
      </c>
      <c r="P1676">
        <v>-0.99856469999999897</v>
      </c>
      <c r="Q1676">
        <v>2.2180080000000001E-2</v>
      </c>
      <c r="R1676">
        <v>-4.8754789999999999E-2</v>
      </c>
      <c r="S1676">
        <v>-2.9951479999999999</v>
      </c>
      <c r="T1676">
        <v>-0.24627550000000001</v>
      </c>
      <c r="U1676">
        <v>-0.30050659999999901</v>
      </c>
      <c r="V1676">
        <v>-5.1481430000000002E-2</v>
      </c>
      <c r="W1676">
        <v>2.4892919999999999E-2</v>
      </c>
      <c r="X1676">
        <v>0.99836369999999897</v>
      </c>
      <c r="Y1676">
        <v>-0.1022039</v>
      </c>
      <c r="Z1676">
        <v>-4.4085770000000003E-3</v>
      </c>
      <c r="AA1676">
        <v>0.99475369999999996</v>
      </c>
      <c r="AB1676">
        <v>43</v>
      </c>
      <c r="AC1676">
        <v>-12.986800000000001</v>
      </c>
      <c r="AD1676">
        <v>-1.1025920745623701</v>
      </c>
      <c r="AE1676">
        <v>-1.3462999999999801</v>
      </c>
      <c r="AF1676">
        <v>-1.37207655573904</v>
      </c>
      <c r="AG1676">
        <v>-1.1025920745623701</v>
      </c>
      <c r="AH1676">
        <v>12.8911306633364</v>
      </c>
      <c r="AI1676">
        <v>94.861345048742095</v>
      </c>
      <c r="AJ1676">
        <v>96.075443468382701</v>
      </c>
      <c r="AK1676">
        <v>13.0107476009993</v>
      </c>
    </row>
    <row r="1677" spans="1:37" x14ac:dyDescent="0.2">
      <c r="A1677" t="str">
        <f>"20200111153640656"</f>
        <v>20200111153640656</v>
      </c>
      <c r="B1677" t="str">
        <f>"1578728200643940"</f>
        <v>1578728200643940</v>
      </c>
      <c r="C1677" t="s">
        <v>37</v>
      </c>
      <c r="D1677">
        <v>5.934361</v>
      </c>
      <c r="E1677">
        <v>0.478089599999999</v>
      </c>
      <c r="F1677" t="s">
        <v>45</v>
      </c>
      <c r="G1677">
        <v>-253.43809999999999</v>
      </c>
      <c r="H1677" s="1">
        <v>2.9282180000000002E-7</v>
      </c>
      <c r="I1677">
        <v>281.71179999999998</v>
      </c>
      <c r="J1677">
        <v>-240.1763</v>
      </c>
      <c r="K1677">
        <v>1.1027290000000001</v>
      </c>
      <c r="L1677">
        <v>283.11040000000003</v>
      </c>
      <c r="M1677">
        <v>-0.99999340000000003</v>
      </c>
      <c r="N1677">
        <v>0</v>
      </c>
      <c r="O1677">
        <v>2.3802179999999999E-3</v>
      </c>
      <c r="P1677">
        <v>-0.99855939999999999</v>
      </c>
      <c r="Q1677">
        <v>2.2289929999999999E-2</v>
      </c>
      <c r="R1677">
        <v>-4.8809899999999899E-2</v>
      </c>
      <c r="S1677">
        <v>-2.9947509999999999</v>
      </c>
      <c r="T1677">
        <v>-0.2414232</v>
      </c>
      <c r="U1677">
        <v>-0.30603029999999998</v>
      </c>
      <c r="V1677">
        <v>-5.1186570000000001E-2</v>
      </c>
      <c r="W1677">
        <v>2.5036409999999999E-2</v>
      </c>
      <c r="X1677">
        <v>0.99837520000000002</v>
      </c>
      <c r="Y1677">
        <v>-0.1036865</v>
      </c>
      <c r="Z1677">
        <v>-4.352898E-3</v>
      </c>
      <c r="AA1677">
        <v>0.994600499999999</v>
      </c>
      <c r="AB1677">
        <v>43</v>
      </c>
      <c r="AC1677">
        <v>-13.2617999999999</v>
      </c>
      <c r="AD1677">
        <v>-1.1027287071781999</v>
      </c>
      <c r="AE1677">
        <v>-1.39860000000004</v>
      </c>
      <c r="AF1677">
        <v>-1.4204491063690301</v>
      </c>
      <c r="AG1677">
        <v>-1.1027287071781999</v>
      </c>
      <c r="AH1677">
        <v>13.1683880583497</v>
      </c>
      <c r="AI1677">
        <v>94.759333916271103</v>
      </c>
      <c r="AJ1677">
        <v>96.156582614404201</v>
      </c>
      <c r="AK1677">
        <v>13.290603083408399</v>
      </c>
    </row>
    <row r="1678" spans="1:37" x14ac:dyDescent="0.2">
      <c r="A1678" t="str">
        <f>"20200111153640680"</f>
        <v>20200111153640680</v>
      </c>
      <c r="B1678" t="str">
        <f>"1578728200674196"</f>
        <v>1578728200674196</v>
      </c>
      <c r="C1678" t="s">
        <v>37</v>
      </c>
      <c r="D1678">
        <v>5.7361040000000001</v>
      </c>
      <c r="E1678">
        <v>0.4775412</v>
      </c>
      <c r="F1678" t="s">
        <v>45</v>
      </c>
      <c r="G1678">
        <v>-254.0608</v>
      </c>
      <c r="H1678" s="1">
        <v>6.2417009999999995E-7</v>
      </c>
      <c r="I1678">
        <v>281.66820000000001</v>
      </c>
      <c r="J1678">
        <v>-240.6156</v>
      </c>
      <c r="K1678">
        <v>1.1028610000000001</v>
      </c>
      <c r="L1678">
        <v>283.11110000000002</v>
      </c>
      <c r="M1678">
        <v>-0.99999419999999895</v>
      </c>
      <c r="N1678">
        <v>0</v>
      </c>
      <c r="O1678">
        <v>1.928211E-3</v>
      </c>
      <c r="P1678">
        <v>-0.998525</v>
      </c>
      <c r="Q1678">
        <v>2.3003269999999999E-2</v>
      </c>
      <c r="R1678">
        <v>-4.9180580000000002E-2</v>
      </c>
      <c r="S1678">
        <v>-2.994415</v>
      </c>
      <c r="T1678">
        <v>-0.23782010000000001</v>
      </c>
      <c r="U1678">
        <v>-0.31103520000000001</v>
      </c>
      <c r="V1678">
        <v>-5.1113230000000003E-2</v>
      </c>
      <c r="W1678">
        <v>2.578766E-2</v>
      </c>
      <c r="X1678">
        <v>0.99835989999999997</v>
      </c>
      <c r="Y1678">
        <v>-0.1049008</v>
      </c>
      <c r="Z1678">
        <v>-4.3005159999999999E-3</v>
      </c>
      <c r="AA1678">
        <v>0.99447339999999995</v>
      </c>
      <c r="AB1678">
        <v>43</v>
      </c>
      <c r="AC1678">
        <v>-13.4452</v>
      </c>
      <c r="AD1678">
        <v>-1.10286037582989</v>
      </c>
      <c r="AE1678">
        <v>-1.4429000000000001</v>
      </c>
      <c r="AF1678">
        <v>-1.4591169780728299</v>
      </c>
      <c r="AG1678">
        <v>-1.10286037582989</v>
      </c>
      <c r="AH1678">
        <v>13.3535687004827</v>
      </c>
      <c r="AI1678">
        <v>94.6934868114664</v>
      </c>
      <c r="AJ1678">
        <v>96.235852851445202</v>
      </c>
      <c r="AK1678">
        <v>13.4782461916522</v>
      </c>
    </row>
    <row r="1679" spans="1:37" x14ac:dyDescent="0.2">
      <c r="A1679" t="str">
        <f>"20200111153640702"</f>
        <v>20200111153640702</v>
      </c>
      <c r="B1679" t="str">
        <f>"1578728200694692"</f>
        <v>1578728200694692</v>
      </c>
      <c r="C1679" t="s">
        <v>37</v>
      </c>
      <c r="D1679">
        <v>5.9313769999999897</v>
      </c>
      <c r="E1679">
        <v>0.47721720000000001</v>
      </c>
      <c r="F1679" t="s">
        <v>45</v>
      </c>
      <c r="G1679">
        <v>-254.94569999999999</v>
      </c>
      <c r="H1679" s="1">
        <v>1.095079E-6</v>
      </c>
      <c r="I1679">
        <v>281.59899999999999</v>
      </c>
      <c r="J1679">
        <v>-241.0498</v>
      </c>
      <c r="K1679">
        <v>1.1029719999999901</v>
      </c>
      <c r="L1679">
        <v>283.11169999999998</v>
      </c>
      <c r="M1679">
        <v>-0.99999509999999903</v>
      </c>
      <c r="N1679">
        <v>0</v>
      </c>
      <c r="O1679">
        <v>1.422413E-3</v>
      </c>
      <c r="P1679">
        <v>-0.99850599999999901</v>
      </c>
      <c r="Q1679">
        <v>2.391298E-2</v>
      </c>
      <c r="R1679">
        <v>-4.913298E-2</v>
      </c>
      <c r="S1679">
        <v>-2.9941709999999899</v>
      </c>
      <c r="T1679">
        <v>-0.23043359999999999</v>
      </c>
      <c r="U1679">
        <v>-0.31594850000000002</v>
      </c>
      <c r="V1679">
        <v>-5.0567359999999999E-2</v>
      </c>
      <c r="W1679">
        <v>2.6737190000000001E-2</v>
      </c>
      <c r="X1679">
        <v>0.99836270000000005</v>
      </c>
      <c r="Y1679">
        <v>-0.1060387</v>
      </c>
      <c r="Z1679">
        <v>-4.1721659999999997E-3</v>
      </c>
      <c r="AA1679">
        <v>0.99435319999999905</v>
      </c>
      <c r="AB1679">
        <v>43</v>
      </c>
      <c r="AC1679">
        <v>-13.8958999999999</v>
      </c>
      <c r="AD1679">
        <v>-1.1029709049209999</v>
      </c>
      <c r="AE1679">
        <v>-1.5126999999999899</v>
      </c>
      <c r="AF1679">
        <v>-1.52298153178766</v>
      </c>
      <c r="AG1679">
        <v>-1.1029709049209999</v>
      </c>
      <c r="AH1679">
        <v>13.807761320452</v>
      </c>
      <c r="AI1679">
        <v>94.539702916670294</v>
      </c>
      <c r="AJ1679">
        <v>96.294221555416598</v>
      </c>
      <c r="AK1679">
        <v>13.9352176246315</v>
      </c>
    </row>
    <row r="1680" spans="1:37" x14ac:dyDescent="0.2">
      <c r="A1680" t="str">
        <f>"20200111153640724"</f>
        <v>20200111153640724</v>
      </c>
      <c r="B1680" t="str">
        <f>"1578728200714215"</f>
        <v>1578728200714215</v>
      </c>
      <c r="C1680" t="s">
        <v>37</v>
      </c>
      <c r="D1680">
        <v>5.9246030000000003</v>
      </c>
      <c r="E1680">
        <v>0.47696569999999999</v>
      </c>
      <c r="F1680" t="s">
        <v>45</v>
      </c>
      <c r="G1680">
        <v>-255.5702</v>
      </c>
      <c r="H1680" s="1">
        <v>1.427388E-6</v>
      </c>
      <c r="I1680">
        <v>281.56709999999998</v>
      </c>
      <c r="J1680">
        <v>-241.4984</v>
      </c>
      <c r="K1680">
        <v>1.1030659999999901</v>
      </c>
      <c r="L1680">
        <v>283.11200000000002</v>
      </c>
      <c r="M1680">
        <v>-0.99999550000000004</v>
      </c>
      <c r="N1680">
        <v>0</v>
      </c>
      <c r="O1680">
        <v>8.6393979999999895E-4</v>
      </c>
      <c r="P1680">
        <v>-0.99847619999999904</v>
      </c>
      <c r="Q1680">
        <v>2.5172819999999999E-2</v>
      </c>
      <c r="R1680">
        <v>-4.910788E-2</v>
      </c>
      <c r="S1680">
        <v>-2.9942470000000001</v>
      </c>
      <c r="T1680">
        <v>-0.22744339999999899</v>
      </c>
      <c r="U1680">
        <v>-0.31851199999999902</v>
      </c>
      <c r="V1680">
        <v>-4.9991430000000003E-2</v>
      </c>
      <c r="W1680">
        <v>2.80399E-2</v>
      </c>
      <c r="X1680">
        <v>0.99835599999999902</v>
      </c>
      <c r="Y1680">
        <v>-0.1063315</v>
      </c>
      <c r="Z1680">
        <v>-4.0867209999999998E-3</v>
      </c>
      <c r="AA1680">
        <v>0.99432240000000005</v>
      </c>
      <c r="AB1680">
        <v>44</v>
      </c>
      <c r="AC1680">
        <v>-14.0717999999999</v>
      </c>
      <c r="AD1680">
        <v>-1.1030645726119901</v>
      </c>
      <c r="AE1680">
        <v>-1.5449000000000399</v>
      </c>
      <c r="AF1680">
        <v>-1.54765997418009</v>
      </c>
      <c r="AG1680">
        <v>-1.1030645726119901</v>
      </c>
      <c r="AH1680">
        <v>13.985546166386801</v>
      </c>
      <c r="AI1680">
        <v>94.482433175875201</v>
      </c>
      <c r="AJ1680">
        <v>96.314737584524806</v>
      </c>
      <c r="AK1680">
        <v>14.114088862521999</v>
      </c>
    </row>
    <row r="1681" spans="1:37" x14ac:dyDescent="0.2">
      <c r="A1681" t="str">
        <f>"20200111153640747"</f>
        <v>20200111153640747</v>
      </c>
      <c r="B1681" t="str">
        <f>"1578728200744468"</f>
        <v>1578728200744468</v>
      </c>
      <c r="C1681" t="s">
        <v>37</v>
      </c>
      <c r="D1681">
        <v>5.7407180000000002</v>
      </c>
      <c r="E1681">
        <v>0.4765779</v>
      </c>
      <c r="F1681" t="s">
        <v>45</v>
      </c>
      <c r="G1681">
        <v>-256.34010000000001</v>
      </c>
      <c r="H1681" s="1">
        <v>1.8370829999999999E-6</v>
      </c>
      <c r="I1681">
        <v>281.52319999999997</v>
      </c>
      <c r="J1681">
        <v>-241.9385</v>
      </c>
      <c r="K1681">
        <v>1.1031359999999999</v>
      </c>
      <c r="L1681">
        <v>283.1121</v>
      </c>
      <c r="M1681">
        <v>-0.99999579999999999</v>
      </c>
      <c r="N1681">
        <v>0</v>
      </c>
      <c r="O1681">
        <v>2.9352529999999999E-4</v>
      </c>
      <c r="P1681">
        <v>-0.99837960000000003</v>
      </c>
      <c r="Q1681">
        <v>2.6495970000000001E-2</v>
      </c>
      <c r="R1681">
        <v>-5.036674E-2</v>
      </c>
      <c r="S1681">
        <v>-2.9944310000000001</v>
      </c>
      <c r="T1681">
        <v>-0.22255269999999999</v>
      </c>
      <c r="U1681">
        <v>-0.32055659999999903</v>
      </c>
      <c r="V1681">
        <v>-5.0686370000000001E-2</v>
      </c>
      <c r="W1681">
        <v>2.940547E-2</v>
      </c>
      <c r="X1681">
        <v>0.99828169999999905</v>
      </c>
      <c r="Y1681">
        <v>-0.1064436</v>
      </c>
      <c r="Z1681">
        <v>-3.9606299999999997E-3</v>
      </c>
      <c r="AA1681">
        <v>0.9943109</v>
      </c>
      <c r="AB1681">
        <v>44</v>
      </c>
      <c r="AC1681">
        <v>-14.4016</v>
      </c>
      <c r="AD1681">
        <v>-1.1031341629169999</v>
      </c>
      <c r="AE1681">
        <v>-1.58890000000002</v>
      </c>
      <c r="AF1681">
        <v>-1.58394552774032</v>
      </c>
      <c r="AG1681">
        <v>-1.1031341629169999</v>
      </c>
      <c r="AH1681">
        <v>14.318135077038599</v>
      </c>
      <c r="AI1681">
        <v>94.379015122499595</v>
      </c>
      <c r="AJ1681">
        <v>96.312685078535907</v>
      </c>
      <c r="AK1681">
        <v>14.4476565747033</v>
      </c>
    </row>
    <row r="1682" spans="1:37" x14ac:dyDescent="0.2">
      <c r="A1682" t="str">
        <f>"20200111153640767"</f>
        <v>20200111153640767</v>
      </c>
      <c r="B1682" t="str">
        <f>"1578728200763988"</f>
        <v>1578728200763988</v>
      </c>
      <c r="C1682" t="s">
        <v>37</v>
      </c>
      <c r="D1682">
        <v>5.7725220000000004</v>
      </c>
      <c r="E1682">
        <v>0.47688609999999998</v>
      </c>
      <c r="F1682" t="s">
        <v>45</v>
      </c>
      <c r="G1682">
        <v>-257.06130000000002</v>
      </c>
      <c r="H1682" s="1">
        <v>2.2208890000000001E-6</v>
      </c>
      <c r="I1682">
        <v>281.4597</v>
      </c>
      <c r="J1682">
        <v>-242.3492</v>
      </c>
      <c r="K1682">
        <v>1.1031850000000001</v>
      </c>
      <c r="L1682">
        <v>283.11189999999999</v>
      </c>
      <c r="M1682">
        <v>-0.99999550000000004</v>
      </c>
      <c r="N1682">
        <v>0</v>
      </c>
      <c r="O1682">
        <v>-2.4786369999999999E-4</v>
      </c>
      <c r="P1682">
        <v>-0.99830750000000001</v>
      </c>
      <c r="Q1682">
        <v>2.6265279999999998E-2</v>
      </c>
      <c r="R1682">
        <v>-5.1888440000000001E-2</v>
      </c>
      <c r="S1682">
        <v>-2.9941559999999998</v>
      </c>
      <c r="T1682">
        <v>-0.21840879999999999</v>
      </c>
      <c r="U1682">
        <v>-0.32714840000000001</v>
      </c>
      <c r="V1682">
        <v>-5.1671519999999999E-2</v>
      </c>
      <c r="W1682">
        <v>2.9214819999999999E-2</v>
      </c>
      <c r="X1682">
        <v>0.99823669999999998</v>
      </c>
      <c r="Y1682">
        <v>-0.1080864</v>
      </c>
      <c r="Z1682">
        <v>-3.9073140000000003E-3</v>
      </c>
      <c r="AA1682">
        <v>0.99413379999999996</v>
      </c>
      <c r="AB1682">
        <v>44</v>
      </c>
      <c r="AC1682">
        <v>-14.7121</v>
      </c>
      <c r="AD1682">
        <v>-1.103182779111</v>
      </c>
      <c r="AE1682">
        <v>-1.6521999999999899</v>
      </c>
      <c r="AF1682">
        <v>-1.6394499962857301</v>
      </c>
      <c r="AG1682">
        <v>-1.103182779111</v>
      </c>
      <c r="AH1682">
        <v>14.6312663311086</v>
      </c>
      <c r="AI1682">
        <v>94.285169128515193</v>
      </c>
      <c r="AJ1682">
        <v>96.393388811543005</v>
      </c>
      <c r="AK1682">
        <v>14.7641038666856</v>
      </c>
    </row>
    <row r="1683" spans="1:37" x14ac:dyDescent="0.2">
      <c r="A1683" t="str">
        <f>"20200111153640791"</f>
        <v>20200111153640791</v>
      </c>
      <c r="B1683" t="str">
        <f>"1578728200784484"</f>
        <v>1578728200784484</v>
      </c>
      <c r="C1683" t="s">
        <v>37</v>
      </c>
      <c r="D1683">
        <v>5.9705849999999998</v>
      </c>
      <c r="E1683">
        <v>0.48010619999999998</v>
      </c>
      <c r="F1683" t="s">
        <v>45</v>
      </c>
      <c r="G1683">
        <v>-257.548</v>
      </c>
      <c r="H1683" s="1">
        <v>2.4798759999999999E-6</v>
      </c>
      <c r="I1683">
        <v>281.44159999999999</v>
      </c>
      <c r="J1683">
        <v>-242.81649999999999</v>
      </c>
      <c r="K1683">
        <v>1.103221</v>
      </c>
      <c r="L1683">
        <v>283.11149999999998</v>
      </c>
      <c r="M1683">
        <v>-0.99999509999999903</v>
      </c>
      <c r="N1683">
        <v>0</v>
      </c>
      <c r="O1683">
        <v>-8.6335009999999996E-4</v>
      </c>
      <c r="P1683">
        <v>-0.99826190000000004</v>
      </c>
      <c r="Q1683">
        <v>2.4837410000000001E-2</v>
      </c>
      <c r="R1683">
        <v>-5.3448019999999999E-2</v>
      </c>
      <c r="S1683">
        <v>-2.9937130000000001</v>
      </c>
      <c r="T1683">
        <v>-0.21729499999999999</v>
      </c>
      <c r="U1683">
        <v>-0.32900999999999903</v>
      </c>
      <c r="V1683">
        <v>-5.2618430000000001E-2</v>
      </c>
      <c r="W1683">
        <v>2.7834459999999998E-2</v>
      </c>
      <c r="X1683">
        <v>0.99822670000000002</v>
      </c>
      <c r="Y1683">
        <v>-0.1081056</v>
      </c>
      <c r="Z1683">
        <v>-3.8440919999999999E-3</v>
      </c>
      <c r="AA1683">
        <v>0.99413200000000002</v>
      </c>
      <c r="AB1683">
        <v>44</v>
      </c>
      <c r="AC1683">
        <v>-14.7315</v>
      </c>
      <c r="AD1683">
        <v>-1.1032185201239999</v>
      </c>
      <c r="AE1683">
        <v>-1.66989999999998</v>
      </c>
      <c r="AF1683">
        <v>-1.64805539162256</v>
      </c>
      <c r="AG1683">
        <v>-1.1032185201239999</v>
      </c>
      <c r="AH1683">
        <v>14.6518073559225</v>
      </c>
      <c r="AI1683">
        <v>94.279118650952299</v>
      </c>
      <c r="AJ1683">
        <v>96.417732753619305</v>
      </c>
      <c r="AK1683">
        <v>14.785419725934901</v>
      </c>
    </row>
    <row r="1684" spans="1:37" x14ac:dyDescent="0.2">
      <c r="A1684" t="str">
        <f>"20200111153640813"</f>
        <v>20200111153640813</v>
      </c>
      <c r="B1684" t="str">
        <f>"1578728200804007"</f>
        <v>1578728200804007</v>
      </c>
      <c r="C1684" t="s">
        <v>37</v>
      </c>
      <c r="D1684">
        <v>5.8641059999999996</v>
      </c>
      <c r="E1684">
        <v>0.5340376</v>
      </c>
      <c r="F1684" t="s">
        <v>45</v>
      </c>
      <c r="G1684">
        <v>-257.89179999999999</v>
      </c>
      <c r="H1684" s="1">
        <v>2.662831E-6</v>
      </c>
      <c r="I1684">
        <v>281.55880000000002</v>
      </c>
      <c r="J1684">
        <v>-243.26240000000001</v>
      </c>
      <c r="K1684">
        <v>1.103248</v>
      </c>
      <c r="L1684">
        <v>283.11079999999998</v>
      </c>
      <c r="M1684">
        <v>-0.99999419999999895</v>
      </c>
      <c r="N1684">
        <v>0</v>
      </c>
      <c r="O1684">
        <v>-1.440867E-3</v>
      </c>
      <c r="P1684">
        <v>-0.99827749999999904</v>
      </c>
      <c r="Q1684">
        <v>2.3142940000000001E-2</v>
      </c>
      <c r="R1684">
        <v>-5.3912500000000002E-2</v>
      </c>
      <c r="S1684">
        <v>-2.9941559999999998</v>
      </c>
      <c r="T1684">
        <v>-0.21911430000000001</v>
      </c>
      <c r="U1684">
        <v>-0.30838009999999999</v>
      </c>
      <c r="V1684">
        <v>-5.2506999999999998E-2</v>
      </c>
      <c r="W1684">
        <v>2.618759E-2</v>
      </c>
      <c r="X1684">
        <v>0.99827710000000003</v>
      </c>
      <c r="Y1684">
        <v>-0.1007559</v>
      </c>
      <c r="Z1684">
        <v>-3.5670699999999999E-3</v>
      </c>
      <c r="AA1684">
        <v>0.99490480000000003</v>
      </c>
      <c r="AB1684">
        <v>44</v>
      </c>
      <c r="AC1684">
        <v>-14.629399999999899</v>
      </c>
      <c r="AD1684">
        <v>-1.1032453371690001</v>
      </c>
      <c r="AE1684">
        <v>-1.5519999999999601</v>
      </c>
      <c r="AF1684">
        <v>-1.5223578173864301</v>
      </c>
      <c r="AG1684">
        <v>-1.1032453371690001</v>
      </c>
      <c r="AH1684">
        <v>14.549795759705599</v>
      </c>
      <c r="AI1684">
        <v>94.312729488379901</v>
      </c>
      <c r="AJ1684">
        <v>95.973173300391494</v>
      </c>
      <c r="AK1684">
        <v>14.6707627697844</v>
      </c>
    </row>
    <row r="1685" spans="1:37" x14ac:dyDescent="0.2">
      <c r="A1685" t="str">
        <f>"20200111153640835"</f>
        <v>20200111153640835</v>
      </c>
      <c r="B1685" t="str">
        <f>"1578728200824499"</f>
        <v>1578728200824499</v>
      </c>
      <c r="C1685" t="s">
        <v>37</v>
      </c>
      <c r="D1685">
        <v>5.9004599999999998</v>
      </c>
      <c r="E1685">
        <v>0.53213529999999998</v>
      </c>
      <c r="F1685" t="s">
        <v>38</v>
      </c>
      <c r="G1685">
        <v>-244.0857</v>
      </c>
      <c r="H1685">
        <v>1.0278940000000001</v>
      </c>
      <c r="I1685">
        <v>283.14420000000001</v>
      </c>
      <c r="J1685">
        <v>-243.69299999999899</v>
      </c>
      <c r="K1685">
        <v>1.1032679999999999</v>
      </c>
      <c r="L1685">
        <v>283.10989999999998</v>
      </c>
      <c r="M1685">
        <v>-0.99999319999999903</v>
      </c>
      <c r="N1685">
        <v>0</v>
      </c>
      <c r="O1685">
        <v>-1.9844730000000001E-3</v>
      </c>
      <c r="P1685">
        <v>-0.99826709999999996</v>
      </c>
      <c r="Q1685">
        <v>2.2398379999999999E-2</v>
      </c>
      <c r="R1685">
        <v>-5.4421789999999998E-2</v>
      </c>
      <c r="S1685">
        <v>-3.0181580000000001</v>
      </c>
      <c r="T1685">
        <v>-0.27629709999999902</v>
      </c>
      <c r="U1685">
        <v>0.1221313</v>
      </c>
      <c r="V1685">
        <v>-5.247367E-2</v>
      </c>
      <c r="W1685">
        <v>2.5490220000000001E-2</v>
      </c>
      <c r="X1685">
        <v>0.99829690000000004</v>
      </c>
      <c r="Y1685">
        <v>4.2230629999999998E-2</v>
      </c>
      <c r="Z1685">
        <v>2.1094019999999998E-3</v>
      </c>
      <c r="AA1685">
        <v>0.99910560000000004</v>
      </c>
      <c r="AB1685">
        <v>44</v>
      </c>
      <c r="AC1685">
        <v>-0.39270000000001898</v>
      </c>
      <c r="AD1685">
        <v>-7.5373999999999997E-2</v>
      </c>
      <c r="AE1685">
        <v>3.4300000000030098E-2</v>
      </c>
      <c r="AF1685">
        <v>3.3841936305956999E-2</v>
      </c>
      <c r="AG1685">
        <v>-7.5373999999999997E-2</v>
      </c>
      <c r="AH1685">
        <v>0.37878241202573798</v>
      </c>
      <c r="AI1685">
        <v>101.210773825947</v>
      </c>
      <c r="AJ1685">
        <v>84.894521578333098</v>
      </c>
      <c r="AK1685">
        <v>0.38768883423303802</v>
      </c>
    </row>
    <row r="1686" spans="1:37" x14ac:dyDescent="0.2">
      <c r="A1686" t="str">
        <f>"20200111153640857"</f>
        <v>20200111153640857</v>
      </c>
      <c r="B1686" t="str">
        <f>"1578728200854756"</f>
        <v>1578728200854756</v>
      </c>
      <c r="C1686" t="s">
        <v>37</v>
      </c>
      <c r="D1686">
        <v>5.8700099999999997</v>
      </c>
      <c r="E1686">
        <v>0.53216799999999997</v>
      </c>
      <c r="F1686" t="s">
        <v>38</v>
      </c>
      <c r="G1686">
        <v>-244.4889</v>
      </c>
      <c r="H1686">
        <v>1.0366500000000001</v>
      </c>
      <c r="I1686">
        <v>283.13760000000002</v>
      </c>
      <c r="J1686">
        <v>-244.1259</v>
      </c>
      <c r="K1686">
        <v>1.1032850000000001</v>
      </c>
      <c r="L1686">
        <v>283.10879999999997</v>
      </c>
      <c r="M1686">
        <v>-0.99999169999999904</v>
      </c>
      <c r="N1686">
        <v>0</v>
      </c>
      <c r="O1686">
        <v>-2.5115850000000002E-3</v>
      </c>
      <c r="P1686">
        <v>-0.99823490000000004</v>
      </c>
      <c r="Q1686">
        <v>2.2163829999999999E-2</v>
      </c>
      <c r="R1686">
        <v>-5.5100749999999997E-2</v>
      </c>
      <c r="S1686">
        <v>-3.0165860000000002</v>
      </c>
      <c r="T1686">
        <v>-0.25270690000000001</v>
      </c>
      <c r="U1686">
        <v>0.10449219999999999</v>
      </c>
      <c r="V1686">
        <v>-5.2627670000000001E-2</v>
      </c>
      <c r="W1686">
        <v>2.5303349999999999E-2</v>
      </c>
      <c r="X1686">
        <v>0.9982936</v>
      </c>
      <c r="Y1686">
        <v>3.6990240000000001E-2</v>
      </c>
      <c r="Z1686">
        <v>1.7561860000000001E-3</v>
      </c>
      <c r="AA1686">
        <v>0.99931409999999998</v>
      </c>
      <c r="AB1686">
        <v>44</v>
      </c>
      <c r="AC1686">
        <v>-0.36299999999999899</v>
      </c>
      <c r="AD1686">
        <v>-6.6635E-2</v>
      </c>
      <c r="AE1686">
        <v>2.88000000000465E-2</v>
      </c>
      <c r="AF1686">
        <v>2.8748925772787998E-2</v>
      </c>
      <c r="AG1686">
        <v>-6.6635E-2</v>
      </c>
      <c r="AH1686">
        <v>0.35116725013071798</v>
      </c>
      <c r="AI1686">
        <v>100.709306176767</v>
      </c>
      <c r="AJ1686">
        <v>85.319817208051802</v>
      </c>
      <c r="AK1686">
        <v>0.35858773197428201</v>
      </c>
    </row>
    <row r="1687" spans="1:37" x14ac:dyDescent="0.2">
      <c r="A1687" t="str">
        <f>"20200111153640881"</f>
        <v>20200111153640881</v>
      </c>
      <c r="B1687" t="str">
        <f>"1578728200874276"</f>
        <v>1578728200874276</v>
      </c>
      <c r="C1687" t="s">
        <v>37</v>
      </c>
      <c r="D1687">
        <v>5.8719669999999997</v>
      </c>
      <c r="E1687">
        <v>0.5313833</v>
      </c>
      <c r="F1687" t="s">
        <v>38</v>
      </c>
      <c r="G1687">
        <v>-244.89060000000001</v>
      </c>
      <c r="H1687">
        <v>1.040003</v>
      </c>
      <c r="I1687">
        <v>283.13499999999999</v>
      </c>
      <c r="J1687">
        <v>-244.5857</v>
      </c>
      <c r="K1687">
        <v>1.1032919999999999</v>
      </c>
      <c r="L1687">
        <v>283.10730000000001</v>
      </c>
      <c r="M1687">
        <v>-0.99999009999999999</v>
      </c>
      <c r="N1687">
        <v>0</v>
      </c>
      <c r="O1687">
        <v>-3.047002E-3</v>
      </c>
      <c r="P1687">
        <v>-0.99821280000000001</v>
      </c>
      <c r="Q1687">
        <v>2.1975419999999999E-2</v>
      </c>
      <c r="R1687">
        <v>-5.5575930000000003E-2</v>
      </c>
      <c r="S1687">
        <v>-3.0165099999999998</v>
      </c>
      <c r="T1687">
        <v>-0.24973239999999999</v>
      </c>
      <c r="U1687">
        <v>0.1029663</v>
      </c>
      <c r="V1687">
        <v>-5.2568820000000002E-2</v>
      </c>
      <c r="W1687">
        <v>2.5167490000000001E-2</v>
      </c>
      <c r="X1687">
        <v>0.99830010000000002</v>
      </c>
      <c r="Y1687">
        <v>3.7022550000000001E-2</v>
      </c>
      <c r="Z1687">
        <v>1.78121799999999E-3</v>
      </c>
      <c r="AA1687">
        <v>0.9993128</v>
      </c>
      <c r="AB1687">
        <v>45</v>
      </c>
      <c r="AC1687">
        <v>-0.304900000000003</v>
      </c>
      <c r="AD1687">
        <v>-6.3288999999999901E-2</v>
      </c>
      <c r="AE1687">
        <v>2.76999999999816E-2</v>
      </c>
      <c r="AF1687">
        <v>2.7455623246289501E-2</v>
      </c>
      <c r="AG1687">
        <v>-6.3288999999999901E-2</v>
      </c>
      <c r="AH1687">
        <v>0.29232213742422097</v>
      </c>
      <c r="AI1687">
        <v>102.164305574886</v>
      </c>
      <c r="AJ1687">
        <v>84.634378228131197</v>
      </c>
      <c r="AK1687">
        <v>0.30035236106464602</v>
      </c>
    </row>
    <row r="1688" spans="1:37" x14ac:dyDescent="0.2">
      <c r="A1688" t="str">
        <f>"20200111153640903"</f>
        <v>20200111153640903</v>
      </c>
      <c r="B1688" t="str">
        <f>"1578728200894773"</f>
        <v>1578728200894773</v>
      </c>
      <c r="C1688" t="s">
        <v>37</v>
      </c>
      <c r="D1688">
        <v>5.5892790000000003</v>
      </c>
      <c r="E1688">
        <v>0.530761699999999</v>
      </c>
      <c r="F1688" t="s">
        <v>38</v>
      </c>
      <c r="G1688">
        <v>-245.6824</v>
      </c>
      <c r="H1688">
        <v>1.0143439999999999</v>
      </c>
      <c r="I1688">
        <v>283.1422</v>
      </c>
      <c r="J1688">
        <v>-245.0497</v>
      </c>
      <c r="K1688">
        <v>1.1032959999999901</v>
      </c>
      <c r="L1688">
        <v>283.10570000000001</v>
      </c>
      <c r="M1688">
        <v>-0.99998829999999905</v>
      </c>
      <c r="N1688">
        <v>0</v>
      </c>
      <c r="O1688">
        <v>-3.552085E-3</v>
      </c>
      <c r="P1688">
        <v>-0.99819840000000004</v>
      </c>
      <c r="Q1688">
        <v>2.2193270000000001E-2</v>
      </c>
      <c r="R1688">
        <v>-5.5745080000000002E-2</v>
      </c>
      <c r="S1688">
        <v>-3.0160830000000001</v>
      </c>
      <c r="T1688">
        <v>-0.2447107</v>
      </c>
      <c r="U1688">
        <v>9.5581050000000001E-2</v>
      </c>
      <c r="V1688">
        <v>-5.2233809999999999E-2</v>
      </c>
      <c r="W1688">
        <v>2.5439679999999999E-2</v>
      </c>
      <c r="X1688">
        <v>0.99831080000000005</v>
      </c>
      <c r="Y1688">
        <v>3.5097799999999998E-2</v>
      </c>
      <c r="Z1688">
        <v>1.708804E-3</v>
      </c>
      <c r="AA1688">
        <v>0.9993824</v>
      </c>
      <c r="AB1688">
        <v>45</v>
      </c>
      <c r="AC1688">
        <v>-0.63269999999999904</v>
      </c>
      <c r="AD1688">
        <v>-8.8951999999999698E-2</v>
      </c>
      <c r="AE1688">
        <v>3.6499999999989499E-2</v>
      </c>
      <c r="AF1688">
        <v>3.7998602213510702E-2</v>
      </c>
      <c r="AG1688">
        <v>-8.8951999999999698E-2</v>
      </c>
      <c r="AH1688">
        <v>0.62034536762485504</v>
      </c>
      <c r="AI1688">
        <v>98.145020778372199</v>
      </c>
      <c r="AJ1688">
        <v>86.494786892870806</v>
      </c>
      <c r="AK1688">
        <v>0.62784132327188902</v>
      </c>
    </row>
    <row r="1689" spans="1:37" x14ac:dyDescent="0.2">
      <c r="A1689" t="str">
        <f>"20200111153640925"</f>
        <v>20200111153640925</v>
      </c>
      <c r="B1689" t="str">
        <f>"1578728200914292"</f>
        <v>1578728200914292</v>
      </c>
      <c r="C1689" t="s">
        <v>37</v>
      </c>
      <c r="D1689">
        <v>5.874784</v>
      </c>
      <c r="E1689">
        <v>0.53030049999999995</v>
      </c>
      <c r="F1689" t="s">
        <v>38</v>
      </c>
      <c r="G1689">
        <v>-246.0898</v>
      </c>
      <c r="H1689">
        <v>1.021142</v>
      </c>
      <c r="I1689">
        <v>283.13679999999999</v>
      </c>
      <c r="J1689">
        <v>-245.49119999999999</v>
      </c>
      <c r="K1689">
        <v>1.1032949999999999</v>
      </c>
      <c r="L1689">
        <v>283.10379999999998</v>
      </c>
      <c r="M1689">
        <v>-0.99998639999999905</v>
      </c>
      <c r="N1689">
        <v>0</v>
      </c>
      <c r="O1689">
        <v>-4.0051560000000002E-3</v>
      </c>
      <c r="P1689">
        <v>-0.99819650000000004</v>
      </c>
      <c r="Q1689">
        <v>2.2745629999999999E-2</v>
      </c>
      <c r="R1689">
        <v>-5.5554659999999999E-2</v>
      </c>
      <c r="S1689">
        <v>-3.0157470000000002</v>
      </c>
      <c r="T1689">
        <v>-0.23831639999999901</v>
      </c>
      <c r="U1689">
        <v>8.9996339999999994E-2</v>
      </c>
      <c r="V1689">
        <v>-5.1591310000000001E-2</v>
      </c>
      <c r="W1689">
        <v>2.6045059999999998E-2</v>
      </c>
      <c r="X1689">
        <v>0.99832860000000001</v>
      </c>
      <c r="Y1689">
        <v>3.3714529999999999E-2</v>
      </c>
      <c r="Z1689">
        <v>1.6457079999999901E-3</v>
      </c>
      <c r="AA1689">
        <v>0.99943009999999999</v>
      </c>
      <c r="AB1689">
        <v>45</v>
      </c>
      <c r="AC1689">
        <v>-0.59860000000000402</v>
      </c>
      <c r="AD1689">
        <v>-8.2153000000000101E-2</v>
      </c>
      <c r="AE1689">
        <v>3.3000000000015399E-2</v>
      </c>
      <c r="AF1689">
        <v>3.4744788122212003E-2</v>
      </c>
      <c r="AG1689">
        <v>-8.2153000000000101E-2</v>
      </c>
      <c r="AH1689">
        <v>0.58743207089842098</v>
      </c>
      <c r="AI1689">
        <v>97.947529273511407</v>
      </c>
      <c r="AJ1689">
        <v>86.615075595425097</v>
      </c>
      <c r="AK1689">
        <v>0.59416559445214001</v>
      </c>
    </row>
    <row r="1690" spans="1:37" x14ac:dyDescent="0.2">
      <c r="A1690" t="str">
        <f>"20200111153640949"</f>
        <v>20200111153640949</v>
      </c>
      <c r="B1690" t="str">
        <f>"1578728200944550"</f>
        <v>1578728200944550</v>
      </c>
      <c r="C1690" t="s">
        <v>37</v>
      </c>
      <c r="D1690">
        <v>5.9270649999999998</v>
      </c>
      <c r="E1690">
        <v>0.52984089999999995</v>
      </c>
      <c r="F1690" t="s">
        <v>38</v>
      </c>
      <c r="G1690">
        <v>-246.49690000000001</v>
      </c>
      <c r="H1690">
        <v>1.024659</v>
      </c>
      <c r="I1690">
        <v>283.13310000000001</v>
      </c>
      <c r="J1690">
        <v>-245.9469</v>
      </c>
      <c r="K1690">
        <v>1.103291</v>
      </c>
      <c r="L1690">
        <v>283.10180000000003</v>
      </c>
      <c r="M1690">
        <v>-0.9999844</v>
      </c>
      <c r="N1690">
        <v>0</v>
      </c>
      <c r="O1690">
        <v>-4.43756599999999E-3</v>
      </c>
      <c r="P1690">
        <v>-0.99816640000000001</v>
      </c>
      <c r="Q1690">
        <v>2.413349E-2</v>
      </c>
      <c r="R1690">
        <v>-5.55135E-2</v>
      </c>
      <c r="S1690">
        <v>-3.0156559999999999</v>
      </c>
      <c r="T1690">
        <v>-0.23598240000000001</v>
      </c>
      <c r="U1690">
        <v>8.7219240000000003E-2</v>
      </c>
      <c r="V1690">
        <v>-5.111947E-2</v>
      </c>
      <c r="W1690">
        <v>2.7487930000000001E-2</v>
      </c>
      <c r="X1690">
        <v>0.99831419999999904</v>
      </c>
      <c r="Y1690">
        <v>3.3230450000000002E-2</v>
      </c>
      <c r="Z1690">
        <v>1.6445819999999999E-3</v>
      </c>
      <c r="AA1690">
        <v>0.99944639999999996</v>
      </c>
      <c r="AB1690">
        <v>45</v>
      </c>
      <c r="AC1690">
        <v>-0.55000000000001104</v>
      </c>
      <c r="AD1690">
        <v>-7.8631999999999994E-2</v>
      </c>
      <c r="AE1690">
        <v>3.12999999999874E-2</v>
      </c>
      <c r="AF1690">
        <v>3.30666779694141E-2</v>
      </c>
      <c r="AG1690">
        <v>-7.8631999999999994E-2</v>
      </c>
      <c r="AH1690">
        <v>0.53887679642596997</v>
      </c>
      <c r="AI1690">
        <v>98.286544158225396</v>
      </c>
      <c r="AJ1690">
        <v>86.488606379791804</v>
      </c>
      <c r="AK1690">
        <v>0.54558647192012499</v>
      </c>
    </row>
    <row r="1691" spans="1:37" x14ac:dyDescent="0.2">
      <c r="A1691" t="str">
        <f>"20200111153640969"</f>
        <v>20200111153640969</v>
      </c>
      <c r="B1691" t="str">
        <f>"1578728200964068"</f>
        <v>1578728200964068</v>
      </c>
      <c r="C1691" t="s">
        <v>37</v>
      </c>
      <c r="D1691">
        <v>5.9494470000000002</v>
      </c>
      <c r="E1691">
        <v>0.5297132</v>
      </c>
      <c r="F1691" t="s">
        <v>38</v>
      </c>
      <c r="G1691">
        <v>-246.9059</v>
      </c>
      <c r="H1691">
        <v>1.0294459999999901</v>
      </c>
      <c r="I1691">
        <v>283.12860000000001</v>
      </c>
      <c r="J1691">
        <v>-246.3862</v>
      </c>
      <c r="K1691">
        <v>1.1032740000000001</v>
      </c>
      <c r="L1691">
        <v>283.09960000000001</v>
      </c>
      <c r="M1691">
        <v>-0.9999825</v>
      </c>
      <c r="N1691">
        <v>0</v>
      </c>
      <c r="O1691">
        <v>-4.8106729999999997E-3</v>
      </c>
      <c r="P1691">
        <v>-0.99816130000000003</v>
      </c>
      <c r="Q1691">
        <v>2.4887929999999999E-2</v>
      </c>
      <c r="R1691">
        <v>-5.527021E-2</v>
      </c>
      <c r="S1691">
        <v>-3.0157780000000001</v>
      </c>
      <c r="T1691">
        <v>-0.23237169999999999</v>
      </c>
      <c r="U1691">
        <v>8.3892820000000007E-2</v>
      </c>
      <c r="V1691">
        <v>-5.0503289999999999E-2</v>
      </c>
      <c r="W1691">
        <v>2.8296809999999999E-2</v>
      </c>
      <c r="X1691">
        <v>0.99832299999999996</v>
      </c>
      <c r="Y1691">
        <v>3.250521E-2</v>
      </c>
      <c r="Z1691">
        <v>1.620261E-3</v>
      </c>
      <c r="AA1691">
        <v>0.99947019999999998</v>
      </c>
      <c r="AB1691">
        <v>45</v>
      </c>
      <c r="AC1691">
        <v>-0.51970000000000005</v>
      </c>
      <c r="AD1691">
        <v>-7.3828000000000199E-2</v>
      </c>
      <c r="AE1691">
        <v>2.89999999999963E-2</v>
      </c>
      <c r="AF1691">
        <v>3.08785684424248E-2</v>
      </c>
      <c r="AG1691">
        <v>-7.3828000000000199E-2</v>
      </c>
      <c r="AH1691">
        <v>0.50930817249604299</v>
      </c>
      <c r="AI1691">
        <v>98.233087997433799</v>
      </c>
      <c r="AJ1691">
        <v>86.530492241786405</v>
      </c>
      <c r="AK1691">
        <v>0.51555685830402198</v>
      </c>
    </row>
    <row r="1692" spans="1:37" x14ac:dyDescent="0.2">
      <c r="A1692" t="str">
        <f>"20200111153640992"</f>
        <v>20200111153640992</v>
      </c>
      <c r="B1692" t="str">
        <f>"1578728200984564"</f>
        <v>1578728200984564</v>
      </c>
      <c r="C1692" t="s">
        <v>37</v>
      </c>
      <c r="D1692">
        <v>5.933846</v>
      </c>
      <c r="E1692">
        <v>0.52947719999999998</v>
      </c>
      <c r="F1692" t="s">
        <v>38</v>
      </c>
      <c r="G1692">
        <v>-247.31549999999999</v>
      </c>
      <c r="H1692">
        <v>1.0327729999999999</v>
      </c>
      <c r="I1692">
        <v>283.12569999999999</v>
      </c>
      <c r="J1692">
        <v>-246.86840000000001</v>
      </c>
      <c r="K1692">
        <v>1.1032329999999999</v>
      </c>
      <c r="L1692">
        <v>283.09710000000001</v>
      </c>
      <c r="M1692">
        <v>-0.99998050000000005</v>
      </c>
      <c r="N1692">
        <v>0</v>
      </c>
      <c r="O1692">
        <v>-5.1558020000000001E-3</v>
      </c>
      <c r="P1692">
        <v>-0.99816700000000003</v>
      </c>
      <c r="Q1692">
        <v>2.5247970000000002E-2</v>
      </c>
      <c r="R1692">
        <v>-5.5002599999999999E-2</v>
      </c>
      <c r="S1692">
        <v>-3.0158839999999998</v>
      </c>
      <c r="T1692">
        <v>-0.22883809999999999</v>
      </c>
      <c r="U1692">
        <v>8.4289550000000005E-2</v>
      </c>
      <c r="V1692">
        <v>-4.9888589999999997E-2</v>
      </c>
      <c r="W1692">
        <v>2.8717690000000001E-2</v>
      </c>
      <c r="X1692">
        <v>0.9983419</v>
      </c>
      <c r="Y1692">
        <v>3.2981530000000002E-2</v>
      </c>
      <c r="Z1692">
        <v>1.639822E-3</v>
      </c>
      <c r="AA1692">
        <v>0.99945459999999997</v>
      </c>
      <c r="AB1692">
        <v>45</v>
      </c>
      <c r="AC1692">
        <v>-0.44709999999997702</v>
      </c>
      <c r="AD1692">
        <v>-7.0459999999999898E-2</v>
      </c>
      <c r="AE1692">
        <v>2.8599999999983E-2</v>
      </c>
      <c r="AF1692">
        <v>3.0158830772448401E-2</v>
      </c>
      <c r="AG1692">
        <v>-7.0459999999999898E-2</v>
      </c>
      <c r="AH1692">
        <v>0.43615845544303999</v>
      </c>
      <c r="AI1692">
        <v>99.155179645657697</v>
      </c>
      <c r="AJ1692">
        <v>86.044493420254696</v>
      </c>
      <c r="AK1692">
        <v>0.44284124122310398</v>
      </c>
    </row>
    <row r="1693" spans="1:37" x14ac:dyDescent="0.2">
      <c r="A1693" t="str">
        <f>"20200111153641015"</f>
        <v>20200111153641015</v>
      </c>
      <c r="B1693" t="str">
        <f>"1578728201004087"</f>
        <v>1578728201004087</v>
      </c>
      <c r="C1693" t="s">
        <v>37</v>
      </c>
      <c r="D1693">
        <v>5.990335</v>
      </c>
      <c r="E1693">
        <v>0.52939669999999905</v>
      </c>
      <c r="F1693" t="s">
        <v>38</v>
      </c>
      <c r="G1693">
        <v>-247.72739999999999</v>
      </c>
      <c r="H1693">
        <v>1.0381009999999999</v>
      </c>
      <c r="I1693">
        <v>283.12139999999999</v>
      </c>
      <c r="J1693">
        <v>-247.33709999999999</v>
      </c>
      <c r="K1693">
        <v>1.103173</v>
      </c>
      <c r="L1693">
        <v>283.09460000000001</v>
      </c>
      <c r="M1693">
        <v>-0.99997899999999995</v>
      </c>
      <c r="N1693">
        <v>0</v>
      </c>
      <c r="O1693">
        <v>-5.415263E-3</v>
      </c>
      <c r="P1693">
        <v>-0.99813469999999904</v>
      </c>
      <c r="Q1693">
        <v>2.576138E-2</v>
      </c>
      <c r="R1693">
        <v>-5.5348010000000003E-2</v>
      </c>
      <c r="S1693">
        <v>-3.0159449999999999</v>
      </c>
      <c r="T1693">
        <v>-0.22889519999999999</v>
      </c>
      <c r="U1693">
        <v>8.3892820000000007E-2</v>
      </c>
      <c r="V1693">
        <v>-4.9972019999999999E-2</v>
      </c>
      <c r="W1693">
        <v>2.9291080000000001E-2</v>
      </c>
      <c r="X1693">
        <v>0.99832099999999901</v>
      </c>
      <c r="Y1693">
        <v>3.3107770000000002E-2</v>
      </c>
      <c r="Z1693">
        <v>1.6646429999999999E-3</v>
      </c>
      <c r="AA1693">
        <v>0.99945039999999996</v>
      </c>
      <c r="AB1693">
        <v>46</v>
      </c>
      <c r="AC1693">
        <v>-0.39029999999999598</v>
      </c>
      <c r="AD1693">
        <v>-6.5072000000000005E-2</v>
      </c>
      <c r="AE1693">
        <v>2.67999999999801E-2</v>
      </c>
      <c r="AF1693">
        <v>2.81348161845663E-2</v>
      </c>
      <c r="AG1693">
        <v>-6.5072000000000005E-2</v>
      </c>
      <c r="AH1693">
        <v>0.37964581775845102</v>
      </c>
      <c r="AI1693">
        <v>99.699999521434506</v>
      </c>
      <c r="AJ1693">
        <v>85.761668410252199</v>
      </c>
      <c r="AK1693">
        <v>0.38620833756823902</v>
      </c>
    </row>
    <row r="1694" spans="1:37" x14ac:dyDescent="0.2">
      <c r="A1694" t="str">
        <f>"20200111153641037"</f>
        <v>20200111153641037</v>
      </c>
      <c r="B1694" t="str">
        <f>"1578728201034340"</f>
        <v>1578728201034340</v>
      </c>
      <c r="C1694" t="s">
        <v>37</v>
      </c>
      <c r="D1694">
        <v>5.9593829999999999</v>
      </c>
      <c r="E1694">
        <v>0.52895639999999999</v>
      </c>
      <c r="F1694" t="s">
        <v>38</v>
      </c>
      <c r="G1694">
        <v>-248.14019999999999</v>
      </c>
      <c r="H1694">
        <v>1.0427999999999999</v>
      </c>
      <c r="I1694">
        <v>283.11680000000001</v>
      </c>
      <c r="J1694">
        <v>-247.78440000000001</v>
      </c>
      <c r="K1694">
        <v>1.1031139999999999</v>
      </c>
      <c r="L1694">
        <v>283.09210000000002</v>
      </c>
      <c r="M1694">
        <v>-0.99997789999999998</v>
      </c>
      <c r="N1694">
        <v>0</v>
      </c>
      <c r="O1694">
        <v>-5.5859830000000001E-3</v>
      </c>
      <c r="P1694">
        <v>-0.99804889999999902</v>
      </c>
      <c r="Q1694">
        <v>2.6088130000000001E-2</v>
      </c>
      <c r="R1694">
        <v>-5.6729969999999998E-2</v>
      </c>
      <c r="S1694">
        <v>-3.0160680000000002</v>
      </c>
      <c r="T1694">
        <v>-0.2267671</v>
      </c>
      <c r="U1694">
        <v>8.2824709999999996E-2</v>
      </c>
      <c r="V1694">
        <v>-5.1180059999999999E-2</v>
      </c>
      <c r="W1694">
        <v>2.967525E-2</v>
      </c>
      <c r="X1694">
        <v>0.99824849999999998</v>
      </c>
      <c r="Y1694">
        <v>3.2925669999999997E-2</v>
      </c>
      <c r="Z1694">
        <v>1.6551319999999999E-3</v>
      </c>
      <c r="AA1694">
        <v>0.99945640000000002</v>
      </c>
      <c r="AB1694">
        <v>46</v>
      </c>
      <c r="AC1694">
        <v>-0.35579999999998702</v>
      </c>
      <c r="AD1694">
        <v>-6.0313999999999902E-2</v>
      </c>
      <c r="AE1694">
        <v>2.4699999999995701E-2</v>
      </c>
      <c r="AF1694">
        <v>2.59451398979673E-2</v>
      </c>
      <c r="AG1694">
        <v>-6.0313999999999902E-2</v>
      </c>
      <c r="AH1694">
        <v>0.34576817859210202</v>
      </c>
      <c r="AI1694">
        <v>99.867627710280701</v>
      </c>
      <c r="AJ1694">
        <v>85.708782573521802</v>
      </c>
      <c r="AK1694">
        <v>0.35194681729946797</v>
      </c>
    </row>
    <row r="1695" spans="1:37" x14ac:dyDescent="0.2">
      <c r="A1695" t="str">
        <f>"20200111153641058"</f>
        <v>20200111153641058</v>
      </c>
      <c r="B1695" t="str">
        <f>"1578728201054836"</f>
        <v>1578728201054836</v>
      </c>
      <c r="C1695" t="s">
        <v>37</v>
      </c>
      <c r="D1695">
        <v>5.997045</v>
      </c>
      <c r="E1695">
        <v>0.5288429</v>
      </c>
      <c r="F1695" t="s">
        <v>38</v>
      </c>
      <c r="G1695">
        <v>-248.55500000000001</v>
      </c>
      <c r="H1695">
        <v>1.046721</v>
      </c>
      <c r="I1695">
        <v>283.11149999999998</v>
      </c>
      <c r="J1695">
        <v>-248.22569999999999</v>
      </c>
      <c r="K1695">
        <v>1.103035</v>
      </c>
      <c r="L1695">
        <v>283.08969999999999</v>
      </c>
      <c r="M1695">
        <v>-0.99997719999999901</v>
      </c>
      <c r="N1695">
        <v>0</v>
      </c>
      <c r="O1695">
        <v>-5.6585180000000004E-3</v>
      </c>
      <c r="P1695">
        <v>-0.99797659999999999</v>
      </c>
      <c r="Q1695">
        <v>2.55569E-2</v>
      </c>
      <c r="R1695">
        <v>-5.8221179999999997E-2</v>
      </c>
      <c r="S1695">
        <v>-3.0159449999999999</v>
      </c>
      <c r="T1695">
        <v>-0.22075249999999999</v>
      </c>
      <c r="U1695">
        <v>7.5561519999999993E-2</v>
      </c>
      <c r="V1695">
        <v>-5.2593519999999998E-2</v>
      </c>
      <c r="W1695">
        <v>2.92029E-2</v>
      </c>
      <c r="X1695">
        <v>0.99818890000000005</v>
      </c>
      <c r="Y1695">
        <v>3.060558E-2</v>
      </c>
      <c r="Z1695">
        <v>1.531985E-3</v>
      </c>
      <c r="AA1695">
        <v>0.99953040000000004</v>
      </c>
      <c r="AB1695">
        <v>46</v>
      </c>
      <c r="AC1695">
        <v>-0.32930000000001702</v>
      </c>
      <c r="AD1695">
        <v>-5.6313999999999899E-2</v>
      </c>
      <c r="AE1695">
        <v>2.17999999999847E-2</v>
      </c>
      <c r="AF1695">
        <v>2.2993506306786898E-2</v>
      </c>
      <c r="AG1695">
        <v>-5.6313999999999899E-2</v>
      </c>
      <c r="AH1695">
        <v>0.31985799137564003</v>
      </c>
      <c r="AI1695">
        <v>99.959944154383905</v>
      </c>
      <c r="AJ1695">
        <v>85.888273678122601</v>
      </c>
      <c r="AK1695">
        <v>0.32559039079054503</v>
      </c>
    </row>
    <row r="1696" spans="1:37" x14ac:dyDescent="0.2">
      <c r="A1696" t="str">
        <f>"20200111153641082"</f>
        <v>20200111153641082</v>
      </c>
      <c r="B1696" t="str">
        <f>"1578728201074356"</f>
        <v>1578728201074356</v>
      </c>
      <c r="C1696" t="s">
        <v>37</v>
      </c>
      <c r="D1696">
        <v>6.1163619999999996</v>
      </c>
      <c r="E1696">
        <v>0.5286978</v>
      </c>
      <c r="F1696" t="s">
        <v>38</v>
      </c>
      <c r="G1696">
        <v>-248.97049999999999</v>
      </c>
      <c r="H1696">
        <v>1.049078</v>
      </c>
      <c r="I1696">
        <v>283.10719999999998</v>
      </c>
      <c r="J1696">
        <v>-248.6978</v>
      </c>
      <c r="K1696">
        <v>1.1029260000000001</v>
      </c>
      <c r="L1696">
        <v>283.08710000000002</v>
      </c>
      <c r="M1696">
        <v>-0.99997749999999996</v>
      </c>
      <c r="N1696">
        <v>0</v>
      </c>
      <c r="O1696">
        <v>-5.5966919999999899E-3</v>
      </c>
      <c r="P1696">
        <v>-0.99790419999999902</v>
      </c>
      <c r="Q1696">
        <v>2.5192260000000001E-2</v>
      </c>
      <c r="R1696">
        <v>-5.9606840000000001E-2</v>
      </c>
      <c r="S1696">
        <v>-3.0158230000000001</v>
      </c>
      <c r="T1696">
        <v>-0.21845349999999999</v>
      </c>
      <c r="U1696">
        <v>7.0800779999999994E-2</v>
      </c>
      <c r="V1696">
        <v>-5.403376E-2</v>
      </c>
      <c r="W1696">
        <v>2.8904530000000001E-2</v>
      </c>
      <c r="X1696">
        <v>0.99812069999999997</v>
      </c>
      <c r="Y1696">
        <v>2.8974260000000002E-2</v>
      </c>
      <c r="Z1696">
        <v>1.452692E-3</v>
      </c>
      <c r="AA1696">
        <v>0.99957909999999905</v>
      </c>
      <c r="AB1696">
        <v>46</v>
      </c>
      <c r="AC1696">
        <v>-0.27269999999998601</v>
      </c>
      <c r="AD1696">
        <v>-5.3848000000000097E-2</v>
      </c>
      <c r="AE1696">
        <v>2.0099999999956701E-2</v>
      </c>
      <c r="AF1696">
        <v>2.0818555040008201E-2</v>
      </c>
      <c r="AG1696">
        <v>-5.3848000000000097E-2</v>
      </c>
      <c r="AH1696">
        <v>0.26240690661766702</v>
      </c>
      <c r="AI1696">
        <v>101.56121784781899</v>
      </c>
      <c r="AJ1696">
        <v>85.4638309651898</v>
      </c>
      <c r="AK1696">
        <v>0.26868271991069098</v>
      </c>
    </row>
    <row r="1697" spans="1:37" x14ac:dyDescent="0.2">
      <c r="A1697" t="str">
        <f>"20200111153641104"</f>
        <v>20200111153641104</v>
      </c>
      <c r="B1697" t="str">
        <f>"1578728201094855"</f>
        <v>1578728201094855</v>
      </c>
      <c r="C1697" t="s">
        <v>37</v>
      </c>
      <c r="D1697">
        <v>5.9159110000000004</v>
      </c>
      <c r="E1697">
        <v>0.52853859999999997</v>
      </c>
      <c r="F1697" t="s">
        <v>38</v>
      </c>
      <c r="G1697">
        <v>-249.7867</v>
      </c>
      <c r="H1697">
        <v>1.024465</v>
      </c>
      <c r="I1697">
        <v>283.11099999999999</v>
      </c>
      <c r="J1697">
        <v>-249.18170000000001</v>
      </c>
      <c r="K1697">
        <v>1.102795</v>
      </c>
      <c r="L1697">
        <v>283.08449999999999</v>
      </c>
      <c r="M1697">
        <v>-0.99997849999999999</v>
      </c>
      <c r="N1697">
        <v>0</v>
      </c>
      <c r="O1697">
        <v>-5.3648890000000003E-3</v>
      </c>
      <c r="P1697">
        <v>-0.99784419999999996</v>
      </c>
      <c r="Q1697">
        <v>2.5541990000000001E-2</v>
      </c>
      <c r="R1697">
        <v>-6.0452890000000002E-2</v>
      </c>
      <c r="S1697">
        <v>-3.0157319999999999</v>
      </c>
      <c r="T1697">
        <v>-0.21731999999999899</v>
      </c>
      <c r="U1697">
        <v>6.6040039999999994E-2</v>
      </c>
      <c r="V1697">
        <v>-5.510201E-2</v>
      </c>
      <c r="W1697">
        <v>2.9326830000000002E-2</v>
      </c>
      <c r="X1697">
        <v>0.99804999999999999</v>
      </c>
      <c r="Y1697">
        <v>2.717226E-2</v>
      </c>
      <c r="Z1697">
        <v>1.3637269999999999E-3</v>
      </c>
      <c r="AA1697">
        <v>0.99962989999999996</v>
      </c>
      <c r="AB1697">
        <v>46</v>
      </c>
      <c r="AC1697">
        <v>-0.60499999999998899</v>
      </c>
      <c r="AD1697">
        <v>-7.8329999999999997E-2</v>
      </c>
      <c r="AE1697">
        <v>2.6499999999998601E-2</v>
      </c>
      <c r="AF1697">
        <v>2.92559285573297E-2</v>
      </c>
      <c r="AG1697">
        <v>-7.8329999999999997E-2</v>
      </c>
      <c r="AH1697">
        <v>0.59489611804547005</v>
      </c>
      <c r="AI1697">
        <v>97.492037168642696</v>
      </c>
      <c r="AJ1697">
        <v>87.184564143525293</v>
      </c>
      <c r="AK1697">
        <v>0.60074361379986496</v>
      </c>
    </row>
    <row r="1698" spans="1:37" x14ac:dyDescent="0.2">
      <c r="A1698" t="str">
        <f>"20200111153641128"</f>
        <v>20200111153641128</v>
      </c>
      <c r="B1698" t="str">
        <f>"1578728201124132"</f>
        <v>1578728201124132</v>
      </c>
      <c r="C1698" t="s">
        <v>37</v>
      </c>
      <c r="D1698">
        <v>6.0539009999999998</v>
      </c>
      <c r="E1698">
        <v>0.55647460000000004</v>
      </c>
      <c r="F1698" t="s">
        <v>38</v>
      </c>
      <c r="G1698">
        <v>-250.20650000000001</v>
      </c>
      <c r="H1698">
        <v>1.0302690000000001</v>
      </c>
      <c r="I1698">
        <v>283.10590000000002</v>
      </c>
      <c r="J1698">
        <v>-249.65219999999999</v>
      </c>
      <c r="K1698">
        <v>1.1026629999999999</v>
      </c>
      <c r="L1698">
        <v>283.08229999999998</v>
      </c>
      <c r="M1698">
        <v>-0.99998019999999999</v>
      </c>
      <c r="N1698">
        <v>0</v>
      </c>
      <c r="O1698">
        <v>-4.9925450000000001E-3</v>
      </c>
      <c r="P1698">
        <v>-0.99775270000000005</v>
      </c>
      <c r="Q1698">
        <v>2.6292179999999998E-2</v>
      </c>
      <c r="R1698">
        <v>-6.1629940000000001E-2</v>
      </c>
      <c r="S1698">
        <v>-3.015717</v>
      </c>
      <c r="T1698">
        <v>-0.213536</v>
      </c>
      <c r="U1698">
        <v>6.2103270000000002E-2</v>
      </c>
      <c r="V1698">
        <v>-5.664106E-2</v>
      </c>
      <c r="W1698">
        <v>3.014996E-2</v>
      </c>
      <c r="X1698">
        <v>0.99793929999999997</v>
      </c>
      <c r="Y1698">
        <v>2.550378E-2</v>
      </c>
      <c r="Z1698">
        <v>1.2547459999999999E-3</v>
      </c>
      <c r="AA1698">
        <v>0.99967399999999995</v>
      </c>
      <c r="AB1698">
        <v>46</v>
      </c>
      <c r="AC1698">
        <v>-0.55430000000001201</v>
      </c>
      <c r="AD1698">
        <v>-7.2393999999999806E-2</v>
      </c>
      <c r="AE1698">
        <v>2.3600000000044401E-2</v>
      </c>
      <c r="AF1698">
        <v>2.5925666986244201E-2</v>
      </c>
      <c r="AG1698">
        <v>-7.2393999999999806E-2</v>
      </c>
      <c r="AH1698">
        <v>0.54489749572065505</v>
      </c>
      <c r="AI1698">
        <v>97.559431234143005</v>
      </c>
      <c r="AJ1698">
        <v>87.275979528803404</v>
      </c>
      <c r="AK1698">
        <v>0.55029656757726797</v>
      </c>
    </row>
    <row r="1699" spans="1:37" x14ac:dyDescent="0.2">
      <c r="A1699" t="str">
        <f>"20200111153641148"</f>
        <v>20200111153641148</v>
      </c>
      <c r="B1699" t="str">
        <f>"1578728201144628"</f>
        <v>1578728201144628</v>
      </c>
      <c r="C1699" t="s">
        <v>37</v>
      </c>
      <c r="D1699">
        <v>6.0337269999999998</v>
      </c>
      <c r="E1699">
        <v>0.56383939999999999</v>
      </c>
      <c r="F1699" t="s">
        <v>38</v>
      </c>
      <c r="G1699">
        <v>-250.6157</v>
      </c>
      <c r="H1699">
        <v>1.011012</v>
      </c>
      <c r="I1699">
        <v>283.17340000000002</v>
      </c>
      <c r="J1699">
        <v>-250.08779999999999</v>
      </c>
      <c r="K1699">
        <v>1.102538</v>
      </c>
      <c r="L1699">
        <v>283.0804</v>
      </c>
      <c r="M1699">
        <v>-0.99998229999999999</v>
      </c>
      <c r="N1699">
        <v>0</v>
      </c>
      <c r="O1699">
        <v>-4.5051969999999998E-3</v>
      </c>
      <c r="P1699">
        <v>-0.99765930000000003</v>
      </c>
      <c r="Q1699">
        <v>2.7182410000000001E-2</v>
      </c>
      <c r="R1699">
        <v>-6.274942E-2</v>
      </c>
      <c r="S1699">
        <v>-3.0320429999999998</v>
      </c>
      <c r="T1699">
        <v>-0.28845349999999997</v>
      </c>
      <c r="U1699">
        <v>0.28625489999999998</v>
      </c>
      <c r="V1699">
        <v>-5.8236719999999999E-2</v>
      </c>
      <c r="W1699">
        <v>3.1110809999999999E-2</v>
      </c>
      <c r="X1699">
        <v>0.99781790000000004</v>
      </c>
      <c r="Y1699">
        <v>9.8017400000000005E-2</v>
      </c>
      <c r="Z1699">
        <v>5.0684090000000003E-3</v>
      </c>
      <c r="AA1699">
        <v>0.99517180000000005</v>
      </c>
      <c r="AB1699">
        <v>47</v>
      </c>
      <c r="AC1699">
        <v>-0.52790000000001602</v>
      </c>
      <c r="AD1699">
        <v>-9.1525999999999996E-2</v>
      </c>
      <c r="AE1699">
        <v>9.3000000000017694E-2</v>
      </c>
      <c r="AF1699">
        <v>9.2675422768864896E-2</v>
      </c>
      <c r="AG1699">
        <v>-9.1525999999999996E-2</v>
      </c>
      <c r="AH1699">
        <v>0.51253280141791002</v>
      </c>
      <c r="AI1699">
        <v>99.966616647502605</v>
      </c>
      <c r="AJ1699">
        <v>79.750606810760402</v>
      </c>
      <c r="AK1699">
        <v>0.52882474903381604</v>
      </c>
    </row>
    <row r="1700" spans="1:37" x14ac:dyDescent="0.2">
      <c r="A1700" t="str">
        <f>"20200111153641170"</f>
        <v>20200111153641170</v>
      </c>
      <c r="B1700" t="str">
        <f>"1578728201164150"</f>
        <v>1578728201164150</v>
      </c>
      <c r="C1700" t="s">
        <v>37</v>
      </c>
      <c r="D1700">
        <v>5.9439349999999997</v>
      </c>
      <c r="E1700">
        <v>0.56637740000000003</v>
      </c>
      <c r="F1700" t="s">
        <v>38</v>
      </c>
      <c r="G1700">
        <v>-251.03749999999999</v>
      </c>
      <c r="H1700">
        <v>1.0150920000000001</v>
      </c>
      <c r="I1700">
        <v>283.1875</v>
      </c>
      <c r="J1700">
        <v>-250.571</v>
      </c>
      <c r="K1700">
        <v>1.1023810000000001</v>
      </c>
      <c r="L1700">
        <v>283.07870000000003</v>
      </c>
      <c r="M1700">
        <v>-0.99998500000000001</v>
      </c>
      <c r="N1700">
        <v>0</v>
      </c>
      <c r="O1700">
        <v>-3.7902229999999901E-3</v>
      </c>
      <c r="P1700">
        <v>-0.99759809999999904</v>
      </c>
      <c r="Q1700">
        <v>2.7695729999999998E-2</v>
      </c>
      <c r="R1700">
        <v>-6.3493030000000006E-2</v>
      </c>
      <c r="S1700">
        <v>-3.036133</v>
      </c>
      <c r="T1700">
        <v>-0.27965269999999998</v>
      </c>
      <c r="U1700">
        <v>0.3413696</v>
      </c>
      <c r="V1700">
        <v>-5.968101E-2</v>
      </c>
      <c r="W1700">
        <v>3.1705610000000002E-2</v>
      </c>
      <c r="X1700">
        <v>0.99771390000000004</v>
      </c>
      <c r="Y1700">
        <v>0.1150007</v>
      </c>
      <c r="Z1700">
        <v>5.6158800000000002E-3</v>
      </c>
      <c r="AA1700">
        <v>0.99334959999999894</v>
      </c>
      <c r="AB1700">
        <v>47</v>
      </c>
      <c r="AC1700">
        <v>-0.46649999999999597</v>
      </c>
      <c r="AD1700">
        <v>-8.7288999999999894E-2</v>
      </c>
      <c r="AE1700">
        <v>0.108799999999973</v>
      </c>
      <c r="AF1700">
        <v>0.10701389993023901</v>
      </c>
      <c r="AG1700">
        <v>-8.7288999999999894E-2</v>
      </c>
      <c r="AH1700">
        <v>0.45110501213824</v>
      </c>
      <c r="AI1700">
        <v>100.662556295671</v>
      </c>
      <c r="AJ1700">
        <v>76.654635778126604</v>
      </c>
      <c r="AK1700">
        <v>0.47177015195486999</v>
      </c>
    </row>
    <row r="1701" spans="1:37" x14ac:dyDescent="0.2">
      <c r="A1701" t="str">
        <f>"20200111153641193"</f>
        <v>20200111153641193</v>
      </c>
      <c r="B1701" t="str">
        <f>"1578728201184226"</f>
        <v>1578728201184226</v>
      </c>
      <c r="C1701" t="s">
        <v>37</v>
      </c>
      <c r="D1701">
        <v>5.9588890000000001</v>
      </c>
      <c r="E1701">
        <v>0.56769309999999995</v>
      </c>
      <c r="F1701" t="s">
        <v>38</v>
      </c>
      <c r="G1701">
        <v>-251.46209999999999</v>
      </c>
      <c r="H1701">
        <v>1.02312</v>
      </c>
      <c r="I1701">
        <v>283.18380000000002</v>
      </c>
      <c r="J1701">
        <v>-251.05</v>
      </c>
      <c r="K1701">
        <v>1.10222</v>
      </c>
      <c r="L1701">
        <v>283.07740000000001</v>
      </c>
      <c r="M1701">
        <v>-0.99998759999999998</v>
      </c>
      <c r="N1701">
        <v>0</v>
      </c>
      <c r="O1701">
        <v>-2.9011520000000002E-3</v>
      </c>
      <c r="P1701">
        <v>-0.99754310000000002</v>
      </c>
      <c r="Q1701">
        <v>2.8488929999999999E-2</v>
      </c>
      <c r="R1701">
        <v>-6.4001189999999999E-2</v>
      </c>
      <c r="S1701">
        <v>-3.0375669999999899</v>
      </c>
      <c r="T1701">
        <v>-0.27016469999999998</v>
      </c>
      <c r="U1701">
        <v>0.3585815</v>
      </c>
      <c r="V1701">
        <v>-6.1061209999999998E-2</v>
      </c>
      <c r="W1701">
        <v>3.261733E-2</v>
      </c>
      <c r="X1701">
        <v>0.99760090000000001</v>
      </c>
      <c r="Y1701">
        <v>0.11963840000000001</v>
      </c>
      <c r="Z1701">
        <v>5.5482959999999899E-3</v>
      </c>
      <c r="AA1701">
        <v>0.99280199999999996</v>
      </c>
      <c r="AB1701">
        <v>47</v>
      </c>
      <c r="AC1701">
        <v>-0.41209999999997998</v>
      </c>
      <c r="AD1701">
        <v>-7.9099999999999906E-2</v>
      </c>
      <c r="AE1701">
        <v>0.106400000000007</v>
      </c>
      <c r="AF1701">
        <v>0.104002878894496</v>
      </c>
      <c r="AG1701">
        <v>-7.9099999999999906E-2</v>
      </c>
      <c r="AH1701">
        <v>0.39804127912578002</v>
      </c>
      <c r="AI1701">
        <v>100.883351031687</v>
      </c>
      <c r="AJ1701">
        <v>75.356752869986494</v>
      </c>
      <c r="AK1701">
        <v>0.41893945708948299</v>
      </c>
    </row>
    <row r="1702" spans="1:37" x14ac:dyDescent="0.2">
      <c r="A1702" t="str">
        <f>"20200111153641215"</f>
        <v>20200111153641215</v>
      </c>
      <c r="B1702" t="str">
        <f>"1578728201204722"</f>
        <v>1578728201204722</v>
      </c>
      <c r="C1702" t="s">
        <v>37</v>
      </c>
      <c r="D1702">
        <v>6.0383239999999896</v>
      </c>
      <c r="E1702">
        <v>0.56841249999999999</v>
      </c>
      <c r="F1702" t="s">
        <v>38</v>
      </c>
      <c r="G1702">
        <v>-251.8879</v>
      </c>
      <c r="H1702">
        <v>1.0313889999999999</v>
      </c>
      <c r="I1702">
        <v>283.17860000000002</v>
      </c>
      <c r="J1702">
        <v>-251.499</v>
      </c>
      <c r="K1702">
        <v>1.102085</v>
      </c>
      <c r="L1702">
        <v>283.07679999999999</v>
      </c>
      <c r="M1702">
        <v>-0.99998920000000002</v>
      </c>
      <c r="N1702">
        <v>0</v>
      </c>
      <c r="O1702">
        <v>-1.9115229999999901E-3</v>
      </c>
      <c r="P1702">
        <v>-0.99742189999999997</v>
      </c>
      <c r="Q1702">
        <v>2.9611160000000001E-2</v>
      </c>
      <c r="R1702">
        <v>-6.5365290000000006E-2</v>
      </c>
      <c r="S1702">
        <v>-3.0382389999999999</v>
      </c>
      <c r="T1702">
        <v>-0.25686129999999902</v>
      </c>
      <c r="U1702">
        <v>0.36657709999999999</v>
      </c>
      <c r="V1702">
        <v>-6.3396229999999998E-2</v>
      </c>
      <c r="W1702">
        <v>3.3959839999999998E-2</v>
      </c>
      <c r="X1702">
        <v>0.99741049999999998</v>
      </c>
      <c r="Y1702">
        <v>0.121250199999999</v>
      </c>
      <c r="Z1702">
        <v>5.2586500000000001E-3</v>
      </c>
      <c r="AA1702">
        <v>0.99260809999999999</v>
      </c>
      <c r="AB1702">
        <v>47</v>
      </c>
      <c r="AC1702">
        <v>-0.38889999999997799</v>
      </c>
      <c r="AD1702">
        <v>-7.0695999999999995E-2</v>
      </c>
      <c r="AE1702">
        <v>0.101800000000025</v>
      </c>
      <c r="AF1702">
        <v>9.9467042911223796E-2</v>
      </c>
      <c r="AG1702">
        <v>-7.0695999999999995E-2</v>
      </c>
      <c r="AH1702">
        <v>0.37704403637703099</v>
      </c>
      <c r="AI1702">
        <v>100.275997825925</v>
      </c>
      <c r="AJ1702">
        <v>75.221633934294999</v>
      </c>
      <c r="AK1702">
        <v>0.39630016705647197</v>
      </c>
    </row>
    <row r="1703" spans="1:37" x14ac:dyDescent="0.2">
      <c r="A1703" t="str">
        <f>"20200111153641248"</f>
        <v>20200111153641248</v>
      </c>
      <c r="B1703" t="str">
        <f>"1578728201244735"</f>
        <v>1578728201244735</v>
      </c>
      <c r="C1703" t="s">
        <v>37</v>
      </c>
      <c r="D1703">
        <v>6.0215129999999997</v>
      </c>
      <c r="E1703">
        <v>0.56876729999999998</v>
      </c>
      <c r="F1703" t="s">
        <v>38</v>
      </c>
      <c r="G1703">
        <v>-252.31200000000001</v>
      </c>
      <c r="H1703">
        <v>1.0344500000000001</v>
      </c>
      <c r="I1703">
        <v>283.17509999999999</v>
      </c>
      <c r="J1703">
        <v>-252.19569999999999</v>
      </c>
      <c r="K1703">
        <v>1.1019289999999999</v>
      </c>
      <c r="L1703">
        <v>283.07670000000002</v>
      </c>
      <c r="M1703">
        <v>-0.99998809999999905</v>
      </c>
      <c r="N1703">
        <v>0</v>
      </c>
      <c r="O1703">
        <v>-1.150926E-4</v>
      </c>
      <c r="P1703">
        <v>-0.99744200000000005</v>
      </c>
      <c r="Q1703">
        <v>2.9164249999999999E-2</v>
      </c>
      <c r="R1703">
        <v>-6.5262760000000003E-2</v>
      </c>
      <c r="S1703">
        <v>-3.0393520000000001</v>
      </c>
      <c r="T1703">
        <v>-0.25283529999999999</v>
      </c>
      <c r="U1703">
        <v>0.36788939999999998</v>
      </c>
      <c r="V1703">
        <v>-6.5061149999999998E-2</v>
      </c>
      <c r="W1703">
        <v>3.4205260000000001E-2</v>
      </c>
      <c r="X1703">
        <v>0.99729480000000004</v>
      </c>
      <c r="Y1703">
        <v>0.1198708</v>
      </c>
      <c r="Z1703">
        <v>4.9687790000000004E-3</v>
      </c>
      <c r="AA1703">
        <v>0.99277700000000002</v>
      </c>
      <c r="AB1703">
        <v>47</v>
      </c>
      <c r="AC1703">
        <v>-0.116300000000023</v>
      </c>
      <c r="AD1703">
        <v>-6.7478999999999997E-2</v>
      </c>
      <c r="AE1703">
        <v>9.8399999999969595E-2</v>
      </c>
      <c r="AF1703">
        <v>8.2271809020266304E-2</v>
      </c>
      <c r="AG1703">
        <v>-6.7478999999999997E-2</v>
      </c>
      <c r="AH1703">
        <v>9.7215227368337404E-2</v>
      </c>
      <c r="AI1703">
        <v>117.916750008325</v>
      </c>
      <c r="AJ1703">
        <v>49.759255817657198</v>
      </c>
      <c r="AK1703">
        <v>0.14412795160115399</v>
      </c>
    </row>
    <row r="1704" spans="1:37" x14ac:dyDescent="0.2">
      <c r="A1704" t="str">
        <f>"20200111153641272"</f>
        <v>20200111153641272</v>
      </c>
      <c r="B1704" t="str">
        <f>"1578728201264256"</f>
        <v>1578728201264256</v>
      </c>
      <c r="C1704" t="s">
        <v>37</v>
      </c>
      <c r="D1704">
        <v>5.9455589999999896</v>
      </c>
      <c r="E1704">
        <v>0.56907959999999902</v>
      </c>
      <c r="F1704" t="s">
        <v>38</v>
      </c>
      <c r="G1704">
        <v>-253.1516</v>
      </c>
      <c r="H1704">
        <v>1.0205280000000001</v>
      </c>
      <c r="I1704">
        <v>283.19330000000002</v>
      </c>
      <c r="J1704">
        <v>-252.6995</v>
      </c>
      <c r="K1704">
        <v>1.101893</v>
      </c>
      <c r="L1704">
        <v>283.07769999999999</v>
      </c>
      <c r="M1704">
        <v>-0.99998310000000001</v>
      </c>
      <c r="N1704">
        <v>0</v>
      </c>
      <c r="O1704">
        <v>1.3286929999999999E-3</v>
      </c>
      <c r="P1704">
        <v>-0.99763349999999995</v>
      </c>
      <c r="Q1704">
        <v>2.7584790000000001E-2</v>
      </c>
      <c r="R1704">
        <v>-6.2982940000000001E-2</v>
      </c>
      <c r="S1704">
        <v>-3.0394899999999998</v>
      </c>
      <c r="T1704">
        <v>-0.2588239</v>
      </c>
      <c r="U1704">
        <v>0.37033080000000002</v>
      </c>
      <c r="V1704">
        <v>-6.4207319999999998E-2</v>
      </c>
      <c r="W1704">
        <v>3.3430370000000001E-2</v>
      </c>
      <c r="X1704">
        <v>0.997376499999999</v>
      </c>
      <c r="Y1704">
        <v>0.11920599999999899</v>
      </c>
      <c r="Z1704">
        <v>4.9351619999999999E-3</v>
      </c>
      <c r="AA1704">
        <v>0.99285730000000005</v>
      </c>
      <c r="AB1704">
        <v>47</v>
      </c>
      <c r="AC1704">
        <v>-0.452100000000001</v>
      </c>
      <c r="AD1704">
        <v>-8.1364999999999896E-2</v>
      </c>
      <c r="AE1704">
        <v>0.115600000000029</v>
      </c>
      <c r="AF1704">
        <v>0.111606140694398</v>
      </c>
      <c r="AG1704">
        <v>-8.1364999999999896E-2</v>
      </c>
      <c r="AH1704">
        <v>0.438909491065895</v>
      </c>
      <c r="AI1704">
        <v>100.1852430001</v>
      </c>
      <c r="AJ1704">
        <v>75.733160240014897</v>
      </c>
      <c r="AK1704">
        <v>0.46012795526181699</v>
      </c>
    </row>
    <row r="1705" spans="1:37" x14ac:dyDescent="0.2">
      <c r="A1705" t="str">
        <f>"20200111153641293"</f>
        <v>20200111153641293</v>
      </c>
      <c r="B1705" t="str">
        <f>"1578728201284751"</f>
        <v>1578728201284751</v>
      </c>
      <c r="C1705" t="s">
        <v>37</v>
      </c>
      <c r="D1705">
        <v>5.992337</v>
      </c>
      <c r="E1705">
        <v>0.56954689999999997</v>
      </c>
      <c r="F1705" t="s">
        <v>38</v>
      </c>
      <c r="G1705">
        <v>-253.57669999999999</v>
      </c>
      <c r="H1705">
        <v>1.02562999999999</v>
      </c>
      <c r="I1705">
        <v>283.18720000000002</v>
      </c>
      <c r="J1705">
        <v>-253.1636</v>
      </c>
      <c r="K1705">
        <v>1.1018490000000001</v>
      </c>
      <c r="L1705">
        <v>283.07929999999999</v>
      </c>
      <c r="M1705">
        <v>-0.99997610000000003</v>
      </c>
      <c r="N1705">
        <v>0</v>
      </c>
      <c r="O1705">
        <v>2.7651479999999998E-3</v>
      </c>
      <c r="P1705">
        <v>-0.99786819999999898</v>
      </c>
      <c r="Q1705">
        <v>2.6247650000000001E-2</v>
      </c>
      <c r="R1705">
        <v>-5.9752590000000001E-2</v>
      </c>
      <c r="S1705">
        <v>-3.0383450000000001</v>
      </c>
      <c r="T1705">
        <v>-0.26428059999999998</v>
      </c>
      <c r="U1705">
        <v>0.37887569999999998</v>
      </c>
      <c r="V1705">
        <v>-6.239985E-2</v>
      </c>
      <c r="W1705">
        <v>3.2804630000000001E-2</v>
      </c>
      <c r="X1705">
        <v>0.99751199999999995</v>
      </c>
      <c r="Y1705">
        <v>0.120557399999999</v>
      </c>
      <c r="Z1705">
        <v>4.9740540000000003E-3</v>
      </c>
      <c r="AA1705">
        <v>0.99269390000000002</v>
      </c>
      <c r="AB1705">
        <v>47</v>
      </c>
      <c r="AC1705">
        <v>-0.41309999999998498</v>
      </c>
      <c r="AD1705">
        <v>-7.6219000000000203E-2</v>
      </c>
      <c r="AE1705">
        <v>0.107900000000029</v>
      </c>
      <c r="AF1705">
        <v>0.10346021730166099</v>
      </c>
      <c r="AG1705">
        <v>-7.6219000000000203E-2</v>
      </c>
      <c r="AH1705">
        <v>0.40062954543655399</v>
      </c>
      <c r="AI1705">
        <v>100.437163059767</v>
      </c>
      <c r="AJ1705">
        <v>75.520059259658694</v>
      </c>
      <c r="AK1705">
        <v>0.42073434041186503</v>
      </c>
    </row>
    <row r="1706" spans="1:37" x14ac:dyDescent="0.2">
      <c r="A1706" t="str">
        <f>"20200111153641315"</f>
        <v>20200111153641315</v>
      </c>
      <c r="B1706" t="str">
        <f>"1578728201304274"</f>
        <v>1578728201304274</v>
      </c>
      <c r="C1706" t="s">
        <v>37</v>
      </c>
      <c r="D1706">
        <v>6.1147169999999997</v>
      </c>
      <c r="E1706">
        <v>0.56865120000000002</v>
      </c>
      <c r="F1706" t="s">
        <v>38</v>
      </c>
      <c r="G1706">
        <v>-254.00129999999999</v>
      </c>
      <c r="H1706">
        <v>1.0283639999999901</v>
      </c>
      <c r="I1706">
        <v>283.1875</v>
      </c>
      <c r="J1706">
        <v>-253.62729999999999</v>
      </c>
      <c r="K1706">
        <v>1.1017760000000001</v>
      </c>
      <c r="L1706">
        <v>283.08150000000001</v>
      </c>
      <c r="M1706">
        <v>-0.99996700000000005</v>
      </c>
      <c r="N1706">
        <v>0</v>
      </c>
      <c r="O1706">
        <v>4.2851290000000004E-3</v>
      </c>
      <c r="P1706">
        <v>-0.99811459999999996</v>
      </c>
      <c r="Q1706">
        <v>2.483784E-2</v>
      </c>
      <c r="R1706">
        <v>-5.6131439999999998E-2</v>
      </c>
      <c r="S1706">
        <v>-3.0369259999999998</v>
      </c>
      <c r="T1706">
        <v>-0.2663894</v>
      </c>
      <c r="U1706">
        <v>0.39230349999999897</v>
      </c>
      <c r="V1706">
        <v>-6.028849E-2</v>
      </c>
      <c r="W1706">
        <v>3.1971079999999999E-2</v>
      </c>
      <c r="X1706">
        <v>0.99766889999999997</v>
      </c>
      <c r="Y1706">
        <v>0.12341240000000001</v>
      </c>
      <c r="Z1706">
        <v>5.0064769999999996E-3</v>
      </c>
      <c r="AA1706">
        <v>0.99234279999999997</v>
      </c>
      <c r="AB1706">
        <v>47</v>
      </c>
      <c r="AC1706">
        <v>-0.373999999999995</v>
      </c>
      <c r="AD1706">
        <v>-7.3412000000000199E-2</v>
      </c>
      <c r="AE1706">
        <v>0.105999999999994</v>
      </c>
      <c r="AF1706">
        <v>0.100801329437297</v>
      </c>
      <c r="AG1706">
        <v>-7.3412000000000199E-2</v>
      </c>
      <c r="AH1706">
        <v>0.36155611175276298</v>
      </c>
      <c r="AI1706">
        <v>101.066522760168</v>
      </c>
      <c r="AJ1706">
        <v>74.421605473865</v>
      </c>
      <c r="AK1706">
        <v>0.38245660107534202</v>
      </c>
    </row>
    <row r="1707" spans="1:37" x14ac:dyDescent="0.2">
      <c r="A1707" t="str">
        <f>"20200111153641337"</f>
        <v>20200111153641337</v>
      </c>
      <c r="B1707" t="str">
        <f>"1578728201334528"</f>
        <v>1578728201334528</v>
      </c>
      <c r="C1707" t="s">
        <v>37</v>
      </c>
      <c r="D1707">
        <v>5.9934709999999898</v>
      </c>
      <c r="E1707">
        <v>0.5686909</v>
      </c>
      <c r="F1707" t="s">
        <v>38</v>
      </c>
      <c r="G1707">
        <v>-254.42570000000001</v>
      </c>
      <c r="H1707">
        <v>1.0299430000000001</v>
      </c>
      <c r="I1707">
        <v>283.18599999999998</v>
      </c>
      <c r="J1707">
        <v>-254.08599999999899</v>
      </c>
      <c r="K1707">
        <v>1.1017269999999999</v>
      </c>
      <c r="L1707">
        <v>283.08449999999999</v>
      </c>
      <c r="M1707">
        <v>-0.99995489999999998</v>
      </c>
      <c r="N1707">
        <v>0</v>
      </c>
      <c r="O1707">
        <v>5.8399639999999996E-3</v>
      </c>
      <c r="P1707">
        <v>-0.99836389999999997</v>
      </c>
      <c r="Q1707">
        <v>2.391619E-2</v>
      </c>
      <c r="R1707">
        <v>-5.1941340000000003E-2</v>
      </c>
      <c r="S1707">
        <v>-3.034729</v>
      </c>
      <c r="T1707">
        <v>-0.27311089999999999</v>
      </c>
      <c r="U1707">
        <v>0.39617920000000001</v>
      </c>
      <c r="V1707">
        <v>-5.7643420000000001E-2</v>
      </c>
      <c r="W1707">
        <v>3.161982E-2</v>
      </c>
      <c r="X1707">
        <v>0.99783639999999996</v>
      </c>
      <c r="Y1707">
        <v>0.1231906</v>
      </c>
      <c r="Z1707">
        <v>4.9865980000000001E-3</v>
      </c>
      <c r="AA1707">
        <v>0.99237050000000004</v>
      </c>
      <c r="AB1707">
        <v>47</v>
      </c>
      <c r="AC1707">
        <v>-0.33970000000002099</v>
      </c>
      <c r="AD1707">
        <v>-7.1784000000000001E-2</v>
      </c>
      <c r="AE1707">
        <v>0.101499999999987</v>
      </c>
      <c r="AF1707">
        <v>9.5595486886256006E-2</v>
      </c>
      <c r="AG1707">
        <v>-7.1784000000000001E-2</v>
      </c>
      <c r="AH1707">
        <v>0.32688642877872098</v>
      </c>
      <c r="AI1707">
        <v>101.902094258525</v>
      </c>
      <c r="AJ1707">
        <v>73.698836505894107</v>
      </c>
      <c r="AK1707">
        <v>0.34806059399007899</v>
      </c>
    </row>
    <row r="1708" spans="1:37" x14ac:dyDescent="0.2">
      <c r="A1708" t="str">
        <f>"20200111153641359"</f>
        <v>20200111153641359</v>
      </c>
      <c r="B1708" t="str">
        <f>"1578728201354048"</f>
        <v>1578728201354048</v>
      </c>
      <c r="C1708" t="s">
        <v>37</v>
      </c>
      <c r="D1708">
        <v>5.998621</v>
      </c>
      <c r="E1708">
        <v>0.56899069999999996</v>
      </c>
      <c r="F1708" t="s">
        <v>38</v>
      </c>
      <c r="G1708">
        <v>-254.85050000000001</v>
      </c>
      <c r="H1708">
        <v>1.032267</v>
      </c>
      <c r="I1708">
        <v>283.18779999999998</v>
      </c>
      <c r="J1708">
        <v>-254.56190000000001</v>
      </c>
      <c r="K1708">
        <v>1.1017079999999999</v>
      </c>
      <c r="L1708">
        <v>283.08839999999998</v>
      </c>
      <c r="M1708">
        <v>-0.99993899999999902</v>
      </c>
      <c r="N1708">
        <v>0</v>
      </c>
      <c r="O1708">
        <v>7.4964000000000003E-3</v>
      </c>
      <c r="P1708">
        <v>-0.99858959999999997</v>
      </c>
      <c r="Q1708">
        <v>2.2909990000000002E-2</v>
      </c>
      <c r="R1708">
        <v>-4.789442E-2</v>
      </c>
      <c r="S1708">
        <v>-3.0328369999999998</v>
      </c>
      <c r="T1708">
        <v>-0.27558539999999998</v>
      </c>
      <c r="U1708">
        <v>0.40945429999999999</v>
      </c>
      <c r="V1708">
        <v>-5.5245839999999997E-2</v>
      </c>
      <c r="W1708">
        <v>3.124617E-2</v>
      </c>
      <c r="X1708">
        <v>0.99798379999999998</v>
      </c>
      <c r="Y1708">
        <v>0.1258813</v>
      </c>
      <c r="Z1708">
        <v>5.005209E-3</v>
      </c>
      <c r="AA1708">
        <v>0.99203269999999899</v>
      </c>
      <c r="AB1708">
        <v>47</v>
      </c>
      <c r="AC1708">
        <v>-0.28860000000000202</v>
      </c>
      <c r="AD1708">
        <v>-6.9440999999999795E-2</v>
      </c>
      <c r="AE1708">
        <v>9.9400000000002806E-2</v>
      </c>
      <c r="AF1708">
        <v>9.2448956476364696E-2</v>
      </c>
      <c r="AG1708">
        <v>-6.9440999999999795E-2</v>
      </c>
      <c r="AH1708">
        <v>0.27509922967302203</v>
      </c>
      <c r="AI1708">
        <v>103.456286519606</v>
      </c>
      <c r="AJ1708">
        <v>71.4247292101754</v>
      </c>
      <c r="AK1708">
        <v>0.29840986612586901</v>
      </c>
    </row>
    <row r="1709" spans="1:37" x14ac:dyDescent="0.2">
      <c r="A1709" t="str">
        <f>"20200111153641383"</f>
        <v>20200111153641383</v>
      </c>
      <c r="B1709" t="str">
        <f>"1578728201374543"</f>
        <v>1578728201374543</v>
      </c>
      <c r="C1709" t="s">
        <v>37</v>
      </c>
      <c r="D1709">
        <v>6.1064119999999997</v>
      </c>
      <c r="E1709">
        <v>0.56839949999999995</v>
      </c>
      <c r="F1709" t="s">
        <v>38</v>
      </c>
      <c r="G1709">
        <v>-255.68180000000001</v>
      </c>
      <c r="H1709">
        <v>0.99919389999999997</v>
      </c>
      <c r="I1709">
        <v>283.24520000000001</v>
      </c>
      <c r="J1709">
        <v>-255.0538</v>
      </c>
      <c r="K1709">
        <v>1.1017049999999999</v>
      </c>
      <c r="L1709">
        <v>283.0933</v>
      </c>
      <c r="M1709">
        <v>-0.99991890000000005</v>
      </c>
      <c r="N1709">
        <v>0</v>
      </c>
      <c r="O1709">
        <v>9.2422659999999903E-3</v>
      </c>
      <c r="P1709">
        <v>-0.99876399999999999</v>
      </c>
      <c r="Q1709">
        <v>2.2191039999999999E-2</v>
      </c>
      <c r="R1709">
        <v>-4.4474960000000001E-2</v>
      </c>
      <c r="S1709">
        <v>-3.030945</v>
      </c>
      <c r="T1709">
        <v>-0.2775051</v>
      </c>
      <c r="U1709">
        <v>0.42404170000000002</v>
      </c>
      <c r="V1709">
        <v>-5.3565090000000003E-2</v>
      </c>
      <c r="W1709">
        <v>3.117992E-2</v>
      </c>
      <c r="X1709">
        <v>0.99807749999999995</v>
      </c>
      <c r="Y1709">
        <v>0.12890460000000001</v>
      </c>
      <c r="Z1709">
        <v>5.0201489999999998E-3</v>
      </c>
      <c r="AA1709">
        <v>0.99164430000000003</v>
      </c>
      <c r="AB1709">
        <v>47</v>
      </c>
      <c r="AC1709">
        <v>-0.62800000000001399</v>
      </c>
      <c r="AD1709">
        <v>-0.10251109999999899</v>
      </c>
      <c r="AE1709">
        <v>0.151900000000011</v>
      </c>
      <c r="AF1709">
        <v>0.14250198932479799</v>
      </c>
      <c r="AG1709">
        <v>-0.10251109999999899</v>
      </c>
      <c r="AH1709">
        <v>0.61392304321418201</v>
      </c>
      <c r="AI1709">
        <v>99.238419393894105</v>
      </c>
      <c r="AJ1709">
        <v>76.932086594018898</v>
      </c>
      <c r="AK1709">
        <v>0.63852709071275704</v>
      </c>
    </row>
    <row r="1710" spans="1:37" x14ac:dyDescent="0.2">
      <c r="A1710" t="str">
        <f>"20200111153641406"</f>
        <v>20200111153641406</v>
      </c>
      <c r="B1710" t="str">
        <f>"1578728201394063"</f>
        <v>1578728201394063</v>
      </c>
      <c r="C1710" t="s">
        <v>37</v>
      </c>
      <c r="D1710">
        <v>6.0027210000000002</v>
      </c>
      <c r="E1710">
        <v>0.56821889999999997</v>
      </c>
      <c r="F1710" t="s">
        <v>38</v>
      </c>
      <c r="G1710">
        <v>-256.10739999999998</v>
      </c>
      <c r="H1710">
        <v>1.0044959999999901</v>
      </c>
      <c r="I1710">
        <v>283.24299999999999</v>
      </c>
      <c r="J1710">
        <v>-255.52879999999999</v>
      </c>
      <c r="K1710">
        <v>1.1016969999999999</v>
      </c>
      <c r="L1710">
        <v>283.09879999999998</v>
      </c>
      <c r="M1710">
        <v>-0.99989649999999997</v>
      </c>
      <c r="N1710">
        <v>0</v>
      </c>
      <c r="O1710">
        <v>1.093857E-2</v>
      </c>
      <c r="P1710">
        <v>-0.99885309999999905</v>
      </c>
      <c r="Q1710">
        <v>2.1378999999999999E-2</v>
      </c>
      <c r="R1710">
        <v>-4.2840509999999998E-2</v>
      </c>
      <c r="S1710">
        <v>-3.029083</v>
      </c>
      <c r="T1710">
        <v>-0.2794875</v>
      </c>
      <c r="U1710">
        <v>0.4301758</v>
      </c>
      <c r="V1710">
        <v>-5.362161E-2</v>
      </c>
      <c r="W1710">
        <v>3.0963069999999999E-2</v>
      </c>
      <c r="X1710">
        <v>0.99808109999999906</v>
      </c>
      <c r="Y1710">
        <v>0.129273</v>
      </c>
      <c r="Z1710">
        <v>4.919741E-3</v>
      </c>
      <c r="AA1710">
        <v>0.99159679999999994</v>
      </c>
      <c r="AB1710">
        <v>47</v>
      </c>
      <c r="AC1710">
        <v>-0.57859999999999401</v>
      </c>
      <c r="AD1710">
        <v>-9.7200999999999996E-2</v>
      </c>
      <c r="AE1710">
        <v>0.14420000000001201</v>
      </c>
      <c r="AF1710">
        <v>0.13429366857729</v>
      </c>
      <c r="AG1710">
        <v>-9.7200999999999996E-2</v>
      </c>
      <c r="AH1710">
        <v>0.56512658787735004</v>
      </c>
      <c r="AI1710">
        <v>99.499781461399706</v>
      </c>
      <c r="AJ1710">
        <v>76.632477904203398</v>
      </c>
      <c r="AK1710">
        <v>0.58894047589450205</v>
      </c>
    </row>
    <row r="1711" spans="1:37" x14ac:dyDescent="0.2">
      <c r="A1711" t="str">
        <f>"20200111153641428"</f>
        <v>20200111153641428</v>
      </c>
      <c r="B1711" t="str">
        <f>"1578728201424320"</f>
        <v>1578728201424320</v>
      </c>
      <c r="C1711" t="s">
        <v>37</v>
      </c>
      <c r="D1711">
        <v>6.0317239999999996</v>
      </c>
      <c r="E1711">
        <v>0.56852199999999997</v>
      </c>
      <c r="F1711" t="s">
        <v>38</v>
      </c>
      <c r="G1711">
        <v>-256.53230000000002</v>
      </c>
      <c r="H1711">
        <v>1.0084739999999901</v>
      </c>
      <c r="I1711">
        <v>283.24270000000001</v>
      </c>
      <c r="J1711">
        <v>-255.99879999999999</v>
      </c>
      <c r="K1711">
        <v>1.101693</v>
      </c>
      <c r="L1711">
        <v>283.10509999999999</v>
      </c>
      <c r="M1711">
        <v>-0.99987169999999903</v>
      </c>
      <c r="N1711">
        <v>0</v>
      </c>
      <c r="O1711">
        <v>1.261313E-2</v>
      </c>
      <c r="P1711">
        <v>-0.99888440000000001</v>
      </c>
      <c r="Q1711">
        <v>2.1287750000000001E-2</v>
      </c>
      <c r="R1711">
        <v>-4.2155020000000001E-2</v>
      </c>
      <c r="S1711">
        <v>-3.0280610000000001</v>
      </c>
      <c r="T1711">
        <v>-0.28131409999999901</v>
      </c>
      <c r="U1711">
        <v>0.43396000000000001</v>
      </c>
      <c r="V1711">
        <v>-5.460218E-2</v>
      </c>
      <c r="W1711">
        <v>3.1407259999999999E-2</v>
      </c>
      <c r="X1711">
        <v>0.99801410000000002</v>
      </c>
      <c r="Y1711">
        <v>0.12887560000000001</v>
      </c>
      <c r="Z1711">
        <v>4.7802560000000001E-3</v>
      </c>
      <c r="AA1711">
        <v>0.99164929999999996</v>
      </c>
      <c r="AB1711">
        <v>47</v>
      </c>
      <c r="AC1711">
        <v>-0.53350000000003195</v>
      </c>
      <c r="AD1711">
        <v>-9.3219000000000093E-2</v>
      </c>
      <c r="AE1711">
        <v>0.13760000000002001</v>
      </c>
      <c r="AF1711">
        <v>0.12721780463083299</v>
      </c>
      <c r="AG1711">
        <v>-9.3219000000000093E-2</v>
      </c>
      <c r="AH1711">
        <v>0.52029881254457699</v>
      </c>
      <c r="AI1711">
        <v>99.872727042805394</v>
      </c>
      <c r="AJ1711">
        <v>76.260235065444803</v>
      </c>
      <c r="AK1711">
        <v>0.54367729961015099</v>
      </c>
    </row>
    <row r="1712" spans="1:37" x14ac:dyDescent="0.2">
      <c r="A1712" t="str">
        <f>"20200111153641448"</f>
        <v>20200111153641448</v>
      </c>
      <c r="B1712" t="str">
        <f>"1578728201444815"</f>
        <v>1578728201444815</v>
      </c>
      <c r="C1712" t="s">
        <v>37</v>
      </c>
      <c r="D1712">
        <v>6.0115540000000003</v>
      </c>
      <c r="E1712">
        <v>0.56865790000000005</v>
      </c>
      <c r="F1712" t="s">
        <v>38</v>
      </c>
      <c r="G1712">
        <v>-256.95760000000001</v>
      </c>
      <c r="H1712">
        <v>1.0132939999999999</v>
      </c>
      <c r="I1712">
        <v>283.2441</v>
      </c>
      <c r="J1712">
        <v>-256.44799999999998</v>
      </c>
      <c r="K1712">
        <v>1.1016919999999999</v>
      </c>
      <c r="L1712">
        <v>283.11180000000002</v>
      </c>
      <c r="M1712">
        <v>-0.99984580000000001</v>
      </c>
      <c r="N1712">
        <v>0</v>
      </c>
      <c r="O1712">
        <v>1.4205000000000001E-2</v>
      </c>
      <c r="P1712">
        <v>-0.998899599999999</v>
      </c>
      <c r="Q1712">
        <v>2.1166609999999999E-2</v>
      </c>
      <c r="R1712">
        <v>-4.1851779999999998E-2</v>
      </c>
      <c r="S1712">
        <v>-3.0278019999999999</v>
      </c>
      <c r="T1712">
        <v>-0.27924840000000001</v>
      </c>
      <c r="U1712">
        <v>0.43823240000000002</v>
      </c>
      <c r="V1712">
        <v>-5.5883090000000003E-2</v>
      </c>
      <c r="W1712">
        <v>3.1747549999999999E-2</v>
      </c>
      <c r="X1712">
        <v>0.99793240000000005</v>
      </c>
      <c r="Y1712">
        <v>0.12869420000000001</v>
      </c>
      <c r="Z1712">
        <v>4.5912449999999999E-3</v>
      </c>
      <c r="AA1712">
        <v>0.99167369999999899</v>
      </c>
      <c r="AB1712">
        <v>47</v>
      </c>
      <c r="AC1712">
        <v>-0.50960000000003403</v>
      </c>
      <c r="AD1712">
        <v>-8.8397999999999893E-2</v>
      </c>
      <c r="AE1712">
        <v>0.13229999999998601</v>
      </c>
      <c r="AF1712">
        <v>0.12161892931301301</v>
      </c>
      <c r="AG1712">
        <v>-8.8397999999999893E-2</v>
      </c>
      <c r="AH1712">
        <v>0.49740600463289097</v>
      </c>
      <c r="AI1712">
        <v>99.7945826303811</v>
      </c>
      <c r="AJ1712">
        <v>76.2603845166756</v>
      </c>
      <c r="AK1712">
        <v>0.519632662383822</v>
      </c>
    </row>
    <row r="1713" spans="1:37" x14ac:dyDescent="0.2">
      <c r="A1713" t="str">
        <f>"20200111153641472"</f>
        <v>20200111153641472</v>
      </c>
      <c r="B1713" t="str">
        <f>"1578728201464336"</f>
        <v>1578728201464336</v>
      </c>
      <c r="C1713" t="s">
        <v>37</v>
      </c>
      <c r="D1713">
        <v>6.0318569999999996</v>
      </c>
      <c r="E1713">
        <v>0.56882149999999998</v>
      </c>
      <c r="F1713" t="s">
        <v>38</v>
      </c>
      <c r="G1713">
        <v>-257.3818</v>
      </c>
      <c r="H1713">
        <v>1.0158719999999899</v>
      </c>
      <c r="I1713">
        <v>283.24770000000001</v>
      </c>
      <c r="J1713">
        <v>-256.93540000000002</v>
      </c>
      <c r="K1713">
        <v>1.101699</v>
      </c>
      <c r="L1713">
        <v>283.11989999999997</v>
      </c>
      <c r="M1713">
        <v>-0.99981529999999996</v>
      </c>
      <c r="N1713">
        <v>0</v>
      </c>
      <c r="O1713">
        <v>1.5923650000000001E-2</v>
      </c>
      <c r="P1713">
        <v>-0.99888220000000005</v>
      </c>
      <c r="Q1713">
        <v>2.1683640000000001E-2</v>
      </c>
      <c r="R1713">
        <v>-4.2007040000000002E-2</v>
      </c>
      <c r="S1713">
        <v>-3.0276489999999998</v>
      </c>
      <c r="T1713">
        <v>-0.27824559999999998</v>
      </c>
      <c r="U1713">
        <v>0.4403687</v>
      </c>
      <c r="V1713">
        <v>-5.7745589999999999E-2</v>
      </c>
      <c r="W1713">
        <v>3.2711219999999999E-2</v>
      </c>
      <c r="X1713">
        <v>0.99779530000000005</v>
      </c>
      <c r="Y1713">
        <v>0.12769649999999999</v>
      </c>
      <c r="Z1713">
        <v>4.3726049999999999E-3</v>
      </c>
      <c r="AA1713">
        <v>0.99180360000000001</v>
      </c>
      <c r="AB1713">
        <v>47</v>
      </c>
      <c r="AC1713">
        <v>-0.44639999999998198</v>
      </c>
      <c r="AD1713">
        <v>-8.5827000000000098E-2</v>
      </c>
      <c r="AE1713">
        <v>0.127800000000036</v>
      </c>
      <c r="AF1713">
        <v>0.11668835281114399</v>
      </c>
      <c r="AG1713">
        <v>-8.5827000000000098E-2</v>
      </c>
      <c r="AH1713">
        <v>0.43356558221843</v>
      </c>
      <c r="AI1713">
        <v>100.82177781121401</v>
      </c>
      <c r="AJ1713">
        <v>74.936544505966197</v>
      </c>
      <c r="AK1713">
        <v>0.45712313406256799</v>
      </c>
    </row>
    <row r="1714" spans="1:37" x14ac:dyDescent="0.2">
      <c r="A1714" t="str">
        <f>"20200111153641494"</f>
        <v>20200111153641494</v>
      </c>
      <c r="B1714" t="str">
        <f>"1578728201484834"</f>
        <v>1578728201484834</v>
      </c>
      <c r="C1714" t="s">
        <v>37</v>
      </c>
      <c r="D1714">
        <v>6.0306239999999898</v>
      </c>
      <c r="E1714">
        <v>0.56893229999999995</v>
      </c>
      <c r="F1714" t="s">
        <v>38</v>
      </c>
      <c r="G1714">
        <v>-257.80759999999998</v>
      </c>
      <c r="H1714">
        <v>1.022138</v>
      </c>
      <c r="I1714">
        <v>283.24720000000002</v>
      </c>
      <c r="J1714">
        <v>-257.41989999999998</v>
      </c>
      <c r="K1714">
        <v>1.101709</v>
      </c>
      <c r="L1714">
        <v>283.12880000000001</v>
      </c>
      <c r="M1714">
        <v>-0.99978269999999902</v>
      </c>
      <c r="N1714">
        <v>0</v>
      </c>
      <c r="O1714">
        <v>1.7624890000000001E-2</v>
      </c>
      <c r="P1714">
        <v>-0.99886249999999999</v>
      </c>
      <c r="Q1714">
        <v>2.1446679999999999E-2</v>
      </c>
      <c r="R1714">
        <v>-4.2592230000000002E-2</v>
      </c>
      <c r="S1714">
        <v>-3.0278930000000002</v>
      </c>
      <c r="T1714">
        <v>-0.27630840000000001</v>
      </c>
      <c r="U1714">
        <v>0.44110109999999902</v>
      </c>
      <c r="V1714">
        <v>-6.0025580000000002E-2</v>
      </c>
      <c r="W1714">
        <v>3.2868010000000003E-2</v>
      </c>
      <c r="X1714">
        <v>0.99765559999999998</v>
      </c>
      <c r="Y1714">
        <v>0.12625159999999999</v>
      </c>
      <c r="Z1714">
        <v>4.1223980000000002E-3</v>
      </c>
      <c r="AA1714">
        <v>0.99198969999999898</v>
      </c>
      <c r="AB1714">
        <v>47</v>
      </c>
      <c r="AC1714">
        <v>-0.38769999999999499</v>
      </c>
      <c r="AD1714">
        <v>-7.9571000000000003E-2</v>
      </c>
      <c r="AE1714">
        <v>0.118400000000008</v>
      </c>
      <c r="AF1714">
        <v>0.10740957790781799</v>
      </c>
      <c r="AG1714">
        <v>-7.9571000000000003E-2</v>
      </c>
      <c r="AH1714">
        <v>0.37526781267401099</v>
      </c>
      <c r="AI1714">
        <v>101.52200053229799</v>
      </c>
      <c r="AJ1714">
        <v>74.027759285478197</v>
      </c>
      <c r="AK1714">
        <v>0.39836452238681103</v>
      </c>
    </row>
    <row r="1715" spans="1:37" x14ac:dyDescent="0.2">
      <c r="A1715" t="str">
        <f>"20200111153641516"</f>
        <v>20200111153641516</v>
      </c>
      <c r="B1715" t="str">
        <f>"1578728201504351"</f>
        <v>1578728201504351</v>
      </c>
      <c r="C1715" t="s">
        <v>37</v>
      </c>
      <c r="D1715">
        <v>6.0097269999999998</v>
      </c>
      <c r="E1715">
        <v>0.5690383</v>
      </c>
      <c r="F1715" t="s">
        <v>38</v>
      </c>
      <c r="G1715">
        <v>-258.233</v>
      </c>
      <c r="H1715">
        <v>1.027595</v>
      </c>
      <c r="I1715">
        <v>283.24709999999999</v>
      </c>
      <c r="J1715">
        <v>-257.86149999999998</v>
      </c>
      <c r="K1715">
        <v>1.1017129999999999</v>
      </c>
      <c r="L1715">
        <v>283.1377</v>
      </c>
      <c r="M1715">
        <v>-0.9997509</v>
      </c>
      <c r="N1715">
        <v>0</v>
      </c>
      <c r="O1715">
        <v>1.9167119999999999E-2</v>
      </c>
      <c r="P1715">
        <v>-0.99884269999999997</v>
      </c>
      <c r="Q1715">
        <v>2.1740809999999999E-2</v>
      </c>
      <c r="R1715">
        <v>-4.290397E-2</v>
      </c>
      <c r="S1715">
        <v>-3.0281069999999999</v>
      </c>
      <c r="T1715">
        <v>-0.27611849999999999</v>
      </c>
      <c r="U1715">
        <v>0.43984989999999902</v>
      </c>
      <c r="V1715">
        <v>-6.187285E-2</v>
      </c>
      <c r="W1715">
        <v>3.3476119999999998E-2</v>
      </c>
      <c r="X1715">
        <v>0.99752249999999998</v>
      </c>
      <c r="Y1715">
        <v>0.12432449999999901</v>
      </c>
      <c r="Z1715">
        <v>3.8926690000000001E-3</v>
      </c>
      <c r="AA1715">
        <v>0.99223399999999995</v>
      </c>
      <c r="AB1715">
        <v>47</v>
      </c>
      <c r="AC1715">
        <v>-0.37150000000002498</v>
      </c>
      <c r="AD1715">
        <v>-7.4117999999999906E-2</v>
      </c>
      <c r="AE1715">
        <v>0.109399999999993</v>
      </c>
      <c r="AF1715">
        <v>9.8645663685051399E-2</v>
      </c>
      <c r="AG1715">
        <v>-7.4117999999999906E-2</v>
      </c>
      <c r="AH1715">
        <v>0.36033060343516798</v>
      </c>
      <c r="AI1715">
        <v>101.22143995572</v>
      </c>
      <c r="AJ1715">
        <v>74.689590864300797</v>
      </c>
      <c r="AK1715">
        <v>0.38087082936320699</v>
      </c>
    </row>
    <row r="1716" spans="1:37" x14ac:dyDescent="0.2">
      <c r="A1716" t="str">
        <f>"20200111153641538"</f>
        <v>20200111153641538</v>
      </c>
      <c r="B1716" t="str">
        <f>"1578728201534608"</f>
        <v>1578728201534608</v>
      </c>
      <c r="C1716" t="s">
        <v>37</v>
      </c>
      <c r="D1716">
        <v>6.1676089999999997</v>
      </c>
      <c r="E1716">
        <v>0.56886530000000002</v>
      </c>
      <c r="F1716" t="s">
        <v>38</v>
      </c>
      <c r="G1716">
        <v>-258.65660000000003</v>
      </c>
      <c r="H1716">
        <v>1.0294650000000001</v>
      </c>
      <c r="I1716">
        <v>283.2534</v>
      </c>
      <c r="J1716">
        <v>-258.33159999999998</v>
      </c>
      <c r="K1716">
        <v>1.1017399999999999</v>
      </c>
      <c r="L1716">
        <v>283.14789999999999</v>
      </c>
      <c r="M1716">
        <v>-0.99971509999999997</v>
      </c>
      <c r="N1716">
        <v>0</v>
      </c>
      <c r="O1716">
        <v>2.0790340000000001E-2</v>
      </c>
      <c r="P1716">
        <v>-0.99887320000000002</v>
      </c>
      <c r="Q1716">
        <v>2.1479640000000001E-2</v>
      </c>
      <c r="R1716">
        <v>-4.232259E-2</v>
      </c>
      <c r="S1716">
        <v>-3.0283199999999999</v>
      </c>
      <c r="T1716">
        <v>-0.27529549999999903</v>
      </c>
      <c r="U1716">
        <v>0.43975829999999899</v>
      </c>
      <c r="V1716">
        <v>-6.291207E-2</v>
      </c>
      <c r="W1716">
        <v>3.3505189999999997E-2</v>
      </c>
      <c r="X1716">
        <v>0.99745649999999997</v>
      </c>
      <c r="Y1716">
        <v>0.1226897</v>
      </c>
      <c r="Z1716">
        <v>3.6607020000000001E-3</v>
      </c>
      <c r="AA1716">
        <v>0.9924383</v>
      </c>
      <c r="AB1716">
        <v>47</v>
      </c>
      <c r="AC1716">
        <v>-0.32500000000004498</v>
      </c>
      <c r="AD1716">
        <v>-7.2274999999999798E-2</v>
      </c>
      <c r="AE1716">
        <v>0.10550000000000601</v>
      </c>
      <c r="AF1716">
        <v>9.4492248595958298E-2</v>
      </c>
      <c r="AG1716">
        <v>-7.2274999999999798E-2</v>
      </c>
      <c r="AH1716">
        <v>0.31311441413997798</v>
      </c>
      <c r="AI1716">
        <v>102.461112709565</v>
      </c>
      <c r="AJ1716">
        <v>73.207138689972098</v>
      </c>
      <c r="AK1716">
        <v>0.33495238021537099</v>
      </c>
    </row>
    <row r="1717" spans="1:37" x14ac:dyDescent="0.2">
      <c r="A1717" t="str">
        <f>"20200111153641562"</f>
        <v>20200111153641562</v>
      </c>
      <c r="B1717" t="str">
        <f>"1578728201554129"</f>
        <v>1578728201554129</v>
      </c>
      <c r="C1717" t="s">
        <v>37</v>
      </c>
      <c r="D1717">
        <v>6.1040700000000001</v>
      </c>
      <c r="E1717">
        <v>0.56851079999999998</v>
      </c>
      <c r="F1717" t="s">
        <v>38</v>
      </c>
      <c r="G1717">
        <v>-259.08099999999899</v>
      </c>
      <c r="H1717">
        <v>1.033293</v>
      </c>
      <c r="I1717">
        <v>283.25670000000002</v>
      </c>
      <c r="J1717">
        <v>-258.8347</v>
      </c>
      <c r="K1717">
        <v>1.1017859999999999</v>
      </c>
      <c r="L1717">
        <v>283.15949999999998</v>
      </c>
      <c r="M1717">
        <v>-0.99967530000000004</v>
      </c>
      <c r="N1717">
        <v>0</v>
      </c>
      <c r="O1717">
        <v>2.2487569999999998E-2</v>
      </c>
      <c r="P1717">
        <v>-0.99896019999999897</v>
      </c>
      <c r="Q1717">
        <v>2.0615890000000001E-2</v>
      </c>
      <c r="R1717">
        <v>-4.0665960000000001E-2</v>
      </c>
      <c r="S1717">
        <v>-3.0279240000000001</v>
      </c>
      <c r="T1717">
        <v>-0.27659149999999999</v>
      </c>
      <c r="U1717">
        <v>0.43954470000000001</v>
      </c>
      <c r="V1717">
        <v>-6.2956620000000005E-2</v>
      </c>
      <c r="W1717">
        <v>3.2900899999999997E-2</v>
      </c>
      <c r="X1717">
        <v>0.99747379999999997</v>
      </c>
      <c r="Y1717">
        <v>0.1209645</v>
      </c>
      <c r="Z1717">
        <v>3.4463509999999998E-3</v>
      </c>
      <c r="AA1717">
        <v>0.9926509</v>
      </c>
      <c r="AB1717">
        <v>47</v>
      </c>
      <c r="AC1717">
        <v>-0.24629999999996199</v>
      </c>
      <c r="AD1717">
        <v>-6.8493000000000095E-2</v>
      </c>
      <c r="AE1717">
        <v>9.7200000000043404E-2</v>
      </c>
      <c r="AF1717">
        <v>8.5889318738165493E-2</v>
      </c>
      <c r="AG1717">
        <v>-6.8493000000000095E-2</v>
      </c>
      <c r="AH1717">
        <v>0.23284365983202299</v>
      </c>
      <c r="AI1717">
        <v>105.428521046443</v>
      </c>
      <c r="AJ1717">
        <v>69.752435065115804</v>
      </c>
      <c r="AK1717">
        <v>0.25745763932398102</v>
      </c>
    </row>
    <row r="1718" spans="1:37" x14ac:dyDescent="0.2">
      <c r="A1718" t="str">
        <f>"20200111153641585"</f>
        <v>20200111153641585</v>
      </c>
      <c r="B1718" t="str">
        <f>"1578728201574624"</f>
        <v>1578728201574624</v>
      </c>
      <c r="C1718" t="s">
        <v>37</v>
      </c>
      <c r="D1718">
        <v>6.0015339999999897</v>
      </c>
      <c r="E1718">
        <v>0.56872389999999995</v>
      </c>
      <c r="F1718" t="s">
        <v>38</v>
      </c>
      <c r="G1718">
        <v>-259.9101</v>
      </c>
      <c r="H1718">
        <v>1.002643</v>
      </c>
      <c r="I1718">
        <v>283.31659999999999</v>
      </c>
      <c r="J1718">
        <v>-259.32209999999998</v>
      </c>
      <c r="K1718">
        <v>1.1017859999999999</v>
      </c>
      <c r="L1718">
        <v>283.17169999999999</v>
      </c>
      <c r="M1718">
        <v>-0.99963919999999995</v>
      </c>
      <c r="N1718">
        <v>0</v>
      </c>
      <c r="O1718">
        <v>2.406927E-2</v>
      </c>
      <c r="P1718">
        <v>-0.99908469999999905</v>
      </c>
      <c r="Q1718">
        <v>1.956484E-2</v>
      </c>
      <c r="R1718">
        <v>-3.8041100000000001E-2</v>
      </c>
      <c r="S1718">
        <v>-3.0268860000000002</v>
      </c>
      <c r="T1718">
        <v>-0.27905679999999999</v>
      </c>
      <c r="U1718">
        <v>0.44168089999999999</v>
      </c>
      <c r="V1718">
        <v>-6.1923880000000001E-2</v>
      </c>
      <c r="W1718">
        <v>3.17671E-2</v>
      </c>
      <c r="X1718">
        <v>0.9975752</v>
      </c>
      <c r="Y1718">
        <v>0.120130999999999</v>
      </c>
      <c r="Z1718">
        <v>3.2951959999999998E-3</v>
      </c>
      <c r="AA1718">
        <v>0.99275259999999999</v>
      </c>
      <c r="AB1718">
        <v>47</v>
      </c>
      <c r="AC1718">
        <v>-0.58800000000002195</v>
      </c>
      <c r="AD1718">
        <v>-9.9143000000000203E-2</v>
      </c>
      <c r="AE1718">
        <v>0.144900000000006</v>
      </c>
      <c r="AF1718">
        <v>0.12729259357803099</v>
      </c>
      <c r="AG1718">
        <v>-9.9143000000000203E-2</v>
      </c>
      <c r="AH1718">
        <v>0.57588275287685098</v>
      </c>
      <c r="AI1718">
        <v>99.542248225787404</v>
      </c>
      <c r="AJ1718">
        <v>77.535807464322104</v>
      </c>
      <c r="AK1718">
        <v>0.59805826128383399</v>
      </c>
    </row>
    <row r="1719" spans="1:37" x14ac:dyDescent="0.2">
      <c r="A1719" t="str">
        <f>"20200111153641606"</f>
        <v>20200111153641606</v>
      </c>
      <c r="B1719" t="str">
        <f>"1578728201604880"</f>
        <v>1578728201604880</v>
      </c>
      <c r="C1719" t="s">
        <v>37</v>
      </c>
      <c r="D1719">
        <v>6.0158940000000003</v>
      </c>
      <c r="E1719">
        <v>0.56870120000000002</v>
      </c>
      <c r="F1719" t="s">
        <v>38</v>
      </c>
      <c r="G1719">
        <v>-260.33780000000002</v>
      </c>
      <c r="H1719">
        <v>1.0072410000000001</v>
      </c>
      <c r="I1719">
        <v>283.32350000000002</v>
      </c>
      <c r="J1719">
        <v>-259.79270000000002</v>
      </c>
      <c r="K1719">
        <v>1.1015969999999999</v>
      </c>
      <c r="L1719">
        <v>283.18400000000003</v>
      </c>
      <c r="M1719">
        <v>-0.99961580000000005</v>
      </c>
      <c r="N1719">
        <v>0</v>
      </c>
      <c r="O1719">
        <v>2.5508099999999999E-2</v>
      </c>
      <c r="P1719">
        <v>-0.99917239999999996</v>
      </c>
      <c r="Q1719">
        <v>2.0666449999999999E-2</v>
      </c>
      <c r="R1719">
        <v>-3.5038960000000001E-2</v>
      </c>
      <c r="S1719">
        <v>-3.025452</v>
      </c>
      <c r="T1719">
        <v>-0.28168699999999902</v>
      </c>
      <c r="U1719">
        <v>0.45141599999999998</v>
      </c>
      <c r="V1719">
        <v>-6.0370229999999997E-2</v>
      </c>
      <c r="W1719">
        <v>3.1770430000000002E-2</v>
      </c>
      <c r="X1719">
        <v>0.99767039999999996</v>
      </c>
      <c r="Y1719">
        <v>0.121886799999999</v>
      </c>
      <c r="Z1719">
        <v>3.275273E-3</v>
      </c>
      <c r="AA1719">
        <v>0.99253860000000005</v>
      </c>
      <c r="AB1719">
        <v>47</v>
      </c>
      <c r="AC1719">
        <v>-0.54509999999999004</v>
      </c>
      <c r="AD1719">
        <v>-9.4355999999999801E-2</v>
      </c>
      <c r="AE1719">
        <v>0.13949999999999799</v>
      </c>
      <c r="AF1719">
        <v>0.12211527548484399</v>
      </c>
      <c r="AG1719">
        <v>-9.4355999999999801E-2</v>
      </c>
      <c r="AH1719">
        <v>0.53347905547010599</v>
      </c>
      <c r="AI1719">
        <v>99.782194320336401</v>
      </c>
      <c r="AJ1719">
        <v>77.106912767260297</v>
      </c>
      <c r="AK1719">
        <v>0.55535132832110501</v>
      </c>
    </row>
    <row r="1720" spans="1:37" x14ac:dyDescent="0.2">
      <c r="A1720" t="str">
        <f>"20200111153641628"</f>
        <v>20200111153641628</v>
      </c>
      <c r="B1720" t="str">
        <f>"1578728201624400"</f>
        <v>1578728201624400</v>
      </c>
      <c r="C1720" t="s">
        <v>37</v>
      </c>
      <c r="D1720">
        <v>5.9463419999999996</v>
      </c>
      <c r="E1720">
        <v>0.58813590000000004</v>
      </c>
      <c r="F1720" t="s">
        <v>38</v>
      </c>
      <c r="G1720">
        <v>-260.76839999999999</v>
      </c>
      <c r="H1720">
        <v>1.01203</v>
      </c>
      <c r="I1720">
        <v>283.33240000000001</v>
      </c>
      <c r="J1720">
        <v>-260.24419999999998</v>
      </c>
      <c r="K1720">
        <v>1.1014269999999999</v>
      </c>
      <c r="L1720">
        <v>283.1961</v>
      </c>
      <c r="M1720">
        <v>-0.99959519999999902</v>
      </c>
      <c r="N1720">
        <v>0</v>
      </c>
      <c r="O1720">
        <v>2.679604E-2</v>
      </c>
      <c r="P1720">
        <v>-0.99924599999999997</v>
      </c>
      <c r="Q1720">
        <v>2.1815279999999999E-2</v>
      </c>
      <c r="R1720">
        <v>-3.2115100000000001E-2</v>
      </c>
      <c r="S1720">
        <v>-3.024384</v>
      </c>
      <c r="T1720">
        <v>-0.27763189999999999</v>
      </c>
      <c r="U1720">
        <v>0.46038820000000003</v>
      </c>
      <c r="V1720">
        <v>-5.8744879999999999E-2</v>
      </c>
      <c r="W1720">
        <v>3.1615530000000003E-2</v>
      </c>
      <c r="X1720">
        <v>0.99777229999999995</v>
      </c>
      <c r="Y1720">
        <v>0.12354849999999901</v>
      </c>
      <c r="Z1720">
        <v>3.1872929999999999E-3</v>
      </c>
      <c r="AA1720">
        <v>0.99233340000000003</v>
      </c>
      <c r="AB1720">
        <v>48</v>
      </c>
      <c r="AC1720">
        <v>-0.52420000000000699</v>
      </c>
      <c r="AD1720">
        <v>-8.9396999999999893E-2</v>
      </c>
      <c r="AE1720">
        <v>0.136300000000005</v>
      </c>
      <c r="AF1720">
        <v>0.11896312546866</v>
      </c>
      <c r="AG1720">
        <v>-8.9396999999999893E-2</v>
      </c>
      <c r="AH1720">
        <v>0.51367076743945805</v>
      </c>
      <c r="AI1720">
        <v>99.622876571459699</v>
      </c>
      <c r="AJ1720">
        <v>76.960518751425397</v>
      </c>
      <c r="AK1720">
        <v>0.53479127344424204</v>
      </c>
    </row>
    <row r="1721" spans="1:37" x14ac:dyDescent="0.2">
      <c r="A1721" t="str">
        <f>"20200111153641650"</f>
        <v>20200111153641650</v>
      </c>
      <c r="B1721" t="str">
        <f>"1578728201643921"</f>
        <v>1578728201643921</v>
      </c>
      <c r="C1721" t="s">
        <v>37</v>
      </c>
      <c r="D1721">
        <v>5.9706380000000001</v>
      </c>
      <c r="E1721">
        <v>0.58779040000000005</v>
      </c>
      <c r="F1721" t="s">
        <v>45</v>
      </c>
      <c r="G1721">
        <v>-275.17219999999998</v>
      </c>
      <c r="H1721" s="1">
        <v>1.143663E-6</v>
      </c>
      <c r="I1721">
        <v>286.26249999999999</v>
      </c>
      <c r="J1721">
        <v>-260.73020000000002</v>
      </c>
      <c r="K1721">
        <v>1.1013280000000001</v>
      </c>
      <c r="L1721">
        <v>283.2097</v>
      </c>
      <c r="M1721">
        <v>-0.99957009999999902</v>
      </c>
      <c r="N1721">
        <v>0</v>
      </c>
      <c r="O1721">
        <v>2.8106760000000001E-2</v>
      </c>
      <c r="P1721">
        <v>-0.99928359999999905</v>
      </c>
      <c r="Q1721">
        <v>2.2781820000000001E-2</v>
      </c>
      <c r="R1721">
        <v>-3.0225789999999999E-2</v>
      </c>
      <c r="S1721">
        <v>-3.0271300000000001</v>
      </c>
      <c r="T1721">
        <v>-0.2233492</v>
      </c>
      <c r="U1721">
        <v>0.62179569999999995</v>
      </c>
      <c r="V1721">
        <v>-5.817634E-2</v>
      </c>
      <c r="W1721">
        <v>3.1345779999999997E-2</v>
      </c>
      <c r="X1721">
        <v>0.99781409999999904</v>
      </c>
      <c r="Y1721">
        <v>0.17321639999999999</v>
      </c>
      <c r="Z1721">
        <v>4.2677610000000001E-3</v>
      </c>
      <c r="AA1721">
        <v>0.98487449999999999</v>
      </c>
      <c r="AB1721">
        <v>48</v>
      </c>
      <c r="AC1721">
        <v>-14.441999999999901</v>
      </c>
      <c r="AD1721">
        <v>-1.101326856337</v>
      </c>
      <c r="AE1721">
        <v>3.0527999999999902</v>
      </c>
      <c r="AF1721">
        <v>2.6310159544140599</v>
      </c>
      <c r="AG1721">
        <v>-1.101326856337</v>
      </c>
      <c r="AH1721">
        <v>14.4417094411743</v>
      </c>
      <c r="AI1721">
        <v>94.290592329064694</v>
      </c>
      <c r="AJ1721">
        <v>79.674990276546595</v>
      </c>
      <c r="AK1721">
        <v>14.7206704120489</v>
      </c>
    </row>
    <row r="1722" spans="1:37" x14ac:dyDescent="0.2">
      <c r="A1722" t="str">
        <f>"20200111153641674"</f>
        <v>20200111153641674</v>
      </c>
      <c r="B1722" t="str">
        <f>"1578728201664415"</f>
        <v>1578728201664415</v>
      </c>
      <c r="C1722" t="s">
        <v>37</v>
      </c>
      <c r="D1722">
        <v>5.9461830000000004</v>
      </c>
      <c r="E1722">
        <v>0.5868371</v>
      </c>
      <c r="F1722" t="s">
        <v>45</v>
      </c>
      <c r="G1722">
        <v>-275.59609999999998</v>
      </c>
      <c r="H1722" s="1">
        <v>1.368435E-6</v>
      </c>
      <c r="I1722">
        <v>286.28039999999999</v>
      </c>
      <c r="J1722">
        <v>-261.2312</v>
      </c>
      <c r="K1722">
        <v>1.101383</v>
      </c>
      <c r="L1722">
        <v>283.22410000000002</v>
      </c>
      <c r="M1722">
        <v>-0.999540599999999</v>
      </c>
      <c r="N1722">
        <v>0</v>
      </c>
      <c r="O1722">
        <v>2.9307099999999899E-2</v>
      </c>
      <c r="P1722">
        <v>-0.99927509999999997</v>
      </c>
      <c r="Q1722">
        <v>2.3401599999999901E-2</v>
      </c>
      <c r="R1722">
        <v>-3.0033170000000001E-2</v>
      </c>
      <c r="S1722">
        <v>-3.0261840000000002</v>
      </c>
      <c r="T1722">
        <v>-0.22419169999999999</v>
      </c>
      <c r="U1722">
        <v>0.62509159999999997</v>
      </c>
      <c r="V1722">
        <v>-5.9188329999999997E-2</v>
      </c>
      <c r="W1722">
        <v>3.1342450000000001E-2</v>
      </c>
      <c r="X1722">
        <v>0.997754699999999</v>
      </c>
      <c r="Y1722">
        <v>0.173124</v>
      </c>
      <c r="Z1722">
        <v>4.1935699999999998E-3</v>
      </c>
      <c r="AA1722">
        <v>0.98489110000000002</v>
      </c>
      <c r="AB1722">
        <v>48</v>
      </c>
      <c r="AC1722">
        <v>-14.364899999999899</v>
      </c>
      <c r="AD1722">
        <v>-1.101381631565</v>
      </c>
      <c r="AE1722">
        <v>3.0562999999999598</v>
      </c>
      <c r="AF1722">
        <v>2.6192503925600898</v>
      </c>
      <c r="AG1722">
        <v>-1.101381631565</v>
      </c>
      <c r="AH1722">
        <v>14.3675008269797</v>
      </c>
      <c r="AI1722">
        <v>94.312791154773194</v>
      </c>
      <c r="AJ1722">
        <v>79.668220800940205</v>
      </c>
      <c r="AK1722">
        <v>14.645770520206099</v>
      </c>
    </row>
    <row r="1723" spans="1:37" x14ac:dyDescent="0.2">
      <c r="A1723" t="str">
        <f>"20200111153641695"</f>
        <v>20200111153641695</v>
      </c>
      <c r="B1723" t="str">
        <f>"1578728201684442"</f>
        <v>1578728201684442</v>
      </c>
      <c r="C1723" t="s">
        <v>37</v>
      </c>
      <c r="D1723">
        <v>6.0171900000000003</v>
      </c>
      <c r="E1723">
        <v>0.58627439999999997</v>
      </c>
      <c r="F1723" t="s">
        <v>38</v>
      </c>
      <c r="G1723">
        <v>-262.07870000000003</v>
      </c>
      <c r="H1723">
        <v>1.038476</v>
      </c>
      <c r="I1723">
        <v>283.39760000000001</v>
      </c>
      <c r="J1723">
        <v>-261.69</v>
      </c>
      <c r="K1723">
        <v>1.1015999999999999</v>
      </c>
      <c r="L1723">
        <v>283.23779999999999</v>
      </c>
      <c r="M1723">
        <v>-0.99951190000000001</v>
      </c>
      <c r="N1723">
        <v>0</v>
      </c>
      <c r="O1723">
        <v>3.0230770000000001E-2</v>
      </c>
      <c r="P1723">
        <v>-0.99922429999999995</v>
      </c>
      <c r="Q1723">
        <v>2.4916669999999998E-2</v>
      </c>
      <c r="R1723">
        <v>-3.0502439999999999E-2</v>
      </c>
      <c r="S1723">
        <v>-3.0260009999999999</v>
      </c>
      <c r="T1723">
        <v>-0.2248647</v>
      </c>
      <c r="U1723">
        <v>0.61837769999999903</v>
      </c>
      <c r="V1723">
        <v>-6.0575690000000001E-2</v>
      </c>
      <c r="W1723">
        <v>3.3012420000000001E-2</v>
      </c>
      <c r="X1723">
        <v>0.99761749999999905</v>
      </c>
      <c r="Y1723">
        <v>0.17013610000000001</v>
      </c>
      <c r="Z1723">
        <v>4.0298189999999996E-3</v>
      </c>
      <c r="AA1723">
        <v>0.98541239999999997</v>
      </c>
      <c r="AB1723">
        <v>48</v>
      </c>
      <c r="AC1723">
        <v>-0.38870000000002802</v>
      </c>
      <c r="AD1723">
        <v>-6.3123999999999902E-2</v>
      </c>
      <c r="AE1723">
        <v>0.15980000000001801</v>
      </c>
      <c r="AF1723">
        <v>0.14471120196157899</v>
      </c>
      <c r="AG1723">
        <v>-6.3123999999999902E-2</v>
      </c>
      <c r="AH1723">
        <v>0.38467507186912497</v>
      </c>
      <c r="AI1723">
        <v>98.731742647298404</v>
      </c>
      <c r="AJ1723">
        <v>69.384164793387995</v>
      </c>
      <c r="AK1723">
        <v>0.41581351861944199</v>
      </c>
    </row>
    <row r="1724" spans="1:37" x14ac:dyDescent="0.2">
      <c r="A1724" t="str">
        <f>"20200111153641716"</f>
        <v>20200111153641716</v>
      </c>
      <c r="B1724" t="str">
        <f>"1578728201714698"</f>
        <v>1578728201714698</v>
      </c>
      <c r="C1724" t="s">
        <v>37</v>
      </c>
      <c r="D1724">
        <v>5.8997029999999997</v>
      </c>
      <c r="E1724">
        <v>0.54197119999999999</v>
      </c>
      <c r="F1724" t="s">
        <v>38</v>
      </c>
      <c r="G1724">
        <v>-262.5154</v>
      </c>
      <c r="H1724">
        <v>1.0412779999999999</v>
      </c>
      <c r="I1724">
        <v>283.4051</v>
      </c>
      <c r="J1724">
        <v>-262.15769999999998</v>
      </c>
      <c r="K1724">
        <v>1.1018950000000001</v>
      </c>
      <c r="L1724">
        <v>283.25220000000002</v>
      </c>
      <c r="M1724">
        <v>-0.99948320000000002</v>
      </c>
      <c r="N1724">
        <v>0</v>
      </c>
      <c r="O1724">
        <v>3.102719E-2</v>
      </c>
      <c r="P1724">
        <v>-0.99917529999999999</v>
      </c>
      <c r="Q1724">
        <v>2.6569760000000001E-2</v>
      </c>
      <c r="R1724">
        <v>-3.070954E-2</v>
      </c>
      <c r="S1724">
        <v>-3.0265499999999999</v>
      </c>
      <c r="T1724">
        <v>-0.22134719999999999</v>
      </c>
      <c r="U1724">
        <v>0.61264039999999997</v>
      </c>
      <c r="V1724">
        <v>-6.1573379999999997E-2</v>
      </c>
      <c r="W1724">
        <v>3.5190300000000001E-2</v>
      </c>
      <c r="X1724">
        <v>0.99748199999999998</v>
      </c>
      <c r="Y1724">
        <v>0.16754140000000001</v>
      </c>
      <c r="Z1724">
        <v>3.815667E-3</v>
      </c>
      <c r="AA1724">
        <v>0.98585769999999995</v>
      </c>
      <c r="AB1724">
        <v>48</v>
      </c>
      <c r="AC1724">
        <v>-0.357700000000022</v>
      </c>
      <c r="AD1724">
        <v>-6.06169999999999E-2</v>
      </c>
      <c r="AE1724">
        <v>0.15289999999998799</v>
      </c>
      <c r="AF1724">
        <v>0.13836782267804801</v>
      </c>
      <c r="AG1724">
        <v>-6.06169999999999E-2</v>
      </c>
      <c r="AH1724">
        <v>0.35368411417386603</v>
      </c>
      <c r="AI1724">
        <v>99.068371665981601</v>
      </c>
      <c r="AJ1724">
        <v>68.633635837066095</v>
      </c>
      <c r="AK1724">
        <v>0.38459397767075898</v>
      </c>
    </row>
    <row r="1725" spans="1:37" x14ac:dyDescent="0.2">
      <c r="A1725" t="str">
        <f>"20200111153641740"</f>
        <v>20200111153641740</v>
      </c>
      <c r="B1725" t="str">
        <f>"1578728201734218"</f>
        <v>1578728201734218</v>
      </c>
      <c r="C1725" t="s">
        <v>37</v>
      </c>
      <c r="D1725">
        <v>5.8576220000000001</v>
      </c>
      <c r="E1725">
        <v>0.47193029999999903</v>
      </c>
      <c r="F1725" t="s">
        <v>38</v>
      </c>
      <c r="G1725">
        <v>-262.93259999999998</v>
      </c>
      <c r="H1725">
        <v>1.025387</v>
      </c>
      <c r="I1725">
        <v>283.31979999999999</v>
      </c>
      <c r="J1725">
        <v>-262.65309999999999</v>
      </c>
      <c r="K1725">
        <v>1.1021909999999999</v>
      </c>
      <c r="L1725">
        <v>283.26780000000002</v>
      </c>
      <c r="M1725">
        <v>-0.99945529999999905</v>
      </c>
      <c r="N1725">
        <v>0</v>
      </c>
      <c r="O1725">
        <v>3.1740520000000001E-2</v>
      </c>
      <c r="P1725">
        <v>-0.99918879999999999</v>
      </c>
      <c r="Q1725">
        <v>2.6110620000000001E-2</v>
      </c>
      <c r="R1725">
        <v>-3.0667509999999999E-2</v>
      </c>
      <c r="S1725">
        <v>-3.0185240000000002</v>
      </c>
      <c r="T1725">
        <v>-0.29829250000000002</v>
      </c>
      <c r="U1725">
        <v>0.2624512</v>
      </c>
      <c r="V1725">
        <v>-6.225033E-2</v>
      </c>
      <c r="W1725">
        <v>3.5344220000000003E-2</v>
      </c>
      <c r="X1725">
        <v>0.99743459999999995</v>
      </c>
      <c r="Y1725">
        <v>5.4842269999999999E-2</v>
      </c>
      <c r="Z1725">
        <v>-4.2367190000000001E-4</v>
      </c>
      <c r="AA1725">
        <v>0.99849489999999996</v>
      </c>
      <c r="AB1725">
        <v>48</v>
      </c>
      <c r="AC1725">
        <v>-0.27949999999998398</v>
      </c>
      <c r="AD1725">
        <v>-7.6803999999999803E-2</v>
      </c>
      <c r="AE1725">
        <v>5.1999999999963999E-2</v>
      </c>
      <c r="AF1725">
        <v>4.0170189892024998E-2</v>
      </c>
      <c r="AG1725">
        <v>-7.6803999999999803E-2</v>
      </c>
      <c r="AH1725">
        <v>0.26189561838741598</v>
      </c>
      <c r="AI1725">
        <v>106.165389016574</v>
      </c>
      <c r="AJ1725">
        <v>81.279793885982301</v>
      </c>
      <c r="AK1725">
        <v>0.27586557143378398</v>
      </c>
    </row>
    <row r="1726" spans="1:37" x14ac:dyDescent="0.2">
      <c r="A1726" t="str">
        <f>"20200111153641763"</f>
        <v>20200111153641763</v>
      </c>
      <c r="B1726" t="str">
        <f>"1578728201754714"</f>
        <v>1578728201754714</v>
      </c>
      <c r="C1726" t="s">
        <v>37</v>
      </c>
      <c r="D1726">
        <v>5.9963150000000001</v>
      </c>
      <c r="E1726">
        <v>0.45653879999999902</v>
      </c>
      <c r="F1726" t="s">
        <v>45</v>
      </c>
      <c r="G1726">
        <v>-278.32490000000001</v>
      </c>
      <c r="H1726" s="1">
        <v>3.0211289999999999E-6</v>
      </c>
      <c r="I1726">
        <v>281.69150000000002</v>
      </c>
      <c r="J1726">
        <v>-263.16579999999999</v>
      </c>
      <c r="K1726">
        <v>1.1024579999999999</v>
      </c>
      <c r="L1726">
        <v>283.28440000000001</v>
      </c>
      <c r="M1726">
        <v>-0.99943110000000002</v>
      </c>
      <c r="N1726">
        <v>0</v>
      </c>
      <c r="O1726">
        <v>3.2322240000000002E-2</v>
      </c>
      <c r="P1726">
        <v>-0.999206699999999</v>
      </c>
      <c r="Q1726">
        <v>2.5260109999999999E-2</v>
      </c>
      <c r="R1726">
        <v>-3.0791829999999999E-2</v>
      </c>
      <c r="S1726">
        <v>-2.998688</v>
      </c>
      <c r="T1726">
        <v>-0.21089620000000001</v>
      </c>
      <c r="U1726">
        <v>-0.30160520000000002</v>
      </c>
      <c r="V1726">
        <v>-6.2966729999999999E-2</v>
      </c>
      <c r="W1726">
        <v>3.5067349999999997E-2</v>
      </c>
      <c r="X1726">
        <v>0.99739929999999999</v>
      </c>
      <c r="Y1726">
        <v>-0.1317818</v>
      </c>
      <c r="Z1726">
        <v>-6.8821910000000002E-3</v>
      </c>
      <c r="AA1726">
        <v>0.99125490000000005</v>
      </c>
      <c r="AB1726">
        <v>48</v>
      </c>
      <c r="AC1726">
        <v>-15.1591</v>
      </c>
      <c r="AD1726">
        <v>-1.1024549788709901</v>
      </c>
      <c r="AE1726">
        <v>-1.59289999999998</v>
      </c>
      <c r="AF1726">
        <v>-2.0712312858747102</v>
      </c>
      <c r="AG1726">
        <v>-1.1024549788709901</v>
      </c>
      <c r="AH1726">
        <v>15.0211108894096</v>
      </c>
      <c r="AI1726">
        <v>94.158417213086693</v>
      </c>
      <c r="AJ1726">
        <v>97.850894928578398</v>
      </c>
      <c r="AK1726">
        <v>15.2032620964043</v>
      </c>
    </row>
    <row r="1727" spans="1:37" x14ac:dyDescent="0.2">
      <c r="A1727" t="str">
        <f>"20200111153641784"</f>
        <v>20200111153641784</v>
      </c>
      <c r="B1727" t="str">
        <f>"1578728201774237"</f>
        <v>1578728201774237</v>
      </c>
      <c r="C1727" t="s">
        <v>37</v>
      </c>
      <c r="D1727">
        <v>5.8154279999999998</v>
      </c>
      <c r="E1727">
        <v>0.45295079999999999</v>
      </c>
      <c r="F1727" t="s">
        <v>45</v>
      </c>
      <c r="G1727">
        <v>-276.108</v>
      </c>
      <c r="H1727" s="1">
        <v>1.85155399999999E-6</v>
      </c>
      <c r="I1727">
        <v>281.45949999999999</v>
      </c>
      <c r="J1727">
        <v>-263.62700000000001</v>
      </c>
      <c r="K1727">
        <v>1.102678</v>
      </c>
      <c r="L1727">
        <v>283.2996</v>
      </c>
      <c r="M1727">
        <v>-0.99941239999999998</v>
      </c>
      <c r="N1727">
        <v>0</v>
      </c>
      <c r="O1727">
        <v>3.2743399999999999E-2</v>
      </c>
      <c r="P1727">
        <v>-0.99919840000000004</v>
      </c>
      <c r="Q1727">
        <v>2.4948959999999999E-2</v>
      </c>
      <c r="R1727">
        <v>-3.1310940000000002E-2</v>
      </c>
      <c r="S1727">
        <v>-2.995819</v>
      </c>
      <c r="T1727">
        <v>-0.25519310000000001</v>
      </c>
      <c r="U1727">
        <v>-0.42242429999999997</v>
      </c>
      <c r="V1727">
        <v>-6.3915599999999906E-2</v>
      </c>
      <c r="W1727">
        <v>3.524414E-2</v>
      </c>
      <c r="X1727">
        <v>0.99733280000000002</v>
      </c>
      <c r="Y1727">
        <v>-0.1712477</v>
      </c>
      <c r="Z1727">
        <v>-1.001675E-2</v>
      </c>
      <c r="AA1727">
        <v>0.98517710000000003</v>
      </c>
      <c r="AB1727">
        <v>48</v>
      </c>
      <c r="AC1727">
        <v>-12.4809999999999</v>
      </c>
      <c r="AD1727">
        <v>-1.1026761484459999</v>
      </c>
      <c r="AE1727">
        <v>-1.8401000000000001</v>
      </c>
      <c r="AF1727">
        <v>-2.2307629307497501</v>
      </c>
      <c r="AG1727">
        <v>-1.1026761484459999</v>
      </c>
      <c r="AH1727">
        <v>12.3199359288034</v>
      </c>
      <c r="AI1727">
        <v>95.033126540051398</v>
      </c>
      <c r="AJ1727">
        <v>100.263309686566</v>
      </c>
      <c r="AK1727">
        <v>12.5687318068045</v>
      </c>
    </row>
    <row r="1728" spans="1:37" x14ac:dyDescent="0.2">
      <c r="A1728" t="str">
        <f>"20200111153641806"</f>
        <v>20200111153641806</v>
      </c>
      <c r="B1728" t="str">
        <f>"1578728201794261"</f>
        <v>1578728201794261</v>
      </c>
      <c r="C1728" t="s">
        <v>37</v>
      </c>
      <c r="D1728">
        <v>5.6804389999999998</v>
      </c>
      <c r="E1728">
        <v>0.45223580000000002</v>
      </c>
      <c r="F1728" t="s">
        <v>45</v>
      </c>
      <c r="G1728">
        <v>-275.760999999999</v>
      </c>
      <c r="H1728" s="1">
        <v>1.666421E-6</v>
      </c>
      <c r="I1728">
        <v>281.47059999999999</v>
      </c>
      <c r="J1728">
        <v>-264.08159999999998</v>
      </c>
      <c r="K1728">
        <v>1.102894</v>
      </c>
      <c r="L1728">
        <v>283.31479999999999</v>
      </c>
      <c r="M1728">
        <v>-0.99939690000000003</v>
      </c>
      <c r="N1728">
        <v>0</v>
      </c>
      <c r="O1728">
        <v>3.3064789999999997E-2</v>
      </c>
      <c r="P1728">
        <v>-0.99920140000000002</v>
      </c>
      <c r="Q1728">
        <v>2.485385E-2</v>
      </c>
      <c r="R1728">
        <v>-3.1290829999999999E-2</v>
      </c>
      <c r="S1728">
        <v>-2.9950559999999999</v>
      </c>
      <c r="T1728">
        <v>-0.27217479999999999</v>
      </c>
      <c r="U1728">
        <v>-0.45144649999999997</v>
      </c>
      <c r="V1728">
        <v>-6.4226720000000001E-2</v>
      </c>
      <c r="W1728">
        <v>3.56087E-2</v>
      </c>
      <c r="X1728">
        <v>0.99729979999999996</v>
      </c>
      <c r="Y1728">
        <v>-0.18079990000000001</v>
      </c>
      <c r="Z1728">
        <v>-1.1135859999999999E-2</v>
      </c>
      <c r="AA1728">
        <v>0.98345689999999997</v>
      </c>
      <c r="AB1728">
        <v>48</v>
      </c>
      <c r="AC1728">
        <v>-11.6793999999999</v>
      </c>
      <c r="AD1728">
        <v>-1.102892333579</v>
      </c>
      <c r="AE1728">
        <v>-1.8442000000000001</v>
      </c>
      <c r="AF1728">
        <v>-2.2101612754437698</v>
      </c>
      <c r="AG1728">
        <v>-1.102892333579</v>
      </c>
      <c r="AH1728">
        <v>11.5118758625058</v>
      </c>
      <c r="AI1728">
        <v>95.374932061282294</v>
      </c>
      <c r="AJ1728">
        <v>100.86795464858</v>
      </c>
      <c r="AK1728">
        <v>11.7738893419584</v>
      </c>
    </row>
    <row r="1729" spans="1:37" x14ac:dyDescent="0.2">
      <c r="A1729" t="str">
        <f>"20200111153641829"</f>
        <v>20200111153641829</v>
      </c>
      <c r="B1729" t="str">
        <f>"1578728201824518"</f>
        <v>1578728201824518</v>
      </c>
      <c r="C1729" t="s">
        <v>37</v>
      </c>
      <c r="D1729">
        <v>5.7246610000000002</v>
      </c>
      <c r="E1729">
        <v>0.45229320000000001</v>
      </c>
      <c r="F1729" t="s">
        <v>45</v>
      </c>
      <c r="G1729">
        <v>-275.88529999999997</v>
      </c>
      <c r="H1729" s="1">
        <v>1.730693E-6</v>
      </c>
      <c r="I1729">
        <v>281.51389999999998</v>
      </c>
      <c r="J1729">
        <v>-264.56849999999997</v>
      </c>
      <c r="K1729">
        <v>1.1031139999999999</v>
      </c>
      <c r="L1729">
        <v>283.33109999999999</v>
      </c>
      <c r="M1729">
        <v>-0.99938300000000002</v>
      </c>
      <c r="N1729">
        <v>0</v>
      </c>
      <c r="O1729">
        <v>3.331866E-2</v>
      </c>
      <c r="P1729">
        <v>-0.99920509999999996</v>
      </c>
      <c r="Q1729">
        <v>2.47400999999999E-2</v>
      </c>
      <c r="R1729">
        <v>-3.1257439999999997E-2</v>
      </c>
      <c r="S1729">
        <v>-2.9950559999999999</v>
      </c>
      <c r="T1729">
        <v>-0.27984569999999998</v>
      </c>
      <c r="U1729">
        <v>-0.4569397</v>
      </c>
      <c r="V1729">
        <v>-6.4458929999999998E-2</v>
      </c>
      <c r="W1729">
        <v>3.5958469999999999E-2</v>
      </c>
      <c r="X1729">
        <v>0.9972723</v>
      </c>
      <c r="Y1729">
        <v>-0.18275439999999901</v>
      </c>
      <c r="Z1729">
        <v>-1.156101E-2</v>
      </c>
      <c r="AA1729">
        <v>0.98309059999999904</v>
      </c>
      <c r="AB1729">
        <v>48</v>
      </c>
      <c r="AC1729">
        <v>-11.316800000000001</v>
      </c>
      <c r="AD1729">
        <v>-1.1031122693069999</v>
      </c>
      <c r="AE1729">
        <v>-1.8172000000000099</v>
      </c>
      <c r="AF1729">
        <v>-2.1731456989028999</v>
      </c>
      <c r="AG1729">
        <v>-1.1031122693069999</v>
      </c>
      <c r="AH1729">
        <v>11.1467171704669</v>
      </c>
      <c r="AI1729">
        <v>95.547975621448003</v>
      </c>
      <c r="AJ1729">
        <v>101.031910585484</v>
      </c>
      <c r="AK1729">
        <v>11.4100272824274</v>
      </c>
    </row>
    <row r="1730" spans="1:37" x14ac:dyDescent="0.2">
      <c r="A1730" t="str">
        <f>"20200111153641851"</f>
        <v>20200111153641851</v>
      </c>
      <c r="B1730" t="str">
        <f>"1578728201844037"</f>
        <v>1578728201844037</v>
      </c>
      <c r="C1730" t="s">
        <v>37</v>
      </c>
      <c r="D1730">
        <v>5.672339</v>
      </c>
      <c r="E1730">
        <v>0.45238649999999903</v>
      </c>
      <c r="F1730" t="s">
        <v>45</v>
      </c>
      <c r="G1730">
        <v>-276.23520000000002</v>
      </c>
      <c r="H1730" s="1">
        <v>1.9151679999999999E-6</v>
      </c>
      <c r="I1730">
        <v>281.553</v>
      </c>
      <c r="J1730">
        <v>-265.053</v>
      </c>
      <c r="K1730">
        <v>1.103308</v>
      </c>
      <c r="L1730">
        <v>283.34750000000003</v>
      </c>
      <c r="M1730">
        <v>-0.99937219999999904</v>
      </c>
      <c r="N1730">
        <v>0</v>
      </c>
      <c r="O1730">
        <v>3.3492510000000003E-2</v>
      </c>
      <c r="P1730">
        <v>-0.99920830000000005</v>
      </c>
      <c r="Q1730">
        <v>2.394659E-2</v>
      </c>
      <c r="R1730">
        <v>-3.1773719999999998E-2</v>
      </c>
      <c r="S1730">
        <v>-2.995117</v>
      </c>
      <c r="T1730">
        <v>-0.2831941</v>
      </c>
      <c r="U1730">
        <v>-0.4564819</v>
      </c>
      <c r="V1730">
        <v>-6.5162159999999997E-2</v>
      </c>
      <c r="W1730">
        <v>3.5588679999999998E-2</v>
      </c>
      <c r="X1730">
        <v>0.99723989999999996</v>
      </c>
      <c r="Y1730">
        <v>-0.1827529</v>
      </c>
      <c r="Z1730">
        <v>-1.171491E-2</v>
      </c>
      <c r="AA1730">
        <v>0.98308909999999905</v>
      </c>
      <c r="AB1730">
        <v>48</v>
      </c>
      <c r="AC1730">
        <v>-11.1822</v>
      </c>
      <c r="AD1730">
        <v>-1.103306084832</v>
      </c>
      <c r="AE1730">
        <v>-1.79450000000002</v>
      </c>
      <c r="AF1730">
        <v>-2.14765545096619</v>
      </c>
      <c r="AG1730">
        <v>-1.103306084832</v>
      </c>
      <c r="AH1730">
        <v>11.011315064172701</v>
      </c>
      <c r="AI1730">
        <v>95.616657554294093</v>
      </c>
      <c r="AJ1730">
        <v>101.03645977603701</v>
      </c>
      <c r="AK1730">
        <v>11.272921879236501</v>
      </c>
    </row>
    <row r="1731" spans="1:37" x14ac:dyDescent="0.2">
      <c r="A1731" t="str">
        <f>"20200111153641874"</f>
        <v>20200111153641874</v>
      </c>
      <c r="B1731" t="str">
        <f>"1578728201864533"</f>
        <v>1578728201864533</v>
      </c>
      <c r="C1731" t="s">
        <v>37</v>
      </c>
      <c r="D1731">
        <v>5.676571</v>
      </c>
      <c r="E1731">
        <v>0.45245749999999901</v>
      </c>
      <c r="F1731" t="s">
        <v>45</v>
      </c>
      <c r="G1731">
        <v>-276.52879999999999</v>
      </c>
      <c r="H1731" s="1">
        <v>2.0695299999999998E-6</v>
      </c>
      <c r="I1731">
        <v>281.59589999999997</v>
      </c>
      <c r="J1731">
        <v>-265.5419</v>
      </c>
      <c r="K1731">
        <v>1.103475</v>
      </c>
      <c r="L1731">
        <v>283.36399999999998</v>
      </c>
      <c r="M1731">
        <v>-0.99936409999999998</v>
      </c>
      <c r="N1731">
        <v>0</v>
      </c>
      <c r="O1731">
        <v>3.3590920000000003E-2</v>
      </c>
      <c r="P1731">
        <v>-0.99919369999999996</v>
      </c>
      <c r="Q1731">
        <v>2.3792520000000001E-2</v>
      </c>
      <c r="R1731">
        <v>-3.2343450000000003E-2</v>
      </c>
      <c r="S1731">
        <v>-2.9947810000000001</v>
      </c>
      <c r="T1731">
        <v>-0.28792489999999998</v>
      </c>
      <c r="U1731">
        <v>-0.45709229999999901</v>
      </c>
      <c r="V1731">
        <v>-6.5840629999999997E-2</v>
      </c>
      <c r="W1731">
        <v>3.582171E-2</v>
      </c>
      <c r="X1731">
        <v>0.99718700000000005</v>
      </c>
      <c r="Y1731">
        <v>-0.18302839999999901</v>
      </c>
      <c r="Z1731">
        <v>-1.193342E-2</v>
      </c>
      <c r="AA1731">
        <v>0.983035199999999</v>
      </c>
      <c r="AB1731">
        <v>48</v>
      </c>
      <c r="AC1731">
        <v>-10.986899999999901</v>
      </c>
      <c r="AD1731">
        <v>-1.1034729304699999</v>
      </c>
      <c r="AE1731">
        <v>-1.76810000000006</v>
      </c>
      <c r="AF1731">
        <v>-2.1153887386264798</v>
      </c>
      <c r="AG1731">
        <v>-1.1034729304699999</v>
      </c>
      <c r="AH1731">
        <v>10.814963135916599</v>
      </c>
      <c r="AI1731">
        <v>95.718224533951997</v>
      </c>
      <c r="AJ1731">
        <v>101.06723131128</v>
      </c>
      <c r="AK1731">
        <v>11.075014657101899</v>
      </c>
    </row>
    <row r="1732" spans="1:37" x14ac:dyDescent="0.2">
      <c r="A1732" t="str">
        <f>"20200111153641896"</f>
        <v>20200111153641896</v>
      </c>
      <c r="B1732" t="str">
        <f>"1578728201884561"</f>
        <v>1578728201884561</v>
      </c>
      <c r="C1732" t="s">
        <v>37</v>
      </c>
      <c r="D1732">
        <v>5.6768999999999998</v>
      </c>
      <c r="E1732">
        <v>0.4524667</v>
      </c>
      <c r="F1732" t="s">
        <v>45</v>
      </c>
      <c r="G1732">
        <v>-276.9273</v>
      </c>
      <c r="H1732" s="1">
        <v>2.2804950000000001E-6</v>
      </c>
      <c r="I1732">
        <v>281.6216</v>
      </c>
      <c r="J1732">
        <v>-266.00569999999999</v>
      </c>
      <c r="K1732">
        <v>1.103618</v>
      </c>
      <c r="L1732">
        <v>283.37970000000001</v>
      </c>
      <c r="M1732">
        <v>-0.99935909999999994</v>
      </c>
      <c r="N1732">
        <v>0</v>
      </c>
      <c r="O1732">
        <v>3.3614159999999997E-2</v>
      </c>
      <c r="P1732">
        <v>-0.999185399999999</v>
      </c>
      <c r="Q1732">
        <v>2.408836E-2</v>
      </c>
      <c r="R1732">
        <v>-3.238009E-2</v>
      </c>
      <c r="S1732">
        <v>-2.994507</v>
      </c>
      <c r="T1732">
        <v>-0.29022690000000001</v>
      </c>
      <c r="U1732">
        <v>-0.45828249999999998</v>
      </c>
      <c r="V1732">
        <v>-6.5910479999999994E-2</v>
      </c>
      <c r="W1732">
        <v>3.6444999999999998E-2</v>
      </c>
      <c r="X1732">
        <v>0.99715980000000004</v>
      </c>
      <c r="Y1732">
        <v>-0.18342900000000001</v>
      </c>
      <c r="Z1732">
        <v>-1.205063E-2</v>
      </c>
      <c r="AA1732">
        <v>0.98295909999999997</v>
      </c>
      <c r="AB1732">
        <v>48</v>
      </c>
      <c r="AC1732">
        <v>-10.9216</v>
      </c>
      <c r="AD1732">
        <v>-1.103615719505</v>
      </c>
      <c r="AE1732">
        <v>-1.75810000000001</v>
      </c>
      <c r="AF1732">
        <v>-2.1033202512021898</v>
      </c>
      <c r="AG1732">
        <v>-1.103615719505</v>
      </c>
      <c r="AH1732">
        <v>10.7493377139613</v>
      </c>
      <c r="AI1732">
        <v>95.753563737782201</v>
      </c>
      <c r="AJ1732">
        <v>101.071172626457</v>
      </c>
      <c r="AK1732">
        <v>11.008641379582</v>
      </c>
    </row>
    <row r="1733" spans="1:37" x14ac:dyDescent="0.2">
      <c r="A1733" t="str">
        <f>"20200111153641909"</f>
        <v>20200111153641909</v>
      </c>
      <c r="B1733" t="str">
        <f>"1578728201904081"</f>
        <v>1578728201904081</v>
      </c>
      <c r="C1733" t="s">
        <v>37</v>
      </c>
      <c r="D1733">
        <v>5.7316149999999997</v>
      </c>
      <c r="E1733">
        <v>0.45248100000000002</v>
      </c>
      <c r="F1733" t="s">
        <v>45</v>
      </c>
      <c r="G1733">
        <v>-277.3963</v>
      </c>
      <c r="H1733" s="1">
        <v>2.5294709999999999E-6</v>
      </c>
      <c r="I1733">
        <v>281.63499999999999</v>
      </c>
      <c r="J1733">
        <v>-266.30930000000001</v>
      </c>
      <c r="K1733">
        <v>1.103699</v>
      </c>
      <c r="L1733">
        <v>283.38990000000001</v>
      </c>
      <c r="M1733">
        <v>-0.99935719999999995</v>
      </c>
      <c r="N1733">
        <v>0</v>
      </c>
      <c r="O1733">
        <v>3.3592839999999999E-2</v>
      </c>
      <c r="P1733">
        <v>-0.99918399999999996</v>
      </c>
      <c r="Q1733">
        <v>2.4280159999999999E-2</v>
      </c>
      <c r="R1733">
        <v>-3.2284599999999997E-2</v>
      </c>
      <c r="S1733">
        <v>-2.9945979999999999</v>
      </c>
      <c r="T1733">
        <v>-0.29014079999999998</v>
      </c>
      <c r="U1733">
        <v>-0.45867920000000001</v>
      </c>
      <c r="V1733">
        <v>-6.5799709999999997E-2</v>
      </c>
      <c r="W1733">
        <v>3.6829069999999998E-2</v>
      </c>
      <c r="X1733">
        <v>0.99715299999999996</v>
      </c>
      <c r="Y1733">
        <v>-0.18353120000000001</v>
      </c>
      <c r="Z1733">
        <v>-1.204946E-2</v>
      </c>
      <c r="AA1733">
        <v>0.98293999999999904</v>
      </c>
      <c r="AB1733">
        <v>48</v>
      </c>
      <c r="AC1733">
        <v>-11.0869999999999</v>
      </c>
      <c r="AD1733">
        <v>-1.103696470529</v>
      </c>
      <c r="AE1733">
        <v>-1.7549000000000201</v>
      </c>
      <c r="AF1733">
        <v>-2.1060219345573699</v>
      </c>
      <c r="AG1733">
        <v>-1.103696470529</v>
      </c>
      <c r="AH1733">
        <v>10.916249491542599</v>
      </c>
      <c r="AI1733">
        <v>95.6694726543993</v>
      </c>
      <c r="AJ1733">
        <v>100.919653669344</v>
      </c>
      <c r="AK1733">
        <v>11.172196617026501</v>
      </c>
    </row>
    <row r="1734" spans="1:37" x14ac:dyDescent="0.2">
      <c r="A1734" t="str">
        <f>"20200111153641929"</f>
        <v>20200111153641929</v>
      </c>
      <c r="B1734" t="str">
        <f>"1578728201924577"</f>
        <v>1578728201924577</v>
      </c>
      <c r="C1734" t="s">
        <v>37</v>
      </c>
      <c r="D1734">
        <v>5.7095010000000004</v>
      </c>
      <c r="E1734">
        <v>0.45225399999999999</v>
      </c>
      <c r="F1734" t="s">
        <v>45</v>
      </c>
      <c r="G1734">
        <v>-277.70299999999997</v>
      </c>
      <c r="H1734" s="1">
        <v>2.6922499999999999E-6</v>
      </c>
      <c r="I1734">
        <v>281.64550000000003</v>
      </c>
      <c r="J1734">
        <v>-266.71080000000001</v>
      </c>
      <c r="K1734">
        <v>1.1038129999999999</v>
      </c>
      <c r="L1734">
        <v>283.40339999999998</v>
      </c>
      <c r="M1734">
        <v>-0.99935599999999902</v>
      </c>
      <c r="N1734">
        <v>0</v>
      </c>
      <c r="O1734">
        <v>3.3533630000000002E-2</v>
      </c>
      <c r="P1734">
        <v>-0.99919159999999996</v>
      </c>
      <c r="Q1734">
        <v>2.335622E-2</v>
      </c>
      <c r="R1734">
        <v>-3.2719520000000002E-2</v>
      </c>
      <c r="S1734">
        <v>-2.9946899999999999</v>
      </c>
      <c r="T1734">
        <v>-0.2900914</v>
      </c>
      <c r="U1734">
        <v>-0.45849609999999902</v>
      </c>
      <c r="V1734">
        <v>-6.6184590000000001E-2</v>
      </c>
      <c r="W1734">
        <v>3.6140970000000001E-2</v>
      </c>
      <c r="X1734">
        <v>0.9971527</v>
      </c>
      <c r="Y1734">
        <v>-0.18341099999999999</v>
      </c>
      <c r="Z1734">
        <v>-1.203565E-2</v>
      </c>
      <c r="AA1734">
        <v>0.98296260000000002</v>
      </c>
      <c r="AB1734">
        <v>48</v>
      </c>
      <c r="AC1734">
        <v>-10.992199999999899</v>
      </c>
      <c r="AD1734">
        <v>-1.1038103077500001</v>
      </c>
      <c r="AE1734">
        <v>-1.7578999999999401</v>
      </c>
      <c r="AF1734">
        <v>-2.1048541898619</v>
      </c>
      <c r="AG1734">
        <v>-1.1038103077500001</v>
      </c>
      <c r="AH1734">
        <v>10.820671927894001</v>
      </c>
      <c r="AI1734">
        <v>95.718112666871804</v>
      </c>
      <c r="AJ1734">
        <v>101.00779927054199</v>
      </c>
      <c r="AK1734">
        <v>11.078616760552199</v>
      </c>
    </row>
    <row r="1735" spans="1:37" x14ac:dyDescent="0.2">
      <c r="A1735" t="str">
        <f>"20200111153641951"</f>
        <v>20200111153641951</v>
      </c>
      <c r="B1735" t="str">
        <f>"1578728201944096"</f>
        <v>1578728201944096</v>
      </c>
      <c r="C1735" t="s">
        <v>37</v>
      </c>
      <c r="D1735">
        <v>5.7427109999999999</v>
      </c>
      <c r="E1735">
        <v>0.45191589999999998</v>
      </c>
      <c r="F1735" t="s">
        <v>45</v>
      </c>
      <c r="G1735">
        <v>-277.97250000000003</v>
      </c>
      <c r="H1735" s="1">
        <v>2.83463799999999E-6</v>
      </c>
      <c r="I1735">
        <v>281.66789999999997</v>
      </c>
      <c r="J1735">
        <v>-267.20389999999998</v>
      </c>
      <c r="K1735">
        <v>1.103925</v>
      </c>
      <c r="L1735">
        <v>283.42</v>
      </c>
      <c r="M1735">
        <v>-0.99935629999999998</v>
      </c>
      <c r="N1735">
        <v>0</v>
      </c>
      <c r="O1735">
        <v>3.341732E-2</v>
      </c>
      <c r="P1735">
        <v>-0.99916430000000001</v>
      </c>
      <c r="Q1735">
        <v>2.3480750000000002E-2</v>
      </c>
      <c r="R1735">
        <v>-3.3450880000000002E-2</v>
      </c>
      <c r="S1735">
        <v>-2.9941409999999999</v>
      </c>
      <c r="T1735">
        <v>-0.2934715</v>
      </c>
      <c r="U1735">
        <v>-0.4614258</v>
      </c>
      <c r="V1735">
        <v>-6.6807980000000003E-2</v>
      </c>
      <c r="W1735">
        <v>3.6520770000000001E-2</v>
      </c>
      <c r="X1735">
        <v>0.99709729999999996</v>
      </c>
      <c r="Y1735">
        <v>-0.1842366</v>
      </c>
      <c r="Z1735">
        <v>-1.220538E-2</v>
      </c>
      <c r="AA1735">
        <v>0.98280610000000002</v>
      </c>
      <c r="AB1735">
        <v>48</v>
      </c>
      <c r="AC1735">
        <v>-10.768599999999999</v>
      </c>
      <c r="AD1735">
        <v>-1.1039221653619999</v>
      </c>
      <c r="AE1735">
        <v>-1.75210000000004</v>
      </c>
      <c r="AF1735">
        <v>-2.0896163637005101</v>
      </c>
      <c r="AG1735">
        <v>-1.1039221653619999</v>
      </c>
      <c r="AH1735">
        <v>10.595552847299199</v>
      </c>
      <c r="AI1735">
        <v>95.836412761315202</v>
      </c>
      <c r="AJ1735">
        <v>101.156494136126</v>
      </c>
      <c r="AK1735">
        <v>10.855914555417799</v>
      </c>
    </row>
    <row r="1736" spans="1:37" x14ac:dyDescent="0.2">
      <c r="A1736" t="str">
        <f>"20200111153641974"</f>
        <v>20200111153641974</v>
      </c>
      <c r="B1736" t="str">
        <f>"1578728201964593"</f>
        <v>1578728201964593</v>
      </c>
      <c r="C1736" t="s">
        <v>37</v>
      </c>
      <c r="D1736">
        <v>5.7553729999999996</v>
      </c>
      <c r="E1736">
        <v>0.45169979999999998</v>
      </c>
      <c r="F1736" t="s">
        <v>45</v>
      </c>
      <c r="G1736">
        <v>-278.4665</v>
      </c>
      <c r="H1736" s="1">
        <v>3.0976269999999999E-6</v>
      </c>
      <c r="I1736">
        <v>281.66590000000002</v>
      </c>
      <c r="J1736">
        <v>-267.67790000000002</v>
      </c>
      <c r="K1736">
        <v>1.104025</v>
      </c>
      <c r="L1736">
        <v>283.43579999999997</v>
      </c>
      <c r="M1736">
        <v>-0.99935830000000003</v>
      </c>
      <c r="N1736">
        <v>0</v>
      </c>
      <c r="O1736">
        <v>3.3271519999999999E-2</v>
      </c>
      <c r="P1736">
        <v>-0.99911719999999904</v>
      </c>
      <c r="Q1736">
        <v>2.453675E-2</v>
      </c>
      <c r="R1736">
        <v>-3.4105099999999999E-2</v>
      </c>
      <c r="S1736">
        <v>-2.9938349999999998</v>
      </c>
      <c r="T1736">
        <v>-0.29344609999999999</v>
      </c>
      <c r="U1736">
        <v>-0.46627809999999997</v>
      </c>
      <c r="V1736">
        <v>-6.7322069999999998E-2</v>
      </c>
      <c r="W1736">
        <v>3.7792569999999998E-2</v>
      </c>
      <c r="X1736">
        <v>0.99701530000000005</v>
      </c>
      <c r="Y1736">
        <v>-0.18565799999999999</v>
      </c>
      <c r="Z1736">
        <v>-1.2258969999999999E-2</v>
      </c>
      <c r="AA1736">
        <v>0.98253789999999996</v>
      </c>
      <c r="AB1736">
        <v>48</v>
      </c>
      <c r="AC1736">
        <v>-10.788599999999899</v>
      </c>
      <c r="AD1736">
        <v>-1.104021902373</v>
      </c>
      <c r="AE1736">
        <v>-1.7698999999999401</v>
      </c>
      <c r="AF1736">
        <v>-2.1064244838401498</v>
      </c>
      <c r="AG1736">
        <v>-1.104021902373</v>
      </c>
      <c r="AH1736">
        <v>10.615482581956099</v>
      </c>
      <c r="AI1736">
        <v>95.824717418844401</v>
      </c>
      <c r="AJ1736">
        <v>101.22338209807501</v>
      </c>
      <c r="AK1736">
        <v>10.8786193478242</v>
      </c>
    </row>
    <row r="1737" spans="1:37" x14ac:dyDescent="0.2">
      <c r="A1737" t="str">
        <f>"20200111153641995"</f>
        <v>20200111153641995</v>
      </c>
      <c r="B1737" t="str">
        <f>"1578728201984629"</f>
        <v>1578728201984629</v>
      </c>
      <c r="C1737" t="s">
        <v>37</v>
      </c>
      <c r="D1737">
        <v>5.7479849999999999</v>
      </c>
      <c r="E1737">
        <v>0.451430099999999</v>
      </c>
      <c r="F1737" t="s">
        <v>45</v>
      </c>
      <c r="G1737">
        <v>-279.05200000000002</v>
      </c>
      <c r="H1737" s="1">
        <v>3.4099569999999998E-6</v>
      </c>
      <c r="I1737">
        <v>281.649</v>
      </c>
      <c r="J1737">
        <v>-268.1259</v>
      </c>
      <c r="K1737">
        <v>1.1041019999999999</v>
      </c>
      <c r="L1737">
        <v>283.45069999999998</v>
      </c>
      <c r="M1737">
        <v>-0.99936100000000005</v>
      </c>
      <c r="N1737">
        <v>0</v>
      </c>
      <c r="O1737">
        <v>3.3111519999999998E-2</v>
      </c>
      <c r="P1737">
        <v>-0.99907789999999996</v>
      </c>
      <c r="Q1737">
        <v>2.58754E-2</v>
      </c>
      <c r="R1737">
        <v>-3.4265650000000002E-2</v>
      </c>
      <c r="S1737">
        <v>-2.993744</v>
      </c>
      <c r="T1737">
        <v>-0.29058469999999997</v>
      </c>
      <c r="U1737">
        <v>-0.47030640000000001</v>
      </c>
      <c r="V1737">
        <v>-6.7327629999999999E-2</v>
      </c>
      <c r="W1737">
        <v>3.9309690000000001E-2</v>
      </c>
      <c r="X1737">
        <v>0.99695619999999996</v>
      </c>
      <c r="Y1737">
        <v>-0.18681120000000001</v>
      </c>
      <c r="Z1737">
        <v>-1.2179219999999999E-2</v>
      </c>
      <c r="AA1737">
        <v>0.98232030000000004</v>
      </c>
      <c r="AB1737">
        <v>48</v>
      </c>
      <c r="AC1737">
        <v>-10.9261</v>
      </c>
      <c r="AD1737">
        <v>-1.104098590043</v>
      </c>
      <c r="AE1737">
        <v>-1.8016999999999801</v>
      </c>
      <c r="AF1737">
        <v>-2.1412382092073501</v>
      </c>
      <c r="AG1737">
        <v>-1.104098590043</v>
      </c>
      <c r="AH1737">
        <v>10.7535433803943</v>
      </c>
      <c r="AI1737">
        <v>95.750083681831299</v>
      </c>
      <c r="AJ1737">
        <v>101.261405574265</v>
      </c>
      <c r="AK1737">
        <v>11.020101179169201</v>
      </c>
    </row>
    <row r="1738" spans="1:37" x14ac:dyDescent="0.2">
      <c r="A1738" t="str">
        <f>"20200111153642009"</f>
        <v>20200111153642009</v>
      </c>
      <c r="B1738" t="str">
        <f>"1578728202004140"</f>
        <v>1578728202004140</v>
      </c>
      <c r="C1738" t="s">
        <v>37</v>
      </c>
      <c r="D1738">
        <v>5.7717599999999996</v>
      </c>
      <c r="E1738">
        <v>0.45106809999999897</v>
      </c>
      <c r="F1738" t="s">
        <v>45</v>
      </c>
      <c r="G1738">
        <v>-279.65910000000002</v>
      </c>
      <c r="H1738" s="1">
        <v>3.73398E-6</v>
      </c>
      <c r="I1738">
        <v>281.62650000000002</v>
      </c>
      <c r="J1738">
        <v>-268.40870000000001</v>
      </c>
      <c r="K1738">
        <v>1.1041430000000001</v>
      </c>
      <c r="L1738">
        <v>283.45999999999998</v>
      </c>
      <c r="M1738">
        <v>-0.99936329999999995</v>
      </c>
      <c r="N1738">
        <v>0</v>
      </c>
      <c r="O1738">
        <v>3.30014E-2</v>
      </c>
      <c r="P1738">
        <v>-0.99907000000000001</v>
      </c>
      <c r="Q1738">
        <v>2.6096350000000001E-2</v>
      </c>
      <c r="R1738">
        <v>-3.4327610000000001E-2</v>
      </c>
      <c r="S1738">
        <v>-2.9939580000000001</v>
      </c>
      <c r="T1738">
        <v>-0.28661900000000001</v>
      </c>
      <c r="U1738">
        <v>-0.473541299999999</v>
      </c>
      <c r="V1738">
        <v>-6.7283040000000002E-2</v>
      </c>
      <c r="W1738">
        <v>3.9632260000000002E-2</v>
      </c>
      <c r="X1738">
        <v>0.99694649999999996</v>
      </c>
      <c r="Y1738">
        <v>-0.187751799999999</v>
      </c>
      <c r="Z1738">
        <v>-1.204611E-2</v>
      </c>
      <c r="AA1738">
        <v>0.98214259999999998</v>
      </c>
      <c r="AB1738">
        <v>48</v>
      </c>
      <c r="AC1738">
        <v>-11.250400000000001</v>
      </c>
      <c r="AD1738">
        <v>-1.10413926602</v>
      </c>
      <c r="AE1738">
        <v>-1.8334999999999499</v>
      </c>
      <c r="AF1738">
        <v>-2.1833287108645898</v>
      </c>
      <c r="AG1738">
        <v>-1.10413926602</v>
      </c>
      <c r="AH1738">
        <v>11.079798859841301</v>
      </c>
      <c r="AI1738">
        <v>95.584239594796003</v>
      </c>
      <c r="AJ1738">
        <v>101.147589503012</v>
      </c>
      <c r="AK1738">
        <v>11.346717170750001</v>
      </c>
    </row>
    <row r="1739" spans="1:37" x14ac:dyDescent="0.2">
      <c r="A1739" t="str">
        <f>"20200111153642029"</f>
        <v>20200111153642029</v>
      </c>
      <c r="B1739" t="str">
        <f>"1578728202024637"</f>
        <v>1578728202024637</v>
      </c>
      <c r="C1739" t="s">
        <v>37</v>
      </c>
      <c r="D1739">
        <v>5.765676</v>
      </c>
      <c r="E1739">
        <v>0.45092749999999998</v>
      </c>
      <c r="F1739" t="s">
        <v>48</v>
      </c>
      <c r="G1739">
        <v>-279.97559999999999</v>
      </c>
      <c r="H1739" s="1">
        <v>9.0326579999999992E-6</v>
      </c>
      <c r="I1739">
        <v>281.61799999999999</v>
      </c>
      <c r="J1739">
        <v>-268.84370000000001</v>
      </c>
      <c r="K1739">
        <v>1.104203</v>
      </c>
      <c r="L1739">
        <v>283.47430000000003</v>
      </c>
      <c r="M1739">
        <v>-0.99936689999999995</v>
      </c>
      <c r="N1739">
        <v>0</v>
      </c>
      <c r="O1739">
        <v>3.2823449999999997E-2</v>
      </c>
      <c r="P1739">
        <v>-0.99904669999999896</v>
      </c>
      <c r="Q1739">
        <v>2.6919789999999999E-2</v>
      </c>
      <c r="R1739">
        <v>-3.4366910000000001E-2</v>
      </c>
      <c r="S1739">
        <v>-2.9938660000000001</v>
      </c>
      <c r="T1739">
        <v>-0.28578530000000002</v>
      </c>
      <c r="U1739">
        <v>-0.47677609999999898</v>
      </c>
      <c r="V1739">
        <v>-6.7148749999999993E-2</v>
      </c>
      <c r="W1739">
        <v>4.0597069999999999E-2</v>
      </c>
      <c r="X1739">
        <v>0.99691669999999999</v>
      </c>
      <c r="Y1739">
        <v>-0.1886195</v>
      </c>
      <c r="Z1739">
        <v>-1.203481E-2</v>
      </c>
      <c r="AA1739">
        <v>0.98197649999999903</v>
      </c>
      <c r="AB1739">
        <v>48</v>
      </c>
      <c r="AC1739">
        <v>-11.1318999999999</v>
      </c>
      <c r="AD1739">
        <v>-1.104193967342</v>
      </c>
      <c r="AE1739">
        <v>-1.85630000000003</v>
      </c>
      <c r="AF1739">
        <v>-2.1996643446409299</v>
      </c>
      <c r="AG1739">
        <v>-1.104193967342</v>
      </c>
      <c r="AH1739">
        <v>10.9600460157555</v>
      </c>
      <c r="AI1739">
        <v>95.641232444975103</v>
      </c>
      <c r="AJ1739">
        <v>101.34840686396799</v>
      </c>
      <c r="AK1739">
        <v>11.2330038820468</v>
      </c>
    </row>
    <row r="1740" spans="1:37" x14ac:dyDescent="0.2">
      <c r="A1740" t="str">
        <f>"20200111153642043"</f>
        <v>20200111153642043</v>
      </c>
      <c r="B1740" t="str">
        <f>"1578728202034396"</f>
        <v>1578728202034396</v>
      </c>
      <c r="C1740" t="s">
        <v>37</v>
      </c>
      <c r="D1740">
        <v>5.7188040000000004</v>
      </c>
      <c r="E1740">
        <v>0.45081859999999901</v>
      </c>
      <c r="F1740" t="s">
        <v>48</v>
      </c>
      <c r="G1740">
        <v>-280.50599999999997</v>
      </c>
      <c r="H1740" s="1">
        <v>8.7988359999999997E-6</v>
      </c>
      <c r="I1740">
        <v>281.61110000000002</v>
      </c>
      <c r="J1740">
        <v>-269.13150000000002</v>
      </c>
      <c r="K1740">
        <v>1.1042350000000001</v>
      </c>
      <c r="L1740">
        <v>283.4837</v>
      </c>
      <c r="M1740">
        <v>-0.99936970000000003</v>
      </c>
      <c r="N1740">
        <v>0</v>
      </c>
      <c r="O1740">
        <v>3.2701170000000002E-2</v>
      </c>
      <c r="P1740">
        <v>-0.99903960000000003</v>
      </c>
      <c r="Q1740">
        <v>2.716317E-2</v>
      </c>
      <c r="R1740">
        <v>-3.4383589999999999E-2</v>
      </c>
      <c r="S1740">
        <v>-2.9940799999999999</v>
      </c>
      <c r="T1740">
        <v>-0.28348220000000002</v>
      </c>
      <c r="U1740">
        <v>-0.47833249999999999</v>
      </c>
      <c r="V1740">
        <v>-6.7046129999999995E-2</v>
      </c>
      <c r="W1740">
        <v>4.0925820000000002E-2</v>
      </c>
      <c r="X1740">
        <v>0.99691019999999897</v>
      </c>
      <c r="Y1740">
        <v>-0.18900110000000001</v>
      </c>
      <c r="Z1740">
        <v>-1.194336E-2</v>
      </c>
      <c r="AA1740">
        <v>0.98190419999999901</v>
      </c>
      <c r="AB1740">
        <v>48</v>
      </c>
      <c r="AC1740">
        <v>-11.3744999999999</v>
      </c>
      <c r="AD1740">
        <v>-1.1042262011640001</v>
      </c>
      <c r="AE1740">
        <v>-1.8725999999999701</v>
      </c>
      <c r="AF1740">
        <v>-2.2231939786156998</v>
      </c>
      <c r="AG1740">
        <v>-1.1042262011640001</v>
      </c>
      <c r="AH1740">
        <v>11.204365963068399</v>
      </c>
      <c r="AI1740">
        <v>95.521545727975905</v>
      </c>
      <c r="AJ1740">
        <v>101.222977099679</v>
      </c>
      <c r="AK1740">
        <v>11.4760500000765</v>
      </c>
    </row>
    <row r="1741" spans="1:37" x14ac:dyDescent="0.2">
      <c r="A1741" t="str">
        <f>"20200111153642064"</f>
        <v>20200111153642064</v>
      </c>
      <c r="B1741" t="str">
        <f>"1578728202054894"</f>
        <v>1578728202054894</v>
      </c>
      <c r="C1741" t="s">
        <v>37</v>
      </c>
      <c r="D1741">
        <v>5.7617500000000001</v>
      </c>
      <c r="E1741">
        <v>0.45044499999999998</v>
      </c>
      <c r="F1741" t="s">
        <v>48</v>
      </c>
      <c r="G1741">
        <v>-280.81689999999998</v>
      </c>
      <c r="H1741" s="1">
        <v>8.6606449999999995E-6</v>
      </c>
      <c r="I1741">
        <v>281.61270000000002</v>
      </c>
      <c r="J1741">
        <v>-269.58760000000001</v>
      </c>
      <c r="K1741">
        <v>1.1042749999999999</v>
      </c>
      <c r="L1741">
        <v>283.49849999999998</v>
      </c>
      <c r="M1741">
        <v>-0.99937450000000005</v>
      </c>
      <c r="N1741">
        <v>0</v>
      </c>
      <c r="O1741">
        <v>3.2500979999999999E-2</v>
      </c>
      <c r="P1741">
        <v>-0.99904009999999999</v>
      </c>
      <c r="Q1741">
        <v>2.7603760000000001E-2</v>
      </c>
      <c r="R1741">
        <v>-3.4017270000000002E-2</v>
      </c>
      <c r="S1741">
        <v>-2.99411</v>
      </c>
      <c r="T1741">
        <v>-0.28293309999999999</v>
      </c>
      <c r="U1741">
        <v>-0.47940059999999901</v>
      </c>
      <c r="V1741">
        <v>-6.6483650000000005E-2</v>
      </c>
      <c r="W1741">
        <v>4.1486580000000002E-2</v>
      </c>
      <c r="X1741">
        <v>0.99692459999999905</v>
      </c>
      <c r="Y1741">
        <v>-0.1891486</v>
      </c>
      <c r="Z1741">
        <v>-1.190802E-2</v>
      </c>
      <c r="AA1741">
        <v>0.98187630000000004</v>
      </c>
      <c r="AB1741">
        <v>48</v>
      </c>
      <c r="AC1741">
        <v>-11.229299999999901</v>
      </c>
      <c r="AD1741">
        <v>-1.1042663393549901</v>
      </c>
      <c r="AE1741">
        <v>-1.88579999999996</v>
      </c>
      <c r="AF1741">
        <v>-2.2288397859030802</v>
      </c>
      <c r="AG1741">
        <v>-1.1042663393549901</v>
      </c>
      <c r="AH1741">
        <v>11.058067845649299</v>
      </c>
      <c r="AI1741">
        <v>95.5909864841488</v>
      </c>
      <c r="AJ1741">
        <v>101.395728968101</v>
      </c>
      <c r="AK1741">
        <v>11.3343722992691</v>
      </c>
    </row>
    <row r="1742" spans="1:37" x14ac:dyDescent="0.2">
      <c r="A1742" t="str">
        <f>"20200111153642077"</f>
        <v>20200111153642077</v>
      </c>
      <c r="B1742" t="str">
        <f>"1578728202074412"</f>
        <v>1578728202074412</v>
      </c>
      <c r="C1742" t="s">
        <v>37</v>
      </c>
      <c r="D1742">
        <v>5.7768249999999997</v>
      </c>
      <c r="E1742">
        <v>0.4500362</v>
      </c>
      <c r="F1742" t="s">
        <v>48</v>
      </c>
      <c r="G1742">
        <v>-281.3091</v>
      </c>
      <c r="H1742" s="1">
        <v>8.4421130000000006E-6</v>
      </c>
      <c r="I1742">
        <v>281.61410000000001</v>
      </c>
      <c r="J1742">
        <v>-269.86880000000002</v>
      </c>
      <c r="K1742">
        <v>1.1042940000000001</v>
      </c>
      <c r="L1742">
        <v>283.50760000000002</v>
      </c>
      <c r="M1742">
        <v>-0.99937770000000004</v>
      </c>
      <c r="N1742">
        <v>0</v>
      </c>
      <c r="O1742">
        <v>3.2375149999999998E-2</v>
      </c>
      <c r="P1742">
        <v>-0.99903639999999905</v>
      </c>
      <c r="Q1742">
        <v>2.7823489999999999E-2</v>
      </c>
      <c r="R1742">
        <v>-3.3950500000000002E-2</v>
      </c>
      <c r="S1742">
        <v>-2.9943240000000002</v>
      </c>
      <c r="T1742">
        <v>-0.28209220000000002</v>
      </c>
      <c r="U1742">
        <v>-0.48138429999999999</v>
      </c>
      <c r="V1742">
        <v>-6.6293179999999993E-2</v>
      </c>
      <c r="W1742">
        <v>4.1773390000000001E-2</v>
      </c>
      <c r="X1742">
        <v>0.99692539999999996</v>
      </c>
      <c r="Y1742">
        <v>-0.1896525</v>
      </c>
      <c r="Z1742">
        <v>-1.1883110000000001E-2</v>
      </c>
      <c r="AA1742">
        <v>0.98177939999999997</v>
      </c>
      <c r="AB1742">
        <v>48</v>
      </c>
      <c r="AC1742">
        <v>-11.440299999999899</v>
      </c>
      <c r="AD1742">
        <v>-1.1042855578869999</v>
      </c>
      <c r="AE1742">
        <v>-1.89350000000001</v>
      </c>
      <c r="AF1742">
        <v>-2.2425873241837899</v>
      </c>
      <c r="AG1742">
        <v>-1.1042855578869999</v>
      </c>
      <c r="AH1742">
        <v>11.270780603610399</v>
      </c>
      <c r="AI1742">
        <v>95.4889267481324</v>
      </c>
      <c r="AJ1742">
        <v>101.253372516545</v>
      </c>
      <c r="AK1742">
        <v>11.5446585014313</v>
      </c>
    </row>
    <row r="1743" spans="1:37" x14ac:dyDescent="0.2">
      <c r="A1743" t="str">
        <f>"20200111153642096"</f>
        <v>20200111153642096</v>
      </c>
      <c r="B1743" t="str">
        <f>"1578728202084683"</f>
        <v>1578728202084683</v>
      </c>
      <c r="C1743" t="s">
        <v>37</v>
      </c>
      <c r="D1743">
        <v>5.8463580000000004</v>
      </c>
      <c r="E1743">
        <v>0.4500362</v>
      </c>
      <c r="F1743" t="s">
        <v>48</v>
      </c>
      <c r="G1743">
        <v>-281.59300000000002</v>
      </c>
      <c r="H1743" s="1">
        <v>8.3170780000000002E-6</v>
      </c>
      <c r="I1743">
        <v>281.60980000000001</v>
      </c>
      <c r="J1743">
        <v>-270.27140000000003</v>
      </c>
      <c r="K1743">
        <v>1.1043209999999899</v>
      </c>
      <c r="L1743">
        <v>283.52050000000003</v>
      </c>
      <c r="M1743">
        <v>-0.9993822</v>
      </c>
      <c r="N1743">
        <v>0</v>
      </c>
      <c r="O1743">
        <v>3.2193960000000001E-2</v>
      </c>
      <c r="P1743">
        <v>-0.99904059999999995</v>
      </c>
      <c r="Q1743">
        <v>2.7705179999999999E-2</v>
      </c>
      <c r="R1743">
        <v>-3.3918829999999997E-2</v>
      </c>
      <c r="S1743">
        <v>-2.9942630000000001</v>
      </c>
      <c r="T1743">
        <v>-0.28202680000000002</v>
      </c>
      <c r="U1743">
        <v>-0.48468019999999901</v>
      </c>
      <c r="V1743">
        <v>-6.6083630000000004E-2</v>
      </c>
      <c r="W1743">
        <v>4.1740989999999999E-2</v>
      </c>
      <c r="X1743">
        <v>0.99694059999999995</v>
      </c>
      <c r="Y1743">
        <v>-0.19052849999999999</v>
      </c>
      <c r="Z1743">
        <v>-1.1903560000000001E-2</v>
      </c>
      <c r="AA1743">
        <v>0.98160949999999902</v>
      </c>
      <c r="AB1743">
        <v>48</v>
      </c>
      <c r="AC1743">
        <v>-11.321599999999901</v>
      </c>
      <c r="AD1743">
        <v>-1.10431268292199</v>
      </c>
      <c r="AE1743">
        <v>-1.91070000000002</v>
      </c>
      <c r="AF1743">
        <v>-2.2533874607119699</v>
      </c>
      <c r="AG1743">
        <v>-1.10431268292199</v>
      </c>
      <c r="AH1743">
        <v>11.151056631106</v>
      </c>
      <c r="AI1743">
        <v>95.544329930699703</v>
      </c>
      <c r="AJ1743">
        <v>101.42438889159401</v>
      </c>
      <c r="AK1743">
        <v>11.429931125771899</v>
      </c>
    </row>
    <row r="1744" spans="1:37" x14ac:dyDescent="0.2">
      <c r="A1744" t="str">
        <f>"20200111153642110"</f>
        <v>20200111153642110</v>
      </c>
      <c r="B1744" t="str">
        <f>"1578728202104201"</f>
        <v>1578728202104201</v>
      </c>
      <c r="C1744" t="s">
        <v>37</v>
      </c>
      <c r="D1744">
        <v>5.771407</v>
      </c>
      <c r="E1744">
        <v>0.44104939999999998</v>
      </c>
      <c r="F1744" t="s">
        <v>48</v>
      </c>
      <c r="G1744">
        <v>-281.99099999999999</v>
      </c>
      <c r="H1744" s="1">
        <v>8.1379379999999994E-6</v>
      </c>
      <c r="I1744">
        <v>281.62270000000001</v>
      </c>
      <c r="J1744">
        <v>-270.55189999999999</v>
      </c>
      <c r="K1744">
        <v>1.1043369999999999</v>
      </c>
      <c r="L1744">
        <v>283.52949999999998</v>
      </c>
      <c r="M1744">
        <v>-0.99938559999999999</v>
      </c>
      <c r="N1744">
        <v>0</v>
      </c>
      <c r="O1744">
        <v>3.206676E-2</v>
      </c>
      <c r="P1744">
        <v>-0.99905159999999904</v>
      </c>
      <c r="Q1744">
        <v>2.7465690000000001E-2</v>
      </c>
      <c r="R1744">
        <v>-3.379103E-2</v>
      </c>
      <c r="S1744">
        <v>-2.9942319999999998</v>
      </c>
      <c r="T1744">
        <v>-0.282141799999999</v>
      </c>
      <c r="U1744">
        <v>-0.48489379999999999</v>
      </c>
      <c r="V1744">
        <v>-6.5830760000000002E-2</v>
      </c>
      <c r="W1744">
        <v>4.15547E-2</v>
      </c>
      <c r="X1744">
        <v>0.9969652</v>
      </c>
      <c r="Y1744">
        <v>-0.19047339999999999</v>
      </c>
      <c r="Z1744">
        <v>-1.189398E-2</v>
      </c>
      <c r="AA1744">
        <v>0.9816203</v>
      </c>
      <c r="AB1744">
        <v>48</v>
      </c>
      <c r="AC1744">
        <v>-11.4390999999999</v>
      </c>
      <c r="AD1744">
        <v>-1.104328862062</v>
      </c>
      <c r="AE1744">
        <v>-1.9067999999999701</v>
      </c>
      <c r="AF1744">
        <v>-2.2522474515297599</v>
      </c>
      <c r="AG1744">
        <v>-1.104328862062</v>
      </c>
      <c r="AH1744">
        <v>11.269870084174499</v>
      </c>
      <c r="AI1744">
        <v>95.488667784100599</v>
      </c>
      <c r="AJ1744">
        <v>101.301492012674</v>
      </c>
      <c r="AK1744">
        <v>11.5456542704464</v>
      </c>
    </row>
    <row r="1745" spans="1:37" x14ac:dyDescent="0.2">
      <c r="A1745" t="str">
        <f>"20200111153642131"</f>
        <v>20200111153642131</v>
      </c>
      <c r="B1745" t="str">
        <f>"1578728202124696"</f>
        <v>1578728202124696</v>
      </c>
      <c r="C1745" t="s">
        <v>37</v>
      </c>
      <c r="D1745">
        <v>5.7645650000000002</v>
      </c>
      <c r="E1745">
        <v>0.44163839999999999</v>
      </c>
      <c r="F1745" t="s">
        <v>48</v>
      </c>
      <c r="G1745">
        <v>-281.79640000000001</v>
      </c>
      <c r="H1745" s="1">
        <v>8.2617329999999995E-6</v>
      </c>
      <c r="I1745">
        <v>281.44099999999997</v>
      </c>
      <c r="J1745">
        <v>-271.00689999999997</v>
      </c>
      <c r="K1745">
        <v>1.1043590000000001</v>
      </c>
      <c r="L1745">
        <v>283.54390000000001</v>
      </c>
      <c r="M1745">
        <v>-0.99939109999999998</v>
      </c>
      <c r="N1745">
        <v>0</v>
      </c>
      <c r="O1745">
        <v>3.1859819999999997E-2</v>
      </c>
      <c r="P1745">
        <v>-0.999054</v>
      </c>
      <c r="Q1745">
        <v>2.6969400000000001E-2</v>
      </c>
      <c r="R1745">
        <v>-3.4119679999999999E-2</v>
      </c>
      <c r="S1745">
        <v>-2.9921259999999998</v>
      </c>
      <c r="T1745">
        <v>-0.29385919999999999</v>
      </c>
      <c r="U1745">
        <v>-0.55572509999999997</v>
      </c>
      <c r="V1745">
        <v>-6.5954090000000007E-2</v>
      </c>
      <c r="W1745">
        <v>4.1136399999999997E-2</v>
      </c>
      <c r="X1745">
        <v>0.99697429999999998</v>
      </c>
      <c r="Y1745">
        <v>-0.2127018</v>
      </c>
      <c r="Z1745">
        <v>-1.3429409999999999E-2</v>
      </c>
      <c r="AA1745">
        <v>0.97702489999999997</v>
      </c>
      <c r="AB1745">
        <v>47</v>
      </c>
      <c r="AC1745">
        <v>-10.7895</v>
      </c>
      <c r="AD1745">
        <v>-1.1043507382669999</v>
      </c>
      <c r="AE1745">
        <v>-2.1029000000000302</v>
      </c>
      <c r="AF1745">
        <v>-2.4211816148396501</v>
      </c>
      <c r="AG1745">
        <v>-1.1043507382669999</v>
      </c>
      <c r="AH1745">
        <v>10.6099309283151</v>
      </c>
      <c r="AI1745">
        <v>95.7944150709057</v>
      </c>
      <c r="AJ1745">
        <v>102.854751544585</v>
      </c>
      <c r="AK1745">
        <v>10.9385714455209</v>
      </c>
    </row>
    <row r="1746" spans="1:37" x14ac:dyDescent="0.2">
      <c r="A1746" t="str">
        <f>"20200111153642153"</f>
        <v>20200111153642153</v>
      </c>
      <c r="B1746" t="str">
        <f>"1578728202144218"</f>
        <v>1578728202144218</v>
      </c>
      <c r="C1746" t="s">
        <v>37</v>
      </c>
      <c r="D1746">
        <v>5.7512429999999997</v>
      </c>
      <c r="E1746">
        <v>0.441438</v>
      </c>
      <c r="F1746" t="s">
        <v>48</v>
      </c>
      <c r="G1746">
        <v>-282.10359999999997</v>
      </c>
      <c r="H1746" s="1">
        <v>8.1140730000000003E-6</v>
      </c>
      <c r="I1746">
        <v>281.49650000000003</v>
      </c>
      <c r="J1746">
        <v>-271.47239999999999</v>
      </c>
      <c r="K1746">
        <v>1.1043810000000001</v>
      </c>
      <c r="L1746">
        <v>283.55860000000001</v>
      </c>
      <c r="M1746">
        <v>-0.99939679999999997</v>
      </c>
      <c r="N1746">
        <v>0</v>
      </c>
      <c r="O1746">
        <v>3.164728E-2</v>
      </c>
      <c r="P1746">
        <v>-0.99903519999999901</v>
      </c>
      <c r="Q1746">
        <v>2.7060259999999999E-2</v>
      </c>
      <c r="R1746">
        <v>-3.4593520000000003E-2</v>
      </c>
      <c r="S1746">
        <v>-2.992035</v>
      </c>
      <c r="T1746">
        <v>-0.29777009999999998</v>
      </c>
      <c r="U1746">
        <v>-0.55206299999999997</v>
      </c>
      <c r="V1746">
        <v>-6.6217020000000001E-2</v>
      </c>
      <c r="W1746">
        <v>4.1296010000000001E-2</v>
      </c>
      <c r="X1746">
        <v>0.99695029999999996</v>
      </c>
      <c r="Y1746">
        <v>-0.211319799999999</v>
      </c>
      <c r="Z1746">
        <v>-1.352019E-2</v>
      </c>
      <c r="AA1746">
        <v>0.97732350000000001</v>
      </c>
      <c r="AB1746">
        <v>47</v>
      </c>
      <c r="AC1746">
        <v>-10.6311999999999</v>
      </c>
      <c r="AD1746">
        <v>-1.1043728859269999</v>
      </c>
      <c r="AE1746">
        <v>-2.0620999999999801</v>
      </c>
      <c r="AF1746">
        <v>-2.3728723231559199</v>
      </c>
      <c r="AG1746">
        <v>-1.1043728859269999</v>
      </c>
      <c r="AH1746">
        <v>10.4519088777381</v>
      </c>
      <c r="AI1746">
        <v>95.883009484489307</v>
      </c>
      <c r="AJ1746">
        <v>102.790913211185</v>
      </c>
      <c r="AK1746">
        <v>10.774625827457401</v>
      </c>
    </row>
    <row r="1747" spans="1:37" x14ac:dyDescent="0.2">
      <c r="A1747" t="str">
        <f>"20200111153642174"</f>
        <v>20200111153642174</v>
      </c>
      <c r="B1747" t="str">
        <f>"1578728202164712"</f>
        <v>1578728202164712</v>
      </c>
      <c r="C1747" t="s">
        <v>37</v>
      </c>
      <c r="D1747">
        <v>5.8022130000000001</v>
      </c>
      <c r="E1747">
        <v>0.44123099999999998</v>
      </c>
      <c r="F1747" t="s">
        <v>48</v>
      </c>
      <c r="G1747">
        <v>-282.49459999999999</v>
      </c>
      <c r="H1747" s="1">
        <v>7.9371439999999993E-6</v>
      </c>
      <c r="I1747">
        <v>281.51350000000002</v>
      </c>
      <c r="J1747">
        <v>-271.93439999999998</v>
      </c>
      <c r="K1747">
        <v>1.1044020000000001</v>
      </c>
      <c r="L1747">
        <v>283.57310000000001</v>
      </c>
      <c r="M1747">
        <v>-0.99940249999999997</v>
      </c>
      <c r="N1747">
        <v>0</v>
      </c>
      <c r="O1747">
        <v>3.1435409999999997E-2</v>
      </c>
      <c r="P1747">
        <v>-0.99899629999999995</v>
      </c>
      <c r="Q1747">
        <v>2.8007190000000001E-2</v>
      </c>
      <c r="R1747">
        <v>-3.495463E-2</v>
      </c>
      <c r="S1747">
        <v>-2.9917910000000001</v>
      </c>
      <c r="T1747">
        <v>-0.29976140000000001</v>
      </c>
      <c r="U1747">
        <v>-0.55511469999999996</v>
      </c>
      <c r="V1747">
        <v>-6.6367280000000001E-2</v>
      </c>
      <c r="W1747">
        <v>4.2301730000000003E-2</v>
      </c>
      <c r="X1747">
        <v>0.99689819999999996</v>
      </c>
      <c r="Y1747">
        <v>-0.2120727</v>
      </c>
      <c r="Z1747">
        <v>-1.3626310000000001E-2</v>
      </c>
      <c r="AA1747">
        <v>0.97715889999999905</v>
      </c>
      <c r="AB1747">
        <v>47</v>
      </c>
      <c r="AC1747">
        <v>-10.5602</v>
      </c>
      <c r="AD1747">
        <v>-1.1043940628560001</v>
      </c>
      <c r="AE1747">
        <v>-2.0595999999999801</v>
      </c>
      <c r="AF1747">
        <v>-2.3656550115738302</v>
      </c>
      <c r="AG1747">
        <v>-1.1043940628560001</v>
      </c>
      <c r="AH1747">
        <v>10.3808525012107</v>
      </c>
      <c r="AI1747">
        <v>95.922013714276702</v>
      </c>
      <c r="AJ1747">
        <v>102.837695035235</v>
      </c>
      <c r="AK1747">
        <v>10.704116429287801</v>
      </c>
    </row>
    <row r="1748" spans="1:37" x14ac:dyDescent="0.2">
      <c r="A1748" t="str">
        <f>"20200111153642197"</f>
        <v>20200111153642197</v>
      </c>
      <c r="B1748" t="str">
        <f>"1578728202194502"</f>
        <v>1578728202194502</v>
      </c>
      <c r="C1748" t="s">
        <v>37</v>
      </c>
      <c r="D1748">
        <v>5.7870220000000003</v>
      </c>
      <c r="E1748">
        <v>0.44109870000000001</v>
      </c>
      <c r="F1748" t="s">
        <v>48</v>
      </c>
      <c r="G1748">
        <v>-282.9479</v>
      </c>
      <c r="H1748" s="1">
        <v>7.7347230000000002E-6</v>
      </c>
      <c r="I1748">
        <v>281.52019999999999</v>
      </c>
      <c r="J1748">
        <v>-272.40170000000001</v>
      </c>
      <c r="K1748">
        <v>1.104417</v>
      </c>
      <c r="L1748">
        <v>283.58760000000001</v>
      </c>
      <c r="M1748">
        <v>-0.99940839999999997</v>
      </c>
      <c r="N1748">
        <v>0</v>
      </c>
      <c r="O1748">
        <v>3.1220129999999999E-2</v>
      </c>
      <c r="P1748">
        <v>-0.99897279999999999</v>
      </c>
      <c r="Q1748">
        <v>2.8477789999999999E-2</v>
      </c>
      <c r="R1748">
        <v>-3.5249999999999997E-2</v>
      </c>
      <c r="S1748">
        <v>-2.9919129999999998</v>
      </c>
      <c r="T1748">
        <v>-0.30001650000000002</v>
      </c>
      <c r="U1748">
        <v>-0.55767819999999901</v>
      </c>
      <c r="V1748">
        <v>-6.6448049999999995E-2</v>
      </c>
      <c r="W1748">
        <v>4.2823399999999998E-2</v>
      </c>
      <c r="X1748">
        <v>0.99687049999999999</v>
      </c>
      <c r="Y1748">
        <v>-0.21266079999999901</v>
      </c>
      <c r="Z1748">
        <v>-1.364405E-2</v>
      </c>
      <c r="AA1748">
        <v>0.97703079999999998</v>
      </c>
      <c r="AB1748">
        <v>47</v>
      </c>
      <c r="AC1748">
        <v>-10.546200000000001</v>
      </c>
      <c r="AD1748">
        <v>-1.1044092652769999</v>
      </c>
      <c r="AE1748">
        <v>-2.0674000000000201</v>
      </c>
      <c r="AF1748">
        <v>-2.37064442260818</v>
      </c>
      <c r="AG1748">
        <v>-1.1044092652769999</v>
      </c>
      <c r="AH1748">
        <v>10.367024100407599</v>
      </c>
      <c r="AI1748">
        <v>95.928934738870097</v>
      </c>
      <c r="AJ1748">
        <v>102.880458155803</v>
      </c>
      <c r="AK1748">
        <v>10.691812919337099</v>
      </c>
    </row>
    <row r="1749" spans="1:37" x14ac:dyDescent="0.2">
      <c r="A1749" t="str">
        <f>"20200111153642231"</f>
        <v>20200111153642231</v>
      </c>
      <c r="B1749" t="str">
        <f>"1578728202224757"</f>
        <v>1578728202224757</v>
      </c>
      <c r="C1749" t="s">
        <v>37</v>
      </c>
      <c r="D1749">
        <v>5.7540529999999999</v>
      </c>
      <c r="E1749">
        <v>0.44103559999999897</v>
      </c>
      <c r="F1749" t="s">
        <v>48</v>
      </c>
      <c r="G1749">
        <v>-283.36930000000001</v>
      </c>
      <c r="H1749" s="1">
        <v>7.54521399999999E-6</v>
      </c>
      <c r="I1749">
        <v>281.53300000000002</v>
      </c>
      <c r="J1749">
        <v>-273.11759999999998</v>
      </c>
      <c r="K1749">
        <v>1.1044419999999999</v>
      </c>
      <c r="L1749">
        <v>283.60969999999998</v>
      </c>
      <c r="M1749">
        <v>-0.99941780000000002</v>
      </c>
      <c r="N1749">
        <v>0</v>
      </c>
      <c r="O1749">
        <v>3.0888019999999999E-2</v>
      </c>
      <c r="P1749">
        <v>-0.99897409999999998</v>
      </c>
      <c r="Q1749">
        <v>2.900142E-2</v>
      </c>
      <c r="R1749">
        <v>-3.4779850000000001E-2</v>
      </c>
      <c r="S1749">
        <v>-2.9918819999999999</v>
      </c>
      <c r="T1749">
        <v>-0.30127569999999998</v>
      </c>
      <c r="U1749">
        <v>-0.56048580000000003</v>
      </c>
      <c r="V1749">
        <v>-6.5648239999999997E-2</v>
      </c>
      <c r="W1749">
        <v>4.3413170000000001E-2</v>
      </c>
      <c r="X1749">
        <v>0.99689799999999995</v>
      </c>
      <c r="Y1749">
        <v>-0.21321309999999999</v>
      </c>
      <c r="Z1749">
        <v>-1.369443E-2</v>
      </c>
      <c r="AA1749">
        <v>0.97690980000000005</v>
      </c>
      <c r="AB1749">
        <v>47</v>
      </c>
      <c r="AC1749">
        <v>-10.2517</v>
      </c>
      <c r="AD1749">
        <v>-1.1044344547859899</v>
      </c>
      <c r="AE1749">
        <v>-2.0766999999999598</v>
      </c>
      <c r="AF1749">
        <v>-2.3660189200163502</v>
      </c>
      <c r="AG1749">
        <v>-1.1044344547859899</v>
      </c>
      <c r="AH1749">
        <v>10.0703841940124</v>
      </c>
      <c r="AI1749">
        <v>96.094063616288906</v>
      </c>
      <c r="AJ1749">
        <v>103.221740075474</v>
      </c>
      <c r="AK1749">
        <v>10.403386891287299</v>
      </c>
    </row>
    <row r="1750" spans="1:37" x14ac:dyDescent="0.2">
      <c r="A1750" t="str">
        <f>"20200111153642253"</f>
        <v>20200111153642253</v>
      </c>
      <c r="B1750" t="str">
        <f>"1578728202244292"</f>
        <v>1578728202244292</v>
      </c>
      <c r="C1750" t="s">
        <v>37</v>
      </c>
      <c r="D1750">
        <v>5.9755630000000002</v>
      </c>
      <c r="E1750">
        <v>0.4631731</v>
      </c>
      <c r="F1750" t="s">
        <v>48</v>
      </c>
      <c r="G1750">
        <v>-284.0865</v>
      </c>
      <c r="H1750" s="1">
        <v>7.2220270000000002E-6</v>
      </c>
      <c r="I1750">
        <v>281.55799999999999</v>
      </c>
      <c r="J1750">
        <v>-273.58519999999999</v>
      </c>
      <c r="K1750">
        <v>1.104455</v>
      </c>
      <c r="L1750">
        <v>283.62400000000002</v>
      </c>
      <c r="M1750">
        <v>-0.99942410000000004</v>
      </c>
      <c r="N1750">
        <v>0</v>
      </c>
      <c r="O1750">
        <v>3.066963E-2</v>
      </c>
      <c r="P1750">
        <v>-0.99895869999999998</v>
      </c>
      <c r="Q1750">
        <v>2.980373E-2</v>
      </c>
      <c r="R1750">
        <v>-3.4545699999999999E-2</v>
      </c>
      <c r="S1750">
        <v>-2.9923709999999999</v>
      </c>
      <c r="T1750">
        <v>-0.3012977</v>
      </c>
      <c r="U1750">
        <v>-0.55972290000000002</v>
      </c>
      <c r="V1750">
        <v>-6.5196630000000005E-2</v>
      </c>
      <c r="W1750">
        <v>4.4250640000000001E-2</v>
      </c>
      <c r="X1750">
        <v>0.99689079999999997</v>
      </c>
      <c r="Y1750">
        <v>-0.2127337</v>
      </c>
      <c r="Z1750">
        <v>-1.3647899999999999E-2</v>
      </c>
      <c r="AA1750">
        <v>0.97701489999999902</v>
      </c>
      <c r="AB1750">
        <v>47</v>
      </c>
      <c r="AC1750">
        <v>-10.501300000000001</v>
      </c>
      <c r="AD1750">
        <v>-1.104447777973</v>
      </c>
      <c r="AE1750">
        <v>-2.06600000000003</v>
      </c>
      <c r="AF1750">
        <v>-2.3619799501989598</v>
      </c>
      <c r="AG1750">
        <v>-1.104447777973</v>
      </c>
      <c r="AH1750">
        <v>10.3230577805423</v>
      </c>
      <c r="AI1750">
        <v>95.954038490655705</v>
      </c>
      <c r="AJ1750">
        <v>102.88778616982999</v>
      </c>
      <c r="AK1750">
        <v>10.647266133605701</v>
      </c>
    </row>
    <row r="1751" spans="1:37" x14ac:dyDescent="0.2">
      <c r="A1751" t="str">
        <f>"20200111153642274"</f>
        <v>20200111153642274</v>
      </c>
      <c r="B1751" t="str">
        <f>"1578728202264776"</f>
        <v>1578728202264776</v>
      </c>
      <c r="C1751" t="s">
        <v>37</v>
      </c>
      <c r="D1751">
        <v>5.636361</v>
      </c>
      <c r="E1751">
        <v>0.46735149999999998</v>
      </c>
      <c r="F1751" t="s">
        <v>48</v>
      </c>
      <c r="G1751">
        <v>-285.34289999999999</v>
      </c>
      <c r="H1751" s="1">
        <v>6.5484379999999996E-6</v>
      </c>
      <c r="I1751">
        <v>282.12150000000003</v>
      </c>
      <c r="J1751">
        <v>-274.04759999999999</v>
      </c>
      <c r="K1751">
        <v>1.10446</v>
      </c>
      <c r="L1751">
        <v>283.63799999999998</v>
      </c>
      <c r="M1751">
        <v>-0.99943009999999999</v>
      </c>
      <c r="N1751">
        <v>0</v>
      </c>
      <c r="O1751">
        <v>3.04532E-2</v>
      </c>
      <c r="P1751">
        <v>-0.99896099999999999</v>
      </c>
      <c r="Q1751">
        <v>3.0172850000000001E-2</v>
      </c>
      <c r="R1751">
        <v>-3.4151000000000001E-2</v>
      </c>
      <c r="S1751">
        <v>-2.9982599999999899</v>
      </c>
      <c r="T1751">
        <v>-0.28164050000000002</v>
      </c>
      <c r="U1751">
        <v>-0.38314819999999999</v>
      </c>
      <c r="V1751">
        <v>-6.4587019999999995E-2</v>
      </c>
      <c r="W1751">
        <v>4.465032E-2</v>
      </c>
      <c r="X1751">
        <v>0.99691269999999998</v>
      </c>
      <c r="Y1751">
        <v>-0.1561024</v>
      </c>
      <c r="Z1751">
        <v>-1.013037E-2</v>
      </c>
      <c r="AA1751">
        <v>0.98768889999999998</v>
      </c>
      <c r="AB1751">
        <v>47</v>
      </c>
      <c r="AC1751">
        <v>-11.2952999999999</v>
      </c>
      <c r="AD1751">
        <v>-1.1044534515619999</v>
      </c>
      <c r="AE1751">
        <v>-1.51649999999995</v>
      </c>
      <c r="AF1751">
        <v>-1.84250687143985</v>
      </c>
      <c r="AG1751">
        <v>-1.1044534515619999</v>
      </c>
      <c r="AH1751">
        <v>11.1392571897567</v>
      </c>
      <c r="AI1751">
        <v>95.5869284013758</v>
      </c>
      <c r="AJ1751">
        <v>99.392063708833106</v>
      </c>
      <c r="AK1751">
        <v>11.344500858897099</v>
      </c>
    </row>
    <row r="1752" spans="1:37" x14ac:dyDescent="0.2">
      <c r="A1752" t="str">
        <f>"20200111153642297"</f>
        <v>20200111153642297</v>
      </c>
      <c r="B1752" t="str">
        <f>"1578728202294562"</f>
        <v>1578728202294562</v>
      </c>
      <c r="C1752" t="s">
        <v>37</v>
      </c>
      <c r="D1752">
        <v>5.7015739999999999</v>
      </c>
      <c r="E1752">
        <v>0.46689779999999997</v>
      </c>
      <c r="F1752" t="s">
        <v>48</v>
      </c>
      <c r="G1752">
        <v>-286.49900000000002</v>
      </c>
      <c r="H1752" s="1">
        <v>6.0216839999999999E-6</v>
      </c>
      <c r="I1752">
        <v>282.18939999999998</v>
      </c>
      <c r="J1752">
        <v>-274.51209999999998</v>
      </c>
      <c r="K1752">
        <v>1.10446</v>
      </c>
      <c r="L1752">
        <v>283.65199999999999</v>
      </c>
      <c r="M1752">
        <v>-0.99943649999999995</v>
      </c>
      <c r="N1752">
        <v>0</v>
      </c>
      <c r="O1752">
        <v>3.02358E-2</v>
      </c>
      <c r="P1752">
        <v>-0.99898030000000004</v>
      </c>
      <c r="Q1752">
        <v>2.9916160000000001E-2</v>
      </c>
      <c r="R1752">
        <v>-3.3817949999999999E-2</v>
      </c>
      <c r="S1752">
        <v>-2.9992369999999999</v>
      </c>
      <c r="T1752">
        <v>-0.26603539999999998</v>
      </c>
      <c r="U1752">
        <v>-0.34893800000000003</v>
      </c>
      <c r="V1752">
        <v>-6.4038159999999997E-2</v>
      </c>
      <c r="W1752">
        <v>4.4419750000000001E-2</v>
      </c>
      <c r="X1752">
        <v>0.99695840000000002</v>
      </c>
      <c r="Y1752">
        <v>-0.14486749999999901</v>
      </c>
      <c r="Z1752">
        <v>-9.0598239999999993E-3</v>
      </c>
      <c r="AA1752">
        <v>0.9894096</v>
      </c>
      <c r="AB1752">
        <v>47</v>
      </c>
      <c r="AC1752">
        <v>-11.9869</v>
      </c>
      <c r="AD1752">
        <v>-1.1044539783159999</v>
      </c>
      <c r="AE1752">
        <v>-1.4625999999999999</v>
      </c>
      <c r="AF1752">
        <v>-1.80926872728148</v>
      </c>
      <c r="AG1752">
        <v>-1.1044539783159999</v>
      </c>
      <c r="AH1752">
        <v>11.838165108944199</v>
      </c>
      <c r="AI1752">
        <v>95.2692071166842</v>
      </c>
      <c r="AJ1752">
        <v>98.689476843180898</v>
      </c>
      <c r="AK1752">
        <v>12.026446901074401</v>
      </c>
    </row>
    <row r="1753" spans="1:37" x14ac:dyDescent="0.2">
      <c r="A1753" t="str">
        <f>"20200111153642320"</f>
        <v>20200111153642320</v>
      </c>
      <c r="B1753" t="str">
        <f>"1578728202314082"</f>
        <v>1578728202314082</v>
      </c>
      <c r="C1753" t="s">
        <v>37</v>
      </c>
      <c r="D1753">
        <v>5.6950699999999896</v>
      </c>
      <c r="E1753">
        <v>0.4668369</v>
      </c>
      <c r="F1753" t="s">
        <v>48</v>
      </c>
      <c r="G1753">
        <v>-287.3</v>
      </c>
      <c r="H1753" s="1">
        <v>5.6744709999999901E-6</v>
      </c>
      <c r="I1753">
        <v>282.1508</v>
      </c>
      <c r="J1753">
        <v>-274.9871</v>
      </c>
      <c r="K1753">
        <v>1.1044620000000001</v>
      </c>
      <c r="L1753">
        <v>283.6662</v>
      </c>
      <c r="M1753">
        <v>-0.99944290000000002</v>
      </c>
      <c r="N1753">
        <v>0</v>
      </c>
      <c r="O1753">
        <v>3.0012609999999999E-2</v>
      </c>
      <c r="P1753">
        <v>-0.99899110000000002</v>
      </c>
      <c r="Q1753">
        <v>2.9222669999999999E-2</v>
      </c>
      <c r="R1753">
        <v>-3.4102970000000003E-2</v>
      </c>
      <c r="S1753">
        <v>-2.998901</v>
      </c>
      <c r="T1753">
        <v>-0.2590073</v>
      </c>
      <c r="U1753">
        <v>-0.3520508</v>
      </c>
      <c r="V1753">
        <v>-6.4100879999999999E-2</v>
      </c>
      <c r="W1753">
        <v>4.3748540000000002E-2</v>
      </c>
      <c r="X1753">
        <v>0.99698399999999998</v>
      </c>
      <c r="Y1753">
        <v>-0.14570529999999901</v>
      </c>
      <c r="Z1753">
        <v>-8.8386379999999994E-3</v>
      </c>
      <c r="AA1753">
        <v>0.98928859999999996</v>
      </c>
      <c r="AB1753">
        <v>47</v>
      </c>
      <c r="AC1753">
        <v>-12.312900000000001</v>
      </c>
      <c r="AD1753">
        <v>-1.1044563255290001</v>
      </c>
      <c r="AE1753">
        <v>-1.5153999999999901</v>
      </c>
      <c r="AF1753">
        <v>-1.86948156849626</v>
      </c>
      <c r="AG1753">
        <v>-1.1044563255290001</v>
      </c>
      <c r="AH1753">
        <v>12.1654443280511</v>
      </c>
      <c r="AI1753">
        <v>95.127590087680403</v>
      </c>
      <c r="AJ1753">
        <v>98.736384107327197</v>
      </c>
      <c r="AK1753">
        <v>12.357702893695899</v>
      </c>
    </row>
    <row r="1754" spans="1:37" x14ac:dyDescent="0.2">
      <c r="A1754" t="str">
        <f>"20200111153642343"</f>
        <v>20200111153642343</v>
      </c>
      <c r="B1754" t="str">
        <f>"1578728202334577"</f>
        <v>1578728202334577</v>
      </c>
      <c r="C1754" t="s">
        <v>37</v>
      </c>
      <c r="D1754">
        <v>5.7206039999999998</v>
      </c>
      <c r="E1754">
        <v>0.46648040000000002</v>
      </c>
      <c r="F1754" t="s">
        <v>48</v>
      </c>
      <c r="G1754">
        <v>-287.71690000000001</v>
      </c>
      <c r="H1754" s="1">
        <v>5.4866399999999902E-6</v>
      </c>
      <c r="I1754">
        <v>282.16500000000002</v>
      </c>
      <c r="J1754">
        <v>-275.47570000000002</v>
      </c>
      <c r="K1754">
        <v>1.1044620000000001</v>
      </c>
      <c r="L1754">
        <v>283.6807</v>
      </c>
      <c r="M1754">
        <v>-0.99944959999999905</v>
      </c>
      <c r="N1754">
        <v>0</v>
      </c>
      <c r="O1754">
        <v>2.9782489999999998E-2</v>
      </c>
      <c r="P1754">
        <v>-0.99897819999999904</v>
      </c>
      <c r="Q1754">
        <v>2.8332369999999999E-2</v>
      </c>
      <c r="R1754">
        <v>-3.5218899999999997E-2</v>
      </c>
      <c r="S1754">
        <v>-2.998535</v>
      </c>
      <c r="T1754">
        <v>-0.26015739999999998</v>
      </c>
      <c r="U1754">
        <v>-0.35360720000000001</v>
      </c>
      <c r="V1754">
        <v>-6.4985660000000001E-2</v>
      </c>
      <c r="W1754">
        <v>4.2876270000000001E-2</v>
      </c>
      <c r="X1754">
        <v>0.99696459999999998</v>
      </c>
      <c r="Y1754">
        <v>-0.14599200000000001</v>
      </c>
      <c r="Z1754">
        <v>-8.8710509999999996E-3</v>
      </c>
      <c r="AA1754">
        <v>0.98924599999999996</v>
      </c>
      <c r="AB1754">
        <v>47</v>
      </c>
      <c r="AC1754">
        <v>-12.2411999999999</v>
      </c>
      <c r="AD1754">
        <v>-1.1044565133599999</v>
      </c>
      <c r="AE1754">
        <v>-1.5156999999999801</v>
      </c>
      <c r="AF1754">
        <v>-1.8646896023285999</v>
      </c>
      <c r="AG1754">
        <v>-1.1044565133599999</v>
      </c>
      <c r="AH1754">
        <v>12.093661054273801</v>
      </c>
      <c r="AI1754">
        <v>95.157464718775699</v>
      </c>
      <c r="AJ1754">
        <v>98.765258623219793</v>
      </c>
      <c r="AK1754">
        <v>12.286314711848901</v>
      </c>
    </row>
    <row r="1755" spans="1:37" x14ac:dyDescent="0.2">
      <c r="A1755" t="str">
        <f>"20200111153642364"</f>
        <v>20200111153642364</v>
      </c>
      <c r="B1755" t="str">
        <f>"1578728202354100"</f>
        <v>1578728202354100</v>
      </c>
      <c r="C1755" t="s">
        <v>37</v>
      </c>
      <c r="D1755">
        <v>5.6247870000000004</v>
      </c>
      <c r="E1755">
        <v>0.466379299999999</v>
      </c>
      <c r="F1755" t="s">
        <v>48</v>
      </c>
      <c r="G1755">
        <v>-288.195999999999</v>
      </c>
      <c r="H1755" s="1">
        <v>5.2766289999999998E-6</v>
      </c>
      <c r="I1755">
        <v>282.15309999999999</v>
      </c>
      <c r="J1755">
        <v>-275.93799999999999</v>
      </c>
      <c r="K1755">
        <v>1.104457</v>
      </c>
      <c r="L1755">
        <v>283.6943</v>
      </c>
      <c r="M1755">
        <v>-0.99945569999999895</v>
      </c>
      <c r="N1755">
        <v>0</v>
      </c>
      <c r="O1755">
        <v>2.9564320000000002E-2</v>
      </c>
      <c r="P1755">
        <v>-0.99894300000000003</v>
      </c>
      <c r="Q1755">
        <v>2.7779689999999999E-2</v>
      </c>
      <c r="R1755">
        <v>-3.6625230000000002E-2</v>
      </c>
      <c r="S1755">
        <v>-2.9977419999999899</v>
      </c>
      <c r="T1755">
        <v>-0.26028249999999897</v>
      </c>
      <c r="U1755">
        <v>-0.35998540000000001</v>
      </c>
      <c r="V1755">
        <v>-6.617228E-2</v>
      </c>
      <c r="W1755">
        <v>4.2336499999999999E-2</v>
      </c>
      <c r="X1755">
        <v>0.99690970000000001</v>
      </c>
      <c r="Y1755">
        <v>-0.1478747</v>
      </c>
      <c r="Z1755">
        <v>-8.938975E-3</v>
      </c>
      <c r="AA1755">
        <v>0.98896569999999995</v>
      </c>
      <c r="AB1755">
        <v>47</v>
      </c>
      <c r="AC1755">
        <v>-12.2579999999999</v>
      </c>
      <c r="AD1755">
        <v>-1.1044517233710001</v>
      </c>
      <c r="AE1755">
        <v>-1.5411999999999999</v>
      </c>
      <c r="AF1755">
        <v>-1.8878769650581499</v>
      </c>
      <c r="AG1755">
        <v>-1.1044517233710001</v>
      </c>
      <c r="AH1755">
        <v>12.1102886680361</v>
      </c>
      <c r="AI1755">
        <v>95.149078713240399</v>
      </c>
      <c r="AJ1755">
        <v>98.860541913959196</v>
      </c>
      <c r="AK1755">
        <v>12.306217317584499</v>
      </c>
    </row>
    <row r="1756" spans="1:37" x14ac:dyDescent="0.2">
      <c r="A1756" t="str">
        <f>"20200111153642387"</f>
        <v>20200111153642387</v>
      </c>
      <c r="B1756" t="str">
        <f>"1578728202374593"</f>
        <v>1578728202374593</v>
      </c>
      <c r="C1756" t="s">
        <v>37</v>
      </c>
      <c r="D1756">
        <v>5.6418549999999996</v>
      </c>
      <c r="E1756">
        <v>0.46639059999999999</v>
      </c>
      <c r="F1756" t="s">
        <v>48</v>
      </c>
      <c r="G1756">
        <v>-288.55360000000002</v>
      </c>
      <c r="H1756" s="1">
        <v>5.1171100000000004E-6</v>
      </c>
      <c r="I1756">
        <v>282.15769999999998</v>
      </c>
      <c r="J1756">
        <v>-276.39159999999998</v>
      </c>
      <c r="K1756">
        <v>1.1044590000000001</v>
      </c>
      <c r="L1756">
        <v>283.70749999999998</v>
      </c>
      <c r="M1756">
        <v>-0.99946190000000001</v>
      </c>
      <c r="N1756">
        <v>0</v>
      </c>
      <c r="O1756">
        <v>2.9347950000000001E-2</v>
      </c>
      <c r="P1756">
        <v>-0.99888829999999995</v>
      </c>
      <c r="Q1756">
        <v>2.7835120000000001E-2</v>
      </c>
      <c r="R1756">
        <v>-3.8048070000000003E-2</v>
      </c>
      <c r="S1756">
        <v>-2.9970699999999999</v>
      </c>
      <c r="T1756">
        <v>-0.262382</v>
      </c>
      <c r="U1756">
        <v>-0.36505129999999902</v>
      </c>
      <c r="V1756">
        <v>-6.7377569999999998E-2</v>
      </c>
      <c r="W1756">
        <v>4.2402259999999997E-2</v>
      </c>
      <c r="X1756">
        <v>0.99682610000000005</v>
      </c>
      <c r="Y1756">
        <v>-0.149318799999999</v>
      </c>
      <c r="Z1756">
        <v>-9.0559290000000008E-3</v>
      </c>
      <c r="AA1756">
        <v>0.98874769999999901</v>
      </c>
      <c r="AB1756">
        <v>47</v>
      </c>
      <c r="AC1756">
        <v>-12.162000000000001</v>
      </c>
      <c r="AD1756">
        <v>-1.1044538828899999</v>
      </c>
      <c r="AE1756">
        <v>-1.5498000000000001</v>
      </c>
      <c r="AF1756">
        <v>-1.8907568340968399</v>
      </c>
      <c r="AG1756">
        <v>-1.1044538828899999</v>
      </c>
      <c r="AH1756">
        <v>12.013779769005801</v>
      </c>
      <c r="AI1756">
        <v>95.189049956719202</v>
      </c>
      <c r="AJ1756">
        <v>98.943980584991294</v>
      </c>
      <c r="AK1756">
        <v>12.211702752822299</v>
      </c>
    </row>
    <row r="1757" spans="1:37" x14ac:dyDescent="0.2">
      <c r="A1757" t="str">
        <f>"20200111153642409"</f>
        <v>20200111153642409</v>
      </c>
      <c r="B1757" t="str">
        <f>"1578728202404849"</f>
        <v>1578728202404849</v>
      </c>
      <c r="C1757" t="s">
        <v>37</v>
      </c>
      <c r="D1757">
        <v>5.6577580000000003</v>
      </c>
      <c r="E1757">
        <v>0.46614229999999901</v>
      </c>
      <c r="F1757" t="s">
        <v>48</v>
      </c>
      <c r="G1757">
        <v>-289.00599999999997</v>
      </c>
      <c r="H1757" s="1">
        <v>4.9176189999999996E-6</v>
      </c>
      <c r="I1757">
        <v>282.15219999999999</v>
      </c>
      <c r="J1757">
        <v>-276.86</v>
      </c>
      <c r="K1757">
        <v>1.1044670000000001</v>
      </c>
      <c r="L1757">
        <v>283.72109999999998</v>
      </c>
      <c r="M1757">
        <v>-0.99946829999999998</v>
      </c>
      <c r="N1757">
        <v>0</v>
      </c>
      <c r="O1757">
        <v>2.9121439999999998E-2</v>
      </c>
      <c r="P1757">
        <v>-0.99884859999999898</v>
      </c>
      <c r="Q1757">
        <v>2.870642E-2</v>
      </c>
      <c r="R1757">
        <v>-3.8440729999999999E-2</v>
      </c>
      <c r="S1757">
        <v>-2.9965820000000001</v>
      </c>
      <c r="T1757">
        <v>-0.26236490000000001</v>
      </c>
      <c r="U1757">
        <v>-0.36947629999999998</v>
      </c>
      <c r="V1757">
        <v>-6.7543290000000006E-2</v>
      </c>
      <c r="W1757">
        <v>4.328311E-2</v>
      </c>
      <c r="X1757">
        <v>0.99677709999999997</v>
      </c>
      <c r="Y1757">
        <v>-0.15054870000000001</v>
      </c>
      <c r="Z1757">
        <v>-9.0898090000000008E-3</v>
      </c>
      <c r="AA1757">
        <v>0.98856080000000002</v>
      </c>
      <c r="AB1757">
        <v>47</v>
      </c>
      <c r="AC1757">
        <v>-12.1459999999999</v>
      </c>
      <c r="AD1757">
        <v>-1.1044620823810001</v>
      </c>
      <c r="AE1757">
        <v>-1.56889999999998</v>
      </c>
      <c r="AF1757">
        <v>-1.9064762103478301</v>
      </c>
      <c r="AG1757">
        <v>-1.1044620823810001</v>
      </c>
      <c r="AH1757">
        <v>11.9975781655729</v>
      </c>
      <c r="AI1757">
        <v>95.194843394203104</v>
      </c>
      <c r="AJ1757">
        <v>99.029098538775997</v>
      </c>
      <c r="AK1757">
        <v>12.1982117489028</v>
      </c>
    </row>
    <row r="1758" spans="1:37" x14ac:dyDescent="0.2">
      <c r="A1758" t="str">
        <f>"20200111153642432"</f>
        <v>20200111153642432</v>
      </c>
      <c r="B1758" t="str">
        <f>"1578728202424369"</f>
        <v>1578728202424369</v>
      </c>
      <c r="C1758" t="s">
        <v>37</v>
      </c>
      <c r="D1758">
        <v>5.6550019999999996</v>
      </c>
      <c r="E1758">
        <v>0.46579999999999999</v>
      </c>
      <c r="F1758" t="s">
        <v>48</v>
      </c>
      <c r="G1758">
        <v>-289.54430000000002</v>
      </c>
      <c r="H1758" s="1">
        <v>4.6808869999999998E-6</v>
      </c>
      <c r="I1758">
        <v>282.14260000000002</v>
      </c>
      <c r="J1758">
        <v>-277.34519999999998</v>
      </c>
      <c r="K1758">
        <v>1.104476</v>
      </c>
      <c r="L1758">
        <v>283.73509999999999</v>
      </c>
      <c r="M1758">
        <v>-0.99947529999999996</v>
      </c>
      <c r="N1758">
        <v>0</v>
      </c>
      <c r="O1758">
        <v>2.8879539999999999E-2</v>
      </c>
      <c r="P1758">
        <v>-0.99882249999999995</v>
      </c>
      <c r="Q1758">
        <v>2.932823E-2</v>
      </c>
      <c r="R1758">
        <v>-3.864803E-2</v>
      </c>
      <c r="S1758">
        <v>-2.996613</v>
      </c>
      <c r="T1758">
        <v>-0.26092329999999903</v>
      </c>
      <c r="U1758">
        <v>-0.3729248</v>
      </c>
      <c r="V1758">
        <v>-6.7509589999999994E-2</v>
      </c>
      <c r="W1758">
        <v>4.3913380000000002E-2</v>
      </c>
      <c r="X1758">
        <v>0.99675179999999997</v>
      </c>
      <c r="Y1758">
        <v>-0.1514337</v>
      </c>
      <c r="Z1758">
        <v>-9.0566959999999995E-3</v>
      </c>
      <c r="AA1758">
        <v>0.98842589999999997</v>
      </c>
      <c r="AB1758">
        <v>47</v>
      </c>
      <c r="AC1758">
        <v>-12.1991</v>
      </c>
      <c r="AD1758">
        <v>-1.104471319113</v>
      </c>
      <c r="AE1758">
        <v>-1.5924999999999701</v>
      </c>
      <c r="AF1758">
        <v>-1.92863385526695</v>
      </c>
      <c r="AG1758">
        <v>-1.104471319113</v>
      </c>
      <c r="AH1758">
        <v>12.050889414825599</v>
      </c>
      <c r="AI1758">
        <v>95.171121689054502</v>
      </c>
      <c r="AJ1758">
        <v>99.092555633031594</v>
      </c>
      <c r="AK1758">
        <v>12.254118537486899</v>
      </c>
    </row>
    <row r="1759" spans="1:37" x14ac:dyDescent="0.2">
      <c r="A1759" t="str">
        <f>"20200111153642454"</f>
        <v>20200111153642454</v>
      </c>
      <c r="B1759" t="str">
        <f>"1578728202444868"</f>
        <v>1578728202444868</v>
      </c>
      <c r="C1759" t="s">
        <v>37</v>
      </c>
      <c r="D1759">
        <v>5.8530689999999996</v>
      </c>
      <c r="E1759">
        <v>0.43283050000000001</v>
      </c>
      <c r="F1759" t="s">
        <v>48</v>
      </c>
      <c r="G1759">
        <v>-290.02710000000002</v>
      </c>
      <c r="H1759" s="1">
        <v>2.42682999999999E-6</v>
      </c>
      <c r="I1759">
        <v>282.14240000000001</v>
      </c>
      <c r="J1759">
        <v>-277.80840000000001</v>
      </c>
      <c r="K1759">
        <v>1.104484</v>
      </c>
      <c r="L1759">
        <v>283.7482</v>
      </c>
      <c r="M1759">
        <v>-0.99948219999999999</v>
      </c>
      <c r="N1759">
        <v>0</v>
      </c>
      <c r="O1759">
        <v>2.8638139999999999E-2</v>
      </c>
      <c r="P1759">
        <v>-0.99883379999999999</v>
      </c>
      <c r="Q1759">
        <v>2.909426E-2</v>
      </c>
      <c r="R1759">
        <v>-3.8532719999999999E-2</v>
      </c>
      <c r="S1759">
        <v>-2.9966430000000002</v>
      </c>
      <c r="T1759">
        <v>-0.26098089999999902</v>
      </c>
      <c r="U1759">
        <v>-0.37634279999999998</v>
      </c>
      <c r="V1759">
        <v>-6.7154259999999993E-2</v>
      </c>
      <c r="W1759">
        <v>4.3686139999999998E-2</v>
      </c>
      <c r="X1759">
        <v>0.99678580000000006</v>
      </c>
      <c r="Y1759">
        <v>-0.1523013</v>
      </c>
      <c r="Z1759">
        <v>-9.0746130000000005E-3</v>
      </c>
      <c r="AA1759">
        <v>0.98829249999999902</v>
      </c>
      <c r="AB1759">
        <v>47</v>
      </c>
      <c r="AC1759">
        <v>-12.2187</v>
      </c>
      <c r="AD1759">
        <v>-1.10448157317</v>
      </c>
      <c r="AE1759">
        <v>-1.6057999999999799</v>
      </c>
      <c r="AF1759">
        <v>-1.9395212655949701</v>
      </c>
      <c r="AG1759">
        <v>-1.10448157317</v>
      </c>
      <c r="AH1759">
        <v>12.0707416703977</v>
      </c>
      <c r="AI1759">
        <v>95.162197873249795</v>
      </c>
      <c r="AJ1759">
        <v>99.128236029663</v>
      </c>
      <c r="AK1759">
        <v>12.275358518538001</v>
      </c>
    </row>
    <row r="1760" spans="1:37" x14ac:dyDescent="0.2">
      <c r="A1760" t="str">
        <f>"20200111153642476"</f>
        <v>20200111153642476</v>
      </c>
      <c r="B1760" t="str">
        <f>"1578728202464385"</f>
        <v>1578728202464385</v>
      </c>
      <c r="C1760" t="s">
        <v>37</v>
      </c>
      <c r="D1760">
        <v>5.8089459999999997</v>
      </c>
      <c r="E1760">
        <v>0.42968210000000001</v>
      </c>
      <c r="F1760" t="s">
        <v>48</v>
      </c>
      <c r="G1760">
        <v>-287.68860000000001</v>
      </c>
      <c r="H1760" s="1">
        <v>5.6067799999999997E-6</v>
      </c>
      <c r="I1760">
        <v>281.64429999999999</v>
      </c>
      <c r="J1760">
        <v>-278.25709999999998</v>
      </c>
      <c r="K1760">
        <v>1.104498</v>
      </c>
      <c r="L1760">
        <v>283.76089999999999</v>
      </c>
      <c r="M1760">
        <v>-0.99948919999999997</v>
      </c>
      <c r="N1760">
        <v>0</v>
      </c>
      <c r="O1760">
        <v>2.8387019999999999E-2</v>
      </c>
      <c r="P1760">
        <v>-0.99887610000000004</v>
      </c>
      <c r="Q1760">
        <v>2.840444E-2</v>
      </c>
      <c r="R1760">
        <v>-3.795026E-2</v>
      </c>
      <c r="S1760">
        <v>-2.98867799999999</v>
      </c>
      <c r="T1760">
        <v>-0.33409509999999998</v>
      </c>
      <c r="U1760">
        <v>-0.63641359999999902</v>
      </c>
      <c r="V1760">
        <v>-6.6323469999999995E-2</v>
      </c>
      <c r="W1760">
        <v>4.3001570000000003E-2</v>
      </c>
      <c r="X1760">
        <v>0.99687109999999901</v>
      </c>
      <c r="Y1760">
        <v>-0.23438719999999999</v>
      </c>
      <c r="Z1760">
        <v>-1.604761E-2</v>
      </c>
      <c r="AA1760">
        <v>0.97201090000000001</v>
      </c>
      <c r="AB1760">
        <v>47</v>
      </c>
      <c r="AC1760">
        <v>-9.4315000000000193</v>
      </c>
      <c r="AD1760">
        <v>-1.1044923932199999</v>
      </c>
      <c r="AE1760">
        <v>-2.1166</v>
      </c>
      <c r="AF1760">
        <v>-2.3527888636605399</v>
      </c>
      <c r="AG1760">
        <v>-1.1044923932199999</v>
      </c>
      <c r="AH1760">
        <v>9.2468767566214591</v>
      </c>
      <c r="AI1760">
        <v>96.602977172944406</v>
      </c>
      <c r="AJ1760">
        <v>104.275499964037</v>
      </c>
      <c r="AK1760">
        <v>9.6052198640006203</v>
      </c>
    </row>
    <row r="1761" spans="1:37" x14ac:dyDescent="0.2">
      <c r="A1761" t="str">
        <f>"20200111153642498"</f>
        <v>20200111153642498</v>
      </c>
      <c r="B1761" t="str">
        <f>"1578728202494172"</f>
        <v>1578728202494172</v>
      </c>
      <c r="C1761" t="s">
        <v>37</v>
      </c>
      <c r="D1761">
        <v>5.7729179999999998</v>
      </c>
      <c r="E1761">
        <v>0.43028509999999998</v>
      </c>
      <c r="F1761" t="s">
        <v>48</v>
      </c>
      <c r="G1761">
        <v>-288.1309</v>
      </c>
      <c r="H1761" s="1">
        <v>5.4236850000000001E-6</v>
      </c>
      <c r="I1761">
        <v>281.5813</v>
      </c>
      <c r="J1761">
        <v>-278.72480000000002</v>
      </c>
      <c r="K1761">
        <v>1.1045240000000001</v>
      </c>
      <c r="L1761">
        <v>283.77390000000003</v>
      </c>
      <c r="M1761">
        <v>-0.99949719999999997</v>
      </c>
      <c r="N1761">
        <v>0</v>
      </c>
      <c r="O1761">
        <v>2.8097609999999999E-2</v>
      </c>
      <c r="P1761">
        <v>-0.99886200000000003</v>
      </c>
      <c r="Q1761">
        <v>2.8861959999999999E-2</v>
      </c>
      <c r="R1761">
        <v>-3.796646E-2</v>
      </c>
      <c r="S1761">
        <v>-2.9878230000000001</v>
      </c>
      <c r="T1761">
        <v>-0.33422199999999902</v>
      </c>
      <c r="U1761">
        <v>-0.65954590000000002</v>
      </c>
      <c r="V1761">
        <v>-6.6053109999999998E-2</v>
      </c>
      <c r="W1761">
        <v>4.3460810000000002E-2</v>
      </c>
      <c r="X1761">
        <v>0.99686909999999895</v>
      </c>
      <c r="Y1761">
        <v>-0.2413053</v>
      </c>
      <c r="Z1761">
        <v>-1.6394559999999999E-2</v>
      </c>
      <c r="AA1761">
        <v>0.97031069999999997</v>
      </c>
      <c r="AB1761">
        <v>47</v>
      </c>
      <c r="AC1761">
        <v>-9.4060999999999808</v>
      </c>
      <c r="AD1761">
        <v>-1.1045185763150001</v>
      </c>
      <c r="AE1761">
        <v>-2.1926000000000201</v>
      </c>
      <c r="AF1761">
        <v>-2.4243455794642901</v>
      </c>
      <c r="AG1761">
        <v>-1.1045185763150001</v>
      </c>
      <c r="AH1761">
        <v>9.2201887893222896</v>
      </c>
      <c r="AI1761">
        <v>96.608567105312702</v>
      </c>
      <c r="AJ1761">
        <v>104.73182321351899</v>
      </c>
      <c r="AK1761">
        <v>9.5973587035620103</v>
      </c>
    </row>
    <row r="1762" spans="1:37" x14ac:dyDescent="0.2">
      <c r="A1762" t="str">
        <f>"20200111153642522"</f>
        <v>20200111153642522</v>
      </c>
      <c r="B1762" t="str">
        <f>"1578728202514668"</f>
        <v>1578728202514668</v>
      </c>
      <c r="C1762" t="s">
        <v>37</v>
      </c>
      <c r="D1762">
        <v>5.7832169999999996</v>
      </c>
      <c r="E1762">
        <v>0.4308169</v>
      </c>
      <c r="F1762" t="s">
        <v>48</v>
      </c>
      <c r="G1762">
        <v>-288.6875</v>
      </c>
      <c r="H1762" s="1">
        <v>5.1746849999999903E-6</v>
      </c>
      <c r="I1762">
        <v>281.5917</v>
      </c>
      <c r="J1762">
        <v>-279.22329999999999</v>
      </c>
      <c r="K1762">
        <v>1.1045149999999999</v>
      </c>
      <c r="L1762">
        <v>283.78769999999997</v>
      </c>
      <c r="M1762">
        <v>-0.99950709999999998</v>
      </c>
      <c r="N1762">
        <v>0</v>
      </c>
      <c r="O1762">
        <v>2.7745999999999899E-2</v>
      </c>
      <c r="P1762">
        <v>-0.99881019999999898</v>
      </c>
      <c r="Q1762">
        <v>3.0376139999999999E-2</v>
      </c>
      <c r="R1762">
        <v>-3.8152800000000001E-2</v>
      </c>
      <c r="S1762">
        <v>-2.9880979999999999</v>
      </c>
      <c r="T1762">
        <v>-0.33127699999999999</v>
      </c>
      <c r="U1762">
        <v>-0.6545105</v>
      </c>
      <c r="V1762">
        <v>-6.5891359999999996E-2</v>
      </c>
      <c r="W1762">
        <v>4.4974239999999999E-2</v>
      </c>
      <c r="X1762">
        <v>0.99681280000000005</v>
      </c>
      <c r="Y1762">
        <v>-0.23942579999999999</v>
      </c>
      <c r="Z1762">
        <v>-1.6111250000000001E-2</v>
      </c>
      <c r="AA1762">
        <v>0.97078099999999901</v>
      </c>
      <c r="AB1762">
        <v>47</v>
      </c>
      <c r="AC1762">
        <v>-9.4641999999999999</v>
      </c>
      <c r="AD1762">
        <v>-1.1045098253149901</v>
      </c>
      <c r="AE1762">
        <v>-2.1959999999999602</v>
      </c>
      <c r="AF1762">
        <v>-2.42641736256203</v>
      </c>
      <c r="AG1762">
        <v>-1.1045098253149901</v>
      </c>
      <c r="AH1762">
        <v>9.2796880345197401</v>
      </c>
      <c r="AI1762">
        <v>96.568850340685003</v>
      </c>
      <c r="AJ1762">
        <v>104.65341096561799</v>
      </c>
      <c r="AK1762">
        <v>9.6550532463352408</v>
      </c>
    </row>
    <row r="1763" spans="1:37" x14ac:dyDescent="0.2">
      <c r="A1763" t="str">
        <f>"20200111153642544"</f>
        <v>20200111153642544</v>
      </c>
      <c r="B1763" t="str">
        <f>"1578728202534188"</f>
        <v>1578728202534188</v>
      </c>
      <c r="C1763" t="s">
        <v>37</v>
      </c>
      <c r="D1763">
        <v>5.8266229999999997</v>
      </c>
      <c r="E1763">
        <v>0.43088519999999902</v>
      </c>
      <c r="F1763" t="s">
        <v>48</v>
      </c>
      <c r="G1763">
        <v>-289.3107</v>
      </c>
      <c r="H1763" s="1">
        <v>4.8983640000000003E-6</v>
      </c>
      <c r="I1763">
        <v>281.59160000000003</v>
      </c>
      <c r="J1763">
        <v>-279.69170000000003</v>
      </c>
      <c r="K1763">
        <v>1.1045499999999999</v>
      </c>
      <c r="L1763">
        <v>283.80040000000002</v>
      </c>
      <c r="M1763">
        <v>-0.99951730000000005</v>
      </c>
      <c r="N1763">
        <v>0</v>
      </c>
      <c r="O1763">
        <v>2.7371570000000001E-2</v>
      </c>
      <c r="P1763">
        <v>-0.99880609999999903</v>
      </c>
      <c r="Q1763">
        <v>2.9970219999999999E-2</v>
      </c>
      <c r="R1763">
        <v>-3.8581709999999998E-2</v>
      </c>
      <c r="S1763">
        <v>-2.9886469999999998</v>
      </c>
      <c r="T1763">
        <v>-0.32723829999999998</v>
      </c>
      <c r="U1763">
        <v>-0.6506653</v>
      </c>
      <c r="V1763">
        <v>-6.5950090000000003E-2</v>
      </c>
      <c r="W1763">
        <v>4.4565529999999999E-2</v>
      </c>
      <c r="X1763">
        <v>0.99682719999999903</v>
      </c>
      <c r="Y1763">
        <v>-0.23788139999999999</v>
      </c>
      <c r="Z1763">
        <v>-1.579146E-2</v>
      </c>
      <c r="AA1763">
        <v>0.97116579999999997</v>
      </c>
      <c r="AB1763">
        <v>47</v>
      </c>
      <c r="AC1763">
        <v>-9.6189999999999696</v>
      </c>
      <c r="AD1763">
        <v>-1.1045451016359999</v>
      </c>
      <c r="AE1763">
        <v>-2.2087999999999899</v>
      </c>
      <c r="AF1763">
        <v>-2.4407169489</v>
      </c>
      <c r="AG1763">
        <v>-1.1045451016359999</v>
      </c>
      <c r="AH1763">
        <v>9.4367319144574395</v>
      </c>
      <c r="AI1763">
        <v>96.465096590624498</v>
      </c>
      <c r="AJ1763">
        <v>104.501207252713</v>
      </c>
      <c r="AK1763">
        <v>9.8096395617543202</v>
      </c>
    </row>
    <row r="1764" spans="1:37" x14ac:dyDescent="0.2">
      <c r="A1764" t="str">
        <f>"20200111153642566"</f>
        <v>20200111153642566</v>
      </c>
      <c r="B1764" t="str">
        <f>"1578728202554685"</f>
        <v>1578728202554685</v>
      </c>
      <c r="C1764" t="s">
        <v>37</v>
      </c>
      <c r="D1764">
        <v>5.8057230000000004</v>
      </c>
      <c r="E1764">
        <v>0.43058109999999999</v>
      </c>
      <c r="F1764" t="s">
        <v>48</v>
      </c>
      <c r="G1764">
        <v>-289.67910000000001</v>
      </c>
      <c r="H1764" s="1">
        <v>4.7283199999999998E-6</v>
      </c>
      <c r="I1764">
        <v>281.62380000000002</v>
      </c>
      <c r="J1764">
        <v>-280.13479999999998</v>
      </c>
      <c r="K1764">
        <v>1.1045879999999999</v>
      </c>
      <c r="L1764">
        <v>283.81229999999999</v>
      </c>
      <c r="M1764">
        <v>-0.99952809999999903</v>
      </c>
      <c r="N1764">
        <v>0</v>
      </c>
      <c r="O1764">
        <v>2.6980279999999999E-2</v>
      </c>
      <c r="P1764">
        <v>-0.99876969999999998</v>
      </c>
      <c r="Q1764">
        <v>2.9347580000000002E-2</v>
      </c>
      <c r="R1764">
        <v>-3.9973160000000001E-2</v>
      </c>
      <c r="S1764">
        <v>-2.9883419999999998</v>
      </c>
      <c r="T1764">
        <v>-0.33049299999999998</v>
      </c>
      <c r="U1764">
        <v>-0.65127559999999995</v>
      </c>
      <c r="V1764">
        <v>-6.6952940000000002E-2</v>
      </c>
      <c r="W1764">
        <v>4.3937190000000001E-2</v>
      </c>
      <c r="X1764">
        <v>0.99678829999999996</v>
      </c>
      <c r="Y1764">
        <v>-0.23768420000000001</v>
      </c>
      <c r="Z1764">
        <v>-1.5895400000000001E-2</v>
      </c>
      <c r="AA1764">
        <v>0.97121239999999998</v>
      </c>
      <c r="AB1764">
        <v>47</v>
      </c>
      <c r="AC1764">
        <v>-9.5443000000000193</v>
      </c>
      <c r="AD1764">
        <v>-1.1045832716799999</v>
      </c>
      <c r="AE1764">
        <v>-2.1884999999999701</v>
      </c>
      <c r="AF1764">
        <v>-2.4145143383062999</v>
      </c>
      <c r="AG1764">
        <v>-1.1045832716799999</v>
      </c>
      <c r="AH1764">
        <v>9.3626335017269398</v>
      </c>
      <c r="AI1764">
        <v>96.5172238325666</v>
      </c>
      <c r="AJ1764">
        <v>104.460831690436</v>
      </c>
      <c r="AK1764">
        <v>9.7318492477854193</v>
      </c>
    </row>
    <row r="1765" spans="1:37" x14ac:dyDescent="0.2">
      <c r="A1765" t="str">
        <f>"20200111153642588"</f>
        <v>20200111153642588</v>
      </c>
      <c r="B1765" t="str">
        <f>"1578728202584940"</f>
        <v>1578728202584940</v>
      </c>
      <c r="C1765" t="s">
        <v>37</v>
      </c>
      <c r="D1765">
        <v>5.8146199999999997</v>
      </c>
      <c r="E1765">
        <v>0.42979319999999999</v>
      </c>
      <c r="F1765" t="s">
        <v>48</v>
      </c>
      <c r="G1765">
        <v>-290.03320000000002</v>
      </c>
      <c r="H1765" s="1">
        <v>2.47242099999999E-6</v>
      </c>
      <c r="I1765">
        <v>281.63339999999999</v>
      </c>
      <c r="J1765">
        <v>-280.60160000000002</v>
      </c>
      <c r="K1765">
        <v>1.1046309999999999</v>
      </c>
      <c r="L1765">
        <v>283.8245</v>
      </c>
      <c r="M1765">
        <v>-0.99953989999999904</v>
      </c>
      <c r="N1765">
        <v>0</v>
      </c>
      <c r="O1765">
        <v>2.6528690000000001E-2</v>
      </c>
      <c r="P1765">
        <v>-0.99873480000000003</v>
      </c>
      <c r="Q1765">
        <v>2.841082E-2</v>
      </c>
      <c r="R1765">
        <v>-4.1493620000000002E-2</v>
      </c>
      <c r="S1765">
        <v>-2.9872130000000001</v>
      </c>
      <c r="T1765">
        <v>-0.3333507</v>
      </c>
      <c r="U1765">
        <v>-0.65756230000000004</v>
      </c>
      <c r="V1765">
        <v>-6.8024669999999995E-2</v>
      </c>
      <c r="W1765">
        <v>4.2993940000000001E-2</v>
      </c>
      <c r="X1765">
        <v>0.99675689999999995</v>
      </c>
      <c r="Y1765">
        <v>-0.23923849999999999</v>
      </c>
      <c r="Z1765">
        <v>-1.6070129999999998E-2</v>
      </c>
      <c r="AA1765">
        <v>0.97082789999999997</v>
      </c>
      <c r="AB1765">
        <v>47</v>
      </c>
      <c r="AC1765">
        <v>-9.4315999999999995</v>
      </c>
      <c r="AD1765">
        <v>-1.104628527579</v>
      </c>
      <c r="AE1765">
        <v>-2.1911</v>
      </c>
      <c r="AF1765">
        <v>-2.40920865090761</v>
      </c>
      <c r="AG1765">
        <v>-1.104628527579</v>
      </c>
      <c r="AH1765">
        <v>9.2497638507835998</v>
      </c>
      <c r="AI1765">
        <v>96.592236304357201</v>
      </c>
      <c r="AJ1765">
        <v>104.598988564845</v>
      </c>
      <c r="AK1765">
        <v>9.6219863751105201</v>
      </c>
    </row>
    <row r="1766" spans="1:37" x14ac:dyDescent="0.2">
      <c r="A1766" t="str">
        <f>"20200111153642612"</f>
        <v>20200111153642612</v>
      </c>
      <c r="B1766" t="str">
        <f>"1578728202604460"</f>
        <v>1578728202604460</v>
      </c>
      <c r="C1766" t="s">
        <v>37</v>
      </c>
      <c r="D1766">
        <v>5.8191199999999998</v>
      </c>
      <c r="E1766">
        <v>0.42952600000000002</v>
      </c>
      <c r="F1766" t="s">
        <v>48</v>
      </c>
      <c r="G1766">
        <v>-290.37020000000001</v>
      </c>
      <c r="H1766" s="1">
        <v>2.5316649999999999E-6</v>
      </c>
      <c r="I1766">
        <v>281.63940000000002</v>
      </c>
      <c r="J1766">
        <v>-281.08440000000002</v>
      </c>
      <c r="K1766">
        <v>1.104678</v>
      </c>
      <c r="L1766">
        <v>283.83690000000001</v>
      </c>
      <c r="M1766">
        <v>-0.99955309999999897</v>
      </c>
      <c r="N1766">
        <v>0</v>
      </c>
      <c r="O1766">
        <v>2.6025199999999998E-2</v>
      </c>
      <c r="P1766">
        <v>-0.99868230000000002</v>
      </c>
      <c r="Q1766">
        <v>2.8580210000000002E-2</v>
      </c>
      <c r="R1766">
        <v>-4.2622559999999997E-2</v>
      </c>
      <c r="S1766">
        <v>-2.985687</v>
      </c>
      <c r="T1766">
        <v>-0.33761979999999903</v>
      </c>
      <c r="U1766">
        <v>-0.66784670000000002</v>
      </c>
      <c r="V1766">
        <v>-6.8653930000000002E-2</v>
      </c>
      <c r="W1766">
        <v>4.3156399999999998E-2</v>
      </c>
      <c r="X1766">
        <v>0.99670669999999995</v>
      </c>
      <c r="Y1766">
        <v>-0.24198549999999999</v>
      </c>
      <c r="Z1766">
        <v>-1.637365E-2</v>
      </c>
      <c r="AA1766">
        <v>0.9701417</v>
      </c>
      <c r="AB1766">
        <v>47</v>
      </c>
      <c r="AC1766">
        <v>-9.2857999999999894</v>
      </c>
      <c r="AD1766">
        <v>-1.104675468335</v>
      </c>
      <c r="AE1766">
        <v>-2.19749999999999</v>
      </c>
      <c r="AF1766">
        <v>-2.40619890838745</v>
      </c>
      <c r="AG1766">
        <v>-1.104675468335</v>
      </c>
      <c r="AH1766">
        <v>9.1034542817495101</v>
      </c>
      <c r="AI1766">
        <v>96.691234442459702</v>
      </c>
      <c r="AJ1766">
        <v>104.80566261286</v>
      </c>
      <c r="AK1766">
        <v>9.48066352830695</v>
      </c>
    </row>
    <row r="1767" spans="1:37" x14ac:dyDescent="0.2">
      <c r="A1767" t="str">
        <f>"20200111153642633"</f>
        <v>20200111153642633</v>
      </c>
      <c r="B1767" t="str">
        <f>"1578728202624955"</f>
        <v>1578728202624955</v>
      </c>
      <c r="C1767" t="s">
        <v>37</v>
      </c>
      <c r="D1767">
        <v>5.7891810000000001</v>
      </c>
      <c r="E1767">
        <v>0.42915419999999999</v>
      </c>
      <c r="F1767" t="s">
        <v>48</v>
      </c>
      <c r="G1767">
        <v>-290.86880000000002</v>
      </c>
      <c r="H1767" s="1">
        <v>2.6209219999999999E-6</v>
      </c>
      <c r="I1767">
        <v>281.6302</v>
      </c>
      <c r="J1767">
        <v>-281.54950000000002</v>
      </c>
      <c r="K1767">
        <v>1.104719</v>
      </c>
      <c r="L1767">
        <v>283.8485</v>
      </c>
      <c r="M1767">
        <v>-0.99956639999999997</v>
      </c>
      <c r="N1767">
        <v>0</v>
      </c>
      <c r="O1767">
        <v>2.5513790000000001E-2</v>
      </c>
      <c r="P1767">
        <v>-0.99861840000000002</v>
      </c>
      <c r="Q1767">
        <v>2.9416609999999999E-2</v>
      </c>
      <c r="R1767">
        <v>-4.3545260000000002E-2</v>
      </c>
      <c r="S1767">
        <v>-2.9848330000000001</v>
      </c>
      <c r="T1767">
        <v>-0.33699190000000001</v>
      </c>
      <c r="U1767">
        <v>-0.67315669999999905</v>
      </c>
      <c r="V1767">
        <v>-6.9068690000000002E-2</v>
      </c>
      <c r="W1767">
        <v>4.3986730000000002E-2</v>
      </c>
      <c r="X1767">
        <v>0.99664169999999996</v>
      </c>
      <c r="Y1767">
        <v>-0.24319299999999999</v>
      </c>
      <c r="Z1767">
        <v>-1.635501E-2</v>
      </c>
      <c r="AA1767">
        <v>0.96983999999999904</v>
      </c>
      <c r="AB1767">
        <v>47</v>
      </c>
      <c r="AC1767">
        <v>-9.3192999999999895</v>
      </c>
      <c r="AD1767">
        <v>-1.1047163790779999</v>
      </c>
      <c r="AE1767">
        <v>-2.2183000000000002</v>
      </c>
      <c r="AF1767">
        <v>-2.4231500208824701</v>
      </c>
      <c r="AG1767">
        <v>-1.1047163790779999</v>
      </c>
      <c r="AH1767">
        <v>9.1381395104906797</v>
      </c>
      <c r="AI1767">
        <v>96.664918533104</v>
      </c>
      <c r="AJ1767">
        <v>104.85126671098701</v>
      </c>
      <c r="AK1767">
        <v>9.5182796772892093</v>
      </c>
    </row>
    <row r="1768" spans="1:37" x14ac:dyDescent="0.2">
      <c r="A1768" t="str">
        <f>"20200111153642657"</f>
        <v>20200111153642657</v>
      </c>
      <c r="B1768" t="str">
        <f>"1578728202644476"</f>
        <v>1578728202644476</v>
      </c>
      <c r="C1768" t="s">
        <v>37</v>
      </c>
      <c r="D1768">
        <v>5.8481180000000004</v>
      </c>
      <c r="E1768">
        <v>0.42883539999999998</v>
      </c>
      <c r="F1768" t="s">
        <v>48</v>
      </c>
      <c r="G1768">
        <v>-291.40539999999999</v>
      </c>
      <c r="H1768" s="1">
        <v>2.7180979999999998E-6</v>
      </c>
      <c r="I1768">
        <v>281.60739999999998</v>
      </c>
      <c r="J1768">
        <v>-282.01280000000003</v>
      </c>
      <c r="K1768">
        <v>1.1047579999999999</v>
      </c>
      <c r="L1768">
        <v>283.86</v>
      </c>
      <c r="M1768">
        <v>-0.99957969999999896</v>
      </c>
      <c r="N1768">
        <v>0</v>
      </c>
      <c r="O1768">
        <v>2.4985210000000001E-2</v>
      </c>
      <c r="P1768">
        <v>-0.99853519999999896</v>
      </c>
      <c r="Q1768">
        <v>3.065886E-2</v>
      </c>
      <c r="R1768">
        <v>-4.4582040000000003E-2</v>
      </c>
      <c r="S1768">
        <v>-2.9844360000000001</v>
      </c>
      <c r="T1768">
        <v>-0.3345146</v>
      </c>
      <c r="U1768">
        <v>-0.67861939999999998</v>
      </c>
      <c r="V1768">
        <v>-6.9579999999999906E-2</v>
      </c>
      <c r="W1768">
        <v>4.5222890000000002E-2</v>
      </c>
      <c r="X1768">
        <v>0.99655079999999996</v>
      </c>
      <c r="Y1768">
        <v>-0.24441639999999901</v>
      </c>
      <c r="Z1768">
        <v>-1.6243500000000001E-2</v>
      </c>
      <c r="AA1768">
        <v>0.96953429999999996</v>
      </c>
      <c r="AB1768">
        <v>47</v>
      </c>
      <c r="AC1768">
        <v>-9.3925999999999608</v>
      </c>
      <c r="AD1768">
        <v>-1.1047552819019999</v>
      </c>
      <c r="AE1768">
        <v>-2.2526000000000201</v>
      </c>
      <c r="AF1768">
        <v>-2.4544885397913401</v>
      </c>
      <c r="AG1768">
        <v>-1.1047552819019999</v>
      </c>
      <c r="AH1768">
        <v>9.2128571052960293</v>
      </c>
      <c r="AI1768">
        <v>96.609541366417204</v>
      </c>
      <c r="AJ1768">
        <v>104.918216759743</v>
      </c>
      <c r="AK1768">
        <v>9.5980067861749792</v>
      </c>
    </row>
    <row r="1769" spans="1:37" x14ac:dyDescent="0.2">
      <c r="A1769" t="str">
        <f>"20200111153642677"</f>
        <v>20200111153642677</v>
      </c>
      <c r="B1769" t="str">
        <f>"1578728202674732"</f>
        <v>1578728202674732</v>
      </c>
      <c r="C1769" t="s">
        <v>37</v>
      </c>
      <c r="D1769">
        <v>5.855569</v>
      </c>
      <c r="E1769">
        <v>0.42824319999999999</v>
      </c>
      <c r="F1769" t="s">
        <v>48</v>
      </c>
      <c r="G1769">
        <v>-291.96730000000002</v>
      </c>
      <c r="H1769" s="1">
        <v>2.820235E-6</v>
      </c>
      <c r="I1769">
        <v>281.57909999999998</v>
      </c>
      <c r="J1769">
        <v>-282.45389999999998</v>
      </c>
      <c r="K1769">
        <v>1.104787</v>
      </c>
      <c r="L1769">
        <v>283.87060000000002</v>
      </c>
      <c r="M1769">
        <v>-0.999592499999999</v>
      </c>
      <c r="N1769">
        <v>0</v>
      </c>
      <c r="O1769">
        <v>2.4471030000000001E-2</v>
      </c>
      <c r="P1769">
        <v>-0.99845239999999902</v>
      </c>
      <c r="Q1769">
        <v>3.1551990000000002E-2</v>
      </c>
      <c r="R1769">
        <v>-4.579511E-2</v>
      </c>
      <c r="S1769">
        <v>-2.98407</v>
      </c>
      <c r="T1769">
        <v>-0.33117409999999903</v>
      </c>
      <c r="U1769">
        <v>-0.68374630000000003</v>
      </c>
      <c r="V1769">
        <v>-7.0281369999999996E-2</v>
      </c>
      <c r="W1769">
        <v>4.6109829999999997E-2</v>
      </c>
      <c r="X1769">
        <v>0.99646089999999998</v>
      </c>
      <c r="Y1769">
        <v>-0.2455552</v>
      </c>
      <c r="Z1769">
        <v>-1.6087130000000002E-2</v>
      </c>
      <c r="AA1769">
        <v>0.96924909999999997</v>
      </c>
      <c r="AB1769">
        <v>47</v>
      </c>
      <c r="AC1769">
        <v>-9.5134000000000398</v>
      </c>
      <c r="AD1769">
        <v>-1.104784179765</v>
      </c>
      <c r="AE1769">
        <v>-2.2915000000000401</v>
      </c>
      <c r="AF1769">
        <v>-2.4918788163751802</v>
      </c>
      <c r="AG1769">
        <v>-1.104784179765</v>
      </c>
      <c r="AH1769">
        <v>9.3354747003693408</v>
      </c>
      <c r="AI1769">
        <v>96.522835684572499</v>
      </c>
      <c r="AJ1769">
        <v>104.945276466293</v>
      </c>
      <c r="AK1769">
        <v>9.7252812813097798</v>
      </c>
    </row>
    <row r="1770" spans="1:37" x14ac:dyDescent="0.2">
      <c r="A1770" t="str">
        <f>"20200111153642701"</f>
        <v>20200111153642701</v>
      </c>
      <c r="B1770" t="str">
        <f>"1578728202694252"</f>
        <v>1578728202694252</v>
      </c>
      <c r="C1770" t="s">
        <v>37</v>
      </c>
      <c r="D1770">
        <v>5.812049</v>
      </c>
      <c r="E1770">
        <v>0.42789480000000002</v>
      </c>
      <c r="F1770" t="s">
        <v>48</v>
      </c>
      <c r="G1770">
        <v>-292.4726</v>
      </c>
      <c r="H1770" s="1">
        <v>2.9126840000000001E-6</v>
      </c>
      <c r="I1770">
        <v>281.54689999999999</v>
      </c>
      <c r="J1770">
        <v>-282.9237</v>
      </c>
      <c r="K1770">
        <v>1.104806</v>
      </c>
      <c r="L1770">
        <v>283.88170000000002</v>
      </c>
      <c r="M1770">
        <v>-0.99960590000000005</v>
      </c>
      <c r="N1770">
        <v>0</v>
      </c>
      <c r="O1770">
        <v>2.3915659999999998E-2</v>
      </c>
      <c r="P1770">
        <v>-0.99841309999999905</v>
      </c>
      <c r="Q1770">
        <v>3.1406419999999997E-2</v>
      </c>
      <c r="R1770">
        <v>-4.6748419999999999E-2</v>
      </c>
      <c r="S1770">
        <v>-2.9833069999999999</v>
      </c>
      <c r="T1770">
        <v>-0.32897569999999998</v>
      </c>
      <c r="U1770">
        <v>-0.6919556</v>
      </c>
      <c r="V1770">
        <v>-7.0680980000000004E-2</v>
      </c>
      <c r="W1770">
        <v>4.595979E-2</v>
      </c>
      <c r="X1770">
        <v>0.99643959999999998</v>
      </c>
      <c r="Y1770">
        <v>-0.24761529999999901</v>
      </c>
      <c r="Z1770">
        <v>-1.603154E-2</v>
      </c>
      <c r="AA1770">
        <v>0.96872579999999997</v>
      </c>
      <c r="AB1770">
        <v>46</v>
      </c>
      <c r="AC1770">
        <v>-9.5488999999999997</v>
      </c>
      <c r="AD1770">
        <v>-1.104803087316</v>
      </c>
      <c r="AE1770">
        <v>-2.33480000000002</v>
      </c>
      <c r="AF1770">
        <v>-2.5305609090690901</v>
      </c>
      <c r="AG1770">
        <v>-1.104803087316</v>
      </c>
      <c r="AH1770">
        <v>9.3719448233969196</v>
      </c>
      <c r="AI1770">
        <v>96.492799344819502</v>
      </c>
      <c r="AJ1770">
        <v>105.110348966381</v>
      </c>
      <c r="AK1770">
        <v>9.7702445286209691</v>
      </c>
    </row>
    <row r="1771" spans="1:37" x14ac:dyDescent="0.2">
      <c r="A1771" t="str">
        <f>"20200111153642722"</f>
        <v>20200111153642722</v>
      </c>
      <c r="B1771" t="str">
        <f>"1578728202714747"</f>
        <v>1578728202714747</v>
      </c>
      <c r="C1771" t="s">
        <v>37</v>
      </c>
      <c r="D1771">
        <v>5.791747</v>
      </c>
      <c r="E1771">
        <v>0.42776649999999999</v>
      </c>
      <c r="F1771" t="s">
        <v>48</v>
      </c>
      <c r="G1771">
        <v>-292.91629999999998</v>
      </c>
      <c r="H1771" s="1">
        <v>2.9916910000000001E-6</v>
      </c>
      <c r="I1771">
        <v>281.54349999999999</v>
      </c>
      <c r="J1771">
        <v>-283.39699999999999</v>
      </c>
      <c r="K1771">
        <v>1.104835</v>
      </c>
      <c r="L1771">
        <v>283.89249999999998</v>
      </c>
      <c r="M1771">
        <v>-0.99961919999999904</v>
      </c>
      <c r="N1771">
        <v>0</v>
      </c>
      <c r="O1771">
        <v>2.3353189999999999E-2</v>
      </c>
      <c r="P1771">
        <v>-0.99837299999999995</v>
      </c>
      <c r="Q1771">
        <v>3.0081449999999999E-2</v>
      </c>
      <c r="R1771">
        <v>-4.8442230000000003E-2</v>
      </c>
      <c r="S1771">
        <v>-2.9824519999999999</v>
      </c>
      <c r="T1771">
        <v>-0.32974720000000002</v>
      </c>
      <c r="U1771">
        <v>-0.69787600000000005</v>
      </c>
      <c r="V1771">
        <v>-7.1812769999999998E-2</v>
      </c>
      <c r="W1771">
        <v>4.4628399999999999E-2</v>
      </c>
      <c r="X1771">
        <v>0.99641919999999995</v>
      </c>
      <c r="Y1771">
        <v>-0.24894339999999901</v>
      </c>
      <c r="Z1771">
        <v>-1.6080819999999999E-2</v>
      </c>
      <c r="AA1771">
        <v>0.96838449999999998</v>
      </c>
      <c r="AB1771">
        <v>46</v>
      </c>
      <c r="AC1771">
        <v>-9.5192999999999799</v>
      </c>
      <c r="AD1771">
        <v>-1.104832008309</v>
      </c>
      <c r="AE1771">
        <v>-2.3489999999999802</v>
      </c>
      <c r="AF1771">
        <v>-2.5384577085386399</v>
      </c>
      <c r="AG1771">
        <v>-1.104832008309</v>
      </c>
      <c r="AH1771">
        <v>9.3432071891946507</v>
      </c>
      <c r="AI1771">
        <v>96.510037793976394</v>
      </c>
      <c r="AJ1771">
        <v>105.19979725814601</v>
      </c>
      <c r="AK1771">
        <v>9.7447391901908809</v>
      </c>
    </row>
    <row r="1772" spans="1:37" x14ac:dyDescent="0.2">
      <c r="A1772" t="str">
        <f>"20200111153642744"</f>
        <v>20200111153642744</v>
      </c>
      <c r="B1772" t="str">
        <f>"1578728202734270"</f>
        <v>1578728202734270</v>
      </c>
      <c r="C1772" t="s">
        <v>37</v>
      </c>
      <c r="D1772">
        <v>5.7451829999999999</v>
      </c>
      <c r="E1772">
        <v>0.41789589999999999</v>
      </c>
      <c r="F1772" t="s">
        <v>48</v>
      </c>
      <c r="G1772">
        <v>-293.28870000000001</v>
      </c>
      <c r="H1772" s="1">
        <v>3.0565910000000001E-6</v>
      </c>
      <c r="I1772">
        <v>281.55669999999998</v>
      </c>
      <c r="J1772">
        <v>-283.84500000000003</v>
      </c>
      <c r="K1772">
        <v>1.1048559999999901</v>
      </c>
      <c r="L1772">
        <v>283.90260000000001</v>
      </c>
      <c r="M1772">
        <v>-0.99963169999999901</v>
      </c>
      <c r="N1772">
        <v>0</v>
      </c>
      <c r="O1772">
        <v>2.2819740000000002E-2</v>
      </c>
      <c r="P1772">
        <v>-0.99830620000000003</v>
      </c>
      <c r="Q1772">
        <v>2.955816E-2</v>
      </c>
      <c r="R1772">
        <v>-5.0115699999999999E-2</v>
      </c>
      <c r="S1772">
        <v>-2.9807739999999998</v>
      </c>
      <c r="T1772">
        <v>-0.33293080000000003</v>
      </c>
      <c r="U1772">
        <v>-0.70388790000000001</v>
      </c>
      <c r="V1772">
        <v>-7.2952840000000005E-2</v>
      </c>
      <c r="W1772">
        <v>4.4098680000000001E-2</v>
      </c>
      <c r="X1772">
        <v>0.99635989999999997</v>
      </c>
      <c r="Y1772">
        <v>-0.25036179999999902</v>
      </c>
      <c r="Z1772">
        <v>-1.6259599999999999E-2</v>
      </c>
      <c r="AA1772">
        <v>0.96801579999999998</v>
      </c>
      <c r="AB1772">
        <v>46</v>
      </c>
      <c r="AC1772">
        <v>-9.4436999999999696</v>
      </c>
      <c r="AD1772">
        <v>-1.10485294340899</v>
      </c>
      <c r="AE1772">
        <v>-2.3459000000000199</v>
      </c>
      <c r="AF1772">
        <v>-2.5282212150355301</v>
      </c>
      <c r="AG1772">
        <v>-1.10485294340899</v>
      </c>
      <c r="AH1772">
        <v>9.2682159570414608</v>
      </c>
      <c r="AI1772">
        <v>96.560574412933605</v>
      </c>
      <c r="AJ1772">
        <v>105.258144989496</v>
      </c>
      <c r="AK1772">
        <v>9.67018249905726</v>
      </c>
    </row>
    <row r="1773" spans="1:37" x14ac:dyDescent="0.2">
      <c r="A1773" t="str">
        <f>"20200111153642766"</f>
        <v>20200111153642766</v>
      </c>
      <c r="B1773" t="str">
        <f>"1578728202754764"</f>
        <v>1578728202754764</v>
      </c>
      <c r="C1773" t="s">
        <v>37</v>
      </c>
      <c r="D1773">
        <v>5.7054929999999997</v>
      </c>
      <c r="E1773">
        <v>0.41636200000000001</v>
      </c>
      <c r="F1773" t="s">
        <v>48</v>
      </c>
      <c r="G1773">
        <v>-293.3888</v>
      </c>
      <c r="H1773" s="1">
        <v>3.0899089999999999E-6</v>
      </c>
      <c r="I1773">
        <v>281.37869999999998</v>
      </c>
      <c r="J1773">
        <v>-284.28739999999999</v>
      </c>
      <c r="K1773">
        <v>1.104884</v>
      </c>
      <c r="L1773">
        <v>283.91230000000002</v>
      </c>
      <c r="M1773">
        <v>-0.99964339999999996</v>
      </c>
      <c r="N1773">
        <v>0</v>
      </c>
      <c r="O1773">
        <v>2.2293250000000001E-2</v>
      </c>
      <c r="P1773">
        <v>-0.99826899999999996</v>
      </c>
      <c r="Q1773">
        <v>2.8967639999999999E-2</v>
      </c>
      <c r="R1773">
        <v>-5.1187549999999998E-2</v>
      </c>
      <c r="S1773">
        <v>-2.9757689999999899</v>
      </c>
      <c r="T1773">
        <v>-0.34449359999999901</v>
      </c>
      <c r="U1773">
        <v>-0.78695680000000001</v>
      </c>
      <c r="V1773">
        <v>-7.3498759999999996E-2</v>
      </c>
      <c r="W1773">
        <v>4.350416E-2</v>
      </c>
      <c r="X1773">
        <v>0.99634599999999995</v>
      </c>
      <c r="Y1773">
        <v>-0.27529619999999999</v>
      </c>
      <c r="Z1773">
        <v>-1.814727E-2</v>
      </c>
      <c r="AA1773">
        <v>0.96118809999999999</v>
      </c>
      <c r="AB1773">
        <v>46</v>
      </c>
      <c r="AC1773">
        <v>-9.1014000000000106</v>
      </c>
      <c r="AD1773">
        <v>-1.104880910091</v>
      </c>
      <c r="AE1773">
        <v>-2.5336000000000301</v>
      </c>
      <c r="AF1773">
        <v>-2.6989771979433899</v>
      </c>
      <c r="AG1773">
        <v>-1.104880910091</v>
      </c>
      <c r="AH1773">
        <v>8.9206390702155893</v>
      </c>
      <c r="AI1773">
        <v>96.760833685966205</v>
      </c>
      <c r="AJ1773">
        <v>106.833413267719</v>
      </c>
      <c r="AK1773">
        <v>9.3852565847481593</v>
      </c>
    </row>
    <row r="1774" spans="1:37" x14ac:dyDescent="0.2">
      <c r="A1774" t="str">
        <f>"20200111153642779"</f>
        <v>20200111153642779</v>
      </c>
      <c r="B1774" t="str">
        <f>"1578728202774284"</f>
        <v>1578728202774284</v>
      </c>
      <c r="C1774" t="s">
        <v>37</v>
      </c>
      <c r="D1774">
        <v>5.6985409999999996</v>
      </c>
      <c r="E1774">
        <v>0.41528999999999899</v>
      </c>
      <c r="F1774" t="s">
        <v>48</v>
      </c>
      <c r="G1774">
        <v>-293.79199999999997</v>
      </c>
      <c r="H1774" s="1">
        <v>3.164118E-6</v>
      </c>
      <c r="I1774">
        <v>281.34789999999998</v>
      </c>
      <c r="J1774">
        <v>-284.57</v>
      </c>
      <c r="K1774">
        <v>1.1049020000000001</v>
      </c>
      <c r="L1774">
        <v>283.91840000000002</v>
      </c>
      <c r="M1774">
        <v>-0.99965090000000001</v>
      </c>
      <c r="N1774">
        <v>0</v>
      </c>
      <c r="O1774">
        <v>2.1956750000000001E-2</v>
      </c>
      <c r="P1774">
        <v>-0.99827129999999997</v>
      </c>
      <c r="Q1774">
        <v>2.8934729999999999E-2</v>
      </c>
      <c r="R1774">
        <v>-5.116275E-2</v>
      </c>
      <c r="S1774">
        <v>-2.974091</v>
      </c>
      <c r="T1774">
        <v>-0.34572900000000001</v>
      </c>
      <c r="U1774">
        <v>-0.80242919999999995</v>
      </c>
      <c r="V1774">
        <v>-7.3139209999999996E-2</v>
      </c>
      <c r="W1774">
        <v>4.3469849999999997E-2</v>
      </c>
      <c r="X1774">
        <v>0.99637399999999998</v>
      </c>
      <c r="Y1774">
        <v>-0.27973300000000001</v>
      </c>
      <c r="Z1774">
        <v>-1.8424119999999999E-2</v>
      </c>
      <c r="AA1774">
        <v>0.959901</v>
      </c>
      <c r="AB1774">
        <v>46</v>
      </c>
      <c r="AC1774">
        <v>-9.2220000000000297</v>
      </c>
      <c r="AD1774">
        <v>-1.104898835882</v>
      </c>
      <c r="AE1774">
        <v>-2.5705000000000302</v>
      </c>
      <c r="AF1774">
        <v>-2.7359448029085498</v>
      </c>
      <c r="AG1774">
        <v>-1.104898835882</v>
      </c>
      <c r="AH1774">
        <v>9.0428805108216697</v>
      </c>
      <c r="AI1774">
        <v>96.670380701490203</v>
      </c>
      <c r="AJ1774">
        <v>106.833314231402</v>
      </c>
      <c r="AK1774">
        <v>9.5120914280243394</v>
      </c>
    </row>
    <row r="1775" spans="1:37" x14ac:dyDescent="0.2">
      <c r="A1775" t="str">
        <f>"20200111153642800"</f>
        <v>20200111153642800</v>
      </c>
      <c r="B1775" t="str">
        <f>"1578728202794780"</f>
        <v>1578728202794780</v>
      </c>
      <c r="C1775" t="s">
        <v>37</v>
      </c>
      <c r="D1775">
        <v>5.9257109999999997</v>
      </c>
      <c r="E1775">
        <v>0.41515619999999998</v>
      </c>
      <c r="F1775" t="s">
        <v>48</v>
      </c>
      <c r="G1775">
        <v>-294.15940000000001</v>
      </c>
      <c r="H1775" s="1">
        <v>3.2332099999999899E-6</v>
      </c>
      <c r="I1775">
        <v>281.30309999999997</v>
      </c>
      <c r="J1775">
        <v>-284.9973</v>
      </c>
      <c r="K1775">
        <v>1.104932</v>
      </c>
      <c r="L1775">
        <v>283.9273</v>
      </c>
      <c r="M1775">
        <v>-0.99966200000000005</v>
      </c>
      <c r="N1775">
        <v>0</v>
      </c>
      <c r="O1775">
        <v>2.1447910000000001E-2</v>
      </c>
      <c r="P1775">
        <v>-0.99827009999999905</v>
      </c>
      <c r="Q1775">
        <v>2.9869179999999999E-2</v>
      </c>
      <c r="R1775">
        <v>-5.0643870000000001E-2</v>
      </c>
      <c r="S1775">
        <v>-2.973541</v>
      </c>
      <c r="T1775">
        <v>-0.34261609999999998</v>
      </c>
      <c r="U1775">
        <v>-0.81097410000000003</v>
      </c>
      <c r="V1775">
        <v>-7.2114739999999997E-2</v>
      </c>
      <c r="W1775">
        <v>4.4403079999999998E-2</v>
      </c>
      <c r="X1775">
        <v>0.99640740000000005</v>
      </c>
      <c r="Y1775">
        <v>-0.28188259999999998</v>
      </c>
      <c r="Z1775">
        <v>-1.831961E-2</v>
      </c>
      <c r="AA1775">
        <v>0.95927399999999996</v>
      </c>
      <c r="AB1775">
        <v>46</v>
      </c>
      <c r="AC1775">
        <v>-9.1621000000000095</v>
      </c>
      <c r="AD1775">
        <v>-1.1049287667899901</v>
      </c>
      <c r="AE1775">
        <v>-2.6242000000000298</v>
      </c>
      <c r="AF1775">
        <v>-2.7827223034253099</v>
      </c>
      <c r="AG1775">
        <v>-1.1049287667899901</v>
      </c>
      <c r="AH1775">
        <v>8.9829608386923994</v>
      </c>
      <c r="AI1775">
        <v>96.701206230297601</v>
      </c>
      <c r="AJ1775">
        <v>107.21182319523</v>
      </c>
      <c r="AK1775">
        <v>9.4687906528311299</v>
      </c>
    </row>
    <row r="1776" spans="1:37" x14ac:dyDescent="0.2">
      <c r="A1776" t="str">
        <f>"20200111153642823"</f>
        <v>20200111153642823</v>
      </c>
      <c r="B1776" t="str">
        <f>"1578728202814302"</f>
        <v>1578728202814302</v>
      </c>
      <c r="C1776" t="s">
        <v>37</v>
      </c>
      <c r="D1776">
        <v>5.7295059999999998</v>
      </c>
      <c r="E1776">
        <v>0.41438950000000002</v>
      </c>
      <c r="F1776" t="s">
        <v>48</v>
      </c>
      <c r="G1776">
        <v>-294.79149999999998</v>
      </c>
      <c r="H1776" s="1">
        <v>3.3493249999999999E-6</v>
      </c>
      <c r="I1776">
        <v>281.25749999999999</v>
      </c>
      <c r="J1776">
        <v>-285.47129999999999</v>
      </c>
      <c r="K1776">
        <v>1.104967</v>
      </c>
      <c r="L1776">
        <v>283.93709999999999</v>
      </c>
      <c r="M1776">
        <v>-0.99967410000000001</v>
      </c>
      <c r="N1776">
        <v>0</v>
      </c>
      <c r="O1776">
        <v>2.088224E-2</v>
      </c>
      <c r="P1776">
        <v>-0.99830419999999997</v>
      </c>
      <c r="Q1776">
        <v>2.992417E-2</v>
      </c>
      <c r="R1776">
        <v>-4.9935399999999998E-2</v>
      </c>
      <c r="S1776">
        <v>-2.9741520000000001</v>
      </c>
      <c r="T1776">
        <v>-0.33552559999999998</v>
      </c>
      <c r="U1776">
        <v>-0.81072999999999995</v>
      </c>
      <c r="V1776">
        <v>-7.0844000000000004E-2</v>
      </c>
      <c r="W1776">
        <v>4.4458810000000001E-2</v>
      </c>
      <c r="X1776">
        <v>0.996496099999999</v>
      </c>
      <c r="Y1776">
        <v>-0.28130070000000001</v>
      </c>
      <c r="Z1776">
        <v>-1.784471E-2</v>
      </c>
      <c r="AA1776">
        <v>0.95945380000000002</v>
      </c>
      <c r="AB1776">
        <v>46</v>
      </c>
      <c r="AC1776">
        <v>-9.3201999999999998</v>
      </c>
      <c r="AD1776">
        <v>-1.104963650675</v>
      </c>
      <c r="AE1776">
        <v>-2.67959999999999</v>
      </c>
      <c r="AF1776">
        <v>-2.8368343814395498</v>
      </c>
      <c r="AG1776">
        <v>-1.104963650675</v>
      </c>
      <c r="AH1776">
        <v>9.1435008525335899</v>
      </c>
      <c r="AI1776">
        <v>96.5839116746603</v>
      </c>
      <c r="AJ1776">
        <v>107.236864862877</v>
      </c>
      <c r="AK1776">
        <v>9.6370214183280201</v>
      </c>
    </row>
    <row r="1777" spans="1:37" x14ac:dyDescent="0.2">
      <c r="A1777" t="str">
        <f>"20200111153642844"</f>
        <v>20200111153642844</v>
      </c>
      <c r="B1777" t="str">
        <f>"1578728202834798"</f>
        <v>1578728202834798</v>
      </c>
      <c r="C1777" t="s">
        <v>37</v>
      </c>
      <c r="D1777">
        <v>5.7489109999999997</v>
      </c>
      <c r="E1777">
        <v>0.4138442</v>
      </c>
      <c r="F1777" t="s">
        <v>48</v>
      </c>
      <c r="G1777">
        <v>-295.30439999999999</v>
      </c>
      <c r="H1777" s="1">
        <v>3.4414830000000002E-6</v>
      </c>
      <c r="I1777">
        <v>281.24400000000003</v>
      </c>
      <c r="J1777">
        <v>-285.91199999999998</v>
      </c>
      <c r="K1777">
        <v>1.1050059999999999</v>
      </c>
      <c r="L1777">
        <v>283.94589999999999</v>
      </c>
      <c r="M1777">
        <v>-0.99968500000000005</v>
      </c>
      <c r="N1777">
        <v>0</v>
      </c>
      <c r="O1777">
        <v>2.0355829999999998E-2</v>
      </c>
      <c r="P1777">
        <v>-0.9983436</v>
      </c>
      <c r="Q1777">
        <v>3.018063E-2</v>
      </c>
      <c r="R1777">
        <v>-4.8988839999999999E-2</v>
      </c>
      <c r="S1777">
        <v>-2.974396</v>
      </c>
      <c r="T1777">
        <v>-0.33423829999999999</v>
      </c>
      <c r="U1777">
        <v>-0.81463619999999903</v>
      </c>
      <c r="V1777">
        <v>-6.9373939999999995E-2</v>
      </c>
      <c r="W1777">
        <v>4.4715570000000003E-2</v>
      </c>
      <c r="X1777">
        <v>0.99658809999999998</v>
      </c>
      <c r="Y1777">
        <v>-0.28196199999999999</v>
      </c>
      <c r="Z1777">
        <v>-1.7750660000000001E-2</v>
      </c>
      <c r="AA1777">
        <v>0.95926139999999904</v>
      </c>
      <c r="AB1777">
        <v>46</v>
      </c>
      <c r="AC1777">
        <v>-9.3923999999999506</v>
      </c>
      <c r="AD1777">
        <v>-1.105002558517</v>
      </c>
      <c r="AE1777">
        <v>-2.7018999999999598</v>
      </c>
      <c r="AF1777">
        <v>-2.8560410419927398</v>
      </c>
      <c r="AG1777">
        <v>-1.105002558517</v>
      </c>
      <c r="AH1777">
        <v>9.2176163165077103</v>
      </c>
      <c r="AI1777">
        <v>96.532412885546293</v>
      </c>
      <c r="AJ1777">
        <v>107.21538303677001</v>
      </c>
      <c r="AK1777">
        <v>9.7130042544119792</v>
      </c>
    </row>
    <row r="1778" spans="1:37" x14ac:dyDescent="0.2">
      <c r="A1778" t="str">
        <f>"20200111153642858"</f>
        <v>20200111153642858</v>
      </c>
      <c r="B1778" t="str">
        <f>"1578728202854316"</f>
        <v>1578728202854316</v>
      </c>
      <c r="C1778" t="s">
        <v>37</v>
      </c>
      <c r="D1778">
        <v>5.7359450000000001</v>
      </c>
      <c r="E1778">
        <v>0.41348299999999999</v>
      </c>
      <c r="F1778" t="s">
        <v>48</v>
      </c>
      <c r="G1778">
        <v>-295.75360000000001</v>
      </c>
      <c r="H1778" s="1">
        <v>3.5209399999999999E-6</v>
      </c>
      <c r="I1778">
        <v>281.2466</v>
      </c>
      <c r="J1778">
        <v>-286.19589999999999</v>
      </c>
      <c r="K1778">
        <v>1.1050260000000001</v>
      </c>
      <c r="L1778">
        <v>283.95139999999998</v>
      </c>
      <c r="M1778">
        <v>-0.99969180000000002</v>
      </c>
      <c r="N1778">
        <v>0</v>
      </c>
      <c r="O1778">
        <v>2.0016539999999999E-2</v>
      </c>
      <c r="P1778">
        <v>-0.99834290000000003</v>
      </c>
      <c r="Q1778">
        <v>3.0304459999999998E-2</v>
      </c>
      <c r="R1778">
        <v>-4.8920749999999999E-2</v>
      </c>
      <c r="S1778">
        <v>-2.9750369999999999</v>
      </c>
      <c r="T1778">
        <v>-0.33403369999999999</v>
      </c>
      <c r="U1778">
        <v>-0.81597900000000001</v>
      </c>
      <c r="V1778">
        <v>-6.8968660000000001E-2</v>
      </c>
      <c r="W1778">
        <v>4.4838959999999997E-2</v>
      </c>
      <c r="X1778">
        <v>0.99661060000000001</v>
      </c>
      <c r="Y1778">
        <v>-0.28199170000000001</v>
      </c>
      <c r="Z1778">
        <v>-1.769946E-2</v>
      </c>
      <c r="AA1778">
        <v>0.95925360000000004</v>
      </c>
      <c r="AB1778">
        <v>46</v>
      </c>
      <c r="AC1778">
        <v>-9.5577000000000094</v>
      </c>
      <c r="AD1778">
        <v>-1.1050224790600001</v>
      </c>
      <c r="AE1778">
        <v>-2.7047999999999699</v>
      </c>
      <c r="AF1778">
        <v>-2.8601932401802301</v>
      </c>
      <c r="AG1778">
        <v>-1.1050224790600001</v>
      </c>
      <c r="AH1778">
        <v>9.3854843553288205</v>
      </c>
      <c r="AI1778">
        <v>96.425789908696501</v>
      </c>
      <c r="AJ1778">
        <v>106.948415117252</v>
      </c>
      <c r="AK1778">
        <v>9.87365670025663</v>
      </c>
    </row>
    <row r="1779" spans="1:37" x14ac:dyDescent="0.2">
      <c r="A1779" t="str">
        <f>"20200111153642871"</f>
        <v>20200111153642871</v>
      </c>
      <c r="B1779" t="str">
        <f>"1578728202864076"</f>
        <v>1578728202864076</v>
      </c>
      <c r="C1779" t="s">
        <v>37</v>
      </c>
      <c r="D1779">
        <v>5.7111390000000002</v>
      </c>
      <c r="E1779">
        <v>0.41317670000000001</v>
      </c>
      <c r="F1779" t="s">
        <v>48</v>
      </c>
      <c r="G1779">
        <v>-295.95920000000001</v>
      </c>
      <c r="H1779" s="1">
        <v>3.5557289999999999E-6</v>
      </c>
      <c r="I1779">
        <v>281.26569999999998</v>
      </c>
      <c r="J1779">
        <v>-286.46660000000003</v>
      </c>
      <c r="K1779">
        <v>1.1050389999999899</v>
      </c>
      <c r="L1779">
        <v>283.95659999999998</v>
      </c>
      <c r="M1779">
        <v>-0.99969819999999998</v>
      </c>
      <c r="N1779">
        <v>0</v>
      </c>
      <c r="O1779">
        <v>1.9692580000000001E-2</v>
      </c>
      <c r="P1779">
        <v>-0.99830409999999903</v>
      </c>
      <c r="Q1779">
        <v>3.1056179999999999E-2</v>
      </c>
      <c r="R1779">
        <v>-4.9238410000000003E-2</v>
      </c>
      <c r="S1779">
        <v>-2.97512799999999</v>
      </c>
      <c r="T1779">
        <v>-0.33672879999999999</v>
      </c>
      <c r="U1779">
        <v>-0.8183899</v>
      </c>
      <c r="V1779">
        <v>-6.8963940000000001E-2</v>
      </c>
      <c r="W1779">
        <v>4.5588730000000001E-2</v>
      </c>
      <c r="X1779">
        <v>0.99657700000000005</v>
      </c>
      <c r="Y1779">
        <v>-0.28236790000000001</v>
      </c>
      <c r="Z1779">
        <v>-1.782392E-2</v>
      </c>
      <c r="AA1779">
        <v>0.95914059999999901</v>
      </c>
      <c r="AB1779">
        <v>46</v>
      </c>
      <c r="AC1779">
        <v>-9.4925999999999799</v>
      </c>
      <c r="AD1779">
        <v>-1.105035444271</v>
      </c>
      <c r="AE1779">
        <v>-2.6908999999999899</v>
      </c>
      <c r="AF1779">
        <v>-2.8416876475556299</v>
      </c>
      <c r="AG1779">
        <v>-1.105035444271</v>
      </c>
      <c r="AH1779">
        <v>9.3208473806142091</v>
      </c>
      <c r="AI1779">
        <v>96.469820467309603</v>
      </c>
      <c r="AJ1779">
        <v>106.955121180597</v>
      </c>
      <c r="AK1779">
        <v>9.8068592277073208</v>
      </c>
    </row>
    <row r="1780" spans="1:37" x14ac:dyDescent="0.2">
      <c r="A1780" t="str">
        <f>"20200111153642889"</f>
        <v>20200111153642889</v>
      </c>
      <c r="B1780" t="str">
        <f>"1578728202884572"</f>
        <v>1578728202884572</v>
      </c>
      <c r="C1780" t="s">
        <v>37</v>
      </c>
      <c r="D1780">
        <v>5.7169080000000001</v>
      </c>
      <c r="E1780">
        <v>0.41244999999999998</v>
      </c>
      <c r="F1780" t="s">
        <v>48</v>
      </c>
      <c r="G1780">
        <v>-296.25170000000003</v>
      </c>
      <c r="H1780" s="1">
        <v>3.608543E-6</v>
      </c>
      <c r="I1780">
        <v>281.2552</v>
      </c>
      <c r="J1780">
        <v>-286.82769999999999</v>
      </c>
      <c r="K1780">
        <v>1.1050610000000001</v>
      </c>
      <c r="L1780">
        <v>283.96339999999998</v>
      </c>
      <c r="M1780">
        <v>-0.999706599999999</v>
      </c>
      <c r="N1780">
        <v>0</v>
      </c>
      <c r="O1780">
        <v>1.9260269999999999E-2</v>
      </c>
      <c r="P1780">
        <v>-0.99821859999999996</v>
      </c>
      <c r="Q1780">
        <v>3.2469209999999998E-2</v>
      </c>
      <c r="R1780">
        <v>-5.0056999999999997E-2</v>
      </c>
      <c r="S1780">
        <v>-2.975006</v>
      </c>
      <c r="T1780">
        <v>-0.33596749999999997</v>
      </c>
      <c r="U1780">
        <v>-0.82131960000000004</v>
      </c>
      <c r="V1780">
        <v>-6.9351449999999995E-2</v>
      </c>
      <c r="W1780">
        <v>4.6997699999999899E-2</v>
      </c>
      <c r="X1780">
        <v>0.99648459999999905</v>
      </c>
      <c r="Y1780">
        <v>-0.28284939999999997</v>
      </c>
      <c r="Z1780">
        <v>-1.7761079999999999E-2</v>
      </c>
      <c r="AA1780">
        <v>0.95899990000000002</v>
      </c>
      <c r="AB1780">
        <v>46</v>
      </c>
      <c r="AC1780">
        <v>-9.4240000000000297</v>
      </c>
      <c r="AD1780">
        <v>-1.1050573914570001</v>
      </c>
      <c r="AE1780">
        <v>-2.70819999999997</v>
      </c>
      <c r="AF1780">
        <v>-2.8529900744304499</v>
      </c>
      <c r="AG1780">
        <v>-1.1050573914570001</v>
      </c>
      <c r="AH1780">
        <v>9.2525683517498098</v>
      </c>
      <c r="AI1780">
        <v>96.511000296868005</v>
      </c>
      <c r="AJ1780">
        <v>107.136923859047</v>
      </c>
      <c r="AK1780">
        <v>9.7452924690342009</v>
      </c>
    </row>
    <row r="1781" spans="1:37" x14ac:dyDescent="0.2">
      <c r="A1781" t="str">
        <f>"20200111153642912"</f>
        <v>20200111153642912</v>
      </c>
      <c r="B1781" t="str">
        <f>"1578728202904094"</f>
        <v>1578728202904094</v>
      </c>
      <c r="C1781" t="s">
        <v>37</v>
      </c>
      <c r="D1781">
        <v>5.7077479999999996</v>
      </c>
      <c r="E1781">
        <v>0.40400520000000001</v>
      </c>
      <c r="F1781" t="s">
        <v>48</v>
      </c>
      <c r="G1781">
        <v>-296.6592</v>
      </c>
      <c r="H1781" s="1">
        <v>3.6836260000000001E-6</v>
      </c>
      <c r="I1781">
        <v>281.22320000000002</v>
      </c>
      <c r="J1781">
        <v>-287.31549999999999</v>
      </c>
      <c r="K1781">
        <v>1.105064</v>
      </c>
      <c r="L1781">
        <v>283.97230000000002</v>
      </c>
      <c r="M1781">
        <v>-0.99971779999999999</v>
      </c>
      <c r="N1781">
        <v>0</v>
      </c>
      <c r="O1781">
        <v>1.8675500000000001E-2</v>
      </c>
      <c r="P1781">
        <v>-0.99807289999999904</v>
      </c>
      <c r="Q1781">
        <v>3.4083769999999999E-2</v>
      </c>
      <c r="R1781">
        <v>-5.18565E-2</v>
      </c>
      <c r="S1781">
        <v>-2.97464</v>
      </c>
      <c r="T1781">
        <v>-0.33434639999999999</v>
      </c>
      <c r="U1781">
        <v>-0.829070999999999</v>
      </c>
      <c r="V1781">
        <v>-7.0567599999999994E-2</v>
      </c>
      <c r="W1781">
        <v>4.8604710000000002E-2</v>
      </c>
      <c r="X1781">
        <v>0.99632219999999905</v>
      </c>
      <c r="Y1781">
        <v>-0.28465009999999902</v>
      </c>
      <c r="Z1781">
        <v>-1.7706610000000001E-2</v>
      </c>
      <c r="AA1781">
        <v>0.95846799999999999</v>
      </c>
      <c r="AB1781">
        <v>46</v>
      </c>
      <c r="AC1781">
        <v>-9.3437000000000108</v>
      </c>
      <c r="AD1781">
        <v>-1.105060316374</v>
      </c>
      <c r="AE1781">
        <v>-2.7490999999999901</v>
      </c>
      <c r="AF1781">
        <v>-2.8859863401862702</v>
      </c>
      <c r="AG1781">
        <v>-1.105060316374</v>
      </c>
      <c r="AH1781">
        <v>9.1726446503798105</v>
      </c>
      <c r="AI1781">
        <v>96.555651015771204</v>
      </c>
      <c r="AJ1781">
        <v>107.46512329757699</v>
      </c>
      <c r="AK1781">
        <v>9.6792295840478797</v>
      </c>
    </row>
    <row r="1782" spans="1:37" x14ac:dyDescent="0.2">
      <c r="A1782" t="str">
        <f>"20200111153642925"</f>
        <v>20200111153642925</v>
      </c>
      <c r="B1782" t="str">
        <f>"1578728202914828"</f>
        <v>1578728202914828</v>
      </c>
      <c r="C1782" t="s">
        <v>37</v>
      </c>
      <c r="D1782">
        <v>5.692882</v>
      </c>
      <c r="E1782">
        <v>0.40399570000000001</v>
      </c>
      <c r="F1782" t="s">
        <v>48</v>
      </c>
      <c r="G1782">
        <v>-296.76769999999999</v>
      </c>
      <c r="H1782" s="1">
        <v>3.7131349999999898E-6</v>
      </c>
      <c r="I1782">
        <v>281.10579999999999</v>
      </c>
      <c r="J1782">
        <v>-287.57190000000003</v>
      </c>
      <c r="K1782">
        <v>1.1050629999999999</v>
      </c>
      <c r="L1782">
        <v>283.97680000000003</v>
      </c>
      <c r="M1782">
        <v>-0.99972359999999905</v>
      </c>
      <c r="N1782">
        <v>0</v>
      </c>
      <c r="O1782">
        <v>1.836819E-2</v>
      </c>
      <c r="P1782">
        <v>-0.99801469999999903</v>
      </c>
      <c r="Q1782">
        <v>3.4432959999999999E-2</v>
      </c>
      <c r="R1782">
        <v>-5.2737369999999999E-2</v>
      </c>
      <c r="S1782">
        <v>-2.9708559999999999</v>
      </c>
      <c r="T1782">
        <v>-0.3473234</v>
      </c>
      <c r="U1782">
        <v>-0.90093989999999902</v>
      </c>
      <c r="V1782">
        <v>-7.1141239999999994E-2</v>
      </c>
      <c r="W1782">
        <v>4.8951439999999999E-2</v>
      </c>
      <c r="X1782">
        <v>0.99626429999999999</v>
      </c>
      <c r="Y1782">
        <v>-0.30571409999999999</v>
      </c>
      <c r="Z1782">
        <v>-1.9517099999999999E-2</v>
      </c>
      <c r="AA1782">
        <v>0.95192330000000003</v>
      </c>
      <c r="AB1782">
        <v>46</v>
      </c>
      <c r="AC1782">
        <v>-9.1957999999999593</v>
      </c>
      <c r="AD1782">
        <v>-1.105059286865</v>
      </c>
      <c r="AE1782">
        <v>-2.8710000000000302</v>
      </c>
      <c r="AF1782">
        <v>-2.9999695828337001</v>
      </c>
      <c r="AG1782">
        <v>-1.105059286865</v>
      </c>
      <c r="AH1782">
        <v>9.0227834882129301</v>
      </c>
      <c r="AI1782">
        <v>96.629105971861094</v>
      </c>
      <c r="AJ1782">
        <v>108.391360561654</v>
      </c>
      <c r="AK1782">
        <v>9.5724393652079094</v>
      </c>
    </row>
    <row r="1783" spans="1:37" x14ac:dyDescent="0.2">
      <c r="A1783" t="str">
        <f>"20200111153642945"</f>
        <v>20200111153642945</v>
      </c>
      <c r="B1783" t="str">
        <f>"1578728202934351"</f>
        <v>1578728202934351</v>
      </c>
      <c r="C1783" t="s">
        <v>37</v>
      </c>
      <c r="D1783">
        <v>5.7031830000000001</v>
      </c>
      <c r="E1783">
        <v>0.40340959999999998</v>
      </c>
      <c r="F1783" t="s">
        <v>48</v>
      </c>
      <c r="G1783">
        <v>-297.02710000000002</v>
      </c>
      <c r="H1783" s="1">
        <v>3.7596509999999999E-6</v>
      </c>
      <c r="I1783">
        <v>281.09989999999999</v>
      </c>
      <c r="J1783">
        <v>-287.99450000000002</v>
      </c>
      <c r="K1783">
        <v>1.105046</v>
      </c>
      <c r="L1783">
        <v>283.98419999999999</v>
      </c>
      <c r="M1783">
        <v>-0.99973269999999903</v>
      </c>
      <c r="N1783">
        <v>0</v>
      </c>
      <c r="O1783">
        <v>1.7861099999999901E-2</v>
      </c>
      <c r="P1783">
        <v>-0.99793199999999904</v>
      </c>
      <c r="Q1783">
        <v>3.4415370000000001E-2</v>
      </c>
      <c r="R1783">
        <v>-5.4290539999999998E-2</v>
      </c>
      <c r="S1783">
        <v>-2.970215</v>
      </c>
      <c r="T1783">
        <v>-0.34713889999999997</v>
      </c>
      <c r="U1783">
        <v>-0.90374759999999998</v>
      </c>
      <c r="V1783">
        <v>-7.2187340000000003E-2</v>
      </c>
      <c r="W1783">
        <v>4.8928560000000003E-2</v>
      </c>
      <c r="X1783">
        <v>0.99619020000000003</v>
      </c>
      <c r="Y1783">
        <v>-0.30611500000000003</v>
      </c>
      <c r="Z1783">
        <v>-1.94732E-2</v>
      </c>
      <c r="AA1783">
        <v>0.95179530000000001</v>
      </c>
      <c r="AB1783">
        <v>46</v>
      </c>
      <c r="AC1783">
        <v>-9.0326000000000004</v>
      </c>
      <c r="AD1783">
        <v>-1.1050422403489999</v>
      </c>
      <c r="AE1783">
        <v>-2.8842999999999899</v>
      </c>
      <c r="AF1783">
        <v>-3.0043837824063599</v>
      </c>
      <c r="AG1783">
        <v>-1.1050422403489999</v>
      </c>
      <c r="AH1783">
        <v>8.8593092485824503</v>
      </c>
      <c r="AI1783">
        <v>96.736831319262805</v>
      </c>
      <c r="AJ1783">
        <v>108.73291145824901</v>
      </c>
      <c r="AK1783">
        <v>9.4199151072056093</v>
      </c>
    </row>
    <row r="1784" spans="1:37" x14ac:dyDescent="0.2">
      <c r="A1784" t="str">
        <f>"20200111153642967"</f>
        <v>20200111153642967</v>
      </c>
      <c r="B1784" t="str">
        <f>"1578728202964603"</f>
        <v>1578728202964603</v>
      </c>
      <c r="C1784" t="s">
        <v>37</v>
      </c>
      <c r="D1784">
        <v>5.6830639999999999</v>
      </c>
      <c r="E1784">
        <v>0.40201300000000001</v>
      </c>
      <c r="F1784" t="s">
        <v>48</v>
      </c>
      <c r="G1784">
        <v>-297.34050000000002</v>
      </c>
      <c r="H1784" s="1">
        <v>3.81440299999999E-6</v>
      </c>
      <c r="I1784">
        <v>281.10969999999998</v>
      </c>
      <c r="J1784">
        <v>-288.4314</v>
      </c>
      <c r="K1784">
        <v>1.10502099999999</v>
      </c>
      <c r="L1784">
        <v>283.99160000000001</v>
      </c>
      <c r="M1784">
        <v>-0.99974209999999997</v>
      </c>
      <c r="N1784">
        <v>0</v>
      </c>
      <c r="O1784">
        <v>1.7336440000000002E-2</v>
      </c>
      <c r="P1784">
        <v>-0.997892</v>
      </c>
      <c r="Q1784">
        <v>3.300823E-2</v>
      </c>
      <c r="R1784">
        <v>-5.5876410000000001E-2</v>
      </c>
      <c r="S1784">
        <v>-2.9686889999999999</v>
      </c>
      <c r="T1784">
        <v>-0.35100799999999999</v>
      </c>
      <c r="U1784">
        <v>-0.91305539999999996</v>
      </c>
      <c r="V1784">
        <v>-7.3246850000000002E-2</v>
      </c>
      <c r="W1784">
        <v>4.7516389999999999E-2</v>
      </c>
      <c r="X1784">
        <v>0.99618119999999999</v>
      </c>
      <c r="Y1784">
        <v>-0.30842350000000002</v>
      </c>
      <c r="Z1784">
        <v>-1.9762169999999999E-2</v>
      </c>
      <c r="AA1784">
        <v>0.95104379999999999</v>
      </c>
      <c r="AB1784">
        <v>46</v>
      </c>
      <c r="AC1784">
        <v>-8.90910000000002</v>
      </c>
      <c r="AD1784">
        <v>-1.1050171855969999</v>
      </c>
      <c r="AE1784">
        <v>-2.8819000000000199</v>
      </c>
      <c r="AF1784">
        <v>-2.9942354678840699</v>
      </c>
      <c r="AG1784">
        <v>-1.1050171855969999</v>
      </c>
      <c r="AH1784">
        <v>8.7361275002925094</v>
      </c>
      <c r="AI1784">
        <v>96.823300387346805</v>
      </c>
      <c r="AJ1784">
        <v>108.91872718661401</v>
      </c>
      <c r="AK1784">
        <v>9.3008834375540204</v>
      </c>
    </row>
    <row r="1785" spans="1:37" x14ac:dyDescent="0.2">
      <c r="A1785" t="str">
        <f>"20200111153642980"</f>
        <v>20200111153642980</v>
      </c>
      <c r="B1785" t="str">
        <f>"1578728202974363"</f>
        <v>1578728202974363</v>
      </c>
      <c r="C1785" t="s">
        <v>37</v>
      </c>
      <c r="D1785">
        <v>5.7025610000000002</v>
      </c>
      <c r="E1785">
        <v>0.40156059999999999</v>
      </c>
      <c r="F1785" t="s">
        <v>48</v>
      </c>
      <c r="G1785">
        <v>-297.53579999999999</v>
      </c>
      <c r="H1785" s="1">
        <v>3.8462840000000003E-6</v>
      </c>
      <c r="I1785">
        <v>281.14120000000003</v>
      </c>
      <c r="J1785">
        <v>-288.70859999999999</v>
      </c>
      <c r="K1785">
        <v>1.1050059999999999</v>
      </c>
      <c r="L1785">
        <v>283.99619999999999</v>
      </c>
      <c r="M1785">
        <v>-0.99974769999999902</v>
      </c>
      <c r="N1785">
        <v>0</v>
      </c>
      <c r="O1785">
        <v>1.700339E-2</v>
      </c>
      <c r="P1785">
        <v>-0.99787549999999903</v>
      </c>
      <c r="Q1785">
        <v>3.190747E-2</v>
      </c>
      <c r="R1785">
        <v>-5.6802369999999998E-2</v>
      </c>
      <c r="S1785">
        <v>-2.96624799999999</v>
      </c>
      <c r="T1785">
        <v>-0.3600177</v>
      </c>
      <c r="U1785">
        <v>-0.92864990000000003</v>
      </c>
      <c r="V1785">
        <v>-7.3838760000000003E-2</v>
      </c>
      <c r="W1785">
        <v>4.6412780000000001E-2</v>
      </c>
      <c r="X1785">
        <v>0.99618960000000001</v>
      </c>
      <c r="Y1785">
        <v>-0.31275029999999998</v>
      </c>
      <c r="Z1785">
        <v>-2.0482770000000001E-2</v>
      </c>
      <c r="AA1785">
        <v>0.94961450000000003</v>
      </c>
      <c r="AB1785">
        <v>46</v>
      </c>
      <c r="AC1785">
        <v>-8.8271999999999995</v>
      </c>
      <c r="AD1785">
        <v>-1.105002153716</v>
      </c>
      <c r="AE1785">
        <v>-2.85499999999996</v>
      </c>
      <c r="AF1785">
        <v>-2.9626661154383802</v>
      </c>
      <c r="AG1785">
        <v>-1.105002153716</v>
      </c>
      <c r="AH1785">
        <v>8.6545961792579895</v>
      </c>
      <c r="AI1785">
        <v>96.8877484436982</v>
      </c>
      <c r="AJ1785">
        <v>108.897247748054</v>
      </c>
      <c r="AK1785">
        <v>9.2141443062994597</v>
      </c>
    </row>
    <row r="1786" spans="1:37" x14ac:dyDescent="0.2">
      <c r="A1786" t="str">
        <f>"20200111153643000"</f>
        <v>20200111153643000</v>
      </c>
      <c r="B1786" t="str">
        <f>"1578728202994860"</f>
        <v>1578728202994860</v>
      </c>
      <c r="C1786" t="s">
        <v>37</v>
      </c>
      <c r="D1786">
        <v>5.7288790000000001</v>
      </c>
      <c r="E1786">
        <v>0.40063720000000003</v>
      </c>
      <c r="F1786" t="s">
        <v>48</v>
      </c>
      <c r="G1786">
        <v>-297.70179999999999</v>
      </c>
      <c r="H1786" s="1">
        <v>3.8739229999999999E-6</v>
      </c>
      <c r="I1786">
        <v>281.1619</v>
      </c>
      <c r="J1786">
        <v>-289.13130000000001</v>
      </c>
      <c r="K1786">
        <v>1.1049869999999999</v>
      </c>
      <c r="L1786">
        <v>284.00299999999999</v>
      </c>
      <c r="M1786">
        <v>-0.99975630000000004</v>
      </c>
      <c r="N1786">
        <v>0</v>
      </c>
      <c r="O1786">
        <v>1.6495429999999998E-2</v>
      </c>
      <c r="P1786">
        <v>-0.9978804</v>
      </c>
      <c r="Q1786">
        <v>2.9598059999999999E-2</v>
      </c>
      <c r="R1786">
        <v>-5.7955350000000003E-2</v>
      </c>
      <c r="S1786">
        <v>-2.9648439999999998</v>
      </c>
      <c r="T1786">
        <v>-0.36429270000000002</v>
      </c>
      <c r="U1786">
        <v>-0.93438719999999997</v>
      </c>
      <c r="V1786">
        <v>-7.4481640000000002E-2</v>
      </c>
      <c r="W1786">
        <v>4.4101059999999997E-2</v>
      </c>
      <c r="X1786">
        <v>0.99624679999999999</v>
      </c>
      <c r="Y1786">
        <v>-0.31401030000000002</v>
      </c>
      <c r="Z1786">
        <v>-2.0742320000000002E-2</v>
      </c>
      <c r="AA1786">
        <v>0.94919290000000001</v>
      </c>
      <c r="AB1786">
        <v>46</v>
      </c>
      <c r="AC1786">
        <v>-8.5704999999999796</v>
      </c>
      <c r="AD1786">
        <v>-1.104983126077</v>
      </c>
      <c r="AE1786">
        <v>-2.84109999999998</v>
      </c>
      <c r="AF1786">
        <v>-2.9380993585855801</v>
      </c>
      <c r="AG1786">
        <v>-1.104983126077</v>
      </c>
      <c r="AH1786">
        <v>8.3967077054931405</v>
      </c>
      <c r="AI1786">
        <v>97.080589018849395</v>
      </c>
      <c r="AJ1786">
        <v>109.28549699531401</v>
      </c>
      <c r="AK1786">
        <v>8.9642688403083906</v>
      </c>
    </row>
    <row r="1787" spans="1:37" x14ac:dyDescent="0.2">
      <c r="A1787" t="str">
        <f>"20200111153643014"</f>
        <v>20200111153643014</v>
      </c>
      <c r="B1787" t="str">
        <f>"1578728203004620"</f>
        <v>1578728203004620</v>
      </c>
      <c r="C1787" t="s">
        <v>37</v>
      </c>
      <c r="D1787">
        <v>5.7230720000000002</v>
      </c>
      <c r="E1787">
        <v>0.40019949999999999</v>
      </c>
      <c r="F1787" t="s">
        <v>48</v>
      </c>
      <c r="G1787">
        <v>-297.84710000000001</v>
      </c>
      <c r="H1787" s="1">
        <v>3.8942480000000004E-6</v>
      </c>
      <c r="I1787">
        <v>281.22430000000003</v>
      </c>
      <c r="J1787">
        <v>-289.42039999999997</v>
      </c>
      <c r="K1787">
        <v>1.104981</v>
      </c>
      <c r="L1787">
        <v>284.00740000000002</v>
      </c>
      <c r="M1787">
        <v>-0.99976200000000004</v>
      </c>
      <c r="N1787">
        <v>0</v>
      </c>
      <c r="O1787">
        <v>1.6147669999999999E-2</v>
      </c>
      <c r="P1787">
        <v>-0.997865</v>
      </c>
      <c r="Q1787">
        <v>2.8906999999999999E-2</v>
      </c>
      <c r="R1787">
        <v>-5.8567609999999999E-2</v>
      </c>
      <c r="S1787">
        <v>-2.9626160000000001</v>
      </c>
      <c r="T1787">
        <v>-0.37559599999999999</v>
      </c>
      <c r="U1787">
        <v>-0.944519</v>
      </c>
      <c r="V1787">
        <v>-7.4745660000000005E-2</v>
      </c>
      <c r="W1787">
        <v>4.340745E-2</v>
      </c>
      <c r="X1787">
        <v>0.99625739999999996</v>
      </c>
      <c r="Y1787">
        <v>-0.31667380000000001</v>
      </c>
      <c r="Z1787">
        <v>-2.150701E-2</v>
      </c>
      <c r="AA1787">
        <v>0.94829059999999898</v>
      </c>
      <c r="AB1787">
        <v>46</v>
      </c>
      <c r="AC1787">
        <v>-8.4267000000000394</v>
      </c>
      <c r="AD1787">
        <v>-1.1049771057519999</v>
      </c>
      <c r="AE1787">
        <v>-2.7830999999999899</v>
      </c>
      <c r="AF1787">
        <v>-2.8742622353457099</v>
      </c>
      <c r="AG1787">
        <v>-1.1049771057519999</v>
      </c>
      <c r="AH1787">
        <v>8.2527100252374908</v>
      </c>
      <c r="AI1787">
        <v>97.206425027493594</v>
      </c>
      <c r="AJ1787">
        <v>109.202257133994</v>
      </c>
      <c r="AK1787">
        <v>8.8084947955042807</v>
      </c>
    </row>
    <row r="1788" spans="1:37" x14ac:dyDescent="0.2">
      <c r="A1788" t="str">
        <f>"20200111153643034"</f>
        <v>20200111153643034</v>
      </c>
      <c r="B1788" t="str">
        <f>"1578728203024143"</f>
        <v>1578728203024143</v>
      </c>
      <c r="C1788" t="s">
        <v>37</v>
      </c>
      <c r="D1788">
        <v>5.7280309999999997</v>
      </c>
      <c r="E1788">
        <v>0.39985080000000001</v>
      </c>
      <c r="F1788" t="s">
        <v>48</v>
      </c>
      <c r="G1788">
        <v>-298.05560000000003</v>
      </c>
      <c r="H1788" s="1">
        <v>3.9298159999999996E-6</v>
      </c>
      <c r="I1788">
        <v>281.24029999999999</v>
      </c>
      <c r="J1788">
        <v>-289.81830000000002</v>
      </c>
      <c r="K1788">
        <v>1.1049869999999999</v>
      </c>
      <c r="L1788">
        <v>284.01350000000002</v>
      </c>
      <c r="M1788">
        <v>-0.99976960000000004</v>
      </c>
      <c r="N1788">
        <v>0</v>
      </c>
      <c r="O1788">
        <v>1.5669280000000001E-2</v>
      </c>
      <c r="P1788">
        <v>-0.99785249999999903</v>
      </c>
      <c r="Q1788">
        <v>2.7894769999999999E-2</v>
      </c>
      <c r="R1788">
        <v>-5.9266909999999999E-2</v>
      </c>
      <c r="S1788">
        <v>-2.9616699999999998</v>
      </c>
      <c r="T1788">
        <v>-0.3789843</v>
      </c>
      <c r="U1788">
        <v>-0.94906619999999997</v>
      </c>
      <c r="V1788">
        <v>-7.4966039999999998E-2</v>
      </c>
      <c r="W1788">
        <v>4.2393210000000001E-2</v>
      </c>
      <c r="X1788">
        <v>0.99628449999999902</v>
      </c>
      <c r="Y1788">
        <v>-0.31758179999999903</v>
      </c>
      <c r="Z1788">
        <v>-2.169813E-2</v>
      </c>
      <c r="AA1788">
        <v>0.94798259999999901</v>
      </c>
      <c r="AB1788">
        <v>46</v>
      </c>
      <c r="AC1788">
        <v>-8.2372999999999994</v>
      </c>
      <c r="AD1788">
        <v>-1.104983070184</v>
      </c>
      <c r="AE1788">
        <v>-2.7732000000000299</v>
      </c>
      <c r="AF1788">
        <v>-2.8557887811665301</v>
      </c>
      <c r="AG1788">
        <v>-1.104983070184</v>
      </c>
      <c r="AH1788">
        <v>8.0625180586027803</v>
      </c>
      <c r="AI1788">
        <v>97.361113008077695</v>
      </c>
      <c r="AJ1788">
        <v>109.504428900948</v>
      </c>
      <c r="AK1788">
        <v>8.62442546453536</v>
      </c>
    </row>
    <row r="1789" spans="1:37" x14ac:dyDescent="0.2">
      <c r="A1789" t="str">
        <f>"20200111153643048"</f>
        <v>20200111153643048</v>
      </c>
      <c r="B1789" t="str">
        <f>"1578728203044636"</f>
        <v>1578728203044636</v>
      </c>
      <c r="C1789" t="s">
        <v>37</v>
      </c>
      <c r="D1789">
        <v>5.8536380000000001</v>
      </c>
      <c r="E1789">
        <v>0.39179940000000002</v>
      </c>
      <c r="F1789" t="s">
        <v>48</v>
      </c>
      <c r="G1789">
        <v>-298.3698</v>
      </c>
      <c r="H1789" s="1">
        <v>3.9839320000000001E-6</v>
      </c>
      <c r="I1789">
        <v>281.25880000000001</v>
      </c>
      <c r="J1789">
        <v>-290.08960000000002</v>
      </c>
      <c r="K1789">
        <v>1.104992</v>
      </c>
      <c r="L1789">
        <v>284.01749999999998</v>
      </c>
      <c r="M1789">
        <v>-0.99977469999999902</v>
      </c>
      <c r="N1789">
        <v>0</v>
      </c>
      <c r="O1789">
        <v>1.53428E-2</v>
      </c>
      <c r="P1789">
        <v>-0.99784869999999903</v>
      </c>
      <c r="Q1789">
        <v>2.7922220000000001E-2</v>
      </c>
      <c r="R1789">
        <v>-5.9317509999999997E-2</v>
      </c>
      <c r="S1789">
        <v>-2.96050999999999</v>
      </c>
      <c r="T1789">
        <v>-0.3825441</v>
      </c>
      <c r="U1789">
        <v>-0.95367429999999997</v>
      </c>
      <c r="V1789">
        <v>-7.4690889999999996E-2</v>
      </c>
      <c r="W1789">
        <v>4.241988E-2</v>
      </c>
      <c r="X1789">
        <v>0.99630409999999903</v>
      </c>
      <c r="Y1789">
        <v>-0.31866509999999998</v>
      </c>
      <c r="Z1789">
        <v>-2.1930439999999999E-2</v>
      </c>
      <c r="AA1789">
        <v>0.947613699999999</v>
      </c>
      <c r="AB1789">
        <v>46</v>
      </c>
      <c r="AC1789">
        <v>-8.2801999999999794</v>
      </c>
      <c r="AD1789">
        <v>-1.1049880160679999</v>
      </c>
      <c r="AE1789">
        <v>-2.75869999999997</v>
      </c>
      <c r="AF1789">
        <v>-2.8399081268453701</v>
      </c>
      <c r="AG1789">
        <v>-1.1049880160679999</v>
      </c>
      <c r="AH1789">
        <v>8.1069444393067194</v>
      </c>
      <c r="AI1789">
        <v>97.330100747833399</v>
      </c>
      <c r="AJ1789">
        <v>109.30564404866401</v>
      </c>
      <c r="AK1789">
        <v>8.6607519781242104</v>
      </c>
    </row>
    <row r="1790" spans="1:37" x14ac:dyDescent="0.2">
      <c r="A1790" t="str">
        <f>"20200111153643068"</f>
        <v>20200111153643068</v>
      </c>
      <c r="B1790" t="str">
        <f>"1578728203064156"</f>
        <v>1578728203064156</v>
      </c>
      <c r="C1790" t="s">
        <v>37</v>
      </c>
      <c r="D1790">
        <v>5.6106449999999999</v>
      </c>
      <c r="E1790">
        <v>0.41505370000000003</v>
      </c>
      <c r="F1790" t="s">
        <v>48</v>
      </c>
      <c r="G1790">
        <v>-298.93560000000002</v>
      </c>
      <c r="H1790" s="1">
        <v>4.109545E-6</v>
      </c>
      <c r="I1790">
        <v>280.9701</v>
      </c>
      <c r="J1790">
        <v>-290.49970000000002</v>
      </c>
      <c r="K1790">
        <v>1.1050229999999901</v>
      </c>
      <c r="L1790">
        <v>284.02339999999998</v>
      </c>
      <c r="M1790">
        <v>-0.99978230000000001</v>
      </c>
      <c r="N1790">
        <v>0</v>
      </c>
      <c r="O1790">
        <v>1.484897E-2</v>
      </c>
      <c r="P1790">
        <v>-0.99782029999999999</v>
      </c>
      <c r="Q1790">
        <v>2.865765E-2</v>
      </c>
      <c r="R1790">
        <v>-5.9446640000000002E-2</v>
      </c>
      <c r="S1790">
        <v>-2.9562680000000001</v>
      </c>
      <c r="T1790">
        <v>-0.36927759999999998</v>
      </c>
      <c r="U1790">
        <v>-1.0184329999999999</v>
      </c>
      <c r="V1790">
        <v>-7.4328420000000006E-2</v>
      </c>
      <c r="W1790">
        <v>4.315306E-2</v>
      </c>
      <c r="X1790">
        <v>0.99629969999999901</v>
      </c>
      <c r="Y1790">
        <v>-0.33726790000000001</v>
      </c>
      <c r="Z1790">
        <v>-2.2199010000000002E-2</v>
      </c>
      <c r="AA1790">
        <v>0.94114699999999996</v>
      </c>
      <c r="AB1790">
        <v>46</v>
      </c>
      <c r="AC1790">
        <v>-8.4359000000000002</v>
      </c>
      <c r="AD1790">
        <v>-1.10501889045499</v>
      </c>
      <c r="AE1790">
        <v>-3.0532999999999699</v>
      </c>
      <c r="AF1790">
        <v>-3.13074474084193</v>
      </c>
      <c r="AG1790">
        <v>-1.10501889045499</v>
      </c>
      <c r="AH1790">
        <v>8.2642497941440691</v>
      </c>
      <c r="AI1790">
        <v>97.127222949038</v>
      </c>
      <c r="AJ1790">
        <v>110.748184676774</v>
      </c>
      <c r="AK1790">
        <v>8.9062031214531601</v>
      </c>
    </row>
    <row r="1791" spans="1:37" x14ac:dyDescent="0.2">
      <c r="A1791" t="str">
        <f>"20200111153643083"</f>
        <v>20200111153643083</v>
      </c>
      <c r="B1791" t="str">
        <f>"1578728203074891"</f>
        <v>1578728203074891</v>
      </c>
      <c r="C1791" t="s">
        <v>37</v>
      </c>
      <c r="D1791">
        <v>5.9133889999999996</v>
      </c>
      <c r="E1791">
        <v>0.48033989999999999</v>
      </c>
      <c r="F1791" t="s">
        <v>48</v>
      </c>
      <c r="G1791">
        <v>-298.82760000000002</v>
      </c>
      <c r="H1791" s="1">
        <v>4.027454E-6</v>
      </c>
      <c r="I1791">
        <v>281.68990000000002</v>
      </c>
      <c r="J1791">
        <v>-290.81529999999998</v>
      </c>
      <c r="K1791">
        <v>1.10504</v>
      </c>
      <c r="L1791">
        <v>284.02780000000001</v>
      </c>
      <c r="M1791">
        <v>-0.9997878</v>
      </c>
      <c r="N1791">
        <v>0</v>
      </c>
      <c r="O1791">
        <v>1.44687999999999E-2</v>
      </c>
      <c r="P1791">
        <v>-0.99779850000000003</v>
      </c>
      <c r="Q1791">
        <v>2.9380360000000001E-2</v>
      </c>
      <c r="R1791">
        <v>-5.9457019999999999E-2</v>
      </c>
      <c r="S1791">
        <v>-2.96826199999999</v>
      </c>
      <c r="T1791">
        <v>-0.39385729999999902</v>
      </c>
      <c r="U1791">
        <v>-0.83172610000000002</v>
      </c>
      <c r="V1791">
        <v>-7.3960289999999998E-2</v>
      </c>
      <c r="W1791">
        <v>4.3874789999999997E-2</v>
      </c>
      <c r="X1791">
        <v>0.99629559999999995</v>
      </c>
      <c r="Y1791">
        <v>-0.28131269999999903</v>
      </c>
      <c r="Z1791">
        <v>-2.0112370000000001E-2</v>
      </c>
      <c r="AA1791">
        <v>0.95940539999999996</v>
      </c>
      <c r="AB1791">
        <v>46</v>
      </c>
      <c r="AC1791">
        <v>-8.01230000000003</v>
      </c>
      <c r="AD1791">
        <v>-1.1050359725459999</v>
      </c>
      <c r="AE1791">
        <v>-2.3378999999999901</v>
      </c>
      <c r="AF1791">
        <v>-2.41132834158326</v>
      </c>
      <c r="AG1791">
        <v>-1.1050359725459999</v>
      </c>
      <c r="AH1791">
        <v>7.8402014812651899</v>
      </c>
      <c r="AI1791">
        <v>97.672531216118998</v>
      </c>
      <c r="AJ1791">
        <v>107.095776785716</v>
      </c>
      <c r="AK1791">
        <v>8.2767365633065904</v>
      </c>
    </row>
    <row r="1792" spans="1:37" x14ac:dyDescent="0.2">
      <c r="A1792" t="str">
        <f>"20200111153643102"</f>
        <v>20200111153643102</v>
      </c>
      <c r="B1792" t="str">
        <f>"1578728203094429"</f>
        <v>1578728203094429</v>
      </c>
      <c r="C1792" t="s">
        <v>37</v>
      </c>
      <c r="D1792">
        <v>6.0480279999999897</v>
      </c>
      <c r="E1792">
        <v>0.54071150000000001</v>
      </c>
      <c r="F1792" t="s">
        <v>48</v>
      </c>
      <c r="G1792">
        <v>-300.7706</v>
      </c>
      <c r="H1792" s="1">
        <v>3.9705669999999901E-6</v>
      </c>
      <c r="I1792">
        <v>282.98439999999999</v>
      </c>
      <c r="J1792">
        <v>-291.19459999999998</v>
      </c>
      <c r="K1792">
        <v>1.105073</v>
      </c>
      <c r="L1792">
        <v>284.03300000000002</v>
      </c>
      <c r="M1792">
        <v>-0.99979439999999997</v>
      </c>
      <c r="N1792">
        <v>0</v>
      </c>
      <c r="O1792">
        <v>1.401174E-2</v>
      </c>
      <c r="P1792">
        <v>-0.99777539999999998</v>
      </c>
      <c r="Q1792">
        <v>3.1486239999999999E-2</v>
      </c>
      <c r="R1792">
        <v>-5.8765829999999998E-2</v>
      </c>
      <c r="S1792">
        <v>-2.997681</v>
      </c>
      <c r="T1792">
        <v>-0.33274100000000001</v>
      </c>
      <c r="U1792">
        <v>-0.31417849999999897</v>
      </c>
      <c r="V1792">
        <v>-7.2816499999999895E-2</v>
      </c>
      <c r="W1792">
        <v>4.5980269999999997E-2</v>
      </c>
      <c r="X1792">
        <v>0.99628490000000003</v>
      </c>
      <c r="Y1792">
        <v>-0.1173645</v>
      </c>
      <c r="Z1792">
        <v>-8.022932E-3</v>
      </c>
      <c r="AA1792">
        <v>0.99305650000000001</v>
      </c>
      <c r="AB1792">
        <v>46</v>
      </c>
      <c r="AC1792">
        <v>-9.5760000000000201</v>
      </c>
      <c r="AD1792">
        <v>-1.1050690294329999</v>
      </c>
      <c r="AE1792">
        <v>-1.04860000000002</v>
      </c>
      <c r="AF1792">
        <v>-1.1673266326440801</v>
      </c>
      <c r="AG1792">
        <v>-1.1050690294329999</v>
      </c>
      <c r="AH1792">
        <v>9.4361914376444105</v>
      </c>
      <c r="AI1792">
        <v>96.629384790814299</v>
      </c>
      <c r="AJ1792">
        <v>97.052083199002894</v>
      </c>
      <c r="AK1792">
        <v>9.5721229554872398</v>
      </c>
    </row>
    <row r="1793" spans="1:37" x14ac:dyDescent="0.2">
      <c r="A1793" t="str">
        <f>"20200111153643124"</f>
        <v>20200111153643124</v>
      </c>
      <c r="B1793" t="str">
        <f>"1578728203114908"</f>
        <v>1578728203114908</v>
      </c>
      <c r="C1793" t="s">
        <v>37</v>
      </c>
      <c r="D1793">
        <v>5.9181089999999896</v>
      </c>
      <c r="E1793">
        <v>0.5447883</v>
      </c>
      <c r="F1793" t="s">
        <v>38</v>
      </c>
      <c r="G1793">
        <v>-292.2774</v>
      </c>
      <c r="H1793">
        <v>1.042646</v>
      </c>
      <c r="I1793">
        <v>284.09109999999998</v>
      </c>
      <c r="J1793">
        <v>-291.64909999999998</v>
      </c>
      <c r="K1793">
        <v>1.1051089999999999</v>
      </c>
      <c r="L1793">
        <v>284.03890000000001</v>
      </c>
      <c r="M1793">
        <v>-0.99980190000000002</v>
      </c>
      <c r="N1793">
        <v>0</v>
      </c>
      <c r="O1793">
        <v>1.346439E-2</v>
      </c>
      <c r="P1793">
        <v>-0.99772759999999905</v>
      </c>
      <c r="Q1793">
        <v>3.3661759999999999E-2</v>
      </c>
      <c r="R1793">
        <v>-5.836827E-2</v>
      </c>
      <c r="S1793">
        <v>-3.02169799999999</v>
      </c>
      <c r="T1793">
        <v>-0.17442479999999999</v>
      </c>
      <c r="U1793">
        <v>0.16131589999999901</v>
      </c>
      <c r="V1793">
        <v>-7.187557E-2</v>
      </c>
      <c r="W1793">
        <v>4.8154629999999997E-2</v>
      </c>
      <c r="X1793">
        <v>0.99625049999999904</v>
      </c>
      <c r="Y1793">
        <v>3.9814679999999998E-2</v>
      </c>
      <c r="Z1793">
        <v>3.7134409999999999E-4</v>
      </c>
      <c r="AA1793">
        <v>0.99920699999999996</v>
      </c>
      <c r="AB1793">
        <v>46</v>
      </c>
      <c r="AC1793">
        <v>-0.62830000000002395</v>
      </c>
      <c r="AD1793">
        <v>-6.2463000000000102E-2</v>
      </c>
      <c r="AE1793">
        <v>5.21999999999707E-2</v>
      </c>
      <c r="AF1793">
        <v>4.3309565352224799E-2</v>
      </c>
      <c r="AG1793">
        <v>-6.2463000000000102E-2</v>
      </c>
      <c r="AH1793">
        <v>0.62283237368434596</v>
      </c>
      <c r="AI1793">
        <v>95.713261244478304</v>
      </c>
      <c r="AJ1793">
        <v>86.022256659636497</v>
      </c>
      <c r="AK1793">
        <v>0.62745319389519005</v>
      </c>
    </row>
    <row r="1794" spans="1:37" x14ac:dyDescent="0.2">
      <c r="A1794" t="str">
        <f>"20200111153643146"</f>
        <v>20200111153643146</v>
      </c>
      <c r="B1794" t="str">
        <f>"1578728203134427"</f>
        <v>1578728203134427</v>
      </c>
      <c r="C1794" t="s">
        <v>37</v>
      </c>
      <c r="D1794">
        <v>5.9209889999999996</v>
      </c>
      <c r="E1794">
        <v>0.54460529999999996</v>
      </c>
      <c r="F1794" t="s">
        <v>38</v>
      </c>
      <c r="G1794">
        <v>-292.68310000000002</v>
      </c>
      <c r="H1794">
        <v>1.039013</v>
      </c>
      <c r="I1794">
        <v>284.10610000000003</v>
      </c>
      <c r="J1794">
        <v>-292.08580000000001</v>
      </c>
      <c r="K1794">
        <v>1.105121</v>
      </c>
      <c r="L1794">
        <v>284.04430000000002</v>
      </c>
      <c r="M1794">
        <v>-0.99980899999999995</v>
      </c>
      <c r="N1794">
        <v>0</v>
      </c>
      <c r="O1794">
        <v>1.2938440000000001E-2</v>
      </c>
      <c r="P1794">
        <v>-0.99768799999999902</v>
      </c>
      <c r="Q1794">
        <v>3.5301159999999998E-2</v>
      </c>
      <c r="R1794">
        <v>-5.807532E-2</v>
      </c>
      <c r="S1794">
        <v>-3.0248409999999999</v>
      </c>
      <c r="T1794">
        <v>-0.19337789999999999</v>
      </c>
      <c r="U1794">
        <v>0.19616700000000001</v>
      </c>
      <c r="V1794">
        <v>-7.1060830000000005E-2</v>
      </c>
      <c r="W1794">
        <v>4.9792969999999999E-2</v>
      </c>
      <c r="X1794">
        <v>0.99622840000000001</v>
      </c>
      <c r="Y1794">
        <v>5.1719109999999999E-2</v>
      </c>
      <c r="Z1794">
        <v>8.2435519999999999E-4</v>
      </c>
      <c r="AA1794">
        <v>0.99866129999999997</v>
      </c>
      <c r="AB1794">
        <v>46</v>
      </c>
      <c r="AC1794">
        <v>-0.59730000000001804</v>
      </c>
      <c r="AD1794">
        <v>-6.6108E-2</v>
      </c>
      <c r="AE1794">
        <v>6.1800000000005101E-2</v>
      </c>
      <c r="AF1794">
        <v>5.3418441072999402E-2</v>
      </c>
      <c r="AG1794">
        <v>-6.6108E-2</v>
      </c>
      <c r="AH1794">
        <v>0.590888176210289</v>
      </c>
      <c r="AI1794">
        <v>96.357935758022904</v>
      </c>
      <c r="AJ1794">
        <v>84.834295309577698</v>
      </c>
      <c r="AK1794">
        <v>0.59696954218434894</v>
      </c>
    </row>
    <row r="1795" spans="1:37" x14ac:dyDescent="0.2">
      <c r="A1795" t="str">
        <f>"20200111153643158"</f>
        <v>20200111153643158</v>
      </c>
      <c r="B1795" t="str">
        <f>"1578728203154923"</f>
        <v>1578728203154923</v>
      </c>
      <c r="C1795" t="s">
        <v>37</v>
      </c>
      <c r="D1795">
        <v>5.8748019999999999</v>
      </c>
      <c r="E1795">
        <v>0.54371740000000002</v>
      </c>
      <c r="F1795" t="s">
        <v>38</v>
      </c>
      <c r="G1795">
        <v>-293.09269999999998</v>
      </c>
      <c r="H1795">
        <v>1.042778</v>
      </c>
      <c r="I1795">
        <v>284.10969999999998</v>
      </c>
      <c r="J1795">
        <v>-292.36219999999997</v>
      </c>
      <c r="K1795">
        <v>1.1051329999999999</v>
      </c>
      <c r="L1795">
        <v>284.04770000000002</v>
      </c>
      <c r="M1795">
        <v>-0.99981330000000002</v>
      </c>
      <c r="N1795">
        <v>0</v>
      </c>
      <c r="O1795">
        <v>1.2605470000000001E-2</v>
      </c>
      <c r="P1795">
        <v>-0.99766270000000001</v>
      </c>
      <c r="Q1795">
        <v>3.5810179999999997E-2</v>
      </c>
      <c r="R1795">
        <v>-5.8199569999999999E-2</v>
      </c>
      <c r="S1795">
        <v>-3.024994</v>
      </c>
      <c r="T1795">
        <v>-0.18751419999999999</v>
      </c>
      <c r="U1795">
        <v>0.1955566</v>
      </c>
      <c r="V1795">
        <v>-7.0853810000000003E-2</v>
      </c>
      <c r="W1795">
        <v>5.0300169999999998E-2</v>
      </c>
      <c r="X1795">
        <v>0.99621769999999998</v>
      </c>
      <c r="Y1795">
        <v>5.1851599999999998E-2</v>
      </c>
      <c r="Z1795">
        <v>8.2406699999999897E-4</v>
      </c>
      <c r="AA1795">
        <v>0.9986545</v>
      </c>
      <c r="AB1795">
        <v>46</v>
      </c>
      <c r="AC1795">
        <v>-0.73050000000000603</v>
      </c>
      <c r="AD1795">
        <v>-6.2354999999999897E-2</v>
      </c>
      <c r="AE1795">
        <v>6.1999999999954897E-2</v>
      </c>
      <c r="AF1795">
        <v>5.2406674013615498E-2</v>
      </c>
      <c r="AG1795">
        <v>-6.2354999999999897E-2</v>
      </c>
      <c r="AH1795">
        <v>0.72597181326234395</v>
      </c>
      <c r="AI1795">
        <v>94.896507466807805</v>
      </c>
      <c r="AJ1795">
        <v>85.871077053396903</v>
      </c>
      <c r="AK1795">
        <v>0.73052698728902898</v>
      </c>
    </row>
    <row r="1796" spans="1:37" x14ac:dyDescent="0.2">
      <c r="A1796" t="str">
        <f>"20200111153643181"</f>
        <v>20200111153643181</v>
      </c>
      <c r="B1796" t="str">
        <f>"1578728203174445"</f>
        <v>1578728203174445</v>
      </c>
      <c r="C1796" t="s">
        <v>37</v>
      </c>
      <c r="D1796">
        <v>5.9235730000000002</v>
      </c>
      <c r="E1796">
        <v>0.54273419999999895</v>
      </c>
      <c r="F1796" t="s">
        <v>48</v>
      </c>
      <c r="G1796">
        <v>-310.58949999999999</v>
      </c>
      <c r="H1796" s="1">
        <v>2.42920099999999E-6</v>
      </c>
      <c r="I1796">
        <v>285.17919999999998</v>
      </c>
      <c r="J1796">
        <v>-292.79410000000001</v>
      </c>
      <c r="K1796">
        <v>1.1051519999999999</v>
      </c>
      <c r="L1796">
        <v>284.05270000000002</v>
      </c>
      <c r="M1796">
        <v>-0.99981960000000003</v>
      </c>
      <c r="N1796">
        <v>0</v>
      </c>
      <c r="O1796">
        <v>1.2085E-2</v>
      </c>
      <c r="P1796">
        <v>-0.997660199999999</v>
      </c>
      <c r="Q1796">
        <v>3.6644780000000002E-2</v>
      </c>
      <c r="R1796">
        <v>-5.7720710000000001E-2</v>
      </c>
      <c r="S1796">
        <v>-3.0245359999999999</v>
      </c>
      <c r="T1796">
        <v>-0.18337870000000001</v>
      </c>
      <c r="U1796">
        <v>0.1877441</v>
      </c>
      <c r="V1796">
        <v>-6.9857050000000004E-2</v>
      </c>
      <c r="W1796">
        <v>5.1134989999999998E-2</v>
      </c>
      <c r="X1796">
        <v>0.99624559999999995</v>
      </c>
      <c r="Y1796">
        <v>4.981783E-2</v>
      </c>
      <c r="Z1796">
        <v>7.7606389999999999E-4</v>
      </c>
      <c r="AA1796">
        <v>0.99875800000000003</v>
      </c>
      <c r="AB1796">
        <v>46</v>
      </c>
      <c r="AC1796">
        <v>-17.795399999999901</v>
      </c>
      <c r="AD1796">
        <v>-1.105149570799</v>
      </c>
      <c r="AE1796">
        <v>1.1264999999999601</v>
      </c>
      <c r="AF1796">
        <v>0.90784980087187495</v>
      </c>
      <c r="AG1796">
        <v>-1.105149570799</v>
      </c>
      <c r="AH1796">
        <v>17.739570581277501</v>
      </c>
      <c r="AI1796">
        <v>93.560189974370502</v>
      </c>
      <c r="AJ1796">
        <v>87.070356217703903</v>
      </c>
      <c r="AK1796">
        <v>17.797132107249901</v>
      </c>
    </row>
    <row r="1797" spans="1:37" x14ac:dyDescent="0.2">
      <c r="A1797" t="str">
        <f>"20200111153643193"</f>
        <v>20200111153643193</v>
      </c>
      <c r="B1797" t="str">
        <f>"1578728203184204"</f>
        <v>1578728203184204</v>
      </c>
      <c r="C1797" t="s">
        <v>37</v>
      </c>
      <c r="D1797">
        <v>5.9465839999999996</v>
      </c>
      <c r="E1797">
        <v>0.5423502</v>
      </c>
      <c r="F1797" t="s">
        <v>38</v>
      </c>
      <c r="G1797">
        <v>-293.90480000000002</v>
      </c>
      <c r="H1797">
        <v>1.0375449999999999</v>
      </c>
      <c r="I1797">
        <v>284.1198</v>
      </c>
      <c r="J1797">
        <v>-293.08099999999899</v>
      </c>
      <c r="K1797">
        <v>1.1051599999999999</v>
      </c>
      <c r="L1797">
        <v>284.05590000000001</v>
      </c>
      <c r="M1797">
        <v>-0.99982380000000004</v>
      </c>
      <c r="N1797">
        <v>0</v>
      </c>
      <c r="O1797">
        <v>1.173916E-2</v>
      </c>
      <c r="P1797">
        <v>-0.997671999999999</v>
      </c>
      <c r="Q1797">
        <v>3.6580050000000003E-2</v>
      </c>
      <c r="R1797">
        <v>-5.7558390000000001E-2</v>
      </c>
      <c r="S1797">
        <v>-3.0243229999999999</v>
      </c>
      <c r="T1797">
        <v>-0.1842771</v>
      </c>
      <c r="U1797">
        <v>0.1816101</v>
      </c>
      <c r="V1797">
        <v>-6.9349910000000001E-2</v>
      </c>
      <c r="W1797">
        <v>5.106927E-2</v>
      </c>
      <c r="X1797">
        <v>0.99628439999999996</v>
      </c>
      <c r="Y1797">
        <v>4.8151149999999997E-2</v>
      </c>
      <c r="Z1797">
        <v>7.5030690000000004E-4</v>
      </c>
      <c r="AA1797">
        <v>0.99883980000000006</v>
      </c>
      <c r="AB1797">
        <v>46</v>
      </c>
      <c r="AC1797">
        <v>-0.82380000000006204</v>
      </c>
      <c r="AD1797">
        <v>-6.7614999999999897E-2</v>
      </c>
      <c r="AE1797">
        <v>6.3899999999989604E-2</v>
      </c>
      <c r="AF1797">
        <v>5.38631524337784E-2</v>
      </c>
      <c r="AG1797">
        <v>-6.7614999999999897E-2</v>
      </c>
      <c r="AH1797">
        <v>0.81900907435033998</v>
      </c>
      <c r="AI1797">
        <v>94.709342187627101</v>
      </c>
      <c r="AJ1797">
        <v>86.237290237849507</v>
      </c>
      <c r="AK1797">
        <v>0.82355867507015301</v>
      </c>
    </row>
    <row r="1798" spans="1:37" x14ac:dyDescent="0.2">
      <c r="A1798" t="str">
        <f>"20200111153643214"</f>
        <v>20200111153643214</v>
      </c>
      <c r="B1798" t="str">
        <f>"1578728203204699"</f>
        <v>1578728203204699</v>
      </c>
      <c r="C1798" t="s">
        <v>37</v>
      </c>
      <c r="D1798">
        <v>5.9563230000000003</v>
      </c>
      <c r="E1798">
        <v>0.54152049999999996</v>
      </c>
      <c r="F1798" t="s">
        <v>48</v>
      </c>
      <c r="G1798">
        <v>-311.08839999999998</v>
      </c>
      <c r="H1798" s="1">
        <v>2.6554710000000001E-6</v>
      </c>
      <c r="I1798">
        <v>285.12189999999998</v>
      </c>
      <c r="J1798">
        <v>-293.49299999999999</v>
      </c>
      <c r="K1798">
        <v>1.105175</v>
      </c>
      <c r="L1798">
        <v>284.06040000000002</v>
      </c>
      <c r="M1798">
        <v>-0.99982959999999999</v>
      </c>
      <c r="N1798">
        <v>0</v>
      </c>
      <c r="O1798">
        <v>1.1242240000000001E-2</v>
      </c>
      <c r="P1798">
        <v>-0.99768570000000001</v>
      </c>
      <c r="Q1798">
        <v>3.7272840000000002E-2</v>
      </c>
      <c r="R1798">
        <v>-5.6868340000000003E-2</v>
      </c>
      <c r="S1798">
        <v>-3.0241389999999999</v>
      </c>
      <c r="T1798">
        <v>-0.18559779999999901</v>
      </c>
      <c r="U1798">
        <v>0.17901610000000001</v>
      </c>
      <c r="V1798">
        <v>-6.8165470000000006E-2</v>
      </c>
      <c r="W1798">
        <v>5.1762629999999997E-2</v>
      </c>
      <c r="X1798">
        <v>0.9963303</v>
      </c>
      <c r="Y1798">
        <v>4.7796230000000002E-2</v>
      </c>
      <c r="Z1798">
        <v>7.7530539999999895E-4</v>
      </c>
      <c r="AA1798">
        <v>0.99885679999999999</v>
      </c>
      <c r="AB1798">
        <v>46</v>
      </c>
      <c r="AC1798">
        <v>-17.595399999999898</v>
      </c>
      <c r="AD1798">
        <v>-1.105172344529</v>
      </c>
      <c r="AE1798">
        <v>1.0614999999999599</v>
      </c>
      <c r="AF1798">
        <v>0.86021861527176702</v>
      </c>
      <c r="AG1798">
        <v>-1.105172344529</v>
      </c>
      <c r="AH1798">
        <v>17.537286671800501</v>
      </c>
      <c r="AI1798">
        <v>93.601603243269906</v>
      </c>
      <c r="AJ1798">
        <v>87.191844658796498</v>
      </c>
      <c r="AK1798">
        <v>17.593118137103598</v>
      </c>
    </row>
    <row r="1799" spans="1:37" x14ac:dyDescent="0.2">
      <c r="A1799" t="str">
        <f>"20200111153643235"</f>
        <v>20200111153643235</v>
      </c>
      <c r="B1799" t="str">
        <f>"1578728203224219"</f>
        <v>1578728203224219</v>
      </c>
      <c r="C1799" t="s">
        <v>37</v>
      </c>
      <c r="D1799">
        <v>5.9439219999999997</v>
      </c>
      <c r="E1799">
        <v>0.54051680000000002</v>
      </c>
      <c r="F1799" t="s">
        <v>48</v>
      </c>
      <c r="G1799">
        <v>-311.48419999999999</v>
      </c>
      <c r="H1799" s="1">
        <v>2.83293E-6</v>
      </c>
      <c r="I1799">
        <v>285.09949999999998</v>
      </c>
      <c r="J1799">
        <v>-293.9153</v>
      </c>
      <c r="K1799">
        <v>1.105189</v>
      </c>
      <c r="L1799">
        <v>284.06470000000002</v>
      </c>
      <c r="M1799">
        <v>-0.99983529999999998</v>
      </c>
      <c r="N1799">
        <v>0</v>
      </c>
      <c r="O1799">
        <v>1.0732510000000001E-2</v>
      </c>
      <c r="P1799">
        <v>-0.99771290000000001</v>
      </c>
      <c r="Q1799">
        <v>3.7873169999999998E-2</v>
      </c>
      <c r="R1799">
        <v>-5.5990140000000001E-2</v>
      </c>
      <c r="S1799">
        <v>-3.0238339999999999</v>
      </c>
      <c r="T1799">
        <v>-0.1857491</v>
      </c>
      <c r="U1799">
        <v>0.1746521</v>
      </c>
      <c r="V1799">
        <v>-6.6780329999999999E-2</v>
      </c>
      <c r="W1799">
        <v>5.236358E-2</v>
      </c>
      <c r="X1799">
        <v>0.99639270000000002</v>
      </c>
      <c r="Y1799">
        <v>4.6875380000000001E-2</v>
      </c>
      <c r="Z1799">
        <v>7.790656E-4</v>
      </c>
      <c r="AA1799">
        <v>0.99890040000000002</v>
      </c>
      <c r="AB1799">
        <v>46</v>
      </c>
      <c r="AC1799">
        <v>-17.5688999999999</v>
      </c>
      <c r="AD1799">
        <v>-1.1051861670700001</v>
      </c>
      <c r="AE1799">
        <v>1.03479999999996</v>
      </c>
      <c r="AF1799">
        <v>0.84283809600515702</v>
      </c>
      <c r="AG1799">
        <v>-1.1051861670700001</v>
      </c>
      <c r="AH1799">
        <v>17.509945280546599</v>
      </c>
      <c r="AI1799">
        <v>93.607416994199397</v>
      </c>
      <c r="AJ1799">
        <v>87.244204905822599</v>
      </c>
      <c r="AK1799">
        <v>17.565021954090899</v>
      </c>
    </row>
    <row r="1800" spans="1:37" x14ac:dyDescent="0.2">
      <c r="A1800" t="str">
        <f>"20200111153643257"</f>
        <v>20200111153643257</v>
      </c>
      <c r="B1800" t="str">
        <f>"1578728203254476"</f>
        <v>1578728203254476</v>
      </c>
      <c r="C1800" t="s">
        <v>37</v>
      </c>
      <c r="D1800">
        <v>5.9611839999999896</v>
      </c>
      <c r="E1800">
        <v>0.53956999999999999</v>
      </c>
      <c r="F1800" t="s">
        <v>48</v>
      </c>
      <c r="G1800">
        <v>-311.79360000000003</v>
      </c>
      <c r="H1800" s="1">
        <v>2.9729509999999999E-6</v>
      </c>
      <c r="I1800">
        <v>285.06709999999998</v>
      </c>
      <c r="J1800">
        <v>-294.3596</v>
      </c>
      <c r="K1800">
        <v>1.105192</v>
      </c>
      <c r="L1800">
        <v>284.06909999999999</v>
      </c>
      <c r="M1800">
        <v>-0.99984089999999903</v>
      </c>
      <c r="N1800">
        <v>0</v>
      </c>
      <c r="O1800">
        <v>1.019608E-2</v>
      </c>
      <c r="P1800">
        <v>-0.99772289999999997</v>
      </c>
      <c r="Q1800">
        <v>3.8317730000000001E-2</v>
      </c>
      <c r="R1800">
        <v>-5.5504779999999997E-2</v>
      </c>
      <c r="S1800">
        <v>-3.0234679999999998</v>
      </c>
      <c r="T1800">
        <v>-0.18690219999999999</v>
      </c>
      <c r="U1800">
        <v>0.16952509999999901</v>
      </c>
      <c r="V1800">
        <v>-6.5761050000000001E-2</v>
      </c>
      <c r="W1800">
        <v>5.2808330000000001E-2</v>
      </c>
      <c r="X1800">
        <v>0.99643700000000002</v>
      </c>
      <c r="Y1800">
        <v>4.5730149999999997E-2</v>
      </c>
      <c r="Z1800">
        <v>7.8178799999999995E-4</v>
      </c>
      <c r="AA1800">
        <v>0.99895349999999905</v>
      </c>
      <c r="AB1800">
        <v>46</v>
      </c>
      <c r="AC1800">
        <v>-17.434000000000001</v>
      </c>
      <c r="AD1800">
        <v>-1.1051890270489999</v>
      </c>
      <c r="AE1800">
        <v>0.99799999999999001</v>
      </c>
      <c r="AF1800">
        <v>0.81689851228958099</v>
      </c>
      <c r="AG1800">
        <v>-1.1051890270489999</v>
      </c>
      <c r="AH1800">
        <v>17.373679828107498</v>
      </c>
      <c r="AI1800">
        <v>93.635836526485505</v>
      </c>
      <c r="AJ1800">
        <v>87.307974424757404</v>
      </c>
      <c r="AK1800">
        <v>17.427952166978201</v>
      </c>
    </row>
    <row r="1801" spans="1:37" x14ac:dyDescent="0.2">
      <c r="A1801" t="str">
        <f>"20200111153643281"</f>
        <v>20200111153643281</v>
      </c>
      <c r="B1801" t="str">
        <f>"1578728203274972"</f>
        <v>1578728203274972</v>
      </c>
      <c r="C1801" t="s">
        <v>37</v>
      </c>
      <c r="D1801">
        <v>5.989274</v>
      </c>
      <c r="E1801">
        <v>0.53905809999999998</v>
      </c>
      <c r="F1801" t="s">
        <v>48</v>
      </c>
      <c r="G1801">
        <v>-311.92750000000001</v>
      </c>
      <c r="H1801" s="1">
        <v>3.03636399999999E-6</v>
      </c>
      <c r="I1801">
        <v>285.02120000000002</v>
      </c>
      <c r="J1801">
        <v>-294.83699999999999</v>
      </c>
      <c r="K1801">
        <v>1.1051949999999999</v>
      </c>
      <c r="L1801">
        <v>284.07350000000002</v>
      </c>
      <c r="M1801">
        <v>-0.99984660000000003</v>
      </c>
      <c r="N1801">
        <v>0</v>
      </c>
      <c r="O1801">
        <v>9.6196549999999995E-3</v>
      </c>
      <c r="P1801">
        <v>-0.99773440000000002</v>
      </c>
      <c r="Q1801">
        <v>3.840619E-2</v>
      </c>
      <c r="R1801">
        <v>-5.5238269999999999E-2</v>
      </c>
      <c r="S1801">
        <v>-3.023285</v>
      </c>
      <c r="T1801">
        <v>-0.190194</v>
      </c>
      <c r="U1801">
        <v>0.16384889999999999</v>
      </c>
      <c r="V1801">
        <v>-6.4919260000000006E-2</v>
      </c>
      <c r="W1801">
        <v>5.2895949999999997E-2</v>
      </c>
      <c r="X1801">
        <v>0.99648760000000003</v>
      </c>
      <c r="Y1801">
        <v>4.4438520000000002E-2</v>
      </c>
      <c r="Z1801">
        <v>7.9125780000000002E-4</v>
      </c>
      <c r="AA1801">
        <v>0.99901180000000001</v>
      </c>
      <c r="AB1801">
        <v>45</v>
      </c>
      <c r="AC1801">
        <v>-17.090499999999999</v>
      </c>
      <c r="AD1801">
        <v>-1.1051919636359999</v>
      </c>
      <c r="AE1801">
        <v>0.94769999999999699</v>
      </c>
      <c r="AF1801">
        <v>0.77998206304363005</v>
      </c>
      <c r="AG1801">
        <v>-1.1051919636359999</v>
      </c>
      <c r="AH1801">
        <v>17.027837419327799</v>
      </c>
      <c r="AI1801">
        <v>93.709695377433803</v>
      </c>
      <c r="AJ1801">
        <v>87.377326180951897</v>
      </c>
      <c r="AK1801">
        <v>17.081483204751699</v>
      </c>
    </row>
    <row r="1802" spans="1:37" x14ac:dyDescent="0.2">
      <c r="A1802" t="str">
        <f>"20200111153643302"</f>
        <v>20200111153643302</v>
      </c>
      <c r="B1802" t="str">
        <f>"1578728203294491"</f>
        <v>1578728203294491</v>
      </c>
      <c r="C1802" t="s">
        <v>37</v>
      </c>
      <c r="D1802">
        <v>5.9540920000000002</v>
      </c>
      <c r="E1802">
        <v>0.53873870000000001</v>
      </c>
      <c r="F1802" t="s">
        <v>38</v>
      </c>
      <c r="G1802">
        <v>-295.935</v>
      </c>
      <c r="H1802">
        <v>1.035315</v>
      </c>
      <c r="I1802">
        <v>284.13209999999998</v>
      </c>
      <c r="J1802">
        <v>-295.28469999999999</v>
      </c>
      <c r="K1802">
        <v>1.1051930000000001</v>
      </c>
      <c r="L1802">
        <v>284.07740000000001</v>
      </c>
      <c r="M1802">
        <v>-0.99985170000000001</v>
      </c>
      <c r="N1802">
        <v>0</v>
      </c>
      <c r="O1802">
        <v>9.0787539999999996E-3</v>
      </c>
      <c r="P1802">
        <v>-0.99773559999999994</v>
      </c>
      <c r="Q1802">
        <v>3.8612470000000003E-2</v>
      </c>
      <c r="R1802">
        <v>-5.5073289999999997E-2</v>
      </c>
      <c r="S1802">
        <v>-3.0231319999999999</v>
      </c>
      <c r="T1802">
        <v>-0.19253239999999999</v>
      </c>
      <c r="U1802">
        <v>0.1607056</v>
      </c>
      <c r="V1802">
        <v>-6.4215300000000003E-2</v>
      </c>
      <c r="W1802">
        <v>5.3100710000000002E-2</v>
      </c>
      <c r="X1802">
        <v>0.99652229999999997</v>
      </c>
      <c r="Y1802">
        <v>4.394414E-2</v>
      </c>
      <c r="Z1802">
        <v>8.1969979999999996E-4</v>
      </c>
      <c r="AA1802">
        <v>0.99903359999999997</v>
      </c>
      <c r="AB1802">
        <v>45</v>
      </c>
      <c r="AC1802">
        <v>-0.65030000000001498</v>
      </c>
      <c r="AD1802">
        <v>-6.9878000000000107E-2</v>
      </c>
      <c r="AE1802">
        <v>5.4699999999968399E-2</v>
      </c>
      <c r="AF1802">
        <v>4.8240104217694903E-2</v>
      </c>
      <c r="AG1802">
        <v>-6.9878000000000107E-2</v>
      </c>
      <c r="AH1802">
        <v>0.64339305760376497</v>
      </c>
      <c r="AI1802">
        <v>96.181301350769502</v>
      </c>
      <c r="AJ1802">
        <v>85.712119652049793</v>
      </c>
      <c r="AK1802">
        <v>0.64897200949783296</v>
      </c>
    </row>
    <row r="1803" spans="1:37" x14ac:dyDescent="0.2">
      <c r="A1803" t="str">
        <f>"20200111153643315"</f>
        <v>20200111153643315</v>
      </c>
      <c r="B1803" t="str">
        <f>"1578728203304252"</f>
        <v>1578728203304252</v>
      </c>
      <c r="C1803" t="s">
        <v>37</v>
      </c>
      <c r="D1803">
        <v>5.9990899999999998</v>
      </c>
      <c r="E1803">
        <v>0.53862909999999997</v>
      </c>
      <c r="F1803" t="s">
        <v>38</v>
      </c>
      <c r="G1803">
        <v>-296.34140000000002</v>
      </c>
      <c r="H1803">
        <v>1.0372939999999999</v>
      </c>
      <c r="I1803">
        <v>284.13330000000002</v>
      </c>
      <c r="J1803">
        <v>-295.5548</v>
      </c>
      <c r="K1803">
        <v>1.105192</v>
      </c>
      <c r="L1803">
        <v>284.07960000000003</v>
      </c>
      <c r="M1803">
        <v>-0.99985460000000004</v>
      </c>
      <c r="N1803">
        <v>0</v>
      </c>
      <c r="O1803">
        <v>8.7525209999999992E-3</v>
      </c>
      <c r="P1803">
        <v>-0.99771949999999998</v>
      </c>
      <c r="Q1803">
        <v>3.8881840000000001E-2</v>
      </c>
      <c r="R1803">
        <v>-5.5171980000000002E-2</v>
      </c>
      <c r="S1803">
        <v>-3.0231319999999999</v>
      </c>
      <c r="T1803">
        <v>-0.19459989999999999</v>
      </c>
      <c r="U1803">
        <v>0.15884400000000001</v>
      </c>
      <c r="V1803">
        <v>-6.3989160000000003E-2</v>
      </c>
      <c r="W1803">
        <v>5.336925E-2</v>
      </c>
      <c r="X1803">
        <v>0.99652249999999998</v>
      </c>
      <c r="Y1803">
        <v>4.3655029999999997E-2</v>
      </c>
      <c r="Z1803">
        <v>8.4017079999999995E-4</v>
      </c>
      <c r="AA1803">
        <v>0.99904629999999905</v>
      </c>
      <c r="AB1803">
        <v>45</v>
      </c>
      <c r="AC1803">
        <v>-0.78660000000002095</v>
      </c>
      <c r="AD1803">
        <v>-6.7897999999999695E-2</v>
      </c>
      <c r="AE1803">
        <v>5.3699999999991997E-2</v>
      </c>
      <c r="AF1803">
        <v>4.6467853152757102E-2</v>
      </c>
      <c r="AG1803">
        <v>-6.7897999999999695E-2</v>
      </c>
      <c r="AH1803">
        <v>0.78124597743088697</v>
      </c>
      <c r="AI1803">
        <v>94.958369582710503</v>
      </c>
      <c r="AJ1803">
        <v>86.5961055468035</v>
      </c>
      <c r="AK1803">
        <v>0.78556646888253101</v>
      </c>
    </row>
    <row r="1804" spans="1:37" x14ac:dyDescent="0.2">
      <c r="A1804" t="str">
        <f>"20200111153643335"</f>
        <v>20200111153643335</v>
      </c>
      <c r="B1804" t="str">
        <f>"1578728203324754"</f>
        <v>1578728203324754</v>
      </c>
      <c r="C1804" t="s">
        <v>37</v>
      </c>
      <c r="D1804">
        <v>5.9835649999999996</v>
      </c>
      <c r="E1804">
        <v>0.53846850000000002</v>
      </c>
      <c r="F1804" t="s">
        <v>48</v>
      </c>
      <c r="G1804">
        <v>-312.63170000000002</v>
      </c>
      <c r="H1804" s="1">
        <v>3.35305E-6</v>
      </c>
      <c r="I1804">
        <v>284.97089999999997</v>
      </c>
      <c r="J1804">
        <v>-295.94900000000001</v>
      </c>
      <c r="K1804">
        <v>1.1051879999999901</v>
      </c>
      <c r="L1804">
        <v>284.08260000000001</v>
      </c>
      <c r="M1804">
        <v>-0.99985869999999999</v>
      </c>
      <c r="N1804">
        <v>0</v>
      </c>
      <c r="O1804">
        <v>8.2756900000000005E-3</v>
      </c>
      <c r="P1804">
        <v>-0.99770029999999998</v>
      </c>
      <c r="Q1804">
        <v>3.9487759999999997E-2</v>
      </c>
      <c r="R1804">
        <v>-5.509497E-2</v>
      </c>
      <c r="S1804">
        <v>-3.023193</v>
      </c>
      <c r="T1804">
        <v>-0.19565550000000001</v>
      </c>
      <c r="U1804">
        <v>0.15780639999999899</v>
      </c>
      <c r="V1804">
        <v>-6.3436820000000005E-2</v>
      </c>
      <c r="W1804">
        <v>5.3973489999999999E-2</v>
      </c>
      <c r="X1804">
        <v>0.99652529999999995</v>
      </c>
      <c r="Y1804">
        <v>4.378642E-2</v>
      </c>
      <c r="Z1804">
        <v>8.797589E-4</v>
      </c>
      <c r="AA1804">
        <v>0.9990405</v>
      </c>
      <c r="AB1804">
        <v>45</v>
      </c>
      <c r="AC1804">
        <v>-16.682700000000001</v>
      </c>
      <c r="AD1804">
        <v>-1.10518464694999</v>
      </c>
      <c r="AE1804">
        <v>0.88829999999995801</v>
      </c>
      <c r="AF1804">
        <v>0.746925168384175</v>
      </c>
      <c r="AG1804">
        <v>-1.10518464694999</v>
      </c>
      <c r="AH1804">
        <v>16.6167606887849</v>
      </c>
      <c r="AI1804">
        <v>93.801324384722406</v>
      </c>
      <c r="AJ1804">
        <v>87.426281066207807</v>
      </c>
      <c r="AK1804">
        <v>16.670214938607302</v>
      </c>
    </row>
    <row r="1805" spans="1:37" x14ac:dyDescent="0.2">
      <c r="A1805" t="str">
        <f>"20200111153643351"</f>
        <v>20200111153643351</v>
      </c>
      <c r="B1805" t="str">
        <f>"1578728203344268"</f>
        <v>1578728203344268</v>
      </c>
      <c r="C1805" t="s">
        <v>37</v>
      </c>
      <c r="D1805">
        <v>5.9850810000000001</v>
      </c>
      <c r="E1805">
        <v>0.53831110000000004</v>
      </c>
      <c r="F1805" t="s">
        <v>48</v>
      </c>
      <c r="G1805">
        <v>-312.89499999999998</v>
      </c>
      <c r="H1805" s="1">
        <v>3.470404E-6</v>
      </c>
      <c r="I1805">
        <v>284.96409999999997</v>
      </c>
      <c r="J1805">
        <v>-296.24349999999998</v>
      </c>
      <c r="K1805">
        <v>1.105189</v>
      </c>
      <c r="L1805">
        <v>284.08479999999997</v>
      </c>
      <c r="M1805">
        <v>-0.99986169999999996</v>
      </c>
      <c r="N1805">
        <v>0</v>
      </c>
      <c r="O1805">
        <v>7.9194820000000003E-3</v>
      </c>
      <c r="P1805">
        <v>-0.99765029999999999</v>
      </c>
      <c r="Q1805">
        <v>4.0009900000000001E-2</v>
      </c>
      <c r="R1805">
        <v>-5.5616369999999998E-2</v>
      </c>
      <c r="S1805">
        <v>-3.0234070000000002</v>
      </c>
      <c r="T1805">
        <v>-0.197180299999999</v>
      </c>
      <c r="U1805">
        <v>0.15725710000000001</v>
      </c>
      <c r="V1805">
        <v>-6.3603240000000005E-2</v>
      </c>
      <c r="W1805">
        <v>5.4493430000000002E-2</v>
      </c>
      <c r="X1805">
        <v>0.99648639999999999</v>
      </c>
      <c r="Y1805">
        <v>4.3955380000000002E-2</v>
      </c>
      <c r="Z1805">
        <v>9.1523280000000004E-4</v>
      </c>
      <c r="AA1805">
        <v>0.99903310000000001</v>
      </c>
      <c r="AB1805">
        <v>45</v>
      </c>
      <c r="AC1805">
        <v>-16.651499999999999</v>
      </c>
      <c r="AD1805">
        <v>-1.105185529596</v>
      </c>
      <c r="AE1805">
        <v>0.87929999999999997</v>
      </c>
      <c r="AF1805">
        <v>0.74411820220164904</v>
      </c>
      <c r="AG1805">
        <v>-1.105185529596</v>
      </c>
      <c r="AH1805">
        <v>16.585084925913801</v>
      </c>
      <c r="AI1805">
        <v>93.808580392475704</v>
      </c>
      <c r="AJ1805">
        <v>87.431049713751406</v>
      </c>
      <c r="AK1805">
        <v>16.638515226829899</v>
      </c>
    </row>
    <row r="1806" spans="1:37" x14ac:dyDescent="0.2">
      <c r="A1806" t="str">
        <f>"20200111153643364"</f>
        <v>20200111153643364</v>
      </c>
      <c r="B1806" t="str">
        <f>"1578728203355004"</f>
        <v>1578728203355004</v>
      </c>
      <c r="C1806" t="s">
        <v>37</v>
      </c>
      <c r="D1806">
        <v>5.9597119999999997</v>
      </c>
      <c r="E1806">
        <v>0.53825469999999997</v>
      </c>
      <c r="F1806" t="s">
        <v>38</v>
      </c>
      <c r="G1806">
        <v>-297.15730000000002</v>
      </c>
      <c r="H1806">
        <v>1.0456939999999999</v>
      </c>
      <c r="I1806">
        <v>284.13170000000002</v>
      </c>
      <c r="J1806">
        <v>-296.53149999999999</v>
      </c>
      <c r="K1806">
        <v>1.1051899999999999</v>
      </c>
      <c r="L1806">
        <v>284.08690000000001</v>
      </c>
      <c r="M1806">
        <v>-0.99986439999999999</v>
      </c>
      <c r="N1806">
        <v>0</v>
      </c>
      <c r="O1806">
        <v>7.571375E-3</v>
      </c>
      <c r="P1806">
        <v>-0.99761630000000001</v>
      </c>
      <c r="Q1806">
        <v>4.0324989999999998E-2</v>
      </c>
      <c r="R1806">
        <v>-5.59973E-2</v>
      </c>
      <c r="S1806">
        <v>-3.0235599999999998</v>
      </c>
      <c r="T1806">
        <v>-0.19693740000000001</v>
      </c>
      <c r="U1806">
        <v>0.15423580000000001</v>
      </c>
      <c r="V1806">
        <v>-6.3637310000000002E-2</v>
      </c>
      <c r="W1806">
        <v>5.4806720000000003E-2</v>
      </c>
      <c r="X1806">
        <v>0.99646699999999999</v>
      </c>
      <c r="Y1806">
        <v>4.3305780000000002E-2</v>
      </c>
      <c r="Z1806">
        <v>9.1559979999999996E-4</v>
      </c>
      <c r="AA1806">
        <v>0.99906149999999905</v>
      </c>
      <c r="AB1806">
        <v>45</v>
      </c>
      <c r="AC1806">
        <v>-0.625800000000026</v>
      </c>
      <c r="AD1806">
        <v>-5.9495999999999702E-2</v>
      </c>
      <c r="AE1806">
        <v>4.4800000000009201E-2</v>
      </c>
      <c r="AF1806">
        <v>3.9703009854161003E-2</v>
      </c>
      <c r="AG1806">
        <v>-5.9495999999999702E-2</v>
      </c>
      <c r="AH1806">
        <v>0.62054102671251699</v>
      </c>
      <c r="AI1806">
        <v>95.465535267456204</v>
      </c>
      <c r="AJ1806">
        <v>86.339132565545697</v>
      </c>
      <c r="AK1806">
        <v>0.62464971691413096</v>
      </c>
    </row>
    <row r="1807" spans="1:37" x14ac:dyDescent="0.2">
      <c r="A1807" t="str">
        <f>"20200111153643381"</f>
        <v>20200111153643381</v>
      </c>
      <c r="B1807" t="str">
        <f>"1578728203374524"</f>
        <v>1578728203374524</v>
      </c>
      <c r="C1807" t="s">
        <v>37</v>
      </c>
      <c r="D1807">
        <v>5.9502189999999997</v>
      </c>
      <c r="E1807">
        <v>0.53827899999999995</v>
      </c>
      <c r="F1807" t="s">
        <v>38</v>
      </c>
      <c r="G1807">
        <v>-297.55619999999999</v>
      </c>
      <c r="H1807">
        <v>1.0382750000000001</v>
      </c>
      <c r="I1807">
        <v>284.13869999999997</v>
      </c>
      <c r="J1807">
        <v>-296.8648</v>
      </c>
      <c r="K1807">
        <v>1.1051949999999999</v>
      </c>
      <c r="L1807">
        <v>284.08909999999997</v>
      </c>
      <c r="M1807">
        <v>-0.99986739999999996</v>
      </c>
      <c r="N1807">
        <v>0</v>
      </c>
      <c r="O1807">
        <v>7.1683149999999998E-3</v>
      </c>
      <c r="P1807">
        <v>-0.99759759999999997</v>
      </c>
      <c r="Q1807">
        <v>4.0973900000000001E-2</v>
      </c>
      <c r="R1807">
        <v>-5.5859779999999998E-2</v>
      </c>
      <c r="S1807">
        <v>-3.02371199999999</v>
      </c>
      <c r="T1807">
        <v>-0.19755</v>
      </c>
      <c r="U1807">
        <v>0.15255739999999901</v>
      </c>
      <c r="V1807">
        <v>-6.3098589999999996E-2</v>
      </c>
      <c r="W1807">
        <v>5.545423E-2</v>
      </c>
      <c r="X1807">
        <v>0.99646539999999995</v>
      </c>
      <c r="Y1807">
        <v>4.3151799999999997E-2</v>
      </c>
      <c r="Z1807">
        <v>9.3967539999999998E-4</v>
      </c>
      <c r="AA1807">
        <v>0.99906810000000001</v>
      </c>
      <c r="AB1807">
        <v>45</v>
      </c>
      <c r="AC1807">
        <v>-0.69139999999998702</v>
      </c>
      <c r="AD1807">
        <v>-6.6919999999999993E-2</v>
      </c>
      <c r="AE1807">
        <v>4.9599999999998E-2</v>
      </c>
      <c r="AF1807">
        <v>4.4229793335904002E-2</v>
      </c>
      <c r="AG1807">
        <v>-6.6919999999999993E-2</v>
      </c>
      <c r="AH1807">
        <v>0.68535023866046196</v>
      </c>
      <c r="AI1807">
        <v>95.565377145607201</v>
      </c>
      <c r="AJ1807">
        <v>86.307477686272094</v>
      </c>
      <c r="AK1807">
        <v>0.69002863031216999</v>
      </c>
    </row>
    <row r="1808" spans="1:37" x14ac:dyDescent="0.2">
      <c r="A1808" t="str">
        <f>"20200111153643404"</f>
        <v>20200111153643404</v>
      </c>
      <c r="B1808" t="str">
        <f>"1578728203395019"</f>
        <v>1578728203395019</v>
      </c>
      <c r="C1808" t="s">
        <v>37</v>
      </c>
      <c r="D1808">
        <v>5.9598370000000003</v>
      </c>
      <c r="E1808">
        <v>0.53815210000000002</v>
      </c>
      <c r="F1808" t="s">
        <v>38</v>
      </c>
      <c r="G1808">
        <v>-297.95769999999999</v>
      </c>
      <c r="H1808">
        <v>1.0330919999999999</v>
      </c>
      <c r="I1808">
        <v>284.14479999999998</v>
      </c>
      <c r="J1808">
        <v>-297.33870000000002</v>
      </c>
      <c r="K1808">
        <v>1.1052070000000001</v>
      </c>
      <c r="L1808">
        <v>284.09199999999998</v>
      </c>
      <c r="M1808">
        <v>-0.99987139999999997</v>
      </c>
      <c r="N1808">
        <v>0</v>
      </c>
      <c r="O1808">
        <v>6.5951689999999997E-3</v>
      </c>
      <c r="P1808">
        <v>-0.99759439999999999</v>
      </c>
      <c r="Q1808">
        <v>4.1363339999999998E-2</v>
      </c>
      <c r="R1808">
        <v>-5.5627759999999998E-2</v>
      </c>
      <c r="S1808">
        <v>-3.0240480000000001</v>
      </c>
      <c r="T1808">
        <v>-0.19970070000000001</v>
      </c>
      <c r="U1808">
        <v>0.1532898</v>
      </c>
      <c r="V1808">
        <v>-6.2295629999999998E-2</v>
      </c>
      <c r="W1808">
        <v>5.5842719999999998E-2</v>
      </c>
      <c r="X1808">
        <v>0.99649430000000006</v>
      </c>
      <c r="Y1808">
        <v>4.3955599999999997E-2</v>
      </c>
      <c r="Z1808">
        <v>1.014051E-3</v>
      </c>
      <c r="AA1808">
        <v>0.99903299999999995</v>
      </c>
      <c r="AB1808">
        <v>45</v>
      </c>
      <c r="AC1808">
        <v>-0.61899999999997102</v>
      </c>
      <c r="AD1808">
        <v>-7.2115000000000096E-2</v>
      </c>
      <c r="AE1808">
        <v>5.2799999999990598E-2</v>
      </c>
      <c r="AF1808">
        <v>4.8068296174291501E-2</v>
      </c>
      <c r="AG1808">
        <v>-7.2115000000000096E-2</v>
      </c>
      <c r="AH1808">
        <v>0.61110035807247298</v>
      </c>
      <c r="AI1808">
        <v>96.709723624030502</v>
      </c>
      <c r="AJ1808">
        <v>85.502454871890805</v>
      </c>
      <c r="AK1808">
        <v>0.61721534488248497</v>
      </c>
    </row>
    <row r="1809" spans="1:37" x14ac:dyDescent="0.2">
      <c r="A1809" t="str">
        <f>"20200111153643427"</f>
        <v>20200111153643427</v>
      </c>
      <c r="B1809" t="str">
        <f>"1578728203414539"</f>
        <v>1578728203414539</v>
      </c>
      <c r="C1809" t="s">
        <v>37</v>
      </c>
      <c r="D1809">
        <v>5.9494809999999996</v>
      </c>
      <c r="E1809">
        <v>0.53808489999999998</v>
      </c>
      <c r="F1809" t="s">
        <v>38</v>
      </c>
      <c r="G1809">
        <v>-298.36360000000002</v>
      </c>
      <c r="H1809">
        <v>1.0371629999999901</v>
      </c>
      <c r="I1809">
        <v>284.14389999999997</v>
      </c>
      <c r="J1809">
        <v>-297.77170000000001</v>
      </c>
      <c r="K1809">
        <v>1.105213</v>
      </c>
      <c r="L1809">
        <v>284.09449999999998</v>
      </c>
      <c r="M1809">
        <v>-0.99987479999999995</v>
      </c>
      <c r="N1809">
        <v>0</v>
      </c>
      <c r="O1809">
        <v>6.0716090000000004E-3</v>
      </c>
      <c r="P1809">
        <v>-0.99752770000000002</v>
      </c>
      <c r="Q1809">
        <v>4.2929099999999998E-2</v>
      </c>
      <c r="R1809">
        <v>-5.5639500000000001E-2</v>
      </c>
      <c r="S1809">
        <v>-3.0241090000000002</v>
      </c>
      <c r="T1809">
        <v>-0.200842299999999</v>
      </c>
      <c r="U1809">
        <v>0.152832</v>
      </c>
      <c r="V1809">
        <v>-6.1786939999999999E-2</v>
      </c>
      <c r="W1809">
        <v>5.7406150000000003E-2</v>
      </c>
      <c r="X1809">
        <v>0.99643709999999996</v>
      </c>
      <c r="Y1809">
        <v>4.4323969999999997E-2</v>
      </c>
      <c r="Z1809">
        <v>1.066741E-3</v>
      </c>
      <c r="AA1809">
        <v>0.99901659999999903</v>
      </c>
      <c r="AB1809">
        <v>45</v>
      </c>
      <c r="AC1809">
        <v>-0.59190000000000897</v>
      </c>
      <c r="AD1809">
        <v>-6.8050000000000097E-2</v>
      </c>
      <c r="AE1809">
        <v>4.9399999999991402E-2</v>
      </c>
      <c r="AF1809">
        <v>4.5211457400244799E-2</v>
      </c>
      <c r="AG1809">
        <v>-6.8050000000000097E-2</v>
      </c>
      <c r="AH1809">
        <v>0.58451647205504897</v>
      </c>
      <c r="AI1809">
        <v>96.620938825866801</v>
      </c>
      <c r="AJ1809">
        <v>85.577065325559502</v>
      </c>
      <c r="AK1809">
        <v>0.59019859749404302</v>
      </c>
    </row>
    <row r="1810" spans="1:37" x14ac:dyDescent="0.2">
      <c r="A1810" t="str">
        <f>"20200111153643447"</f>
        <v>20200111153643447</v>
      </c>
      <c r="B1810" t="str">
        <f>"1578728203435035"</f>
        <v>1578728203435035</v>
      </c>
      <c r="C1810" t="s">
        <v>37</v>
      </c>
      <c r="D1810">
        <v>5.9137699999999898</v>
      </c>
      <c r="E1810">
        <v>0.53811540000000002</v>
      </c>
      <c r="F1810" t="s">
        <v>38</v>
      </c>
      <c r="G1810">
        <v>-298.76839999999999</v>
      </c>
      <c r="H1810">
        <v>1.039655</v>
      </c>
      <c r="I1810">
        <v>284.14479999999998</v>
      </c>
      <c r="J1810">
        <v>-298.20370000000003</v>
      </c>
      <c r="K1810">
        <v>1.1052249999999999</v>
      </c>
      <c r="L1810">
        <v>284.09660000000002</v>
      </c>
      <c r="M1810">
        <v>-0.99987780000000004</v>
      </c>
      <c r="N1810">
        <v>0</v>
      </c>
      <c r="O1810">
        <v>5.5487640000000003E-3</v>
      </c>
      <c r="P1810">
        <v>-0.99744849999999996</v>
      </c>
      <c r="Q1810">
        <v>4.4864870000000001E-2</v>
      </c>
      <c r="R1810">
        <v>-5.5533939999999997E-2</v>
      </c>
      <c r="S1810">
        <v>-3.0244749999999998</v>
      </c>
      <c r="T1810">
        <v>-0.1990961</v>
      </c>
      <c r="U1810">
        <v>0.15206910000000001</v>
      </c>
      <c r="V1810">
        <v>-6.1162319999999999E-2</v>
      </c>
      <c r="W1810">
        <v>5.9339280000000001E-2</v>
      </c>
      <c r="X1810">
        <v>0.99636239999999998</v>
      </c>
      <c r="Y1810">
        <v>4.4588660000000002E-2</v>
      </c>
      <c r="Z1810">
        <v>1.100424E-3</v>
      </c>
      <c r="AA1810">
        <v>0.99900480000000003</v>
      </c>
      <c r="AB1810">
        <v>45</v>
      </c>
      <c r="AC1810">
        <v>-0.56469999999995901</v>
      </c>
      <c r="AD1810">
        <v>-6.5569999999999906E-2</v>
      </c>
      <c r="AE1810">
        <v>4.8199999999951601E-2</v>
      </c>
      <c r="AF1810">
        <v>4.4470295927298398E-2</v>
      </c>
      <c r="AG1810">
        <v>-6.5569999999999906E-2</v>
      </c>
      <c r="AH1810">
        <v>0.55749662553832702</v>
      </c>
      <c r="AI1810">
        <v>96.686981207587294</v>
      </c>
      <c r="AJ1810">
        <v>85.439296763912907</v>
      </c>
      <c r="AK1810">
        <v>0.56309814384926105</v>
      </c>
    </row>
    <row r="1811" spans="1:37" x14ac:dyDescent="0.2">
      <c r="A1811" t="str">
        <f>"20200111153643461"</f>
        <v>20200111153643461</v>
      </c>
      <c r="B1811" t="str">
        <f>"1578728203454556"</f>
        <v>1578728203454556</v>
      </c>
      <c r="C1811" t="s">
        <v>37</v>
      </c>
      <c r="D1811">
        <v>5.968756</v>
      </c>
      <c r="E1811">
        <v>0.53800800000000004</v>
      </c>
      <c r="F1811" t="s">
        <v>38</v>
      </c>
      <c r="G1811">
        <v>-299.173</v>
      </c>
      <c r="H1811">
        <v>1.042071</v>
      </c>
      <c r="I1811">
        <v>284.1456</v>
      </c>
      <c r="J1811">
        <v>-298.48050000000001</v>
      </c>
      <c r="K1811">
        <v>1.1052329999999999</v>
      </c>
      <c r="L1811">
        <v>284.09800000000001</v>
      </c>
      <c r="M1811">
        <v>-0.99987950000000003</v>
      </c>
      <c r="N1811">
        <v>0</v>
      </c>
      <c r="O1811">
        <v>5.2140650000000004E-3</v>
      </c>
      <c r="P1811">
        <v>-0.99740019999999996</v>
      </c>
      <c r="Q1811">
        <v>4.5937649999999997E-2</v>
      </c>
      <c r="R1811">
        <v>-5.5521540000000001E-2</v>
      </c>
      <c r="S1811">
        <v>-3.024994</v>
      </c>
      <c r="T1811">
        <v>-0.1971512</v>
      </c>
      <c r="U1811">
        <v>0.15246579999999901</v>
      </c>
      <c r="V1811">
        <v>-6.0817759999999998E-2</v>
      </c>
      <c r="W1811">
        <v>6.0410239999999997E-2</v>
      </c>
      <c r="X1811">
        <v>0.99631909999999901</v>
      </c>
      <c r="Y1811">
        <v>4.5045160000000001E-2</v>
      </c>
      <c r="Z1811">
        <v>1.1261349999999999E-3</v>
      </c>
      <c r="AA1811">
        <v>0.99898430000000005</v>
      </c>
      <c r="AB1811">
        <v>45</v>
      </c>
      <c r="AC1811">
        <v>-0.69249999999999501</v>
      </c>
      <c r="AD1811">
        <v>-6.3161999999999899E-2</v>
      </c>
      <c r="AE1811">
        <v>4.7599999999988499E-2</v>
      </c>
      <c r="AF1811">
        <v>4.3626999548264003E-2</v>
      </c>
      <c r="AG1811">
        <v>-6.3161999999999899E-2</v>
      </c>
      <c r="AH1811">
        <v>0.68705009429872399</v>
      </c>
      <c r="AI1811">
        <v>95.242061965572304</v>
      </c>
      <c r="AJ1811">
        <v>86.366652957777305</v>
      </c>
      <c r="AK1811">
        <v>0.69132523851619199</v>
      </c>
    </row>
    <row r="1812" spans="1:37" x14ac:dyDescent="0.2">
      <c r="A1812" t="str">
        <f>"20200111153643480"</f>
        <v>20200111153643480</v>
      </c>
      <c r="B1812" t="str">
        <f>"1578728203475053"</f>
        <v>1578728203475053</v>
      </c>
      <c r="C1812" t="s">
        <v>37</v>
      </c>
      <c r="D1812">
        <v>5.9685769999999998</v>
      </c>
      <c r="E1812">
        <v>0.53794090000000006</v>
      </c>
      <c r="F1812" t="s">
        <v>38</v>
      </c>
      <c r="G1812">
        <v>-299.57190000000003</v>
      </c>
      <c r="H1812">
        <v>1.034476</v>
      </c>
      <c r="I1812">
        <v>284.15300000000002</v>
      </c>
      <c r="J1812">
        <v>-298.88979999999998</v>
      </c>
      <c r="K1812">
        <v>1.1052500000000001</v>
      </c>
      <c r="L1812">
        <v>284.09969999999998</v>
      </c>
      <c r="M1812">
        <v>-0.99988220000000005</v>
      </c>
      <c r="N1812">
        <v>0</v>
      </c>
      <c r="O1812">
        <v>4.7182150000000004E-3</v>
      </c>
      <c r="P1812">
        <v>-0.99734219999999896</v>
      </c>
      <c r="Q1812">
        <v>4.8098370000000001E-2</v>
      </c>
      <c r="R1812">
        <v>-5.4731519999999999E-2</v>
      </c>
      <c r="S1812">
        <v>-3.02526899999999</v>
      </c>
      <c r="T1812">
        <v>-0.196303799999999</v>
      </c>
      <c r="U1812">
        <v>0.15167239999999901</v>
      </c>
      <c r="V1812">
        <v>-5.9536079999999998E-2</v>
      </c>
      <c r="W1812">
        <v>6.2570029999999999E-2</v>
      </c>
      <c r="X1812">
        <v>0.99626329999999996</v>
      </c>
      <c r="Y1812">
        <v>4.5273859999999999E-2</v>
      </c>
      <c r="Z1812">
        <v>1.1607399999999999E-3</v>
      </c>
      <c r="AA1812">
        <v>0.99897400000000003</v>
      </c>
      <c r="AB1812">
        <v>45</v>
      </c>
      <c r="AC1812">
        <v>-0.682100000000048</v>
      </c>
      <c r="AD1812">
        <v>-7.0774000000000101E-2</v>
      </c>
      <c r="AE1812">
        <v>5.3300000000035597E-2</v>
      </c>
      <c r="AF1812">
        <v>4.9550548822776999E-2</v>
      </c>
      <c r="AG1812">
        <v>-7.0774000000000101E-2</v>
      </c>
      <c r="AH1812">
        <v>0.67511973569210104</v>
      </c>
      <c r="AI1812">
        <v>95.968621187908198</v>
      </c>
      <c r="AJ1812">
        <v>85.802291421931301</v>
      </c>
      <c r="AK1812">
        <v>0.68062535471844599</v>
      </c>
    </row>
    <row r="1813" spans="1:37" x14ac:dyDescent="0.2">
      <c r="A1813" t="str">
        <f>"20200111153643503"</f>
        <v>20200111153643503</v>
      </c>
      <c r="B1813" t="str">
        <f>"1578728203494571"</f>
        <v>1578728203494571</v>
      </c>
      <c r="C1813" t="s">
        <v>37</v>
      </c>
      <c r="D1813">
        <v>5.9486840000000001</v>
      </c>
      <c r="E1813">
        <v>0.53791429999999996</v>
      </c>
      <c r="F1813" t="s">
        <v>38</v>
      </c>
      <c r="G1813">
        <v>-299.97539999999998</v>
      </c>
      <c r="H1813">
        <v>1.036125</v>
      </c>
      <c r="I1813">
        <v>284.15469999999999</v>
      </c>
      <c r="J1813">
        <v>-299.33699999999999</v>
      </c>
      <c r="K1813">
        <v>1.1052629999999899</v>
      </c>
      <c r="L1813">
        <v>284.10140000000001</v>
      </c>
      <c r="M1813">
        <v>-0.99988449999999995</v>
      </c>
      <c r="N1813">
        <v>0</v>
      </c>
      <c r="O1813">
        <v>4.1764769999999996E-3</v>
      </c>
      <c r="P1813">
        <v>-0.99730399999999997</v>
      </c>
      <c r="Q1813">
        <v>5.0070200000000002E-2</v>
      </c>
      <c r="R1813">
        <v>-5.3644240000000003E-2</v>
      </c>
      <c r="S1813">
        <v>-3.025665</v>
      </c>
      <c r="T1813">
        <v>-0.19276199999999999</v>
      </c>
      <c r="U1813">
        <v>0.15277099999999999</v>
      </c>
      <c r="V1813">
        <v>-5.7912089999999999E-2</v>
      </c>
      <c r="W1813">
        <v>6.4541089999999995E-2</v>
      </c>
      <c r="X1813">
        <v>0.99623320000000004</v>
      </c>
      <c r="Y1813">
        <v>4.6170499999999899E-2</v>
      </c>
      <c r="Z1813">
        <v>1.202654E-3</v>
      </c>
      <c r="AA1813">
        <v>0.99893279999999995</v>
      </c>
      <c r="AB1813">
        <v>45</v>
      </c>
      <c r="AC1813">
        <v>-0.63839999999998998</v>
      </c>
      <c r="AD1813">
        <v>-6.9137999999999894E-2</v>
      </c>
      <c r="AE1813">
        <v>5.3299999999978802E-2</v>
      </c>
      <c r="AF1813">
        <v>5.00500318439547E-2</v>
      </c>
      <c r="AG1813">
        <v>-6.9137999999999894E-2</v>
      </c>
      <c r="AH1813">
        <v>0.63126443609578797</v>
      </c>
      <c r="AI1813">
        <v>96.230896967163702</v>
      </c>
      <c r="AJ1813">
        <v>85.466766173203695</v>
      </c>
      <c r="AK1813">
        <v>0.63700852192958402</v>
      </c>
    </row>
    <row r="1814" spans="1:37" x14ac:dyDescent="0.2">
      <c r="A1814" t="str">
        <f>"20200111153643525"</f>
        <v>20200111153643525</v>
      </c>
      <c r="B1814" t="str">
        <f>"1578728203515070"</f>
        <v>1578728203515070</v>
      </c>
      <c r="C1814" t="s">
        <v>37</v>
      </c>
      <c r="D1814">
        <v>5.9526349999999999</v>
      </c>
      <c r="E1814">
        <v>0.53799869999999905</v>
      </c>
      <c r="F1814" t="s">
        <v>38</v>
      </c>
      <c r="G1814">
        <v>-300.37970000000001</v>
      </c>
      <c r="H1814">
        <v>1.0399320000000001</v>
      </c>
      <c r="I1814">
        <v>284.1551</v>
      </c>
      <c r="J1814">
        <v>-299.77140000000003</v>
      </c>
      <c r="K1814">
        <v>1.1052739999999901</v>
      </c>
      <c r="L1814">
        <v>284.1028</v>
      </c>
      <c r="M1814">
        <v>-0.99988670000000002</v>
      </c>
      <c r="N1814">
        <v>0</v>
      </c>
      <c r="O1814">
        <v>3.6500579999999999E-3</v>
      </c>
      <c r="P1814">
        <v>-0.99727840000000001</v>
      </c>
      <c r="Q1814">
        <v>5.2094639999999998E-2</v>
      </c>
      <c r="R1814">
        <v>-5.2177939999999999E-2</v>
      </c>
      <c r="S1814">
        <v>-3.02597</v>
      </c>
      <c r="T1814">
        <v>-0.18972169999999999</v>
      </c>
      <c r="U1814">
        <v>0.15527340000000001</v>
      </c>
      <c r="V1814">
        <v>-5.5923140000000003E-2</v>
      </c>
      <c r="W1814">
        <v>6.6566150000000004E-2</v>
      </c>
      <c r="X1814">
        <v>0.99621360000000003</v>
      </c>
      <c r="Y1814">
        <v>4.7514279999999999E-2</v>
      </c>
      <c r="Z1814">
        <v>1.2585889999999901E-3</v>
      </c>
      <c r="AA1814">
        <v>0.99886980000000003</v>
      </c>
      <c r="AB1814">
        <v>45</v>
      </c>
      <c r="AC1814">
        <v>-0.60829999999998496</v>
      </c>
      <c r="AD1814">
        <v>-6.5341999999999706E-2</v>
      </c>
      <c r="AE1814">
        <v>5.23000000000024E-2</v>
      </c>
      <c r="AF1814">
        <v>4.9511982697047E-2</v>
      </c>
      <c r="AG1814">
        <v>-6.5341999999999706E-2</v>
      </c>
      <c r="AH1814">
        <v>0.60159628471591098</v>
      </c>
      <c r="AI1814">
        <v>96.178119028990594</v>
      </c>
      <c r="AJ1814">
        <v>85.295103081252904</v>
      </c>
      <c r="AK1814">
        <v>0.60715657221064501</v>
      </c>
    </row>
    <row r="1815" spans="1:37" x14ac:dyDescent="0.2">
      <c r="A1815" t="str">
        <f>"20200111153643539"</f>
        <v>20200111153643539</v>
      </c>
      <c r="B1815" t="str">
        <f>"1578728203534589"</f>
        <v>1578728203534589</v>
      </c>
      <c r="C1815" t="s">
        <v>37</v>
      </c>
      <c r="D1815">
        <v>5.9283489999999999</v>
      </c>
      <c r="E1815">
        <v>0.53818129999999997</v>
      </c>
      <c r="F1815" t="s">
        <v>38</v>
      </c>
      <c r="G1815">
        <v>-300.78320000000002</v>
      </c>
      <c r="H1815">
        <v>1.04287</v>
      </c>
      <c r="I1815">
        <v>284.15649999999999</v>
      </c>
      <c r="J1815">
        <v>-300.05739999999997</v>
      </c>
      <c r="K1815">
        <v>1.1052839999999999</v>
      </c>
      <c r="L1815">
        <v>284.10359999999997</v>
      </c>
      <c r="M1815">
        <v>-0.99988790000000005</v>
      </c>
      <c r="N1815">
        <v>0</v>
      </c>
      <c r="O1815">
        <v>3.3036209999999901E-3</v>
      </c>
      <c r="P1815">
        <v>-0.99726930000000003</v>
      </c>
      <c r="Q1815">
        <v>5.2887199999999898E-2</v>
      </c>
      <c r="R1815">
        <v>-5.1546210000000002E-2</v>
      </c>
      <c r="S1815">
        <v>-3.0263369999999998</v>
      </c>
      <c r="T1815">
        <v>-0.18679560000000001</v>
      </c>
      <c r="U1815">
        <v>0.16018679999999999</v>
      </c>
      <c r="V1815">
        <v>-5.4947309999999999E-2</v>
      </c>
      <c r="W1815">
        <v>6.7358790000000002E-2</v>
      </c>
      <c r="X1815">
        <v>0.99621459999999995</v>
      </c>
      <c r="Y1815">
        <v>4.9469680000000002E-2</v>
      </c>
      <c r="Z1815">
        <v>1.3206100000000001E-3</v>
      </c>
      <c r="AA1815">
        <v>0.99877479999999996</v>
      </c>
      <c r="AB1815">
        <v>45</v>
      </c>
      <c r="AC1815">
        <v>-0.72580000000004896</v>
      </c>
      <c r="AD1815">
        <v>-6.24139999999999E-2</v>
      </c>
      <c r="AE1815">
        <v>5.2900000000022297E-2</v>
      </c>
      <c r="AF1815">
        <v>5.0132920335127402E-2</v>
      </c>
      <c r="AG1815">
        <v>-6.24139999999999E-2</v>
      </c>
      <c r="AH1815">
        <v>0.72066972577676103</v>
      </c>
      <c r="AI1815">
        <v>94.937907874213906</v>
      </c>
      <c r="AJ1815">
        <v>86.020667061478605</v>
      </c>
      <c r="AK1815">
        <v>0.72510252430154998</v>
      </c>
    </row>
    <row r="1816" spans="1:37" x14ac:dyDescent="0.2">
      <c r="A1816" t="str">
        <f>"20200111153643560"</f>
        <v>20200111153643560</v>
      </c>
      <c r="B1816" t="str">
        <f>"1578728203555084"</f>
        <v>1578728203555084</v>
      </c>
      <c r="C1816" t="s">
        <v>37</v>
      </c>
      <c r="D1816">
        <v>5.9547319999999999</v>
      </c>
      <c r="E1816">
        <v>0.53839590000000004</v>
      </c>
      <c r="F1816" t="s">
        <v>48</v>
      </c>
      <c r="G1816">
        <v>-317.93380000000002</v>
      </c>
      <c r="H1816" s="1">
        <v>5.6958050000000001E-6</v>
      </c>
      <c r="I1816">
        <v>285.06830000000002</v>
      </c>
      <c r="J1816">
        <v>-300.46890000000002</v>
      </c>
      <c r="K1816">
        <v>1.105299</v>
      </c>
      <c r="L1816">
        <v>284.1046</v>
      </c>
      <c r="M1816">
        <v>-0.99988949999999999</v>
      </c>
      <c r="N1816">
        <v>0</v>
      </c>
      <c r="O1816">
        <v>2.8068339999999998E-3</v>
      </c>
      <c r="P1816">
        <v>-0.99726489999999901</v>
      </c>
      <c r="Q1816">
        <v>5.4563750000000001E-2</v>
      </c>
      <c r="R1816">
        <v>-4.9856770000000002E-2</v>
      </c>
      <c r="S1816">
        <v>-3.0266419999999998</v>
      </c>
      <c r="T1816">
        <v>-0.18713360000000001</v>
      </c>
      <c r="U1816">
        <v>0.16333010000000001</v>
      </c>
      <c r="V1816">
        <v>-5.2764520000000002E-2</v>
      </c>
      <c r="W1816">
        <v>6.903666E-2</v>
      </c>
      <c r="X1816">
        <v>0.99621780000000004</v>
      </c>
      <c r="Y1816">
        <v>5.0990720000000003E-2</v>
      </c>
      <c r="Z1816">
        <v>1.4004339999999899E-3</v>
      </c>
      <c r="AA1816">
        <v>0.99869819999999998</v>
      </c>
      <c r="AB1816">
        <v>45</v>
      </c>
      <c r="AC1816">
        <v>-17.4649</v>
      </c>
      <c r="AD1816">
        <v>-1.1052933041949999</v>
      </c>
      <c r="AE1816">
        <v>0.96370000000001699</v>
      </c>
      <c r="AF1816">
        <v>0.91103212510644804</v>
      </c>
      <c r="AG1816">
        <v>-1.1052933041949999</v>
      </c>
      <c r="AH1816">
        <v>17.3980654268384</v>
      </c>
      <c r="AI1816">
        <v>93.630136449050994</v>
      </c>
      <c r="AJ1816">
        <v>87.002502071175599</v>
      </c>
      <c r="AK1816">
        <v>17.456927949035698</v>
      </c>
    </row>
    <row r="1817" spans="1:37" x14ac:dyDescent="0.2">
      <c r="A1817" t="str">
        <f>"20200111153643582"</f>
        <v>20200111153643582</v>
      </c>
      <c r="B1817" t="str">
        <f>"1578728203574603"</f>
        <v>1578728203574603</v>
      </c>
      <c r="C1817" t="s">
        <v>37</v>
      </c>
      <c r="D1817">
        <v>5.9990439999999996</v>
      </c>
      <c r="E1817">
        <v>0.53846439999999995</v>
      </c>
      <c r="F1817" t="s">
        <v>38</v>
      </c>
      <c r="G1817">
        <v>-301.58339999999998</v>
      </c>
      <c r="H1817">
        <v>1.0372079999999999</v>
      </c>
      <c r="I1817">
        <v>284.16739999999999</v>
      </c>
      <c r="J1817">
        <v>-300.9205</v>
      </c>
      <c r="K1817">
        <v>1.1053139999999999</v>
      </c>
      <c r="L1817">
        <v>284.10539999999997</v>
      </c>
      <c r="M1817">
        <v>-0.99989089999999903</v>
      </c>
      <c r="N1817">
        <v>0</v>
      </c>
      <c r="O1817">
        <v>2.2673020000000001E-3</v>
      </c>
      <c r="P1817">
        <v>-0.99720969999999998</v>
      </c>
      <c r="Q1817">
        <v>5.6720380000000001E-2</v>
      </c>
      <c r="R1817">
        <v>-4.8534090000000002E-2</v>
      </c>
      <c r="S1817">
        <v>-3.0268549999999999</v>
      </c>
      <c r="T1817">
        <v>-0.1850511</v>
      </c>
      <c r="U1817">
        <v>0.16986080000000001</v>
      </c>
      <c r="V1817">
        <v>-5.0906430000000003E-2</v>
      </c>
      <c r="W1817">
        <v>7.1193320000000004E-2</v>
      </c>
      <c r="X1817">
        <v>0.99616269999999996</v>
      </c>
      <c r="Y1817">
        <v>5.3669969999999997E-2</v>
      </c>
      <c r="Z1817">
        <v>1.49939E-3</v>
      </c>
      <c r="AA1817">
        <v>0.99855759999999905</v>
      </c>
      <c r="AB1817">
        <v>45</v>
      </c>
      <c r="AC1817">
        <v>-0.66289999999997895</v>
      </c>
      <c r="AD1817">
        <v>-6.8106E-2</v>
      </c>
      <c r="AE1817">
        <v>6.2000000000011803E-2</v>
      </c>
      <c r="AF1817">
        <v>5.9870212045802999E-2</v>
      </c>
      <c r="AG1817">
        <v>-6.8106E-2</v>
      </c>
      <c r="AH1817">
        <v>0.65617277880434899</v>
      </c>
      <c r="AI1817">
        <v>95.901330970741</v>
      </c>
      <c r="AJ1817">
        <v>84.786680102305397</v>
      </c>
      <c r="AK1817">
        <v>0.66240892594395995</v>
      </c>
    </row>
    <row r="1818" spans="1:37" x14ac:dyDescent="0.2">
      <c r="A1818" t="str">
        <f>"20200111153643605"</f>
        <v>20200111153643605</v>
      </c>
      <c r="B1818" t="str">
        <f>"1578728203594123"</f>
        <v>1578728203594123</v>
      </c>
      <c r="C1818" t="s">
        <v>37</v>
      </c>
      <c r="D1818">
        <v>5.7724129999999896</v>
      </c>
      <c r="E1818">
        <v>0.489591</v>
      </c>
      <c r="F1818" t="s">
        <v>38</v>
      </c>
      <c r="G1818">
        <v>-301.98680000000002</v>
      </c>
      <c r="H1818">
        <v>1.0419369999999999</v>
      </c>
      <c r="I1818">
        <v>284.16699999999997</v>
      </c>
      <c r="J1818">
        <v>-301.3852</v>
      </c>
      <c r="K1818">
        <v>1.105324</v>
      </c>
      <c r="L1818">
        <v>284.10599999999999</v>
      </c>
      <c r="M1818">
        <v>-0.99989189999999994</v>
      </c>
      <c r="N1818">
        <v>0</v>
      </c>
      <c r="O1818">
        <v>1.7188100000000001E-3</v>
      </c>
      <c r="P1818">
        <v>-0.99714969999999903</v>
      </c>
      <c r="Q1818">
        <v>5.858584E-2</v>
      </c>
      <c r="R1818">
        <v>-4.7542050000000002E-2</v>
      </c>
      <c r="S1818">
        <v>-3.0271300000000001</v>
      </c>
      <c r="T1818">
        <v>-0.18004539999999999</v>
      </c>
      <c r="U1818">
        <v>0.17404169999999999</v>
      </c>
      <c r="V1818">
        <v>-4.936923E-2</v>
      </c>
      <c r="W1818">
        <v>7.3058609999999996E-2</v>
      </c>
      <c r="X1818">
        <v>0.99610499999999902</v>
      </c>
      <c r="Y1818">
        <v>5.5588060000000002E-2</v>
      </c>
      <c r="Z1818">
        <v>1.54822799999999E-3</v>
      </c>
      <c r="AA1818">
        <v>0.99845260000000002</v>
      </c>
      <c r="AB1818">
        <v>45</v>
      </c>
      <c r="AC1818">
        <v>-0.60160000000001901</v>
      </c>
      <c r="AD1818">
        <v>-6.3386999999999805E-2</v>
      </c>
      <c r="AE1818">
        <v>6.1000000000035401E-2</v>
      </c>
      <c r="AF1818">
        <v>5.9313985698263801E-2</v>
      </c>
      <c r="AG1818">
        <v>-6.3386999999999805E-2</v>
      </c>
      <c r="AH1818">
        <v>0.59516394962831598</v>
      </c>
      <c r="AI1818">
        <v>96.049536047604406</v>
      </c>
      <c r="AJ1818">
        <v>84.308700301038002</v>
      </c>
      <c r="AK1818">
        <v>0.60146170917656105</v>
      </c>
    </row>
    <row r="1819" spans="1:37" x14ac:dyDescent="0.2">
      <c r="A1819" t="str">
        <f>"20200111153643648"</f>
        <v>20200111153643648</v>
      </c>
      <c r="B1819" t="str">
        <f>"1578728203644876"</f>
        <v>1578728203644876</v>
      </c>
      <c r="C1819" t="s">
        <v>37</v>
      </c>
      <c r="D1819">
        <v>5.6906569999999999</v>
      </c>
      <c r="E1819">
        <v>0.47622490000000001</v>
      </c>
      <c r="F1819" t="s">
        <v>48</v>
      </c>
      <c r="G1819">
        <v>-313.82749999999999</v>
      </c>
      <c r="H1819" s="1">
        <v>4.0344330000000001E-6</v>
      </c>
      <c r="I1819">
        <v>283.24259999999998</v>
      </c>
      <c r="J1819">
        <v>-302.23809999999997</v>
      </c>
      <c r="K1819">
        <v>1.1053280000000001</v>
      </c>
      <c r="L1819">
        <v>284.10649999999998</v>
      </c>
      <c r="M1819">
        <v>-0.99989319999999904</v>
      </c>
      <c r="N1819">
        <v>0</v>
      </c>
      <c r="O1819">
        <v>7.4295019999999999E-4</v>
      </c>
      <c r="P1819">
        <v>-0.99689329999999998</v>
      </c>
      <c r="Q1819">
        <v>6.3766180000000006E-2</v>
      </c>
      <c r="R1819">
        <v>-4.6237840000000002E-2</v>
      </c>
      <c r="S1819">
        <v>-3.0143430000000002</v>
      </c>
      <c r="T1819">
        <v>-0.26778029999999903</v>
      </c>
      <c r="U1819">
        <v>-0.20916750000000001</v>
      </c>
      <c r="V1819">
        <v>-4.7095819999999997E-2</v>
      </c>
      <c r="W1819">
        <v>7.8235540000000006E-2</v>
      </c>
      <c r="X1819">
        <v>0.99582190000000004</v>
      </c>
      <c r="Y1819">
        <v>-6.968945E-2</v>
      </c>
      <c r="Z1819">
        <v>-3.1514720000000002E-3</v>
      </c>
      <c r="AA1819">
        <v>0.9975638</v>
      </c>
      <c r="AB1819">
        <v>45</v>
      </c>
      <c r="AC1819">
        <v>-11.589399999999999</v>
      </c>
      <c r="AD1819">
        <v>-1.105323965567</v>
      </c>
      <c r="AE1819">
        <v>-0.863900000000001</v>
      </c>
      <c r="AF1819">
        <v>-0.86468915251247802</v>
      </c>
      <c r="AG1819">
        <v>-1.105323965567</v>
      </c>
      <c r="AH1819">
        <v>11.484864206863</v>
      </c>
      <c r="AI1819">
        <v>95.481897337727005</v>
      </c>
      <c r="AJ1819">
        <v>94.305644684636704</v>
      </c>
      <c r="AK1819">
        <v>11.5702866969411</v>
      </c>
    </row>
    <row r="1820" spans="1:37" x14ac:dyDescent="0.2">
      <c r="A1820" t="str">
        <f>"20200111153643672"</f>
        <v>20200111153643672</v>
      </c>
      <c r="B1820" t="str">
        <f>"1578728203664395"</f>
        <v>1578728203664395</v>
      </c>
      <c r="C1820" t="s">
        <v>37</v>
      </c>
      <c r="D1820">
        <v>5.861173</v>
      </c>
      <c r="E1820">
        <v>0.47547449999999902</v>
      </c>
      <c r="F1820" t="s">
        <v>48</v>
      </c>
      <c r="G1820">
        <v>-316.80579999999998</v>
      </c>
      <c r="H1820" s="1">
        <v>5.4123169999999997E-6</v>
      </c>
      <c r="I1820">
        <v>282.58890000000002</v>
      </c>
      <c r="J1820">
        <v>-302.70589999999999</v>
      </c>
      <c r="K1820">
        <v>1.105316</v>
      </c>
      <c r="L1820">
        <v>284.10640000000001</v>
      </c>
      <c r="M1820">
        <v>-0.9998937</v>
      </c>
      <c r="N1820">
        <v>0</v>
      </c>
      <c r="O1820">
        <v>2.3597310000000001E-4</v>
      </c>
      <c r="P1820">
        <v>-0.99679459999999998</v>
      </c>
      <c r="Q1820">
        <v>6.5785270000000007E-2</v>
      </c>
      <c r="R1820">
        <v>-4.5533589999999999E-2</v>
      </c>
      <c r="S1820">
        <v>-3.0094599999999998</v>
      </c>
      <c r="T1820">
        <v>-0.22834299999999999</v>
      </c>
      <c r="U1820">
        <v>-0.31350709999999998</v>
      </c>
      <c r="V1820">
        <v>-4.5886099999999999E-2</v>
      </c>
      <c r="W1820">
        <v>8.0253820000000003E-2</v>
      </c>
      <c r="X1820">
        <v>0.99571769999999904</v>
      </c>
      <c r="Y1820">
        <v>-0.1035527</v>
      </c>
      <c r="Z1820">
        <v>-3.9301900000000001E-3</v>
      </c>
      <c r="AA1820">
        <v>0.99461619999999995</v>
      </c>
      <c r="AB1820">
        <v>45</v>
      </c>
      <c r="AC1820">
        <v>-14.0998999999999</v>
      </c>
      <c r="AD1820">
        <v>-1.1053105876830001</v>
      </c>
      <c r="AE1820">
        <v>-1.5174999999999801</v>
      </c>
      <c r="AF1820">
        <v>-1.5116445061624499</v>
      </c>
      <c r="AG1820">
        <v>-1.1053105876830001</v>
      </c>
      <c r="AH1820">
        <v>14.014406169655601</v>
      </c>
      <c r="AI1820">
        <v>94.483659831412496</v>
      </c>
      <c r="AJ1820">
        <v>96.156328118752398</v>
      </c>
      <c r="AK1820">
        <v>14.1389660476407</v>
      </c>
    </row>
    <row r="1821" spans="1:37" x14ac:dyDescent="0.2">
      <c r="A1821" t="str">
        <f>"20200111153643686"</f>
        <v>20200111153643686</v>
      </c>
      <c r="B1821" t="str">
        <f>"1578728203674156"</f>
        <v>1578728203674156</v>
      </c>
      <c r="C1821" t="s">
        <v>37</v>
      </c>
      <c r="D1821">
        <v>5.6923139999999997</v>
      </c>
      <c r="E1821">
        <v>0.4753464</v>
      </c>
      <c r="F1821" t="s">
        <v>48</v>
      </c>
      <c r="G1821">
        <v>-317.78590000000003</v>
      </c>
      <c r="H1821" s="1">
        <v>5.8534749999999999E-6</v>
      </c>
      <c r="I1821">
        <v>282.51420000000002</v>
      </c>
      <c r="J1821">
        <v>-303.00830000000002</v>
      </c>
      <c r="K1821">
        <v>1.1053120000000001</v>
      </c>
      <c r="L1821">
        <v>284.10629999999998</v>
      </c>
      <c r="M1821">
        <v>-0.9998937</v>
      </c>
      <c r="N1821">
        <v>0</v>
      </c>
      <c r="O1821" s="1">
        <v>-7.6413030000000004E-5</v>
      </c>
      <c r="P1821">
        <v>-0.99671209999999899</v>
      </c>
      <c r="Q1821">
        <v>6.7398940000000004E-2</v>
      </c>
      <c r="R1821">
        <v>-4.4972749999999999E-2</v>
      </c>
      <c r="S1821">
        <v>-3.009674</v>
      </c>
      <c r="T1821">
        <v>-0.2205992</v>
      </c>
      <c r="U1821">
        <v>-0.31777949999999999</v>
      </c>
      <c r="V1821">
        <v>-4.5013650000000002E-2</v>
      </c>
      <c r="W1821">
        <v>8.1866880000000003E-2</v>
      </c>
      <c r="X1821">
        <v>0.99562619999999902</v>
      </c>
      <c r="Y1821">
        <v>-0.1046489</v>
      </c>
      <c r="Z1821">
        <v>-3.8139229999999999E-3</v>
      </c>
      <c r="AA1821">
        <v>0.99450190000000005</v>
      </c>
      <c r="AB1821">
        <v>45</v>
      </c>
      <c r="AC1821">
        <v>-14.7776</v>
      </c>
      <c r="AD1821">
        <v>-1.105306146525</v>
      </c>
      <c r="AE1821">
        <v>-1.5920999999999501</v>
      </c>
      <c r="AF1821">
        <v>-1.5822205862613199</v>
      </c>
      <c r="AG1821">
        <v>-1.105306146525</v>
      </c>
      <c r="AH1821">
        <v>14.696446488071601</v>
      </c>
      <c r="AI1821">
        <v>94.276445640161</v>
      </c>
      <c r="AJ1821">
        <v>96.1448002415095</v>
      </c>
      <c r="AK1821">
        <v>14.822640218189401</v>
      </c>
    </row>
    <row r="1822" spans="1:37" x14ac:dyDescent="0.2">
      <c r="A1822" t="str">
        <f>"20200111153643715"</f>
        <v>20200111153643715</v>
      </c>
      <c r="B1822" t="str">
        <f>"1578728203704799"</f>
        <v>1578728203704799</v>
      </c>
      <c r="C1822" t="s">
        <v>37</v>
      </c>
      <c r="D1822">
        <v>5.7914589999999997</v>
      </c>
      <c r="E1822">
        <v>0.47517280000000001</v>
      </c>
      <c r="F1822" t="s">
        <v>48</v>
      </c>
      <c r="G1822">
        <v>-318.7611</v>
      </c>
      <c r="H1822" s="1">
        <v>6.2921840000000001E-6</v>
      </c>
      <c r="I1822">
        <v>282.44290000000001</v>
      </c>
      <c r="J1822">
        <v>-303.5806</v>
      </c>
      <c r="K1822">
        <v>1.1052879999999901</v>
      </c>
      <c r="L1822">
        <v>284.10579999999999</v>
      </c>
      <c r="M1822">
        <v>-0.99989340000000004</v>
      </c>
      <c r="N1822">
        <v>0</v>
      </c>
      <c r="O1822">
        <v>-6.2727239999999895E-4</v>
      </c>
      <c r="P1822">
        <v>-0.99647019999999997</v>
      </c>
      <c r="Q1822">
        <v>7.1182739999999994E-2</v>
      </c>
      <c r="R1822">
        <v>-4.4500310000000001E-2</v>
      </c>
      <c r="S1822">
        <v>-3.0097959999999899</v>
      </c>
      <c r="T1822">
        <v>-0.2111837</v>
      </c>
      <c r="U1822">
        <v>-0.31781009999999998</v>
      </c>
      <c r="V1822">
        <v>-4.3990269999999998E-2</v>
      </c>
      <c r="W1822">
        <v>8.564869E-2</v>
      </c>
      <c r="X1822">
        <v>0.99535379999999996</v>
      </c>
      <c r="Y1822">
        <v>-0.10413260000000001</v>
      </c>
      <c r="Z1822">
        <v>-3.5948489999999998E-3</v>
      </c>
      <c r="AA1822">
        <v>0.99455689999999997</v>
      </c>
      <c r="AB1822">
        <v>45</v>
      </c>
      <c r="AC1822">
        <v>-15.180499999999901</v>
      </c>
      <c r="AD1822">
        <v>-1.10528170781599</v>
      </c>
      <c r="AE1822">
        <v>-1.6628999999999701</v>
      </c>
      <c r="AF1822">
        <v>-1.6447605385056301</v>
      </c>
      <c r="AG1822">
        <v>-1.10528170781599</v>
      </c>
      <c r="AH1822">
        <v>15.1024285834667</v>
      </c>
      <c r="AI1822">
        <v>94.1612509838059</v>
      </c>
      <c r="AJ1822">
        <v>96.215416877726696</v>
      </c>
      <c r="AK1822">
        <v>15.2318821555765</v>
      </c>
    </row>
    <row r="1823" spans="1:37" x14ac:dyDescent="0.2">
      <c r="A1823" t="str">
        <f>"20200111153643737"</f>
        <v>20200111153643737</v>
      </c>
      <c r="B1823" t="str">
        <f>"1578728203735056"</f>
        <v>1578728203735056</v>
      </c>
      <c r="C1823" t="s">
        <v>37</v>
      </c>
      <c r="D1823">
        <v>5.6684289999999997</v>
      </c>
      <c r="E1823">
        <v>0.47491469999999902</v>
      </c>
      <c r="F1823" t="s">
        <v>45</v>
      </c>
      <c r="G1823">
        <v>-320.9889</v>
      </c>
      <c r="H1823" s="1">
        <v>-9.0780500000000005E-7</v>
      </c>
      <c r="I1823">
        <v>282.26580000000001</v>
      </c>
      <c r="J1823">
        <v>-304.02199999999999</v>
      </c>
      <c r="K1823">
        <v>1.105261</v>
      </c>
      <c r="L1823">
        <v>284.10520000000002</v>
      </c>
      <c r="M1823">
        <v>-0.99989340000000004</v>
      </c>
      <c r="N1823">
        <v>0</v>
      </c>
      <c r="O1823">
        <v>-1.009006E-3</v>
      </c>
      <c r="P1823">
        <v>-0.99628249999999996</v>
      </c>
      <c r="Q1823">
        <v>7.3484960000000002E-2</v>
      </c>
      <c r="R1823">
        <v>-4.4964089999999998E-2</v>
      </c>
      <c r="S1823">
        <v>-3.0100709999999999</v>
      </c>
      <c r="T1823">
        <v>-0.19111529999999999</v>
      </c>
      <c r="U1823">
        <v>-0.31814579999999998</v>
      </c>
      <c r="V1823">
        <v>-4.4070159999999997E-2</v>
      </c>
      <c r="W1823">
        <v>8.794834E-2</v>
      </c>
      <c r="X1823">
        <v>0.99514969999999903</v>
      </c>
      <c r="Y1823">
        <v>-0.1038999</v>
      </c>
      <c r="Z1823">
        <v>-3.2221319999999999E-3</v>
      </c>
      <c r="AA1823">
        <v>0.99458250000000004</v>
      </c>
      <c r="AB1823">
        <v>45</v>
      </c>
      <c r="AC1823">
        <v>-16.966899999999999</v>
      </c>
      <c r="AD1823">
        <v>-1.1052619078050001</v>
      </c>
      <c r="AE1823">
        <v>-1.8394000000000099</v>
      </c>
      <c r="AF1823">
        <v>-1.8146664378834201</v>
      </c>
      <c r="AG1823">
        <v>-1.1052619078050001</v>
      </c>
      <c r="AH1823">
        <v>16.897874168810201</v>
      </c>
      <c r="AI1823">
        <v>93.720956977749907</v>
      </c>
      <c r="AJ1823">
        <v>96.129515239390997</v>
      </c>
      <c r="AK1823">
        <v>17.030935663978301</v>
      </c>
    </row>
    <row r="1824" spans="1:37" x14ac:dyDescent="0.2">
      <c r="A1824" t="str">
        <f>"20200111153643761"</f>
        <v>20200111153643761</v>
      </c>
      <c r="B1824" t="str">
        <f>"1578728203754576"</f>
        <v>1578728203754576</v>
      </c>
      <c r="C1824" t="s">
        <v>37</v>
      </c>
      <c r="D1824">
        <v>5.6627479999999997</v>
      </c>
      <c r="E1824">
        <v>0.47470509999999899</v>
      </c>
      <c r="F1824" t="s">
        <v>45</v>
      </c>
      <c r="G1824">
        <v>-322.51589999999999</v>
      </c>
      <c r="H1824" s="1">
        <v>-8.9142759999999996E-8</v>
      </c>
      <c r="I1824">
        <v>282.1266</v>
      </c>
      <c r="J1824">
        <v>-304.48680000000002</v>
      </c>
      <c r="K1824">
        <v>1.105226</v>
      </c>
      <c r="L1824">
        <v>284.10449999999997</v>
      </c>
      <c r="M1824">
        <v>-0.99989300000000003</v>
      </c>
      <c r="N1824">
        <v>0</v>
      </c>
      <c r="O1824">
        <v>-1.356454E-3</v>
      </c>
      <c r="P1824">
        <v>-0.99607590000000001</v>
      </c>
      <c r="Q1824">
        <v>7.5784870000000004E-2</v>
      </c>
      <c r="R1824">
        <v>-4.5717239999999999E-2</v>
      </c>
      <c r="S1824">
        <v>-3.0099490000000002</v>
      </c>
      <c r="T1824">
        <v>-0.17988589999999999</v>
      </c>
      <c r="U1824">
        <v>-0.32202150000000002</v>
      </c>
      <c r="V1824">
        <v>-4.4470490000000001E-2</v>
      </c>
      <c r="W1824">
        <v>9.0246590000000002E-2</v>
      </c>
      <c r="X1824">
        <v>0.99492610000000004</v>
      </c>
      <c r="Y1824">
        <v>-0.1048471</v>
      </c>
      <c r="Z1824">
        <v>-3.0405800000000002E-3</v>
      </c>
      <c r="AA1824">
        <v>0.99448369999999997</v>
      </c>
      <c r="AB1824">
        <v>45</v>
      </c>
      <c r="AC1824">
        <v>-18.0290999999999</v>
      </c>
      <c r="AD1824">
        <v>-1.1052260891427601</v>
      </c>
      <c r="AE1824">
        <v>-1.97789999999997</v>
      </c>
      <c r="AF1824">
        <v>-1.94621309386772</v>
      </c>
      <c r="AG1824">
        <v>-1.1052260891427601</v>
      </c>
      <c r="AH1824">
        <v>17.965057220892302</v>
      </c>
      <c r="AI1824">
        <v>93.500022665093397</v>
      </c>
      <c r="AJ1824">
        <v>96.182925631701707</v>
      </c>
      <c r="AK1824">
        <v>18.103937446445102</v>
      </c>
    </row>
    <row r="1825" spans="1:37" x14ac:dyDescent="0.2">
      <c r="A1825" t="str">
        <f>"20200111153643783"</f>
        <v>20200111153643783</v>
      </c>
      <c r="B1825" t="str">
        <f>"1578728203774096"</f>
        <v>1578728203774096</v>
      </c>
      <c r="C1825" t="s">
        <v>37</v>
      </c>
      <c r="D1825">
        <v>5.4910019999999999</v>
      </c>
      <c r="E1825">
        <v>0.47473019999999999</v>
      </c>
      <c r="F1825" t="s">
        <v>45</v>
      </c>
      <c r="G1825">
        <v>-323.68549999999999</v>
      </c>
      <c r="H1825" s="1">
        <v>5.3761859999999997E-7</v>
      </c>
      <c r="I1825">
        <v>282.02780000000001</v>
      </c>
      <c r="J1825">
        <v>-304.94650000000001</v>
      </c>
      <c r="K1825">
        <v>1.105183</v>
      </c>
      <c r="L1825">
        <v>284.1035</v>
      </c>
      <c r="M1825">
        <v>-0.99989249999999996</v>
      </c>
      <c r="N1825">
        <v>0</v>
      </c>
      <c r="O1825">
        <v>-1.635804E-3</v>
      </c>
      <c r="P1825">
        <v>-0.99585769999999996</v>
      </c>
      <c r="Q1825">
        <v>7.8155409999999995E-2</v>
      </c>
      <c r="R1825">
        <v>-4.6467830000000002E-2</v>
      </c>
      <c r="S1825">
        <v>-3.01004</v>
      </c>
      <c r="T1825">
        <v>-0.17328099999999999</v>
      </c>
      <c r="U1825">
        <v>-0.32559199999999999</v>
      </c>
      <c r="V1825">
        <v>-4.493461E-2</v>
      </c>
      <c r="W1825">
        <v>9.2616039999999997E-2</v>
      </c>
      <c r="X1825">
        <v>0.9946874</v>
      </c>
      <c r="Y1825">
        <v>-0.1057444</v>
      </c>
      <c r="Z1825">
        <v>-2.9385609999999901E-3</v>
      </c>
      <c r="AA1825">
        <v>0.99438899999999997</v>
      </c>
      <c r="AB1825">
        <v>45</v>
      </c>
      <c r="AC1825">
        <v>-18.738999999999901</v>
      </c>
      <c r="AD1825">
        <v>-1.1051824623813999</v>
      </c>
      <c r="AE1825">
        <v>-2.0756999999999799</v>
      </c>
      <c r="AF1825">
        <v>-2.0380375248049898</v>
      </c>
      <c r="AG1825">
        <v>-1.1051824623813999</v>
      </c>
      <c r="AH1825">
        <v>18.678188664171401</v>
      </c>
      <c r="AI1825">
        <v>93.366291513175597</v>
      </c>
      <c r="AJ1825">
        <v>96.227093002613501</v>
      </c>
      <c r="AK1825">
        <v>18.821523769399001</v>
      </c>
    </row>
    <row r="1826" spans="1:37" x14ac:dyDescent="0.2">
      <c r="A1826" t="str">
        <f>"20200111153643806"</f>
        <v>20200111153643806</v>
      </c>
      <c r="B1826" t="str">
        <f>"1578728203794592"</f>
        <v>1578728203794592</v>
      </c>
      <c r="C1826" t="s">
        <v>37</v>
      </c>
      <c r="D1826">
        <v>5.9644459999999997</v>
      </c>
      <c r="E1826">
        <v>0.47460629999999998</v>
      </c>
      <c r="F1826" t="s">
        <v>45</v>
      </c>
      <c r="G1826">
        <v>-325.113</v>
      </c>
      <c r="H1826" s="1">
        <v>1.3024579999999999E-6</v>
      </c>
      <c r="I1826">
        <v>281.9085</v>
      </c>
      <c r="J1826">
        <v>-305.3809</v>
      </c>
      <c r="K1826">
        <v>1.10514</v>
      </c>
      <c r="L1826">
        <v>284.10270000000003</v>
      </c>
      <c r="M1826">
        <v>-0.99989229999999996</v>
      </c>
      <c r="N1826">
        <v>0</v>
      </c>
      <c r="O1826">
        <v>-1.85033299999999E-3</v>
      </c>
      <c r="P1826">
        <v>-0.99561350000000004</v>
      </c>
      <c r="Q1826">
        <v>8.0604579999999995E-2</v>
      </c>
      <c r="R1826">
        <v>-4.750625E-2</v>
      </c>
      <c r="S1826">
        <v>-3.010132</v>
      </c>
      <c r="T1826">
        <v>-0.16496350000000001</v>
      </c>
      <c r="U1826">
        <v>-0.3276367</v>
      </c>
      <c r="V1826">
        <v>-4.5750230000000003E-2</v>
      </c>
      <c r="W1826">
        <v>9.5063750000000002E-2</v>
      </c>
      <c r="X1826">
        <v>0.99441930000000001</v>
      </c>
      <c r="Y1826">
        <v>-0.106210999999999</v>
      </c>
      <c r="Z1826">
        <v>-2.798563E-3</v>
      </c>
      <c r="AA1826">
        <v>0.99433969999999905</v>
      </c>
      <c r="AB1826">
        <v>45</v>
      </c>
      <c r="AC1826">
        <v>-19.732099999999999</v>
      </c>
      <c r="AD1826">
        <v>-1.1051386975419999</v>
      </c>
      <c r="AE1826">
        <v>-2.1942000000000199</v>
      </c>
      <c r="AF1826">
        <v>-2.15101652016078</v>
      </c>
      <c r="AG1826">
        <v>-1.1051386975419999</v>
      </c>
      <c r="AH1826">
        <v>19.675163405097098</v>
      </c>
      <c r="AI1826">
        <v>93.195878990729398</v>
      </c>
      <c r="AJ1826">
        <v>96.239167670574304</v>
      </c>
      <c r="AK1826">
        <v>19.823225232743599</v>
      </c>
    </row>
    <row r="1827" spans="1:37" x14ac:dyDescent="0.2">
      <c r="A1827" t="str">
        <f>"20200111153643827"</f>
        <v>20200111153643827</v>
      </c>
      <c r="B1827" t="str">
        <f>"1578728203814111"</f>
        <v>1578728203814111</v>
      </c>
      <c r="C1827" t="s">
        <v>37</v>
      </c>
      <c r="D1827">
        <v>5.4636949999999898</v>
      </c>
      <c r="E1827">
        <v>0.4744678</v>
      </c>
      <c r="F1827" t="s">
        <v>45</v>
      </c>
      <c r="G1827">
        <v>-326.42259999999999</v>
      </c>
      <c r="H1827" s="1">
        <v>2.00475899999999E-6</v>
      </c>
      <c r="I1827">
        <v>281.78489999999999</v>
      </c>
      <c r="J1827">
        <v>-305.8107</v>
      </c>
      <c r="K1827">
        <v>1.105097</v>
      </c>
      <c r="L1827">
        <v>284.10169999999999</v>
      </c>
      <c r="M1827">
        <v>-0.99989189999999994</v>
      </c>
      <c r="N1827">
        <v>0</v>
      </c>
      <c r="O1827">
        <v>-2.012635E-3</v>
      </c>
      <c r="P1827">
        <v>-0.99535319999999905</v>
      </c>
      <c r="Q1827">
        <v>8.3127210000000007E-2</v>
      </c>
      <c r="R1827">
        <v>-4.8601419999999999E-2</v>
      </c>
      <c r="S1827">
        <v>-3.0102229999999999</v>
      </c>
      <c r="T1827">
        <v>-0.15810070000000001</v>
      </c>
      <c r="U1827">
        <v>-0.33157350000000002</v>
      </c>
      <c r="V1827">
        <v>-4.6673850000000003E-2</v>
      </c>
      <c r="W1827">
        <v>9.7584450000000003E-2</v>
      </c>
      <c r="X1827">
        <v>0.99413220000000002</v>
      </c>
      <c r="Y1827">
        <v>-0.10734249999999999</v>
      </c>
      <c r="Z1827">
        <v>-2.703142E-3</v>
      </c>
      <c r="AA1827">
        <v>0.99421839999999995</v>
      </c>
      <c r="AB1827">
        <v>45</v>
      </c>
      <c r="AC1827">
        <v>-20.611899999999899</v>
      </c>
      <c r="AD1827">
        <v>-1.1050949952410001</v>
      </c>
      <c r="AE1827">
        <v>-2.3168000000000002</v>
      </c>
      <c r="AF1827">
        <v>-2.2688661750304799</v>
      </c>
      <c r="AG1827">
        <v>-1.1050949952410001</v>
      </c>
      <c r="AH1827">
        <v>20.5581643382152</v>
      </c>
      <c r="AI1827">
        <v>93.058413928489301</v>
      </c>
      <c r="AJ1827">
        <v>96.297862494912806</v>
      </c>
      <c r="AK1827">
        <v>20.712486804480299</v>
      </c>
    </row>
    <row r="1828" spans="1:37" x14ac:dyDescent="0.2">
      <c r="A1828" t="str">
        <f>"20200111153643849"</f>
        <v>20200111153643849</v>
      </c>
      <c r="B1828" t="str">
        <f>"1578728203844369"</f>
        <v>1578728203844369</v>
      </c>
      <c r="C1828" t="s">
        <v>37</v>
      </c>
      <c r="D1828">
        <v>5.6580680000000001</v>
      </c>
      <c r="E1828">
        <v>0.47420859999999898</v>
      </c>
      <c r="F1828" t="s">
        <v>45</v>
      </c>
      <c r="G1828">
        <v>-327.89139999999998</v>
      </c>
      <c r="H1828" s="1">
        <v>2.7928580000000001E-6</v>
      </c>
      <c r="I1828">
        <v>281.63749999999999</v>
      </c>
      <c r="J1828">
        <v>-306.25049999999999</v>
      </c>
      <c r="K1828">
        <v>1.1050530000000001</v>
      </c>
      <c r="L1828">
        <v>284.10070000000002</v>
      </c>
      <c r="M1828">
        <v>-0.9998918</v>
      </c>
      <c r="N1828">
        <v>0</v>
      </c>
      <c r="O1828">
        <v>-2.1289109999999998E-3</v>
      </c>
      <c r="P1828">
        <v>-0.995121699999999</v>
      </c>
      <c r="Q1828">
        <v>8.5457160000000004E-2</v>
      </c>
      <c r="R1828">
        <v>-4.9298889999999998E-2</v>
      </c>
      <c r="S1828">
        <v>-3.0101930000000001</v>
      </c>
      <c r="T1828">
        <v>-0.15065390000000001</v>
      </c>
      <c r="U1828">
        <v>-0.3359375</v>
      </c>
      <c r="V1828">
        <v>-4.7244500000000002E-2</v>
      </c>
      <c r="W1828">
        <v>9.9913810000000006E-2</v>
      </c>
      <c r="X1828">
        <v>0.99387380000000003</v>
      </c>
      <c r="Y1828">
        <v>-0.1086635</v>
      </c>
      <c r="Z1828">
        <v>-2.602937E-3</v>
      </c>
      <c r="AA1828">
        <v>0.99407520000000005</v>
      </c>
      <c r="AB1828">
        <v>45</v>
      </c>
      <c r="AC1828">
        <v>-21.640899999999899</v>
      </c>
      <c r="AD1828">
        <v>-1.1050502071420001</v>
      </c>
      <c r="AE1828">
        <v>-2.46320000000002</v>
      </c>
      <c r="AF1828">
        <v>-2.4109120902193899</v>
      </c>
      <c r="AG1828">
        <v>-1.1050502071420001</v>
      </c>
      <c r="AH1828">
        <v>21.5905195789618</v>
      </c>
      <c r="AI1828">
        <v>92.911900375266896</v>
      </c>
      <c r="AJ1828">
        <v>96.371555931868699</v>
      </c>
      <c r="AK1828">
        <v>21.752796803091901</v>
      </c>
    </row>
    <row r="1829" spans="1:37" x14ac:dyDescent="0.2">
      <c r="A1829" t="str">
        <f>"20200111153643872"</f>
        <v>20200111153643872</v>
      </c>
      <c r="B1829" t="str">
        <f>"1578728203864866"</f>
        <v>1578728203864866</v>
      </c>
      <c r="C1829" t="s">
        <v>37</v>
      </c>
      <c r="D1829">
        <v>5.7063509999999997</v>
      </c>
      <c r="E1829">
        <v>0.47399799999999997</v>
      </c>
      <c r="F1829" t="s">
        <v>45</v>
      </c>
      <c r="G1829">
        <v>-329.601</v>
      </c>
      <c r="H1829" s="1">
        <v>3.7103989999999998E-6</v>
      </c>
      <c r="I1829">
        <v>281.45830000000001</v>
      </c>
      <c r="J1829">
        <v>-306.70580000000001</v>
      </c>
      <c r="K1829">
        <v>1.10501</v>
      </c>
      <c r="L1829">
        <v>284.09960000000001</v>
      </c>
      <c r="M1829">
        <v>-0.99989159999999899</v>
      </c>
      <c r="N1829">
        <v>0</v>
      </c>
      <c r="O1829">
        <v>-2.2072070000000001E-3</v>
      </c>
      <c r="P1829">
        <v>-0.99500659999999896</v>
      </c>
      <c r="Q1829">
        <v>8.6911050000000004E-2</v>
      </c>
      <c r="R1829">
        <v>-4.9078730000000001E-2</v>
      </c>
      <c r="S1829">
        <v>-3.0101009999999899</v>
      </c>
      <c r="T1829">
        <v>-0.14245139999999901</v>
      </c>
      <c r="U1829">
        <v>-0.34063719999999997</v>
      </c>
      <c r="V1829">
        <v>-4.6935669999999999E-2</v>
      </c>
      <c r="W1829">
        <v>0.1013693</v>
      </c>
      <c r="X1829">
        <v>0.99374110000000004</v>
      </c>
      <c r="Y1829">
        <v>-0.110134</v>
      </c>
      <c r="Z1829">
        <v>-2.492214E-3</v>
      </c>
      <c r="AA1829">
        <v>0.99391369999999901</v>
      </c>
      <c r="AB1829">
        <v>44</v>
      </c>
      <c r="AC1829">
        <v>-22.8951999999999</v>
      </c>
      <c r="AD1829">
        <v>-1.105006289601</v>
      </c>
      <c r="AE1829">
        <v>-2.6413000000000002</v>
      </c>
      <c r="AF1829">
        <v>-2.5848118322216802</v>
      </c>
      <c r="AG1829">
        <v>-1.105006289601</v>
      </c>
      <c r="AH1829">
        <v>22.8484510133699</v>
      </c>
      <c r="AI1829">
        <v>92.751282632836904</v>
      </c>
      <c r="AJ1829">
        <v>96.454346663993803</v>
      </c>
      <c r="AK1829">
        <v>23.020729893259599</v>
      </c>
    </row>
    <row r="1830" spans="1:37" x14ac:dyDescent="0.2">
      <c r="A1830" t="str">
        <f>"20200111153643894"</f>
        <v>20200111153643894</v>
      </c>
      <c r="B1830" t="str">
        <f>"1578728203884385"</f>
        <v>1578728203884385</v>
      </c>
      <c r="C1830" t="s">
        <v>37</v>
      </c>
      <c r="D1830">
        <v>5.7009550000000004</v>
      </c>
      <c r="E1830">
        <v>0.47380159999999999</v>
      </c>
      <c r="F1830" t="s">
        <v>45</v>
      </c>
      <c r="G1830">
        <v>-330.7192</v>
      </c>
      <c r="H1830" s="1">
        <v>-1.012282E-6</v>
      </c>
      <c r="I1830">
        <v>281.3723</v>
      </c>
      <c r="J1830">
        <v>-307.15429999999998</v>
      </c>
      <c r="K1830">
        <v>1.10497</v>
      </c>
      <c r="L1830">
        <v>284.09859999999998</v>
      </c>
      <c r="M1830">
        <v>-0.99989150000000004</v>
      </c>
      <c r="N1830">
        <v>0</v>
      </c>
      <c r="O1830">
        <v>-2.2542959999999998E-3</v>
      </c>
      <c r="P1830">
        <v>-0.994892</v>
      </c>
      <c r="Q1830">
        <v>8.8269609999999998E-2</v>
      </c>
      <c r="R1830">
        <v>-4.8974690000000001E-2</v>
      </c>
      <c r="S1830">
        <v>-3.0102540000000002</v>
      </c>
      <c r="T1830">
        <v>-0.13852149999999999</v>
      </c>
      <c r="U1830">
        <v>-0.34188839999999998</v>
      </c>
      <c r="V1830">
        <v>-4.6774639999999999E-2</v>
      </c>
      <c r="W1830">
        <v>0.1027279</v>
      </c>
      <c r="X1830">
        <v>0.99360910000000002</v>
      </c>
      <c r="Y1830">
        <v>-0.1104956</v>
      </c>
      <c r="Z1830">
        <v>-2.4294849999999999E-3</v>
      </c>
      <c r="AA1830">
        <v>0.99387369999999997</v>
      </c>
      <c r="AB1830">
        <v>44</v>
      </c>
      <c r="AC1830">
        <v>-23.564900000000002</v>
      </c>
      <c r="AD1830">
        <v>-1.104971012282</v>
      </c>
      <c r="AE1830">
        <v>-2.7262999999999802</v>
      </c>
      <c r="AF1830">
        <v>-2.6673778198420699</v>
      </c>
      <c r="AG1830">
        <v>-1.104971012282</v>
      </c>
      <c r="AH1830">
        <v>23.5199558195437</v>
      </c>
      <c r="AI1830">
        <v>92.672678962177699</v>
      </c>
      <c r="AJ1830">
        <v>96.470220040808996</v>
      </c>
      <c r="AK1830">
        <v>23.6965015798758</v>
      </c>
    </row>
    <row r="1831" spans="1:37" x14ac:dyDescent="0.2">
      <c r="A1831" t="str">
        <f>"20200111153643916"</f>
        <v>20200111153643916</v>
      </c>
      <c r="B1831" t="str">
        <f>"1578728203904758"</f>
        <v>1578728203904758</v>
      </c>
      <c r="C1831" t="s">
        <v>37</v>
      </c>
      <c r="D1831">
        <v>5.3887859999999996</v>
      </c>
      <c r="E1831">
        <v>0.47356720000000002</v>
      </c>
      <c r="F1831" t="s">
        <v>45</v>
      </c>
      <c r="G1831">
        <v>-331.98540000000003</v>
      </c>
      <c r="H1831" s="1">
        <v>-3.3370010000000002E-7</v>
      </c>
      <c r="I1831">
        <v>281.26339999999999</v>
      </c>
      <c r="J1831">
        <v>-307.57830000000001</v>
      </c>
      <c r="K1831">
        <v>1.1049359999999999</v>
      </c>
      <c r="L1831">
        <v>284.0976</v>
      </c>
      <c r="M1831">
        <v>-0.99989150000000004</v>
      </c>
      <c r="N1831">
        <v>0</v>
      </c>
      <c r="O1831">
        <v>-2.279625E-3</v>
      </c>
      <c r="P1831">
        <v>-0.99489910000000004</v>
      </c>
      <c r="Q1831">
        <v>8.8554320000000006E-2</v>
      </c>
      <c r="R1831">
        <v>-4.8316399999999898E-2</v>
      </c>
      <c r="S1831">
        <v>-3.0103759999999999</v>
      </c>
      <c r="T1831">
        <v>-0.13395989999999999</v>
      </c>
      <c r="U1831">
        <v>-0.34371950000000001</v>
      </c>
      <c r="V1831">
        <v>-4.6081999999999998E-2</v>
      </c>
      <c r="W1831">
        <v>0.1030143</v>
      </c>
      <c r="X1831">
        <v>0.99361189999999999</v>
      </c>
      <c r="Y1831">
        <v>-0.111069499999999</v>
      </c>
      <c r="Z1831">
        <v>-2.3609830000000001E-3</v>
      </c>
      <c r="AA1831">
        <v>0.99380979999999997</v>
      </c>
      <c r="AB1831">
        <v>44</v>
      </c>
      <c r="AC1831">
        <v>-24.4071</v>
      </c>
      <c r="AD1831">
        <v>-1.1049363337000999</v>
      </c>
      <c r="AE1831">
        <v>-2.8342000000000001</v>
      </c>
      <c r="AF1831">
        <v>-2.7729402531156699</v>
      </c>
      <c r="AG1831">
        <v>-1.1049363337000999</v>
      </c>
      <c r="AH1831">
        <v>24.364228707546602</v>
      </c>
      <c r="AI1831">
        <v>92.579995016195895</v>
      </c>
      <c r="AJ1831">
        <v>96.493005305980802</v>
      </c>
      <c r="AK1831">
        <v>24.546399378778901</v>
      </c>
    </row>
    <row r="1832" spans="1:37" x14ac:dyDescent="0.2">
      <c r="A1832" t="str">
        <f>"20200111153643938"</f>
        <v>20200111153643938</v>
      </c>
      <c r="B1832" t="str">
        <f>"1578728203935015"</f>
        <v>1578728203935015</v>
      </c>
      <c r="C1832" t="s">
        <v>37</v>
      </c>
      <c r="D1832">
        <v>5.8148479999999996</v>
      </c>
      <c r="E1832">
        <v>0.4731843</v>
      </c>
      <c r="F1832" t="s">
        <v>45</v>
      </c>
      <c r="G1832">
        <v>-332.65899999999999</v>
      </c>
      <c r="H1832" s="1">
        <v>2.6067270000000001E-8</v>
      </c>
      <c r="I1832">
        <v>281.233</v>
      </c>
      <c r="J1832">
        <v>-308.02010000000001</v>
      </c>
      <c r="K1832">
        <v>1.1049260000000001</v>
      </c>
      <c r="L1832">
        <v>284.09660000000002</v>
      </c>
      <c r="M1832">
        <v>-0.99989150000000004</v>
      </c>
      <c r="N1832">
        <v>0</v>
      </c>
      <c r="O1832">
        <v>-2.2924070000000002E-3</v>
      </c>
      <c r="P1832">
        <v>-0.99503269999999899</v>
      </c>
      <c r="Q1832">
        <v>8.7911180000000005E-2</v>
      </c>
      <c r="R1832">
        <v>-4.670614E-2</v>
      </c>
      <c r="S1832">
        <v>-3.0104980000000001</v>
      </c>
      <c r="T1832">
        <v>-0.13262839999999901</v>
      </c>
      <c r="U1832">
        <v>-0.34384159999999903</v>
      </c>
      <c r="V1832">
        <v>-4.4450780000000002E-2</v>
      </c>
      <c r="W1832">
        <v>0.10237400000000001</v>
      </c>
      <c r="X1832">
        <v>0.99375239999999998</v>
      </c>
      <c r="Y1832">
        <v>-0.1110941</v>
      </c>
      <c r="Z1832">
        <v>-2.3374189999999999E-3</v>
      </c>
      <c r="AA1832">
        <v>0.99380709999999906</v>
      </c>
      <c r="AB1832">
        <v>44</v>
      </c>
      <c r="AC1832">
        <v>-24.6388999999999</v>
      </c>
      <c r="AD1832">
        <v>-1.10492597393273</v>
      </c>
      <c r="AE1832">
        <v>-2.8636000000000101</v>
      </c>
      <c r="AF1832">
        <v>-2.80154513713329</v>
      </c>
      <c r="AG1832">
        <v>-1.10492597393273</v>
      </c>
      <c r="AH1832">
        <v>24.596594652646399</v>
      </c>
      <c r="AI1832">
        <v>92.555604963278995</v>
      </c>
      <c r="AJ1832">
        <v>96.497969848847006</v>
      </c>
      <c r="AK1832">
        <v>24.7802741120808</v>
      </c>
    </row>
    <row r="1833" spans="1:37" x14ac:dyDescent="0.2">
      <c r="A1833" t="str">
        <f>"20200111153643962"</f>
        <v>20200111153643962</v>
      </c>
      <c r="B1833" t="str">
        <f>"1578728203954534"</f>
        <v>1578728203954534</v>
      </c>
      <c r="C1833" t="s">
        <v>37</v>
      </c>
      <c r="D1833">
        <v>6.149553</v>
      </c>
      <c r="E1833">
        <v>0.47357450000000001</v>
      </c>
      <c r="F1833" t="s">
        <v>45</v>
      </c>
      <c r="G1833">
        <v>-332.50959999999998</v>
      </c>
      <c r="H1833" s="1">
        <v>-5.6974979999999999E-8</v>
      </c>
      <c r="I1833">
        <v>281.31479999999999</v>
      </c>
      <c r="J1833">
        <v>-308.47559999999999</v>
      </c>
      <c r="K1833">
        <v>1.104941</v>
      </c>
      <c r="L1833">
        <v>284.09550000000002</v>
      </c>
      <c r="M1833">
        <v>-0.99989150000000004</v>
      </c>
      <c r="N1833">
        <v>0</v>
      </c>
      <c r="O1833">
        <v>-2.2970429999999999E-3</v>
      </c>
      <c r="P1833">
        <v>-0.99511569999999905</v>
      </c>
      <c r="Q1833">
        <v>8.7963330000000006E-2</v>
      </c>
      <c r="R1833">
        <v>-4.4806899999999997E-2</v>
      </c>
      <c r="S1833">
        <v>-3.0109249999999999</v>
      </c>
      <c r="T1833">
        <v>-0.1358481</v>
      </c>
      <c r="U1833">
        <v>-0.3420105</v>
      </c>
      <c r="V1833">
        <v>-4.2540349999999998E-2</v>
      </c>
      <c r="W1833">
        <v>0.10242759999999999</v>
      </c>
      <c r="X1833">
        <v>0.9938304</v>
      </c>
      <c r="Y1833">
        <v>-0.110472499999999</v>
      </c>
      <c r="Z1833">
        <v>-2.37967E-3</v>
      </c>
      <c r="AA1833">
        <v>0.99387630000000005</v>
      </c>
      <c r="AB1833">
        <v>44</v>
      </c>
      <c r="AC1833">
        <v>-24.033999999999899</v>
      </c>
      <c r="AD1833">
        <v>-1.10494105697498</v>
      </c>
      <c r="AE1833">
        <v>-2.7807000000000199</v>
      </c>
      <c r="AF1833">
        <v>-2.7198069937305598</v>
      </c>
      <c r="AG1833">
        <v>-1.10494105697498</v>
      </c>
      <c r="AH1833">
        <v>23.990288180578901</v>
      </c>
      <c r="AI1833">
        <v>92.620294728682296</v>
      </c>
      <c r="AJ1833">
        <v>96.4680723707543</v>
      </c>
      <c r="AK1833">
        <v>24.169240199264799</v>
      </c>
    </row>
    <row r="1834" spans="1:37" x14ac:dyDescent="0.2">
      <c r="A1834" t="str">
        <f>"20200111153643983"</f>
        <v>20200111153643983</v>
      </c>
      <c r="B1834" t="str">
        <f>"1578728203975033"</f>
        <v>1578728203975033</v>
      </c>
      <c r="C1834" t="s">
        <v>37</v>
      </c>
      <c r="D1834">
        <v>5.8361190000000001</v>
      </c>
      <c r="E1834">
        <v>0.47386529999999999</v>
      </c>
      <c r="F1834" t="s">
        <v>45</v>
      </c>
      <c r="G1834">
        <v>-332.42360000000002</v>
      </c>
      <c r="H1834" s="1">
        <v>-1.084875E-7</v>
      </c>
      <c r="I1834">
        <v>281.44639999999998</v>
      </c>
      <c r="J1834">
        <v>-308.91829999999999</v>
      </c>
      <c r="K1834">
        <v>1.104968</v>
      </c>
      <c r="L1834">
        <v>284.09440000000001</v>
      </c>
      <c r="M1834">
        <v>-0.99989150000000004</v>
      </c>
      <c r="N1834">
        <v>0</v>
      </c>
      <c r="O1834">
        <v>-2.2952039999999999E-3</v>
      </c>
      <c r="P1834">
        <v>-0.99506879999999998</v>
      </c>
      <c r="Q1834">
        <v>8.9696280000000003E-2</v>
      </c>
      <c r="R1834">
        <v>-4.2339340000000003E-2</v>
      </c>
      <c r="S1834">
        <v>-3.0120239999999998</v>
      </c>
      <c r="T1834">
        <v>-0.1389724</v>
      </c>
      <c r="U1834">
        <v>-0.33319090000000001</v>
      </c>
      <c r="V1834">
        <v>-4.0070139999999997E-2</v>
      </c>
      <c r="W1834">
        <v>0.10415919999999999</v>
      </c>
      <c r="X1834">
        <v>0.99375309999999994</v>
      </c>
      <c r="Y1834">
        <v>-0.10755719999999901</v>
      </c>
      <c r="Z1834">
        <v>-2.3669250000000002E-3</v>
      </c>
      <c r="AA1834">
        <v>0.99419609999999903</v>
      </c>
      <c r="AB1834">
        <v>44</v>
      </c>
      <c r="AC1834">
        <v>-23.505299999999998</v>
      </c>
      <c r="AD1834">
        <v>-1.1049681084875</v>
      </c>
      <c r="AE1834">
        <v>-2.6480000000000201</v>
      </c>
      <c r="AF1834">
        <v>-2.5883895179012399</v>
      </c>
      <c r="AG1834">
        <v>-1.1049681084875</v>
      </c>
      <c r="AH1834">
        <v>23.4601221776751</v>
      </c>
      <c r="AI1834">
        <v>92.680388483992402</v>
      </c>
      <c r="AJ1834">
        <v>96.296061991933598</v>
      </c>
      <c r="AK1834">
        <v>23.628331456296301</v>
      </c>
    </row>
    <row r="1835" spans="1:37" x14ac:dyDescent="0.2">
      <c r="A1835" t="str">
        <f>"20200111153644005"</f>
        <v>20200111153644005</v>
      </c>
      <c r="B1835" t="str">
        <f>"1578728203994197"</f>
        <v>1578728203994197</v>
      </c>
      <c r="C1835" t="s">
        <v>37</v>
      </c>
      <c r="D1835">
        <v>5.8389089999999904</v>
      </c>
      <c r="E1835">
        <v>0.47423559999999998</v>
      </c>
      <c r="F1835" t="s">
        <v>45</v>
      </c>
      <c r="G1835">
        <v>-333.64370000000002</v>
      </c>
      <c r="H1835" s="1">
        <v>5.4109409999999998E-7</v>
      </c>
      <c r="I1835">
        <v>281.4393</v>
      </c>
      <c r="J1835">
        <v>-309.34269999999998</v>
      </c>
      <c r="K1835">
        <v>1.1049979999999999</v>
      </c>
      <c r="L1835">
        <v>284.09339999999997</v>
      </c>
      <c r="M1835">
        <v>-0.99989169999999905</v>
      </c>
      <c r="N1835">
        <v>0</v>
      </c>
      <c r="O1835">
        <v>-2.290809E-3</v>
      </c>
      <c r="P1835">
        <v>-0.99500889999999997</v>
      </c>
      <c r="Q1835">
        <v>9.1502730000000004E-2</v>
      </c>
      <c r="R1835">
        <v>-3.9808549999999998E-2</v>
      </c>
      <c r="S1835">
        <v>-3.013245</v>
      </c>
      <c r="T1835">
        <v>-0.13466059999999999</v>
      </c>
      <c r="U1835">
        <v>-0.32357789999999997</v>
      </c>
      <c r="V1835">
        <v>-3.7539049999999997E-2</v>
      </c>
      <c r="W1835">
        <v>0.105964</v>
      </c>
      <c r="X1835">
        <v>0.99366109999999896</v>
      </c>
      <c r="Y1835">
        <v>-0.1043924</v>
      </c>
      <c r="Z1835">
        <v>-2.2227499999999999E-3</v>
      </c>
      <c r="AA1835">
        <v>0.99453369999999996</v>
      </c>
      <c r="AB1835">
        <v>44</v>
      </c>
      <c r="AC1835">
        <v>-24.300999999999998</v>
      </c>
      <c r="AD1835">
        <v>-1.1049974589059</v>
      </c>
      <c r="AE1835">
        <v>-2.6540999999999699</v>
      </c>
      <c r="AF1835">
        <v>-2.5931197737332599</v>
      </c>
      <c r="AG1835">
        <v>-1.1049974589059</v>
      </c>
      <c r="AH1835">
        <v>24.257452527749098</v>
      </c>
      <c r="AI1835">
        <v>92.593430318983906</v>
      </c>
      <c r="AJ1835">
        <v>96.101742004875902</v>
      </c>
      <c r="AK1835">
        <v>24.4206734690327</v>
      </c>
    </row>
    <row r="1836" spans="1:37" x14ac:dyDescent="0.2">
      <c r="A1836" t="str">
        <f>"20200111153644028"</f>
        <v>20200111153644028</v>
      </c>
      <c r="B1836" t="str">
        <f>"1578728204024454"</f>
        <v>1578728204024454</v>
      </c>
      <c r="C1836" t="s">
        <v>37</v>
      </c>
      <c r="D1836">
        <v>6.1389120000000004</v>
      </c>
      <c r="E1836">
        <v>0.47462019999999999</v>
      </c>
      <c r="F1836" t="s">
        <v>45</v>
      </c>
      <c r="G1836">
        <v>-334.44189999999998</v>
      </c>
      <c r="H1836" s="1">
        <v>9.6388439999999995E-7</v>
      </c>
      <c r="I1836">
        <v>281.48430000000002</v>
      </c>
      <c r="J1836">
        <v>-309.7817</v>
      </c>
      <c r="K1836">
        <v>1.105027</v>
      </c>
      <c r="L1836">
        <v>284.0924</v>
      </c>
      <c r="M1836">
        <v>-0.99989159999999899</v>
      </c>
      <c r="N1836">
        <v>0</v>
      </c>
      <c r="O1836">
        <v>-2.2841850000000002E-3</v>
      </c>
      <c r="P1836">
        <v>-0.99499939999999998</v>
      </c>
      <c r="Q1836">
        <v>9.2636999999999997E-2</v>
      </c>
      <c r="R1836">
        <v>-3.7343210000000002E-2</v>
      </c>
      <c r="S1836">
        <v>-3.0147089999999999</v>
      </c>
      <c r="T1836">
        <v>-0.13272310000000001</v>
      </c>
      <c r="U1836">
        <v>-0.31338499999999903</v>
      </c>
      <c r="V1836">
        <v>-3.5076509999999998E-2</v>
      </c>
      <c r="W1836">
        <v>0.107096699999999</v>
      </c>
      <c r="X1836">
        <v>0.99362969999999895</v>
      </c>
      <c r="Y1836">
        <v>-0.1010278</v>
      </c>
      <c r="Z1836">
        <v>-2.1165899999999998E-3</v>
      </c>
      <c r="AA1836">
        <v>0.99488129999999997</v>
      </c>
      <c r="AB1836">
        <v>44</v>
      </c>
      <c r="AC1836">
        <v>-24.6601999999999</v>
      </c>
      <c r="AD1836">
        <v>-1.1050260361155999</v>
      </c>
      <c r="AE1836">
        <v>-2.6080999999999701</v>
      </c>
      <c r="AF1836">
        <v>-2.5467017047284899</v>
      </c>
      <c r="AG1836">
        <v>-1.1050260361155999</v>
      </c>
      <c r="AH1836">
        <v>24.617210443476299</v>
      </c>
      <c r="AI1836">
        <v>92.556561900743603</v>
      </c>
      <c r="AJ1836">
        <v>95.9063569524114</v>
      </c>
      <c r="AK1836">
        <v>24.773248114281699</v>
      </c>
    </row>
    <row r="1837" spans="1:37" x14ac:dyDescent="0.2">
      <c r="A1837" t="str">
        <f>"20200111153644050"</f>
        <v>20200111153644050</v>
      </c>
      <c r="B1837" t="str">
        <f>"1578728204044951"</f>
        <v>1578728204044951</v>
      </c>
      <c r="C1837" t="s">
        <v>37</v>
      </c>
      <c r="D1837">
        <v>5.7962800000000003</v>
      </c>
      <c r="E1837">
        <v>0.47471819999999998</v>
      </c>
      <c r="F1837" t="s">
        <v>45</v>
      </c>
      <c r="G1837">
        <v>-334.74</v>
      </c>
      <c r="H1837" s="1">
        <v>1.118156E-6</v>
      </c>
      <c r="I1837">
        <v>281.5838</v>
      </c>
      <c r="J1837">
        <v>-310.22879999999998</v>
      </c>
      <c r="K1837">
        <v>1.105048</v>
      </c>
      <c r="L1837">
        <v>284.09129999999999</v>
      </c>
      <c r="M1837">
        <v>-0.9998918</v>
      </c>
      <c r="N1837">
        <v>0</v>
      </c>
      <c r="O1837">
        <v>-2.2746160000000001E-3</v>
      </c>
      <c r="P1837">
        <v>-0.99496419999999997</v>
      </c>
      <c r="Q1837">
        <v>9.4012929999999995E-2</v>
      </c>
      <c r="R1837">
        <v>-3.4762439999999999E-2</v>
      </c>
      <c r="S1837">
        <v>-3.0161739999999999</v>
      </c>
      <c r="T1837">
        <v>-0.13354070000000001</v>
      </c>
      <c r="U1837">
        <v>-0.30316159999999998</v>
      </c>
      <c r="V1837">
        <v>-3.2501629999999997E-2</v>
      </c>
      <c r="W1837">
        <v>0.1084705</v>
      </c>
      <c r="X1837">
        <v>0.99356819999999901</v>
      </c>
      <c r="Y1837">
        <v>-9.7651859999999993E-2</v>
      </c>
      <c r="Z1837">
        <v>-2.0548680000000001E-3</v>
      </c>
      <c r="AA1837">
        <v>0.99521849999999901</v>
      </c>
      <c r="AB1837">
        <v>44</v>
      </c>
      <c r="AC1837">
        <v>-24.511199999999999</v>
      </c>
      <c r="AD1837">
        <v>-1.105046881844</v>
      </c>
      <c r="AE1837">
        <v>-2.5074999999999901</v>
      </c>
      <c r="AF1837">
        <v>-2.4468123962994999</v>
      </c>
      <c r="AG1837">
        <v>-1.105046881844</v>
      </c>
      <c r="AH1837">
        <v>24.467625193238899</v>
      </c>
      <c r="AI1837">
        <v>92.573111683787005</v>
      </c>
      <c r="AJ1837">
        <v>95.710708777867097</v>
      </c>
      <c r="AK1837">
        <v>24.614481552748099</v>
      </c>
    </row>
    <row r="1838" spans="1:37" x14ac:dyDescent="0.2">
      <c r="A1838" t="str">
        <f>"20200111153644073"</f>
        <v>20200111153644073</v>
      </c>
      <c r="B1838" t="str">
        <f>"1578728204064469"</f>
        <v>1578728204064469</v>
      </c>
      <c r="C1838" t="s">
        <v>37</v>
      </c>
      <c r="D1838">
        <v>6.0743010000000002</v>
      </c>
      <c r="E1838">
        <v>0.47802929999999999</v>
      </c>
      <c r="F1838" t="s">
        <v>45</v>
      </c>
      <c r="G1838">
        <v>-335.78919999999999</v>
      </c>
      <c r="H1838" s="1">
        <v>1.675988E-6</v>
      </c>
      <c r="I1838">
        <v>281.59550000000002</v>
      </c>
      <c r="J1838">
        <v>-310.67559999999997</v>
      </c>
      <c r="K1838">
        <v>1.105062</v>
      </c>
      <c r="L1838">
        <v>284.09030000000001</v>
      </c>
      <c r="M1838">
        <v>-0.9998918</v>
      </c>
      <c r="N1838">
        <v>0</v>
      </c>
      <c r="O1838">
        <v>-2.2603160000000001E-3</v>
      </c>
      <c r="P1838">
        <v>-0.99492599999999998</v>
      </c>
      <c r="Q1838">
        <v>9.4957959999999994E-2</v>
      </c>
      <c r="R1838">
        <v>-3.3246709999999999E-2</v>
      </c>
      <c r="S1838">
        <v>-3.017242</v>
      </c>
      <c r="T1838">
        <v>-0.1304438</v>
      </c>
      <c r="U1838">
        <v>-0.29461670000000001</v>
      </c>
      <c r="V1838">
        <v>-3.099652E-2</v>
      </c>
      <c r="W1838">
        <v>0.10941240000000001</v>
      </c>
      <c r="X1838">
        <v>0.99351299999999898</v>
      </c>
      <c r="Y1838">
        <v>-9.4846410000000006E-2</v>
      </c>
      <c r="Z1838">
        <v>-1.9469750000000001E-3</v>
      </c>
      <c r="AA1838">
        <v>0.99548999999999999</v>
      </c>
      <c r="AB1838">
        <v>44</v>
      </c>
      <c r="AC1838">
        <v>-25.113600000000002</v>
      </c>
      <c r="AD1838">
        <v>-1.1050603240120001</v>
      </c>
      <c r="AE1838">
        <v>-2.4947999999999899</v>
      </c>
      <c r="AF1838">
        <v>-2.43335748948626</v>
      </c>
      <c r="AG1838">
        <v>-1.1050603240120001</v>
      </c>
      <c r="AH1838">
        <v>25.071106731493401</v>
      </c>
      <c r="AI1838">
        <v>92.512006189231798</v>
      </c>
      <c r="AJ1838">
        <v>95.543663362281606</v>
      </c>
      <c r="AK1838">
        <v>25.213146962116301</v>
      </c>
    </row>
    <row r="1839" spans="1:37" x14ac:dyDescent="0.2">
      <c r="A1839" t="str">
        <f>"20200111153644094"</f>
        <v>20200111153644094</v>
      </c>
      <c r="B1839" t="str">
        <f>"1578728204084969"</f>
        <v>1578728204084969</v>
      </c>
      <c r="C1839" t="s">
        <v>37</v>
      </c>
      <c r="D1839">
        <v>6.066878</v>
      </c>
      <c r="E1839">
        <v>0.47844759999999997</v>
      </c>
      <c r="F1839" t="s">
        <v>45</v>
      </c>
      <c r="G1839">
        <v>-325.10939999999999</v>
      </c>
      <c r="H1839" s="1">
        <v>1.2594280000000001E-6</v>
      </c>
      <c r="I1839">
        <v>282.84949999999998</v>
      </c>
      <c r="J1839">
        <v>-311.10410000000002</v>
      </c>
      <c r="K1839">
        <v>1.1050739999999999</v>
      </c>
      <c r="L1839">
        <v>284.08929999999998</v>
      </c>
      <c r="M1839">
        <v>-0.99989189999999994</v>
      </c>
      <c r="N1839">
        <v>0</v>
      </c>
      <c r="O1839">
        <v>-2.241874E-3</v>
      </c>
      <c r="P1839">
        <v>-0.99489740000000004</v>
      </c>
      <c r="Q1839">
        <v>9.5749230000000005E-2</v>
      </c>
      <c r="R1839">
        <v>-3.1807139999999998E-2</v>
      </c>
      <c r="S1839">
        <v>-3.02874799999999</v>
      </c>
      <c r="T1839">
        <v>-0.231881799999999</v>
      </c>
      <c r="U1839">
        <v>-0.260376</v>
      </c>
      <c r="V1839">
        <v>-2.9573140000000001E-2</v>
      </c>
      <c r="W1839">
        <v>0.11020099999999999</v>
      </c>
      <c r="X1839">
        <v>0.99346919999999905</v>
      </c>
      <c r="Y1839">
        <v>-8.3183060000000003E-2</v>
      </c>
      <c r="Z1839">
        <v>-3.0026919999999999E-3</v>
      </c>
      <c r="AA1839">
        <v>0.99652980000000002</v>
      </c>
      <c r="AB1839">
        <v>44</v>
      </c>
      <c r="AC1839">
        <v>-14.005299999999901</v>
      </c>
      <c r="AD1839">
        <v>-1.105072740572</v>
      </c>
      <c r="AE1839">
        <v>-1.2398</v>
      </c>
      <c r="AF1839">
        <v>-1.2009765186957799</v>
      </c>
      <c r="AG1839">
        <v>-1.105072740572</v>
      </c>
      <c r="AH1839">
        <v>13.9220423196306</v>
      </c>
      <c r="AI1839">
        <v>94.521657985368606</v>
      </c>
      <c r="AJ1839">
        <v>94.930379887662099</v>
      </c>
      <c r="AK1839">
        <v>14.0173746725269</v>
      </c>
    </row>
    <row r="1840" spans="1:37" x14ac:dyDescent="0.2">
      <c r="A1840" t="str">
        <f>"20200111153644117"</f>
        <v>20200111153644117</v>
      </c>
      <c r="B1840" t="str">
        <f>"1578728204104754"</f>
        <v>1578728204104754</v>
      </c>
      <c r="C1840" t="s">
        <v>37</v>
      </c>
      <c r="D1840">
        <v>5.8429859999999998</v>
      </c>
      <c r="E1840">
        <v>0.47704359999999901</v>
      </c>
      <c r="F1840" t="s">
        <v>45</v>
      </c>
      <c r="G1840">
        <v>-326.44729999999998</v>
      </c>
      <c r="H1840" s="1">
        <v>1.9731530000000002E-6</v>
      </c>
      <c r="I1840">
        <v>282.80919999999998</v>
      </c>
      <c r="J1840">
        <v>-311.54160000000002</v>
      </c>
      <c r="K1840">
        <v>1.105073</v>
      </c>
      <c r="L1840">
        <v>284.0883</v>
      </c>
      <c r="M1840">
        <v>-0.999892</v>
      </c>
      <c r="N1840">
        <v>0</v>
      </c>
      <c r="O1840">
        <v>-2.2172519999999999E-3</v>
      </c>
      <c r="P1840">
        <v>-0.99488399999999999</v>
      </c>
      <c r="Q1840">
        <v>9.6338149999999997E-2</v>
      </c>
      <c r="R1840">
        <v>-3.0411239999999999E-2</v>
      </c>
      <c r="S1840">
        <v>-3.0282900000000001</v>
      </c>
      <c r="T1840">
        <v>-0.21810779999999999</v>
      </c>
      <c r="U1840">
        <v>-0.25265500000000002</v>
      </c>
      <c r="V1840">
        <v>-2.819936E-2</v>
      </c>
      <c r="W1840">
        <v>0.110787699999999</v>
      </c>
      <c r="X1840">
        <v>0.99344399999999999</v>
      </c>
      <c r="Y1840">
        <v>-8.0730759999999999E-2</v>
      </c>
      <c r="Z1840">
        <v>-2.7392509999999998E-3</v>
      </c>
      <c r="AA1840">
        <v>0.99673219999999996</v>
      </c>
      <c r="AB1840">
        <v>44</v>
      </c>
      <c r="AC1840">
        <v>-14.9056999999999</v>
      </c>
      <c r="AD1840">
        <v>-1.1050710268469901</v>
      </c>
      <c r="AE1840">
        <v>-1.2791000000000201</v>
      </c>
      <c r="AF1840">
        <v>-1.2392819191920199</v>
      </c>
      <c r="AG1840">
        <v>-1.1050710268469901</v>
      </c>
      <c r="AH1840">
        <v>14.827597588149199</v>
      </c>
      <c r="AI1840">
        <v>94.247504198321906</v>
      </c>
      <c r="AJ1840">
        <v>94.777643558489302</v>
      </c>
      <c r="AK1840">
        <v>14.920276535161801</v>
      </c>
    </row>
    <row r="1841" spans="1:37" x14ac:dyDescent="0.2">
      <c r="A1841" t="str">
        <f>"20200111153644140"</f>
        <v>20200111153644140</v>
      </c>
      <c r="B1841" t="str">
        <f>"1578728204135010"</f>
        <v>1578728204135010</v>
      </c>
      <c r="C1841" t="s">
        <v>37</v>
      </c>
      <c r="D1841">
        <v>5.9084320000000004</v>
      </c>
      <c r="E1841">
        <v>0.47625400000000001</v>
      </c>
      <c r="F1841" t="s">
        <v>45</v>
      </c>
      <c r="G1841">
        <v>-325.88920000000002</v>
      </c>
      <c r="H1841" s="1">
        <v>1.6737749999999999E-6</v>
      </c>
      <c r="I1841">
        <v>282.86279999999999</v>
      </c>
      <c r="J1841">
        <v>-311.99180000000001</v>
      </c>
      <c r="K1841">
        <v>1.105056</v>
      </c>
      <c r="L1841">
        <v>284.08730000000003</v>
      </c>
      <c r="M1841">
        <v>-0.99989219999999901</v>
      </c>
      <c r="N1841">
        <v>0</v>
      </c>
      <c r="O1841">
        <v>-2.1870380000000001E-3</v>
      </c>
      <c r="P1841">
        <v>-0.99474200000000002</v>
      </c>
      <c r="Q1841">
        <v>9.8003209999999993E-2</v>
      </c>
      <c r="R1841">
        <v>-2.9736189999999999E-2</v>
      </c>
      <c r="S1841">
        <v>-3.03009</v>
      </c>
      <c r="T1841">
        <v>-0.2333828</v>
      </c>
      <c r="U1841">
        <v>-0.25881959999999998</v>
      </c>
      <c r="V1841">
        <v>-2.7552299999999998E-2</v>
      </c>
      <c r="W1841">
        <v>0.1124481</v>
      </c>
      <c r="X1841">
        <v>0.99327549999999898</v>
      </c>
      <c r="Y1841">
        <v>-8.2690310000000003E-2</v>
      </c>
      <c r="Z1841">
        <v>-3.0061039999999999E-3</v>
      </c>
      <c r="AA1841">
        <v>0.99657079999999998</v>
      </c>
      <c r="AB1841">
        <v>44</v>
      </c>
      <c r="AC1841">
        <v>-13.897399999999999</v>
      </c>
      <c r="AD1841">
        <v>-1.1050543262250001</v>
      </c>
      <c r="AE1841">
        <v>-1.2245000000000299</v>
      </c>
      <c r="AF1841">
        <v>-1.1866547036894901</v>
      </c>
      <c r="AG1841">
        <v>-1.1050543262250001</v>
      </c>
      <c r="AH1841">
        <v>13.8133805044314</v>
      </c>
      <c r="AI1841">
        <v>94.5571412861879</v>
      </c>
      <c r="AJ1841">
        <v>94.910006620632899</v>
      </c>
      <c r="AK1841">
        <v>13.9082268966933</v>
      </c>
    </row>
    <row r="1842" spans="1:37" x14ac:dyDescent="0.2">
      <c r="A1842" t="str">
        <f>"20200111153644162"</f>
        <v>20200111153644162</v>
      </c>
      <c r="B1842" t="str">
        <f>"1578728204154530"</f>
        <v>1578728204154530</v>
      </c>
      <c r="C1842" t="s">
        <v>37</v>
      </c>
      <c r="D1842">
        <v>5.8672259999999996</v>
      </c>
      <c r="E1842">
        <v>0.47627809999999998</v>
      </c>
      <c r="F1842" t="s">
        <v>45</v>
      </c>
      <c r="G1842">
        <v>-325.16759999999999</v>
      </c>
      <c r="H1842" s="1">
        <v>1.2858419999999999E-6</v>
      </c>
      <c r="I1842">
        <v>282.95389999999998</v>
      </c>
      <c r="J1842">
        <v>-312.44080000000002</v>
      </c>
      <c r="K1842">
        <v>1.1050229999999901</v>
      </c>
      <c r="L1842">
        <v>284.08629999999999</v>
      </c>
      <c r="M1842">
        <v>-0.99989219999999901</v>
      </c>
      <c r="N1842">
        <v>0</v>
      </c>
      <c r="O1842">
        <v>-2.152677E-3</v>
      </c>
      <c r="P1842">
        <v>-0.99466239999999995</v>
      </c>
      <c r="Q1842">
        <v>9.8947049999999995E-2</v>
      </c>
      <c r="R1842">
        <v>-2.9264789999999999E-2</v>
      </c>
      <c r="S1842">
        <v>-3.033112</v>
      </c>
      <c r="T1842">
        <v>-0.25438559999999999</v>
      </c>
      <c r="U1842">
        <v>-0.26092529999999903</v>
      </c>
      <c r="V1842">
        <v>-2.71127E-2</v>
      </c>
      <c r="W1842">
        <v>0.11338810000000001</v>
      </c>
      <c r="X1842">
        <v>0.99318079999999997</v>
      </c>
      <c r="Y1842">
        <v>-8.3281140000000003E-2</v>
      </c>
      <c r="Z1842">
        <v>-3.2999499999999998E-3</v>
      </c>
      <c r="AA1842">
        <v>0.99652059999999998</v>
      </c>
      <c r="AB1842">
        <v>44</v>
      </c>
      <c r="AC1842">
        <v>-12.7267999999999</v>
      </c>
      <c r="AD1842">
        <v>-1.1050217141580001</v>
      </c>
      <c r="AE1842">
        <v>-1.1324000000000101</v>
      </c>
      <c r="AF1842">
        <v>-1.09679421312959</v>
      </c>
      <c r="AG1842">
        <v>-1.1050217141580001</v>
      </c>
      <c r="AH1842">
        <v>12.6347058998052</v>
      </c>
      <c r="AI1842">
        <v>94.979694003600102</v>
      </c>
      <c r="AJ1842">
        <v>94.961297799311794</v>
      </c>
      <c r="AK1842">
        <v>12.7302719416864</v>
      </c>
    </row>
    <row r="1843" spans="1:37" x14ac:dyDescent="0.2">
      <c r="A1843" t="str">
        <f>"20200111153644183"</f>
        <v>20200111153644183</v>
      </c>
      <c r="B1843" t="str">
        <f>"1578728204175029"</f>
        <v>1578728204175029</v>
      </c>
      <c r="C1843" t="s">
        <v>37</v>
      </c>
      <c r="D1843">
        <v>5.9115640000000003</v>
      </c>
      <c r="E1843">
        <v>0.47611979999999998</v>
      </c>
      <c r="F1843" t="s">
        <v>45</v>
      </c>
      <c r="G1843">
        <v>-326.1114</v>
      </c>
      <c r="H1843" s="1">
        <v>1.7895509999999999E-6</v>
      </c>
      <c r="I1843">
        <v>282.92</v>
      </c>
      <c r="J1843">
        <v>-312.8562</v>
      </c>
      <c r="K1843">
        <v>1.1049819999999999</v>
      </c>
      <c r="L1843">
        <v>284.08539999999999</v>
      </c>
      <c r="M1843">
        <v>-0.99989240000000001</v>
      </c>
      <c r="N1843">
        <v>0</v>
      </c>
      <c r="O1843">
        <v>-2.1187049999999998E-3</v>
      </c>
      <c r="P1843">
        <v>-0.9945678</v>
      </c>
      <c r="Q1843">
        <v>9.9747929999999999E-2</v>
      </c>
      <c r="R1843">
        <v>-2.9757080000000002E-2</v>
      </c>
      <c r="S1843">
        <v>-3.0328059999999999</v>
      </c>
      <c r="T1843">
        <v>-0.2451467</v>
      </c>
      <c r="U1843">
        <v>-0.2587585</v>
      </c>
      <c r="V1843">
        <v>-2.7637729999999999E-2</v>
      </c>
      <c r="W1843">
        <v>0.11418540000000001</v>
      </c>
      <c r="X1843">
        <v>0.99307500000000004</v>
      </c>
      <c r="Y1843">
        <v>-8.2638820000000002E-2</v>
      </c>
      <c r="Z1843">
        <v>-3.1577759999999902E-3</v>
      </c>
      <c r="AA1843">
        <v>0.99657459999999898</v>
      </c>
      <c r="AB1843">
        <v>44</v>
      </c>
      <c r="AC1843">
        <v>-13.2552</v>
      </c>
      <c r="AD1843">
        <v>-1.1049802104490001</v>
      </c>
      <c r="AE1843">
        <v>-1.16539999999997</v>
      </c>
      <c r="AF1843">
        <v>-1.1295214756265499</v>
      </c>
      <c r="AG1843">
        <v>-1.1049802104490001</v>
      </c>
      <c r="AH1843">
        <v>13.1668421427377</v>
      </c>
      <c r="AI1843">
        <v>94.7796301685392</v>
      </c>
      <c r="AJ1843">
        <v>94.903131453489905</v>
      </c>
      <c r="AK1843">
        <v>13.2613171307061</v>
      </c>
    </row>
    <row r="1844" spans="1:37" x14ac:dyDescent="0.2">
      <c r="A1844" t="str">
        <f>"20200111153644207"</f>
        <v>20200111153644207</v>
      </c>
      <c r="B1844" t="str">
        <f>"1578728204194337"</f>
        <v>1578728204194337</v>
      </c>
      <c r="C1844" t="s">
        <v>37</v>
      </c>
      <c r="D1844">
        <v>5.9597860000000003</v>
      </c>
      <c r="E1844">
        <v>0.47587170000000001</v>
      </c>
      <c r="F1844" t="s">
        <v>45</v>
      </c>
      <c r="G1844">
        <v>-326.8888</v>
      </c>
      <c r="H1844" s="1">
        <v>2.2050029999999999E-6</v>
      </c>
      <c r="I1844">
        <v>282.8793</v>
      </c>
      <c r="J1844">
        <v>-313.3032</v>
      </c>
      <c r="K1844">
        <v>1.104948</v>
      </c>
      <c r="L1844">
        <v>284.08449999999999</v>
      </c>
      <c r="M1844">
        <v>-0.99989249999999996</v>
      </c>
      <c r="N1844">
        <v>0</v>
      </c>
      <c r="O1844">
        <v>-2.0803319999999998E-3</v>
      </c>
      <c r="P1844">
        <v>-0.99448719999999902</v>
      </c>
      <c r="Q1844">
        <v>0.100164899999999</v>
      </c>
      <c r="R1844">
        <v>-3.102597E-2</v>
      </c>
      <c r="S1844">
        <v>-3.0325319999999998</v>
      </c>
      <c r="T1844">
        <v>-0.2387937</v>
      </c>
      <c r="U1844">
        <v>-0.26065060000000001</v>
      </c>
      <c r="V1844">
        <v>-2.8943279999999998E-2</v>
      </c>
      <c r="W1844">
        <v>0.11459849999999901</v>
      </c>
      <c r="X1844">
        <v>0.99299020000000005</v>
      </c>
      <c r="Y1844">
        <v>-8.3313059999999994E-2</v>
      </c>
      <c r="Z1844">
        <v>-3.1058599999999998E-3</v>
      </c>
      <c r="AA1844">
        <v>0.99651859999999903</v>
      </c>
      <c r="AB1844">
        <v>44</v>
      </c>
      <c r="AC1844">
        <v>-13.585599999999999</v>
      </c>
      <c r="AD1844">
        <v>-1.1049457949970001</v>
      </c>
      <c r="AE1844">
        <v>-1.2051999999999901</v>
      </c>
      <c r="AF1844">
        <v>-1.16925770838418</v>
      </c>
      <c r="AG1844">
        <v>-1.1049457949970001</v>
      </c>
      <c r="AH1844">
        <v>13.499477438244501</v>
      </c>
      <c r="AI1844">
        <v>94.661908814808996</v>
      </c>
      <c r="AJ1844">
        <v>94.950321232349197</v>
      </c>
      <c r="AK1844">
        <v>13.594997605890599</v>
      </c>
    </row>
    <row r="1845" spans="1:37" x14ac:dyDescent="0.2">
      <c r="A1845" t="str">
        <f>"20200111153644229"</f>
        <v>20200111153644229</v>
      </c>
      <c r="B1845" t="str">
        <f>"1578728204224594"</f>
        <v>1578728204224594</v>
      </c>
      <c r="C1845" t="s">
        <v>37</v>
      </c>
      <c r="D1845">
        <v>5.8039559999999897</v>
      </c>
      <c r="E1845">
        <v>0.49846940000000001</v>
      </c>
      <c r="F1845" t="s">
        <v>45</v>
      </c>
      <c r="G1845">
        <v>-327.52210000000002</v>
      </c>
      <c r="H1845" s="1">
        <v>2.5438760000000001E-6</v>
      </c>
      <c r="I1845">
        <v>282.83640000000003</v>
      </c>
      <c r="J1845">
        <v>-313.74360000000001</v>
      </c>
      <c r="K1845">
        <v>1.1049040000000001</v>
      </c>
      <c r="L1845">
        <v>284.08359999999999</v>
      </c>
      <c r="M1845">
        <v>-0.99989249999999996</v>
      </c>
      <c r="N1845">
        <v>0</v>
      </c>
      <c r="O1845">
        <v>-2.0411470000000001E-3</v>
      </c>
      <c r="P1845">
        <v>-0.99437260000000005</v>
      </c>
      <c r="Q1845">
        <v>0.100775899999999</v>
      </c>
      <c r="R1845">
        <v>-3.266993E-2</v>
      </c>
      <c r="S1845">
        <v>-3.0320429999999998</v>
      </c>
      <c r="T1845">
        <v>-0.235619999999999</v>
      </c>
      <c r="U1845">
        <v>-0.26614379999999999</v>
      </c>
      <c r="V1845">
        <v>-3.0625759999999998E-2</v>
      </c>
      <c r="W1845">
        <v>0.1152058</v>
      </c>
      <c r="X1845">
        <v>0.99286939999999901</v>
      </c>
      <c r="Y1845">
        <v>-8.5158440000000002E-2</v>
      </c>
      <c r="Z1845">
        <v>-3.1394499999999998E-3</v>
      </c>
      <c r="AA1845">
        <v>0.99636239999999998</v>
      </c>
      <c r="AB1845">
        <v>44</v>
      </c>
      <c r="AC1845">
        <v>-13.778499999999999</v>
      </c>
      <c r="AD1845">
        <v>-1.104901456124</v>
      </c>
      <c r="AE1845">
        <v>-1.2471999999999599</v>
      </c>
      <c r="AF1845">
        <v>-1.21134427508322</v>
      </c>
      <c r="AG1845">
        <v>-1.104901456124</v>
      </c>
      <c r="AH1845">
        <v>13.693676033771199</v>
      </c>
      <c r="AI1845">
        <v>94.595163554466097</v>
      </c>
      <c r="AJ1845">
        <v>95.055233084378401</v>
      </c>
      <c r="AK1845">
        <v>13.791480177936</v>
      </c>
    </row>
    <row r="1846" spans="1:37" x14ac:dyDescent="0.2">
      <c r="A1846" t="str">
        <f>"20200111153644244"</f>
        <v>20200111153644244</v>
      </c>
      <c r="B1846" t="str">
        <f>"1578728204234354"</f>
        <v>1578728204234354</v>
      </c>
      <c r="C1846" t="s">
        <v>37</v>
      </c>
      <c r="D1846">
        <v>5.7977280000000002</v>
      </c>
      <c r="E1846">
        <v>0.49913729999999901</v>
      </c>
      <c r="F1846" t="s">
        <v>45</v>
      </c>
      <c r="G1846">
        <v>-333.6748</v>
      </c>
      <c r="H1846" s="1">
        <v>4.68696E-7</v>
      </c>
      <c r="I1846">
        <v>283.47390000000001</v>
      </c>
      <c r="J1846">
        <v>-314.03129999999999</v>
      </c>
      <c r="K1846">
        <v>1.104884</v>
      </c>
      <c r="L1846">
        <v>284.082999999999</v>
      </c>
      <c r="M1846">
        <v>-0.99989269999999997</v>
      </c>
      <c r="N1846">
        <v>0</v>
      </c>
      <c r="O1846">
        <v>-2.015233E-3</v>
      </c>
      <c r="P1846">
        <v>-0.99433470000000002</v>
      </c>
      <c r="Q1846">
        <v>0.10074760000000001</v>
      </c>
      <c r="R1846">
        <v>-3.3892220000000001E-2</v>
      </c>
      <c r="S1846">
        <v>-3.0309140000000001</v>
      </c>
      <c r="T1846">
        <v>-0.16802159999999999</v>
      </c>
      <c r="U1846">
        <v>-9.2712399999999903E-2</v>
      </c>
      <c r="V1846">
        <v>-3.1872409999999997E-2</v>
      </c>
      <c r="W1846">
        <v>0.1151754</v>
      </c>
      <c r="X1846">
        <v>0.99283369999999904</v>
      </c>
      <c r="Y1846">
        <v>-2.85194E-2</v>
      </c>
      <c r="Z1846">
        <v>-6.780938E-4</v>
      </c>
      <c r="AA1846">
        <v>0.99959299999999995</v>
      </c>
      <c r="AB1846">
        <v>44</v>
      </c>
      <c r="AC1846">
        <v>-19.6435</v>
      </c>
      <c r="AD1846">
        <v>-1.104883531304</v>
      </c>
      <c r="AE1846">
        <v>-0.60909999999995501</v>
      </c>
      <c r="AF1846">
        <v>-0.56771401437838098</v>
      </c>
      <c r="AG1846">
        <v>-1.104883531304</v>
      </c>
      <c r="AH1846">
        <v>19.582793144257199</v>
      </c>
      <c r="AI1846">
        <v>93.227916236034901</v>
      </c>
      <c r="AJ1846">
        <v>91.660565414527397</v>
      </c>
      <c r="AK1846">
        <v>19.622152128414399</v>
      </c>
    </row>
    <row r="1847" spans="1:37" x14ac:dyDescent="0.2">
      <c r="A1847" t="str">
        <f>"20200111153644256"</f>
        <v>20200111153644256</v>
      </c>
      <c r="B1847" t="str">
        <f>"1578728204244114"</f>
        <v>1578728204244114</v>
      </c>
      <c r="C1847" t="s">
        <v>37</v>
      </c>
      <c r="D1847">
        <v>6.044219</v>
      </c>
      <c r="E1847">
        <v>0.49982349999999998</v>
      </c>
      <c r="F1847" t="s">
        <v>45</v>
      </c>
      <c r="G1847">
        <v>-333.2756</v>
      </c>
      <c r="H1847" s="1">
        <v>2.548248E-7</v>
      </c>
      <c r="I1847">
        <v>283.50630000000001</v>
      </c>
      <c r="J1847">
        <v>-314.28750000000002</v>
      </c>
      <c r="K1847">
        <v>1.1048639999999901</v>
      </c>
      <c r="L1847">
        <v>284.08249999999998</v>
      </c>
      <c r="M1847">
        <v>-0.99989280000000003</v>
      </c>
      <c r="N1847">
        <v>0</v>
      </c>
      <c r="O1847">
        <v>-1.9913589999999998E-3</v>
      </c>
      <c r="P1847">
        <v>-0.99429089999999998</v>
      </c>
      <c r="Q1847">
        <v>0.1008595</v>
      </c>
      <c r="R1847">
        <v>-3.482967E-2</v>
      </c>
      <c r="S1847">
        <v>-3.0316160000000001</v>
      </c>
      <c r="T1847">
        <v>-0.17405570000000001</v>
      </c>
      <c r="U1847">
        <v>-9.0850829999999994E-2</v>
      </c>
      <c r="V1847">
        <v>-3.283349E-2</v>
      </c>
      <c r="W1847">
        <v>0.11528529999999999</v>
      </c>
      <c r="X1847">
        <v>0.99278960000000005</v>
      </c>
      <c r="Y1847">
        <v>-2.792095E-2</v>
      </c>
      <c r="Z1847">
        <v>-6.8645860000000002E-4</v>
      </c>
      <c r="AA1847">
        <v>0.99960990000000005</v>
      </c>
      <c r="AB1847">
        <v>44</v>
      </c>
      <c r="AC1847">
        <v>-18.9880999999999</v>
      </c>
      <c r="AD1847">
        <v>-1.1048637451751999</v>
      </c>
      <c r="AE1847">
        <v>-0.57619999999997096</v>
      </c>
      <c r="AF1847">
        <v>-0.53656774359441695</v>
      </c>
      <c r="AG1847">
        <v>-1.1048637451751999</v>
      </c>
      <c r="AH1847">
        <v>18.925192930520499</v>
      </c>
      <c r="AI1847">
        <v>93.339829375432302</v>
      </c>
      <c r="AJ1847">
        <v>91.624016924596901</v>
      </c>
      <c r="AK1847">
        <v>18.9650087344111</v>
      </c>
    </row>
    <row r="1848" spans="1:37" x14ac:dyDescent="0.2">
      <c r="A1848" t="str">
        <f>"20200111153644274"</f>
        <v>20200111153644274</v>
      </c>
      <c r="B1848" t="str">
        <f>"1578728204264609"</f>
        <v>1578728204264609</v>
      </c>
      <c r="C1848" t="s">
        <v>37</v>
      </c>
      <c r="D1848">
        <v>5.8483099999999997</v>
      </c>
      <c r="E1848">
        <v>0.49934409999999901</v>
      </c>
      <c r="F1848" t="s">
        <v>45</v>
      </c>
      <c r="G1848">
        <v>-336.6909</v>
      </c>
      <c r="H1848" s="1">
        <v>2.0757709999999999E-6</v>
      </c>
      <c r="I1848">
        <v>283.4273</v>
      </c>
      <c r="J1848">
        <v>-314.62209999999999</v>
      </c>
      <c r="K1848">
        <v>1.1048389999999999</v>
      </c>
      <c r="L1848">
        <v>284.08179999999999</v>
      </c>
      <c r="M1848">
        <v>-0.99989280000000003</v>
      </c>
      <c r="N1848">
        <v>0</v>
      </c>
      <c r="O1848">
        <v>-1.9606789999999999E-3</v>
      </c>
      <c r="P1848">
        <v>-0.99420739999999996</v>
      </c>
      <c r="Q1848">
        <v>0.1009166</v>
      </c>
      <c r="R1848">
        <v>-3.6976679999999998E-2</v>
      </c>
      <c r="S1848">
        <v>-3.029236</v>
      </c>
      <c r="T1848">
        <v>-0.14939160000000001</v>
      </c>
      <c r="U1848">
        <v>-8.8592530000000003E-2</v>
      </c>
      <c r="V1848">
        <v>-3.5011300000000002E-2</v>
      </c>
      <c r="W1848">
        <v>0.11533930000000001</v>
      </c>
      <c r="X1848">
        <v>0.99270890000000001</v>
      </c>
      <c r="Y1848">
        <v>-2.7242530000000001E-2</v>
      </c>
      <c r="Z1848">
        <v>-5.7457919999999896E-4</v>
      </c>
      <c r="AA1848">
        <v>0.99962870000000004</v>
      </c>
      <c r="AB1848">
        <v>44</v>
      </c>
      <c r="AC1848">
        <v>-22.0688</v>
      </c>
      <c r="AD1848">
        <v>-1.1048369242289999</v>
      </c>
      <c r="AE1848">
        <v>-0.65449999999998398</v>
      </c>
      <c r="AF1848">
        <v>-0.60969759030640103</v>
      </c>
      <c r="AG1848">
        <v>-1.1048369242289999</v>
      </c>
      <c r="AH1848">
        <v>22.014912738227899</v>
      </c>
      <c r="AI1848">
        <v>92.871927187739701</v>
      </c>
      <c r="AJ1848">
        <v>91.586387009804696</v>
      </c>
      <c r="AK1848">
        <v>22.051049377581901</v>
      </c>
    </row>
    <row r="1849" spans="1:37" x14ac:dyDescent="0.2">
      <c r="A1849" t="str">
        <f>"20200111153644288"</f>
        <v>20200111153644288</v>
      </c>
      <c r="B1849" t="str">
        <f>"1578728204284129"</f>
        <v>1578728204284129</v>
      </c>
      <c r="C1849" t="s">
        <v>37</v>
      </c>
      <c r="D1849">
        <v>6.1161699999999897</v>
      </c>
      <c r="E1849">
        <v>0.49987369999999998</v>
      </c>
      <c r="F1849" t="s">
        <v>45</v>
      </c>
      <c r="G1849">
        <v>-336.06319999999999</v>
      </c>
      <c r="H1849" s="1">
        <v>1.7434599999999899E-6</v>
      </c>
      <c r="I1849">
        <v>283.38720000000001</v>
      </c>
      <c r="J1849">
        <v>-314.897999999999</v>
      </c>
      <c r="K1849">
        <v>1.104827</v>
      </c>
      <c r="L1849">
        <v>284.0813</v>
      </c>
      <c r="M1849">
        <v>-0.99989289999999997</v>
      </c>
      <c r="N1849">
        <v>0</v>
      </c>
      <c r="O1849">
        <v>-1.9344179999999901E-3</v>
      </c>
      <c r="P1849">
        <v>-0.99411569999999905</v>
      </c>
      <c r="Q1849">
        <v>0.101387399999999</v>
      </c>
      <c r="R1849">
        <v>-3.8136299999999998E-2</v>
      </c>
      <c r="S1849">
        <v>-3.029633</v>
      </c>
      <c r="T1849">
        <v>-0.15611410000000001</v>
      </c>
      <c r="U1849">
        <v>-9.8144529999999994E-2</v>
      </c>
      <c r="V1849">
        <v>-3.6196470000000001E-2</v>
      </c>
      <c r="W1849">
        <v>0.1158078</v>
      </c>
      <c r="X1849">
        <v>0.99261189999999999</v>
      </c>
      <c r="Y1849">
        <v>-3.040648E-2</v>
      </c>
      <c r="Z1849">
        <v>-6.8308810000000002E-4</v>
      </c>
      <c r="AA1849">
        <v>0.99953740000000002</v>
      </c>
      <c r="AB1849">
        <v>44</v>
      </c>
      <c r="AC1849">
        <v>-21.165199999999999</v>
      </c>
      <c r="AD1849">
        <v>-1.1048252565400001</v>
      </c>
      <c r="AE1849">
        <v>-0.69409999999999095</v>
      </c>
      <c r="AF1849">
        <v>-0.65137904575253103</v>
      </c>
      <c r="AG1849">
        <v>-1.1048252565400001</v>
      </c>
      <c r="AH1849">
        <v>21.109046044103099</v>
      </c>
      <c r="AI1849">
        <v>92.994644206215</v>
      </c>
      <c r="AJ1849">
        <v>91.767461733686204</v>
      </c>
      <c r="AK1849">
        <v>21.147972914697899</v>
      </c>
    </row>
    <row r="1850" spans="1:37" x14ac:dyDescent="0.2">
      <c r="A1850" t="str">
        <f>"20200111153644308"</f>
        <v>20200111153644308</v>
      </c>
      <c r="B1850" t="str">
        <f>"1578728204304419"</f>
        <v>1578728204304419</v>
      </c>
      <c r="C1850" t="s">
        <v>37</v>
      </c>
      <c r="D1850">
        <v>5.8198449999999999</v>
      </c>
      <c r="E1850">
        <v>0.49985859999999899</v>
      </c>
      <c r="F1850" t="s">
        <v>45</v>
      </c>
      <c r="G1850">
        <v>-338.13440000000003</v>
      </c>
      <c r="H1850" s="1">
        <v>2.8480390000000001E-6</v>
      </c>
      <c r="I1850">
        <v>283.332999999999</v>
      </c>
      <c r="J1850">
        <v>-315.2774</v>
      </c>
      <c r="K1850">
        <v>1.1048119999999999</v>
      </c>
      <c r="L1850">
        <v>284.0806</v>
      </c>
      <c r="M1850">
        <v>-0.99989309999999998</v>
      </c>
      <c r="N1850">
        <v>0</v>
      </c>
      <c r="O1850">
        <v>-1.896932E-3</v>
      </c>
      <c r="P1850">
        <v>-0.99389229999999995</v>
      </c>
      <c r="Q1850">
        <v>0.10294200000000001</v>
      </c>
      <c r="R1850">
        <v>-3.9764599999999997E-2</v>
      </c>
      <c r="S1850">
        <v>-3.0286559999999998</v>
      </c>
      <c r="T1850">
        <v>-0.14400389999999999</v>
      </c>
      <c r="U1850">
        <v>-9.7534179999999998E-2</v>
      </c>
      <c r="V1850">
        <v>-3.7861699999999998E-2</v>
      </c>
      <c r="W1850">
        <v>0.1173569</v>
      </c>
      <c r="X1850">
        <v>0.99236780000000002</v>
      </c>
      <c r="Y1850">
        <v>-3.0258879999999998E-2</v>
      </c>
      <c r="Z1850">
        <v>-6.2864119999999995E-4</v>
      </c>
      <c r="AA1850">
        <v>0.99954189999999998</v>
      </c>
      <c r="AB1850">
        <v>44</v>
      </c>
      <c r="AC1850">
        <v>-22.856999999999999</v>
      </c>
      <c r="AD1850">
        <v>-1.1048091519609999</v>
      </c>
      <c r="AE1850">
        <v>-0.74760000000003402</v>
      </c>
      <c r="AF1850">
        <v>-0.702596173033468</v>
      </c>
      <c r="AG1850">
        <v>-1.1048091519609999</v>
      </c>
      <c r="AH1850">
        <v>22.8051535058955</v>
      </c>
      <c r="AI1850">
        <v>92.772246157203199</v>
      </c>
      <c r="AJ1850">
        <v>91.764647893218793</v>
      </c>
      <c r="AK1850">
        <v>22.842707174765401</v>
      </c>
    </row>
    <row r="1851" spans="1:37" x14ac:dyDescent="0.2">
      <c r="A1851" t="str">
        <f>"20200111153644322"</f>
        <v>20200111153644322</v>
      </c>
      <c r="B1851" t="str">
        <f>"1578728204314179"</f>
        <v>1578728204314179</v>
      </c>
      <c r="C1851" t="s">
        <v>37</v>
      </c>
      <c r="D1851">
        <v>5.8793620000000004</v>
      </c>
      <c r="E1851">
        <v>0.49952190000000002</v>
      </c>
      <c r="F1851" t="s">
        <v>45</v>
      </c>
      <c r="G1851">
        <v>-340.42829999999998</v>
      </c>
      <c r="H1851" s="1">
        <v>-1.308889E-6</v>
      </c>
      <c r="I1851">
        <v>283.23020000000002</v>
      </c>
      <c r="J1851">
        <v>-315.5763</v>
      </c>
      <c r="K1851">
        <v>1.1048089999999999</v>
      </c>
      <c r="L1851">
        <v>284.08</v>
      </c>
      <c r="M1851">
        <v>-0.99989319999999904</v>
      </c>
      <c r="N1851">
        <v>0</v>
      </c>
      <c r="O1851">
        <v>-1.8662419999999999E-3</v>
      </c>
      <c r="P1851">
        <v>-0.99376520000000002</v>
      </c>
      <c r="Q1851">
        <v>0.10391830000000001</v>
      </c>
      <c r="R1851">
        <v>-4.0395359999999998E-2</v>
      </c>
      <c r="S1851">
        <v>-3.0281069999999999</v>
      </c>
      <c r="T1851">
        <v>-0.13301679999999999</v>
      </c>
      <c r="U1851">
        <v>-0.10238650000000001</v>
      </c>
      <c r="V1851">
        <v>-3.8522540000000001E-2</v>
      </c>
      <c r="W1851">
        <v>0.1183299</v>
      </c>
      <c r="X1851">
        <v>0.99222679999999996</v>
      </c>
      <c r="Y1851">
        <v>-3.1898379999999997E-2</v>
      </c>
      <c r="Z1851">
        <v>-6.181448E-4</v>
      </c>
      <c r="AA1851">
        <v>0.99949089999999996</v>
      </c>
      <c r="AB1851">
        <v>44</v>
      </c>
      <c r="AC1851">
        <v>-24.851999999999901</v>
      </c>
      <c r="AD1851">
        <v>-1.104810308889</v>
      </c>
      <c r="AE1851">
        <v>-0.84979999999995903</v>
      </c>
      <c r="AF1851">
        <v>-0.80183099310810002</v>
      </c>
      <c r="AG1851">
        <v>-1.104810308889</v>
      </c>
      <c r="AH1851">
        <v>24.804578788580699</v>
      </c>
      <c r="AI1851">
        <v>92.548971931158903</v>
      </c>
      <c r="AJ1851">
        <v>91.8514944263313</v>
      </c>
      <c r="AK1851">
        <v>24.8421147980409</v>
      </c>
    </row>
    <row r="1852" spans="1:37" x14ac:dyDescent="0.2">
      <c r="A1852" t="str">
        <f>"20200111153644341"</f>
        <v>20200111153644341</v>
      </c>
      <c r="B1852" t="str">
        <f>"1578728204334675"</f>
        <v>1578728204334675</v>
      </c>
      <c r="C1852" t="s">
        <v>37</v>
      </c>
      <c r="D1852">
        <v>5.7710480000000004</v>
      </c>
      <c r="E1852">
        <v>0.4992279</v>
      </c>
      <c r="F1852" t="s">
        <v>45</v>
      </c>
      <c r="G1852">
        <v>-341.68549999999999</v>
      </c>
      <c r="H1852" s="1">
        <v>-6.3986559999999899E-7</v>
      </c>
      <c r="I1852">
        <v>283.15769999999998</v>
      </c>
      <c r="J1852">
        <v>-315.92989999999998</v>
      </c>
      <c r="K1852">
        <v>1.104806</v>
      </c>
      <c r="L1852">
        <v>284.07940000000002</v>
      </c>
      <c r="M1852">
        <v>-0.99989309999999998</v>
      </c>
      <c r="N1852">
        <v>0</v>
      </c>
      <c r="O1852">
        <v>-1.825997E-3</v>
      </c>
      <c r="P1852">
        <v>-0.99355509999999903</v>
      </c>
      <c r="Q1852">
        <v>0.1055451</v>
      </c>
      <c r="R1852">
        <v>-4.1333509999999997E-2</v>
      </c>
      <c r="S1852">
        <v>-3.027863</v>
      </c>
      <c r="T1852">
        <v>-0.12812409999999999</v>
      </c>
      <c r="U1852">
        <v>-0.10696410000000001</v>
      </c>
      <c r="V1852">
        <v>-3.9499359999999997E-2</v>
      </c>
      <c r="W1852">
        <v>0.1199519</v>
      </c>
      <c r="X1852">
        <v>0.99199359999999903</v>
      </c>
      <c r="Y1852">
        <v>-3.3451210000000002E-2</v>
      </c>
      <c r="Z1852">
        <v>-6.2999180000000005E-4</v>
      </c>
      <c r="AA1852">
        <v>0.99944009999999905</v>
      </c>
      <c r="AB1852">
        <v>44</v>
      </c>
      <c r="AC1852">
        <v>-25.755600000000001</v>
      </c>
      <c r="AD1852">
        <v>-1.1048066398656</v>
      </c>
      <c r="AE1852">
        <v>-0.92170000000004404</v>
      </c>
      <c r="AF1852">
        <v>-0.87305944839210903</v>
      </c>
      <c r="AG1852">
        <v>-1.1048066398656</v>
      </c>
      <c r="AH1852">
        <v>25.709993131738099</v>
      </c>
      <c r="AI1852">
        <v>92.459177578627603</v>
      </c>
      <c r="AJ1852">
        <v>91.944901615635899</v>
      </c>
      <c r="AK1852">
        <v>25.748525731504301</v>
      </c>
    </row>
    <row r="1853" spans="1:37" x14ac:dyDescent="0.2">
      <c r="A1853" t="str">
        <f>"20200111153644362"</f>
        <v>20200111153644362</v>
      </c>
      <c r="B1853" t="str">
        <f>"1578728204354198"</f>
        <v>1578728204354198</v>
      </c>
      <c r="C1853" t="s">
        <v>37</v>
      </c>
      <c r="D1853">
        <v>6.1091379999999997</v>
      </c>
      <c r="E1853">
        <v>0.49900929999999999</v>
      </c>
      <c r="F1853" t="s">
        <v>45</v>
      </c>
      <c r="G1853">
        <v>-344.06920000000002</v>
      </c>
      <c r="H1853" s="1">
        <v>6.2861609999999996E-7</v>
      </c>
      <c r="I1853">
        <v>283.03840000000002</v>
      </c>
      <c r="J1853">
        <v>-316.3664</v>
      </c>
      <c r="K1853">
        <v>1.1048100000000001</v>
      </c>
      <c r="L1853">
        <v>284.07870000000003</v>
      </c>
      <c r="M1853">
        <v>-0.99989340000000004</v>
      </c>
      <c r="N1853">
        <v>0</v>
      </c>
      <c r="O1853">
        <v>-1.7694900000000001E-3</v>
      </c>
      <c r="P1853">
        <v>-0.993336</v>
      </c>
      <c r="Q1853">
        <v>0.1074866</v>
      </c>
      <c r="R1853">
        <v>-4.1599070000000002E-2</v>
      </c>
      <c r="S1853">
        <v>-3.027466</v>
      </c>
      <c r="T1853">
        <v>-0.118864699999999</v>
      </c>
      <c r="U1853">
        <v>-0.111999499999999</v>
      </c>
      <c r="V1853">
        <v>-3.9819590000000002E-2</v>
      </c>
      <c r="W1853">
        <v>0.12188740000000001</v>
      </c>
      <c r="X1853">
        <v>0.99174490000000004</v>
      </c>
      <c r="Y1853">
        <v>-3.517497E-2</v>
      </c>
      <c r="Z1853">
        <v>-6.2058980000000001E-4</v>
      </c>
      <c r="AA1853">
        <v>0.99938099999999996</v>
      </c>
      <c r="AB1853">
        <v>44</v>
      </c>
      <c r="AC1853">
        <v>-27.7028</v>
      </c>
      <c r="AD1853">
        <v>-1.1048093713839</v>
      </c>
      <c r="AE1853">
        <v>-1.0403</v>
      </c>
      <c r="AF1853">
        <v>-0.98970151335906098</v>
      </c>
      <c r="AG1853">
        <v>-1.1048093713839</v>
      </c>
      <c r="AH1853">
        <v>27.6606659154059</v>
      </c>
      <c r="AI1853">
        <v>92.285804273198096</v>
      </c>
      <c r="AJ1853">
        <v>92.049174807158195</v>
      </c>
      <c r="AK1853">
        <v>27.700407067701001</v>
      </c>
    </row>
    <row r="1854" spans="1:37" x14ac:dyDescent="0.2">
      <c r="A1854" t="str">
        <f>"20200111153644384"</f>
        <v>20200111153644384</v>
      </c>
      <c r="B1854" t="str">
        <f>"1578728204374691"</f>
        <v>1578728204374691</v>
      </c>
      <c r="C1854" t="s">
        <v>37</v>
      </c>
      <c r="D1854">
        <v>5.8137589999999904</v>
      </c>
      <c r="E1854">
        <v>0.49893409999999899</v>
      </c>
      <c r="F1854" t="s">
        <v>45</v>
      </c>
      <c r="G1854">
        <v>-346.61829999999998</v>
      </c>
      <c r="H1854" s="1">
        <v>1.9851610000000001E-6</v>
      </c>
      <c r="I1854">
        <v>282.93509999999998</v>
      </c>
      <c r="J1854">
        <v>-316.78210000000001</v>
      </c>
      <c r="K1854">
        <v>1.1048169999999999</v>
      </c>
      <c r="L1854">
        <v>284.07799999999997</v>
      </c>
      <c r="M1854">
        <v>-0.99989340000000004</v>
      </c>
      <c r="N1854">
        <v>0</v>
      </c>
      <c r="O1854">
        <v>-1.70532E-3</v>
      </c>
      <c r="P1854">
        <v>-0.99311550000000004</v>
      </c>
      <c r="Q1854">
        <v>0.10943460000000001</v>
      </c>
      <c r="R1854">
        <v>-4.178109E-2</v>
      </c>
      <c r="S1854">
        <v>-3.0273439999999998</v>
      </c>
      <c r="T1854">
        <v>-0.110559199999999</v>
      </c>
      <c r="U1854">
        <v>-0.114440899999999</v>
      </c>
      <c r="V1854">
        <v>-4.0062880000000002E-2</v>
      </c>
      <c r="W1854">
        <v>0.1238305</v>
      </c>
      <c r="X1854">
        <v>0.99149430000000005</v>
      </c>
      <c r="Y1854">
        <v>-3.6048240000000002E-2</v>
      </c>
      <c r="Z1854">
        <v>-5.9554900000000001E-4</v>
      </c>
      <c r="AA1854">
        <v>0.99934990000000001</v>
      </c>
      <c r="AB1854">
        <v>44</v>
      </c>
      <c r="AC1854">
        <v>-29.836199999999899</v>
      </c>
      <c r="AD1854">
        <v>-1.1048150148389999</v>
      </c>
      <c r="AE1854">
        <v>-1.14289999999999</v>
      </c>
      <c r="AF1854">
        <v>-1.09051961910463</v>
      </c>
      <c r="AG1854">
        <v>-1.1048150148389999</v>
      </c>
      <c r="AH1854">
        <v>29.7973084339664</v>
      </c>
      <c r="AI1854">
        <v>92.122002435379699</v>
      </c>
      <c r="AJ1854">
        <v>92.095971111377906</v>
      </c>
      <c r="AK1854">
        <v>29.837718397451098</v>
      </c>
    </row>
    <row r="1855" spans="1:37" x14ac:dyDescent="0.2">
      <c r="A1855" t="str">
        <f>"20200111153644407"</f>
        <v>20200111153644407</v>
      </c>
      <c r="B1855" t="str">
        <f>"1578728204394211"</f>
        <v>1578728204394211</v>
      </c>
      <c r="C1855" t="s">
        <v>37</v>
      </c>
      <c r="D1855">
        <v>5.8735210000000002</v>
      </c>
      <c r="E1855">
        <v>0.4990233</v>
      </c>
      <c r="F1855" t="s">
        <v>45</v>
      </c>
      <c r="G1855">
        <v>-349.21409999999997</v>
      </c>
      <c r="H1855" s="1">
        <v>3.3664979999999998E-6</v>
      </c>
      <c r="I1855">
        <v>282.8383</v>
      </c>
      <c r="J1855">
        <v>-317.22430000000003</v>
      </c>
      <c r="K1855">
        <v>1.10483</v>
      </c>
      <c r="L1855">
        <v>284.07740000000001</v>
      </c>
      <c r="M1855">
        <v>-0.9998937</v>
      </c>
      <c r="N1855">
        <v>0</v>
      </c>
      <c r="O1855">
        <v>-1.62093E-3</v>
      </c>
      <c r="P1855">
        <v>-0.99291280000000004</v>
      </c>
      <c r="Q1855">
        <v>0.111419899999999</v>
      </c>
      <c r="R1855">
        <v>-4.1349110000000001E-2</v>
      </c>
      <c r="S1855">
        <v>-3.0273129999999999</v>
      </c>
      <c r="T1855">
        <v>-0.1031271</v>
      </c>
      <c r="U1855">
        <v>-0.115722699999999</v>
      </c>
      <c r="V1855">
        <v>-3.971156E-2</v>
      </c>
      <c r="W1855">
        <v>0.12581039999999999</v>
      </c>
      <c r="X1855">
        <v>0.99125919999999901</v>
      </c>
      <c r="Y1855">
        <v>-3.6558099999999899E-2</v>
      </c>
      <c r="Z1855">
        <v>-5.6709139999999996E-4</v>
      </c>
      <c r="AA1855">
        <v>0.99933139999999998</v>
      </c>
      <c r="AB1855">
        <v>44</v>
      </c>
      <c r="AC1855">
        <v>-31.989799999999899</v>
      </c>
      <c r="AD1855">
        <v>-1.1048266335020001</v>
      </c>
      <c r="AE1855">
        <v>-1.2391000000000001</v>
      </c>
      <c r="AF1855">
        <v>-1.1858273728178801</v>
      </c>
      <c r="AG1855">
        <v>-1.1048266335020001</v>
      </c>
      <c r="AH1855">
        <v>31.953709596433701</v>
      </c>
      <c r="AI1855">
        <v>91.9789002088432</v>
      </c>
      <c r="AJ1855">
        <v>92.125316269561694</v>
      </c>
      <c r="AK1855">
        <v>31.994786847570001</v>
      </c>
    </row>
    <row r="1856" spans="1:37" x14ac:dyDescent="0.2">
      <c r="A1856" t="str">
        <f>"20200111153644430"</f>
        <v>20200111153644430</v>
      </c>
      <c r="B1856" t="str">
        <f>"1578728204424467"</f>
        <v>1578728204424467</v>
      </c>
      <c r="C1856" t="s">
        <v>37</v>
      </c>
      <c r="D1856">
        <v>5.7699989999999897</v>
      </c>
      <c r="E1856">
        <v>0.49927500000000002</v>
      </c>
      <c r="F1856" t="s">
        <v>45</v>
      </c>
      <c r="G1856">
        <v>-352.27050000000003</v>
      </c>
      <c r="H1856" s="1">
        <v>-3.2854359999999999E-7</v>
      </c>
      <c r="I1856">
        <v>282.755</v>
      </c>
      <c r="J1856">
        <v>-317.66649999999998</v>
      </c>
      <c r="K1856">
        <v>1.104833</v>
      </c>
      <c r="L1856">
        <v>284.07670000000002</v>
      </c>
      <c r="M1856">
        <v>-0.99989380000000005</v>
      </c>
      <c r="N1856">
        <v>0</v>
      </c>
      <c r="O1856">
        <v>-1.5124870000000001E-3</v>
      </c>
      <c r="P1856">
        <v>-0.99273060000000002</v>
      </c>
      <c r="Q1856">
        <v>0.112982399999999</v>
      </c>
      <c r="R1856">
        <v>-4.1481270000000001E-2</v>
      </c>
      <c r="S1856">
        <v>-3.027374</v>
      </c>
      <c r="T1856">
        <v>-9.5437999999999995E-2</v>
      </c>
      <c r="U1856">
        <v>-0.1142273</v>
      </c>
      <c r="V1856">
        <v>-3.9945550000000003E-2</v>
      </c>
      <c r="W1856">
        <v>0.12736939999999999</v>
      </c>
      <c r="X1856">
        <v>0.99105069999999995</v>
      </c>
      <c r="Y1856">
        <v>-3.6175829999999999E-2</v>
      </c>
      <c r="Z1856">
        <v>-5.2222029999999999E-4</v>
      </c>
      <c r="AA1856">
        <v>0.99934529999999999</v>
      </c>
      <c r="AB1856">
        <v>44</v>
      </c>
      <c r="AC1856">
        <v>-34.603999999999999</v>
      </c>
      <c r="AD1856">
        <v>-1.1048333285436001</v>
      </c>
      <c r="AE1856">
        <v>-1.3217000000000201</v>
      </c>
      <c r="AF1856">
        <v>-1.26806411825848</v>
      </c>
      <c r="AG1856">
        <v>-1.1048333285436001</v>
      </c>
      <c r="AH1856">
        <v>34.570769869994699</v>
      </c>
      <c r="AI1856">
        <v>91.829240439464201</v>
      </c>
      <c r="AJ1856">
        <v>92.100681138749394</v>
      </c>
      <c r="AK1856">
        <v>34.611656601439996</v>
      </c>
    </row>
    <row r="1857" spans="1:37" x14ac:dyDescent="0.2">
      <c r="A1857" t="str">
        <f>"20200111153644444"</f>
        <v>20200111153644444</v>
      </c>
      <c r="B1857" t="str">
        <f>"1578728204434227"</f>
        <v>1578728204434227</v>
      </c>
      <c r="C1857" t="s">
        <v>37</v>
      </c>
      <c r="D1857">
        <v>5.9482210000000002</v>
      </c>
      <c r="E1857">
        <v>0.4991467</v>
      </c>
      <c r="F1857" t="s">
        <v>45</v>
      </c>
      <c r="G1857">
        <v>-355.39519999999999</v>
      </c>
      <c r="H1857" s="1">
        <v>1.334265E-6</v>
      </c>
      <c r="I1857">
        <v>282.6737</v>
      </c>
      <c r="J1857">
        <v>-317.94929999999999</v>
      </c>
      <c r="K1857">
        <v>1.104827</v>
      </c>
      <c r="L1857">
        <v>284.07639999999998</v>
      </c>
      <c r="M1857">
        <v>-0.99989409999999901</v>
      </c>
      <c r="N1857">
        <v>0</v>
      </c>
      <c r="O1857">
        <v>-1.426627E-3</v>
      </c>
      <c r="P1857">
        <v>-0.99262150000000005</v>
      </c>
      <c r="Q1857">
        <v>0.113943899999999</v>
      </c>
      <c r="R1857">
        <v>-4.1469579999999999E-2</v>
      </c>
      <c r="S1857">
        <v>-3.027374</v>
      </c>
      <c r="T1857">
        <v>-8.8652369999999994E-2</v>
      </c>
      <c r="U1857">
        <v>-0.11257929999999999</v>
      </c>
      <c r="V1857">
        <v>-4.0014279999999999E-2</v>
      </c>
      <c r="W1857">
        <v>0.128329</v>
      </c>
      <c r="X1857">
        <v>0.99092409999999997</v>
      </c>
      <c r="Y1857">
        <v>-3.5720929999999998E-2</v>
      </c>
      <c r="Z1857">
        <v>-4.8096830000000001E-4</v>
      </c>
      <c r="AA1857">
        <v>0.99936170000000002</v>
      </c>
      <c r="AB1857">
        <v>44</v>
      </c>
      <c r="AC1857">
        <v>-37.445900000000002</v>
      </c>
      <c r="AD1857">
        <v>-1.104825665735</v>
      </c>
      <c r="AE1857">
        <v>-1.4026999999999801</v>
      </c>
      <c r="AF1857">
        <v>-1.3480997328256199</v>
      </c>
      <c r="AG1857">
        <v>-1.104825665735</v>
      </c>
      <c r="AH1857">
        <v>37.415338049121097</v>
      </c>
      <c r="AI1857">
        <v>91.690281267109796</v>
      </c>
      <c r="AJ1857">
        <v>92.063512728893102</v>
      </c>
      <c r="AK1857">
        <v>37.455914539246301</v>
      </c>
    </row>
    <row r="1858" spans="1:37" x14ac:dyDescent="0.2">
      <c r="A1858" t="str">
        <f>"20200111153644464"</f>
        <v>20200111153644464</v>
      </c>
      <c r="B1858" t="str">
        <f>"1578728204454728"</f>
        <v>1578728204454728</v>
      </c>
      <c r="C1858" t="s">
        <v>37</v>
      </c>
      <c r="D1858">
        <v>5.8759030000000001</v>
      </c>
      <c r="E1858">
        <v>0.4991738</v>
      </c>
      <c r="F1858" t="s">
        <v>45</v>
      </c>
      <c r="G1858">
        <v>-355.84710000000001</v>
      </c>
      <c r="H1858" s="1">
        <v>1.574764E-6</v>
      </c>
      <c r="I1858">
        <v>282.65690000000001</v>
      </c>
      <c r="J1858">
        <v>-318.32990000000001</v>
      </c>
      <c r="K1858">
        <v>1.1048119999999999</v>
      </c>
      <c r="L1858">
        <v>284.07589999999999</v>
      </c>
      <c r="M1858">
        <v>-0.99989430000000001</v>
      </c>
      <c r="N1858">
        <v>0</v>
      </c>
      <c r="O1858">
        <v>-1.2820329999999999E-3</v>
      </c>
      <c r="P1858">
        <v>-0.99244399999999999</v>
      </c>
      <c r="Q1858">
        <v>0.1154279</v>
      </c>
      <c r="R1858">
        <v>-4.1610349999999997E-2</v>
      </c>
      <c r="S1858">
        <v>-3.0277099999999999</v>
      </c>
      <c r="T1858">
        <v>-8.8266129999999998E-2</v>
      </c>
      <c r="U1858">
        <v>-0.1134033</v>
      </c>
      <c r="V1858">
        <v>-4.0289480000000003E-2</v>
      </c>
      <c r="W1858">
        <v>0.12981139999999999</v>
      </c>
      <c r="X1858">
        <v>0.99071980000000004</v>
      </c>
      <c r="Y1858">
        <v>-3.6132820000000003E-2</v>
      </c>
      <c r="Z1858">
        <v>-4.8903230000000002E-4</v>
      </c>
      <c r="AA1858">
        <v>0.99934690000000004</v>
      </c>
      <c r="AB1858">
        <v>43</v>
      </c>
      <c r="AC1858">
        <v>-37.517200000000003</v>
      </c>
      <c r="AD1858">
        <v>-1.104810425236</v>
      </c>
      <c r="AE1858">
        <v>-1.4189999999999801</v>
      </c>
      <c r="AF1858">
        <v>-1.36970939747652</v>
      </c>
      <c r="AG1858">
        <v>-1.104810425236</v>
      </c>
      <c r="AH1858">
        <v>37.4865270218096</v>
      </c>
      <c r="AI1858">
        <v>91.6870188880239</v>
      </c>
      <c r="AJ1858">
        <v>92.092583037917606</v>
      </c>
      <c r="AK1858">
        <v>37.527808596640803</v>
      </c>
    </row>
    <row r="1859" spans="1:37" x14ac:dyDescent="0.2">
      <c r="A1859" t="str">
        <f>"20200111153644479"</f>
        <v>20200111153644479</v>
      </c>
      <c r="B1859" t="str">
        <f>"1578728204474245"</f>
        <v>1578728204474245</v>
      </c>
      <c r="C1859" t="s">
        <v>37</v>
      </c>
      <c r="D1859">
        <v>5.8005019999999998</v>
      </c>
      <c r="E1859">
        <v>0.49928050000000002</v>
      </c>
      <c r="F1859" t="s">
        <v>45</v>
      </c>
      <c r="G1859">
        <v>-355.70580000000001</v>
      </c>
      <c r="H1859" s="1">
        <v>1.499568E-6</v>
      </c>
      <c r="I1859">
        <v>282.67180000000002</v>
      </c>
      <c r="J1859">
        <v>-318.61610000000002</v>
      </c>
      <c r="K1859">
        <v>1.1047910000000001</v>
      </c>
      <c r="L1859">
        <v>284.07569999999998</v>
      </c>
      <c r="M1859">
        <v>-0.99989439999999996</v>
      </c>
      <c r="N1859">
        <v>0</v>
      </c>
      <c r="O1859">
        <v>-1.150114E-3</v>
      </c>
      <c r="P1859">
        <v>-0.99235519999999999</v>
      </c>
      <c r="Q1859">
        <v>0.1162926</v>
      </c>
      <c r="R1859">
        <v>-4.1320580000000003E-2</v>
      </c>
      <c r="S1859">
        <v>-3.028473</v>
      </c>
      <c r="T1859">
        <v>-8.9519979999999999E-2</v>
      </c>
      <c r="U1859">
        <v>-0.1137695</v>
      </c>
      <c r="V1859">
        <v>-4.0122369999999997E-2</v>
      </c>
      <c r="W1859">
        <v>0.13067509999999999</v>
      </c>
      <c r="X1859">
        <v>0.99061299999999997</v>
      </c>
      <c r="Y1859">
        <v>-3.6375339999999999E-2</v>
      </c>
      <c r="Z1859">
        <v>-5.0332999999999997E-4</v>
      </c>
      <c r="AA1859">
        <v>0.99933809999999901</v>
      </c>
      <c r="AB1859">
        <v>43</v>
      </c>
      <c r="AC1859">
        <v>-37.089699999999901</v>
      </c>
      <c r="AD1859">
        <v>-1.1047895004320001</v>
      </c>
      <c r="AE1859">
        <v>-1.40389999999996</v>
      </c>
      <c r="AF1859">
        <v>-1.3600322311533399</v>
      </c>
      <c r="AG1859">
        <v>-1.1047895004320001</v>
      </c>
      <c r="AH1859">
        <v>37.058456718360098</v>
      </c>
      <c r="AI1859">
        <v>91.706452215224601</v>
      </c>
      <c r="AJ1859">
        <v>92.101791536866003</v>
      </c>
      <c r="AK1859">
        <v>37.0998579762323</v>
      </c>
    </row>
    <row r="1860" spans="1:37" x14ac:dyDescent="0.2">
      <c r="A1860" t="str">
        <f>"20200111153644496"</f>
        <v>20200111153644496</v>
      </c>
      <c r="B1860" t="str">
        <f>"1578728204484979"</f>
        <v>1578728204484979</v>
      </c>
      <c r="C1860" t="s">
        <v>37</v>
      </c>
      <c r="D1860">
        <v>5.8137639999999999</v>
      </c>
      <c r="E1860">
        <v>0.499338</v>
      </c>
      <c r="F1860" t="s">
        <v>45</v>
      </c>
      <c r="G1860">
        <v>-357.536</v>
      </c>
      <c r="H1860" s="1">
        <v>2.47348E-6</v>
      </c>
      <c r="I1860">
        <v>282.63319999999999</v>
      </c>
      <c r="J1860">
        <v>-318.9597</v>
      </c>
      <c r="K1860">
        <v>1.104762</v>
      </c>
      <c r="L1860">
        <v>284.0754</v>
      </c>
      <c r="M1860">
        <v>-0.99989470000000003</v>
      </c>
      <c r="N1860">
        <v>0</v>
      </c>
      <c r="O1860">
        <v>-9.5218119999999895E-4</v>
      </c>
      <c r="P1860">
        <v>-0.99220549999999996</v>
      </c>
      <c r="Q1860">
        <v>0.1177653</v>
      </c>
      <c r="R1860">
        <v>-4.0742519999999997E-2</v>
      </c>
      <c r="S1860">
        <v>-3.02850299999999</v>
      </c>
      <c r="T1860">
        <v>-8.5967779999999994E-2</v>
      </c>
      <c r="U1860">
        <v>-0.112243699999999</v>
      </c>
      <c r="V1860">
        <v>-3.9728630000000001E-2</v>
      </c>
      <c r="W1860">
        <v>0.13214670000000001</v>
      </c>
      <c r="X1860">
        <v>0.99043369999999997</v>
      </c>
      <c r="Y1860">
        <v>-3.6071230000000003E-2</v>
      </c>
      <c r="Z1860">
        <v>-4.8466759999999997E-4</v>
      </c>
      <c r="AA1860">
        <v>0.99934909999999999</v>
      </c>
      <c r="AB1860">
        <v>43</v>
      </c>
      <c r="AC1860">
        <v>-38.576300000000003</v>
      </c>
      <c r="AD1860">
        <v>-1.1047595265200001</v>
      </c>
      <c r="AE1860">
        <v>-1.4422000000000099</v>
      </c>
      <c r="AF1860">
        <v>-1.40431372363592</v>
      </c>
      <c r="AG1860">
        <v>-1.1047595265200001</v>
      </c>
      <c r="AH1860">
        <v>38.546086361406502</v>
      </c>
      <c r="AI1860">
        <v>91.640602445238997</v>
      </c>
      <c r="AJ1860">
        <v>92.0864810611683</v>
      </c>
      <c r="AK1860">
        <v>38.587476782329702</v>
      </c>
    </row>
    <row r="1861" spans="1:37" x14ac:dyDescent="0.2">
      <c r="A1861" t="str">
        <f>"20200111153644512"</f>
        <v>20200111153644512</v>
      </c>
      <c r="B1861" t="str">
        <f>"1578728204504500"</f>
        <v>1578728204504500</v>
      </c>
      <c r="C1861" t="s">
        <v>37</v>
      </c>
      <c r="D1861">
        <v>5.8030239999999997</v>
      </c>
      <c r="E1861">
        <v>0.49947229999999998</v>
      </c>
      <c r="F1861" t="s">
        <v>45</v>
      </c>
      <c r="G1861">
        <v>-359.86630000000002</v>
      </c>
      <c r="H1861" s="1">
        <v>3.713542E-6</v>
      </c>
      <c r="I1861">
        <v>282.59289999999999</v>
      </c>
      <c r="J1861">
        <v>-319.2559</v>
      </c>
      <c r="K1861">
        <v>1.1047229999999999</v>
      </c>
      <c r="L1861">
        <v>284.07530000000003</v>
      </c>
      <c r="M1861">
        <v>-0.99989499999999998</v>
      </c>
      <c r="N1861">
        <v>0</v>
      </c>
      <c r="O1861">
        <v>-7.3918349999999998E-4</v>
      </c>
      <c r="P1861">
        <v>-0.99214380000000002</v>
      </c>
      <c r="Q1861">
        <v>0.1184726</v>
      </c>
      <c r="R1861">
        <v>-4.0192190000000003E-2</v>
      </c>
      <c r="S1861">
        <v>-3.028778</v>
      </c>
      <c r="T1861">
        <v>-8.1797960000000003E-2</v>
      </c>
      <c r="U1861">
        <v>-0.109771699999999</v>
      </c>
      <c r="V1861">
        <v>-3.9375849999999997E-2</v>
      </c>
      <c r="W1861">
        <v>0.13285469999999999</v>
      </c>
      <c r="X1861">
        <v>0.99035300000000004</v>
      </c>
      <c r="Y1861">
        <v>-3.5467699999999998E-2</v>
      </c>
      <c r="Z1861">
        <v>-4.587374E-4</v>
      </c>
      <c r="AA1861">
        <v>0.99937069999999995</v>
      </c>
      <c r="AB1861">
        <v>43</v>
      </c>
      <c r="AC1861">
        <v>-40.610399999999998</v>
      </c>
      <c r="AD1861">
        <v>-1.104719286458</v>
      </c>
      <c r="AE1861">
        <v>-1.4824000000000399</v>
      </c>
      <c r="AF1861">
        <v>-1.45130538226574</v>
      </c>
      <c r="AG1861">
        <v>-1.104719286458</v>
      </c>
      <c r="AH1861">
        <v>40.581494603063099</v>
      </c>
      <c r="AI1861">
        <v>91.558338770607307</v>
      </c>
      <c r="AJ1861">
        <v>92.048181091736794</v>
      </c>
      <c r="AK1861">
        <v>40.622461720492801</v>
      </c>
    </row>
    <row r="1862" spans="1:37" x14ac:dyDescent="0.2">
      <c r="A1862" t="str">
        <f>"20200111153644530"</f>
        <v>20200111153644530</v>
      </c>
      <c r="B1862" t="str">
        <f>"1578728204524995"</f>
        <v>1578728204524995</v>
      </c>
      <c r="C1862" t="s">
        <v>37</v>
      </c>
      <c r="D1862">
        <v>5.8587759999999998</v>
      </c>
      <c r="E1862">
        <v>0.4995714</v>
      </c>
      <c r="F1862" t="s">
        <v>45</v>
      </c>
      <c r="G1862">
        <v>-361.88850000000002</v>
      </c>
      <c r="H1862" s="1">
        <v>-5.3184900000000001E-7</v>
      </c>
      <c r="I1862">
        <v>282.56709999999998</v>
      </c>
      <c r="J1862">
        <v>-319.61099999999999</v>
      </c>
      <c r="K1862">
        <v>1.1046549999999999</v>
      </c>
      <c r="L1862">
        <v>284.07530000000003</v>
      </c>
      <c r="M1862">
        <v>-0.99989499999999998</v>
      </c>
      <c r="N1862">
        <v>0</v>
      </c>
      <c r="O1862">
        <v>-4.3041169999999998E-4</v>
      </c>
      <c r="P1862">
        <v>-0.99205980000000005</v>
      </c>
      <c r="Q1862">
        <v>0.119327</v>
      </c>
      <c r="R1862">
        <v>-3.9730380000000003E-2</v>
      </c>
      <c r="S1862">
        <v>-3.02874799999999</v>
      </c>
      <c r="T1862">
        <v>-7.8482990000000002E-2</v>
      </c>
      <c r="U1862">
        <v>-0.1071472</v>
      </c>
      <c r="V1862">
        <v>-3.920129E-2</v>
      </c>
      <c r="W1862">
        <v>0.13371150000000001</v>
      </c>
      <c r="X1862">
        <v>0.99024469999999998</v>
      </c>
      <c r="Y1862">
        <v>-3.4912869999999999E-2</v>
      </c>
      <c r="Z1862">
        <v>-4.4097690000000002E-4</v>
      </c>
      <c r="AA1862">
        <v>0.99939020000000001</v>
      </c>
      <c r="AB1862">
        <v>43</v>
      </c>
      <c r="AC1862">
        <v>-42.277500000000003</v>
      </c>
      <c r="AD1862">
        <v>-1.1046555318489999</v>
      </c>
      <c r="AE1862">
        <v>-1.50820000000004</v>
      </c>
      <c r="AF1862">
        <v>-1.48898596948642</v>
      </c>
      <c r="AG1862">
        <v>-1.1046555318489999</v>
      </c>
      <c r="AH1862">
        <v>42.249337987633297</v>
      </c>
      <c r="AI1862">
        <v>91.496791272094299</v>
      </c>
      <c r="AJ1862">
        <v>92.0184296638772</v>
      </c>
      <c r="AK1862">
        <v>42.2899976762195</v>
      </c>
    </row>
    <row r="1863" spans="1:37" x14ac:dyDescent="0.2">
      <c r="A1863" t="str">
        <f>"20200111153644553"</f>
        <v>20200111153644553</v>
      </c>
      <c r="B1863" t="str">
        <f>"1578728204544515"</f>
        <v>1578728204544515</v>
      </c>
      <c r="C1863" t="s">
        <v>37</v>
      </c>
      <c r="D1863">
        <v>5.7817089999999904</v>
      </c>
      <c r="E1863">
        <v>0.49963590000000002</v>
      </c>
      <c r="F1863" t="s">
        <v>45</v>
      </c>
      <c r="G1863">
        <v>-363.9436</v>
      </c>
      <c r="H1863" s="1">
        <v>5.6180010000000001E-7</v>
      </c>
      <c r="I1863">
        <v>282.54149999999998</v>
      </c>
      <c r="J1863">
        <v>-320.05860000000001</v>
      </c>
      <c r="K1863">
        <v>1.1045559999999901</v>
      </c>
      <c r="L1863">
        <v>284.07549999999998</v>
      </c>
      <c r="M1863">
        <v>-0.99989519999999998</v>
      </c>
      <c r="N1863">
        <v>0</v>
      </c>
      <c r="O1863" s="1">
        <v>5.4736159999999997E-5</v>
      </c>
      <c r="P1863">
        <v>-0.99206679999999903</v>
      </c>
      <c r="Q1863">
        <v>0.11927749999999999</v>
      </c>
      <c r="R1863">
        <v>-3.970365E-2</v>
      </c>
      <c r="S1863">
        <v>-3.028931</v>
      </c>
      <c r="T1863">
        <v>-7.5473070000000003E-2</v>
      </c>
      <c r="U1863">
        <v>-0.1047974</v>
      </c>
      <c r="V1863">
        <v>-3.9627419999999997E-2</v>
      </c>
      <c r="W1863">
        <v>0.13366939999999999</v>
      </c>
      <c r="X1863">
        <v>0.99023340000000004</v>
      </c>
      <c r="Y1863">
        <v>-3.4622060000000003E-2</v>
      </c>
      <c r="Z1863">
        <v>-4.3251339999999898E-4</v>
      </c>
      <c r="AA1863">
        <v>0.99940039999999997</v>
      </c>
      <c r="AB1863">
        <v>43</v>
      </c>
      <c r="AC1863">
        <v>-43.884999999999899</v>
      </c>
      <c r="AD1863">
        <v>-1.1045554381998901</v>
      </c>
      <c r="AE1863">
        <v>-1.53399999999999</v>
      </c>
      <c r="AF1863">
        <v>-1.5354308459180099</v>
      </c>
      <c r="AG1863">
        <v>-1.1045554381998901</v>
      </c>
      <c r="AH1863">
        <v>43.857166593094703</v>
      </c>
      <c r="AI1863">
        <v>91.441822843851099</v>
      </c>
      <c r="AJ1863">
        <v>92.005095123999496</v>
      </c>
      <c r="AK1863">
        <v>43.897934486409703</v>
      </c>
    </row>
    <row r="1864" spans="1:37" x14ac:dyDescent="0.2">
      <c r="A1864" t="str">
        <f>"20200111153644575"</f>
        <v>20200111153644575</v>
      </c>
      <c r="B1864" t="str">
        <f>"1578728204565011"</f>
        <v>1578728204565011</v>
      </c>
      <c r="C1864" t="s">
        <v>37</v>
      </c>
      <c r="D1864">
        <v>5.7792219999999999</v>
      </c>
      <c r="E1864">
        <v>0.49976009999999998</v>
      </c>
      <c r="F1864" t="s">
        <v>45</v>
      </c>
      <c r="G1864">
        <v>-363.84350000000001</v>
      </c>
      <c r="H1864" s="1">
        <v>5.0854499999999995E-7</v>
      </c>
      <c r="I1864">
        <v>282.57650000000001</v>
      </c>
      <c r="J1864">
        <v>-320.48169999999999</v>
      </c>
      <c r="K1864">
        <v>1.1044620000000001</v>
      </c>
      <c r="L1864">
        <v>284.075999999999</v>
      </c>
      <c r="M1864">
        <v>-0.99989499999999998</v>
      </c>
      <c r="N1864">
        <v>0</v>
      </c>
      <c r="O1864">
        <v>6.2386039999999998E-4</v>
      </c>
      <c r="P1864">
        <v>-0.99212239999999996</v>
      </c>
      <c r="Q1864">
        <v>0.1185576</v>
      </c>
      <c r="R1864">
        <v>-4.0464559999999997E-2</v>
      </c>
      <c r="S1864">
        <v>-3.0290219999999999</v>
      </c>
      <c r="T1864">
        <v>-7.6412679999999997E-2</v>
      </c>
      <c r="U1864">
        <v>-0.1036987</v>
      </c>
      <c r="V1864">
        <v>-4.0921810000000003E-2</v>
      </c>
      <c r="W1864">
        <v>0.1329591</v>
      </c>
      <c r="X1864">
        <v>0.9902763</v>
      </c>
      <c r="Y1864">
        <v>-3.4827299999999999E-2</v>
      </c>
      <c r="Z1864">
        <v>-4.548256E-4</v>
      </c>
      <c r="AA1864">
        <v>0.99939319999999898</v>
      </c>
      <c r="AB1864">
        <v>43</v>
      </c>
      <c r="AC1864">
        <v>-43.361800000000002</v>
      </c>
      <c r="AD1864">
        <v>-1.1044614914549999</v>
      </c>
      <c r="AE1864">
        <v>-1.4994999999999501</v>
      </c>
      <c r="AF1864">
        <v>-1.5255657039761299</v>
      </c>
      <c r="AG1864">
        <v>-1.1044614914549999</v>
      </c>
      <c r="AH1864">
        <v>43.332776828541498</v>
      </c>
      <c r="AI1864">
        <v>91.4591294159668</v>
      </c>
      <c r="AJ1864">
        <v>92.016311823077999</v>
      </c>
      <c r="AK1864">
        <v>43.3736871106831</v>
      </c>
    </row>
    <row r="1865" spans="1:37" x14ac:dyDescent="0.2">
      <c r="A1865" t="str">
        <f>"20200111153644598"</f>
        <v>20200111153644598</v>
      </c>
      <c r="B1865" t="str">
        <f>"1578728204594291"</f>
        <v>1578728204594291</v>
      </c>
      <c r="C1865" t="s">
        <v>37</v>
      </c>
      <c r="D1865">
        <v>5.7933309999999896</v>
      </c>
      <c r="E1865">
        <v>0.49979709999999899</v>
      </c>
      <c r="F1865" t="s">
        <v>45</v>
      </c>
      <c r="G1865">
        <v>-362.79680000000002</v>
      </c>
      <c r="H1865" s="1">
        <v>-4.8458449999999901E-8</v>
      </c>
      <c r="I1865">
        <v>282.61669999999998</v>
      </c>
      <c r="J1865">
        <v>-320.9162</v>
      </c>
      <c r="K1865">
        <v>1.1043459999999901</v>
      </c>
      <c r="L1865">
        <v>284.07690000000002</v>
      </c>
      <c r="M1865">
        <v>-0.99989439999999996</v>
      </c>
      <c r="N1865">
        <v>0</v>
      </c>
      <c r="O1865">
        <v>1.33537E-3</v>
      </c>
      <c r="P1865">
        <v>-0.99213430000000002</v>
      </c>
      <c r="Q1865">
        <v>0.1181007</v>
      </c>
      <c r="R1865">
        <v>-4.149684E-2</v>
      </c>
      <c r="S1865">
        <v>-3.0290219999999999</v>
      </c>
      <c r="T1865">
        <v>-7.9060199999999997E-2</v>
      </c>
      <c r="U1865">
        <v>-0.10446169999999901</v>
      </c>
      <c r="V1865">
        <v>-4.2623750000000002E-2</v>
      </c>
      <c r="W1865">
        <v>0.13251489999999999</v>
      </c>
      <c r="X1865">
        <v>0.99026409999999998</v>
      </c>
      <c r="Y1865">
        <v>-3.5788500000000001E-2</v>
      </c>
      <c r="Z1865">
        <v>-5.0167970000000001E-4</v>
      </c>
      <c r="AA1865">
        <v>0.99935929999999995</v>
      </c>
      <c r="AB1865">
        <v>43</v>
      </c>
      <c r="AC1865">
        <v>-41.880600000000001</v>
      </c>
      <c r="AD1865">
        <v>-1.10434604845844</v>
      </c>
      <c r="AE1865">
        <v>-1.4602000000000399</v>
      </c>
      <c r="AF1865">
        <v>-1.5150784662254999</v>
      </c>
      <c r="AG1865">
        <v>-1.10434604845844</v>
      </c>
      <c r="AH1865">
        <v>41.849549051414897</v>
      </c>
      <c r="AI1865">
        <v>91.510608650507905</v>
      </c>
      <c r="AJ1865">
        <v>92.073372558214899</v>
      </c>
      <c r="AK1865">
        <v>41.891524187600801</v>
      </c>
    </row>
    <row r="1866" spans="1:37" x14ac:dyDescent="0.2">
      <c r="A1866" t="str">
        <f>"20200111153644621"</f>
        <v>20200111153644621</v>
      </c>
      <c r="B1866" t="str">
        <f>"1578728204614788"</f>
        <v>1578728204614788</v>
      </c>
      <c r="C1866" t="s">
        <v>37</v>
      </c>
      <c r="D1866">
        <v>6.0141140000000002</v>
      </c>
      <c r="E1866">
        <v>0.49977739999999998</v>
      </c>
      <c r="F1866" t="s">
        <v>45</v>
      </c>
      <c r="G1866">
        <v>-362.1311</v>
      </c>
      <c r="H1866" s="1">
        <v>-4.027362E-7</v>
      </c>
      <c r="I1866">
        <v>282.62310000000002</v>
      </c>
      <c r="J1866">
        <v>-321.35789999999997</v>
      </c>
      <c r="K1866">
        <v>1.104212</v>
      </c>
      <c r="L1866">
        <v>284.07819999999998</v>
      </c>
      <c r="M1866">
        <v>-0.99989280000000003</v>
      </c>
      <c r="N1866">
        <v>0</v>
      </c>
      <c r="O1866">
        <v>2.2118839999999999E-3</v>
      </c>
      <c r="P1866">
        <v>-0.99223600000000001</v>
      </c>
      <c r="Q1866">
        <v>0.1171521</v>
      </c>
      <c r="R1866">
        <v>-4.175222E-2</v>
      </c>
      <c r="S1866">
        <v>-3.0289919999999899</v>
      </c>
      <c r="T1866">
        <v>-8.1161380000000005E-2</v>
      </c>
      <c r="U1866">
        <v>-0.10684200000000001</v>
      </c>
      <c r="V1866">
        <v>-4.370864E-2</v>
      </c>
      <c r="W1866">
        <v>0.1315818</v>
      </c>
      <c r="X1866">
        <v>0.99034120000000003</v>
      </c>
      <c r="Y1866">
        <v>-3.7447660000000001E-2</v>
      </c>
      <c r="Z1866">
        <v>-5.6070109999999996E-4</v>
      </c>
      <c r="AA1866">
        <v>0.99929849999999998</v>
      </c>
      <c r="AB1866">
        <v>43</v>
      </c>
      <c r="AC1866">
        <v>-40.773200000000003</v>
      </c>
      <c r="AD1866">
        <v>-1.1042124027361999</v>
      </c>
      <c r="AE1866">
        <v>-1.4550999999999501</v>
      </c>
      <c r="AF1866">
        <v>-1.54416039160687</v>
      </c>
      <c r="AG1866">
        <v>-1.1042124027361999</v>
      </c>
      <c r="AH1866">
        <v>40.740039636816903</v>
      </c>
      <c r="AI1866">
        <v>91.551443310575607</v>
      </c>
      <c r="AJ1866">
        <v>92.170629749530505</v>
      </c>
      <c r="AK1866">
        <v>40.784243844342299</v>
      </c>
    </row>
    <row r="1867" spans="1:37" x14ac:dyDescent="0.2">
      <c r="A1867" t="str">
        <f>"20200111153644643"</f>
        <v>20200111153644643</v>
      </c>
      <c r="B1867" t="str">
        <f>"1578728204634307"</f>
        <v>1578728204634307</v>
      </c>
      <c r="C1867" t="s">
        <v>37</v>
      </c>
      <c r="D1867">
        <v>6.0850390000000001</v>
      </c>
      <c r="E1867">
        <v>0.49986570000000002</v>
      </c>
      <c r="F1867" t="s">
        <v>45</v>
      </c>
      <c r="G1867">
        <v>-360.94529999999997</v>
      </c>
      <c r="H1867" s="1">
        <v>-1.033777E-6</v>
      </c>
      <c r="I1867">
        <v>282.65710000000001</v>
      </c>
      <c r="J1867">
        <v>-321.78030000000001</v>
      </c>
      <c r="K1867">
        <v>1.10407099999999</v>
      </c>
      <c r="L1867">
        <v>284.08</v>
      </c>
      <c r="M1867">
        <v>-0.9998901</v>
      </c>
      <c r="N1867">
        <v>0</v>
      </c>
      <c r="O1867">
        <v>3.1967409999999999E-3</v>
      </c>
      <c r="P1867">
        <v>-0.99249299999999996</v>
      </c>
      <c r="Q1867">
        <v>0.1151686</v>
      </c>
      <c r="R1867">
        <v>-4.1158640000000003E-2</v>
      </c>
      <c r="S1867">
        <v>-3.02887</v>
      </c>
      <c r="T1867">
        <v>-8.4484580000000004E-2</v>
      </c>
      <c r="U1867">
        <v>-0.1087341</v>
      </c>
      <c r="V1867">
        <v>-4.4054959999999997E-2</v>
      </c>
      <c r="W1867">
        <v>0.1296157</v>
      </c>
      <c r="X1867">
        <v>0.9905851</v>
      </c>
      <c r="Y1867">
        <v>-3.9054560000000002E-2</v>
      </c>
      <c r="Z1867">
        <v>-6.3352690000000001E-4</v>
      </c>
      <c r="AA1867">
        <v>0.99923689999999998</v>
      </c>
      <c r="AB1867">
        <v>43</v>
      </c>
      <c r="AC1867">
        <v>-39.1649999999999</v>
      </c>
      <c r="AD1867">
        <v>-1.10407203377699</v>
      </c>
      <c r="AE1867">
        <v>-1.4228999999999701</v>
      </c>
      <c r="AF1867">
        <v>-1.5468785396606399</v>
      </c>
      <c r="AG1867">
        <v>-1.10407203377699</v>
      </c>
      <c r="AH1867">
        <v>39.129196072885001</v>
      </c>
      <c r="AI1867">
        <v>91.614971949843707</v>
      </c>
      <c r="AJ1867">
        <v>92.263871814307706</v>
      </c>
      <c r="AK1867">
        <v>39.175321231388899</v>
      </c>
    </row>
    <row r="1868" spans="1:37" x14ac:dyDescent="0.2">
      <c r="A1868" t="str">
        <f>"20200111153644664"</f>
        <v>20200111153644664</v>
      </c>
      <c r="B1868" t="str">
        <f>"1578728204654806"</f>
        <v>1578728204654806</v>
      </c>
      <c r="C1868" t="s">
        <v>37</v>
      </c>
      <c r="D1868">
        <v>5.7356499999999997</v>
      </c>
      <c r="E1868">
        <v>0.49984849999999997</v>
      </c>
      <c r="F1868" t="s">
        <v>45</v>
      </c>
      <c r="G1868">
        <v>-357.86279999999999</v>
      </c>
      <c r="H1868" s="1">
        <v>2.6473979999999998E-6</v>
      </c>
      <c r="I1868">
        <v>282.8073</v>
      </c>
      <c r="J1868">
        <v>-322.2022</v>
      </c>
      <c r="K1868">
        <v>1.1039299999999901</v>
      </c>
      <c r="L1868">
        <v>284.08229999999998</v>
      </c>
      <c r="M1868">
        <v>-0.99988600000000005</v>
      </c>
      <c r="N1868">
        <v>0</v>
      </c>
      <c r="O1868">
        <v>4.2965009999999899E-3</v>
      </c>
      <c r="P1868">
        <v>-0.99300460000000002</v>
      </c>
      <c r="Q1868">
        <v>0.11091860000000001</v>
      </c>
      <c r="R1868">
        <v>-4.0484850000000003E-2</v>
      </c>
      <c r="S1868">
        <v>-3.0289919999999899</v>
      </c>
      <c r="T1868">
        <v>-9.2682479999999998E-2</v>
      </c>
      <c r="U1868">
        <v>-0.10684200000000001</v>
      </c>
      <c r="V1868">
        <v>-4.4444909999999997E-2</v>
      </c>
      <c r="W1868">
        <v>0.1253871</v>
      </c>
      <c r="X1868">
        <v>0.99111190000000005</v>
      </c>
      <c r="Y1868">
        <v>-3.9524690000000001E-2</v>
      </c>
      <c r="Z1868">
        <v>-7.357787E-4</v>
      </c>
      <c r="AA1868">
        <v>0.9992183</v>
      </c>
      <c r="AB1868">
        <v>43</v>
      </c>
      <c r="AC1868">
        <v>-35.660599999999903</v>
      </c>
      <c r="AD1868">
        <v>-1.1039273526019999</v>
      </c>
      <c r="AE1868">
        <v>-1.2749999999999699</v>
      </c>
      <c r="AF1868">
        <v>-1.42685447090961</v>
      </c>
      <c r="AG1868">
        <v>-1.1039273526019999</v>
      </c>
      <c r="AH1868">
        <v>35.620700260904499</v>
      </c>
      <c r="AI1868">
        <v>91.773673873967894</v>
      </c>
      <c r="AJ1868">
        <v>92.293864383307906</v>
      </c>
      <c r="AK1868">
        <v>35.666354682784402</v>
      </c>
    </row>
    <row r="1869" spans="1:37" x14ac:dyDescent="0.2">
      <c r="A1869" t="str">
        <f>"20200111153644680"</f>
        <v>20200111153644680</v>
      </c>
      <c r="B1869" t="str">
        <f>"1578728204674324"</f>
        <v>1578728204674324</v>
      </c>
      <c r="C1869" t="s">
        <v>37</v>
      </c>
      <c r="D1869">
        <v>5.67232</v>
      </c>
      <c r="E1869">
        <v>0.49989679999999997</v>
      </c>
      <c r="F1869" t="s">
        <v>45</v>
      </c>
      <c r="G1869">
        <v>-352.7851</v>
      </c>
      <c r="H1869" s="1">
        <v>-5.4717650000000002E-8</v>
      </c>
      <c r="I1869">
        <v>283.01749999999998</v>
      </c>
      <c r="J1869">
        <v>-322.50119999999998</v>
      </c>
      <c r="K1869">
        <v>1.1038349999999999</v>
      </c>
      <c r="L1869">
        <v>284.08429999999998</v>
      </c>
      <c r="M1869">
        <v>-0.99988220000000005</v>
      </c>
      <c r="N1869">
        <v>0</v>
      </c>
      <c r="O1869">
        <v>5.1325959999999997E-3</v>
      </c>
      <c r="P1869">
        <v>-0.99326519999999996</v>
      </c>
      <c r="Q1869">
        <v>0.1088769</v>
      </c>
      <c r="R1869">
        <v>-3.9628690000000001E-2</v>
      </c>
      <c r="S1869">
        <v>-3.02905299999999</v>
      </c>
      <c r="T1869">
        <v>-0.1093377</v>
      </c>
      <c r="U1869">
        <v>-0.1054688</v>
      </c>
      <c r="V1869">
        <v>-4.4399580000000001E-2</v>
      </c>
      <c r="W1869">
        <v>0.1233568</v>
      </c>
      <c r="X1869">
        <v>0.99136869999999999</v>
      </c>
      <c r="Y1869">
        <v>-3.9898240000000001E-2</v>
      </c>
      <c r="Z1869">
        <v>-9.0481220000000002E-4</v>
      </c>
      <c r="AA1869">
        <v>0.99920330000000002</v>
      </c>
      <c r="AB1869">
        <v>43</v>
      </c>
      <c r="AC1869">
        <v>-30.283899999999999</v>
      </c>
      <c r="AD1869">
        <v>-1.1038350547176501</v>
      </c>
      <c r="AE1869">
        <v>-1.0668</v>
      </c>
      <c r="AF1869">
        <v>-1.22061756650402</v>
      </c>
      <c r="AG1869">
        <v>-1.1038350547176501</v>
      </c>
      <c r="AH1869">
        <v>30.237901586639602</v>
      </c>
      <c r="AI1869">
        <v>92.088955166751006</v>
      </c>
      <c r="AJ1869">
        <v>92.311611627154093</v>
      </c>
      <c r="AK1869">
        <v>30.282652648587199</v>
      </c>
    </row>
    <row r="1870" spans="1:37" x14ac:dyDescent="0.2">
      <c r="A1870" t="str">
        <f>"20200111153644697"</f>
        <v>20200111153644697</v>
      </c>
      <c r="B1870" t="str">
        <f>"1578728204685060"</f>
        <v>1578728204685060</v>
      </c>
      <c r="C1870" t="s">
        <v>37</v>
      </c>
      <c r="D1870">
        <v>5.7909009999999999</v>
      </c>
      <c r="E1870">
        <v>0.50001059999999997</v>
      </c>
      <c r="F1870" t="s">
        <v>45</v>
      </c>
      <c r="G1870">
        <v>-350.66969999999998</v>
      </c>
      <c r="H1870" s="1">
        <v>-1.1804200000000001E-6</v>
      </c>
      <c r="I1870">
        <v>283.13080000000002</v>
      </c>
      <c r="J1870">
        <v>-322.837999999999</v>
      </c>
      <c r="K1870">
        <v>1.103712</v>
      </c>
      <c r="L1870">
        <v>284.08679999999998</v>
      </c>
      <c r="M1870">
        <v>-0.9998764</v>
      </c>
      <c r="N1870">
        <v>0</v>
      </c>
      <c r="O1870">
        <v>6.1455049999999999E-3</v>
      </c>
      <c r="P1870">
        <v>-0.99378999999999995</v>
      </c>
      <c r="Q1870">
        <v>0.104714899999999</v>
      </c>
      <c r="R1870">
        <v>-3.7631930000000001E-2</v>
      </c>
      <c r="S1870">
        <v>-3.0292970000000001</v>
      </c>
      <c r="T1870">
        <v>-0.1187087</v>
      </c>
      <c r="U1870">
        <v>-0.10253909999999999</v>
      </c>
      <c r="V1870">
        <v>-4.3396860000000002E-2</v>
      </c>
      <c r="W1870">
        <v>0.1192087</v>
      </c>
      <c r="X1870">
        <v>0.99192039999999904</v>
      </c>
      <c r="Y1870">
        <v>-3.993642E-2</v>
      </c>
      <c r="Z1870">
        <v>-1.0226600000000001E-3</v>
      </c>
      <c r="AA1870">
        <v>0.99920169999999997</v>
      </c>
      <c r="AB1870">
        <v>43</v>
      </c>
      <c r="AC1870">
        <v>-27.831700000000001</v>
      </c>
      <c r="AD1870">
        <v>-1.10371318042</v>
      </c>
      <c r="AE1870">
        <v>-0.95599999999995999</v>
      </c>
      <c r="AF1870">
        <v>-1.12527212960264</v>
      </c>
      <c r="AG1870">
        <v>-1.10371318042</v>
      </c>
      <c r="AH1870">
        <v>27.781659175073599</v>
      </c>
      <c r="AI1870">
        <v>92.273195405786296</v>
      </c>
      <c r="AJ1870">
        <v>92.319448240537298</v>
      </c>
      <c r="AK1870">
        <v>27.826336565747201</v>
      </c>
    </row>
    <row r="1871" spans="1:37" x14ac:dyDescent="0.2">
      <c r="A1871" t="str">
        <f>"20200111153644720"</f>
        <v>20200111153644720</v>
      </c>
      <c r="B1871" t="str">
        <f>"1578728204714898"</f>
        <v>1578728204714898</v>
      </c>
      <c r="C1871" t="s">
        <v>37</v>
      </c>
      <c r="D1871">
        <v>5.8288549999999999</v>
      </c>
      <c r="E1871">
        <v>0.53452010000000005</v>
      </c>
      <c r="F1871" t="s">
        <v>45</v>
      </c>
      <c r="G1871">
        <v>-348.24329999999998</v>
      </c>
      <c r="H1871" s="1">
        <v>2.849868E-6</v>
      </c>
      <c r="I1871">
        <v>283.27640000000002</v>
      </c>
      <c r="J1871">
        <v>-323.27260000000001</v>
      </c>
      <c r="K1871">
        <v>1.1035779999999999</v>
      </c>
      <c r="L1871">
        <v>284.09059999999999</v>
      </c>
      <c r="M1871">
        <v>-0.99986699999999995</v>
      </c>
      <c r="N1871">
        <v>0</v>
      </c>
      <c r="O1871">
        <v>7.5252890000000001E-3</v>
      </c>
      <c r="P1871">
        <v>-0.99434429999999996</v>
      </c>
      <c r="Q1871">
        <v>0.1002651</v>
      </c>
      <c r="R1871">
        <v>-3.501891E-2</v>
      </c>
      <c r="S1871">
        <v>-3.0289609999999998</v>
      </c>
      <c r="T1871">
        <v>-0.13159019999999999</v>
      </c>
      <c r="U1871">
        <v>-9.661865E-2</v>
      </c>
      <c r="V1871">
        <v>-4.2142390000000002E-2</v>
      </c>
      <c r="W1871">
        <v>0.11477279999999999</v>
      </c>
      <c r="X1871">
        <v>0.99249739999999997</v>
      </c>
      <c r="Y1871">
        <v>-3.9359239999999997E-2</v>
      </c>
      <c r="Z1871">
        <v>-1.181075E-3</v>
      </c>
      <c r="AA1871">
        <v>0.99922440000000001</v>
      </c>
      <c r="AB1871">
        <v>43</v>
      </c>
      <c r="AC1871">
        <v>-24.970699999999901</v>
      </c>
      <c r="AD1871">
        <v>-1.1035751501319999</v>
      </c>
      <c r="AE1871">
        <v>-0.81419999999997095</v>
      </c>
      <c r="AF1871">
        <v>-1.00015693538406</v>
      </c>
      <c r="AG1871">
        <v>-1.1035751501319999</v>
      </c>
      <c r="AH1871">
        <v>24.915252760897602</v>
      </c>
      <c r="AI1871">
        <v>92.534114896889903</v>
      </c>
      <c r="AJ1871">
        <v>92.298753340150299</v>
      </c>
      <c r="AK1871">
        <v>24.9597278059437</v>
      </c>
    </row>
    <row r="1872" spans="1:37" x14ac:dyDescent="0.2">
      <c r="A1872" t="str">
        <f>"20200111153644743"</f>
        <v>20200111153644743</v>
      </c>
      <c r="B1872" t="str">
        <f>"1578728204734418"</f>
        <v>1578728204734418</v>
      </c>
      <c r="C1872" t="s">
        <v>37</v>
      </c>
      <c r="D1872">
        <v>5.722181</v>
      </c>
      <c r="E1872">
        <v>0.54537950000000002</v>
      </c>
      <c r="F1872" t="s">
        <v>38</v>
      </c>
      <c r="G1872">
        <v>-324.35090000000002</v>
      </c>
      <c r="H1872">
        <v>0.99662019999999996</v>
      </c>
      <c r="I1872">
        <v>284.15809999999999</v>
      </c>
      <c r="J1872">
        <v>-323.70940000000002</v>
      </c>
      <c r="K1872">
        <v>1.1034469999999901</v>
      </c>
      <c r="L1872">
        <v>284.0951</v>
      </c>
      <c r="M1872">
        <v>-0.99985499999999905</v>
      </c>
      <c r="N1872">
        <v>0</v>
      </c>
      <c r="O1872">
        <v>8.9835850000000005E-3</v>
      </c>
      <c r="P1872">
        <v>-0.99502839999999904</v>
      </c>
      <c r="Q1872">
        <v>9.4522899999999896E-2</v>
      </c>
      <c r="R1872">
        <v>-3.1372280000000002E-2</v>
      </c>
      <c r="S1872">
        <v>-3.0542910000000001</v>
      </c>
      <c r="T1872">
        <v>-0.30300529999999998</v>
      </c>
      <c r="U1872">
        <v>0.1906128</v>
      </c>
      <c r="V1872">
        <v>-3.9944849999999997E-2</v>
      </c>
      <c r="W1872">
        <v>0.10904169999999901</v>
      </c>
      <c r="X1872">
        <v>0.99323430000000001</v>
      </c>
      <c r="Y1872">
        <v>5.3101740000000001E-2</v>
      </c>
      <c r="Z1872">
        <v>1.7368220000000001E-3</v>
      </c>
      <c r="AA1872">
        <v>0.99858760000000002</v>
      </c>
      <c r="AB1872">
        <v>43</v>
      </c>
      <c r="AC1872">
        <v>-0.64150000000000695</v>
      </c>
      <c r="AD1872">
        <v>-0.106826799999999</v>
      </c>
      <c r="AE1872">
        <v>6.2999999999988093E-2</v>
      </c>
      <c r="AF1872">
        <v>5.5703909675644897E-2</v>
      </c>
      <c r="AG1872">
        <v>-0.106826799999999</v>
      </c>
      <c r="AH1872">
        <v>0.62487713361372199</v>
      </c>
      <c r="AI1872">
        <v>99.663706225674801</v>
      </c>
      <c r="AJ1872">
        <v>84.905902772180994</v>
      </c>
      <c r="AK1872">
        <v>0.63638535720481004</v>
      </c>
    </row>
    <row r="1873" spans="1:37" x14ac:dyDescent="0.2">
      <c r="A1873" t="str">
        <f>"20200111153644764"</f>
        <v>20200111153644764</v>
      </c>
      <c r="B1873" t="str">
        <f>"1578728204754917"</f>
        <v>1578728204754917</v>
      </c>
      <c r="C1873" t="s">
        <v>37</v>
      </c>
      <c r="D1873">
        <v>5.7018319999999996</v>
      </c>
      <c r="E1873">
        <v>0.55059559999999996</v>
      </c>
      <c r="F1873" t="s">
        <v>38</v>
      </c>
      <c r="G1873">
        <v>-324.73090000000002</v>
      </c>
      <c r="H1873">
        <v>0.98795309999999903</v>
      </c>
      <c r="I1873">
        <v>284.1918</v>
      </c>
      <c r="J1873">
        <v>-324.12670000000003</v>
      </c>
      <c r="K1873">
        <v>1.103335</v>
      </c>
      <c r="L1873">
        <v>284.1001</v>
      </c>
      <c r="M1873">
        <v>-0.99984099999999998</v>
      </c>
      <c r="N1873">
        <v>0</v>
      </c>
      <c r="O1873">
        <v>1.0417249999999999E-2</v>
      </c>
      <c r="P1873">
        <v>-0.99558570000000002</v>
      </c>
      <c r="Q1873">
        <v>8.9512359999999999E-2</v>
      </c>
      <c r="R1873">
        <v>-2.8226089999999999E-2</v>
      </c>
      <c r="S1873">
        <v>-3.056915</v>
      </c>
      <c r="T1873">
        <v>-0.34570400000000001</v>
      </c>
      <c r="U1873">
        <v>0.28820800000000002</v>
      </c>
      <c r="V1873">
        <v>-3.8229140000000002E-2</v>
      </c>
      <c r="W1873">
        <v>0.1040383</v>
      </c>
      <c r="X1873">
        <v>0.99383829999999995</v>
      </c>
      <c r="Y1873">
        <v>8.3028320000000003E-2</v>
      </c>
      <c r="Z1873">
        <v>3.4979049999999999E-3</v>
      </c>
      <c r="AA1873">
        <v>0.99654100000000001</v>
      </c>
      <c r="AB1873">
        <v>43</v>
      </c>
      <c r="AC1873">
        <v>-0.60419999999999097</v>
      </c>
      <c r="AD1873">
        <v>-0.1153819</v>
      </c>
      <c r="AE1873">
        <v>9.1700000000003001E-2</v>
      </c>
      <c r="AF1873">
        <v>8.2460777431002399E-2</v>
      </c>
      <c r="AG1873">
        <v>-0.1153819</v>
      </c>
      <c r="AH1873">
        <v>0.58429420154043499</v>
      </c>
      <c r="AI1873">
        <v>101.063714340537</v>
      </c>
      <c r="AJ1873">
        <v>81.966963611099899</v>
      </c>
      <c r="AK1873">
        <v>0.60125907611936302</v>
      </c>
    </row>
    <row r="1874" spans="1:37" x14ac:dyDescent="0.2">
      <c r="A1874" t="str">
        <f>"20200111153644787"</f>
        <v>20200111153644787</v>
      </c>
      <c r="B1874" t="str">
        <f>"1578728204774434"</f>
        <v>1578728204774434</v>
      </c>
      <c r="C1874" t="s">
        <v>37</v>
      </c>
      <c r="D1874">
        <v>5.6520760000000001</v>
      </c>
      <c r="E1874">
        <v>0.55454539999999997</v>
      </c>
      <c r="F1874" t="s">
        <v>38</v>
      </c>
      <c r="G1874">
        <v>-325.10309999999998</v>
      </c>
      <c r="H1874">
        <v>0.96359150000000005</v>
      </c>
      <c r="I1874">
        <v>284.20909999999998</v>
      </c>
      <c r="J1874">
        <v>-324.56</v>
      </c>
      <c r="K1874">
        <v>1.103237</v>
      </c>
      <c r="L1874">
        <v>284.10579999999999</v>
      </c>
      <c r="M1874">
        <v>-0.99982420000000005</v>
      </c>
      <c r="N1874">
        <v>0</v>
      </c>
      <c r="O1874">
        <v>1.1933320000000001E-2</v>
      </c>
      <c r="P1874">
        <v>-0.99608449999999904</v>
      </c>
      <c r="Q1874">
        <v>8.4708069999999996E-2</v>
      </c>
      <c r="R1874">
        <v>-2.5311630000000002E-2</v>
      </c>
      <c r="S1874">
        <v>-3.0623779999999998</v>
      </c>
      <c r="T1874">
        <v>-0.43824929999999901</v>
      </c>
      <c r="U1874">
        <v>0.34140009999999998</v>
      </c>
      <c r="V1874">
        <v>-3.6830769999999999E-2</v>
      </c>
      <c r="W1874">
        <v>9.9240529999999993E-2</v>
      </c>
      <c r="X1874">
        <v>0.99438159999999898</v>
      </c>
      <c r="Y1874">
        <v>9.8060240000000007E-2</v>
      </c>
      <c r="Z1874">
        <v>5.2659919999999997E-3</v>
      </c>
      <c r="AA1874">
        <v>0.99516649999999995</v>
      </c>
      <c r="AB1874">
        <v>43</v>
      </c>
      <c r="AC1874">
        <v>-0.54309999999998104</v>
      </c>
      <c r="AD1874">
        <v>-0.13964549999999901</v>
      </c>
      <c r="AE1874">
        <v>0.10329999999999</v>
      </c>
      <c r="AF1874">
        <v>9.1004373731426003E-2</v>
      </c>
      <c r="AG1874">
        <v>-0.13964549999999901</v>
      </c>
      <c r="AH1874">
        <v>0.51164805683449099</v>
      </c>
      <c r="AI1874">
        <v>105.040945577044</v>
      </c>
      <c r="AJ1874">
        <v>79.914547728137507</v>
      </c>
      <c r="AK1874">
        <v>0.53811373869379098</v>
      </c>
    </row>
    <row r="1875" spans="1:37" x14ac:dyDescent="0.2">
      <c r="A1875" t="str">
        <f>"20200111153644810"</f>
        <v>20200111153644810</v>
      </c>
      <c r="B1875" t="str">
        <f>"1578728204804223"</f>
        <v>1578728204804223</v>
      </c>
      <c r="C1875" t="s">
        <v>37</v>
      </c>
      <c r="D1875">
        <v>5.7541019999999996</v>
      </c>
      <c r="E1875">
        <v>0.56166389999999999</v>
      </c>
      <c r="F1875" t="s">
        <v>38</v>
      </c>
      <c r="G1875">
        <v>-325.47730000000001</v>
      </c>
      <c r="H1875">
        <v>0.94336690000000001</v>
      </c>
      <c r="I1875">
        <v>284.221</v>
      </c>
      <c r="J1875">
        <v>-324.99669999999998</v>
      </c>
      <c r="K1875">
        <v>1.103154</v>
      </c>
      <c r="L1875">
        <v>284.11219999999997</v>
      </c>
      <c r="M1875">
        <v>-0.99980460000000004</v>
      </c>
      <c r="N1875">
        <v>0</v>
      </c>
      <c r="O1875">
        <v>1.3476770000000001E-2</v>
      </c>
      <c r="P1875">
        <v>-0.99653040000000004</v>
      </c>
      <c r="Q1875">
        <v>8.0245419999999998E-2</v>
      </c>
      <c r="R1875">
        <v>-2.208808E-2</v>
      </c>
      <c r="S1875">
        <v>-3.066986</v>
      </c>
      <c r="T1875">
        <v>-0.53453839999999997</v>
      </c>
      <c r="U1875">
        <v>0.38427729999999999</v>
      </c>
      <c r="V1875">
        <v>-3.5154739999999997E-2</v>
      </c>
      <c r="W1875">
        <v>9.4780829999999996E-2</v>
      </c>
      <c r="X1875">
        <v>0.99487719999999902</v>
      </c>
      <c r="Y1875">
        <v>0.109513</v>
      </c>
      <c r="Z1875">
        <v>7.1138319999999996E-3</v>
      </c>
      <c r="AA1875">
        <v>0.99395990000000001</v>
      </c>
      <c r="AB1875">
        <v>43</v>
      </c>
      <c r="AC1875">
        <v>-0.480600000000038</v>
      </c>
      <c r="AD1875">
        <v>-0.15978709999999999</v>
      </c>
      <c r="AE1875">
        <v>0.10880000000003</v>
      </c>
      <c r="AF1875">
        <v>9.2577918366285497E-2</v>
      </c>
      <c r="AG1875">
        <v>-0.15978709999999999</v>
      </c>
      <c r="AH1875">
        <v>0.43616041952629703</v>
      </c>
      <c r="AI1875">
        <v>109.715933722513</v>
      </c>
      <c r="AJ1875">
        <v>78.016445786957206</v>
      </c>
      <c r="AK1875">
        <v>0.473643853392821</v>
      </c>
    </row>
    <row r="1876" spans="1:37" x14ac:dyDescent="0.2">
      <c r="A1876" t="str">
        <f>"20200111153644832"</f>
        <v>20200111153644832</v>
      </c>
      <c r="B1876" t="str">
        <f>"1578728204824721"</f>
        <v>1578728204824721</v>
      </c>
      <c r="C1876" t="s">
        <v>37</v>
      </c>
      <c r="D1876">
        <v>5.7143879999999996</v>
      </c>
      <c r="E1876">
        <v>0.56201259999999997</v>
      </c>
      <c r="F1876" t="s">
        <v>38</v>
      </c>
      <c r="G1876">
        <v>-325.82990000000001</v>
      </c>
      <c r="H1876">
        <v>0.87410880000000002</v>
      </c>
      <c r="I1876">
        <v>284.23660000000001</v>
      </c>
      <c r="J1876">
        <v>-325.4289</v>
      </c>
      <c r="K1876">
        <v>1.103094</v>
      </c>
      <c r="L1876">
        <v>284.11939999999998</v>
      </c>
      <c r="M1876">
        <v>-0.99978289999999903</v>
      </c>
      <c r="N1876">
        <v>0</v>
      </c>
      <c r="O1876">
        <v>1.5009089999999999E-2</v>
      </c>
      <c r="P1876">
        <v>-0.99674580000000002</v>
      </c>
      <c r="Q1876">
        <v>7.8280489999999994E-2</v>
      </c>
      <c r="R1876">
        <v>-1.9243670000000001E-2</v>
      </c>
      <c r="S1876">
        <v>-3.0890499999999999</v>
      </c>
      <c r="T1876">
        <v>-0.84920260000000003</v>
      </c>
      <c r="U1876">
        <v>0.46105959999999901</v>
      </c>
      <c r="V1876">
        <v>-3.383887E-2</v>
      </c>
      <c r="W1876">
        <v>9.2814480000000005E-2</v>
      </c>
      <c r="X1876">
        <v>0.9951082</v>
      </c>
      <c r="Y1876">
        <v>0.12863519999999901</v>
      </c>
      <c r="Z1876">
        <v>1.323977E-2</v>
      </c>
      <c r="AA1876">
        <v>0.99160360000000003</v>
      </c>
      <c r="AB1876">
        <v>43</v>
      </c>
      <c r="AC1876">
        <v>-0.40100000000001002</v>
      </c>
      <c r="AD1876">
        <v>-0.2289852</v>
      </c>
      <c r="AE1876">
        <v>0.11720000000002501</v>
      </c>
      <c r="AF1876">
        <v>8.5485910843074706E-2</v>
      </c>
      <c r="AG1876">
        <v>-0.2289852</v>
      </c>
      <c r="AH1876">
        <v>0.30968018840776101</v>
      </c>
      <c r="AI1876">
        <v>125.47999625536499</v>
      </c>
      <c r="AJ1876">
        <v>74.5680573563465</v>
      </c>
      <c r="AK1876">
        <v>0.39451727701581901</v>
      </c>
    </row>
    <row r="1877" spans="1:37" x14ac:dyDescent="0.2">
      <c r="A1877" t="str">
        <f>"20200111153644853"</f>
        <v>20200111153644853</v>
      </c>
      <c r="B1877" t="str">
        <f>"1578728204844241"</f>
        <v>1578728204844241</v>
      </c>
      <c r="C1877" t="s">
        <v>37</v>
      </c>
      <c r="D1877">
        <v>5.7525570000000004</v>
      </c>
      <c r="E1877">
        <v>0.5619478</v>
      </c>
      <c r="F1877" t="s">
        <v>38</v>
      </c>
      <c r="G1877">
        <v>-326.22250000000003</v>
      </c>
      <c r="H1877">
        <v>0.89609689999999997</v>
      </c>
      <c r="I1877">
        <v>284.24119999999999</v>
      </c>
      <c r="J1877">
        <v>-325.84359999999998</v>
      </c>
      <c r="K1877">
        <v>1.103064</v>
      </c>
      <c r="L1877">
        <v>284.1268</v>
      </c>
      <c r="M1877">
        <v>-0.99975979999999998</v>
      </c>
      <c r="N1877">
        <v>0</v>
      </c>
      <c r="O1877">
        <v>1.6476890000000001E-2</v>
      </c>
      <c r="P1877">
        <v>-0.99674050000000003</v>
      </c>
      <c r="Q1877">
        <v>7.8980599999999998E-2</v>
      </c>
      <c r="R1877">
        <v>-1.6451629999999998E-2</v>
      </c>
      <c r="S1877">
        <v>-3.082001</v>
      </c>
      <c r="T1877">
        <v>-0.80369099999999905</v>
      </c>
      <c r="U1877">
        <v>0.47228999999999999</v>
      </c>
      <c r="V1877">
        <v>-3.2500040000000001E-2</v>
      </c>
      <c r="W1877">
        <v>9.3509079999999994E-2</v>
      </c>
      <c r="X1877">
        <v>0.99508790000000003</v>
      </c>
      <c r="Y1877">
        <v>0.1314099</v>
      </c>
      <c r="Z1877">
        <v>1.2557270000000001E-2</v>
      </c>
      <c r="AA1877">
        <v>0.99124859999999904</v>
      </c>
      <c r="AB1877">
        <v>43</v>
      </c>
      <c r="AC1877">
        <v>-0.37890000000004398</v>
      </c>
      <c r="AD1877">
        <v>-0.20696709999999999</v>
      </c>
      <c r="AE1877">
        <v>0.114399999999989</v>
      </c>
      <c r="AF1877">
        <v>8.4920025560544593E-2</v>
      </c>
      <c r="AG1877">
        <v>-0.20696709999999999</v>
      </c>
      <c r="AH1877">
        <v>0.29898003013616098</v>
      </c>
      <c r="AI1877">
        <v>123.65980914391</v>
      </c>
      <c r="AJ1877">
        <v>74.143733970301298</v>
      </c>
      <c r="AK1877">
        <v>0.37341110005439399</v>
      </c>
    </row>
    <row r="1878" spans="1:37" x14ac:dyDescent="0.2">
      <c r="A1878" t="str">
        <f>"20200111153644876"</f>
        <v>20200111153644876</v>
      </c>
      <c r="B1878" t="str">
        <f>"1578728204864734"</f>
        <v>1578728204864734</v>
      </c>
      <c r="C1878" t="s">
        <v>37</v>
      </c>
      <c r="D1878">
        <v>5.7673759999999996</v>
      </c>
      <c r="E1878">
        <v>0.56070520000000001</v>
      </c>
      <c r="F1878" t="s">
        <v>38</v>
      </c>
      <c r="G1878">
        <v>-326.61329999999998</v>
      </c>
      <c r="H1878">
        <v>0.91358200000000001</v>
      </c>
      <c r="I1878">
        <v>284.2466</v>
      </c>
      <c r="J1878">
        <v>-326.27670000000001</v>
      </c>
      <c r="K1878">
        <v>1.103048</v>
      </c>
      <c r="L1878">
        <v>284.13510000000002</v>
      </c>
      <c r="M1878">
        <v>-0.99973349999999905</v>
      </c>
      <c r="N1878">
        <v>0</v>
      </c>
      <c r="O1878">
        <v>1.8001619999999999E-2</v>
      </c>
      <c r="P1878">
        <v>-0.99665000000000004</v>
      </c>
      <c r="Q1878">
        <v>8.0600889999999994E-2</v>
      </c>
      <c r="R1878">
        <v>-1.387119E-2</v>
      </c>
      <c r="S1878">
        <v>-3.0777589999999999</v>
      </c>
      <c r="T1878">
        <v>-0.75763069999999999</v>
      </c>
      <c r="U1878">
        <v>0.47924799999999901</v>
      </c>
      <c r="V1878">
        <v>-3.1426160000000002E-2</v>
      </c>
      <c r="W1878">
        <v>9.5122620000000005E-2</v>
      </c>
      <c r="X1878">
        <v>0.9949694</v>
      </c>
      <c r="Y1878">
        <v>0.1327033</v>
      </c>
      <c r="Z1878">
        <v>1.166094E-2</v>
      </c>
      <c r="AA1878">
        <v>0.99108719999999995</v>
      </c>
      <c r="AB1878">
        <v>43</v>
      </c>
      <c r="AC1878">
        <v>-0.33659999999997497</v>
      </c>
      <c r="AD1878">
        <v>-0.189466</v>
      </c>
      <c r="AE1878">
        <v>0.11149999999997801</v>
      </c>
      <c r="AF1878">
        <v>8.2008044731211399E-2</v>
      </c>
      <c r="AG1878">
        <v>-0.189466</v>
      </c>
      <c r="AH1878">
        <v>0.26336124490527701</v>
      </c>
      <c r="AI1878">
        <v>124.484543056021</v>
      </c>
      <c r="AJ1878">
        <v>72.703936403477101</v>
      </c>
      <c r="AK1878">
        <v>0.33463686269551002</v>
      </c>
    </row>
    <row r="1879" spans="1:37" x14ac:dyDescent="0.2">
      <c r="A1879" t="str">
        <f>"20200111153644897"</f>
        <v>20200111153644897</v>
      </c>
      <c r="B1879" t="str">
        <f>"1578728204894990"</f>
        <v>1578728204894990</v>
      </c>
      <c r="C1879" t="s">
        <v>37</v>
      </c>
      <c r="D1879">
        <v>5.7596600000000002</v>
      </c>
      <c r="E1879">
        <v>0.55996250000000003</v>
      </c>
      <c r="F1879" t="s">
        <v>38</v>
      </c>
      <c r="G1879">
        <v>-327.00330000000002</v>
      </c>
      <c r="H1879">
        <v>0.92917939999999999</v>
      </c>
      <c r="I1879">
        <v>284.24779999999998</v>
      </c>
      <c r="J1879">
        <v>-326.68950000000001</v>
      </c>
      <c r="K1879">
        <v>1.103046</v>
      </c>
      <c r="L1879">
        <v>284.14370000000002</v>
      </c>
      <c r="M1879">
        <v>-0.9997064</v>
      </c>
      <c r="N1879">
        <v>0</v>
      </c>
      <c r="O1879">
        <v>1.944398E-2</v>
      </c>
      <c r="P1879">
        <v>-0.99663789999999997</v>
      </c>
      <c r="Q1879">
        <v>8.1152139999999998E-2</v>
      </c>
      <c r="R1879">
        <v>-1.1274360000000001E-2</v>
      </c>
      <c r="S1879">
        <v>-3.0762330000000002</v>
      </c>
      <c r="T1879">
        <v>-0.73609469999999899</v>
      </c>
      <c r="U1879">
        <v>0.47546389999999999</v>
      </c>
      <c r="V1879">
        <v>-3.0261699999999999E-2</v>
      </c>
      <c r="W1879">
        <v>9.5667530000000001E-2</v>
      </c>
      <c r="X1879">
        <v>0.99495319999999898</v>
      </c>
      <c r="Y1879">
        <v>0.130441</v>
      </c>
      <c r="Z1879">
        <v>1.074141E-2</v>
      </c>
      <c r="AA1879">
        <v>0.99139789999999905</v>
      </c>
      <c r="AB1879">
        <v>43</v>
      </c>
      <c r="AC1879">
        <v>-0.31380000000001401</v>
      </c>
      <c r="AD1879">
        <v>-0.17386659999999901</v>
      </c>
      <c r="AE1879">
        <v>0.104099999999959</v>
      </c>
      <c r="AF1879">
        <v>7.6751935378358602E-2</v>
      </c>
      <c r="AG1879">
        <v>-0.17386659999999901</v>
      </c>
      <c r="AH1879">
        <v>0.24735691228262599</v>
      </c>
      <c r="AI1879">
        <v>123.87437526530501</v>
      </c>
      <c r="AJ1879">
        <v>72.761499220501804</v>
      </c>
      <c r="AK1879">
        <v>0.31193893029546399</v>
      </c>
    </row>
    <row r="1880" spans="1:37" x14ac:dyDescent="0.2">
      <c r="A1880" t="str">
        <f>"20200111153644921"</f>
        <v>20200111153644921</v>
      </c>
      <c r="B1880" t="str">
        <f>"1578728204914510"</f>
        <v>1578728204914510</v>
      </c>
      <c r="C1880" t="s">
        <v>37</v>
      </c>
      <c r="D1880">
        <v>5.7314400000000001</v>
      </c>
      <c r="E1880">
        <v>0.56089199999999995</v>
      </c>
      <c r="F1880" t="s">
        <v>38</v>
      </c>
      <c r="G1880">
        <v>-327.3886</v>
      </c>
      <c r="H1880">
        <v>0.935423</v>
      </c>
      <c r="I1880">
        <v>284.25209999999998</v>
      </c>
      <c r="J1880">
        <v>-327.13049999999998</v>
      </c>
      <c r="K1880">
        <v>1.1030530000000001</v>
      </c>
      <c r="L1880">
        <v>284.15359999999998</v>
      </c>
      <c r="M1880">
        <v>-0.999675599999999</v>
      </c>
      <c r="N1880">
        <v>0</v>
      </c>
      <c r="O1880">
        <v>2.0972210000000002E-2</v>
      </c>
      <c r="P1880">
        <v>-0.99667549999999905</v>
      </c>
      <c r="Q1880">
        <v>8.0965170000000003E-2</v>
      </c>
      <c r="R1880">
        <v>-9.0924660000000004E-3</v>
      </c>
      <c r="S1880">
        <v>-3.0755619999999899</v>
      </c>
      <c r="T1880">
        <v>-0.73752629999999997</v>
      </c>
      <c r="U1880">
        <v>0.47680659999999903</v>
      </c>
      <c r="V1880">
        <v>-2.9603259999999999E-2</v>
      </c>
      <c r="W1880">
        <v>9.5475779999999996E-2</v>
      </c>
      <c r="X1880">
        <v>0.99499150000000003</v>
      </c>
      <c r="Y1880">
        <v>0.12943869999999999</v>
      </c>
      <c r="Z1880">
        <v>1.028683E-2</v>
      </c>
      <c r="AA1880">
        <v>0.99153409999999997</v>
      </c>
      <c r="AB1880">
        <v>43</v>
      </c>
      <c r="AC1880">
        <v>-0.25810000000001299</v>
      </c>
      <c r="AD1880">
        <v>-0.16763</v>
      </c>
      <c r="AE1880">
        <v>9.8500000000001295E-2</v>
      </c>
      <c r="AF1880">
        <v>6.8020181334424196E-2</v>
      </c>
      <c r="AG1880">
        <v>-0.16763</v>
      </c>
      <c r="AH1880">
        <v>0.19011127316655699</v>
      </c>
      <c r="AI1880">
        <v>129.69970169455999</v>
      </c>
      <c r="AJ1880">
        <v>70.3132266905736</v>
      </c>
      <c r="AK1880">
        <v>0.26242876777094598</v>
      </c>
    </row>
    <row r="1881" spans="1:37" x14ac:dyDescent="0.2">
      <c r="A1881" t="str">
        <f>"20200111153644943"</f>
        <v>20200111153644943</v>
      </c>
      <c r="B1881" t="str">
        <f>"1578728204935009"</f>
        <v>1578728204935009</v>
      </c>
      <c r="C1881" t="s">
        <v>37</v>
      </c>
      <c r="D1881">
        <v>5.7437509999999996</v>
      </c>
      <c r="E1881">
        <v>0.57882389999999995</v>
      </c>
      <c r="F1881" t="s">
        <v>38</v>
      </c>
      <c r="G1881">
        <v>-328.12</v>
      </c>
      <c r="H1881">
        <v>0.86015830000000004</v>
      </c>
      <c r="I1881">
        <v>284.31150000000002</v>
      </c>
      <c r="J1881">
        <v>-327.56180000000001</v>
      </c>
      <c r="K1881">
        <v>1.1030719999999901</v>
      </c>
      <c r="L1881">
        <v>284.16379999999998</v>
      </c>
      <c r="M1881">
        <v>-0.99964339999999996</v>
      </c>
      <c r="N1881">
        <v>0</v>
      </c>
      <c r="O1881">
        <v>2.245569E-2</v>
      </c>
      <c r="P1881">
        <v>-0.99667790000000001</v>
      </c>
      <c r="Q1881">
        <v>8.1130460000000001E-2</v>
      </c>
      <c r="R1881">
        <v>-7.1489259999999999E-3</v>
      </c>
      <c r="S1881">
        <v>-3.0758359999999998</v>
      </c>
      <c r="T1881">
        <v>-0.75508989999999998</v>
      </c>
      <c r="U1881">
        <v>0.49078369999999999</v>
      </c>
      <c r="V1881">
        <v>-2.9137369999999999E-2</v>
      </c>
      <c r="W1881">
        <v>9.5637169999999994E-2</v>
      </c>
      <c r="X1881">
        <v>0.99498969999999898</v>
      </c>
      <c r="Y1881">
        <v>0.1321754</v>
      </c>
      <c r="Z1881">
        <v>1.0493199999999999E-2</v>
      </c>
      <c r="AA1881">
        <v>0.99117080000000002</v>
      </c>
      <c r="AB1881">
        <v>43</v>
      </c>
      <c r="AC1881">
        <v>-0.55819999999999903</v>
      </c>
      <c r="AD1881">
        <v>-0.24291369999999901</v>
      </c>
      <c r="AE1881">
        <v>0.14770000000004299</v>
      </c>
      <c r="AF1881">
        <v>0.11480752546136801</v>
      </c>
      <c r="AG1881">
        <v>-0.24291369999999901</v>
      </c>
      <c r="AH1881">
        <v>0.47696149509991598</v>
      </c>
      <c r="AI1881">
        <v>116.34239165944901</v>
      </c>
      <c r="AJ1881">
        <v>76.4660214884032</v>
      </c>
      <c r="AK1881">
        <v>0.54743045344426999</v>
      </c>
    </row>
    <row r="1882" spans="1:37" x14ac:dyDescent="0.2">
      <c r="A1882" t="str">
        <f>"20200111153644965"</f>
        <v>20200111153644965</v>
      </c>
      <c r="B1882" t="str">
        <f>"1578728204954526"</f>
        <v>1578728204954526</v>
      </c>
      <c r="C1882" t="s">
        <v>37</v>
      </c>
      <c r="D1882">
        <v>5.727144</v>
      </c>
      <c r="E1882">
        <v>0.57751909999999995</v>
      </c>
      <c r="F1882" t="s">
        <v>38</v>
      </c>
      <c r="G1882">
        <v>-328.48880000000003</v>
      </c>
      <c r="H1882">
        <v>0.82803309999999997</v>
      </c>
      <c r="I1882">
        <v>284.3578</v>
      </c>
      <c r="J1882">
        <v>-327.9701</v>
      </c>
      <c r="K1882">
        <v>1.1031059999999999</v>
      </c>
      <c r="L1882">
        <v>284.17419999999998</v>
      </c>
      <c r="M1882">
        <v>-0.99961129999999998</v>
      </c>
      <c r="N1882">
        <v>0</v>
      </c>
      <c r="O1882">
        <v>2.3852780000000001E-2</v>
      </c>
      <c r="P1882">
        <v>-0.99674459999999998</v>
      </c>
      <c r="Q1882">
        <v>8.0397140000000006E-2</v>
      </c>
      <c r="R1882">
        <v>-6.0507059999999899E-3</v>
      </c>
      <c r="S1882">
        <v>-3.0892330000000001</v>
      </c>
      <c r="T1882">
        <v>-0.91641399999999995</v>
      </c>
      <c r="U1882">
        <v>0.64495849999999999</v>
      </c>
      <c r="V1882">
        <v>-2.9435969999999999E-2</v>
      </c>
      <c r="W1882">
        <v>9.4903310000000005E-2</v>
      </c>
      <c r="X1882">
        <v>0.99505119999999903</v>
      </c>
      <c r="Y1882">
        <v>0.1747349</v>
      </c>
      <c r="Z1882">
        <v>1.8263290000000001E-2</v>
      </c>
      <c r="AA1882">
        <v>0.98444609999999899</v>
      </c>
      <c r="AB1882">
        <v>43</v>
      </c>
      <c r="AC1882">
        <v>-0.51870000000002303</v>
      </c>
      <c r="AD1882">
        <v>-0.27507289999999901</v>
      </c>
      <c r="AE1882">
        <v>0.183600000000012</v>
      </c>
      <c r="AF1882">
        <v>0.136948108947549</v>
      </c>
      <c r="AG1882">
        <v>-0.27507289999999901</v>
      </c>
      <c r="AH1882">
        <v>0.418372926445506</v>
      </c>
      <c r="AI1882">
        <v>121.999533235318</v>
      </c>
      <c r="AJ1882">
        <v>71.874916156291604</v>
      </c>
      <c r="AK1882">
        <v>0.51909131223831595</v>
      </c>
    </row>
    <row r="1883" spans="1:37" x14ac:dyDescent="0.2">
      <c r="A1883" t="str">
        <f>"20200111153644987"</f>
        <v>20200111153644987</v>
      </c>
      <c r="B1883" t="str">
        <f>"1578728204984784"</f>
        <v>1578728204984784</v>
      </c>
      <c r="C1883" t="s">
        <v>37</v>
      </c>
      <c r="D1883">
        <v>5.7555180000000004</v>
      </c>
      <c r="E1883">
        <v>0.57546200000000003</v>
      </c>
      <c r="F1883" t="s">
        <v>38</v>
      </c>
      <c r="G1883">
        <v>-328.87220000000002</v>
      </c>
      <c r="H1883">
        <v>0.83377809999999897</v>
      </c>
      <c r="I1883">
        <v>284.36090000000002</v>
      </c>
      <c r="J1883">
        <v>-328.39350000000002</v>
      </c>
      <c r="K1883">
        <v>1.1031569999999999</v>
      </c>
      <c r="L1883">
        <v>284.18549999999999</v>
      </c>
      <c r="M1883">
        <v>-0.99957569999999996</v>
      </c>
      <c r="N1883">
        <v>0</v>
      </c>
      <c r="O1883">
        <v>2.529611E-2</v>
      </c>
      <c r="P1883">
        <v>-0.9967549</v>
      </c>
      <c r="Q1883">
        <v>8.0246860000000003E-2</v>
      </c>
      <c r="R1883">
        <v>-6.3473089999999998E-3</v>
      </c>
      <c r="S1883">
        <v>-3.0880429999999999</v>
      </c>
      <c r="T1883">
        <v>-0.92195309999999897</v>
      </c>
      <c r="U1883">
        <v>0.63903809999999905</v>
      </c>
      <c r="V1883">
        <v>-3.1172479999999999E-2</v>
      </c>
      <c r="W1883">
        <v>9.475712E-2</v>
      </c>
      <c r="X1883">
        <v>0.99501219999999901</v>
      </c>
      <c r="Y1883">
        <v>0.17168720000000001</v>
      </c>
      <c r="Z1883">
        <v>1.75213E-2</v>
      </c>
      <c r="AA1883">
        <v>0.98499570000000003</v>
      </c>
      <c r="AB1883">
        <v>43</v>
      </c>
      <c r="AC1883">
        <v>-0.47870000000000301</v>
      </c>
      <c r="AD1883">
        <v>-0.26937889999999998</v>
      </c>
      <c r="AE1883">
        <v>0.17540000000002401</v>
      </c>
      <c r="AF1883">
        <v>0.127607478328852</v>
      </c>
      <c r="AG1883">
        <v>-0.26937889999999998</v>
      </c>
      <c r="AH1883">
        <v>0.37757231567001998</v>
      </c>
      <c r="AI1883">
        <v>124.054455100144</v>
      </c>
      <c r="AJ1883">
        <v>71.326376171842497</v>
      </c>
      <c r="AK1883">
        <v>0.48105042755524102</v>
      </c>
    </row>
    <row r="1884" spans="1:37" x14ac:dyDescent="0.2">
      <c r="A1884" t="str">
        <f>"20200111153645010"</f>
        <v>20200111153645010</v>
      </c>
      <c r="B1884" t="str">
        <f>"1578728205004810"</f>
        <v>1578728205004810</v>
      </c>
      <c r="C1884" t="s">
        <v>37</v>
      </c>
      <c r="D1884">
        <v>5.7209079999999997</v>
      </c>
      <c r="E1884">
        <v>0.57557130000000001</v>
      </c>
      <c r="F1884" t="s">
        <v>38</v>
      </c>
      <c r="G1884">
        <v>-329.25799999999998</v>
      </c>
      <c r="H1884">
        <v>0.84616029999999998</v>
      </c>
      <c r="I1884">
        <v>284.35989999999998</v>
      </c>
      <c r="J1884">
        <v>-328.8356</v>
      </c>
      <c r="K1884">
        <v>1.103199</v>
      </c>
      <c r="L1884">
        <v>284.19799999999998</v>
      </c>
      <c r="M1884">
        <v>-0.9995366</v>
      </c>
      <c r="N1884">
        <v>0</v>
      </c>
      <c r="O1884">
        <v>2.6799570000000002E-2</v>
      </c>
      <c r="P1884">
        <v>-0.99664959999999903</v>
      </c>
      <c r="Q1884">
        <v>8.1513080000000002E-2</v>
      </c>
      <c r="R1884">
        <v>-6.7537730000000002E-3</v>
      </c>
      <c r="S1884">
        <v>-3.0876459999999999</v>
      </c>
      <c r="T1884">
        <v>-0.91774959999999906</v>
      </c>
      <c r="U1884">
        <v>0.62222290000000002</v>
      </c>
      <c r="V1884">
        <v>-3.3069059999999997E-2</v>
      </c>
      <c r="W1884">
        <v>9.6025879999999994E-2</v>
      </c>
      <c r="X1884">
        <v>0.99482939999999997</v>
      </c>
      <c r="Y1884">
        <v>0.165445799999999</v>
      </c>
      <c r="Z1884">
        <v>1.6123309999999998E-2</v>
      </c>
      <c r="AA1884">
        <v>0.98608709999999899</v>
      </c>
      <c r="AB1884">
        <v>43</v>
      </c>
      <c r="AC1884">
        <v>-0.42240000000003802</v>
      </c>
      <c r="AD1884">
        <v>-0.25703869999999901</v>
      </c>
      <c r="AE1884">
        <v>0.16190000000000199</v>
      </c>
      <c r="AF1884">
        <v>0.113783759523113</v>
      </c>
      <c r="AG1884">
        <v>-0.25703869999999901</v>
      </c>
      <c r="AH1884">
        <v>0.32247255033001399</v>
      </c>
      <c r="AI1884">
        <v>126.930991305259</v>
      </c>
      <c r="AJ1884">
        <v>70.5647180913368</v>
      </c>
      <c r="AK1884">
        <v>0.42778988177053401</v>
      </c>
    </row>
    <row r="1885" spans="1:37" x14ac:dyDescent="0.2">
      <c r="A1885" t="str">
        <f>"20200111153645034"</f>
        <v>20200111153645034</v>
      </c>
      <c r="B1885" t="str">
        <f>"1578728205024330"</f>
        <v>1578728205024330</v>
      </c>
      <c r="C1885" t="s">
        <v>37</v>
      </c>
      <c r="D1885">
        <v>5.7297669999999998</v>
      </c>
      <c r="E1885">
        <v>0.57568339999999996</v>
      </c>
      <c r="F1885" t="s">
        <v>38</v>
      </c>
      <c r="G1885">
        <v>-329.6454</v>
      </c>
      <c r="H1885">
        <v>0.86285809999999996</v>
      </c>
      <c r="I1885">
        <v>284.3614</v>
      </c>
      <c r="J1885">
        <v>-329.27330000000001</v>
      </c>
      <c r="K1885">
        <v>1.103235</v>
      </c>
      <c r="L1885">
        <v>284.21089999999998</v>
      </c>
      <c r="M1885">
        <v>-0.99949569999999999</v>
      </c>
      <c r="N1885">
        <v>0</v>
      </c>
      <c r="O1885">
        <v>2.8287099999999999E-2</v>
      </c>
      <c r="P1885">
        <v>-0.99645479999999997</v>
      </c>
      <c r="Q1885">
        <v>8.3718829999999994E-2</v>
      </c>
      <c r="R1885">
        <v>-8.3311169999999903E-3</v>
      </c>
      <c r="S1885">
        <v>-3.089264</v>
      </c>
      <c r="T1885">
        <v>-0.91673780000000005</v>
      </c>
      <c r="U1885">
        <v>0.62246699999999999</v>
      </c>
      <c r="V1885">
        <v>-3.6113649999999997E-2</v>
      </c>
      <c r="W1885">
        <v>9.8236959999999998E-2</v>
      </c>
      <c r="X1885">
        <v>0.99450759999999905</v>
      </c>
      <c r="Y1885">
        <v>0.16409070000000001</v>
      </c>
      <c r="Z1885">
        <v>1.547579E-2</v>
      </c>
      <c r="AA1885">
        <v>0.98632379999999997</v>
      </c>
      <c r="AB1885">
        <v>43</v>
      </c>
      <c r="AC1885">
        <v>-0.372099999999989</v>
      </c>
      <c r="AD1885">
        <v>-0.2403769</v>
      </c>
      <c r="AE1885">
        <v>0.15050000000002201</v>
      </c>
      <c r="AF1885">
        <v>0.10297972249842401</v>
      </c>
      <c r="AG1885">
        <v>-0.2403769</v>
      </c>
      <c r="AH1885">
        <v>0.276899639679062</v>
      </c>
      <c r="AI1885">
        <v>129.13366304963</v>
      </c>
      <c r="AJ1885">
        <v>69.599696506550103</v>
      </c>
      <c r="AK1885">
        <v>0.38086649597182598</v>
      </c>
    </row>
    <row r="1886" spans="1:37" x14ac:dyDescent="0.2">
      <c r="A1886" t="str">
        <f>"20200111153645054"</f>
        <v>20200111153645054</v>
      </c>
      <c r="B1886" t="str">
        <f>"1578728205044826"</f>
        <v>1578728205044826</v>
      </c>
      <c r="C1886" t="s">
        <v>37</v>
      </c>
      <c r="D1886">
        <v>5.8042150000000001</v>
      </c>
      <c r="E1886">
        <v>0.57571490000000003</v>
      </c>
      <c r="F1886" t="s">
        <v>38</v>
      </c>
      <c r="G1886">
        <v>-330.03269999999998</v>
      </c>
      <c r="H1886">
        <v>0.87976109999999896</v>
      </c>
      <c r="I1886">
        <v>284.36340000000001</v>
      </c>
      <c r="J1886">
        <v>-329.67630000000003</v>
      </c>
      <c r="K1886">
        <v>1.103261</v>
      </c>
      <c r="L1886">
        <v>284.22340000000003</v>
      </c>
      <c r="M1886">
        <v>-0.99945599999999901</v>
      </c>
      <c r="N1886">
        <v>0</v>
      </c>
      <c r="O1886">
        <v>2.9655899999999999E-2</v>
      </c>
      <c r="P1886">
        <v>-0.99641299999999899</v>
      </c>
      <c r="Q1886">
        <v>8.4032799999999894E-2</v>
      </c>
      <c r="R1886">
        <v>-1.000814E-2</v>
      </c>
      <c r="S1886">
        <v>-3.092285</v>
      </c>
      <c r="T1886">
        <v>-0.90992700000000004</v>
      </c>
      <c r="U1886">
        <v>0.61926269999999894</v>
      </c>
      <c r="V1886">
        <v>-3.915196E-2</v>
      </c>
      <c r="W1886">
        <v>9.8558679999999996E-2</v>
      </c>
      <c r="X1886">
        <v>0.99436069999999999</v>
      </c>
      <c r="Y1886">
        <v>0.16181089999999901</v>
      </c>
      <c r="Z1886">
        <v>1.463712E-2</v>
      </c>
      <c r="AA1886">
        <v>0.98671319999999996</v>
      </c>
      <c r="AB1886">
        <v>43</v>
      </c>
      <c r="AC1886">
        <v>-0.35639999999995098</v>
      </c>
      <c r="AD1886">
        <v>-0.2234999</v>
      </c>
      <c r="AE1886">
        <v>0.139999999999986</v>
      </c>
      <c r="AF1886">
        <v>9.6493601156733402E-2</v>
      </c>
      <c r="AG1886">
        <v>-0.2234999</v>
      </c>
      <c r="AH1886">
        <v>0.26881354633034499</v>
      </c>
      <c r="AI1886">
        <v>128.04466104794699</v>
      </c>
      <c r="AJ1886">
        <v>70.2538373292778</v>
      </c>
      <c r="AK1886">
        <v>0.36266229891581198</v>
      </c>
    </row>
    <row r="1887" spans="1:37" x14ac:dyDescent="0.2">
      <c r="A1887" t="str">
        <f>"20200111153645077"</f>
        <v>20200111153645077</v>
      </c>
      <c r="B1887" t="str">
        <f>"1578728205075081"</f>
        <v>1578728205075081</v>
      </c>
      <c r="C1887" t="s">
        <v>37</v>
      </c>
      <c r="D1887">
        <v>5.8144450000000001</v>
      </c>
      <c r="E1887">
        <v>0.57982809999999996</v>
      </c>
      <c r="F1887" t="s">
        <v>38</v>
      </c>
      <c r="G1887">
        <v>-330.41550000000001</v>
      </c>
      <c r="H1887">
        <v>0.88682890000000003</v>
      </c>
      <c r="I1887">
        <v>284.37060000000002</v>
      </c>
      <c r="J1887">
        <v>-330.09750000000003</v>
      </c>
      <c r="K1887">
        <v>1.1032789999999999</v>
      </c>
      <c r="L1887">
        <v>284.2371</v>
      </c>
      <c r="M1887">
        <v>-0.99941259999999998</v>
      </c>
      <c r="N1887">
        <v>0</v>
      </c>
      <c r="O1887">
        <v>3.1087569999999998E-2</v>
      </c>
      <c r="P1887">
        <v>-0.99638230000000005</v>
      </c>
      <c r="Q1887">
        <v>8.4243999999999999E-2</v>
      </c>
      <c r="R1887">
        <v>-1.12181E-2</v>
      </c>
      <c r="S1887">
        <v>-3.0933229999999998</v>
      </c>
      <c r="T1887">
        <v>-0.90555300000000005</v>
      </c>
      <c r="U1887">
        <v>0.61514279999999999</v>
      </c>
      <c r="V1887">
        <v>-4.1786230000000001E-2</v>
      </c>
      <c r="W1887">
        <v>9.8776959999999997E-2</v>
      </c>
      <c r="X1887">
        <v>0.99423189999999995</v>
      </c>
      <c r="Y1887">
        <v>0.1592828</v>
      </c>
      <c r="Z1887">
        <v>1.380146E-2</v>
      </c>
      <c r="AA1887">
        <v>0.98713649999999997</v>
      </c>
      <c r="AB1887">
        <v>43</v>
      </c>
      <c r="AC1887">
        <v>-0.31799999999998302</v>
      </c>
      <c r="AD1887">
        <v>-0.21645010000000001</v>
      </c>
      <c r="AE1887">
        <v>0.13350000000002599</v>
      </c>
      <c r="AF1887">
        <v>8.8636405936678805E-2</v>
      </c>
      <c r="AG1887">
        <v>-0.21645010000000001</v>
      </c>
      <c r="AH1887">
        <v>0.23100747670468799</v>
      </c>
      <c r="AI1887">
        <v>131.17938727289001</v>
      </c>
      <c r="AJ1887">
        <v>69.008443345481496</v>
      </c>
      <c r="AK1887">
        <v>0.32874231936404003</v>
      </c>
    </row>
    <row r="1888" spans="1:37" x14ac:dyDescent="0.2">
      <c r="A1888" t="str">
        <f>"20200111153645100"</f>
        <v>20200111153645100</v>
      </c>
      <c r="B1888" t="str">
        <f>"1578728205095107"</f>
        <v>1578728205095107</v>
      </c>
      <c r="C1888" t="s">
        <v>37</v>
      </c>
      <c r="D1888">
        <v>5.8957189999999997</v>
      </c>
      <c r="E1888">
        <v>0.57778149999999995</v>
      </c>
      <c r="F1888" t="s">
        <v>38</v>
      </c>
      <c r="G1888">
        <v>-330.80869999999999</v>
      </c>
      <c r="H1888">
        <v>0.91786650000000003</v>
      </c>
      <c r="I1888">
        <v>284.38499999999999</v>
      </c>
      <c r="J1888">
        <v>-330.53820000000002</v>
      </c>
      <c r="K1888">
        <v>1.103289</v>
      </c>
      <c r="L1888">
        <v>284.25209999999998</v>
      </c>
      <c r="M1888">
        <v>-0.999364899999999</v>
      </c>
      <c r="N1888">
        <v>0</v>
      </c>
      <c r="O1888">
        <v>3.2585679999999999E-2</v>
      </c>
      <c r="P1888">
        <v>-0.99629690000000004</v>
      </c>
      <c r="Q1888">
        <v>8.5223119999999999E-2</v>
      </c>
      <c r="R1888">
        <v>-1.1378020000000001E-2</v>
      </c>
      <c r="S1888">
        <v>-3.0861509999999899</v>
      </c>
      <c r="T1888">
        <v>-0.80452380000000001</v>
      </c>
      <c r="U1888">
        <v>0.64096070000000005</v>
      </c>
      <c r="V1888">
        <v>-4.3433140000000002E-2</v>
      </c>
      <c r="W1888">
        <v>9.9757719999999994E-2</v>
      </c>
      <c r="X1888">
        <v>0.99406340000000004</v>
      </c>
      <c r="Y1888">
        <v>0.1670306</v>
      </c>
      <c r="Z1888">
        <v>1.293424E-2</v>
      </c>
      <c r="AA1888">
        <v>0.98586679999999904</v>
      </c>
      <c r="AB1888">
        <v>42</v>
      </c>
      <c r="AC1888">
        <v>-0.27049999999996999</v>
      </c>
      <c r="AD1888">
        <v>-0.18542249999999899</v>
      </c>
      <c r="AE1888">
        <v>0.13290000000000601</v>
      </c>
      <c r="AF1888">
        <v>8.996208648008E-2</v>
      </c>
      <c r="AG1888">
        <v>-0.18542249999999899</v>
      </c>
      <c r="AH1888">
        <v>0.19926330348802401</v>
      </c>
      <c r="AI1888">
        <v>130.301653247107</v>
      </c>
      <c r="AJ1888">
        <v>65.702088713406596</v>
      </c>
      <c r="AK1888">
        <v>0.28667149252595697</v>
      </c>
    </row>
    <row r="1889" spans="1:37" x14ac:dyDescent="0.2">
      <c r="A1889" t="str">
        <f>"20200111153645123"</f>
        <v>20200111153645123</v>
      </c>
      <c r="B1889" t="str">
        <f>"1578728205114628"</f>
        <v>1578728205114628</v>
      </c>
      <c r="C1889" t="s">
        <v>37</v>
      </c>
      <c r="D1889">
        <v>5.876233</v>
      </c>
      <c r="E1889">
        <v>0.57735439999999905</v>
      </c>
      <c r="F1889" t="s">
        <v>38</v>
      </c>
      <c r="G1889">
        <v>-331.53309999999999</v>
      </c>
      <c r="H1889">
        <v>0.83708729999999998</v>
      </c>
      <c r="I1889">
        <v>284.45420000000001</v>
      </c>
      <c r="J1889">
        <v>-330.96859999999998</v>
      </c>
      <c r="K1889">
        <v>1.103275</v>
      </c>
      <c r="L1889">
        <v>284.26740000000001</v>
      </c>
      <c r="M1889">
        <v>-0.99931619999999999</v>
      </c>
      <c r="N1889">
        <v>0</v>
      </c>
      <c r="O1889">
        <v>3.4049049999999997E-2</v>
      </c>
      <c r="P1889">
        <v>-0.9964208</v>
      </c>
      <c r="Q1889">
        <v>8.3733130000000003E-2</v>
      </c>
      <c r="R1889">
        <v>-1.1599160000000001E-2</v>
      </c>
      <c r="S1889">
        <v>-3.088959</v>
      </c>
      <c r="T1889">
        <v>-0.82636049999999905</v>
      </c>
      <c r="U1889">
        <v>0.62625120000000001</v>
      </c>
      <c r="V1889">
        <v>-4.5122500000000003E-2</v>
      </c>
      <c r="W1889">
        <v>9.827255E-2</v>
      </c>
      <c r="X1889">
        <v>0.99413600000000002</v>
      </c>
      <c r="Y1889">
        <v>0.16092629999999999</v>
      </c>
      <c r="Z1889">
        <v>1.209322E-2</v>
      </c>
      <c r="AA1889">
        <v>0.98689229999999994</v>
      </c>
      <c r="AB1889">
        <v>42</v>
      </c>
      <c r="AC1889">
        <v>-0.56450000000000899</v>
      </c>
      <c r="AD1889">
        <v>-0.26618770000000003</v>
      </c>
      <c r="AE1889">
        <v>0.18680000000000499</v>
      </c>
      <c r="AF1889">
        <v>0.13950980381261299</v>
      </c>
      <c r="AG1889">
        <v>-0.26618770000000003</v>
      </c>
      <c r="AH1889">
        <v>0.47528226909342303</v>
      </c>
      <c r="AI1889">
        <v>118.253132208511</v>
      </c>
      <c r="AJ1889">
        <v>73.6414314541002</v>
      </c>
      <c r="AK1889">
        <v>0.56232740668201198</v>
      </c>
    </row>
    <row r="1890" spans="1:37" x14ac:dyDescent="0.2">
      <c r="A1890" t="str">
        <f>"20200111153645143"</f>
        <v>20200111153645143</v>
      </c>
      <c r="B1890" t="str">
        <f>"1578728205135126"</f>
        <v>1578728205135126</v>
      </c>
      <c r="C1890" t="s">
        <v>37</v>
      </c>
      <c r="D1890">
        <v>5.8180579999999997</v>
      </c>
      <c r="E1890">
        <v>0.5782467</v>
      </c>
      <c r="F1890" t="s">
        <v>38</v>
      </c>
      <c r="G1890">
        <v>-331.91410000000002</v>
      </c>
      <c r="H1890">
        <v>0.84289380000000003</v>
      </c>
      <c r="I1890">
        <v>284.45850000000002</v>
      </c>
      <c r="J1890">
        <v>-331.36939999999998</v>
      </c>
      <c r="K1890">
        <v>1.103254</v>
      </c>
      <c r="L1890">
        <v>284.28219999999999</v>
      </c>
      <c r="M1890">
        <v>-0.99926879999999996</v>
      </c>
      <c r="N1890">
        <v>0</v>
      </c>
      <c r="O1890">
        <v>3.5411560000000002E-2</v>
      </c>
      <c r="P1890">
        <v>-0.99664519999999901</v>
      </c>
      <c r="Q1890">
        <v>8.1059649999999997E-2</v>
      </c>
      <c r="R1890">
        <v>-1.132441E-2</v>
      </c>
      <c r="S1890">
        <v>-3.0895389999999998</v>
      </c>
      <c r="T1890">
        <v>-0.85078489999999996</v>
      </c>
      <c r="U1890">
        <v>0.624511699999999</v>
      </c>
      <c r="V1890">
        <v>-4.6224840000000003E-2</v>
      </c>
      <c r="W1890">
        <v>9.5603450000000006E-2</v>
      </c>
      <c r="X1890">
        <v>0.9943457</v>
      </c>
      <c r="Y1890">
        <v>0.15888189999999999</v>
      </c>
      <c r="Z1890">
        <v>1.1798940000000001E-2</v>
      </c>
      <c r="AA1890">
        <v>0.98722710000000002</v>
      </c>
      <c r="AB1890">
        <v>42</v>
      </c>
      <c r="AC1890">
        <v>-0.54470000000003405</v>
      </c>
      <c r="AD1890">
        <v>-0.26036019999999999</v>
      </c>
      <c r="AE1890">
        <v>0.17630000000002599</v>
      </c>
      <c r="AF1890">
        <v>0.13001135290871699</v>
      </c>
      <c r="AG1890">
        <v>-0.26036019999999999</v>
      </c>
      <c r="AH1890">
        <v>0.456246621845459</v>
      </c>
      <c r="AI1890">
        <v>118.758399816165</v>
      </c>
      <c r="AJ1890">
        <v>74.094647252078502</v>
      </c>
      <c r="AK1890">
        <v>0.54115743141399097</v>
      </c>
    </row>
    <row r="1891" spans="1:37" x14ac:dyDescent="0.2">
      <c r="A1891" t="str">
        <f>"20200111153645166"</f>
        <v>20200111153645166</v>
      </c>
      <c r="B1891" t="str">
        <f>"1578728205154643"</f>
        <v>1578728205154643</v>
      </c>
      <c r="C1891" t="s">
        <v>37</v>
      </c>
      <c r="D1891">
        <v>5.8343480000000003</v>
      </c>
      <c r="E1891">
        <v>0.57898930000000004</v>
      </c>
      <c r="F1891" t="s">
        <v>38</v>
      </c>
      <c r="G1891">
        <v>-332.2919</v>
      </c>
      <c r="H1891">
        <v>0.8415473</v>
      </c>
      <c r="I1891">
        <v>284.47199999999998</v>
      </c>
      <c r="J1891">
        <v>-331.7867</v>
      </c>
      <c r="K1891">
        <v>1.1032299999999999</v>
      </c>
      <c r="L1891">
        <v>284.29829999999998</v>
      </c>
      <c r="M1891">
        <v>-0.99921749999999998</v>
      </c>
      <c r="N1891">
        <v>0</v>
      </c>
      <c r="O1891">
        <v>3.6829210000000001E-2</v>
      </c>
      <c r="P1891">
        <v>-0.99693989999999999</v>
      </c>
      <c r="Q1891">
        <v>7.7545580000000003E-2</v>
      </c>
      <c r="R1891">
        <v>-9.8945879999999993E-3</v>
      </c>
      <c r="S1891">
        <v>-3.0886230000000001</v>
      </c>
      <c r="T1891">
        <v>-0.876196999999999</v>
      </c>
      <c r="U1891">
        <v>0.63522339999999999</v>
      </c>
      <c r="V1891">
        <v>-4.6234049999999999E-2</v>
      </c>
      <c r="W1891">
        <v>9.2090900000000003E-2</v>
      </c>
      <c r="X1891">
        <v>0.99467659999999902</v>
      </c>
      <c r="Y1891">
        <v>0.16055549999999999</v>
      </c>
      <c r="Z1891">
        <v>1.197899E-2</v>
      </c>
      <c r="AA1891">
        <v>0.98695409999999995</v>
      </c>
      <c r="AB1891">
        <v>42</v>
      </c>
      <c r="AC1891">
        <v>-0.50520000000000198</v>
      </c>
      <c r="AD1891">
        <v>-0.26168269999999899</v>
      </c>
      <c r="AE1891">
        <v>0.173699999999996</v>
      </c>
      <c r="AF1891">
        <v>0.12498540493600099</v>
      </c>
      <c r="AG1891">
        <v>-0.26168269999999899</v>
      </c>
      <c r="AH1891">
        <v>0.41232329816450902</v>
      </c>
      <c r="AI1891">
        <v>121.272971979334</v>
      </c>
      <c r="AJ1891">
        <v>73.136644021166404</v>
      </c>
      <c r="AK1891">
        <v>0.50409293700226099</v>
      </c>
    </row>
    <row r="1892" spans="1:37" x14ac:dyDescent="0.2">
      <c r="A1892" t="str">
        <f>"20200111153645188"</f>
        <v>20200111153645188</v>
      </c>
      <c r="B1892" t="str">
        <f>"1578728205184899"</f>
        <v>1578728205184899</v>
      </c>
      <c r="C1892" t="s">
        <v>37</v>
      </c>
      <c r="D1892">
        <v>5.8802659999999998</v>
      </c>
      <c r="E1892">
        <v>0.5798818</v>
      </c>
      <c r="F1892" t="s">
        <v>38</v>
      </c>
      <c r="G1892">
        <v>-332.67160000000001</v>
      </c>
      <c r="H1892">
        <v>0.84551430000000005</v>
      </c>
      <c r="I1892">
        <v>284.48390000000001</v>
      </c>
      <c r="J1892">
        <v>-332.21879999999999</v>
      </c>
      <c r="K1892">
        <v>1.1032040000000001</v>
      </c>
      <c r="L1892">
        <v>284.31549999999999</v>
      </c>
      <c r="M1892">
        <v>-0.99916260000000001</v>
      </c>
      <c r="N1892">
        <v>0</v>
      </c>
      <c r="O1892">
        <v>3.8295129999999997E-2</v>
      </c>
      <c r="P1892">
        <v>-0.99722140000000004</v>
      </c>
      <c r="Q1892">
        <v>7.3918629999999999E-2</v>
      </c>
      <c r="R1892">
        <v>-9.274493E-3</v>
      </c>
      <c r="S1892">
        <v>-3.0855410000000001</v>
      </c>
      <c r="T1892">
        <v>-0.89854069999999997</v>
      </c>
      <c r="U1892">
        <v>0.64697269999999996</v>
      </c>
      <c r="V1892">
        <v>-4.7102360000000003E-2</v>
      </c>
      <c r="W1892">
        <v>8.8467959999999998E-2</v>
      </c>
      <c r="X1892">
        <v>0.99496469999999904</v>
      </c>
      <c r="Y1892">
        <v>0.1626396</v>
      </c>
      <c r="Z1892">
        <v>1.216133E-2</v>
      </c>
      <c r="AA1892">
        <v>0.9866106</v>
      </c>
      <c r="AB1892">
        <v>42</v>
      </c>
      <c r="AC1892">
        <v>-0.45280000000002402</v>
      </c>
      <c r="AD1892">
        <v>-0.25768970000000002</v>
      </c>
      <c r="AE1892">
        <v>0.16840000000001901</v>
      </c>
      <c r="AF1892">
        <v>0.11750238913095901</v>
      </c>
      <c r="AG1892">
        <v>-0.25768970000000002</v>
      </c>
      <c r="AH1892">
        <v>0.35726653338064501</v>
      </c>
      <c r="AI1892">
        <v>124.41796296256599</v>
      </c>
      <c r="AJ1892">
        <v>71.7943370363936</v>
      </c>
      <c r="AK1892">
        <v>0.455905877140662</v>
      </c>
    </row>
    <row r="1893" spans="1:37" x14ac:dyDescent="0.2">
      <c r="A1893" t="str">
        <f>"20200111153645201"</f>
        <v>20200111153645201</v>
      </c>
      <c r="B1893" t="str">
        <f>"1578728205194192"</f>
        <v>1578728205194192</v>
      </c>
      <c r="C1893" t="s">
        <v>37</v>
      </c>
      <c r="D1893">
        <v>5.875489</v>
      </c>
      <c r="E1893">
        <v>0.57978189999999996</v>
      </c>
      <c r="F1893" t="s">
        <v>38</v>
      </c>
      <c r="G1893">
        <v>-333.05290000000002</v>
      </c>
      <c r="H1893">
        <v>0.85381469999999904</v>
      </c>
      <c r="I1893">
        <v>284.49360000000001</v>
      </c>
      <c r="J1893">
        <v>-332.45400000000001</v>
      </c>
      <c r="K1893">
        <v>1.1031879999999901</v>
      </c>
      <c r="L1893">
        <v>284.32510000000002</v>
      </c>
      <c r="M1893">
        <v>-0.99913169999999996</v>
      </c>
      <c r="N1893">
        <v>0</v>
      </c>
      <c r="O1893">
        <v>3.909145E-2</v>
      </c>
      <c r="P1893">
        <v>-0.99736049999999998</v>
      </c>
      <c r="Q1893">
        <v>7.2044339999999998E-2</v>
      </c>
      <c r="R1893">
        <v>-9.0346000000000003E-3</v>
      </c>
      <c r="S1893">
        <v>-3.0827939999999998</v>
      </c>
      <c r="T1893">
        <v>-0.92169829999999997</v>
      </c>
      <c r="U1893">
        <v>0.65725710000000004</v>
      </c>
      <c r="V1893">
        <v>-4.767006E-2</v>
      </c>
      <c r="W1893">
        <v>8.6595969999999994E-2</v>
      </c>
      <c r="X1893">
        <v>0.9951023</v>
      </c>
      <c r="Y1893">
        <v>0.1648638</v>
      </c>
      <c r="Z1893">
        <v>1.2560770000000001E-2</v>
      </c>
      <c r="AA1893">
        <v>0.98623640000000001</v>
      </c>
      <c r="AB1893">
        <v>42</v>
      </c>
      <c r="AC1893">
        <v>-0.59890000000001398</v>
      </c>
      <c r="AD1893">
        <v>-0.24937329999999899</v>
      </c>
      <c r="AE1893">
        <v>0.16849999999999399</v>
      </c>
      <c r="AF1893">
        <v>0.12489181568548</v>
      </c>
      <c r="AG1893">
        <v>-0.24937329999999899</v>
      </c>
      <c r="AH1893">
        <v>0.52128096337660601</v>
      </c>
      <c r="AI1893">
        <v>114.948776869676</v>
      </c>
      <c r="AJ1893">
        <v>76.526677144440796</v>
      </c>
      <c r="AK1893">
        <v>0.59120119346712097</v>
      </c>
    </row>
    <row r="1894" spans="1:37" x14ac:dyDescent="0.2">
      <c r="A1894" t="str">
        <f>"20200111153645213"</f>
        <v>20200111153645213</v>
      </c>
      <c r="B1894" t="str">
        <f>"1578728205204928"</f>
        <v>1578728205204928</v>
      </c>
      <c r="C1894" t="s">
        <v>37</v>
      </c>
      <c r="D1894">
        <v>6.0534349999999897</v>
      </c>
      <c r="E1894">
        <v>0.57978189999999996</v>
      </c>
      <c r="F1894" t="s">
        <v>38</v>
      </c>
      <c r="G1894">
        <v>-333.41340000000002</v>
      </c>
      <c r="H1894">
        <v>0.81367109999999998</v>
      </c>
      <c r="I1894">
        <v>284.53030000000001</v>
      </c>
      <c r="J1894">
        <v>-332.69760000000002</v>
      </c>
      <c r="K1894">
        <v>1.1031759999999999</v>
      </c>
      <c r="L1894">
        <v>284.33519999999999</v>
      </c>
      <c r="M1894">
        <v>-0.99909919999999997</v>
      </c>
      <c r="N1894">
        <v>0</v>
      </c>
      <c r="O1894">
        <v>3.991302E-2</v>
      </c>
      <c r="P1894">
        <v>-0.99746809999999997</v>
      </c>
      <c r="Q1894">
        <v>7.055148E-2</v>
      </c>
      <c r="R1894">
        <v>-8.9610499999999999E-3</v>
      </c>
      <c r="S1894">
        <v>-3.0810849999999999</v>
      </c>
      <c r="T1894">
        <v>-0.92982359999999897</v>
      </c>
      <c r="U1894">
        <v>0.6581726</v>
      </c>
      <c r="V1894">
        <v>-4.8426940000000002E-2</v>
      </c>
      <c r="W1894">
        <v>8.5105169999999994E-2</v>
      </c>
      <c r="X1894">
        <v>0.99519439999999904</v>
      </c>
      <c r="Y1894">
        <v>0.16440360000000001</v>
      </c>
      <c r="Z1894">
        <v>1.236659E-2</v>
      </c>
      <c r="AA1894">
        <v>0.98631559999999996</v>
      </c>
      <c r="AB1894">
        <v>42</v>
      </c>
      <c r="AC1894">
        <v>-0.71580000000000099</v>
      </c>
      <c r="AD1894">
        <v>-0.28950489999999901</v>
      </c>
      <c r="AE1894">
        <v>0.195100000000024</v>
      </c>
      <c r="AF1894">
        <v>0.14438645028578301</v>
      </c>
      <c r="AG1894">
        <v>-0.28950489999999901</v>
      </c>
      <c r="AH1894">
        <v>0.62747358520862795</v>
      </c>
      <c r="AI1894">
        <v>114.210183279989</v>
      </c>
      <c r="AJ1894">
        <v>77.041379516337699</v>
      </c>
      <c r="AK1894">
        <v>0.70596291282524704</v>
      </c>
    </row>
    <row r="1895" spans="1:37" x14ac:dyDescent="0.2">
      <c r="A1895" t="str">
        <f>"20200111153645234"</f>
        <v>20200111153645234</v>
      </c>
      <c r="B1895" t="str">
        <f>"1578728205224448"</f>
        <v>1578728205224448</v>
      </c>
      <c r="C1895" t="s">
        <v>37</v>
      </c>
      <c r="D1895">
        <v>6.1768849999999897</v>
      </c>
      <c r="E1895">
        <v>0.53865989999999997</v>
      </c>
      <c r="F1895" t="s">
        <v>38</v>
      </c>
      <c r="G1895">
        <v>-333.44049999999999</v>
      </c>
      <c r="H1895">
        <v>0.87793509999999997</v>
      </c>
      <c r="I1895">
        <v>284.49459999999999</v>
      </c>
      <c r="J1895">
        <v>-333.0652</v>
      </c>
      <c r="K1895">
        <v>1.1031530000000001</v>
      </c>
      <c r="L1895">
        <v>284.351</v>
      </c>
      <c r="M1895">
        <v>-0.99904919999999997</v>
      </c>
      <c r="N1895">
        <v>0</v>
      </c>
      <c r="O1895">
        <v>4.1147410000000002E-2</v>
      </c>
      <c r="P1895">
        <v>-0.99764599999999903</v>
      </c>
      <c r="Q1895">
        <v>6.7893510000000004E-2</v>
      </c>
      <c r="R1895">
        <v>-9.6569800000000008E-3</v>
      </c>
      <c r="S1895">
        <v>-3.0795590000000002</v>
      </c>
      <c r="T1895">
        <v>-0.93372549999999899</v>
      </c>
      <c r="U1895">
        <v>0.65957639999999995</v>
      </c>
      <c r="V1895">
        <v>-5.0372849999999997E-2</v>
      </c>
      <c r="W1895">
        <v>8.2453789999999999E-2</v>
      </c>
      <c r="X1895">
        <v>0.99532099999999901</v>
      </c>
      <c r="Y1895">
        <v>0.16374910000000001</v>
      </c>
      <c r="Z1895">
        <v>1.1964310000000001E-2</v>
      </c>
      <c r="AA1895">
        <v>0.98642949999999996</v>
      </c>
      <c r="AB1895">
        <v>42</v>
      </c>
      <c r="AC1895">
        <v>-0.37529999999998098</v>
      </c>
      <c r="AD1895">
        <v>-0.2252179</v>
      </c>
      <c r="AE1895">
        <v>0.14359999999999201</v>
      </c>
      <c r="AF1895">
        <v>9.7428724947848794E-2</v>
      </c>
      <c r="AG1895">
        <v>-0.2252179</v>
      </c>
      <c r="AH1895">
        <v>0.28984279112559302</v>
      </c>
      <c r="AI1895">
        <v>126.373004167639</v>
      </c>
      <c r="AJ1895">
        <v>71.420271975342303</v>
      </c>
      <c r="AK1895">
        <v>0.37976874870485</v>
      </c>
    </row>
    <row r="1896" spans="1:37" x14ac:dyDescent="0.2">
      <c r="A1896" t="str">
        <f>"20200111153645248"</f>
        <v>20200111153645248</v>
      </c>
      <c r="B1896" t="str">
        <f>"1578728205244946"</f>
        <v>1578728205244946</v>
      </c>
      <c r="C1896" t="s">
        <v>37</v>
      </c>
      <c r="D1896">
        <v>6.0971029999999997</v>
      </c>
      <c r="E1896">
        <v>0.48900979999999999</v>
      </c>
      <c r="F1896" t="s">
        <v>38</v>
      </c>
      <c r="G1896">
        <v>-333.82569999999998</v>
      </c>
      <c r="H1896">
        <v>0.89286449999999995</v>
      </c>
      <c r="I1896">
        <v>284.43220000000002</v>
      </c>
      <c r="J1896">
        <v>-333.33780000000002</v>
      </c>
      <c r="K1896">
        <v>1.1031439999999999</v>
      </c>
      <c r="L1896">
        <v>284.36290000000002</v>
      </c>
      <c r="M1896">
        <v>-0.99901130000000005</v>
      </c>
      <c r="N1896">
        <v>0</v>
      </c>
      <c r="O1896">
        <v>4.2054510000000003E-2</v>
      </c>
      <c r="P1896">
        <v>-0.99769859999999899</v>
      </c>
      <c r="Q1896">
        <v>6.7107910000000007E-2</v>
      </c>
      <c r="R1896">
        <v>-9.7097590000000001E-3</v>
      </c>
      <c r="S1896">
        <v>-3.067993</v>
      </c>
      <c r="T1896">
        <v>-0.84838939999999996</v>
      </c>
      <c r="U1896">
        <v>0.32681270000000001</v>
      </c>
      <c r="V1896">
        <v>-5.133675E-2</v>
      </c>
      <c r="W1896">
        <v>8.1669660000000005E-2</v>
      </c>
      <c r="X1896">
        <v>0.99533640000000001</v>
      </c>
      <c r="Y1896">
        <v>6.3222699999999896E-2</v>
      </c>
      <c r="Z1896">
        <v>-2.8194600000000002E-3</v>
      </c>
      <c r="AA1896">
        <v>0.99799539999999998</v>
      </c>
      <c r="AB1896">
        <v>42</v>
      </c>
      <c r="AC1896">
        <v>-0.48789999999996703</v>
      </c>
      <c r="AD1896">
        <v>-0.21027950000000001</v>
      </c>
      <c r="AE1896">
        <v>6.9299999999998294E-2</v>
      </c>
      <c r="AF1896">
        <v>4.1213986132849399E-2</v>
      </c>
      <c r="AG1896">
        <v>-0.21027950000000001</v>
      </c>
      <c r="AH1896">
        <v>0.41484818228915699</v>
      </c>
      <c r="AI1896">
        <v>116.766375119296</v>
      </c>
      <c r="AJ1896">
        <v>84.326444238498894</v>
      </c>
      <c r="AK1896">
        <v>0.46692084459983801</v>
      </c>
    </row>
    <row r="1897" spans="1:37" x14ac:dyDescent="0.2">
      <c r="A1897" t="str">
        <f>"20200111153645267"</f>
        <v>20200111153645267</v>
      </c>
      <c r="B1897" t="str">
        <f>"1578728205254704"</f>
        <v>1578728205254704</v>
      </c>
      <c r="C1897" t="s">
        <v>37</v>
      </c>
      <c r="D1897">
        <v>5.9470900000000002</v>
      </c>
      <c r="E1897">
        <v>0.48605409999999999</v>
      </c>
      <c r="F1897" t="s">
        <v>45</v>
      </c>
      <c r="G1897">
        <v>-348.49939999999998</v>
      </c>
      <c r="H1897" s="1">
        <v>2.9861659999999998E-6</v>
      </c>
      <c r="I1897">
        <v>283.8725</v>
      </c>
      <c r="J1897">
        <v>-333.69130000000001</v>
      </c>
      <c r="K1897">
        <v>1.103127</v>
      </c>
      <c r="L1897">
        <v>284.37880000000001</v>
      </c>
      <c r="M1897">
        <v>-0.99896180000000001</v>
      </c>
      <c r="N1897">
        <v>0</v>
      </c>
      <c r="O1897">
        <v>4.321668E-2</v>
      </c>
      <c r="P1897">
        <v>-0.99780679999999999</v>
      </c>
      <c r="Q1897">
        <v>6.5395659999999994E-2</v>
      </c>
      <c r="R1897">
        <v>-1.025358E-2</v>
      </c>
      <c r="S1897">
        <v>-3.0207519999999999</v>
      </c>
      <c r="T1897">
        <v>-0.21978619999999999</v>
      </c>
      <c r="U1897">
        <v>-9.7717289999999998E-2</v>
      </c>
      <c r="V1897">
        <v>-5.3053610000000001E-2</v>
      </c>
      <c r="W1897">
        <v>7.9960069999999994E-2</v>
      </c>
      <c r="X1897">
        <v>0.99538519999999897</v>
      </c>
      <c r="Y1897">
        <v>-7.5187379999999998E-2</v>
      </c>
      <c r="Z1897">
        <v>-5.8705119999999996E-3</v>
      </c>
      <c r="AA1897">
        <v>0.99715209999999999</v>
      </c>
      <c r="AB1897">
        <v>42</v>
      </c>
      <c r="AC1897">
        <v>-14.8080999999999</v>
      </c>
      <c r="AD1897">
        <v>-1.1031240138339999</v>
      </c>
      <c r="AE1897">
        <v>-0.50630000000000996</v>
      </c>
      <c r="AF1897">
        <v>-1.1395338441924301</v>
      </c>
      <c r="AG1897">
        <v>-1.1031240138339999</v>
      </c>
      <c r="AH1897">
        <v>14.690947881247199</v>
      </c>
      <c r="AI1897">
        <v>94.2813938898922</v>
      </c>
      <c r="AJ1897">
        <v>94.435384819945398</v>
      </c>
      <c r="AK1897">
        <v>14.776311096531501</v>
      </c>
    </row>
    <row r="1898" spans="1:37" x14ac:dyDescent="0.2">
      <c r="A1898" t="str">
        <f>"20200111153645290"</f>
        <v>20200111153645290</v>
      </c>
      <c r="B1898" t="str">
        <f>"1578728205284960"</f>
        <v>1578728205284960</v>
      </c>
      <c r="C1898" t="s">
        <v>37</v>
      </c>
      <c r="D1898">
        <v>5.9958429999999998</v>
      </c>
      <c r="E1898">
        <v>0.48629559999999999</v>
      </c>
      <c r="F1898" t="s">
        <v>45</v>
      </c>
      <c r="G1898">
        <v>-348.47640000000001</v>
      </c>
      <c r="H1898" s="1">
        <v>2.9739399999999999E-6</v>
      </c>
      <c r="I1898">
        <v>283.77440000000001</v>
      </c>
      <c r="J1898">
        <v>-334.11649999999997</v>
      </c>
      <c r="K1898">
        <v>1.1031299999999999</v>
      </c>
      <c r="L1898">
        <v>284.39839999999998</v>
      </c>
      <c r="M1898">
        <v>-0.99890179999999995</v>
      </c>
      <c r="N1898">
        <v>0</v>
      </c>
      <c r="O1898">
        <v>4.4583629999999999E-2</v>
      </c>
      <c r="P1898">
        <v>-0.99788180000000004</v>
      </c>
      <c r="Q1898">
        <v>6.433991E-2</v>
      </c>
      <c r="R1898">
        <v>-9.6261699999999999E-3</v>
      </c>
      <c r="S1898">
        <v>-3.0200809999999998</v>
      </c>
      <c r="T1898">
        <v>-0.22532919999999901</v>
      </c>
      <c r="U1898">
        <v>-0.1234436</v>
      </c>
      <c r="V1898">
        <v>-5.3803320000000002E-2</v>
      </c>
      <c r="W1898">
        <v>7.8901979999999997E-2</v>
      </c>
      <c r="X1898">
        <v>0.99542940000000002</v>
      </c>
      <c r="Y1898">
        <v>-8.4990960000000004E-2</v>
      </c>
      <c r="Z1898">
        <v>-6.4855609999999999E-3</v>
      </c>
      <c r="AA1898">
        <v>0.99636059999999904</v>
      </c>
      <c r="AB1898">
        <v>42</v>
      </c>
      <c r="AC1898">
        <v>-14.3599</v>
      </c>
      <c r="AD1898">
        <v>-1.1031270260599999</v>
      </c>
      <c r="AE1898">
        <v>-0.62399999999996603</v>
      </c>
      <c r="AF1898">
        <v>-1.2562626801750201</v>
      </c>
      <c r="AG1898">
        <v>-1.1031270260599999</v>
      </c>
      <c r="AH1898">
        <v>14.233954653677699</v>
      </c>
      <c r="AI1898">
        <v>94.414455240814405</v>
      </c>
      <c r="AJ1898">
        <v>95.043751195514403</v>
      </c>
      <c r="AK1898">
        <v>14.331802058365801</v>
      </c>
    </row>
    <row r="1899" spans="1:37" x14ac:dyDescent="0.2">
      <c r="A1899" t="str">
        <f>"20200111153645303"</f>
        <v>20200111153645303</v>
      </c>
      <c r="B1899" t="str">
        <f>"1578728205294254"</f>
        <v>1578728205294254</v>
      </c>
      <c r="C1899" t="s">
        <v>37</v>
      </c>
      <c r="D1899">
        <v>5.8050699999999997</v>
      </c>
      <c r="E1899">
        <v>0.48561979999999999</v>
      </c>
      <c r="F1899" t="s">
        <v>45</v>
      </c>
      <c r="G1899">
        <v>-352.75850000000003</v>
      </c>
      <c r="H1899" s="1">
        <v>-6.8857160000000004E-8</v>
      </c>
      <c r="I1899">
        <v>283.64350000000002</v>
      </c>
      <c r="J1899">
        <v>-334.37430000000001</v>
      </c>
      <c r="K1899">
        <v>1.1031439999999999</v>
      </c>
      <c r="L1899">
        <v>284.41050000000001</v>
      </c>
      <c r="M1899">
        <v>-0.99886520000000001</v>
      </c>
      <c r="N1899">
        <v>0</v>
      </c>
      <c r="O1899">
        <v>4.5393900000000001E-2</v>
      </c>
      <c r="P1899">
        <v>-0.99788899999999903</v>
      </c>
      <c r="Q1899">
        <v>6.4365569999999997E-2</v>
      </c>
      <c r="R1899">
        <v>-8.6428909999999998E-3</v>
      </c>
      <c r="S1899">
        <v>-3.0166930000000001</v>
      </c>
      <c r="T1899">
        <v>-0.17851110000000001</v>
      </c>
      <c r="U1899">
        <v>-0.122161899999999</v>
      </c>
      <c r="V1899">
        <v>-5.3633309999999997E-2</v>
      </c>
      <c r="W1899">
        <v>7.8922909999999999E-2</v>
      </c>
      <c r="X1899">
        <v>0.99543689999999996</v>
      </c>
      <c r="Y1899">
        <v>-8.5553080000000004E-2</v>
      </c>
      <c r="Z1899">
        <v>-5.2109499999999998E-3</v>
      </c>
      <c r="AA1899">
        <v>0.99631999999999998</v>
      </c>
      <c r="AB1899">
        <v>42</v>
      </c>
      <c r="AC1899">
        <v>-18.3842</v>
      </c>
      <c r="AD1899">
        <v>-1.1031440688571601</v>
      </c>
      <c r="AE1899">
        <v>-0.76699999999999502</v>
      </c>
      <c r="AF1899">
        <v>-1.5950930897962901</v>
      </c>
      <c r="AG1899">
        <v>-1.1031440688571601</v>
      </c>
      <c r="AH1899">
        <v>18.264774363753698</v>
      </c>
      <c r="AI1899">
        <v>93.443241107625497</v>
      </c>
      <c r="AJ1899">
        <v>94.991072649052498</v>
      </c>
      <c r="AK1899">
        <v>18.3674503228021</v>
      </c>
    </row>
    <row r="1900" spans="1:37" x14ac:dyDescent="0.2">
      <c r="A1900" t="str">
        <f>"20200111153645316"</f>
        <v>20200111153645316</v>
      </c>
      <c r="B1900" t="str">
        <f>"1578728205304990"</f>
        <v>1578728205304990</v>
      </c>
      <c r="C1900" t="s">
        <v>37</v>
      </c>
      <c r="D1900">
        <v>6.1935599999999997</v>
      </c>
      <c r="E1900">
        <v>0.48526279999999999</v>
      </c>
      <c r="F1900" t="s">
        <v>45</v>
      </c>
      <c r="G1900">
        <v>-351.35480000000001</v>
      </c>
      <c r="H1900" s="1">
        <v>-8.15839E-7</v>
      </c>
      <c r="I1900">
        <v>283.71319999999997</v>
      </c>
      <c r="J1900">
        <v>-334.63740000000001</v>
      </c>
      <c r="K1900">
        <v>1.103164</v>
      </c>
      <c r="L1900">
        <v>284.42309999999998</v>
      </c>
      <c r="M1900">
        <v>-0.99882850000000001</v>
      </c>
      <c r="N1900">
        <v>0</v>
      </c>
      <c r="O1900">
        <v>4.6199690000000002E-2</v>
      </c>
      <c r="P1900">
        <v>-0.99792879999999995</v>
      </c>
      <c r="Q1900">
        <v>6.3875909999999994E-2</v>
      </c>
      <c r="R1900">
        <v>-7.6588619999999998E-3</v>
      </c>
      <c r="S1900">
        <v>-3.01791399999999</v>
      </c>
      <c r="T1900">
        <v>-0.19606009999999999</v>
      </c>
      <c r="U1900">
        <v>-0.1239319</v>
      </c>
      <c r="V1900">
        <v>-5.3462629999999997E-2</v>
      </c>
      <c r="W1900">
        <v>7.8427579999999997E-2</v>
      </c>
      <c r="X1900">
        <v>0.99548519999999896</v>
      </c>
      <c r="Y1900">
        <v>-8.6872450000000004E-2</v>
      </c>
      <c r="Z1900">
        <v>-5.814881E-3</v>
      </c>
      <c r="AA1900">
        <v>0.99620249999999999</v>
      </c>
      <c r="AB1900">
        <v>42</v>
      </c>
      <c r="AC1900">
        <v>-16.717399999999898</v>
      </c>
      <c r="AD1900">
        <v>-1.1031648158389999</v>
      </c>
      <c r="AE1900">
        <v>-0.70990000000000397</v>
      </c>
      <c r="AF1900">
        <v>-1.47514851318999</v>
      </c>
      <c r="AG1900">
        <v>-1.1031648158389999</v>
      </c>
      <c r="AH1900">
        <v>16.594613295446401</v>
      </c>
      <c r="AI1900">
        <v>93.788377191381699</v>
      </c>
      <c r="AJ1900">
        <v>95.079853735651199</v>
      </c>
      <c r="AK1900">
        <v>16.696533357924299</v>
      </c>
    </row>
    <row r="1901" spans="1:37" x14ac:dyDescent="0.2">
      <c r="A1901" t="str">
        <f>"20200111153645330"</f>
        <v>20200111153645330</v>
      </c>
      <c r="B1901" t="str">
        <f>"1578728205324510"</f>
        <v>1578728205324510</v>
      </c>
      <c r="C1901" t="s">
        <v>37</v>
      </c>
      <c r="D1901">
        <v>5.9179639999999996</v>
      </c>
      <c r="E1901">
        <v>0.48509950000000002</v>
      </c>
      <c r="F1901" t="s">
        <v>45</v>
      </c>
      <c r="G1901">
        <v>-351.49829999999997</v>
      </c>
      <c r="H1901" s="1">
        <v>-7.3946590000000005E-7</v>
      </c>
      <c r="I1901">
        <v>283.72750000000002</v>
      </c>
      <c r="J1901">
        <v>-334.88040000000001</v>
      </c>
      <c r="K1901">
        <v>1.103191</v>
      </c>
      <c r="L1901">
        <v>284.435</v>
      </c>
      <c r="M1901">
        <v>-0.99879519999999899</v>
      </c>
      <c r="N1901">
        <v>0</v>
      </c>
      <c r="O1901">
        <v>4.6912679999999998E-2</v>
      </c>
      <c r="P1901">
        <v>-0.99794760000000005</v>
      </c>
      <c r="Q1901">
        <v>6.3706260000000001E-2</v>
      </c>
      <c r="R1901">
        <v>-6.5160779999999998E-3</v>
      </c>
      <c r="S1901">
        <v>-3.01791399999999</v>
      </c>
      <c r="T1901">
        <v>-0.19745450000000001</v>
      </c>
      <c r="U1901">
        <v>-0.1245117</v>
      </c>
      <c r="V1901">
        <v>-5.3039929999999999E-2</v>
      </c>
      <c r="W1901">
        <v>7.8251699999999993E-2</v>
      </c>
      <c r="X1901">
        <v>0.99552169999999895</v>
      </c>
      <c r="Y1901">
        <v>-8.776718E-2</v>
      </c>
      <c r="Z1901">
        <v>-5.9319250000000002E-3</v>
      </c>
      <c r="AA1901">
        <v>0.99612339999999999</v>
      </c>
      <c r="AB1901">
        <v>42</v>
      </c>
      <c r="AC1901">
        <v>-16.617899999999899</v>
      </c>
      <c r="AD1901">
        <v>-1.1031917394659001</v>
      </c>
      <c r="AE1901">
        <v>-0.70749999999998103</v>
      </c>
      <c r="AF1901">
        <v>-1.4798817988322099</v>
      </c>
      <c r="AG1901">
        <v>-1.1031917394659001</v>
      </c>
      <c r="AH1901">
        <v>16.493847650410601</v>
      </c>
      <c r="AI1901">
        <v>93.811266730998</v>
      </c>
      <c r="AJ1901">
        <v>95.127035598542307</v>
      </c>
      <c r="AK1901">
        <v>16.596809707515899</v>
      </c>
    </row>
    <row r="1902" spans="1:37" x14ac:dyDescent="0.2">
      <c r="A1902" t="str">
        <f>"20200111153645345"</f>
        <v>20200111153645345</v>
      </c>
      <c r="B1902" t="str">
        <f>"1578728205334270"</f>
        <v>1578728205334270</v>
      </c>
      <c r="C1902" t="s">
        <v>37</v>
      </c>
      <c r="D1902">
        <v>6.1191399999999998</v>
      </c>
      <c r="E1902">
        <v>0.48525889999999999</v>
      </c>
      <c r="F1902" t="s">
        <v>45</v>
      </c>
      <c r="G1902">
        <v>-350.49790000000002</v>
      </c>
      <c r="H1902" s="1">
        <v>-1.2718419999999999E-6</v>
      </c>
      <c r="I1902">
        <v>283.80439999999999</v>
      </c>
      <c r="J1902">
        <v>-335.16649999999998</v>
      </c>
      <c r="K1902">
        <v>1.1032299999999999</v>
      </c>
      <c r="L1902">
        <v>284.44909999999999</v>
      </c>
      <c r="M1902">
        <v>-0.99875700000000001</v>
      </c>
      <c r="N1902">
        <v>0</v>
      </c>
      <c r="O1902">
        <v>4.7718879999999998E-2</v>
      </c>
      <c r="P1902">
        <v>-0.99800829999999996</v>
      </c>
      <c r="Q1902">
        <v>6.2851589999999999E-2</v>
      </c>
      <c r="R1902">
        <v>-5.4213480000000003E-3</v>
      </c>
      <c r="S1902">
        <v>-3.0189509999999999</v>
      </c>
      <c r="T1902">
        <v>-0.213253899999999</v>
      </c>
      <c r="U1902">
        <v>-0.1218872</v>
      </c>
      <c r="V1902">
        <v>-5.276484E-2</v>
      </c>
      <c r="W1902">
        <v>7.7389340000000001E-2</v>
      </c>
      <c r="X1902">
        <v>0.99560369999999998</v>
      </c>
      <c r="Y1902">
        <v>-8.7643330000000005E-2</v>
      </c>
      <c r="Z1902">
        <v>-6.4558109999999997E-3</v>
      </c>
      <c r="AA1902">
        <v>0.99613099999999999</v>
      </c>
      <c r="AB1902">
        <v>42</v>
      </c>
      <c r="AC1902">
        <v>-15.3314</v>
      </c>
      <c r="AD1902">
        <v>-1.1032312718420001</v>
      </c>
      <c r="AE1902">
        <v>-0.64470000000000005</v>
      </c>
      <c r="AF1902">
        <v>-1.36856447116885</v>
      </c>
      <c r="AG1902">
        <v>-1.1032312718420001</v>
      </c>
      <c r="AH1902">
        <v>15.2045717236541</v>
      </c>
      <c r="AI1902">
        <v>94.133409895240703</v>
      </c>
      <c r="AJ1902">
        <v>95.143336538609603</v>
      </c>
      <c r="AK1902">
        <v>15.3058514709459</v>
      </c>
    </row>
    <row r="1903" spans="1:37" x14ac:dyDescent="0.2">
      <c r="A1903" t="str">
        <f>"20200111153645373"</f>
        <v>20200111153645373</v>
      </c>
      <c r="B1903" t="str">
        <f>"1578728205364526"</f>
        <v>1578728205364526</v>
      </c>
      <c r="C1903" t="s">
        <v>37</v>
      </c>
      <c r="D1903">
        <v>5.87425</v>
      </c>
      <c r="E1903">
        <v>0.48553879999999999</v>
      </c>
      <c r="F1903" t="s">
        <v>45</v>
      </c>
      <c r="G1903">
        <v>-350.5401</v>
      </c>
      <c r="H1903" s="1">
        <v>-1.2493779999999899E-6</v>
      </c>
      <c r="I1903">
        <v>283.84890000000001</v>
      </c>
      <c r="J1903">
        <v>-335.68619999999999</v>
      </c>
      <c r="K1903">
        <v>1.1033409999999999</v>
      </c>
      <c r="L1903">
        <v>284.47519999999997</v>
      </c>
      <c r="M1903">
        <v>-0.99869300000000005</v>
      </c>
      <c r="N1903">
        <v>0</v>
      </c>
      <c r="O1903">
        <v>4.9043059999999999E-2</v>
      </c>
      <c r="P1903">
        <v>-0.99804969999999904</v>
      </c>
      <c r="Q1903">
        <v>6.2324299999999999E-2</v>
      </c>
      <c r="R1903">
        <v>-3.5190690000000001E-3</v>
      </c>
      <c r="S1903">
        <v>-3.0189509999999999</v>
      </c>
      <c r="T1903">
        <v>-0.2166448</v>
      </c>
      <c r="U1903">
        <v>-0.117858899999999</v>
      </c>
      <c r="V1903">
        <v>-5.2210659999999999E-2</v>
      </c>
      <c r="W1903">
        <v>7.6842129999999995E-2</v>
      </c>
      <c r="X1903">
        <v>0.99567530000000004</v>
      </c>
      <c r="Y1903">
        <v>-8.7622800000000001E-2</v>
      </c>
      <c r="Z1903">
        <v>-6.652448E-3</v>
      </c>
      <c r="AA1903">
        <v>0.99613149999999995</v>
      </c>
      <c r="AB1903">
        <v>42</v>
      </c>
      <c r="AC1903">
        <v>-14.853899999999999</v>
      </c>
      <c r="AD1903">
        <v>-1.1033422493780001</v>
      </c>
      <c r="AE1903">
        <v>-0.626299999999957</v>
      </c>
      <c r="AF1903">
        <v>-1.3466852379657299</v>
      </c>
      <c r="AG1903">
        <v>-1.1033422493780001</v>
      </c>
      <c r="AH1903">
        <v>14.724207121525099</v>
      </c>
      <c r="AI1903">
        <v>94.267641069880099</v>
      </c>
      <c r="AJ1903">
        <v>95.2257691013467</v>
      </c>
      <c r="AK1903">
        <v>14.8267731016222</v>
      </c>
    </row>
    <row r="1904" spans="1:37" x14ac:dyDescent="0.2">
      <c r="A1904" t="str">
        <f>"20200111153645385"</f>
        <v>20200111153645385</v>
      </c>
      <c r="B1904" t="str">
        <f>"1578728205374286"</f>
        <v>1578728205374286</v>
      </c>
      <c r="C1904" t="s">
        <v>37</v>
      </c>
      <c r="D1904">
        <v>6.1069649999999998</v>
      </c>
      <c r="E1904">
        <v>0.48554069999999999</v>
      </c>
      <c r="F1904" t="s">
        <v>45</v>
      </c>
      <c r="G1904">
        <v>-350.9511</v>
      </c>
      <c r="H1904" s="1">
        <v>-1.030663E-6</v>
      </c>
      <c r="I1904">
        <v>283.91399999999999</v>
      </c>
      <c r="J1904">
        <v>-335.93180000000001</v>
      </c>
      <c r="K1904">
        <v>1.103407</v>
      </c>
      <c r="L1904">
        <v>284.48770000000002</v>
      </c>
      <c r="M1904">
        <v>-0.99866569999999899</v>
      </c>
      <c r="N1904">
        <v>0</v>
      </c>
      <c r="O1904">
        <v>4.9594449999999998E-2</v>
      </c>
      <c r="P1904">
        <v>-0.99807880000000004</v>
      </c>
      <c r="Q1904">
        <v>6.1889329999999999E-2</v>
      </c>
      <c r="R1904">
        <v>-2.9183770000000002E-3</v>
      </c>
      <c r="S1904">
        <v>-3.0191349999999999</v>
      </c>
      <c r="T1904">
        <v>-0.2182219</v>
      </c>
      <c r="U1904">
        <v>-0.11099239999999901</v>
      </c>
      <c r="V1904">
        <v>-5.2175399999999997E-2</v>
      </c>
      <c r="W1904">
        <v>7.6397110000000004E-2</v>
      </c>
      <c r="X1904">
        <v>0.99571139999999903</v>
      </c>
      <c r="Y1904">
        <v>-8.5905960000000003E-2</v>
      </c>
      <c r="Z1904">
        <v>-6.678415E-3</v>
      </c>
      <c r="AA1904">
        <v>0.99628079999999997</v>
      </c>
      <c r="AB1904">
        <v>42</v>
      </c>
      <c r="AC1904">
        <v>-15.0192999999999</v>
      </c>
      <c r="AD1904">
        <v>-1.1034080306630001</v>
      </c>
      <c r="AE1904">
        <v>-0.57370000000002996</v>
      </c>
      <c r="AF1904">
        <v>-1.31088014208088</v>
      </c>
      <c r="AG1904">
        <v>-1.1034080306630001</v>
      </c>
      <c r="AH1904">
        <v>14.892099357171601</v>
      </c>
      <c r="AI1904">
        <v>94.221239662627397</v>
      </c>
      <c r="AJ1904">
        <v>95.030506786527198</v>
      </c>
      <c r="AK1904">
        <v>14.990348204525</v>
      </c>
    </row>
    <row r="1905" spans="1:37" x14ac:dyDescent="0.2">
      <c r="A1905" t="str">
        <f>"20200111153645402"</f>
        <v>20200111153645402</v>
      </c>
      <c r="B1905" t="str">
        <f>"1578728205394314"</f>
        <v>1578728205394314</v>
      </c>
      <c r="C1905" t="s">
        <v>37</v>
      </c>
      <c r="D1905">
        <v>5.895753</v>
      </c>
      <c r="E1905">
        <v>0.485583599999999</v>
      </c>
      <c r="F1905" t="s">
        <v>45</v>
      </c>
      <c r="G1905">
        <v>-351.09750000000003</v>
      </c>
      <c r="H1905" s="1">
        <v>-9.5275089999999999E-7</v>
      </c>
      <c r="I1905">
        <v>283.93720000000002</v>
      </c>
      <c r="J1905">
        <v>-336.22640000000001</v>
      </c>
      <c r="K1905">
        <v>1.1034999999999999</v>
      </c>
      <c r="L1905">
        <v>284.50279999999998</v>
      </c>
      <c r="M1905">
        <v>-0.99863590000000002</v>
      </c>
      <c r="N1905">
        <v>0</v>
      </c>
      <c r="O1905">
        <v>5.0191340000000001E-2</v>
      </c>
      <c r="P1905">
        <v>-0.99809609999999904</v>
      </c>
      <c r="Q1905">
        <v>6.1594860000000001E-2</v>
      </c>
      <c r="R1905">
        <v>-3.2433059999999901E-3</v>
      </c>
      <c r="S1905">
        <v>-3.0190429999999999</v>
      </c>
      <c r="T1905">
        <v>-0.21965560000000001</v>
      </c>
      <c r="U1905">
        <v>-0.10958859999999999</v>
      </c>
      <c r="V1905">
        <v>-5.3113880000000002E-2</v>
      </c>
      <c r="W1905">
        <v>7.6090939999999996E-2</v>
      </c>
      <c r="X1905">
        <v>0.99568519999999905</v>
      </c>
      <c r="Y1905">
        <v>-8.6033310000000002E-2</v>
      </c>
      <c r="Z1905">
        <v>-6.7703919999999897E-3</v>
      </c>
      <c r="AA1905">
        <v>0.99626930000000002</v>
      </c>
      <c r="AB1905">
        <v>42</v>
      </c>
      <c r="AC1905">
        <v>-14.8711</v>
      </c>
      <c r="AD1905">
        <v>-1.1035009527508901</v>
      </c>
      <c r="AE1905">
        <v>-0.56559999999996002</v>
      </c>
      <c r="AF1905">
        <v>-1.3041938460907101</v>
      </c>
      <c r="AG1905">
        <v>-1.1035009527508901</v>
      </c>
      <c r="AH1905">
        <v>14.742900265688901</v>
      </c>
      <c r="AI1905">
        <v>94.263997194064999</v>
      </c>
      <c r="AJ1905">
        <v>95.055368303213697</v>
      </c>
      <c r="AK1905">
        <v>14.8415546417804</v>
      </c>
    </row>
    <row r="1906" spans="1:37" x14ac:dyDescent="0.2">
      <c r="A1906" t="str">
        <f>"20200111153645424"</f>
        <v>20200111153645424</v>
      </c>
      <c r="B1906" t="str">
        <f>"1578728205414810"</f>
        <v>1578728205414810</v>
      </c>
      <c r="C1906" t="s">
        <v>37</v>
      </c>
      <c r="D1906">
        <v>5.8518610000000004</v>
      </c>
      <c r="E1906">
        <v>0.4856202</v>
      </c>
      <c r="F1906" t="s">
        <v>45</v>
      </c>
      <c r="G1906">
        <v>-351.385999999999</v>
      </c>
      <c r="H1906" s="1">
        <v>-7.9923059999999899E-7</v>
      </c>
      <c r="I1906">
        <v>283.94810000000001</v>
      </c>
      <c r="J1906">
        <v>-336.65559999999999</v>
      </c>
      <c r="K1906">
        <v>1.103645</v>
      </c>
      <c r="L1906">
        <v>284.52510000000001</v>
      </c>
      <c r="M1906">
        <v>-0.998600499999999</v>
      </c>
      <c r="N1906">
        <v>0</v>
      </c>
      <c r="O1906">
        <v>5.089308E-2</v>
      </c>
      <c r="P1906">
        <v>-0.99808669999999999</v>
      </c>
      <c r="Q1906">
        <v>6.169724E-2</v>
      </c>
      <c r="R1906">
        <v>-4.0666809999999999E-3</v>
      </c>
      <c r="S1906">
        <v>-3.0188899999999999</v>
      </c>
      <c r="T1906">
        <v>-0.21975149999999999</v>
      </c>
      <c r="U1906">
        <v>-0.11047360000000001</v>
      </c>
      <c r="V1906">
        <v>-5.4663620000000003E-2</v>
      </c>
      <c r="W1906">
        <v>7.6173199999999996E-2</v>
      </c>
      <c r="X1906">
        <v>0.99559500000000001</v>
      </c>
      <c r="Y1906">
        <v>-8.7022039999999995E-2</v>
      </c>
      <c r="Z1906">
        <v>-6.8605530000000001E-3</v>
      </c>
      <c r="AA1906">
        <v>0.99618269999999998</v>
      </c>
      <c r="AB1906">
        <v>42</v>
      </c>
      <c r="AC1906">
        <v>-14.7303999999999</v>
      </c>
      <c r="AD1906">
        <v>-1.1036457992305999</v>
      </c>
      <c r="AE1906">
        <v>-0.57699999999999796</v>
      </c>
      <c r="AF1906">
        <v>-1.3186144752068401</v>
      </c>
      <c r="AG1906">
        <v>-1.1036457992305999</v>
      </c>
      <c r="AH1906">
        <v>14.6001071795279</v>
      </c>
      <c r="AI1906">
        <v>94.305402385815597</v>
      </c>
      <c r="AJ1906">
        <v>95.160689767500898</v>
      </c>
      <c r="AK1906">
        <v>14.7010172382079</v>
      </c>
    </row>
    <row r="1907" spans="1:37" x14ac:dyDescent="0.2">
      <c r="A1907" t="str">
        <f>"20200111153645439"</f>
        <v>20200111153645439</v>
      </c>
      <c r="B1907" t="str">
        <f>"1578728205434330"</f>
        <v>1578728205434330</v>
      </c>
      <c r="C1907" t="s">
        <v>37</v>
      </c>
      <c r="D1907">
        <v>5.8886229999999999</v>
      </c>
      <c r="E1907">
        <v>0.4857494</v>
      </c>
      <c r="F1907" t="s">
        <v>45</v>
      </c>
      <c r="G1907">
        <v>-351.89179999999999</v>
      </c>
      <c r="H1907" s="1">
        <v>-5.3009069999999995E-7</v>
      </c>
      <c r="I1907">
        <v>283.9547</v>
      </c>
      <c r="J1907">
        <v>-336.91419999999999</v>
      </c>
      <c r="K1907">
        <v>1.1037399999999999</v>
      </c>
      <c r="L1907">
        <v>284.5385</v>
      </c>
      <c r="M1907">
        <v>-0.99858269999999905</v>
      </c>
      <c r="N1907">
        <v>0</v>
      </c>
      <c r="O1907">
        <v>5.1242339999999997E-2</v>
      </c>
      <c r="P1907">
        <v>-0.99809439999999905</v>
      </c>
      <c r="Q1907">
        <v>6.155323E-2</v>
      </c>
      <c r="R1907">
        <v>-4.3575330000000002E-3</v>
      </c>
      <c r="S1907">
        <v>-3.018799</v>
      </c>
      <c r="T1907">
        <v>-0.21866969999999999</v>
      </c>
      <c r="U1907">
        <v>-0.1130066</v>
      </c>
      <c r="V1907">
        <v>-5.5320840000000003E-2</v>
      </c>
      <c r="W1907">
        <v>7.6014849999999995E-2</v>
      </c>
      <c r="X1907">
        <v>0.99557079999999998</v>
      </c>
      <c r="Y1907">
        <v>-8.8205749999999999E-2</v>
      </c>
      <c r="Z1907">
        <v>-6.8950330000000001E-3</v>
      </c>
      <c r="AA1907">
        <v>0.99607839999999903</v>
      </c>
      <c r="AB1907">
        <v>42</v>
      </c>
      <c r="AC1907">
        <v>-14.977599999999899</v>
      </c>
      <c r="AD1907">
        <v>-1.1037405300906999</v>
      </c>
      <c r="AE1907">
        <v>-0.58379999999999599</v>
      </c>
      <c r="AF1907">
        <v>-1.3433155488139701</v>
      </c>
      <c r="AG1907">
        <v>-1.1037405300906999</v>
      </c>
      <c r="AH1907">
        <v>14.847491917924501</v>
      </c>
      <c r="AI1907">
        <v>94.234232049010899</v>
      </c>
      <c r="AJ1907">
        <v>95.169717047121793</v>
      </c>
      <c r="AK1907">
        <v>14.9489382925439</v>
      </c>
    </row>
    <row r="1908" spans="1:37" x14ac:dyDescent="0.2">
      <c r="A1908" t="str">
        <f>"20200111153645452"</f>
        <v>20200111153645452</v>
      </c>
      <c r="B1908" t="str">
        <f>"1578728205445068"</f>
        <v>1578728205445068</v>
      </c>
      <c r="C1908" t="s">
        <v>37</v>
      </c>
      <c r="D1908">
        <v>5.8490580000000003</v>
      </c>
      <c r="E1908">
        <v>0.48561859999999901</v>
      </c>
      <c r="F1908" t="s">
        <v>45</v>
      </c>
      <c r="G1908">
        <v>-352.1764</v>
      </c>
      <c r="H1908" s="1">
        <v>-3.7863609999999899E-7</v>
      </c>
      <c r="I1908">
        <v>283.96480000000003</v>
      </c>
      <c r="J1908">
        <v>-337.18380000000002</v>
      </c>
      <c r="K1908">
        <v>1.103836</v>
      </c>
      <c r="L1908">
        <v>284.55259999999998</v>
      </c>
      <c r="M1908">
        <v>-0.99856880000000003</v>
      </c>
      <c r="N1908">
        <v>0</v>
      </c>
      <c r="O1908">
        <v>5.1512179999999998E-2</v>
      </c>
      <c r="P1908">
        <v>-0.99809380000000003</v>
      </c>
      <c r="Q1908">
        <v>6.1526570000000003E-2</v>
      </c>
      <c r="R1908">
        <v>-4.8401670000000003E-3</v>
      </c>
      <c r="S1908">
        <v>-3.0187379999999999</v>
      </c>
      <c r="T1908">
        <v>-0.21831100000000001</v>
      </c>
      <c r="U1908">
        <v>-0.11346440000000001</v>
      </c>
      <c r="V1908">
        <v>-5.6091490000000001E-2</v>
      </c>
      <c r="W1908">
        <v>7.5973499999999999E-2</v>
      </c>
      <c r="X1908">
        <v>0.9955309</v>
      </c>
      <c r="Y1908">
        <v>-8.8625880000000004E-2</v>
      </c>
      <c r="Z1908">
        <v>-6.9185169999999999E-3</v>
      </c>
      <c r="AA1908">
        <v>0.99604090000000001</v>
      </c>
      <c r="AB1908">
        <v>42</v>
      </c>
      <c r="AC1908">
        <v>-14.9925999999999</v>
      </c>
      <c r="AD1908">
        <v>-1.1038363786361001</v>
      </c>
      <c r="AE1908">
        <v>-0.58779999999995802</v>
      </c>
      <c r="AF1908">
        <v>-1.35208286264542</v>
      </c>
      <c r="AG1908">
        <v>-1.1038363786361001</v>
      </c>
      <c r="AH1908">
        <v>14.8619705438306</v>
      </c>
      <c r="AI1908">
        <v>94.230297705923604</v>
      </c>
      <c r="AJ1908">
        <v>95.198231951427204</v>
      </c>
      <c r="AK1908">
        <v>14.9641154521057</v>
      </c>
    </row>
    <row r="1909" spans="1:37" x14ac:dyDescent="0.2">
      <c r="A1909" t="str">
        <f>"20200111153645468"</f>
        <v>20200111153645468</v>
      </c>
      <c r="B1909" t="str">
        <f>"1578728205464586"</f>
        <v>1578728205464586</v>
      </c>
      <c r="C1909" t="s">
        <v>37</v>
      </c>
      <c r="D1909">
        <v>6.1799039999999996</v>
      </c>
      <c r="E1909">
        <v>0.48549779999999998</v>
      </c>
      <c r="F1909" t="s">
        <v>45</v>
      </c>
      <c r="G1909">
        <v>-352.40769999999998</v>
      </c>
      <c r="H1909" s="1">
        <v>-2.5555290000000002E-7</v>
      </c>
      <c r="I1909">
        <v>283.96609999999998</v>
      </c>
      <c r="J1909">
        <v>-337.46199999999999</v>
      </c>
      <c r="K1909">
        <v>1.103925</v>
      </c>
      <c r="L1909">
        <v>284.56709999999998</v>
      </c>
      <c r="M1909">
        <v>-0.99855839999999996</v>
      </c>
      <c r="N1909">
        <v>0</v>
      </c>
      <c r="O1909">
        <v>5.1716720000000001E-2</v>
      </c>
      <c r="P1909">
        <v>-0.99815319999999996</v>
      </c>
      <c r="Q1909">
        <v>6.0509260000000002E-2</v>
      </c>
      <c r="R1909">
        <v>-5.4172229999999997E-3</v>
      </c>
      <c r="S1909">
        <v>-3.0186459999999999</v>
      </c>
      <c r="T1909">
        <v>-0.21887300000000001</v>
      </c>
      <c r="U1909">
        <v>-0.1163025</v>
      </c>
      <c r="V1909">
        <v>-5.6897219999999998E-2</v>
      </c>
      <c r="W1909">
        <v>7.4940270000000003E-2</v>
      </c>
      <c r="X1909">
        <v>0.99556350000000005</v>
      </c>
      <c r="Y1909">
        <v>-8.9760679999999995E-2</v>
      </c>
      <c r="Z1909">
        <v>-6.992262E-3</v>
      </c>
      <c r="AA1909">
        <v>0.99593880000000001</v>
      </c>
      <c r="AB1909">
        <v>42</v>
      </c>
      <c r="AC1909">
        <v>-14.945699999999899</v>
      </c>
      <c r="AD1909">
        <v>-1.10392525555289</v>
      </c>
      <c r="AE1909">
        <v>-0.60099999999999898</v>
      </c>
      <c r="AF1909">
        <v>-1.3657787872821101</v>
      </c>
      <c r="AG1909">
        <v>-1.10392525555289</v>
      </c>
      <c r="AH1909">
        <v>14.8139213453402</v>
      </c>
      <c r="AI1909">
        <v>94.243840756207504</v>
      </c>
      <c r="AJ1909">
        <v>95.267529349740897</v>
      </c>
      <c r="AK1909">
        <v>14.917649556534201</v>
      </c>
    </row>
    <row r="1910" spans="1:37" x14ac:dyDescent="0.2">
      <c r="A1910" t="str">
        <f>"20200111153645491"</f>
        <v>20200111153645491</v>
      </c>
      <c r="B1910" t="str">
        <f>"1578728205485082"</f>
        <v>1578728205485082</v>
      </c>
      <c r="C1910" t="s">
        <v>37</v>
      </c>
      <c r="D1910">
        <v>6.1169349999999998</v>
      </c>
      <c r="E1910">
        <v>0.48550189999999999</v>
      </c>
      <c r="F1910" t="s">
        <v>45</v>
      </c>
      <c r="G1910">
        <v>-352.23790000000002</v>
      </c>
      <c r="H1910" s="1">
        <v>-3.458709E-7</v>
      </c>
      <c r="I1910">
        <v>283.97980000000001</v>
      </c>
      <c r="J1910">
        <v>-337.89789999999999</v>
      </c>
      <c r="K1910">
        <v>1.1040829999999999</v>
      </c>
      <c r="L1910">
        <v>284.5899</v>
      </c>
      <c r="M1910">
        <v>-0.99855099999999997</v>
      </c>
      <c r="N1910">
        <v>0</v>
      </c>
      <c r="O1910">
        <v>5.1859570000000001E-2</v>
      </c>
      <c r="P1910">
        <v>-0.99819809999999998</v>
      </c>
      <c r="Q1910">
        <v>5.9744140000000001E-2</v>
      </c>
      <c r="R1910">
        <v>-5.6212060000000001E-3</v>
      </c>
      <c r="S1910">
        <v>-3.0185849999999999</v>
      </c>
      <c r="T1910">
        <v>-0.225521999999999</v>
      </c>
      <c r="U1910">
        <v>-0.11999509999999999</v>
      </c>
      <c r="V1910">
        <v>-5.7280879999999999E-2</v>
      </c>
      <c r="W1910">
        <v>7.4146649999999995E-2</v>
      </c>
      <c r="X1910">
        <v>0.99560090000000001</v>
      </c>
      <c r="Y1910">
        <v>-9.1093350000000003E-2</v>
      </c>
      <c r="Z1910">
        <v>-7.264441E-3</v>
      </c>
      <c r="AA1910">
        <v>0.99581589999999998</v>
      </c>
      <c r="AB1910">
        <v>42</v>
      </c>
      <c r="AC1910">
        <v>-14.34</v>
      </c>
      <c r="AD1910">
        <v>-1.1040833458708901</v>
      </c>
      <c r="AE1910">
        <v>-0.61009999999998799</v>
      </c>
      <c r="AF1910">
        <v>-1.34506282113469</v>
      </c>
      <c r="AG1910">
        <v>-1.1040833458708901</v>
      </c>
      <c r="AH1910">
        <v>14.205002564679001</v>
      </c>
      <c r="AI1910">
        <v>94.424664598941405</v>
      </c>
      <c r="AJ1910">
        <v>95.409173693195001</v>
      </c>
      <c r="AK1910">
        <v>14.311194635318399</v>
      </c>
    </row>
    <row r="1911" spans="1:37" x14ac:dyDescent="0.2">
      <c r="A1911" t="str">
        <f>"20200111153645505"</f>
        <v>20200111153645505</v>
      </c>
      <c r="B1911" t="str">
        <f>"1578728205494376"</f>
        <v>1578728205494376</v>
      </c>
      <c r="C1911" t="s">
        <v>37</v>
      </c>
      <c r="D1911">
        <v>6.1136049999999997</v>
      </c>
      <c r="E1911">
        <v>0.48545159999999998</v>
      </c>
      <c r="F1911" t="s">
        <v>45</v>
      </c>
      <c r="G1911">
        <v>-352.4905</v>
      </c>
      <c r="H1911" s="1">
        <v>-2.1146960000000001E-7</v>
      </c>
      <c r="I1911">
        <v>284.00380000000001</v>
      </c>
      <c r="J1911">
        <v>-338.15780000000001</v>
      </c>
      <c r="K1911">
        <v>1.104182</v>
      </c>
      <c r="L1911">
        <v>284.6035</v>
      </c>
      <c r="M1911">
        <v>-0.99855190000000005</v>
      </c>
      <c r="N1911">
        <v>0</v>
      </c>
      <c r="O1911">
        <v>5.1842329999999999E-2</v>
      </c>
      <c r="P1911">
        <v>-0.99821260000000001</v>
      </c>
      <c r="Q1911">
        <v>5.9477519999999999E-2</v>
      </c>
      <c r="R1911">
        <v>-5.8360030000000002E-3</v>
      </c>
      <c r="S1911">
        <v>-3.018402</v>
      </c>
      <c r="T1911">
        <v>-0.22837399999999899</v>
      </c>
      <c r="U1911">
        <v>-0.1212463</v>
      </c>
      <c r="V1911">
        <v>-5.7500490000000001E-2</v>
      </c>
      <c r="W1911">
        <v>7.3862780000000003E-2</v>
      </c>
      <c r="X1911">
        <v>0.99560930000000003</v>
      </c>
      <c r="Y1911">
        <v>-9.1479499999999894E-2</v>
      </c>
      <c r="Z1911">
        <v>-7.3697240000000002E-3</v>
      </c>
      <c r="AA1911">
        <v>0.99577969999999905</v>
      </c>
      <c r="AB1911">
        <v>42</v>
      </c>
      <c r="AC1911">
        <v>-14.3326999999999</v>
      </c>
      <c r="AD1911">
        <v>-1.1041822114696001</v>
      </c>
      <c r="AE1911">
        <v>-0.59969999999998402</v>
      </c>
      <c r="AF1911">
        <v>-1.3341065202379001</v>
      </c>
      <c r="AG1911">
        <v>-1.1041822114696001</v>
      </c>
      <c r="AH1911">
        <v>14.198209500248399</v>
      </c>
      <c r="AI1911">
        <v>94.427467434913297</v>
      </c>
      <c r="AJ1911">
        <v>95.367923120915606</v>
      </c>
      <c r="AK1911">
        <v>14.303433558988999</v>
      </c>
    </row>
    <row r="1912" spans="1:37" x14ac:dyDescent="0.2">
      <c r="A1912" t="str">
        <f>"20200111153645524"</f>
        <v>20200111153645524</v>
      </c>
      <c r="B1912" t="str">
        <f>"1578728205514873"</f>
        <v>1578728205514873</v>
      </c>
      <c r="C1912" t="s">
        <v>37</v>
      </c>
      <c r="D1912">
        <v>6.0014120000000002</v>
      </c>
      <c r="E1912">
        <v>0.48580719999999999</v>
      </c>
      <c r="F1912" t="s">
        <v>45</v>
      </c>
      <c r="G1912">
        <v>-352.66860000000003</v>
      </c>
      <c r="H1912" s="1">
        <v>-1.166926E-7</v>
      </c>
      <c r="I1912">
        <v>284.01609999999999</v>
      </c>
      <c r="J1912">
        <v>-338.51389999999998</v>
      </c>
      <c r="K1912">
        <v>1.1043240000000001</v>
      </c>
      <c r="L1912">
        <v>284.62189999999998</v>
      </c>
      <c r="M1912">
        <v>-0.9985598</v>
      </c>
      <c r="N1912">
        <v>0</v>
      </c>
      <c r="O1912">
        <v>5.1687370000000003E-2</v>
      </c>
      <c r="P1912">
        <v>-0.99824389999999996</v>
      </c>
      <c r="Q1912">
        <v>5.8891590000000001E-2</v>
      </c>
      <c r="R1912">
        <v>-6.4035100000000003E-3</v>
      </c>
      <c r="S1912">
        <v>-3.0183409999999999</v>
      </c>
      <c r="T1912">
        <v>-0.22967770000000001</v>
      </c>
      <c r="U1912">
        <v>-0.12219239999999899</v>
      </c>
      <c r="V1912">
        <v>-5.7944610000000001E-2</v>
      </c>
      <c r="W1912">
        <v>7.3251220000000006E-2</v>
      </c>
      <c r="X1912">
        <v>0.99562879999999998</v>
      </c>
      <c r="Y1912">
        <v>-9.1632710000000006E-2</v>
      </c>
      <c r="Z1912">
        <v>-7.4058379999999997E-3</v>
      </c>
      <c r="AA1912">
        <v>0.99576529999999996</v>
      </c>
      <c r="AB1912">
        <v>42</v>
      </c>
      <c r="AC1912">
        <v>-14.1547</v>
      </c>
      <c r="AD1912">
        <v>-1.1043241166926001</v>
      </c>
      <c r="AE1912">
        <v>-0.60579999999998702</v>
      </c>
      <c r="AF1912">
        <v>-1.3286126597682899</v>
      </c>
      <c r="AG1912">
        <v>-1.1043241166926001</v>
      </c>
      <c r="AH1912">
        <v>14.019283165274899</v>
      </c>
      <c r="AI1912">
        <v>94.483982307312999</v>
      </c>
      <c r="AJ1912">
        <v>95.413773093980197</v>
      </c>
      <c r="AK1912">
        <v>14.1253334057135</v>
      </c>
    </row>
    <row r="1913" spans="1:37" x14ac:dyDescent="0.2">
      <c r="A1913" t="str">
        <f>"20200111153645538"</f>
        <v>20200111153645538</v>
      </c>
      <c r="B1913" t="str">
        <f>"1578728205534391"</f>
        <v>1578728205534391</v>
      </c>
      <c r="C1913" t="s">
        <v>37</v>
      </c>
      <c r="D1913">
        <v>5.8437390000000002</v>
      </c>
      <c r="E1913">
        <v>0.486892099999999</v>
      </c>
      <c r="F1913" t="s">
        <v>45</v>
      </c>
      <c r="G1913">
        <v>-353.11309999999997</v>
      </c>
      <c r="H1913" s="1">
        <v>1.19866E-7</v>
      </c>
      <c r="I1913">
        <v>284.0342</v>
      </c>
      <c r="J1913">
        <v>-338.77690000000001</v>
      </c>
      <c r="K1913">
        <v>1.104444</v>
      </c>
      <c r="L1913">
        <v>284.6354</v>
      </c>
      <c r="M1913">
        <v>-0.99857059999999997</v>
      </c>
      <c r="N1913">
        <v>0</v>
      </c>
      <c r="O1913">
        <v>5.1484290000000002E-2</v>
      </c>
      <c r="P1913">
        <v>-0.99826139999999997</v>
      </c>
      <c r="Q1913">
        <v>5.8594550000000002E-2</v>
      </c>
      <c r="R1913">
        <v>-6.4288289999999996E-3</v>
      </c>
      <c r="S1913">
        <v>-3.0179749999999999</v>
      </c>
      <c r="T1913">
        <v>-0.22828769999999901</v>
      </c>
      <c r="U1913">
        <v>-0.1214905</v>
      </c>
      <c r="V1913">
        <v>-5.7791179999999998E-2</v>
      </c>
      <c r="W1913">
        <v>7.2934959999999993E-2</v>
      </c>
      <c r="X1913">
        <v>0.99566089999999996</v>
      </c>
      <c r="Y1913">
        <v>-9.1210509999999995E-2</v>
      </c>
      <c r="Z1913">
        <v>-7.3307969999999896E-3</v>
      </c>
      <c r="AA1913">
        <v>0.99580469999999899</v>
      </c>
      <c r="AB1913">
        <v>42</v>
      </c>
      <c r="AC1913">
        <v>-14.3361999999999</v>
      </c>
      <c r="AD1913">
        <v>-1.104443880134</v>
      </c>
      <c r="AE1913">
        <v>-0.60120000000000495</v>
      </c>
      <c r="AF1913">
        <v>-1.33068396872642</v>
      </c>
      <c r="AG1913">
        <v>-1.104443880134</v>
      </c>
      <c r="AH1913">
        <v>14.2020868098416</v>
      </c>
      <c r="AI1913">
        <v>94.427417625837705</v>
      </c>
      <c r="AJ1913">
        <v>95.3527789794027</v>
      </c>
      <c r="AK1913">
        <v>14.306983814321899</v>
      </c>
    </row>
    <row r="1914" spans="1:37" x14ac:dyDescent="0.2">
      <c r="A1914" t="str">
        <f>"20200111153645551"</f>
        <v>20200111153645551</v>
      </c>
      <c r="B1914" t="str">
        <f>"1578728205544151"</f>
        <v>1578728205544151</v>
      </c>
      <c r="C1914" t="s">
        <v>37</v>
      </c>
      <c r="D1914">
        <v>5.7867119999999996</v>
      </c>
      <c r="E1914">
        <v>0.4874366</v>
      </c>
      <c r="F1914" t="s">
        <v>45</v>
      </c>
      <c r="G1914">
        <v>-353.42430000000002</v>
      </c>
      <c r="H1914" s="1">
        <v>2.8548040000000001E-7</v>
      </c>
      <c r="I1914">
        <v>284.08690000000001</v>
      </c>
      <c r="J1914">
        <v>-339.02850000000001</v>
      </c>
      <c r="K1914">
        <v>1.1045609999999999</v>
      </c>
      <c r="L1914">
        <v>284.64830000000001</v>
      </c>
      <c r="M1914">
        <v>-0.99858559999999996</v>
      </c>
      <c r="N1914">
        <v>0</v>
      </c>
      <c r="O1914">
        <v>5.1189699999999998E-2</v>
      </c>
      <c r="P1914">
        <v>-0.99826859999999995</v>
      </c>
      <c r="Q1914">
        <v>5.841681E-2</v>
      </c>
      <c r="R1914">
        <v>-6.8885819999999999E-3</v>
      </c>
      <c r="S1914">
        <v>-3.0178219999999998</v>
      </c>
      <c r="T1914">
        <v>-0.22754929999999901</v>
      </c>
      <c r="U1914">
        <v>-0.1130066</v>
      </c>
      <c r="V1914">
        <v>-5.7980030000000002E-2</v>
      </c>
      <c r="W1914">
        <v>7.2738090000000005E-2</v>
      </c>
      <c r="X1914">
        <v>0.9956644</v>
      </c>
      <c r="Y1914">
        <v>-8.8135179999999994E-2</v>
      </c>
      <c r="Z1914">
        <v>-7.1699469999999899E-3</v>
      </c>
      <c r="AA1914">
        <v>0.99608269999999899</v>
      </c>
      <c r="AB1914">
        <v>42</v>
      </c>
      <c r="AC1914">
        <v>-14.395799999999999</v>
      </c>
      <c r="AD1914">
        <v>-1.1045607145195999</v>
      </c>
      <c r="AE1914">
        <v>-0.56139999999999102</v>
      </c>
      <c r="AF1914">
        <v>-1.2900732083439801</v>
      </c>
      <c r="AG1914">
        <v>-1.1045607145195999</v>
      </c>
      <c r="AH1914">
        <v>14.264332368009899</v>
      </c>
      <c r="AI1914">
        <v>94.409943876984201</v>
      </c>
      <c r="AJ1914">
        <v>95.167799000566404</v>
      </c>
      <c r="AK1914">
        <v>14.3650799218105</v>
      </c>
    </row>
    <row r="1915" spans="1:37" x14ac:dyDescent="0.2">
      <c r="A1915" t="str">
        <f>"20200111153645569"</f>
        <v>20200111153645569</v>
      </c>
      <c r="B1915" t="str">
        <f>"1578728205564648"</f>
        <v>1578728205564648</v>
      </c>
      <c r="C1915" t="s">
        <v>37</v>
      </c>
      <c r="D1915">
        <v>5.8462300000000003</v>
      </c>
      <c r="E1915">
        <v>0.48826949999999902</v>
      </c>
      <c r="F1915" t="s">
        <v>45</v>
      </c>
      <c r="G1915">
        <v>-353.70839999999998</v>
      </c>
      <c r="H1915" s="1">
        <v>4.3661780000000001E-7</v>
      </c>
      <c r="I1915">
        <v>284.11</v>
      </c>
      <c r="J1915">
        <v>-339.3526</v>
      </c>
      <c r="K1915">
        <v>1.1047199999999999</v>
      </c>
      <c r="L1915">
        <v>284.66460000000001</v>
      </c>
      <c r="M1915">
        <v>-0.99861</v>
      </c>
      <c r="N1915">
        <v>0</v>
      </c>
      <c r="O1915">
        <v>5.0712569999999998E-2</v>
      </c>
      <c r="P1915">
        <v>-0.99830479999999999</v>
      </c>
      <c r="Q1915">
        <v>5.7709089999999998E-2</v>
      </c>
      <c r="R1915">
        <v>-7.5574469999999897E-3</v>
      </c>
      <c r="S1915">
        <v>-3.0177309999999999</v>
      </c>
      <c r="T1915">
        <v>-0.22706399999999999</v>
      </c>
      <c r="U1915">
        <v>-0.1106567</v>
      </c>
      <c r="V1915">
        <v>-5.8203419999999999E-2</v>
      </c>
      <c r="W1915">
        <v>7.2004730000000003E-2</v>
      </c>
      <c r="X1915">
        <v>0.99570460000000005</v>
      </c>
      <c r="Y1915">
        <v>-8.6892250000000004E-2</v>
      </c>
      <c r="Z1915">
        <v>-7.072493E-3</v>
      </c>
      <c r="AA1915">
        <v>0.99619259999999998</v>
      </c>
      <c r="AB1915">
        <v>42</v>
      </c>
      <c r="AC1915">
        <v>-14.355799999999901</v>
      </c>
      <c r="AD1915">
        <v>-1.1047195633822</v>
      </c>
      <c r="AE1915">
        <v>-0.55459999999999299</v>
      </c>
      <c r="AF1915">
        <v>-1.2744451781098101</v>
      </c>
      <c r="AG1915">
        <v>-1.1047195633822</v>
      </c>
      <c r="AH1915">
        <v>14.2250846287901</v>
      </c>
      <c r="AI1915">
        <v>94.423030367217606</v>
      </c>
      <c r="AJ1915">
        <v>95.119540487055602</v>
      </c>
      <c r="AK1915">
        <v>14.3247215861938</v>
      </c>
    </row>
    <row r="1916" spans="1:37" x14ac:dyDescent="0.2">
      <c r="A1916" t="str">
        <f>"20200111153645592"</f>
        <v>20200111153645592</v>
      </c>
      <c r="B1916" t="str">
        <f>"1578728205584166"</f>
        <v>1578728205584166</v>
      </c>
      <c r="C1916" t="s">
        <v>37</v>
      </c>
      <c r="D1916">
        <v>6.1878199999999897</v>
      </c>
      <c r="E1916">
        <v>0.48894799999999899</v>
      </c>
      <c r="F1916" t="s">
        <v>45</v>
      </c>
      <c r="G1916">
        <v>-354.03109999999998</v>
      </c>
      <c r="H1916" s="1">
        <v>6.0834899999999898E-7</v>
      </c>
      <c r="I1916">
        <v>284.1463</v>
      </c>
      <c r="J1916">
        <v>-339.77510000000001</v>
      </c>
      <c r="K1916">
        <v>1.1049500000000001</v>
      </c>
      <c r="L1916">
        <v>284.68540000000002</v>
      </c>
      <c r="M1916">
        <v>-0.99865099999999996</v>
      </c>
      <c r="N1916">
        <v>0</v>
      </c>
      <c r="O1916">
        <v>4.9899100000000002E-2</v>
      </c>
      <c r="P1916">
        <v>-0.99823390000000001</v>
      </c>
      <c r="Q1916">
        <v>5.8683850000000003E-2</v>
      </c>
      <c r="R1916">
        <v>-9.2646020000000003E-3</v>
      </c>
      <c r="S1916">
        <v>-3.0174560000000001</v>
      </c>
      <c r="T1916">
        <v>-0.22709689999999999</v>
      </c>
      <c r="U1916">
        <v>-0.106536899999999</v>
      </c>
      <c r="V1916">
        <v>-5.9135170000000001E-2</v>
      </c>
      <c r="W1916">
        <v>7.2942110000000004E-2</v>
      </c>
      <c r="X1916">
        <v>0.99558150000000001</v>
      </c>
      <c r="Y1916">
        <v>-8.4733699999999995E-2</v>
      </c>
      <c r="Z1916">
        <v>-6.9321169999999998E-3</v>
      </c>
      <c r="AA1916">
        <v>0.99637949999999997</v>
      </c>
      <c r="AB1916">
        <v>42</v>
      </c>
      <c r="AC1916">
        <v>-14.255999999999901</v>
      </c>
      <c r="AD1916">
        <v>-1.104949391651</v>
      </c>
      <c r="AE1916">
        <v>-0.53910000000001901</v>
      </c>
      <c r="AF1916">
        <v>-1.24241018286362</v>
      </c>
      <c r="AG1916">
        <v>-1.104949391651</v>
      </c>
      <c r="AH1916">
        <v>14.1265902913494</v>
      </c>
      <c r="AI1916">
        <v>94.455310199549004</v>
      </c>
      <c r="AJ1916">
        <v>95.026136481828999</v>
      </c>
      <c r="AK1916">
        <v>14.2241010078051</v>
      </c>
    </row>
    <row r="1917" spans="1:37" x14ac:dyDescent="0.2">
      <c r="A1917" t="str">
        <f>"20200111153645614"</f>
        <v>20200111153645614</v>
      </c>
      <c r="B1917" t="str">
        <f>"1578728205604662"</f>
        <v>1578728205604662</v>
      </c>
      <c r="C1917" t="s">
        <v>37</v>
      </c>
      <c r="D1917">
        <v>5.7868699999999897</v>
      </c>
      <c r="E1917">
        <v>0.489490799999999</v>
      </c>
      <c r="F1917" t="s">
        <v>45</v>
      </c>
      <c r="G1917">
        <v>-354.7106</v>
      </c>
      <c r="H1917" s="1">
        <v>9.6997450000000007E-7</v>
      </c>
      <c r="I1917">
        <v>284.15750000000003</v>
      </c>
      <c r="J1917">
        <v>-340.18709999999999</v>
      </c>
      <c r="K1917">
        <v>1.1051839999999999</v>
      </c>
      <c r="L1917">
        <v>284.70519999999999</v>
      </c>
      <c r="M1917">
        <v>-0.99870009999999998</v>
      </c>
      <c r="N1917">
        <v>0</v>
      </c>
      <c r="O1917">
        <v>4.8907680000000002E-2</v>
      </c>
      <c r="P1917">
        <v>-0.99814519999999995</v>
      </c>
      <c r="Q1917">
        <v>5.9908080000000002E-2</v>
      </c>
      <c r="R1917">
        <v>-1.0828020000000001E-2</v>
      </c>
      <c r="S1917">
        <v>-3.0174259999999999</v>
      </c>
      <c r="T1917">
        <v>-0.22323270000000001</v>
      </c>
      <c r="U1917">
        <v>-0.1066589</v>
      </c>
      <c r="V1917">
        <v>-5.9745630000000001E-2</v>
      </c>
      <c r="W1917">
        <v>7.4130489999999993E-2</v>
      </c>
      <c r="X1917">
        <v>0.99545720000000004</v>
      </c>
      <c r="Y1917">
        <v>-8.3803210000000003E-2</v>
      </c>
      <c r="Z1917">
        <v>-6.7069959999999998E-3</v>
      </c>
      <c r="AA1917">
        <v>0.99645980000000001</v>
      </c>
      <c r="AB1917">
        <v>42</v>
      </c>
      <c r="AC1917">
        <v>-14.5235</v>
      </c>
      <c r="AD1917">
        <v>-1.1051830300254999</v>
      </c>
      <c r="AE1917">
        <v>-0.54769999999996299</v>
      </c>
      <c r="AF1917">
        <v>-1.2501991903868499</v>
      </c>
      <c r="AG1917">
        <v>-1.1051830300254999</v>
      </c>
      <c r="AH1917">
        <v>14.396082685398801</v>
      </c>
      <c r="AI1917">
        <v>94.373572517285595</v>
      </c>
      <c r="AJ1917">
        <v>94.963285879135</v>
      </c>
      <c r="AK1917">
        <v>14.492467844723301</v>
      </c>
    </row>
    <row r="1918" spans="1:37" x14ac:dyDescent="0.2">
      <c r="A1918" t="str">
        <f>"20200111153645635"</f>
        <v>20200111153645635</v>
      </c>
      <c r="B1918" t="str">
        <f>"1578728205624182"</f>
        <v>1578728205624182</v>
      </c>
      <c r="C1918" t="s">
        <v>37</v>
      </c>
      <c r="D1918">
        <v>5.8648089999999904</v>
      </c>
      <c r="E1918">
        <v>0.48994379999999998</v>
      </c>
      <c r="F1918" t="s">
        <v>45</v>
      </c>
      <c r="G1918">
        <v>-355.48770000000002</v>
      </c>
      <c r="H1918" s="1">
        <v>1.3835E-6</v>
      </c>
      <c r="I1918">
        <v>284.15910000000002</v>
      </c>
      <c r="J1918">
        <v>-340.57549999999998</v>
      </c>
      <c r="K1918">
        <v>1.105391</v>
      </c>
      <c r="L1918">
        <v>284.72340000000003</v>
      </c>
      <c r="M1918">
        <v>-0.99875369999999997</v>
      </c>
      <c r="N1918">
        <v>0</v>
      </c>
      <c r="O1918">
        <v>4.7799830000000001E-2</v>
      </c>
      <c r="P1918">
        <v>-0.99809720000000002</v>
      </c>
      <c r="Q1918">
        <v>6.0467880000000002E-2</v>
      </c>
      <c r="R1918">
        <v>-1.2070620000000001E-2</v>
      </c>
      <c r="S1918">
        <v>-3.017487</v>
      </c>
      <c r="T1918">
        <v>-0.2179574</v>
      </c>
      <c r="U1918">
        <v>-0.107696499999999</v>
      </c>
      <c r="V1918">
        <v>-5.9917459999999999E-2</v>
      </c>
      <c r="W1918">
        <v>7.4658790000000003E-2</v>
      </c>
      <c r="X1918">
        <v>0.9954075</v>
      </c>
      <c r="Y1918">
        <v>-8.3061070000000001E-2</v>
      </c>
      <c r="Z1918">
        <v>-6.4421259999999899E-3</v>
      </c>
      <c r="AA1918">
        <v>0.99652359999999895</v>
      </c>
      <c r="AB1918">
        <v>42</v>
      </c>
      <c r="AC1918">
        <v>-14.9122</v>
      </c>
      <c r="AD1918">
        <v>-1.1053896164999999</v>
      </c>
      <c r="AE1918">
        <v>-0.56430000000000202</v>
      </c>
      <c r="AF1918">
        <v>-1.2695630229912001</v>
      </c>
      <c r="AG1918">
        <v>-1.1053896164999999</v>
      </c>
      <c r="AH1918">
        <v>14.7870398511125</v>
      </c>
      <c r="AI1918">
        <v>94.259521858396297</v>
      </c>
      <c r="AJ1918">
        <v>94.907179421260295</v>
      </c>
      <c r="AK1918">
        <v>14.882547632445201</v>
      </c>
    </row>
    <row r="1919" spans="1:37" x14ac:dyDescent="0.2">
      <c r="A1919" t="str">
        <f>"20200111153645658"</f>
        <v>20200111153645658</v>
      </c>
      <c r="B1919" t="str">
        <f>"1578728205654438"</f>
        <v>1578728205654438</v>
      </c>
      <c r="C1919" t="s">
        <v>37</v>
      </c>
      <c r="D1919">
        <v>5.8685279999999898</v>
      </c>
      <c r="E1919">
        <v>0.49054359999999902</v>
      </c>
      <c r="F1919" t="s">
        <v>45</v>
      </c>
      <c r="G1919">
        <v>-356.08640000000003</v>
      </c>
      <c r="H1919" s="1">
        <v>1.702069E-6</v>
      </c>
      <c r="I1919">
        <v>284.16750000000002</v>
      </c>
      <c r="J1919">
        <v>-341.00409999999999</v>
      </c>
      <c r="K1919">
        <v>1.1056109999999999</v>
      </c>
      <c r="L1919">
        <v>284.74270000000001</v>
      </c>
      <c r="M1919">
        <v>-0.99881980000000004</v>
      </c>
      <c r="N1919">
        <v>0</v>
      </c>
      <c r="O1919">
        <v>4.63977E-2</v>
      </c>
      <c r="P1919">
        <v>-0.99802060000000004</v>
      </c>
      <c r="Q1919">
        <v>6.1257819999999998E-2</v>
      </c>
      <c r="R1919">
        <v>-1.423026E-2</v>
      </c>
      <c r="S1919">
        <v>-3.0174259999999999</v>
      </c>
      <c r="T1919">
        <v>-0.2150379</v>
      </c>
      <c r="U1919">
        <v>-0.10812380000000001</v>
      </c>
      <c r="V1919">
        <v>-6.0713780000000002E-2</v>
      </c>
      <c r="W1919">
        <v>7.541291E-2</v>
      </c>
      <c r="X1919">
        <v>0.99530229999999997</v>
      </c>
      <c r="Y1919">
        <v>-8.1819450000000002E-2</v>
      </c>
      <c r="Z1919">
        <v>-6.2122669999999996E-3</v>
      </c>
      <c r="AA1919">
        <v>0.99662779999999995</v>
      </c>
      <c r="AB1919">
        <v>42</v>
      </c>
      <c r="AC1919">
        <v>-15.0823</v>
      </c>
      <c r="AD1919">
        <v>-1.1056092979309999</v>
      </c>
      <c r="AE1919">
        <v>-0.57519999999999505</v>
      </c>
      <c r="AF1919">
        <v>-1.2676347055694701</v>
      </c>
      <c r="AG1919">
        <v>-1.1056092979309999</v>
      </c>
      <c r="AH1919">
        <v>14.959095027023</v>
      </c>
      <c r="AI1919">
        <v>94.211937853668303</v>
      </c>
      <c r="AJ1919">
        <v>94.843676326397002</v>
      </c>
      <c r="AK1919">
        <v>15.0533648628451</v>
      </c>
    </row>
    <row r="1920" spans="1:37" x14ac:dyDescent="0.2">
      <c r="A1920" t="str">
        <f>"20200111153645680"</f>
        <v>20200111153645680</v>
      </c>
      <c r="B1920" t="str">
        <f>"1578728205674935"</f>
        <v>1578728205674935</v>
      </c>
      <c r="C1920" t="s">
        <v>37</v>
      </c>
      <c r="D1920">
        <v>5.8703320000000003</v>
      </c>
      <c r="E1920">
        <v>0.49096329999999999</v>
      </c>
      <c r="F1920" t="s">
        <v>45</v>
      </c>
      <c r="G1920">
        <v>-356.75850000000003</v>
      </c>
      <c r="H1920" s="1">
        <v>2.05972199999999E-6</v>
      </c>
      <c r="I1920">
        <v>284.16989999999998</v>
      </c>
      <c r="J1920">
        <v>-341.40980000000002</v>
      </c>
      <c r="K1920">
        <v>1.105801</v>
      </c>
      <c r="L1920">
        <v>284.76029999999997</v>
      </c>
      <c r="M1920">
        <v>-0.99888809999999995</v>
      </c>
      <c r="N1920">
        <v>0</v>
      </c>
      <c r="O1920">
        <v>4.4900049999999997E-2</v>
      </c>
      <c r="P1920">
        <v>-0.99787800000000004</v>
      </c>
      <c r="Q1920">
        <v>6.2975160000000002E-2</v>
      </c>
      <c r="R1920">
        <v>-1.6535709999999999E-2</v>
      </c>
      <c r="S1920">
        <v>-3.017395</v>
      </c>
      <c r="T1920">
        <v>-0.2117542</v>
      </c>
      <c r="U1920">
        <v>-0.10971069999999999</v>
      </c>
      <c r="V1920">
        <v>-6.1555319999999997E-2</v>
      </c>
      <c r="W1920">
        <v>7.7097429999999995E-2</v>
      </c>
      <c r="X1920">
        <v>0.99512149999999999</v>
      </c>
      <c r="Y1920">
        <v>-8.0864790000000006E-2</v>
      </c>
      <c r="Z1920">
        <v>-5.9792930000000001E-3</v>
      </c>
      <c r="AA1920">
        <v>0.99670709999999996</v>
      </c>
      <c r="AB1920">
        <v>42</v>
      </c>
      <c r="AC1920">
        <v>-15.348699999999999</v>
      </c>
      <c r="AD1920">
        <v>-1.105798940278</v>
      </c>
      <c r="AE1920">
        <v>-0.59039999999998805</v>
      </c>
      <c r="AF1920">
        <v>-1.27243819826294</v>
      </c>
      <c r="AG1920">
        <v>-1.105798940278</v>
      </c>
      <c r="AH1920">
        <v>15.2277826459002</v>
      </c>
      <c r="AI1920">
        <v>94.138994358537801</v>
      </c>
      <c r="AJ1920">
        <v>94.776556414287597</v>
      </c>
      <c r="AK1920">
        <v>15.320811159187899</v>
      </c>
    </row>
    <row r="1921" spans="1:37" x14ac:dyDescent="0.2">
      <c r="A1921" t="str">
        <f>"20200111153645703"</f>
        <v>20200111153645703</v>
      </c>
      <c r="B1921" t="str">
        <f>"1578728205694454"</f>
        <v>1578728205694454</v>
      </c>
      <c r="C1921" t="s">
        <v>37</v>
      </c>
      <c r="D1921">
        <v>5.9991159999999999</v>
      </c>
      <c r="E1921">
        <v>0.49130279999999998</v>
      </c>
      <c r="F1921" t="s">
        <v>45</v>
      </c>
      <c r="G1921">
        <v>-357.66109999999998</v>
      </c>
      <c r="H1921" s="1">
        <v>2.5400729999999999E-6</v>
      </c>
      <c r="I1921">
        <v>284.15069999999997</v>
      </c>
      <c r="J1921">
        <v>-341.83019999999999</v>
      </c>
      <c r="K1921">
        <v>1.1059680000000001</v>
      </c>
      <c r="L1921">
        <v>284.77780000000001</v>
      </c>
      <c r="M1921">
        <v>-0.99896299999999905</v>
      </c>
      <c r="N1921">
        <v>0</v>
      </c>
      <c r="O1921">
        <v>4.3204300000000001E-2</v>
      </c>
      <c r="P1921">
        <v>-0.99779259999999903</v>
      </c>
      <c r="Q1921">
        <v>6.3870850000000007E-2</v>
      </c>
      <c r="R1921">
        <v>-1.8182670000000001E-2</v>
      </c>
      <c r="S1921">
        <v>-3.0174560000000001</v>
      </c>
      <c r="T1921">
        <v>-0.20531820000000001</v>
      </c>
      <c r="U1921">
        <v>-0.113189699999999</v>
      </c>
      <c r="V1921">
        <v>-6.1540709999999998E-2</v>
      </c>
      <c r="W1921">
        <v>7.7965980000000004E-2</v>
      </c>
      <c r="X1921">
        <v>0.99505480000000002</v>
      </c>
      <c r="Y1921">
        <v>-8.0343310000000001E-2</v>
      </c>
      <c r="Z1921">
        <v>-5.6648649999999998E-3</v>
      </c>
      <c r="AA1921">
        <v>0.9967511</v>
      </c>
      <c r="AB1921">
        <v>41</v>
      </c>
      <c r="AC1921">
        <v>-15.8308999999999</v>
      </c>
      <c r="AD1921">
        <v>-1.1059654599269999</v>
      </c>
      <c r="AE1921">
        <v>-0.62710000000004096</v>
      </c>
      <c r="AF1921">
        <v>-1.3041925976747599</v>
      </c>
      <c r="AG1921">
        <v>-1.1059654599269999</v>
      </c>
      <c r="AH1921">
        <v>15.7124529390821</v>
      </c>
      <c r="AI1921">
        <v>94.012531603766504</v>
      </c>
      <c r="AJ1921">
        <v>94.744887975600506</v>
      </c>
      <c r="AK1921">
        <v>15.8052287327091</v>
      </c>
    </row>
    <row r="1922" spans="1:37" x14ac:dyDescent="0.2">
      <c r="A1922" t="str">
        <f>"20200111153645716"</f>
        <v>20200111153645716</v>
      </c>
      <c r="B1922" t="str">
        <f>"1578728205704215"</f>
        <v>1578728205704215</v>
      </c>
      <c r="C1922" t="s">
        <v>37</v>
      </c>
      <c r="D1922">
        <v>6.0465859999999996</v>
      </c>
      <c r="E1922">
        <v>0.49138589999999999</v>
      </c>
      <c r="F1922" t="s">
        <v>45</v>
      </c>
      <c r="G1922">
        <v>-358.42169999999999</v>
      </c>
      <c r="H1922" s="1">
        <v>2.9448000000000002E-6</v>
      </c>
      <c r="I1922">
        <v>284.14210000000003</v>
      </c>
      <c r="J1922">
        <v>-342.08440000000002</v>
      </c>
      <c r="K1922">
        <v>1.1060559999999999</v>
      </c>
      <c r="L1922">
        <v>284.78800000000001</v>
      </c>
      <c r="M1922">
        <v>-0.99900909999999998</v>
      </c>
      <c r="N1922">
        <v>0</v>
      </c>
      <c r="O1922">
        <v>4.212871E-2</v>
      </c>
      <c r="P1922">
        <v>-0.99778069999999897</v>
      </c>
      <c r="Q1922">
        <v>6.3796580000000006E-2</v>
      </c>
      <c r="R1922">
        <v>-1.9081750000000001E-2</v>
      </c>
      <c r="S1922">
        <v>-3.017395</v>
      </c>
      <c r="T1922">
        <v>-0.20113519999999999</v>
      </c>
      <c r="U1922">
        <v>-0.1156006</v>
      </c>
      <c r="V1922">
        <v>-6.1383119999999999E-2</v>
      </c>
      <c r="W1922">
        <v>7.7878039999999996E-2</v>
      </c>
      <c r="X1922">
        <v>0.99507139999999905</v>
      </c>
      <c r="Y1922">
        <v>-8.0080579999999998E-2</v>
      </c>
      <c r="Z1922">
        <v>-5.4694280000000001E-3</v>
      </c>
      <c r="AA1922">
        <v>0.99677340000000003</v>
      </c>
      <c r="AB1922">
        <v>41</v>
      </c>
      <c r="AC1922">
        <v>-16.3372999999999</v>
      </c>
      <c r="AD1922">
        <v>-1.1060530551999901</v>
      </c>
      <c r="AE1922">
        <v>-0.64589999999998304</v>
      </c>
      <c r="AF1922">
        <v>-1.3275912835369399</v>
      </c>
      <c r="AG1922">
        <v>-1.1060530551999901</v>
      </c>
      <c r="AH1922">
        <v>16.221345385206401</v>
      </c>
      <c r="AI1922">
        <v>93.887718906886803</v>
      </c>
      <c r="AJ1922">
        <v>94.678787267573298</v>
      </c>
      <c r="AK1922">
        <v>16.3131204275331</v>
      </c>
    </row>
    <row r="1923" spans="1:37" x14ac:dyDescent="0.2">
      <c r="A1923" t="str">
        <f>"20200111153645731"</f>
        <v>20200111153645731</v>
      </c>
      <c r="B1923" t="str">
        <f>"1578728205724711"</f>
        <v>1578728205724711</v>
      </c>
      <c r="C1923" t="s">
        <v>37</v>
      </c>
      <c r="D1923">
        <v>5.8572419999999896</v>
      </c>
      <c r="E1923">
        <v>0.49164769999999902</v>
      </c>
      <c r="F1923" t="s">
        <v>45</v>
      </c>
      <c r="G1923">
        <v>-358.69349999999997</v>
      </c>
      <c r="H1923" s="1">
        <v>3.0894619999999899E-6</v>
      </c>
      <c r="I1923">
        <v>284.13900000000001</v>
      </c>
      <c r="J1923">
        <v>-342.33539999999999</v>
      </c>
      <c r="K1923">
        <v>1.1061319999999999</v>
      </c>
      <c r="L1923">
        <v>284.79770000000002</v>
      </c>
      <c r="M1923">
        <v>-0.99905460000000001</v>
      </c>
      <c r="N1923">
        <v>0</v>
      </c>
      <c r="O1923">
        <v>4.1031629999999999E-2</v>
      </c>
      <c r="P1923">
        <v>-0.99781319999999996</v>
      </c>
      <c r="Q1923">
        <v>6.3054810000000003E-2</v>
      </c>
      <c r="R1923">
        <v>-1.9822510000000002E-2</v>
      </c>
      <c r="S1923">
        <v>-3.0172729999999999</v>
      </c>
      <c r="T1923">
        <v>-0.20092979999999899</v>
      </c>
      <c r="U1923">
        <v>-0.11788940000000001</v>
      </c>
      <c r="V1923">
        <v>-6.1043649999999998E-2</v>
      </c>
      <c r="W1923">
        <v>7.7125959999999993E-2</v>
      </c>
      <c r="X1923">
        <v>0.99515089999999995</v>
      </c>
      <c r="Y1923">
        <v>-7.9746239999999996E-2</v>
      </c>
      <c r="Z1923">
        <v>-5.3799519999999899E-3</v>
      </c>
      <c r="AA1923">
        <v>0.99680069999999998</v>
      </c>
      <c r="AB1923">
        <v>41</v>
      </c>
      <c r="AC1923">
        <v>-16.358099999999901</v>
      </c>
      <c r="AD1923">
        <v>-1.1061289105380001</v>
      </c>
      <c r="AE1923">
        <v>-0.65870000000001006</v>
      </c>
      <c r="AF1923">
        <v>-1.32337270021328</v>
      </c>
      <c r="AG1923">
        <v>-1.1061289105380001</v>
      </c>
      <c r="AH1923">
        <v>16.243140657736401</v>
      </c>
      <c r="AI1923">
        <v>93.882899765718406</v>
      </c>
      <c r="AJ1923">
        <v>94.657754896872802</v>
      </c>
      <c r="AK1923">
        <v>16.3344560637141</v>
      </c>
    </row>
    <row r="1924" spans="1:37" x14ac:dyDescent="0.2">
      <c r="A1924" t="str">
        <f>"20200111153645748"</f>
        <v>20200111153645748</v>
      </c>
      <c r="B1924" t="str">
        <f>"1578728205744231"</f>
        <v>1578728205744231</v>
      </c>
      <c r="C1924" t="s">
        <v>37</v>
      </c>
      <c r="D1924">
        <v>6.1256300000000001</v>
      </c>
      <c r="E1924">
        <v>0.49187969999999998</v>
      </c>
      <c r="F1924" t="s">
        <v>45</v>
      </c>
      <c r="G1924">
        <v>-358.88810000000001</v>
      </c>
      <c r="H1924" s="1">
        <v>3.193015E-6</v>
      </c>
      <c r="I1924">
        <v>284.14960000000002</v>
      </c>
      <c r="J1924">
        <v>-342.65190000000001</v>
      </c>
      <c r="K1924">
        <v>1.106212</v>
      </c>
      <c r="L1924">
        <v>284.80959999999999</v>
      </c>
      <c r="M1924">
        <v>-0.99911179999999999</v>
      </c>
      <c r="N1924">
        <v>0</v>
      </c>
      <c r="O1924">
        <v>3.9617859999999998E-2</v>
      </c>
      <c r="P1924">
        <v>-0.99793860000000001</v>
      </c>
      <c r="Q1924">
        <v>6.1032879999999998E-2</v>
      </c>
      <c r="R1924">
        <v>-1.9837279999999999E-2</v>
      </c>
      <c r="S1924">
        <v>-3.0169980000000001</v>
      </c>
      <c r="T1924">
        <v>-0.20161009999999999</v>
      </c>
      <c r="U1924">
        <v>-0.1181335</v>
      </c>
      <c r="V1924">
        <v>-5.9662979999999997E-2</v>
      </c>
      <c r="W1924">
        <v>7.5097670000000005E-2</v>
      </c>
      <c r="X1924">
        <v>0.99538969999999904</v>
      </c>
      <c r="Y1924">
        <v>-7.8423950000000006E-2</v>
      </c>
      <c r="Z1924">
        <v>-5.2601719999999996E-3</v>
      </c>
      <c r="AA1924">
        <v>0.99690619999999996</v>
      </c>
      <c r="AB1924">
        <v>41</v>
      </c>
      <c r="AC1924">
        <v>-16.236199999999901</v>
      </c>
      <c r="AD1924">
        <v>-1.106208806985</v>
      </c>
      <c r="AE1924">
        <v>-0.65999999999996795</v>
      </c>
      <c r="AF1924">
        <v>-1.29678177000071</v>
      </c>
      <c r="AG1924">
        <v>-1.106208806985</v>
      </c>
      <c r="AH1924">
        <v>16.122582306428001</v>
      </c>
      <c r="AI1924">
        <v>93.912452676089003</v>
      </c>
      <c r="AJ1924">
        <v>94.598550907638199</v>
      </c>
      <c r="AK1924">
        <v>16.212433534519199</v>
      </c>
    </row>
    <row r="1925" spans="1:37" x14ac:dyDescent="0.2">
      <c r="A1925" t="str">
        <f>"20200111153645782"</f>
        <v>20200111153645782</v>
      </c>
      <c r="B1925" t="str">
        <f>"1578728205774486"</f>
        <v>1578728205774486</v>
      </c>
      <c r="C1925" t="s">
        <v>37</v>
      </c>
      <c r="D1925">
        <v>6.1237620000000001</v>
      </c>
      <c r="E1925">
        <v>0.4921932</v>
      </c>
      <c r="F1925" t="s">
        <v>45</v>
      </c>
      <c r="G1925">
        <v>-358.69900000000001</v>
      </c>
      <c r="H1925" s="1">
        <v>3.0924069999999998E-6</v>
      </c>
      <c r="I1925">
        <v>284.18990000000002</v>
      </c>
      <c r="J1925">
        <v>-343.28179999999998</v>
      </c>
      <c r="K1925">
        <v>1.1063419999999999</v>
      </c>
      <c r="L1925">
        <v>284.83190000000002</v>
      </c>
      <c r="M1925">
        <v>-0.99922239999999996</v>
      </c>
      <c r="N1925">
        <v>0</v>
      </c>
      <c r="O1925">
        <v>3.671978E-2</v>
      </c>
      <c r="P1925">
        <v>-0.9980831</v>
      </c>
      <c r="Q1925">
        <v>5.8706210000000002E-2</v>
      </c>
      <c r="R1925">
        <v>-1.9591790000000001E-2</v>
      </c>
      <c r="S1925">
        <v>-3.0166019999999998</v>
      </c>
      <c r="T1925">
        <v>-0.20794869999999999</v>
      </c>
      <c r="U1925">
        <v>-0.11648559999999999</v>
      </c>
      <c r="V1925">
        <v>-5.6550320000000001E-2</v>
      </c>
      <c r="W1925">
        <v>7.2764709999999996E-2</v>
      </c>
      <c r="X1925">
        <v>0.99574459999999998</v>
      </c>
      <c r="Y1925">
        <v>-7.4991489999999994E-2</v>
      </c>
      <c r="Z1925">
        <v>-5.1083509999999997E-3</v>
      </c>
      <c r="AA1925">
        <v>0.99717109999999998</v>
      </c>
      <c r="AB1925">
        <v>41</v>
      </c>
      <c r="AC1925">
        <v>-15.417199999999999</v>
      </c>
      <c r="AD1925">
        <v>-1.1063389075929999</v>
      </c>
      <c r="AE1925">
        <v>-0.64199999999999502</v>
      </c>
      <c r="AF1925">
        <v>-1.2015647783336001</v>
      </c>
      <c r="AG1925">
        <v>-1.1063389075929999</v>
      </c>
      <c r="AH1925">
        <v>15.304549579772599</v>
      </c>
      <c r="AI1925">
        <v>94.121978731301297</v>
      </c>
      <c r="AJ1925">
        <v>94.489100541498303</v>
      </c>
      <c r="AK1925">
        <v>15.391458070459199</v>
      </c>
    </row>
    <row r="1926" spans="1:37" x14ac:dyDescent="0.2">
      <c r="A1926" t="str">
        <f>"20200111153645803"</f>
        <v>20200111153645803</v>
      </c>
      <c r="B1926" t="str">
        <f>"1578728205794985"</f>
        <v>1578728205794985</v>
      </c>
      <c r="C1926" t="s">
        <v>37</v>
      </c>
      <c r="D1926">
        <v>6.1309610000000001</v>
      </c>
      <c r="E1926">
        <v>0.49226920000000002</v>
      </c>
      <c r="F1926" t="s">
        <v>45</v>
      </c>
      <c r="G1926">
        <v>-358.7955</v>
      </c>
      <c r="H1926" s="1">
        <v>3.143735E-6</v>
      </c>
      <c r="I1926">
        <v>284.25049999999999</v>
      </c>
      <c r="J1926">
        <v>-343.678</v>
      </c>
      <c r="K1926">
        <v>1.106401</v>
      </c>
      <c r="L1926">
        <v>284.84500000000003</v>
      </c>
      <c r="M1926">
        <v>-0.99928930000000005</v>
      </c>
      <c r="N1926">
        <v>0</v>
      </c>
      <c r="O1926">
        <v>3.4859439999999998E-2</v>
      </c>
      <c r="P1926">
        <v>-0.99816579999999999</v>
      </c>
      <c r="Q1926">
        <v>5.7334980000000001E-2</v>
      </c>
      <c r="R1926">
        <v>-1.9450289999999999E-2</v>
      </c>
      <c r="S1926">
        <v>-3.0162659999999999</v>
      </c>
      <c r="T1926">
        <v>-0.215100599999999</v>
      </c>
      <c r="U1926">
        <v>-0.1130371</v>
      </c>
      <c r="V1926">
        <v>-5.4563340000000002E-2</v>
      </c>
      <c r="W1926">
        <v>7.1393559999999995E-2</v>
      </c>
      <c r="X1926">
        <v>0.99595469999999897</v>
      </c>
      <c r="Y1926">
        <v>-7.1994310000000006E-2</v>
      </c>
      <c r="Z1926">
        <v>-5.045145E-3</v>
      </c>
      <c r="AA1926">
        <v>0.99739230000000001</v>
      </c>
      <c r="AB1926">
        <v>41</v>
      </c>
      <c r="AC1926">
        <v>-15.1174999999999</v>
      </c>
      <c r="AD1926">
        <v>-1.1063978562649901</v>
      </c>
      <c r="AE1926">
        <v>-0.594500000000039</v>
      </c>
      <c r="AF1926">
        <v>-1.1152162214675001</v>
      </c>
      <c r="AG1926">
        <v>-1.1063978562649901</v>
      </c>
      <c r="AH1926">
        <v>15.007324793634901</v>
      </c>
      <c r="AI1926">
        <v>94.204885430577903</v>
      </c>
      <c r="AJ1926">
        <v>94.249921572100703</v>
      </c>
      <c r="AK1926">
        <v>15.089321419421699</v>
      </c>
    </row>
    <row r="1927" spans="1:37" x14ac:dyDescent="0.2">
      <c r="A1927" t="str">
        <f>"20200111153645825"</f>
        <v>20200111153645825</v>
      </c>
      <c r="B1927" t="str">
        <f>"1578728205814502"</f>
        <v>1578728205814502</v>
      </c>
      <c r="C1927" t="s">
        <v>37</v>
      </c>
      <c r="D1927">
        <v>6.062303</v>
      </c>
      <c r="E1927">
        <v>0.4921353</v>
      </c>
      <c r="F1927" t="s">
        <v>45</v>
      </c>
      <c r="G1927">
        <v>-358.89170000000001</v>
      </c>
      <c r="H1927" s="1">
        <v>3.19491E-6</v>
      </c>
      <c r="I1927">
        <v>284.28109999999998</v>
      </c>
      <c r="J1927">
        <v>-344.0829</v>
      </c>
      <c r="K1927">
        <v>1.1064590000000001</v>
      </c>
      <c r="L1927">
        <v>284.85750000000002</v>
      </c>
      <c r="M1927">
        <v>-0.99935409999999902</v>
      </c>
      <c r="N1927">
        <v>0</v>
      </c>
      <c r="O1927">
        <v>3.2944660000000001E-2</v>
      </c>
      <c r="P1927">
        <v>-0.99818220000000002</v>
      </c>
      <c r="Q1927">
        <v>5.7001709999999997E-2</v>
      </c>
      <c r="R1927">
        <v>-1.957596E-2</v>
      </c>
      <c r="S1927">
        <v>-3.0158689999999999</v>
      </c>
      <c r="T1927">
        <v>-0.2193262</v>
      </c>
      <c r="U1927">
        <v>-0.11178589999999999</v>
      </c>
      <c r="V1927">
        <v>-5.2788349999999998E-2</v>
      </c>
      <c r="W1927">
        <v>7.1060150000000002E-2</v>
      </c>
      <c r="X1927">
        <v>0.99607420000000002</v>
      </c>
      <c r="Y1927">
        <v>-6.9675109999999998E-2</v>
      </c>
      <c r="Z1927">
        <v>-4.9214999999999997E-3</v>
      </c>
      <c r="AA1927">
        <v>0.99755759999999905</v>
      </c>
      <c r="AB1927">
        <v>41</v>
      </c>
      <c r="AC1927">
        <v>-14.8088</v>
      </c>
      <c r="AD1927">
        <v>-1.10645580509</v>
      </c>
      <c r="AE1927">
        <v>-0.576400000000035</v>
      </c>
      <c r="AF1927">
        <v>-1.0581102391803201</v>
      </c>
      <c r="AG1927">
        <v>-1.10645580509</v>
      </c>
      <c r="AH1927">
        <v>14.699830921887401</v>
      </c>
      <c r="AI1927">
        <v>94.293467769895301</v>
      </c>
      <c r="AJ1927">
        <v>94.117113326162695</v>
      </c>
      <c r="AK1927">
        <v>14.7793393241699</v>
      </c>
    </row>
    <row r="1928" spans="1:37" x14ac:dyDescent="0.2">
      <c r="A1928" t="str">
        <f>"20200111153645847"</f>
        <v>20200111153645847</v>
      </c>
      <c r="B1928" t="str">
        <f>"1578728205844758"</f>
        <v>1578728205844758</v>
      </c>
      <c r="C1928" t="s">
        <v>37</v>
      </c>
      <c r="D1928">
        <v>6.1717740000000001</v>
      </c>
      <c r="E1928">
        <v>0.49193389999999998</v>
      </c>
      <c r="F1928" t="s">
        <v>45</v>
      </c>
      <c r="G1928">
        <v>-359.24770000000001</v>
      </c>
      <c r="H1928" s="1">
        <v>3.3843949999999998E-6</v>
      </c>
      <c r="I1928">
        <v>284.28870000000001</v>
      </c>
      <c r="J1928">
        <v>-344.491999999999</v>
      </c>
      <c r="K1928">
        <v>1.1065100000000001</v>
      </c>
      <c r="L1928">
        <v>284.86930000000001</v>
      </c>
      <c r="M1928">
        <v>-0.99941619999999998</v>
      </c>
      <c r="N1928">
        <v>0</v>
      </c>
      <c r="O1928">
        <v>3.1005069999999999E-2</v>
      </c>
      <c r="P1928">
        <v>-0.99814919999999996</v>
      </c>
      <c r="Q1928">
        <v>5.7387889999999997E-2</v>
      </c>
      <c r="R1928">
        <v>-2.012974E-2</v>
      </c>
      <c r="S1928">
        <v>-3.0158079999999998</v>
      </c>
      <c r="T1928">
        <v>-0.22003979999999901</v>
      </c>
      <c r="U1928">
        <v>-0.1131287</v>
      </c>
      <c r="V1928">
        <v>-5.1415660000000002E-2</v>
      </c>
      <c r="W1928">
        <v>7.1445399999999895E-2</v>
      </c>
      <c r="X1928">
        <v>0.99611849999999902</v>
      </c>
      <c r="Y1928">
        <v>-6.8190600000000004E-2</v>
      </c>
      <c r="Z1928">
        <v>-4.7421859999999998E-3</v>
      </c>
      <c r="AA1928">
        <v>0.99766109999999897</v>
      </c>
      <c r="AB1928">
        <v>41</v>
      </c>
      <c r="AC1928">
        <v>-14.755699999999999</v>
      </c>
      <c r="AD1928">
        <v>-1.1065066156050001</v>
      </c>
      <c r="AE1928">
        <v>-0.580600000000004</v>
      </c>
      <c r="AF1928">
        <v>-1.0320747780633599</v>
      </c>
      <c r="AG1928">
        <v>-1.1065066156050001</v>
      </c>
      <c r="AH1928">
        <v>14.648356772285799</v>
      </c>
      <c r="AI1928">
        <v>94.309159057503294</v>
      </c>
      <c r="AJ1928">
        <v>94.030211108754301</v>
      </c>
      <c r="AK1928">
        <v>14.726299309944199</v>
      </c>
    </row>
    <row r="1929" spans="1:37" x14ac:dyDescent="0.2">
      <c r="A1929" t="str">
        <f>"20200111153645871"</f>
        <v>20200111153645871</v>
      </c>
      <c r="B1929" t="str">
        <f>"1578728205864281"</f>
        <v>1578728205864281</v>
      </c>
      <c r="C1929" t="s">
        <v>37</v>
      </c>
      <c r="D1929">
        <v>6.0412039999999996</v>
      </c>
      <c r="E1929">
        <v>0.49187529999999902</v>
      </c>
      <c r="F1929" t="s">
        <v>45</v>
      </c>
      <c r="G1929">
        <v>-359.77800000000002</v>
      </c>
      <c r="H1929" s="1">
        <v>3.6665669999999999E-6</v>
      </c>
      <c r="I1929">
        <v>284.27839999999998</v>
      </c>
      <c r="J1929">
        <v>-344.91329999999999</v>
      </c>
      <c r="K1929">
        <v>1.106557</v>
      </c>
      <c r="L1929">
        <v>284.88069999999999</v>
      </c>
      <c r="M1929">
        <v>-0.99947609999999998</v>
      </c>
      <c r="N1929">
        <v>0</v>
      </c>
      <c r="O1929">
        <v>2.901362E-2</v>
      </c>
      <c r="P1929">
        <v>-0.99800359999999999</v>
      </c>
      <c r="Q1929">
        <v>5.9174560000000001E-2</v>
      </c>
      <c r="R1929">
        <v>-2.207576E-2</v>
      </c>
      <c r="S1929">
        <v>-3.0157780000000001</v>
      </c>
      <c r="T1929">
        <v>-0.21830349999999901</v>
      </c>
      <c r="U1929">
        <v>-0.116577099999999</v>
      </c>
      <c r="V1929">
        <v>-5.138479E-2</v>
      </c>
      <c r="W1929">
        <v>7.32241E-2</v>
      </c>
      <c r="X1929">
        <v>0.99599090000000001</v>
      </c>
      <c r="Y1929">
        <v>-6.7353759999999999E-2</v>
      </c>
      <c r="Z1929">
        <v>-4.5306590000000002E-3</v>
      </c>
      <c r="AA1929">
        <v>0.99771889999999996</v>
      </c>
      <c r="AB1929">
        <v>41</v>
      </c>
      <c r="AC1929">
        <v>-14.864699999999999</v>
      </c>
      <c r="AD1929">
        <v>-1.106553333433</v>
      </c>
      <c r="AE1929">
        <v>-0.60230000000001305</v>
      </c>
      <c r="AF1929">
        <v>-1.02768387595109</v>
      </c>
      <c r="AG1929">
        <v>-1.106553333433</v>
      </c>
      <c r="AH1929">
        <v>14.7593086118044</v>
      </c>
      <c r="AI1929">
        <v>94.277311557256695</v>
      </c>
      <c r="AJ1929">
        <v>93.983050126814803</v>
      </c>
      <c r="AK1929">
        <v>14.836366978715001</v>
      </c>
    </row>
    <row r="1930" spans="1:37" x14ac:dyDescent="0.2">
      <c r="A1930" t="str">
        <f>"20200111153645892"</f>
        <v>20200111153645892</v>
      </c>
      <c r="B1930" t="str">
        <f>"1578728205884777"</f>
        <v>1578728205884777</v>
      </c>
      <c r="C1930" t="s">
        <v>37</v>
      </c>
      <c r="D1930">
        <v>6.1440419999999998</v>
      </c>
      <c r="E1930">
        <v>0.49185600000000002</v>
      </c>
      <c r="F1930" t="s">
        <v>45</v>
      </c>
      <c r="G1930">
        <v>-360.73750000000001</v>
      </c>
      <c r="H1930" s="1">
        <v>-1.144316E-6</v>
      </c>
      <c r="I1930">
        <v>284.2355</v>
      </c>
      <c r="J1930">
        <v>-345.32839999999999</v>
      </c>
      <c r="K1930">
        <v>1.106582</v>
      </c>
      <c r="L1930">
        <v>284.89109999999999</v>
      </c>
      <c r="M1930">
        <v>-0.99953060000000005</v>
      </c>
      <c r="N1930">
        <v>0</v>
      </c>
      <c r="O1930">
        <v>2.7067770000000001E-2</v>
      </c>
      <c r="P1930">
        <v>-0.99784390000000001</v>
      </c>
      <c r="Q1930">
        <v>6.0703630000000001E-2</v>
      </c>
      <c r="R1930">
        <v>-2.495663E-2</v>
      </c>
      <c r="S1930">
        <v>-3.0157780000000001</v>
      </c>
      <c r="T1930">
        <v>-0.21088769999999901</v>
      </c>
      <c r="U1930">
        <v>-0.1229553</v>
      </c>
      <c r="V1930">
        <v>-5.233061E-2</v>
      </c>
      <c r="W1930">
        <v>7.4741059999999998E-2</v>
      </c>
      <c r="X1930">
        <v>0.99582890000000002</v>
      </c>
      <c r="Y1930">
        <v>-6.7539299999999997E-2</v>
      </c>
      <c r="Z1930">
        <v>-4.2475830000000001E-3</v>
      </c>
      <c r="AA1930">
        <v>0.99770749999999997</v>
      </c>
      <c r="AB1930">
        <v>41</v>
      </c>
      <c r="AC1930">
        <v>-15.4091</v>
      </c>
      <c r="AD1930">
        <v>-1.1065831443159999</v>
      </c>
      <c r="AE1930">
        <v>-0.65559999999999197</v>
      </c>
      <c r="AF1930">
        <v>-1.0669998796817699</v>
      </c>
      <c r="AG1930">
        <v>-1.1065831443159999</v>
      </c>
      <c r="AH1930">
        <v>15.306907430074499</v>
      </c>
      <c r="AI1930">
        <v>94.124918905335804</v>
      </c>
      <c r="AJ1930">
        <v>93.987471576163202</v>
      </c>
      <c r="AK1930">
        <v>15.383901653072099</v>
      </c>
    </row>
    <row r="1931" spans="1:37" x14ac:dyDescent="0.2">
      <c r="A1931" t="str">
        <f>"20200111153645915"</f>
        <v>20200111153645915</v>
      </c>
      <c r="B1931" t="str">
        <f>"1578728205904294"</f>
        <v>1578728205904294</v>
      </c>
      <c r="C1931" t="s">
        <v>37</v>
      </c>
      <c r="D1931">
        <v>5.8435059999999996</v>
      </c>
      <c r="E1931">
        <v>0.49174059999999897</v>
      </c>
      <c r="F1931" t="s">
        <v>45</v>
      </c>
      <c r="G1931">
        <v>-361.56580000000002</v>
      </c>
      <c r="H1931" s="1">
        <v>-7.0355669999999902E-7</v>
      </c>
      <c r="I1931">
        <v>284.18110000000001</v>
      </c>
      <c r="J1931">
        <v>-345.72750000000002</v>
      </c>
      <c r="K1931">
        <v>1.1065849999999999</v>
      </c>
      <c r="L1931">
        <v>284.90039999999999</v>
      </c>
      <c r="M1931">
        <v>-0.999579</v>
      </c>
      <c r="N1931">
        <v>0</v>
      </c>
      <c r="O1931">
        <v>2.522131E-2</v>
      </c>
      <c r="P1931">
        <v>-0.99772700000000003</v>
      </c>
      <c r="Q1931">
        <v>6.0960029999999998E-2</v>
      </c>
      <c r="R1931">
        <v>-2.8724349999999999E-2</v>
      </c>
      <c r="S1931">
        <v>-3.0156860000000001</v>
      </c>
      <c r="T1931">
        <v>-0.20551990000000001</v>
      </c>
      <c r="U1931">
        <v>-0.1318665</v>
      </c>
      <c r="V1931">
        <v>-5.4255030000000003E-2</v>
      </c>
      <c r="W1931">
        <v>7.4983560000000005E-2</v>
      </c>
      <c r="X1931">
        <v>0.99570769999999997</v>
      </c>
      <c r="Y1931">
        <v>-6.8653649999999997E-2</v>
      </c>
      <c r="Z1931">
        <v>-4.0518689999999996E-3</v>
      </c>
      <c r="AA1931">
        <v>0.99763230000000003</v>
      </c>
      <c r="AB1931">
        <v>41</v>
      </c>
      <c r="AC1931">
        <v>-15.8383</v>
      </c>
      <c r="AD1931">
        <v>-1.1065857035566999</v>
      </c>
      <c r="AE1931">
        <v>-0.71929999999997496</v>
      </c>
      <c r="AF1931">
        <v>-1.11315224058477</v>
      </c>
      <c r="AG1931">
        <v>-1.1065857035566999</v>
      </c>
      <c r="AH1931">
        <v>15.7384480756789</v>
      </c>
      <c r="AI1931">
        <v>94.011914108732498</v>
      </c>
      <c r="AJ1931">
        <v>94.045690667038201</v>
      </c>
      <c r="AK1931">
        <v>15.8165226159506</v>
      </c>
    </row>
    <row r="1932" spans="1:37" x14ac:dyDescent="0.2">
      <c r="A1932" t="str">
        <f>"20200111153645937"</f>
        <v>20200111153645937</v>
      </c>
      <c r="B1932" t="str">
        <f>"1578728205924790"</f>
        <v>1578728205924790</v>
      </c>
      <c r="C1932" t="s">
        <v>37</v>
      </c>
      <c r="D1932">
        <v>6.1492230000000001</v>
      </c>
      <c r="E1932">
        <v>0.49162630000000002</v>
      </c>
      <c r="F1932" t="s">
        <v>45</v>
      </c>
      <c r="G1932">
        <v>-361.9787</v>
      </c>
      <c r="H1932" s="1">
        <v>-4.8383730000000002E-7</v>
      </c>
      <c r="I1932">
        <v>284.1234</v>
      </c>
      <c r="J1932">
        <v>-346.13099999999997</v>
      </c>
      <c r="K1932">
        <v>1.1065780000000001</v>
      </c>
      <c r="L1932">
        <v>284.90899999999999</v>
      </c>
      <c r="M1932">
        <v>-0.99962359999999995</v>
      </c>
      <c r="N1932">
        <v>0</v>
      </c>
      <c r="O1932">
        <v>2.3386540000000001E-2</v>
      </c>
      <c r="P1932">
        <v>-0.99763109999999999</v>
      </c>
      <c r="Q1932">
        <v>6.0910470000000001E-2</v>
      </c>
      <c r="R1932">
        <v>-3.1974280000000001E-2</v>
      </c>
      <c r="S1932">
        <v>-3.015228</v>
      </c>
      <c r="T1932">
        <v>-0.20531529999999901</v>
      </c>
      <c r="U1932">
        <v>-0.14416499999999999</v>
      </c>
      <c r="V1932">
        <v>-5.5670570000000003E-2</v>
      </c>
      <c r="W1932">
        <v>7.4924580000000005E-2</v>
      </c>
      <c r="X1932">
        <v>0.99563400000000002</v>
      </c>
      <c r="Y1932">
        <v>-7.0889090000000002E-2</v>
      </c>
      <c r="Z1932">
        <v>-3.9993390000000002E-3</v>
      </c>
      <c r="AA1932">
        <v>0.99747619999999904</v>
      </c>
      <c r="AB1932">
        <v>41</v>
      </c>
      <c r="AC1932">
        <v>-15.8477</v>
      </c>
      <c r="AD1932">
        <v>-1.1065784838373001</v>
      </c>
      <c r="AE1932">
        <v>-0.78559999999998797</v>
      </c>
      <c r="AF1932">
        <v>-1.15045065437767</v>
      </c>
      <c r="AG1932">
        <v>-1.1065784838373001</v>
      </c>
      <c r="AH1932">
        <v>15.7483950261194</v>
      </c>
      <c r="AI1932">
        <v>94.008698208394094</v>
      </c>
      <c r="AJ1932">
        <v>94.178145491608703</v>
      </c>
      <c r="AK1932">
        <v>15.8290871040548</v>
      </c>
    </row>
    <row r="1933" spans="1:37" x14ac:dyDescent="0.2">
      <c r="A1933" t="str">
        <f>"20200111153645960"</f>
        <v>20200111153645960</v>
      </c>
      <c r="B1933" t="str">
        <f>"1578728205955047"</f>
        <v>1578728205955047</v>
      </c>
      <c r="C1933" t="s">
        <v>37</v>
      </c>
      <c r="D1933">
        <v>5.855467</v>
      </c>
      <c r="E1933">
        <v>0.49152319999999999</v>
      </c>
      <c r="F1933" t="s">
        <v>45</v>
      </c>
      <c r="G1933">
        <v>-362.38619999999997</v>
      </c>
      <c r="H1933" s="1">
        <v>-2.6695240000000002E-7</v>
      </c>
      <c r="I1933">
        <v>284.07420000000002</v>
      </c>
      <c r="J1933">
        <v>-346.55759999999998</v>
      </c>
      <c r="K1933">
        <v>1.106557</v>
      </c>
      <c r="L1933">
        <v>284.91730000000001</v>
      </c>
      <c r="M1933">
        <v>-0.99966630000000001</v>
      </c>
      <c r="N1933">
        <v>0</v>
      </c>
      <c r="O1933">
        <v>2.1487679999999999E-2</v>
      </c>
      <c r="P1933">
        <v>-0.99758649999999904</v>
      </c>
      <c r="Q1933">
        <v>6.0402450000000003E-2</v>
      </c>
      <c r="R1933">
        <v>-3.4250679999999999E-2</v>
      </c>
      <c r="S1933">
        <v>-3.0146790000000001</v>
      </c>
      <c r="T1933">
        <v>-0.20522460000000001</v>
      </c>
      <c r="U1933">
        <v>-0.1548157</v>
      </c>
      <c r="V1933">
        <v>-5.604634E-2</v>
      </c>
      <c r="W1933">
        <v>7.4413899999999894E-2</v>
      </c>
      <c r="X1933">
        <v>0.99565119999999896</v>
      </c>
      <c r="Y1933">
        <v>-7.2519059999999996E-2</v>
      </c>
      <c r="Z1933">
        <v>-3.9242950000000004E-3</v>
      </c>
      <c r="AA1933">
        <v>0.99735929999999995</v>
      </c>
      <c r="AB1933">
        <v>41</v>
      </c>
      <c r="AC1933">
        <v>-15.8285999999999</v>
      </c>
      <c r="AD1933">
        <v>-1.1065572669524</v>
      </c>
      <c r="AE1933">
        <v>-0.84309999999999197</v>
      </c>
      <c r="AF1933">
        <v>-1.17732258693122</v>
      </c>
      <c r="AG1933">
        <v>-1.1065572669524</v>
      </c>
      <c r="AH1933">
        <v>15.730167052547401</v>
      </c>
      <c r="AI1933">
        <v>94.012724138353605</v>
      </c>
      <c r="AJ1933">
        <v>94.2803156592161</v>
      </c>
      <c r="AK1933">
        <v>15.812928664854899</v>
      </c>
    </row>
    <row r="1934" spans="1:37" x14ac:dyDescent="0.2">
      <c r="A1934" t="str">
        <f>"20200111153645982"</f>
        <v>20200111153645982</v>
      </c>
      <c r="B1934" t="str">
        <f>"1578728205974566"</f>
        <v>1578728205974566</v>
      </c>
      <c r="C1934" t="s">
        <v>37</v>
      </c>
      <c r="D1934">
        <v>5.8094390000000002</v>
      </c>
      <c r="E1934">
        <v>0.49155320000000002</v>
      </c>
      <c r="F1934" t="s">
        <v>45</v>
      </c>
      <c r="G1934">
        <v>-362.8544</v>
      </c>
      <c r="H1934" s="1">
        <v>-1.7813849999999998E-8</v>
      </c>
      <c r="I1934">
        <v>284.03769999999997</v>
      </c>
      <c r="J1934">
        <v>-346.96249999999998</v>
      </c>
      <c r="K1934">
        <v>1.106525</v>
      </c>
      <c r="L1934">
        <v>284.92450000000002</v>
      </c>
      <c r="M1934">
        <v>-0.9997026</v>
      </c>
      <c r="N1934">
        <v>0</v>
      </c>
      <c r="O1934">
        <v>1.9734499999999999E-2</v>
      </c>
      <c r="P1934">
        <v>-0.99758599999999997</v>
      </c>
      <c r="Q1934">
        <v>5.9558140000000002E-2</v>
      </c>
      <c r="R1934">
        <v>-3.5711800000000002E-2</v>
      </c>
      <c r="S1934">
        <v>-3.0140689999999899</v>
      </c>
      <c r="T1934">
        <v>-0.20465639999999999</v>
      </c>
      <c r="U1934">
        <v>-0.16268920000000001</v>
      </c>
      <c r="V1934">
        <v>-5.5750260000000003E-2</v>
      </c>
      <c r="W1934">
        <v>7.3573159999999999E-2</v>
      </c>
      <c r="X1934">
        <v>0.99573029999999996</v>
      </c>
      <c r="Y1934">
        <v>-7.3381669999999996E-2</v>
      </c>
      <c r="Z1934">
        <v>-3.8243729999999998E-3</v>
      </c>
      <c r="AA1934">
        <v>0.99729659999999998</v>
      </c>
      <c r="AB1934">
        <v>41</v>
      </c>
      <c r="AC1934">
        <v>-15.8919</v>
      </c>
      <c r="AD1934">
        <v>-1.1065250178138499</v>
      </c>
      <c r="AE1934">
        <v>-0.88680000000004999</v>
      </c>
      <c r="AF1934">
        <v>-1.19450506425377</v>
      </c>
      <c r="AG1934">
        <v>-1.1065250178138499</v>
      </c>
      <c r="AH1934">
        <v>15.794964427167001</v>
      </c>
      <c r="AI1934">
        <v>93.995967000247703</v>
      </c>
      <c r="AJ1934">
        <v>94.324800463345994</v>
      </c>
      <c r="AK1934">
        <v>15.878669378101099</v>
      </c>
    </row>
    <row r="1935" spans="1:37" x14ac:dyDescent="0.2">
      <c r="A1935" t="str">
        <f>"20200111153646003"</f>
        <v>20200111153646003</v>
      </c>
      <c r="B1935" t="str">
        <f>"1578728205995065"</f>
        <v>1578728205995065</v>
      </c>
      <c r="C1935" t="s">
        <v>37</v>
      </c>
      <c r="D1935">
        <v>5.8359370000000004</v>
      </c>
      <c r="E1935">
        <v>0.49154959999999998</v>
      </c>
      <c r="F1935" t="s">
        <v>45</v>
      </c>
      <c r="G1935">
        <v>-363.14229999999998</v>
      </c>
      <c r="H1935" s="1">
        <v>1.3540359999999999E-7</v>
      </c>
      <c r="I1935">
        <v>284.02859999999998</v>
      </c>
      <c r="J1935">
        <v>-347.35750000000002</v>
      </c>
      <c r="K1935">
        <v>1.106495</v>
      </c>
      <c r="L1935">
        <v>284.93090000000001</v>
      </c>
      <c r="M1935">
        <v>-0.99973419999999902</v>
      </c>
      <c r="N1935">
        <v>0</v>
      </c>
      <c r="O1935">
        <v>1.8063139999999998E-2</v>
      </c>
      <c r="P1935">
        <v>-0.99760659999999901</v>
      </c>
      <c r="Q1935">
        <v>5.8898579999999999E-2</v>
      </c>
      <c r="R1935">
        <v>-3.6224970000000002E-2</v>
      </c>
      <c r="S1935">
        <v>-3.013611</v>
      </c>
      <c r="T1935">
        <v>-0.20609820000000001</v>
      </c>
      <c r="U1935">
        <v>-0.16687009999999999</v>
      </c>
      <c r="V1935">
        <v>-5.4589099999999897E-2</v>
      </c>
      <c r="W1935">
        <v>7.2921639999999996E-2</v>
      </c>
      <c r="X1935">
        <v>0.99584259999999902</v>
      </c>
      <c r="Y1935">
        <v>-7.3103459999999995E-2</v>
      </c>
      <c r="Z1935">
        <v>-3.7280909999999998E-3</v>
      </c>
      <c r="AA1935">
        <v>0.99731740000000002</v>
      </c>
      <c r="AB1935">
        <v>41</v>
      </c>
      <c r="AC1935">
        <v>-15.784799999999899</v>
      </c>
      <c r="AD1935">
        <v>-1.1064948645963999</v>
      </c>
      <c r="AE1935">
        <v>-0.90230000000002497</v>
      </c>
      <c r="AF1935">
        <v>-1.1815181983292</v>
      </c>
      <c r="AG1935">
        <v>-1.1064948645963999</v>
      </c>
      <c r="AH1935">
        <v>15.6890816251584</v>
      </c>
      <c r="AI1935">
        <v>94.022833046890497</v>
      </c>
      <c r="AJ1935">
        <v>94.306718888809598</v>
      </c>
      <c r="AK1935">
        <v>15.7723681918488</v>
      </c>
    </row>
    <row r="1936" spans="1:37" x14ac:dyDescent="0.2">
      <c r="A1936" t="str">
        <f>"20200111153646027"</f>
        <v>20200111153646027</v>
      </c>
      <c r="B1936" t="str">
        <f>"1578728206014582"</f>
        <v>1578728206014582</v>
      </c>
      <c r="C1936" t="s">
        <v>37</v>
      </c>
      <c r="D1936">
        <v>6.098325</v>
      </c>
      <c r="E1936">
        <v>0.4915178</v>
      </c>
      <c r="F1936" t="s">
        <v>45</v>
      </c>
      <c r="G1936">
        <v>-363.45030000000003</v>
      </c>
      <c r="H1936" s="1">
        <v>2.9926499999999997E-7</v>
      </c>
      <c r="I1936">
        <v>284.03140000000002</v>
      </c>
      <c r="J1936">
        <v>-347.76659999999998</v>
      </c>
      <c r="K1936">
        <v>1.106463</v>
      </c>
      <c r="L1936">
        <v>284.93680000000001</v>
      </c>
      <c r="M1936">
        <v>-0.99976339999999997</v>
      </c>
      <c r="N1936">
        <v>0</v>
      </c>
      <c r="O1936">
        <v>1.6375629999999999E-2</v>
      </c>
      <c r="P1936">
        <v>-0.99763139999999995</v>
      </c>
      <c r="Q1936">
        <v>5.8264400000000001E-2</v>
      </c>
      <c r="R1936">
        <v>-3.6564630000000001E-2</v>
      </c>
      <c r="S1936">
        <v>-3.0132750000000001</v>
      </c>
      <c r="T1936">
        <v>-0.20718409999999901</v>
      </c>
      <c r="U1936">
        <v>-0.16842650000000001</v>
      </c>
      <c r="V1936">
        <v>-5.3237189999999997E-2</v>
      </c>
      <c r="W1936">
        <v>7.2297689999999998E-2</v>
      </c>
      <c r="X1936">
        <v>0.99596119999999899</v>
      </c>
      <c r="Y1936">
        <v>-7.1944099999999997E-2</v>
      </c>
      <c r="Z1936">
        <v>-3.5924429999999999E-3</v>
      </c>
      <c r="AA1936">
        <v>0.99740219999999902</v>
      </c>
      <c r="AB1936">
        <v>41</v>
      </c>
      <c r="AC1936">
        <v>-15.6837</v>
      </c>
      <c r="AD1936">
        <v>-1.1064627007350001</v>
      </c>
      <c r="AE1936">
        <v>-0.90539999999998599</v>
      </c>
      <c r="AF1936">
        <v>-1.15639896758997</v>
      </c>
      <c r="AG1936">
        <v>-1.1064627007350001</v>
      </c>
      <c r="AH1936">
        <v>15.589436044301401</v>
      </c>
      <c r="AI1936">
        <v>94.048682822535099</v>
      </c>
      <c r="AJ1936">
        <v>94.242337906182499</v>
      </c>
      <c r="AK1936">
        <v>15.671376278416799</v>
      </c>
    </row>
    <row r="1937" spans="1:37" x14ac:dyDescent="0.2">
      <c r="A1937" t="str">
        <f>"20200111153646048"</f>
        <v>20200111153646048</v>
      </c>
      <c r="B1937" t="str">
        <f>"1578728206044839"</f>
        <v>1578728206044839</v>
      </c>
      <c r="C1937" t="s">
        <v>37</v>
      </c>
      <c r="D1937">
        <v>5.8249250000000004</v>
      </c>
      <c r="E1937">
        <v>0.49143350000000002</v>
      </c>
      <c r="F1937" t="s">
        <v>45</v>
      </c>
      <c r="G1937">
        <v>-363.78879999999998</v>
      </c>
      <c r="H1937" s="1">
        <v>4.7944169999999998E-7</v>
      </c>
      <c r="I1937">
        <v>284.03449999999998</v>
      </c>
      <c r="J1937">
        <v>-348.17619999999999</v>
      </c>
      <c r="K1937">
        <v>1.1064179999999999</v>
      </c>
      <c r="L1937">
        <v>284.94200000000001</v>
      </c>
      <c r="M1937">
        <v>-0.99978880000000003</v>
      </c>
      <c r="N1937">
        <v>0</v>
      </c>
      <c r="O1937">
        <v>1.4734580000000001E-2</v>
      </c>
      <c r="P1937">
        <v>-0.99763630000000003</v>
      </c>
      <c r="Q1937">
        <v>5.7800539999999997E-2</v>
      </c>
      <c r="R1937">
        <v>-3.7157330000000002E-2</v>
      </c>
      <c r="S1937">
        <v>-3.0130919999999999</v>
      </c>
      <c r="T1937">
        <v>-0.20807790000000001</v>
      </c>
      <c r="U1937">
        <v>-0.16967769999999999</v>
      </c>
      <c r="V1937">
        <v>-5.2184099999999997E-2</v>
      </c>
      <c r="W1937">
        <v>7.1842550000000005E-2</v>
      </c>
      <c r="X1937">
        <v>0.99604989999999904</v>
      </c>
      <c r="Y1937">
        <v>-7.0728159999999998E-2</v>
      </c>
      <c r="Z1937">
        <v>-3.453051E-3</v>
      </c>
      <c r="AA1937">
        <v>0.99748959999999998</v>
      </c>
      <c r="AB1937">
        <v>41</v>
      </c>
      <c r="AC1937">
        <v>-15.612599999999899</v>
      </c>
      <c r="AD1937">
        <v>-1.1064175205583</v>
      </c>
      <c r="AE1937">
        <v>-0.90750000000002695</v>
      </c>
      <c r="AF1937">
        <v>-1.13180524817427</v>
      </c>
      <c r="AG1937">
        <v>-1.1064175205583</v>
      </c>
      <c r="AH1937">
        <v>15.5198515479776</v>
      </c>
      <c r="AI1937">
        <v>94.066980401988403</v>
      </c>
      <c r="AJ1937">
        <v>94.170985180974398</v>
      </c>
      <c r="AK1937">
        <v>15.600350474295601</v>
      </c>
    </row>
    <row r="1938" spans="1:37" x14ac:dyDescent="0.2">
      <c r="A1938" t="str">
        <f>"20200111153646073"</f>
        <v>20200111153646073</v>
      </c>
      <c r="B1938" t="str">
        <f>"1578728206064358"</f>
        <v>1578728206064358</v>
      </c>
      <c r="C1938" t="s">
        <v>37</v>
      </c>
      <c r="D1938">
        <v>5.8019350000000003</v>
      </c>
      <c r="E1938">
        <v>0.49136879999999999</v>
      </c>
      <c r="F1938" t="s">
        <v>45</v>
      </c>
      <c r="G1938">
        <v>-364.17059999999998</v>
      </c>
      <c r="H1938" s="1">
        <v>6.8257250000000002E-7</v>
      </c>
      <c r="I1938">
        <v>284.02969999999999</v>
      </c>
      <c r="J1938">
        <v>-348.60579999999999</v>
      </c>
      <c r="K1938">
        <v>1.106363</v>
      </c>
      <c r="L1938">
        <v>284.9468</v>
      </c>
      <c r="M1938">
        <v>-0.99981200000000003</v>
      </c>
      <c r="N1938">
        <v>0</v>
      </c>
      <c r="O1938">
        <v>1.3068949999999999E-2</v>
      </c>
      <c r="P1938">
        <v>-0.99763080000000004</v>
      </c>
      <c r="Q1938">
        <v>5.7325950000000001E-2</v>
      </c>
      <c r="R1938">
        <v>-3.8036149999999998E-2</v>
      </c>
      <c r="S1938">
        <v>-3.0127869999999999</v>
      </c>
      <c r="T1938">
        <v>-0.20841100000000001</v>
      </c>
      <c r="U1938">
        <v>-0.17184449999999901</v>
      </c>
      <c r="V1938">
        <v>-5.1391220000000001E-2</v>
      </c>
      <c r="W1938">
        <v>7.1375499999999995E-2</v>
      </c>
      <c r="X1938">
        <v>0.99612469999999997</v>
      </c>
      <c r="Y1938">
        <v>-6.9792629999999994E-2</v>
      </c>
      <c r="Z1938">
        <v>-3.3115379999999902E-3</v>
      </c>
      <c r="AA1938">
        <v>0.997556</v>
      </c>
      <c r="AB1938">
        <v>41</v>
      </c>
      <c r="AC1938">
        <v>-15.5647999999999</v>
      </c>
      <c r="AD1938">
        <v>-1.1063623174274999</v>
      </c>
      <c r="AE1938">
        <v>-0.91710000000000402</v>
      </c>
      <c r="AF1938">
        <v>-1.11484484157181</v>
      </c>
      <c r="AG1938">
        <v>-1.1063623174274999</v>
      </c>
      <c r="AH1938">
        <v>15.473573703024201</v>
      </c>
      <c r="AI1938">
        <v>94.079157329822493</v>
      </c>
      <c r="AJ1938">
        <v>94.120943402811804</v>
      </c>
      <c r="AK1938">
        <v>15.5530832872819</v>
      </c>
    </row>
    <row r="1939" spans="1:37" x14ac:dyDescent="0.2">
      <c r="A1939" t="str">
        <f>"20200111153646094"</f>
        <v>20200111153646094</v>
      </c>
      <c r="B1939" t="str">
        <f>"1578728206084856"</f>
        <v>1578728206084856</v>
      </c>
      <c r="C1939" t="s">
        <v>37</v>
      </c>
      <c r="D1939">
        <v>5.8531969999999998</v>
      </c>
      <c r="E1939">
        <v>0.49134640000000002</v>
      </c>
      <c r="F1939" t="s">
        <v>45</v>
      </c>
      <c r="G1939">
        <v>-364.52870000000001</v>
      </c>
      <c r="H1939" s="1">
        <v>8.7315329999999996E-7</v>
      </c>
      <c r="I1939">
        <v>284.01979999999998</v>
      </c>
      <c r="J1939">
        <v>-349.00330000000002</v>
      </c>
      <c r="K1939">
        <v>1.106314</v>
      </c>
      <c r="L1939">
        <v>284.95080000000002</v>
      </c>
      <c r="M1939">
        <v>-0.99983040000000001</v>
      </c>
      <c r="N1939">
        <v>0</v>
      </c>
      <c r="O1939">
        <v>1.1583009999999999E-2</v>
      </c>
      <c r="P1939">
        <v>-0.99759580000000003</v>
      </c>
      <c r="Q1939">
        <v>5.7165199999999902E-2</v>
      </c>
      <c r="R1939">
        <v>-3.91834E-2</v>
      </c>
      <c r="S1939">
        <v>-3.0124819999999999</v>
      </c>
      <c r="T1939">
        <v>-0.209314799999999</v>
      </c>
      <c r="U1939">
        <v>-0.1753845</v>
      </c>
      <c r="V1939">
        <v>-5.1046939999999999E-2</v>
      </c>
      <c r="W1939">
        <v>7.1219959999999999E-2</v>
      </c>
      <c r="X1939">
        <v>0.99615359999999997</v>
      </c>
      <c r="Y1939">
        <v>-6.948675E-2</v>
      </c>
      <c r="Z1939">
        <v>-3.2124250000000001E-3</v>
      </c>
      <c r="AA1939">
        <v>0.99757770000000001</v>
      </c>
      <c r="AB1939">
        <v>41</v>
      </c>
      <c r="AC1939">
        <v>-15.5253999999999</v>
      </c>
      <c r="AD1939">
        <v>-1.1063131268466999</v>
      </c>
      <c r="AE1939">
        <v>-0.93100000000004002</v>
      </c>
      <c r="AF1939">
        <v>-1.10519504391976</v>
      </c>
      <c r="AG1939">
        <v>-1.1063131268466999</v>
      </c>
      <c r="AH1939">
        <v>15.435476851811799</v>
      </c>
      <c r="AI1939">
        <v>94.089140202757903</v>
      </c>
      <c r="AJ1939">
        <v>94.095443966840804</v>
      </c>
      <c r="AK1939">
        <v>15.514487760237399</v>
      </c>
    </row>
    <row r="1940" spans="1:37" x14ac:dyDescent="0.2">
      <c r="A1940" t="str">
        <f>"20200111153646117"</f>
        <v>20200111153646117</v>
      </c>
      <c r="B1940" t="str">
        <f>"1578728206104375"</f>
        <v>1578728206104375</v>
      </c>
      <c r="C1940" t="s">
        <v>37</v>
      </c>
      <c r="D1940">
        <v>6.1142029999999998</v>
      </c>
      <c r="E1940">
        <v>0.49132189999999998</v>
      </c>
      <c r="F1940" t="s">
        <v>45</v>
      </c>
      <c r="G1940">
        <v>-364.91199999999998</v>
      </c>
      <c r="H1940" s="1">
        <v>1.0771199999999999E-6</v>
      </c>
      <c r="I1940">
        <v>284.00490000000002</v>
      </c>
      <c r="J1940">
        <v>-349.4076</v>
      </c>
      <c r="K1940">
        <v>1.1062510000000001</v>
      </c>
      <c r="L1940">
        <v>284.95409999999998</v>
      </c>
      <c r="M1940">
        <v>-0.99984619999999902</v>
      </c>
      <c r="N1940">
        <v>0</v>
      </c>
      <c r="O1940">
        <v>1.0130119999999999E-2</v>
      </c>
      <c r="P1940">
        <v>-0.99751529999999999</v>
      </c>
      <c r="Q1940">
        <v>5.752529E-2</v>
      </c>
      <c r="R1940">
        <v>-4.0677079999999997E-2</v>
      </c>
      <c r="S1940">
        <v>-3.012238</v>
      </c>
      <c r="T1940">
        <v>-0.20947489999999999</v>
      </c>
      <c r="U1940">
        <v>-0.17910770000000001</v>
      </c>
      <c r="V1940">
        <v>-5.1081710000000002E-2</v>
      </c>
      <c r="W1940">
        <v>7.1583330000000001E-2</v>
      </c>
      <c r="X1940">
        <v>0.99612579999999995</v>
      </c>
      <c r="Y1940">
        <v>-6.9274310000000006E-2</v>
      </c>
      <c r="Z1940">
        <v>-3.1068020000000001E-3</v>
      </c>
      <c r="AA1940">
        <v>0.99759279999999995</v>
      </c>
      <c r="AB1940">
        <v>41</v>
      </c>
      <c r="AC1940">
        <v>-15.504399999999899</v>
      </c>
      <c r="AD1940">
        <v>-1.10624992287999</v>
      </c>
      <c r="AE1940">
        <v>-0.94919999999996196</v>
      </c>
      <c r="AF1940">
        <v>-1.10064643223527</v>
      </c>
      <c r="AG1940">
        <v>-1.10624992287999</v>
      </c>
      <c r="AH1940">
        <v>15.415800185905301</v>
      </c>
      <c r="AI1940">
        <v>94.094167825521296</v>
      </c>
      <c r="AJ1940">
        <v>94.083833860338203</v>
      </c>
      <c r="AK1940">
        <v>15.494583144842</v>
      </c>
    </row>
    <row r="1941" spans="1:37" x14ac:dyDescent="0.2">
      <c r="A1941" t="str">
        <f>"20200111153646138"</f>
        <v>20200111153646138</v>
      </c>
      <c r="B1941" t="str">
        <f>"1578728206134631"</f>
        <v>1578728206134631</v>
      </c>
      <c r="C1941" t="s">
        <v>37</v>
      </c>
      <c r="D1941">
        <v>6.0491519999999896</v>
      </c>
      <c r="E1941">
        <v>0.49126409999999998</v>
      </c>
      <c r="F1941" t="s">
        <v>45</v>
      </c>
      <c r="G1941">
        <v>-365.37060000000002</v>
      </c>
      <c r="H1941" s="1">
        <v>1.321157E-6</v>
      </c>
      <c r="I1941">
        <v>283.98090000000002</v>
      </c>
      <c r="J1941">
        <v>-349.80130000000003</v>
      </c>
      <c r="K1941">
        <v>1.1061829999999999</v>
      </c>
      <c r="L1941">
        <v>284.95690000000002</v>
      </c>
      <c r="M1941">
        <v>-0.99985900000000005</v>
      </c>
      <c r="N1941">
        <v>0</v>
      </c>
      <c r="O1941">
        <v>8.7767309999999994E-3</v>
      </c>
      <c r="P1941">
        <v>-0.99743479999999995</v>
      </c>
      <c r="Q1941">
        <v>5.7318889999999997E-2</v>
      </c>
      <c r="R1941">
        <v>-4.2875070000000001E-2</v>
      </c>
      <c r="S1941">
        <v>-3.0120239999999998</v>
      </c>
      <c r="T1941">
        <v>-0.208735799999999</v>
      </c>
      <c r="U1941">
        <v>-0.18362429999999999</v>
      </c>
      <c r="V1941">
        <v>-5.1917970000000001E-2</v>
      </c>
      <c r="W1941">
        <v>7.1377399999999994E-2</v>
      </c>
      <c r="X1941">
        <v>0.99609729999999996</v>
      </c>
      <c r="Y1941">
        <v>-6.9422919999999999E-2</v>
      </c>
      <c r="Z1941">
        <v>-3.0074730000000001E-3</v>
      </c>
      <c r="AA1941">
        <v>0.99758279999999999</v>
      </c>
      <c r="AB1941">
        <v>41</v>
      </c>
      <c r="AC1941">
        <v>-15.569299999999901</v>
      </c>
      <c r="AD1941">
        <v>-1.1061816788429999</v>
      </c>
      <c r="AE1941">
        <v>-0.97599999999999898</v>
      </c>
      <c r="AF1941">
        <v>-1.10705747124544</v>
      </c>
      <c r="AG1941">
        <v>-1.1061816788429999</v>
      </c>
      <c r="AH1941">
        <v>15.4822854094382</v>
      </c>
      <c r="AI1941">
        <v>94.076364056550304</v>
      </c>
      <c r="AJ1941">
        <v>94.089961239098898</v>
      </c>
      <c r="AK1941">
        <v>15.5611816919716</v>
      </c>
    </row>
    <row r="1942" spans="1:37" x14ac:dyDescent="0.2">
      <c r="A1942" t="str">
        <f>"20200111153646162"</f>
        <v>20200111153646162</v>
      </c>
      <c r="B1942" t="str">
        <f>"1578728206155126"</f>
        <v>1578728206155126</v>
      </c>
      <c r="C1942" t="s">
        <v>37</v>
      </c>
      <c r="D1942">
        <v>5.9915589999999996</v>
      </c>
      <c r="E1942">
        <v>0.49127079999999901</v>
      </c>
      <c r="F1942" t="s">
        <v>45</v>
      </c>
      <c r="G1942">
        <v>-365.80419999999998</v>
      </c>
      <c r="H1942" s="1">
        <v>1.551934E-6</v>
      </c>
      <c r="I1942">
        <v>283.94240000000002</v>
      </c>
      <c r="J1942">
        <v>-350.2432</v>
      </c>
      <c r="K1942">
        <v>1.1061049999999999</v>
      </c>
      <c r="L1942">
        <v>284.95949999999999</v>
      </c>
      <c r="M1942">
        <v>-0.99987079999999995</v>
      </c>
      <c r="N1942">
        <v>0</v>
      </c>
      <c r="O1942">
        <v>7.3368799999999996E-3</v>
      </c>
      <c r="P1942">
        <v>-0.99732019999999899</v>
      </c>
      <c r="Q1942">
        <v>5.6981049999999998E-2</v>
      </c>
      <c r="R1942">
        <v>-4.5887570000000003E-2</v>
      </c>
      <c r="S1942">
        <v>-3.011444</v>
      </c>
      <c r="T1942">
        <v>-0.20816199999999899</v>
      </c>
      <c r="U1942">
        <v>-0.190918</v>
      </c>
      <c r="V1942">
        <v>-5.3479970000000002E-2</v>
      </c>
      <c r="W1942">
        <v>7.1038749999999998E-2</v>
      </c>
      <c r="X1942">
        <v>0.99603889999999995</v>
      </c>
      <c r="Y1942">
        <v>-7.0406910000000003E-2</v>
      </c>
      <c r="Z1942">
        <v>-2.934182E-3</v>
      </c>
      <c r="AA1942">
        <v>0.99751409999999996</v>
      </c>
      <c r="AB1942">
        <v>41</v>
      </c>
      <c r="AC1942">
        <v>-15.5609999999999</v>
      </c>
      <c r="AD1942">
        <v>-1.1061034480659999</v>
      </c>
      <c r="AE1942">
        <v>-1.0170999999999699</v>
      </c>
      <c r="AF1942">
        <v>-1.1255905015384799</v>
      </c>
      <c r="AG1942">
        <v>-1.1061034480659999</v>
      </c>
      <c r="AH1942">
        <v>15.475260025860599</v>
      </c>
      <c r="AI1942">
        <v>94.0775622829171</v>
      </c>
      <c r="AJ1942">
        <v>94.160073362602404</v>
      </c>
      <c r="AK1942">
        <v>15.555516438967199</v>
      </c>
    </row>
    <row r="1943" spans="1:37" x14ac:dyDescent="0.2">
      <c r="A1943" t="str">
        <f>"20200111153646182"</f>
        <v>20200111153646182</v>
      </c>
      <c r="B1943" t="str">
        <f>"1578728206174646"</f>
        <v>1578728206174646</v>
      </c>
      <c r="C1943" t="s">
        <v>37</v>
      </c>
      <c r="D1943">
        <v>5.7433360000000002</v>
      </c>
      <c r="E1943">
        <v>0.491284099999999</v>
      </c>
      <c r="F1943" t="s">
        <v>45</v>
      </c>
      <c r="G1943">
        <v>-366.2158</v>
      </c>
      <c r="H1943" s="1">
        <v>1.7709389999999899E-6</v>
      </c>
      <c r="I1943">
        <v>283.89999999999998</v>
      </c>
      <c r="J1943">
        <v>-350.62090000000001</v>
      </c>
      <c r="K1943">
        <v>1.1060350000000001</v>
      </c>
      <c r="L1943">
        <v>284.96120000000002</v>
      </c>
      <c r="M1943">
        <v>-0.99987859999999995</v>
      </c>
      <c r="N1943">
        <v>0</v>
      </c>
      <c r="O1943">
        <v>6.1686939999999997E-3</v>
      </c>
      <c r="P1943">
        <v>-0.99715750000000003</v>
      </c>
      <c r="Q1943">
        <v>5.7397450000000003E-2</v>
      </c>
      <c r="R1943">
        <v>-4.881423E-2</v>
      </c>
      <c r="S1943">
        <v>-3.0108029999999899</v>
      </c>
      <c r="T1943">
        <v>-0.20849799999999999</v>
      </c>
      <c r="U1943">
        <v>-0.199707</v>
      </c>
      <c r="V1943">
        <v>-5.5230809999999998E-2</v>
      </c>
      <c r="W1943">
        <v>7.1452539999999995E-2</v>
      </c>
      <c r="X1943">
        <v>0.99591369999999901</v>
      </c>
      <c r="Y1943">
        <v>-7.2152499999999994E-2</v>
      </c>
      <c r="Z1943">
        <v>-2.9188299999999999E-3</v>
      </c>
      <c r="AA1943">
        <v>0.99738930000000003</v>
      </c>
      <c r="AB1943">
        <v>41</v>
      </c>
      <c r="AC1943">
        <v>-15.5948999999999</v>
      </c>
      <c r="AD1943">
        <v>-1.106033229061</v>
      </c>
      <c r="AE1943">
        <v>-1.0612000000000399</v>
      </c>
      <c r="AF1943">
        <v>-1.1516238095589599</v>
      </c>
      <c r="AG1943">
        <v>-1.106033229061</v>
      </c>
      <c r="AH1943">
        <v>15.5103980584315</v>
      </c>
      <c r="AI1943">
        <v>94.067649841920101</v>
      </c>
      <c r="AJ1943">
        <v>94.246334074798</v>
      </c>
      <c r="AK1943">
        <v>15.592369763237601</v>
      </c>
    </row>
    <row r="1944" spans="1:37" x14ac:dyDescent="0.2">
      <c r="A1944" t="str">
        <f>"20200111153646204"</f>
        <v>20200111153646204</v>
      </c>
      <c r="B1944" t="str">
        <f>"1578728206195144"</f>
        <v>1578728206195144</v>
      </c>
      <c r="C1944" t="s">
        <v>37</v>
      </c>
      <c r="D1944">
        <v>5.8253250000000003</v>
      </c>
      <c r="E1944">
        <v>0.49129519999999999</v>
      </c>
      <c r="F1944" t="s">
        <v>45</v>
      </c>
      <c r="G1944">
        <v>-366.7629</v>
      </c>
      <c r="H1944" s="1">
        <v>2.062071E-6</v>
      </c>
      <c r="I1944">
        <v>283.8433</v>
      </c>
      <c r="J1944">
        <v>-351.01519999999999</v>
      </c>
      <c r="K1944">
        <v>1.1059749999999999</v>
      </c>
      <c r="L1944">
        <v>284.96249999999998</v>
      </c>
      <c r="M1944">
        <v>-0.99988529999999998</v>
      </c>
      <c r="N1944">
        <v>0</v>
      </c>
      <c r="O1944">
        <v>5.001971E-3</v>
      </c>
      <c r="P1944">
        <v>-0.99708140000000001</v>
      </c>
      <c r="Q1944">
        <v>5.7431879999999998E-2</v>
      </c>
      <c r="R1944">
        <v>-5.0305490000000001E-2</v>
      </c>
      <c r="S1944">
        <v>-3.0102229999999999</v>
      </c>
      <c r="T1944">
        <v>-0.20625760000000001</v>
      </c>
      <c r="U1944">
        <v>-0.2084656</v>
      </c>
      <c r="V1944">
        <v>-5.5547399999999997E-2</v>
      </c>
      <c r="W1944">
        <v>7.1491070000000004E-2</v>
      </c>
      <c r="X1944">
        <v>0.99589329999999998</v>
      </c>
      <c r="Y1944">
        <v>-7.3892609999999997E-2</v>
      </c>
      <c r="Z1944">
        <v>-2.8675159999999901E-3</v>
      </c>
      <c r="AA1944">
        <v>0.99726209999999904</v>
      </c>
      <c r="AB1944">
        <v>41</v>
      </c>
      <c r="AC1944">
        <v>-15.7477</v>
      </c>
      <c r="AD1944">
        <v>-1.105972937929</v>
      </c>
      <c r="AE1944">
        <v>-1.11919999999997</v>
      </c>
      <c r="AF1944">
        <v>-1.19211320439618</v>
      </c>
      <c r="AG1944">
        <v>-1.105972937929</v>
      </c>
      <c r="AH1944">
        <v>15.665026942613499</v>
      </c>
      <c r="AI1944">
        <v>94.026856569976999</v>
      </c>
      <c r="AJ1944">
        <v>94.351837910003397</v>
      </c>
      <c r="AK1944">
        <v>15.7492024923275</v>
      </c>
    </row>
    <row r="1945" spans="1:37" x14ac:dyDescent="0.2">
      <c r="A1945" t="str">
        <f>"20200111153646227"</f>
        <v>20200111153646227</v>
      </c>
      <c r="B1945" t="str">
        <f>"1578728206224422"</f>
        <v>1578728206224422</v>
      </c>
      <c r="C1945" t="s">
        <v>37</v>
      </c>
      <c r="D1945">
        <v>5.9926259999999996</v>
      </c>
      <c r="E1945">
        <v>0.4912974</v>
      </c>
      <c r="F1945" t="s">
        <v>45</v>
      </c>
      <c r="G1945">
        <v>-367.1934</v>
      </c>
      <c r="H1945" s="1">
        <v>2.2911509999999999E-6</v>
      </c>
      <c r="I1945">
        <v>283.81509999999997</v>
      </c>
      <c r="J1945">
        <v>-351.42950000000002</v>
      </c>
      <c r="K1945">
        <v>1.105917</v>
      </c>
      <c r="L1945">
        <v>284.96350000000001</v>
      </c>
      <c r="M1945">
        <v>-0.99989050000000002</v>
      </c>
      <c r="N1945">
        <v>0</v>
      </c>
      <c r="O1945">
        <v>3.829004E-3</v>
      </c>
      <c r="P1945">
        <v>-0.99704359999999903</v>
      </c>
      <c r="Q1945">
        <v>5.7499149999999999E-2</v>
      </c>
      <c r="R1945">
        <v>-5.0972370000000003E-2</v>
      </c>
      <c r="S1945">
        <v>-3.0098569999999998</v>
      </c>
      <c r="T1945">
        <v>-0.20575979999999999</v>
      </c>
      <c r="U1945">
        <v>-0.21347049999999901</v>
      </c>
      <c r="V1945">
        <v>-5.5034239999999998E-2</v>
      </c>
      <c r="W1945">
        <v>7.1565749999999997E-2</v>
      </c>
      <c r="X1945">
        <v>0.99591640000000003</v>
      </c>
      <c r="Y1945">
        <v>-7.4383729999999995E-2</v>
      </c>
      <c r="Z1945">
        <v>-2.7975330000000001E-3</v>
      </c>
      <c r="AA1945">
        <v>0.99722579999999905</v>
      </c>
      <c r="AB1945">
        <v>41</v>
      </c>
      <c r="AC1945">
        <v>-15.7638999999999</v>
      </c>
      <c r="AD1945">
        <v>-1.105914708849</v>
      </c>
      <c r="AE1945">
        <v>-1.1484000000000301</v>
      </c>
      <c r="AF1945">
        <v>-1.20286886618753</v>
      </c>
      <c r="AG1945">
        <v>-1.105914708849</v>
      </c>
      <c r="AH1945">
        <v>15.6826089713293</v>
      </c>
      <c r="AI1945">
        <v>94.021962883904493</v>
      </c>
      <c r="AJ1945">
        <v>94.386045295303006</v>
      </c>
      <c r="AK1945">
        <v>15.767503448552301</v>
      </c>
    </row>
    <row r="1946" spans="1:37" x14ac:dyDescent="0.2">
      <c r="A1946" t="str">
        <f>"20200111153646249"</f>
        <v>20200111153646249</v>
      </c>
      <c r="B1946" t="str">
        <f>"1578728206244919"</f>
        <v>1578728206244919</v>
      </c>
      <c r="C1946" t="s">
        <v>37</v>
      </c>
      <c r="D1946">
        <v>5.9993569999999998</v>
      </c>
      <c r="E1946">
        <v>0.49131089999999999</v>
      </c>
      <c r="F1946" t="s">
        <v>45</v>
      </c>
      <c r="G1946">
        <v>-367.7167</v>
      </c>
      <c r="H1946" s="1">
        <v>2.5696409999999898E-6</v>
      </c>
      <c r="I1946">
        <v>283.7946</v>
      </c>
      <c r="J1946">
        <v>-351.83620000000002</v>
      </c>
      <c r="K1946">
        <v>1.1058649999999901</v>
      </c>
      <c r="L1946">
        <v>284.96409999999997</v>
      </c>
      <c r="M1946">
        <v>-0.99989409999999901</v>
      </c>
      <c r="N1946">
        <v>0</v>
      </c>
      <c r="O1946">
        <v>2.7245120000000001E-3</v>
      </c>
      <c r="P1946">
        <v>-0.99702990000000002</v>
      </c>
      <c r="Q1946">
        <v>5.7481829999999998E-2</v>
      </c>
      <c r="R1946">
        <v>-5.1258949999999998E-2</v>
      </c>
      <c r="S1946">
        <v>-3.00964399999999</v>
      </c>
      <c r="T1946">
        <v>-0.20435719999999999</v>
      </c>
      <c r="U1946">
        <v>-0.21600340000000001</v>
      </c>
      <c r="V1946">
        <v>-5.4209840000000002E-2</v>
      </c>
      <c r="W1946">
        <v>7.1556229999999998E-2</v>
      </c>
      <c r="X1946">
        <v>0.99596229999999997</v>
      </c>
      <c r="Y1946">
        <v>-7.4127769999999996E-2</v>
      </c>
      <c r="Z1946">
        <v>-2.6951259999999999E-3</v>
      </c>
      <c r="AA1946">
        <v>0.997245099999999</v>
      </c>
      <c r="AB1946">
        <v>41</v>
      </c>
      <c r="AC1946">
        <v>-15.8804999999999</v>
      </c>
      <c r="AD1946">
        <v>-1.1058624303589999</v>
      </c>
      <c r="AE1946">
        <v>-1.16949999999997</v>
      </c>
      <c r="AF1946">
        <v>-1.2069454930061601</v>
      </c>
      <c r="AG1946">
        <v>-1.1058624303589999</v>
      </c>
      <c r="AH1946">
        <v>15.801044631487001</v>
      </c>
      <c r="AI1946">
        <v>93.991822220711597</v>
      </c>
      <c r="AJ1946">
        <v>94.367993538819107</v>
      </c>
      <c r="AK1946">
        <v>15.8856117472451</v>
      </c>
    </row>
    <row r="1947" spans="1:37" x14ac:dyDescent="0.2">
      <c r="A1947" t="str">
        <f>"20200111153646273"</f>
        <v>20200111153646273</v>
      </c>
      <c r="B1947" t="str">
        <f>"1578728206264438"</f>
        <v>1578728206264438</v>
      </c>
      <c r="C1947" t="s">
        <v>37</v>
      </c>
      <c r="D1947">
        <v>6.0388589999999898</v>
      </c>
      <c r="E1947">
        <v>0.49136479999999999</v>
      </c>
      <c r="F1947" t="s">
        <v>45</v>
      </c>
      <c r="G1947">
        <v>-368.1506</v>
      </c>
      <c r="H1947" s="1">
        <v>2.8005449999999999E-6</v>
      </c>
      <c r="I1947">
        <v>283.79020000000003</v>
      </c>
      <c r="J1947">
        <v>-352.24900000000002</v>
      </c>
      <c r="K1947">
        <v>1.105815</v>
      </c>
      <c r="L1947">
        <v>284.96420000000001</v>
      </c>
      <c r="M1947">
        <v>-0.99989640000000002</v>
      </c>
      <c r="N1947">
        <v>0</v>
      </c>
      <c r="O1947">
        <v>1.643947E-3</v>
      </c>
      <c r="P1947">
        <v>-0.99698500000000001</v>
      </c>
      <c r="Q1947">
        <v>5.8030859999999997E-2</v>
      </c>
      <c r="R1947">
        <v>-5.1509399999999997E-2</v>
      </c>
      <c r="S1947">
        <v>-3.0095519999999998</v>
      </c>
      <c r="T1947">
        <v>-0.2040014</v>
      </c>
      <c r="U1947">
        <v>-0.21655269999999999</v>
      </c>
      <c r="V1947">
        <v>-5.3375159999999998E-2</v>
      </c>
      <c r="W1947">
        <v>7.2111259999999996E-2</v>
      </c>
      <c r="X1947">
        <v>0.99596739999999995</v>
      </c>
      <c r="Y1947">
        <v>-7.3238410000000004E-2</v>
      </c>
      <c r="Z1947">
        <v>-2.5873609999999998E-3</v>
      </c>
      <c r="AA1947">
        <v>0.99731109999999901</v>
      </c>
      <c r="AB1947">
        <v>41</v>
      </c>
      <c r="AC1947">
        <v>-15.901599999999901</v>
      </c>
      <c r="AD1947">
        <v>-1.1058121994550001</v>
      </c>
      <c r="AE1947">
        <v>-1.17399999999997</v>
      </c>
      <c r="AF1947">
        <v>-1.19439774850571</v>
      </c>
      <c r="AG1947">
        <v>-1.1058121994550001</v>
      </c>
      <c r="AH1947">
        <v>15.8235414227315</v>
      </c>
      <c r="AI1947">
        <v>93.986255210099898</v>
      </c>
      <c r="AJ1947">
        <v>94.316633134529496</v>
      </c>
      <c r="AK1947">
        <v>15.9070383717083</v>
      </c>
    </row>
    <row r="1948" spans="1:37" x14ac:dyDescent="0.2">
      <c r="A1948" t="str">
        <f>"20200111153646294"</f>
        <v>20200111153646294</v>
      </c>
      <c r="B1948" t="str">
        <f>"1578728206284935"</f>
        <v>1578728206284935</v>
      </c>
      <c r="C1948" t="s">
        <v>37</v>
      </c>
      <c r="D1948">
        <v>5.7907589999999898</v>
      </c>
      <c r="E1948">
        <v>0.49141089999999998</v>
      </c>
      <c r="F1948" t="s">
        <v>45</v>
      </c>
      <c r="G1948">
        <v>-368.69920000000002</v>
      </c>
      <c r="H1948" s="1">
        <v>3.0925009999999999E-6</v>
      </c>
      <c r="I1948">
        <v>283.77870000000001</v>
      </c>
      <c r="J1948">
        <v>-352.64819999999997</v>
      </c>
      <c r="K1948">
        <v>1.1057779999999999</v>
      </c>
      <c r="L1948">
        <v>284.96390000000002</v>
      </c>
      <c r="M1948">
        <v>-0.999897699999999</v>
      </c>
      <c r="N1948">
        <v>0</v>
      </c>
      <c r="O1948">
        <v>6.2867100000000003E-4</v>
      </c>
      <c r="P1948">
        <v>-0.99692309999999995</v>
      </c>
      <c r="Q1948">
        <v>5.8795069999999998E-2</v>
      </c>
      <c r="R1948">
        <v>-5.1845599999999999E-2</v>
      </c>
      <c r="S1948">
        <v>-3.0096129999999999</v>
      </c>
      <c r="T1948">
        <v>-0.20231099999999999</v>
      </c>
      <c r="U1948">
        <v>-0.21688840000000001</v>
      </c>
      <c r="V1948">
        <v>-5.2693539999999997E-2</v>
      </c>
      <c r="W1948">
        <v>7.287979E-2</v>
      </c>
      <c r="X1948">
        <v>0.99594780000000005</v>
      </c>
      <c r="Y1948">
        <v>-7.2342080000000003E-2</v>
      </c>
      <c r="Z1948">
        <v>-2.4677620000000001E-3</v>
      </c>
      <c r="AA1948">
        <v>0.99737679999999995</v>
      </c>
      <c r="AB1948">
        <v>41</v>
      </c>
      <c r="AC1948">
        <v>-16.050999999999998</v>
      </c>
      <c r="AD1948">
        <v>-1.105774907499</v>
      </c>
      <c r="AE1948">
        <v>-1.1852</v>
      </c>
      <c r="AF1948">
        <v>-1.1896759900329501</v>
      </c>
      <c r="AG1948">
        <v>-1.105774907499</v>
      </c>
      <c r="AH1948">
        <v>15.9748458975787</v>
      </c>
      <c r="AI1948">
        <v>93.948783524799296</v>
      </c>
      <c r="AJ1948">
        <v>94.259059441448699</v>
      </c>
      <c r="AK1948">
        <v>16.057203011692302</v>
      </c>
    </row>
    <row r="1949" spans="1:37" x14ac:dyDescent="0.2">
      <c r="A1949" t="str">
        <f>"20200111153646317"</f>
        <v>20200111153646317</v>
      </c>
      <c r="B1949" t="str">
        <f>"1578728206315190"</f>
        <v>1578728206315190</v>
      </c>
      <c r="C1949" t="s">
        <v>37</v>
      </c>
      <c r="D1949">
        <v>5.8571499999999999</v>
      </c>
      <c r="E1949">
        <v>0.49142799999999998</v>
      </c>
      <c r="F1949" t="s">
        <v>45</v>
      </c>
      <c r="G1949">
        <v>-369.22239999999999</v>
      </c>
      <c r="H1949" s="1">
        <v>3.3708949999999999E-6</v>
      </c>
      <c r="I1949">
        <v>283.76729999999998</v>
      </c>
      <c r="J1949">
        <v>-353.04820000000001</v>
      </c>
      <c r="K1949">
        <v>1.1057410000000001</v>
      </c>
      <c r="L1949">
        <v>284.9633</v>
      </c>
      <c r="M1949">
        <v>-0.99989789999999901</v>
      </c>
      <c r="N1949">
        <v>0</v>
      </c>
      <c r="O1949">
        <v>-3.6693879999999998E-4</v>
      </c>
      <c r="P1949">
        <v>-0.99690309999999904</v>
      </c>
      <c r="Q1949">
        <v>5.936437E-2</v>
      </c>
      <c r="R1949">
        <v>-5.1579999999999897E-2</v>
      </c>
      <c r="S1949">
        <v>-3.009827</v>
      </c>
      <c r="T1949">
        <v>-0.20080629999999999</v>
      </c>
      <c r="U1949">
        <v>-0.21728520000000001</v>
      </c>
      <c r="V1949">
        <v>-5.1429509999999998E-2</v>
      </c>
      <c r="W1949">
        <v>7.3455229999999996E-2</v>
      </c>
      <c r="X1949">
        <v>0.99597159999999996</v>
      </c>
      <c r="Y1949">
        <v>-7.1481240000000001E-2</v>
      </c>
      <c r="Z1949">
        <v>-2.3543460000000002E-3</v>
      </c>
      <c r="AA1949">
        <v>0.99743909999999902</v>
      </c>
      <c r="AB1949">
        <v>41</v>
      </c>
      <c r="AC1949">
        <v>-16.1741999999999</v>
      </c>
      <c r="AD1949">
        <v>-1.1057376291050001</v>
      </c>
      <c r="AE1949">
        <v>-1.1960000000000199</v>
      </c>
      <c r="AF1949">
        <v>-1.1845582381541599</v>
      </c>
      <c r="AG1949">
        <v>-1.1057376291050001</v>
      </c>
      <c r="AH1949">
        <v>16.099801757071202</v>
      </c>
      <c r="AI1949">
        <v>93.918357490880695</v>
      </c>
      <c r="AJ1949">
        <v>94.208009201224698</v>
      </c>
      <c r="AK1949">
        <v>16.181144908225399</v>
      </c>
    </row>
    <row r="1950" spans="1:37" x14ac:dyDescent="0.2">
      <c r="A1950" t="str">
        <f>"20200111153646331"</f>
        <v>20200111153646331</v>
      </c>
      <c r="B1950" t="str">
        <f>"1578728206324950"</f>
        <v>1578728206324950</v>
      </c>
      <c r="C1950" t="s">
        <v>37</v>
      </c>
      <c r="D1950">
        <v>5.8091269999999904</v>
      </c>
      <c r="E1950">
        <v>0.491434599999999</v>
      </c>
      <c r="F1950" t="s">
        <v>45</v>
      </c>
      <c r="G1950">
        <v>-369.66629999999998</v>
      </c>
      <c r="H1950" s="1">
        <v>3.607133E-6</v>
      </c>
      <c r="I1950">
        <v>283.76740000000001</v>
      </c>
      <c r="J1950">
        <v>-353.32190000000003</v>
      </c>
      <c r="K1950">
        <v>1.105723</v>
      </c>
      <c r="L1950">
        <v>284.96249999999998</v>
      </c>
      <c r="M1950">
        <v>-0.99989740000000005</v>
      </c>
      <c r="N1950">
        <v>0</v>
      </c>
      <c r="O1950">
        <v>-1.038144E-3</v>
      </c>
      <c r="P1950">
        <v>-0.99688739999999998</v>
      </c>
      <c r="Q1950">
        <v>5.9168140000000001E-2</v>
      </c>
      <c r="R1950">
        <v>-5.2100069999999998E-2</v>
      </c>
      <c r="S1950">
        <v>-3.01004</v>
      </c>
      <c r="T1950">
        <v>-0.20028319999999999</v>
      </c>
      <c r="U1950">
        <v>-0.2166138</v>
      </c>
      <c r="V1950">
        <v>-5.1275889999999998E-2</v>
      </c>
      <c r="W1950">
        <v>7.3260720000000001E-2</v>
      </c>
      <c r="X1950">
        <v>0.99599380000000004</v>
      </c>
      <c r="Y1950">
        <v>-7.0589529999999998E-2</v>
      </c>
      <c r="Z1950">
        <v>-2.2739259999999999E-3</v>
      </c>
      <c r="AA1950">
        <v>0.99750289999999997</v>
      </c>
      <c r="AB1950">
        <v>41</v>
      </c>
      <c r="AC1950">
        <v>-16.344399999999901</v>
      </c>
      <c r="AD1950">
        <v>-1.1057193928669999</v>
      </c>
      <c r="AE1950">
        <v>-1.1950999999999601</v>
      </c>
      <c r="AF1950">
        <v>-1.1727908230742301</v>
      </c>
      <c r="AG1950">
        <v>-1.1057193928669999</v>
      </c>
      <c r="AH1950">
        <v>16.271558095803101</v>
      </c>
      <c r="AI1950">
        <v>93.877479858044097</v>
      </c>
      <c r="AJ1950">
        <v>94.122528714657307</v>
      </c>
      <c r="AK1950">
        <v>16.351197404335402</v>
      </c>
    </row>
    <row r="1951" spans="1:37" x14ac:dyDescent="0.2">
      <c r="A1951" t="str">
        <f>"20200111153646346"</f>
        <v>20200111153646346</v>
      </c>
      <c r="B1951" t="str">
        <f>"1578728206334711"</f>
        <v>1578728206334711</v>
      </c>
      <c r="C1951" t="s">
        <v>37</v>
      </c>
      <c r="D1951">
        <v>5.8119110000000003</v>
      </c>
      <c r="E1951">
        <v>0.49144470000000001</v>
      </c>
      <c r="F1951" t="s">
        <v>45</v>
      </c>
      <c r="G1951">
        <v>-369.85289999999998</v>
      </c>
      <c r="H1951" s="1">
        <v>3.7064179999999999E-6</v>
      </c>
      <c r="I1951">
        <v>283.7629</v>
      </c>
      <c r="J1951">
        <v>-353.57709999999997</v>
      </c>
      <c r="K1951">
        <v>1.105702</v>
      </c>
      <c r="L1951">
        <v>284.96170000000001</v>
      </c>
      <c r="M1951">
        <v>-0.99989649999999997</v>
      </c>
      <c r="N1951">
        <v>0</v>
      </c>
      <c r="O1951">
        <v>-1.6607950000000001E-3</v>
      </c>
      <c r="P1951">
        <v>-0.99688729999999903</v>
      </c>
      <c r="Q1951">
        <v>5.9007120000000003E-2</v>
      </c>
      <c r="R1951">
        <v>-5.2287340000000002E-2</v>
      </c>
      <c r="S1951">
        <v>-3.0099179999999999</v>
      </c>
      <c r="T1951">
        <v>-0.20132629999999899</v>
      </c>
      <c r="U1951">
        <v>-0.21841430000000001</v>
      </c>
      <c r="V1951">
        <v>-5.0838599999999998E-2</v>
      </c>
      <c r="W1951">
        <v>7.3101879999999994E-2</v>
      </c>
      <c r="X1951">
        <v>0.99602789999999997</v>
      </c>
      <c r="Y1951">
        <v>-7.0564719999999997E-2</v>
      </c>
      <c r="Z1951">
        <v>-2.2434079999999901E-3</v>
      </c>
      <c r="AA1951">
        <v>0.99750469999999902</v>
      </c>
      <c r="AB1951">
        <v>40</v>
      </c>
      <c r="AC1951">
        <v>-16.2758</v>
      </c>
      <c r="AD1951">
        <v>-1.1056982935819999</v>
      </c>
      <c r="AE1951">
        <v>-1.1988000000000001</v>
      </c>
      <c r="AF1951">
        <v>-1.1664106707560999</v>
      </c>
      <c r="AG1951">
        <v>-1.1056982935819999</v>
      </c>
      <c r="AH1951">
        <v>16.203390667603198</v>
      </c>
      <c r="AI1951">
        <v>93.893693395751399</v>
      </c>
      <c r="AJ1951">
        <v>94.117368446978006</v>
      </c>
      <c r="AK1951">
        <v>16.2829036629299</v>
      </c>
    </row>
    <row r="1952" spans="1:37" x14ac:dyDescent="0.2">
      <c r="A1952" t="str">
        <f>"20200111153646363"</f>
        <v>20200111153646363</v>
      </c>
      <c r="B1952" t="str">
        <f>"1578728206354233"</f>
        <v>1578728206354233</v>
      </c>
      <c r="C1952" t="s">
        <v>37</v>
      </c>
      <c r="D1952">
        <v>6.1358319999999997</v>
      </c>
      <c r="E1952">
        <v>0.49144120000000002</v>
      </c>
      <c r="F1952" t="s">
        <v>45</v>
      </c>
      <c r="G1952">
        <v>-370.03629999999998</v>
      </c>
      <c r="H1952" s="1">
        <v>-1.517481E-6</v>
      </c>
      <c r="I1952">
        <v>283.76479999999998</v>
      </c>
      <c r="J1952">
        <v>-353.87299999999999</v>
      </c>
      <c r="K1952">
        <v>1.1056820000000001</v>
      </c>
      <c r="L1952">
        <v>284.9606</v>
      </c>
      <c r="M1952">
        <v>-0.99989519999999998</v>
      </c>
      <c r="N1952">
        <v>0</v>
      </c>
      <c r="O1952">
        <v>-2.3792750000000001E-3</v>
      </c>
      <c r="P1952">
        <v>-0.99691629999999998</v>
      </c>
      <c r="Q1952">
        <v>5.8159189999999999E-2</v>
      </c>
      <c r="R1952">
        <v>-5.268391E-2</v>
      </c>
      <c r="S1952">
        <v>-3.0098569999999998</v>
      </c>
      <c r="T1952">
        <v>-0.2021973</v>
      </c>
      <c r="U1952">
        <v>-0.21887210000000001</v>
      </c>
      <c r="V1952">
        <v>-5.0512580000000001E-2</v>
      </c>
      <c r="W1952">
        <v>7.2256310000000004E-2</v>
      </c>
      <c r="X1952">
        <v>0.99610609999999999</v>
      </c>
      <c r="Y1952">
        <v>-7.0001850000000004E-2</v>
      </c>
      <c r="Z1952">
        <v>-2.1861129999999999E-3</v>
      </c>
      <c r="AA1952">
        <v>0.99754449999999995</v>
      </c>
      <c r="AB1952">
        <v>40</v>
      </c>
      <c r="AC1952">
        <v>-16.1632999999999</v>
      </c>
      <c r="AD1952">
        <v>-1.105683517481</v>
      </c>
      <c r="AE1952">
        <v>-1.19580000000001</v>
      </c>
      <c r="AF1952">
        <v>-1.15197441100483</v>
      </c>
      <c r="AG1952">
        <v>-1.105683517481</v>
      </c>
      <c r="AH1952">
        <v>16.091210374818701</v>
      </c>
      <c r="AI1952">
        <v>93.920812126405295</v>
      </c>
      <c r="AJ1952">
        <v>94.094835409193806</v>
      </c>
      <c r="AK1952">
        <v>16.170239095669299</v>
      </c>
    </row>
    <row r="1953" spans="1:37" x14ac:dyDescent="0.2">
      <c r="A1953" t="str">
        <f>"20200111153646384"</f>
        <v>20200111153646384</v>
      </c>
      <c r="B1953" t="str">
        <f>"1578728206374726"</f>
        <v>1578728206374726</v>
      </c>
      <c r="C1953" t="s">
        <v>37</v>
      </c>
      <c r="D1953">
        <v>5.6022559999999997</v>
      </c>
      <c r="E1953">
        <v>0.49136400000000002</v>
      </c>
      <c r="F1953" t="s">
        <v>45</v>
      </c>
      <c r="G1953">
        <v>-370.15379999999999</v>
      </c>
      <c r="H1953" s="1">
        <v>-1.4549619999999901E-6</v>
      </c>
      <c r="I1953">
        <v>283.77010000000001</v>
      </c>
      <c r="J1953">
        <v>-354.26659999999998</v>
      </c>
      <c r="K1953">
        <v>1.1056589999999999</v>
      </c>
      <c r="L1953">
        <v>284.95870000000002</v>
      </c>
      <c r="M1953">
        <v>-0.99989249999999996</v>
      </c>
      <c r="N1953">
        <v>0</v>
      </c>
      <c r="O1953">
        <v>-3.3301649999999999E-3</v>
      </c>
      <c r="P1953">
        <v>-0.99691090000000004</v>
      </c>
      <c r="Q1953">
        <v>5.7715929999999999E-2</v>
      </c>
      <c r="R1953">
        <v>-5.3268580000000003E-2</v>
      </c>
      <c r="S1953">
        <v>-3.0095830000000001</v>
      </c>
      <c r="T1953">
        <v>-0.20439089999999999</v>
      </c>
      <c r="U1953">
        <v>-0.22006229999999999</v>
      </c>
      <c r="V1953">
        <v>-5.0144649999999999E-2</v>
      </c>
      <c r="W1953">
        <v>7.1814959999999997E-2</v>
      </c>
      <c r="X1953">
        <v>0.99615669999999901</v>
      </c>
      <c r="Y1953">
        <v>-6.9452310000000003E-2</v>
      </c>
      <c r="Z1953">
        <v>-2.1269100000000001E-3</v>
      </c>
      <c r="AA1953">
        <v>0.997583</v>
      </c>
      <c r="AB1953">
        <v>40</v>
      </c>
      <c r="AC1953">
        <v>-15.8872</v>
      </c>
      <c r="AD1953">
        <v>-1.1056604549619999</v>
      </c>
      <c r="AE1953">
        <v>-1.1886000000000001</v>
      </c>
      <c r="AF1953">
        <v>-1.13023731333674</v>
      </c>
      <c r="AG1953">
        <v>-1.1056604549619999</v>
      </c>
      <c r="AH1953">
        <v>15.814899259707699</v>
      </c>
      <c r="AI1953">
        <v>93.989047660237006</v>
      </c>
      <c r="AJ1953">
        <v>94.087785433571895</v>
      </c>
      <c r="AK1953">
        <v>15.893739648705299</v>
      </c>
    </row>
    <row r="1954" spans="1:37" x14ac:dyDescent="0.2">
      <c r="A1954" t="str">
        <f>"20200111153646406"</f>
        <v>20200111153646406</v>
      </c>
      <c r="B1954" t="str">
        <f>"1578728206394247"</f>
        <v>1578728206394247</v>
      </c>
      <c r="C1954" t="s">
        <v>37</v>
      </c>
      <c r="D1954">
        <v>5.7024939999999997</v>
      </c>
      <c r="E1954">
        <v>0.4746339</v>
      </c>
      <c r="F1954" t="s">
        <v>45</v>
      </c>
      <c r="G1954">
        <v>-370.46929999999998</v>
      </c>
      <c r="H1954" s="1">
        <v>-1.2870750000000001E-6</v>
      </c>
      <c r="I1954">
        <v>283.7602</v>
      </c>
      <c r="J1954">
        <v>-354.66269999999997</v>
      </c>
      <c r="K1954">
        <v>1.105642</v>
      </c>
      <c r="L1954">
        <v>284.95650000000001</v>
      </c>
      <c r="M1954">
        <v>-0.99988899999999903</v>
      </c>
      <c r="N1954">
        <v>0</v>
      </c>
      <c r="O1954">
        <v>-4.2841140000000003E-3</v>
      </c>
      <c r="P1954">
        <v>-0.99688840000000001</v>
      </c>
      <c r="Q1954">
        <v>5.7662489999999997E-2</v>
      </c>
      <c r="R1954">
        <v>-5.3745000000000001E-2</v>
      </c>
      <c r="S1954">
        <v>-3.009277</v>
      </c>
      <c r="T1954">
        <v>-0.2053518</v>
      </c>
      <c r="U1954">
        <v>-0.22259519999999999</v>
      </c>
      <c r="V1954">
        <v>-4.9666019999999998E-2</v>
      </c>
      <c r="W1954">
        <v>7.176217E-2</v>
      </c>
      <c r="X1954">
        <v>0.99618449999999903</v>
      </c>
      <c r="Y1954">
        <v>-6.9344119999999995E-2</v>
      </c>
      <c r="Z1954">
        <v>-2.0684189999999902E-3</v>
      </c>
      <c r="AA1954">
        <v>0.99759069999999905</v>
      </c>
      <c r="AB1954">
        <v>40</v>
      </c>
      <c r="AC1954">
        <v>-15.8066</v>
      </c>
      <c r="AD1954">
        <v>-1.1056432870749999</v>
      </c>
      <c r="AE1954">
        <v>-1.1962999999999999</v>
      </c>
      <c r="AF1954">
        <v>-1.1231010894276301</v>
      </c>
      <c r="AG1954">
        <v>-1.1056432870749999</v>
      </c>
      <c r="AH1954">
        <v>15.7350314014011</v>
      </c>
      <c r="AI1954">
        <v>94.009193128588393</v>
      </c>
      <c r="AJ1954">
        <v>94.082610837642306</v>
      </c>
      <c r="AK1954">
        <v>15.8137603478239</v>
      </c>
    </row>
    <row r="1955" spans="1:37" x14ac:dyDescent="0.2">
      <c r="A1955" t="str">
        <f>"20200111153646421"</f>
        <v>20200111153646421</v>
      </c>
      <c r="B1955" t="str">
        <f>"1578728206414743"</f>
        <v>1578728206414743</v>
      </c>
      <c r="C1955" t="s">
        <v>37</v>
      </c>
      <c r="D1955">
        <v>5.5727979999999997</v>
      </c>
      <c r="E1955">
        <v>0.47427200000000003</v>
      </c>
      <c r="F1955" t="s">
        <v>45</v>
      </c>
      <c r="G1955">
        <v>-372.42579999999998</v>
      </c>
      <c r="H1955" s="1">
        <v>-2.4592039999999999E-7</v>
      </c>
      <c r="I1955">
        <v>282.84070000000003</v>
      </c>
      <c r="J1955">
        <v>-354.93290000000002</v>
      </c>
      <c r="K1955">
        <v>1.1056319999999999</v>
      </c>
      <c r="L1955">
        <v>284.95479999999998</v>
      </c>
      <c r="M1955">
        <v>-0.99988600000000005</v>
      </c>
      <c r="N1955">
        <v>0</v>
      </c>
      <c r="O1955">
        <v>-4.9337670000000004E-3</v>
      </c>
      <c r="P1955">
        <v>-0.99686390000000002</v>
      </c>
      <c r="Q1955">
        <v>5.7564650000000002E-2</v>
      </c>
      <c r="R1955">
        <v>-5.4306729999999998E-2</v>
      </c>
      <c r="S1955">
        <v>-3.0008539999999999</v>
      </c>
      <c r="T1955">
        <v>-0.18678449999999999</v>
      </c>
      <c r="U1955">
        <v>-0.3574524</v>
      </c>
      <c r="V1955">
        <v>-4.9577549999999998E-2</v>
      </c>
      <c r="W1955">
        <v>7.1664199999999997E-2</v>
      </c>
      <c r="X1955">
        <v>0.99619590000000002</v>
      </c>
      <c r="Y1955">
        <v>-0.1131731</v>
      </c>
      <c r="Z1955">
        <v>-3.2006690000000002E-3</v>
      </c>
      <c r="AA1955">
        <v>0.99357009999999901</v>
      </c>
      <c r="AB1955">
        <v>40</v>
      </c>
      <c r="AC1955">
        <v>-17.492899999999899</v>
      </c>
      <c r="AD1955">
        <v>-1.10563224592039</v>
      </c>
      <c r="AE1955">
        <v>-2.1140999999999499</v>
      </c>
      <c r="AF1955">
        <v>-2.0198069613215099</v>
      </c>
      <c r="AG1955">
        <v>-1.10563224592039</v>
      </c>
      <c r="AH1955">
        <v>17.4344735366073</v>
      </c>
      <c r="AI1955">
        <v>93.604590476706207</v>
      </c>
      <c r="AJ1955">
        <v>96.608332736185005</v>
      </c>
      <c r="AK1955">
        <v>17.585872464079799</v>
      </c>
    </row>
    <row r="1956" spans="1:37" x14ac:dyDescent="0.2">
      <c r="A1956" t="str">
        <f>"20200111153646441"</f>
        <v>20200111153646441</v>
      </c>
      <c r="B1956" t="str">
        <f>"1578728206434262"</f>
        <v>1578728206434262</v>
      </c>
      <c r="C1956" t="s">
        <v>37</v>
      </c>
      <c r="D1956">
        <v>5.6164489999999896</v>
      </c>
      <c r="E1956">
        <v>0.474321099999999</v>
      </c>
      <c r="F1956" t="s">
        <v>45</v>
      </c>
      <c r="G1956">
        <v>-373.01209999999998</v>
      </c>
      <c r="H1956" s="1">
        <v>6.61051999999999E-8</v>
      </c>
      <c r="I1956">
        <v>282.77350000000001</v>
      </c>
      <c r="J1956">
        <v>-355.27280000000002</v>
      </c>
      <c r="K1956">
        <v>1.105613</v>
      </c>
      <c r="L1956">
        <v>284.95240000000001</v>
      </c>
      <c r="M1956">
        <v>-0.99988169999999899</v>
      </c>
      <c r="N1956">
        <v>0</v>
      </c>
      <c r="O1956">
        <v>-5.7492039999999999E-3</v>
      </c>
      <c r="P1956">
        <v>-0.99681889999999995</v>
      </c>
      <c r="Q1956">
        <v>5.7484019999999997E-2</v>
      </c>
      <c r="R1956">
        <v>-5.5208689999999998E-2</v>
      </c>
      <c r="S1956">
        <v>-3.000305</v>
      </c>
      <c r="T1956">
        <v>-0.1834828</v>
      </c>
      <c r="U1956">
        <v>-0.36199949999999997</v>
      </c>
      <c r="V1956">
        <v>-4.9664769999999997E-2</v>
      </c>
      <c r="W1956">
        <v>7.1582380000000001E-2</v>
      </c>
      <c r="X1956">
        <v>0.99619749999999996</v>
      </c>
      <c r="Y1956">
        <v>-0.11387609999999999</v>
      </c>
      <c r="Z1956">
        <v>-3.1162450000000001E-3</v>
      </c>
      <c r="AA1956">
        <v>0.99349009999999904</v>
      </c>
      <c r="AB1956">
        <v>40</v>
      </c>
      <c r="AC1956">
        <v>-17.739299999999901</v>
      </c>
      <c r="AD1956">
        <v>-1.1056129338948</v>
      </c>
      <c r="AE1956">
        <v>-2.1788999999999898</v>
      </c>
      <c r="AF1956">
        <v>-2.06894939671461</v>
      </c>
      <c r="AG1956">
        <v>-1.1056129338948</v>
      </c>
      <c r="AH1956">
        <v>17.683863269618001</v>
      </c>
      <c r="AI1956">
        <v>93.553359181386995</v>
      </c>
      <c r="AJ1956">
        <v>96.673066349307504</v>
      </c>
      <c r="AK1956">
        <v>17.838776631381101</v>
      </c>
    </row>
    <row r="1957" spans="1:37" x14ac:dyDescent="0.2">
      <c r="A1957" t="str">
        <f>"20200111153646462"</f>
        <v>20200111153646462</v>
      </c>
      <c r="B1957" t="str">
        <f>"1578728206454758"</f>
        <v>1578728206454758</v>
      </c>
      <c r="C1957" t="s">
        <v>37</v>
      </c>
      <c r="D1957">
        <v>5.6356809999999999</v>
      </c>
      <c r="E1957">
        <v>0.47469629999999902</v>
      </c>
      <c r="F1957" t="s">
        <v>45</v>
      </c>
      <c r="G1957">
        <v>-373.57400000000001</v>
      </c>
      <c r="H1957" s="1">
        <v>3.6511429999999899E-7</v>
      </c>
      <c r="I1957">
        <v>282.73070000000001</v>
      </c>
      <c r="J1957">
        <v>-355.67239999999998</v>
      </c>
      <c r="K1957">
        <v>1.1055999999999999</v>
      </c>
      <c r="L1957">
        <v>284.94920000000002</v>
      </c>
      <c r="M1957">
        <v>-0.99987559999999998</v>
      </c>
      <c r="N1957">
        <v>0</v>
      </c>
      <c r="O1957">
        <v>-6.7057660000000002E-3</v>
      </c>
      <c r="P1957">
        <v>-0.99679640000000003</v>
      </c>
      <c r="Q1957">
        <v>5.6755279999999998E-2</v>
      </c>
      <c r="R1957">
        <v>-5.6351749999999999E-2</v>
      </c>
      <c r="S1957">
        <v>-2.99981699999999</v>
      </c>
      <c r="T1957">
        <v>-0.18122530000000001</v>
      </c>
      <c r="U1957">
        <v>-0.3641663</v>
      </c>
      <c r="V1957">
        <v>-4.9849780000000003E-2</v>
      </c>
      <c r="W1957">
        <v>7.0852780000000004E-2</v>
      </c>
      <c r="X1957">
        <v>0.99624040000000003</v>
      </c>
      <c r="Y1957">
        <v>-0.113659</v>
      </c>
      <c r="Z1957">
        <v>-3.0142909999999901E-3</v>
      </c>
      <c r="AA1957">
        <v>0.99351529999999999</v>
      </c>
      <c r="AB1957">
        <v>40</v>
      </c>
      <c r="AC1957">
        <v>-17.901599999999998</v>
      </c>
      <c r="AD1957">
        <v>-1.10559963488569</v>
      </c>
      <c r="AE1957">
        <v>-2.2185000000000001</v>
      </c>
      <c r="AF1957">
        <v>-2.0905406459333702</v>
      </c>
      <c r="AG1957">
        <v>-1.10559963488569</v>
      </c>
      <c r="AH1957">
        <v>17.849024354747598</v>
      </c>
      <c r="AI1957">
        <v>93.520468454190706</v>
      </c>
      <c r="AJ1957">
        <v>96.680248226195602</v>
      </c>
      <c r="AK1957">
        <v>18.005009890620201</v>
      </c>
    </row>
    <row r="1958" spans="1:37" x14ac:dyDescent="0.2">
      <c r="A1958" t="str">
        <f>"20200111153646485"</f>
        <v>20200111153646485</v>
      </c>
      <c r="B1958" t="str">
        <f>"1578728206474279"</f>
        <v>1578728206474279</v>
      </c>
      <c r="C1958" t="s">
        <v>37</v>
      </c>
      <c r="D1958">
        <v>5.6357489999999997</v>
      </c>
      <c r="E1958">
        <v>0.47508119999999998</v>
      </c>
      <c r="F1958" t="s">
        <v>45</v>
      </c>
      <c r="G1958">
        <v>-373.91120000000001</v>
      </c>
      <c r="H1958" s="1">
        <v>5.4457440000000004E-7</v>
      </c>
      <c r="I1958">
        <v>282.73309999999998</v>
      </c>
      <c r="J1958">
        <v>-356.07069999999999</v>
      </c>
      <c r="K1958">
        <v>1.1055870000000001</v>
      </c>
      <c r="L1958">
        <v>284.94560000000001</v>
      </c>
      <c r="M1958">
        <v>-0.99986889999999995</v>
      </c>
      <c r="N1958">
        <v>0</v>
      </c>
      <c r="O1958">
        <v>-7.6572380000000002E-3</v>
      </c>
      <c r="P1958">
        <v>-0.99675259999999999</v>
      </c>
      <c r="Q1958">
        <v>5.654787E-2</v>
      </c>
      <c r="R1958">
        <v>-5.7330499999999902E-2</v>
      </c>
      <c r="S1958">
        <v>-2.99939</v>
      </c>
      <c r="T1958">
        <v>-0.18181620000000001</v>
      </c>
      <c r="U1958">
        <v>-0.36444090000000001</v>
      </c>
      <c r="V1958">
        <v>-4.9877600000000001E-2</v>
      </c>
      <c r="W1958">
        <v>7.064397E-2</v>
      </c>
      <c r="X1958">
        <v>0.99625379999999997</v>
      </c>
      <c r="Y1958">
        <v>-0.11282209999999999</v>
      </c>
      <c r="Z1958">
        <v>-2.9418559999999901E-3</v>
      </c>
      <c r="AA1958">
        <v>0.99361089999999996</v>
      </c>
      <c r="AB1958">
        <v>40</v>
      </c>
      <c r="AC1958">
        <v>-17.840499999999999</v>
      </c>
      <c r="AD1958">
        <v>-1.1055864554256001</v>
      </c>
      <c r="AE1958">
        <v>-2.2125000000000301</v>
      </c>
      <c r="AF1958">
        <v>-2.06799073811634</v>
      </c>
      <c r="AG1958">
        <v>-1.1055864554256001</v>
      </c>
      <c r="AH1958">
        <v>17.789636519995501</v>
      </c>
      <c r="AI1958">
        <v>93.532504814327595</v>
      </c>
      <c r="AJ1958">
        <v>96.630698041036794</v>
      </c>
      <c r="AK1958">
        <v>17.943524587352201</v>
      </c>
    </row>
    <row r="1959" spans="1:37" x14ac:dyDescent="0.2">
      <c r="A1959" t="str">
        <f>"20200111153646507"</f>
        <v>20200111153646507</v>
      </c>
      <c r="B1959" t="str">
        <f>"1578728206504534"</f>
        <v>1578728206504534</v>
      </c>
      <c r="C1959" t="s">
        <v>37</v>
      </c>
      <c r="D1959">
        <v>5.9175719999999998</v>
      </c>
      <c r="E1959">
        <v>0.47549780000000003</v>
      </c>
      <c r="F1959" t="s">
        <v>45</v>
      </c>
      <c r="G1959">
        <v>-374.2824</v>
      </c>
      <c r="H1959" s="1">
        <v>7.4210020000000005E-7</v>
      </c>
      <c r="I1959">
        <v>282.73340000000002</v>
      </c>
      <c r="J1959">
        <v>-356.47390000000001</v>
      </c>
      <c r="K1959">
        <v>1.105575</v>
      </c>
      <c r="L1959">
        <v>284.94170000000003</v>
      </c>
      <c r="M1959">
        <v>-0.99986119999999901</v>
      </c>
      <c r="N1959">
        <v>0</v>
      </c>
      <c r="O1959">
        <v>-8.6166019999999992E-3</v>
      </c>
      <c r="P1959">
        <v>-0.99669649999999999</v>
      </c>
      <c r="Q1959">
        <v>5.6632050000000003E-2</v>
      </c>
      <c r="R1959">
        <v>-5.8215129999999997E-2</v>
      </c>
      <c r="S1959">
        <v>-2.9991150000000002</v>
      </c>
      <c r="T1959">
        <v>-0.18206849999999999</v>
      </c>
      <c r="U1959">
        <v>-0.3643188</v>
      </c>
      <c r="V1959">
        <v>-4.9804620000000001E-2</v>
      </c>
      <c r="W1959">
        <v>7.0726250000000004E-2</v>
      </c>
      <c r="X1959">
        <v>0.99625160000000001</v>
      </c>
      <c r="Y1959">
        <v>-0.111842699999999</v>
      </c>
      <c r="Z1959">
        <v>-2.8586480000000001E-3</v>
      </c>
      <c r="AA1959">
        <v>0.99372179999999999</v>
      </c>
      <c r="AB1959">
        <v>40</v>
      </c>
      <c r="AC1959">
        <v>-17.808499999999899</v>
      </c>
      <c r="AD1959">
        <v>-1.1055742578998</v>
      </c>
      <c r="AE1959">
        <v>-2.2082999999999999</v>
      </c>
      <c r="AF1959">
        <v>-2.04698386906278</v>
      </c>
      <c r="AG1959">
        <v>-1.1055742578998</v>
      </c>
      <c r="AH1959">
        <v>17.759458821958901</v>
      </c>
      <c r="AI1959">
        <v>93.538850486307098</v>
      </c>
      <c r="AJ1959">
        <v>96.5749896329812</v>
      </c>
      <c r="AK1959">
        <v>17.911192451894099</v>
      </c>
    </row>
    <row r="1960" spans="1:37" x14ac:dyDescent="0.2">
      <c r="A1960" t="str">
        <f>"20200111153646528"</f>
        <v>20200111153646528</v>
      </c>
      <c r="B1960" t="str">
        <f>"1578728206525031"</f>
        <v>1578728206525031</v>
      </c>
      <c r="C1960" t="s">
        <v>37</v>
      </c>
      <c r="D1960">
        <v>5.622198</v>
      </c>
      <c r="E1960">
        <v>0.47581459999999998</v>
      </c>
      <c r="F1960" t="s">
        <v>45</v>
      </c>
      <c r="G1960">
        <v>-374.8134</v>
      </c>
      <c r="H1960" s="1">
        <v>1.0246389999999999E-6</v>
      </c>
      <c r="I1960">
        <v>282.7167</v>
      </c>
      <c r="J1960">
        <v>-356.866999999999</v>
      </c>
      <c r="K1960">
        <v>1.105567</v>
      </c>
      <c r="L1960">
        <v>284.93740000000003</v>
      </c>
      <c r="M1960">
        <v>-0.99985270000000004</v>
      </c>
      <c r="N1960">
        <v>0</v>
      </c>
      <c r="O1960">
        <v>-9.548328E-3</v>
      </c>
      <c r="P1960">
        <v>-0.99662830000000002</v>
      </c>
      <c r="Q1960">
        <v>5.6936140000000003E-2</v>
      </c>
      <c r="R1960">
        <v>-5.9078409999999998E-2</v>
      </c>
      <c r="S1960">
        <v>-2.998993</v>
      </c>
      <c r="T1960">
        <v>-0.1807907</v>
      </c>
      <c r="U1960">
        <v>-0.363830599999999</v>
      </c>
      <c r="V1960">
        <v>-4.9737999999999997E-2</v>
      </c>
      <c r="W1960">
        <v>7.1028279999999999E-2</v>
      </c>
      <c r="X1960">
        <v>0.99623349999999899</v>
      </c>
      <c r="Y1960">
        <v>-0.1107682</v>
      </c>
      <c r="Z1960">
        <v>-2.7506240000000001E-3</v>
      </c>
      <c r="AA1960">
        <v>0.99384249999999996</v>
      </c>
      <c r="AB1960">
        <v>40</v>
      </c>
      <c r="AC1960">
        <v>-17.946400000000001</v>
      </c>
      <c r="AD1960">
        <v>-1.1055659753610001</v>
      </c>
      <c r="AE1960">
        <v>-2.2207000000000199</v>
      </c>
      <c r="AF1960">
        <v>-2.04159215329291</v>
      </c>
      <c r="AG1960">
        <v>-1.1055659753610001</v>
      </c>
      <c r="AH1960">
        <v>17.899881802242</v>
      </c>
      <c r="AI1960">
        <v>93.511609829426604</v>
      </c>
      <c r="AJ1960">
        <v>96.506819667362805</v>
      </c>
      <c r="AK1960">
        <v>18.049823909958199</v>
      </c>
    </row>
    <row r="1961" spans="1:37" x14ac:dyDescent="0.2">
      <c r="A1961" t="str">
        <f>"20200111153646552"</f>
        <v>20200111153646552</v>
      </c>
      <c r="B1961" t="str">
        <f>"1578728206544550"</f>
        <v>1578728206544550</v>
      </c>
      <c r="C1961" t="s">
        <v>37</v>
      </c>
      <c r="D1961">
        <v>5.6586869999999996</v>
      </c>
      <c r="E1961">
        <v>0.47600360000000003</v>
      </c>
      <c r="F1961" t="s">
        <v>45</v>
      </c>
      <c r="G1961">
        <v>-375.31130000000002</v>
      </c>
      <c r="H1961" s="1">
        <v>1.289636E-6</v>
      </c>
      <c r="I1961">
        <v>282.697</v>
      </c>
      <c r="J1961">
        <v>-357.28750000000002</v>
      </c>
      <c r="K1961">
        <v>1.1055619999999999</v>
      </c>
      <c r="L1961">
        <v>284.93239999999997</v>
      </c>
      <c r="M1961">
        <v>-0.99984280000000003</v>
      </c>
      <c r="N1961">
        <v>0</v>
      </c>
      <c r="O1961">
        <v>-1.0538799999999999E-2</v>
      </c>
      <c r="P1961">
        <v>-0.99656929999999999</v>
      </c>
      <c r="Q1961">
        <v>5.6836989999999997E-2</v>
      </c>
      <c r="R1961">
        <v>-6.0159999999999998E-2</v>
      </c>
      <c r="S1961">
        <v>-2.99884</v>
      </c>
      <c r="T1961">
        <v>-0.17975260000000001</v>
      </c>
      <c r="U1961">
        <v>-0.36425780000000002</v>
      </c>
      <c r="V1961">
        <v>-4.9830510000000001E-2</v>
      </c>
      <c r="W1961">
        <v>7.0927459999999998E-2</v>
      </c>
      <c r="X1961">
        <v>0.99623600000000001</v>
      </c>
      <c r="Y1961">
        <v>-0.1099345</v>
      </c>
      <c r="Z1961">
        <v>-2.6510150000000001E-3</v>
      </c>
      <c r="AA1961">
        <v>0.99393529999999997</v>
      </c>
      <c r="AB1961">
        <v>40</v>
      </c>
      <c r="AC1961">
        <v>-18.023799999999898</v>
      </c>
      <c r="AD1961">
        <v>-1.1055607103639999</v>
      </c>
      <c r="AE1961">
        <v>-2.2353999999999701</v>
      </c>
      <c r="AF1961">
        <v>-2.0377564578239502</v>
      </c>
      <c r="AG1961">
        <v>-1.1055607103639999</v>
      </c>
      <c r="AH1961">
        <v>17.979736361030699</v>
      </c>
      <c r="AI1961">
        <v>93.496317460733096</v>
      </c>
      <c r="AJ1961">
        <v>96.466098862658896</v>
      </c>
      <c r="AK1961">
        <v>18.1285861411714</v>
      </c>
    </row>
    <row r="1962" spans="1:37" x14ac:dyDescent="0.2">
      <c r="A1962" t="str">
        <f>"20200111153646586"</f>
        <v>20200111153646586</v>
      </c>
      <c r="B1962" t="str">
        <f>"1578728206574807"</f>
        <v>1578728206574807</v>
      </c>
      <c r="C1962" t="s">
        <v>37</v>
      </c>
      <c r="D1962">
        <v>5.6626469999999998</v>
      </c>
      <c r="E1962">
        <v>0.47606409999999899</v>
      </c>
      <c r="F1962" t="s">
        <v>45</v>
      </c>
      <c r="G1962">
        <v>-375.74979999999999</v>
      </c>
      <c r="H1962" s="1">
        <v>1.522982E-6</v>
      </c>
      <c r="I1962">
        <v>282.68119999999999</v>
      </c>
      <c r="J1962">
        <v>-357.88069999999999</v>
      </c>
      <c r="K1962">
        <v>1.1055469999999901</v>
      </c>
      <c r="L1962">
        <v>284.92469999999997</v>
      </c>
      <c r="M1962">
        <v>-0.99982739999999903</v>
      </c>
      <c r="N1962">
        <v>0</v>
      </c>
      <c r="O1962">
        <v>-1.191653E-2</v>
      </c>
      <c r="P1962">
        <v>-0.99643890000000002</v>
      </c>
      <c r="Q1962">
        <v>5.6839550000000003E-2</v>
      </c>
      <c r="R1962">
        <v>-6.2282770000000001E-2</v>
      </c>
      <c r="S1962">
        <v>-2.99850499999999</v>
      </c>
      <c r="T1962">
        <v>-0.17955639999999901</v>
      </c>
      <c r="U1962">
        <v>-0.36563109999999999</v>
      </c>
      <c r="V1962">
        <v>-5.0577270000000001E-2</v>
      </c>
      <c r="W1962">
        <v>7.0925539999999995E-2</v>
      </c>
      <c r="X1962">
        <v>0.99619849999999999</v>
      </c>
      <c r="Y1962">
        <v>-0.10903119999999999</v>
      </c>
      <c r="Z1962">
        <v>-2.5393239999999999E-3</v>
      </c>
      <c r="AA1962">
        <v>0.99403509999999995</v>
      </c>
      <c r="AB1962">
        <v>40</v>
      </c>
      <c r="AC1962">
        <v>-17.8691</v>
      </c>
      <c r="AD1962">
        <v>-1.10554547701799</v>
      </c>
      <c r="AE1962">
        <v>-2.2434999999999801</v>
      </c>
      <c r="AF1962">
        <v>-2.0227588333362898</v>
      </c>
      <c r="AG1962">
        <v>-1.10554547701799</v>
      </c>
      <c r="AH1962">
        <v>17.827387934561798</v>
      </c>
      <c r="AI1962">
        <v>93.526022471286296</v>
      </c>
      <c r="AJ1962">
        <v>96.473298593982904</v>
      </c>
      <c r="AK1962">
        <v>17.9758044234175</v>
      </c>
    </row>
    <row r="1963" spans="1:37" x14ac:dyDescent="0.2">
      <c r="A1963" t="str">
        <f>"20200111153646607"</f>
        <v>20200111153646607</v>
      </c>
      <c r="B1963" t="str">
        <f>"1578728206594327"</f>
        <v>1578728206594327</v>
      </c>
      <c r="C1963" t="s">
        <v>37</v>
      </c>
      <c r="D1963">
        <v>5.6772470000000004</v>
      </c>
      <c r="E1963">
        <v>0.47616579999999997</v>
      </c>
      <c r="F1963" t="s">
        <v>45</v>
      </c>
      <c r="G1963">
        <v>-376.54829999999998</v>
      </c>
      <c r="H1963" s="1">
        <v>1.947898E-6</v>
      </c>
      <c r="I1963">
        <v>282.61189999999999</v>
      </c>
      <c r="J1963">
        <v>-358.2747</v>
      </c>
      <c r="K1963">
        <v>1.1055379999999999</v>
      </c>
      <c r="L1963">
        <v>284.91919999999999</v>
      </c>
      <c r="M1963">
        <v>-0.99981640000000005</v>
      </c>
      <c r="N1963">
        <v>0</v>
      </c>
      <c r="O1963">
        <v>-1.2812489999999999E-2</v>
      </c>
      <c r="P1963">
        <v>-0.99629469999999998</v>
      </c>
      <c r="Q1963">
        <v>5.7141959999999999E-2</v>
      </c>
      <c r="R1963">
        <v>-6.4278340000000003E-2</v>
      </c>
      <c r="S1963">
        <v>-2.99762</v>
      </c>
      <c r="T1963">
        <v>-0.1775272</v>
      </c>
      <c r="U1963">
        <v>-0.37139889999999998</v>
      </c>
      <c r="V1963">
        <v>-5.1679620000000002E-2</v>
      </c>
      <c r="W1963">
        <v>7.1223300000000003E-2</v>
      </c>
      <c r="X1963">
        <v>0.99612069999999997</v>
      </c>
      <c r="Y1963">
        <v>-0.11006340000000001</v>
      </c>
      <c r="Z1963">
        <v>-2.488746E-3</v>
      </c>
      <c r="AA1963">
        <v>0.99392150000000001</v>
      </c>
      <c r="AB1963">
        <v>40</v>
      </c>
      <c r="AC1963">
        <v>-18.273599999999899</v>
      </c>
      <c r="AD1963">
        <v>-1.1055360521019999</v>
      </c>
      <c r="AE1963">
        <v>-2.3072999999999899</v>
      </c>
      <c r="AF1963">
        <v>-2.0655150484946598</v>
      </c>
      <c r="AG1963">
        <v>-1.1055360521019999</v>
      </c>
      <c r="AH1963">
        <v>18.235966234787799</v>
      </c>
      <c r="AI1963">
        <v>93.4472610577252</v>
      </c>
      <c r="AJ1963">
        <v>96.462123379540003</v>
      </c>
      <c r="AK1963">
        <v>18.385837671816201</v>
      </c>
    </row>
    <row r="1964" spans="1:37" x14ac:dyDescent="0.2">
      <c r="A1964" t="str">
        <f>"20200111153646629"</f>
        <v>20200111153646629</v>
      </c>
      <c r="B1964" t="str">
        <f>"1578728206624583"</f>
        <v>1578728206624583</v>
      </c>
      <c r="C1964" t="s">
        <v>37</v>
      </c>
      <c r="D1964">
        <v>5.7648229999999998</v>
      </c>
      <c r="E1964">
        <v>0.47622759999999997</v>
      </c>
      <c r="F1964" t="s">
        <v>45</v>
      </c>
      <c r="G1964">
        <v>-377.02929999999998</v>
      </c>
      <c r="H1964" s="1">
        <v>2.2038489999999998E-6</v>
      </c>
      <c r="I1964">
        <v>282.56200000000001</v>
      </c>
      <c r="J1964">
        <v>-358.66329999999999</v>
      </c>
      <c r="K1964">
        <v>1.105521</v>
      </c>
      <c r="L1964">
        <v>284.91340000000002</v>
      </c>
      <c r="M1964">
        <v>-0.9998049</v>
      </c>
      <c r="N1964">
        <v>0</v>
      </c>
      <c r="O1964">
        <v>-1.3677399999999999E-2</v>
      </c>
      <c r="P1964">
        <v>-0.99619869999999899</v>
      </c>
      <c r="Q1964">
        <v>5.7086129999999999E-2</v>
      </c>
      <c r="R1964">
        <v>-6.5796279999999999E-2</v>
      </c>
      <c r="S1964">
        <v>-2.9969790000000001</v>
      </c>
      <c r="T1964">
        <v>-0.17666419999999999</v>
      </c>
      <c r="U1964">
        <v>-0.37667849999999897</v>
      </c>
      <c r="V1964">
        <v>-5.2332940000000001E-2</v>
      </c>
      <c r="W1964">
        <v>7.1164779999999997E-2</v>
      </c>
      <c r="X1964">
        <v>0.99609080000000005</v>
      </c>
      <c r="Y1964">
        <v>-0.1109551</v>
      </c>
      <c r="Z1964">
        <v>-2.452362E-3</v>
      </c>
      <c r="AA1964">
        <v>0.99382239999999999</v>
      </c>
      <c r="AB1964">
        <v>40</v>
      </c>
      <c r="AC1964">
        <v>-18.3659999999999</v>
      </c>
      <c r="AD1964">
        <v>-1.105518796151</v>
      </c>
      <c r="AE1964">
        <v>-2.3514000000000101</v>
      </c>
      <c r="AF1964">
        <v>-2.0924959182810898</v>
      </c>
      <c r="AG1964">
        <v>-1.105518796151</v>
      </c>
      <c r="AH1964">
        <v>18.331098273795099</v>
      </c>
      <c r="AI1964">
        <v>93.429020873848103</v>
      </c>
      <c r="AJ1964">
        <v>96.512129271850895</v>
      </c>
      <c r="AK1964">
        <v>18.483232263329899</v>
      </c>
    </row>
    <row r="1965" spans="1:37" x14ac:dyDescent="0.2">
      <c r="A1965" t="str">
        <f>"20200111153646652"</f>
        <v>20200111153646652</v>
      </c>
      <c r="B1965" t="str">
        <f>"1578728206645078"</f>
        <v>1578728206645078</v>
      </c>
      <c r="C1965" t="s">
        <v>37</v>
      </c>
      <c r="D1965">
        <v>5.6246749999999999</v>
      </c>
      <c r="E1965">
        <v>0.47628769999999998</v>
      </c>
      <c r="F1965" t="s">
        <v>45</v>
      </c>
      <c r="G1965">
        <v>-377.37459999999999</v>
      </c>
      <c r="H1965" s="1">
        <v>2.3875879999999999E-6</v>
      </c>
      <c r="I1965">
        <v>282.53570000000002</v>
      </c>
      <c r="J1965">
        <v>-359.07589999999999</v>
      </c>
      <c r="K1965">
        <v>1.105499</v>
      </c>
      <c r="L1965">
        <v>284.90699999999998</v>
      </c>
      <c r="M1965">
        <v>-0.99979229999999997</v>
      </c>
      <c r="N1965">
        <v>0</v>
      </c>
      <c r="O1965">
        <v>-1.457192E-2</v>
      </c>
      <c r="P1965">
        <v>-0.99616380000000004</v>
      </c>
      <c r="Q1965">
        <v>5.6442340000000001E-2</v>
      </c>
      <c r="R1965">
        <v>-6.6873160000000001E-2</v>
      </c>
      <c r="S1965">
        <v>-2.996429</v>
      </c>
      <c r="T1965">
        <v>-0.17703829999999901</v>
      </c>
      <c r="U1965">
        <v>-0.38076779999999999</v>
      </c>
      <c r="V1965">
        <v>-5.2512980000000001E-2</v>
      </c>
      <c r="W1965">
        <v>7.0521239999999999E-2</v>
      </c>
      <c r="X1965">
        <v>0.99612710000000004</v>
      </c>
      <c r="Y1965">
        <v>-0.11142349999999999</v>
      </c>
      <c r="Z1965">
        <v>-2.4189820000000001E-3</v>
      </c>
      <c r="AA1965">
        <v>0.99377009999999899</v>
      </c>
      <c r="AB1965">
        <v>40</v>
      </c>
      <c r="AC1965">
        <v>-18.2987</v>
      </c>
      <c r="AD1965">
        <v>-1.105496612412</v>
      </c>
      <c r="AE1965">
        <v>-2.3712999999999602</v>
      </c>
      <c r="AF1965">
        <v>-2.09684714242773</v>
      </c>
      <c r="AG1965">
        <v>-1.105496612412</v>
      </c>
      <c r="AH1965">
        <v>18.265748544182401</v>
      </c>
      <c r="AI1965">
        <v>93.440939822592796</v>
      </c>
      <c r="AJ1965">
        <v>96.548698350943397</v>
      </c>
      <c r="AK1965">
        <v>18.418915836119801</v>
      </c>
    </row>
    <row r="1966" spans="1:37" x14ac:dyDescent="0.2">
      <c r="A1966" t="str">
        <f>"20200111153646666"</f>
        <v>20200111153646666</v>
      </c>
      <c r="B1966" t="str">
        <f>"1578728206654839"</f>
        <v>1578728206654839</v>
      </c>
      <c r="C1966" t="s">
        <v>37</v>
      </c>
      <c r="D1966">
        <v>5.6495790000000001</v>
      </c>
      <c r="E1966">
        <v>0.47633779999999998</v>
      </c>
      <c r="F1966" t="s">
        <v>45</v>
      </c>
      <c r="G1966">
        <v>-377.63099999999997</v>
      </c>
      <c r="H1966" s="1">
        <v>2.52406299999999E-6</v>
      </c>
      <c r="I1966">
        <v>282.52910000000003</v>
      </c>
      <c r="J1966">
        <v>-359.31670000000003</v>
      </c>
      <c r="K1966">
        <v>1.105486</v>
      </c>
      <c r="L1966">
        <v>284.90300000000002</v>
      </c>
      <c r="M1966">
        <v>-0.99978480000000003</v>
      </c>
      <c r="N1966">
        <v>0</v>
      </c>
      <c r="O1966">
        <v>-1.508109E-2</v>
      </c>
      <c r="P1966">
        <v>-0.99614230000000004</v>
      </c>
      <c r="Q1966">
        <v>5.6123579999999999E-2</v>
      </c>
      <c r="R1966">
        <v>-6.7461099999999996E-2</v>
      </c>
      <c r="S1966">
        <v>-2.9958499999999999</v>
      </c>
      <c r="T1966">
        <v>-0.17848989999999901</v>
      </c>
      <c r="U1966">
        <v>-0.38391110000000001</v>
      </c>
      <c r="V1966">
        <v>-5.2590169999999999E-2</v>
      </c>
      <c r="W1966">
        <v>7.0202089999999995E-2</v>
      </c>
      <c r="X1966">
        <v>0.99614550000000002</v>
      </c>
      <c r="Y1966">
        <v>-0.1119646</v>
      </c>
      <c r="Z1966">
        <v>-2.4249570000000002E-3</v>
      </c>
      <c r="AA1966">
        <v>0.99370930000000002</v>
      </c>
      <c r="AB1966">
        <v>40</v>
      </c>
      <c r="AC1966">
        <v>-18.3142999999999</v>
      </c>
      <c r="AD1966">
        <v>-1.105483475937</v>
      </c>
      <c r="AE1966">
        <v>-2.3738999999999901</v>
      </c>
      <c r="AF1966">
        <v>-2.0899134716099499</v>
      </c>
      <c r="AG1966">
        <v>-1.105483475937</v>
      </c>
      <c r="AH1966">
        <v>18.282508990439101</v>
      </c>
      <c r="AI1966">
        <v>93.437940044760197</v>
      </c>
      <c r="AJ1966">
        <v>96.521298610920894</v>
      </c>
      <c r="AK1966">
        <v>18.434748900374899</v>
      </c>
    </row>
    <row r="1967" spans="1:37" x14ac:dyDescent="0.2">
      <c r="A1967" t="str">
        <f>"20200111153646686"</f>
        <v>20200111153646686</v>
      </c>
      <c r="B1967" t="str">
        <f>"1578728206674359"</f>
        <v>1578728206674359</v>
      </c>
      <c r="C1967" t="s">
        <v>37</v>
      </c>
      <c r="D1967">
        <v>5.7026639999999897</v>
      </c>
      <c r="E1967">
        <v>0.47634779999999999</v>
      </c>
      <c r="F1967" t="s">
        <v>45</v>
      </c>
      <c r="G1967">
        <v>-377.7765</v>
      </c>
      <c r="H1967" s="1">
        <v>2.601461E-6</v>
      </c>
      <c r="I1967">
        <v>282.5301</v>
      </c>
      <c r="J1967">
        <v>-359.66079999999999</v>
      </c>
      <c r="K1967">
        <v>1.105464</v>
      </c>
      <c r="L1967">
        <v>284.8972</v>
      </c>
      <c r="M1967">
        <v>-0.99977389999999999</v>
      </c>
      <c r="N1967">
        <v>0</v>
      </c>
      <c r="O1967">
        <v>-1.5790240000000001E-2</v>
      </c>
      <c r="P1967">
        <v>-0.99615880000000001</v>
      </c>
      <c r="Q1967">
        <v>5.5752429999999999E-2</v>
      </c>
      <c r="R1967">
        <v>-6.752445E-2</v>
      </c>
      <c r="S1967">
        <v>-2.9956360000000002</v>
      </c>
      <c r="T1967">
        <v>-0.179397</v>
      </c>
      <c r="U1967">
        <v>-0.38507079999999999</v>
      </c>
      <c r="V1967">
        <v>-5.1941220000000003E-2</v>
      </c>
      <c r="W1967">
        <v>6.9833909999999999E-2</v>
      </c>
      <c r="X1967">
        <v>0.99620540000000002</v>
      </c>
      <c r="Y1967">
        <v>-0.1116472</v>
      </c>
      <c r="Z1967">
        <v>-2.3856789999999999E-3</v>
      </c>
      <c r="AA1967">
        <v>0.99374499999999999</v>
      </c>
      <c r="AB1967">
        <v>40</v>
      </c>
      <c r="AC1967">
        <v>-18.1157</v>
      </c>
      <c r="AD1967">
        <v>-1.1054613985390001</v>
      </c>
      <c r="AE1967">
        <v>-2.36709999999999</v>
      </c>
      <c r="AF1967">
        <v>-2.0731343827287301</v>
      </c>
      <c r="AG1967">
        <v>-1.1054613985390001</v>
      </c>
      <c r="AH1967">
        <v>18.084610313362099</v>
      </c>
      <c r="AI1967">
        <v>93.475273669167706</v>
      </c>
      <c r="AJ1967">
        <v>96.539571434823699</v>
      </c>
      <c r="AK1967">
        <v>18.236585789524199</v>
      </c>
    </row>
    <row r="1968" spans="1:37" x14ac:dyDescent="0.2">
      <c r="A1968" t="str">
        <f>"20200111153646707"</f>
        <v>20200111153646707</v>
      </c>
      <c r="B1968" t="str">
        <f>"1578728206704616"</f>
        <v>1578728206704616</v>
      </c>
      <c r="C1968" t="s">
        <v>37</v>
      </c>
      <c r="D1968">
        <v>5.9701940000000002</v>
      </c>
      <c r="E1968">
        <v>0.47643229999999998</v>
      </c>
      <c r="F1968" t="s">
        <v>45</v>
      </c>
      <c r="G1968">
        <v>-377.96570000000003</v>
      </c>
      <c r="H1968" s="1">
        <v>2.70217699999999E-6</v>
      </c>
      <c r="I1968">
        <v>282.54109999999997</v>
      </c>
      <c r="J1968">
        <v>-360.05939999999998</v>
      </c>
      <c r="K1968">
        <v>1.1054269999999999</v>
      </c>
      <c r="L1968">
        <v>284.89010000000002</v>
      </c>
      <c r="M1968">
        <v>-0.99976109999999896</v>
      </c>
      <c r="N1968">
        <v>0</v>
      </c>
      <c r="O1968">
        <v>-1.6583210000000001E-2</v>
      </c>
      <c r="P1968">
        <v>-0.99619349999999995</v>
      </c>
      <c r="Q1968">
        <v>5.5005270000000002E-2</v>
      </c>
      <c r="R1968">
        <v>-6.7624710000000005E-2</v>
      </c>
      <c r="S1968">
        <v>-2.99554399999999</v>
      </c>
      <c r="T1968">
        <v>-0.18090490000000001</v>
      </c>
      <c r="U1968">
        <v>-0.38555909999999999</v>
      </c>
      <c r="V1968">
        <v>-5.1243690000000001E-2</v>
      </c>
      <c r="W1968">
        <v>6.9090429999999994E-2</v>
      </c>
      <c r="X1968">
        <v>0.9962934</v>
      </c>
      <c r="Y1968">
        <v>-0.11102190000000001</v>
      </c>
      <c r="Z1968">
        <v>-2.339332E-3</v>
      </c>
      <c r="AA1968">
        <v>0.99381520000000001</v>
      </c>
      <c r="AB1968">
        <v>40</v>
      </c>
      <c r="AC1968">
        <v>-17.906300000000002</v>
      </c>
      <c r="AD1968">
        <v>-1.105424297823</v>
      </c>
      <c r="AE1968">
        <v>-2.3490000000000402</v>
      </c>
      <c r="AF1968">
        <v>-2.0440446857654901</v>
      </c>
      <c r="AG1968">
        <v>-1.105424297823</v>
      </c>
      <c r="AH1968">
        <v>17.875821730650099</v>
      </c>
      <c r="AI1968">
        <v>93.515760033880397</v>
      </c>
      <c r="AJ1968">
        <v>96.523261851836907</v>
      </c>
      <c r="AK1968">
        <v>18.026233219993799</v>
      </c>
    </row>
    <row r="1969" spans="1:37" x14ac:dyDescent="0.2">
      <c r="A1969" t="str">
        <f>"20200111153646721"</f>
        <v>20200111153646721</v>
      </c>
      <c r="B1969" t="str">
        <f>"1578728206714375"</f>
        <v>1578728206714375</v>
      </c>
      <c r="C1969" t="s">
        <v>37</v>
      </c>
      <c r="D1969">
        <v>5.7039549999999997</v>
      </c>
      <c r="E1969">
        <v>0.47649129999999901</v>
      </c>
      <c r="F1969" t="s">
        <v>45</v>
      </c>
      <c r="G1969">
        <v>-378.09449999999998</v>
      </c>
      <c r="H1969" s="1">
        <v>2.7706709999999998E-6</v>
      </c>
      <c r="I1969">
        <v>282.57190000000003</v>
      </c>
      <c r="J1969">
        <v>-360.29840000000002</v>
      </c>
      <c r="K1969">
        <v>1.1054090000000001</v>
      </c>
      <c r="L1969">
        <v>284.88580000000002</v>
      </c>
      <c r="M1969">
        <v>-0.99975340000000001</v>
      </c>
      <c r="N1969">
        <v>0</v>
      </c>
      <c r="O1969">
        <v>-1.704692E-2</v>
      </c>
      <c r="P1969">
        <v>-0.99619880000000005</v>
      </c>
      <c r="Q1969">
        <v>5.4551269999999999E-2</v>
      </c>
      <c r="R1969">
        <v>-6.7914870000000002E-2</v>
      </c>
      <c r="S1969">
        <v>-2.9954830000000001</v>
      </c>
      <c r="T1969">
        <v>-0.18360270000000001</v>
      </c>
      <c r="U1969">
        <v>-0.3850403</v>
      </c>
      <c r="V1969">
        <v>-5.1067599999999998E-2</v>
      </c>
      <c r="W1969">
        <v>6.8638019999999994E-2</v>
      </c>
      <c r="X1969">
        <v>0.99633369999999999</v>
      </c>
      <c r="Y1969">
        <v>-0.11039110000000001</v>
      </c>
      <c r="Z1969">
        <v>-2.3267299999999999E-3</v>
      </c>
      <c r="AA1969">
        <v>0.99388549999999998</v>
      </c>
      <c r="AB1969">
        <v>40</v>
      </c>
      <c r="AC1969">
        <v>-17.7960999999999</v>
      </c>
      <c r="AD1969">
        <v>-1.1054062293289999</v>
      </c>
      <c r="AE1969">
        <v>-2.3138999999999799</v>
      </c>
      <c r="AF1969">
        <v>-2.00256626382048</v>
      </c>
      <c r="AG1969">
        <v>-1.1054062293289999</v>
      </c>
      <c r="AH1969">
        <v>17.765557388576799</v>
      </c>
      <c r="AI1969">
        <v>93.538110935934299</v>
      </c>
      <c r="AJ1969">
        <v>96.431337888913305</v>
      </c>
      <c r="AK1969">
        <v>17.912208794552601</v>
      </c>
    </row>
    <row r="1970" spans="1:37" x14ac:dyDescent="0.2">
      <c r="A1970" t="str">
        <f>"20200111153646742"</f>
        <v>20200111153646742</v>
      </c>
      <c r="B1970" t="str">
        <f>"1578728206734873"</f>
        <v>1578728206734873</v>
      </c>
      <c r="C1970" t="s">
        <v>37</v>
      </c>
      <c r="D1970">
        <v>5.6258439999999998</v>
      </c>
      <c r="E1970">
        <v>0.47656929999999997</v>
      </c>
      <c r="F1970" t="s">
        <v>45</v>
      </c>
      <c r="G1970">
        <v>-378.17880000000002</v>
      </c>
      <c r="H1970" s="1">
        <v>2.8155719999999998E-6</v>
      </c>
      <c r="I1970">
        <v>282.58609999999999</v>
      </c>
      <c r="J1970">
        <v>-360.67360000000002</v>
      </c>
      <c r="K1970">
        <v>1.1053789999999999</v>
      </c>
      <c r="L1970">
        <v>284.87869999999998</v>
      </c>
      <c r="M1970">
        <v>-0.99974110000000005</v>
      </c>
      <c r="N1970">
        <v>0</v>
      </c>
      <c r="O1970">
        <v>-1.774978E-2</v>
      </c>
      <c r="P1970">
        <v>-0.99624979999999996</v>
      </c>
      <c r="Q1970">
        <v>5.3684889999999999E-2</v>
      </c>
      <c r="R1970">
        <v>-6.7855200000000004E-2</v>
      </c>
      <c r="S1970">
        <v>-2.9953609999999999</v>
      </c>
      <c r="T1970">
        <v>-0.18517939999999999</v>
      </c>
      <c r="U1970">
        <v>-0.38525389999999998</v>
      </c>
      <c r="V1970">
        <v>-5.0299499999999997E-2</v>
      </c>
      <c r="W1970">
        <v>6.7775550000000004E-2</v>
      </c>
      <c r="X1970">
        <v>0.99643179999999998</v>
      </c>
      <c r="Y1970">
        <v>-0.10976669999999999</v>
      </c>
      <c r="Z1970">
        <v>-2.2843450000000001E-3</v>
      </c>
      <c r="AA1970">
        <v>0.99395480000000003</v>
      </c>
      <c r="AB1970">
        <v>40</v>
      </c>
      <c r="AC1970">
        <v>-17.505199999999999</v>
      </c>
      <c r="AD1970">
        <v>-1.1053761844279999</v>
      </c>
      <c r="AE1970">
        <v>-2.29259999999999</v>
      </c>
      <c r="AF1970">
        <v>-1.9737564354260699</v>
      </c>
      <c r="AG1970">
        <v>-1.1053761844279999</v>
      </c>
      <c r="AH1970">
        <v>17.474636164180101</v>
      </c>
      <c r="AI1970">
        <v>93.596672123786803</v>
      </c>
      <c r="AJ1970">
        <v>96.444234276260204</v>
      </c>
      <c r="AK1970">
        <v>17.620456295055401</v>
      </c>
    </row>
    <row r="1971" spans="1:37" x14ac:dyDescent="0.2">
      <c r="A1971" t="str">
        <f>"20200111153646764"</f>
        <v>20200111153646764</v>
      </c>
      <c r="B1971" t="str">
        <f>"1578728206754393"</f>
        <v>1578728206754393</v>
      </c>
      <c r="C1971" t="s">
        <v>37</v>
      </c>
      <c r="D1971">
        <v>5.6243669999999897</v>
      </c>
      <c r="E1971">
        <v>0.4766321</v>
      </c>
      <c r="F1971" t="s">
        <v>45</v>
      </c>
      <c r="G1971">
        <v>-378.34949999999998</v>
      </c>
      <c r="H1971" s="1">
        <v>2.9064319999999999E-6</v>
      </c>
      <c r="I1971">
        <v>282.60980000000001</v>
      </c>
      <c r="J1971">
        <v>-361.05869999999999</v>
      </c>
      <c r="K1971">
        <v>1.1053440000000001</v>
      </c>
      <c r="L1971">
        <v>284.87119999999999</v>
      </c>
      <c r="M1971">
        <v>-0.99972859999999997</v>
      </c>
      <c r="N1971">
        <v>0</v>
      </c>
      <c r="O1971">
        <v>-1.8444749999999999E-2</v>
      </c>
      <c r="P1971">
        <v>-0.99623850000000003</v>
      </c>
      <c r="Q1971">
        <v>5.3726540000000003E-2</v>
      </c>
      <c r="R1971">
        <v>-6.7988409999999999E-2</v>
      </c>
      <c r="S1971">
        <v>-2.9951479999999999</v>
      </c>
      <c r="T1971">
        <v>-0.18730369999999999</v>
      </c>
      <c r="U1971">
        <v>-0.38446039999999998</v>
      </c>
      <c r="V1971">
        <v>-4.9734880000000002E-2</v>
      </c>
      <c r="W1971">
        <v>6.7819290000000004E-2</v>
      </c>
      <c r="X1971">
        <v>0.99645720000000004</v>
      </c>
      <c r="Y1971">
        <v>-0.1088248</v>
      </c>
      <c r="Z1971">
        <v>-2.2381829999999999E-3</v>
      </c>
      <c r="AA1971">
        <v>0.99405840000000001</v>
      </c>
      <c r="AB1971">
        <v>40</v>
      </c>
      <c r="AC1971">
        <v>-17.290799999999901</v>
      </c>
      <c r="AD1971">
        <v>-1.1053410935679999</v>
      </c>
      <c r="AE1971">
        <v>-2.2613999999999801</v>
      </c>
      <c r="AF1971">
        <v>-1.9342867069796601</v>
      </c>
      <c r="AG1971">
        <v>-1.1053410935679999</v>
      </c>
      <c r="AH1971">
        <v>17.260223638224499</v>
      </c>
      <c r="AI1971">
        <v>93.641473009851893</v>
      </c>
      <c r="AJ1971">
        <v>96.394238106932306</v>
      </c>
      <c r="AK1971">
        <v>17.4034066791376</v>
      </c>
    </row>
    <row r="1972" spans="1:37" x14ac:dyDescent="0.2">
      <c r="A1972" t="str">
        <f>"20200111153646786"</f>
        <v>20200111153646786</v>
      </c>
      <c r="B1972" t="str">
        <f>"1578728206774887"</f>
        <v>1578728206774887</v>
      </c>
      <c r="C1972" t="s">
        <v>37</v>
      </c>
      <c r="D1972">
        <v>5.7249489999999996</v>
      </c>
      <c r="E1972">
        <v>0.47673119999999902</v>
      </c>
      <c r="F1972" t="s">
        <v>45</v>
      </c>
      <c r="G1972">
        <v>-378.77289999999999</v>
      </c>
      <c r="H1972" s="1">
        <v>3.1317419999999999E-6</v>
      </c>
      <c r="I1972">
        <v>282.59620000000001</v>
      </c>
      <c r="J1972">
        <v>-361.44979999999998</v>
      </c>
      <c r="K1972">
        <v>1.1053189999999999</v>
      </c>
      <c r="L1972">
        <v>284.86329999999998</v>
      </c>
      <c r="M1972">
        <v>-0.99971580000000004</v>
      </c>
      <c r="N1972">
        <v>0</v>
      </c>
      <c r="O1972">
        <v>-1.9125070000000001E-2</v>
      </c>
      <c r="P1972">
        <v>-0.99617800000000001</v>
      </c>
      <c r="Q1972">
        <v>5.3771630000000001E-2</v>
      </c>
      <c r="R1972">
        <v>-6.8833340000000007E-2</v>
      </c>
      <c r="S1972">
        <v>-2.9951479999999999</v>
      </c>
      <c r="T1972">
        <v>-0.18689249999999999</v>
      </c>
      <c r="U1972">
        <v>-0.38467410000000002</v>
      </c>
      <c r="V1972">
        <v>-4.9897690000000001E-2</v>
      </c>
      <c r="W1972">
        <v>6.7864980000000005E-2</v>
      </c>
      <c r="X1972">
        <v>0.99644599999999905</v>
      </c>
      <c r="Y1972">
        <v>-0.1082212</v>
      </c>
      <c r="Z1972">
        <v>-2.1723250000000001E-3</v>
      </c>
      <c r="AA1972">
        <v>0.99412449999999997</v>
      </c>
      <c r="AB1972">
        <v>40</v>
      </c>
      <c r="AC1972">
        <v>-17.3231</v>
      </c>
      <c r="AD1972">
        <v>-1.105315868258</v>
      </c>
      <c r="AE1972">
        <v>-2.2670999999999699</v>
      </c>
      <c r="AF1972">
        <v>-1.92763059667723</v>
      </c>
      <c r="AG1972">
        <v>-1.105315868258</v>
      </c>
      <c r="AH1972">
        <v>17.294071886245298</v>
      </c>
      <c r="AI1972">
        <v>93.634524012304695</v>
      </c>
      <c r="AJ1972">
        <v>96.360046185950907</v>
      </c>
      <c r="AK1972">
        <v>17.436238278151901</v>
      </c>
    </row>
    <row r="1973" spans="1:37" x14ac:dyDescent="0.2">
      <c r="A1973" t="str">
        <f>"20200111153646809"</f>
        <v>20200111153646809</v>
      </c>
      <c r="B1973" t="str">
        <f>"1578728206805142"</f>
        <v>1578728206805142</v>
      </c>
      <c r="C1973" t="s">
        <v>37</v>
      </c>
      <c r="D1973">
        <v>5.6903860000000002</v>
      </c>
      <c r="E1973">
        <v>0.475630099999999</v>
      </c>
      <c r="F1973" t="s">
        <v>45</v>
      </c>
      <c r="G1973">
        <v>-379.17849999999999</v>
      </c>
      <c r="H1973" s="1">
        <v>3.3475519999999999E-6</v>
      </c>
      <c r="I1973">
        <v>282.5745</v>
      </c>
      <c r="J1973">
        <v>-361.84539999999998</v>
      </c>
      <c r="K1973">
        <v>1.1052919999999999</v>
      </c>
      <c r="L1973">
        <v>284.85509999999999</v>
      </c>
      <c r="M1973">
        <v>-0.99970300000000001</v>
      </c>
      <c r="N1973">
        <v>0</v>
      </c>
      <c r="O1973">
        <v>-1.9788819999999999E-2</v>
      </c>
      <c r="P1973">
        <v>-0.99608909999999995</v>
      </c>
      <c r="Q1973">
        <v>5.4188760000000002E-2</v>
      </c>
      <c r="R1973">
        <v>-6.9788989999999995E-2</v>
      </c>
      <c r="S1973">
        <v>-2.9948730000000001</v>
      </c>
      <c r="T1973">
        <v>-0.18671889999999999</v>
      </c>
      <c r="U1973">
        <v>-0.38665769999999999</v>
      </c>
      <c r="V1973">
        <v>-5.0188959999999998E-2</v>
      </c>
      <c r="W1973">
        <v>6.8280759999999996E-2</v>
      </c>
      <c r="X1973">
        <v>0.99640289999999998</v>
      </c>
      <c r="Y1973">
        <v>-0.108222</v>
      </c>
      <c r="Z1973">
        <v>-2.1292989999999999E-3</v>
      </c>
      <c r="AA1973">
        <v>0.99412449999999997</v>
      </c>
      <c r="AB1973">
        <v>40</v>
      </c>
      <c r="AC1973">
        <v>-17.333100000000002</v>
      </c>
      <c r="AD1973">
        <v>-1.1052886524479999</v>
      </c>
      <c r="AE1973">
        <v>-2.28059999999999</v>
      </c>
      <c r="AF1973">
        <v>-1.92940500821615</v>
      </c>
      <c r="AG1973">
        <v>-1.1052886524479999</v>
      </c>
      <c r="AH1973">
        <v>17.305667681694199</v>
      </c>
      <c r="AI1973">
        <v>93.631994893697495</v>
      </c>
      <c r="AJ1973">
        <v>96.361622153252796</v>
      </c>
      <c r="AK1973">
        <v>17.447933992315399</v>
      </c>
    </row>
    <row r="1974" spans="1:37" x14ac:dyDescent="0.2">
      <c r="A1974" t="str">
        <f>"20200111153646831"</f>
        <v>20200111153646831</v>
      </c>
      <c r="B1974" t="str">
        <f>"1578728206824662"</f>
        <v>1578728206824662</v>
      </c>
      <c r="C1974" t="s">
        <v>37</v>
      </c>
      <c r="D1974">
        <v>5.9647959999999998</v>
      </c>
      <c r="E1974">
        <v>0.47657769999999999</v>
      </c>
      <c r="F1974" t="s">
        <v>45</v>
      </c>
      <c r="G1974">
        <v>-375.63709999999998</v>
      </c>
      <c r="H1974" s="1">
        <v>1.46298399999999E-6</v>
      </c>
      <c r="I1974">
        <v>283.02659999999997</v>
      </c>
      <c r="J1974">
        <v>-362.24979999999999</v>
      </c>
      <c r="K1974">
        <v>1.1052679999999999</v>
      </c>
      <c r="L1974">
        <v>284.84649999999999</v>
      </c>
      <c r="M1974">
        <v>-0.99968979999999996</v>
      </c>
      <c r="N1974">
        <v>0</v>
      </c>
      <c r="O1974">
        <v>-2.0442559999999999E-2</v>
      </c>
      <c r="P1974">
        <v>-0.99601919999999899</v>
      </c>
      <c r="Q1974">
        <v>5.4260000000000003E-2</v>
      </c>
      <c r="R1974">
        <v>-7.0720530000000004E-2</v>
      </c>
      <c r="S1974">
        <v>-2.9970089999999998</v>
      </c>
      <c r="T1974">
        <v>-0.2401857</v>
      </c>
      <c r="U1974">
        <v>-0.39733889999999999</v>
      </c>
      <c r="V1974">
        <v>-5.0465699999999898E-2</v>
      </c>
      <c r="W1974">
        <v>6.8352120000000002E-2</v>
      </c>
      <c r="X1974">
        <v>0.99638409999999999</v>
      </c>
      <c r="Y1974">
        <v>-0.110849</v>
      </c>
      <c r="Z1974">
        <v>-2.7873629999999902E-3</v>
      </c>
      <c r="AA1974">
        <v>0.99383339999999998</v>
      </c>
      <c r="AB1974">
        <v>40</v>
      </c>
      <c r="AC1974">
        <v>-13.3872999999999</v>
      </c>
      <c r="AD1974">
        <v>-1.105266537016</v>
      </c>
      <c r="AE1974">
        <v>-1.8199000000000101</v>
      </c>
      <c r="AF1974">
        <v>-1.5355444351499501</v>
      </c>
      <c r="AG1974">
        <v>-1.105266537016</v>
      </c>
      <c r="AH1974">
        <v>13.3324799888849</v>
      </c>
      <c r="AI1974">
        <v>94.708019240101194</v>
      </c>
      <c r="AJ1974">
        <v>96.569990525811605</v>
      </c>
      <c r="AK1974">
        <v>13.466051146649599</v>
      </c>
    </row>
    <row r="1975" spans="1:37" x14ac:dyDescent="0.2">
      <c r="A1975" t="str">
        <f>"20200111153646853"</f>
        <v>20200111153646853</v>
      </c>
      <c r="B1975" t="str">
        <f>"1578728206845161"</f>
        <v>1578728206845161</v>
      </c>
      <c r="C1975" t="s">
        <v>37</v>
      </c>
      <c r="D1975">
        <v>5.6703429999999999</v>
      </c>
      <c r="E1975">
        <v>0.47762949999999998</v>
      </c>
      <c r="F1975" t="s">
        <v>45</v>
      </c>
      <c r="G1975">
        <v>-377.1266</v>
      </c>
      <c r="H1975" s="1">
        <v>2.25566599999999E-6</v>
      </c>
      <c r="I1975">
        <v>282.8954</v>
      </c>
      <c r="J1975">
        <v>-362.65339999999998</v>
      </c>
      <c r="K1975">
        <v>1.105237</v>
      </c>
      <c r="L1975">
        <v>284.83760000000001</v>
      </c>
      <c r="M1975">
        <v>-0.99967700000000004</v>
      </c>
      <c r="N1975">
        <v>0</v>
      </c>
      <c r="O1975">
        <v>-2.1071280000000001E-2</v>
      </c>
      <c r="P1975">
        <v>-0.99597179999999996</v>
      </c>
      <c r="Q1975">
        <v>5.4365360000000001E-2</v>
      </c>
      <c r="R1975">
        <v>-7.1308079999999996E-2</v>
      </c>
      <c r="S1975">
        <v>-2.996216</v>
      </c>
      <c r="T1975">
        <v>-0.22260199999999999</v>
      </c>
      <c r="U1975">
        <v>-0.39294429999999902</v>
      </c>
      <c r="V1975">
        <v>-5.042162E-2</v>
      </c>
      <c r="W1975">
        <v>6.8458210000000005E-2</v>
      </c>
      <c r="X1975">
        <v>0.99637900000000001</v>
      </c>
      <c r="Y1975">
        <v>-0.10887229999999901</v>
      </c>
      <c r="Z1975">
        <v>-2.4653639999999998E-3</v>
      </c>
      <c r="AA1975">
        <v>0.99405270000000001</v>
      </c>
      <c r="AB1975">
        <v>40</v>
      </c>
      <c r="AC1975">
        <v>-14.4732</v>
      </c>
      <c r="AD1975">
        <v>-1.105234744334</v>
      </c>
      <c r="AE1975">
        <v>-1.9422000000000099</v>
      </c>
      <c r="AF1975">
        <v>-1.6274464889297999</v>
      </c>
      <c r="AG1975">
        <v>-1.105234744334</v>
      </c>
      <c r="AH1975">
        <v>14.428264704741499</v>
      </c>
      <c r="AI1975">
        <v>94.352923740944206</v>
      </c>
      <c r="AJ1975">
        <v>96.435517861000903</v>
      </c>
      <c r="AK1975">
        <v>14.5617632278685</v>
      </c>
    </row>
    <row r="1976" spans="1:37" x14ac:dyDescent="0.2">
      <c r="A1976" t="str">
        <f>"20200111153646875"</f>
        <v>20200111153646875</v>
      </c>
      <c r="B1976" t="str">
        <f>"1578728206864678"</f>
        <v>1578728206864678</v>
      </c>
      <c r="C1976" t="s">
        <v>37</v>
      </c>
      <c r="D1976">
        <v>5.9028470000000004</v>
      </c>
      <c r="E1976">
        <v>0.47738239999999998</v>
      </c>
      <c r="F1976" t="s">
        <v>45</v>
      </c>
      <c r="G1976">
        <v>-378.48649999999998</v>
      </c>
      <c r="H1976" s="1">
        <v>2.9792889999999999E-6</v>
      </c>
      <c r="I1976">
        <v>282.79590000000002</v>
      </c>
      <c r="J1976">
        <v>-363.03429999999997</v>
      </c>
      <c r="K1976">
        <v>1.105216</v>
      </c>
      <c r="L1976">
        <v>284.82900000000001</v>
      </c>
      <c r="M1976">
        <v>-0.99966469999999896</v>
      </c>
      <c r="N1976">
        <v>0</v>
      </c>
      <c r="O1976">
        <v>-2.1643039999999999E-2</v>
      </c>
      <c r="P1976">
        <v>-0.9959152</v>
      </c>
      <c r="Q1976">
        <v>5.4454490000000001E-2</v>
      </c>
      <c r="R1976">
        <v>-7.2027699999999903E-2</v>
      </c>
      <c r="S1976">
        <v>-2.9958499999999999</v>
      </c>
      <c r="T1976">
        <v>-0.2091267</v>
      </c>
      <c r="U1976">
        <v>-0.386322</v>
      </c>
      <c r="V1976">
        <v>-5.0567649999999999E-2</v>
      </c>
      <c r="W1976">
        <v>6.8547640000000007E-2</v>
      </c>
      <c r="X1976">
        <v>0.99636550000000002</v>
      </c>
      <c r="Y1976">
        <v>-0.1061938</v>
      </c>
      <c r="Z1976">
        <v>-2.1844310000000001E-3</v>
      </c>
      <c r="AA1976">
        <v>0.99434299999999998</v>
      </c>
      <c r="AB1976">
        <v>40</v>
      </c>
      <c r="AC1976">
        <v>-15.452199999999999</v>
      </c>
      <c r="AD1976">
        <v>-1.105213020711</v>
      </c>
      <c r="AE1976">
        <v>-2.0330999999999899</v>
      </c>
      <c r="AF1976">
        <v>-1.6896604703812399</v>
      </c>
      <c r="AG1976">
        <v>-1.105213020711</v>
      </c>
      <c r="AH1976">
        <v>15.415068640614299</v>
      </c>
      <c r="AI1976">
        <v>94.076580973390506</v>
      </c>
      <c r="AJ1976">
        <v>96.255273691527094</v>
      </c>
      <c r="AK1976">
        <v>15.5467292226104</v>
      </c>
    </row>
    <row r="1977" spans="1:37" x14ac:dyDescent="0.2">
      <c r="A1977" t="str">
        <f>"20200111153646897"</f>
        <v>20200111153646897</v>
      </c>
      <c r="B1977" t="str">
        <f>"1578728206894936"</f>
        <v>1578728206894936</v>
      </c>
      <c r="C1977" t="s">
        <v>37</v>
      </c>
      <c r="D1977">
        <v>5.907572</v>
      </c>
      <c r="E1977">
        <v>0.47771089999999999</v>
      </c>
      <c r="F1977" t="s">
        <v>45</v>
      </c>
      <c r="G1977">
        <v>-379.39859999999999</v>
      </c>
      <c r="H1977" s="1">
        <v>3.4646869999999999E-6</v>
      </c>
      <c r="I1977">
        <v>282.69630000000001</v>
      </c>
      <c r="J1977">
        <v>-363.42520000000002</v>
      </c>
      <c r="K1977">
        <v>1.105197</v>
      </c>
      <c r="L1977">
        <v>284.82</v>
      </c>
      <c r="M1977">
        <v>-0.99965230000000005</v>
      </c>
      <c r="N1977">
        <v>0</v>
      </c>
      <c r="O1977">
        <v>-2.220861E-2</v>
      </c>
      <c r="P1977">
        <v>-0.99582839999999995</v>
      </c>
      <c r="Q1977">
        <v>5.493435E-2</v>
      </c>
      <c r="R1977">
        <v>-7.2857190000000002E-2</v>
      </c>
      <c r="S1977">
        <v>-2.9951479999999999</v>
      </c>
      <c r="T1977">
        <v>-0.2022861</v>
      </c>
      <c r="U1977">
        <v>-0.39035029999999998</v>
      </c>
      <c r="V1977">
        <v>-5.0831550000000003E-2</v>
      </c>
      <c r="W1977">
        <v>6.9027630000000006E-2</v>
      </c>
      <c r="X1977">
        <v>0.99631890000000001</v>
      </c>
      <c r="Y1977">
        <v>-0.1069884</v>
      </c>
      <c r="Z1977">
        <v>-2.1021820000000002E-3</v>
      </c>
      <c r="AA1977">
        <v>0.99425799999999998</v>
      </c>
      <c r="AB1977">
        <v>40</v>
      </c>
      <c r="AC1977">
        <v>-15.9733999999999</v>
      </c>
      <c r="AD1977">
        <v>-1.105193535313</v>
      </c>
      <c r="AE1977">
        <v>-2.1236999999999799</v>
      </c>
      <c r="AF1977">
        <v>-1.7601135766389899</v>
      </c>
      <c r="AG1977">
        <v>-1.105193535313</v>
      </c>
      <c r="AH1977">
        <v>15.941638366326099</v>
      </c>
      <c r="AI1977">
        <v>93.9419483559507</v>
      </c>
      <c r="AJ1977">
        <v>96.300498235750297</v>
      </c>
      <c r="AK1977">
        <v>16.0765446024912</v>
      </c>
    </row>
    <row r="1978" spans="1:37" x14ac:dyDescent="0.2">
      <c r="A1978" t="str">
        <f>"20200111153646920"</f>
        <v>20200111153646920</v>
      </c>
      <c r="B1978" t="str">
        <f>"1578728206915131"</f>
        <v>1578728206915131</v>
      </c>
      <c r="C1978" t="s">
        <v>37</v>
      </c>
      <c r="D1978">
        <v>5.6467729999999996</v>
      </c>
      <c r="E1978">
        <v>0.47784319999999902</v>
      </c>
      <c r="F1978" t="s">
        <v>45</v>
      </c>
      <c r="G1978">
        <v>-380.32940000000002</v>
      </c>
      <c r="H1978" s="1">
        <v>-1.3615020000000001E-6</v>
      </c>
      <c r="I1978">
        <v>282.61790000000002</v>
      </c>
      <c r="J1978">
        <v>-363.82549999999998</v>
      </c>
      <c r="K1978">
        <v>1.105173</v>
      </c>
      <c r="L1978">
        <v>284.81060000000002</v>
      </c>
      <c r="M1978">
        <v>-0.99963969999999902</v>
      </c>
      <c r="N1978">
        <v>0</v>
      </c>
      <c r="O1978">
        <v>-2.276355E-2</v>
      </c>
      <c r="P1978">
        <v>-0.99574499999999999</v>
      </c>
      <c r="Q1978">
        <v>5.5769300000000001E-2</v>
      </c>
      <c r="R1978">
        <v>-7.3358220000000002E-2</v>
      </c>
      <c r="S1978">
        <v>-2.994812</v>
      </c>
      <c r="T1978">
        <v>-0.19580129999999901</v>
      </c>
      <c r="U1978">
        <v>-0.3901367</v>
      </c>
      <c r="V1978">
        <v>-5.0777750000000003E-2</v>
      </c>
      <c r="W1978">
        <v>6.9862460000000001E-2</v>
      </c>
      <c r="X1978">
        <v>0.99626340000000002</v>
      </c>
      <c r="Y1978">
        <v>-0.1063953</v>
      </c>
      <c r="Z1978">
        <v>-1.979822E-3</v>
      </c>
      <c r="AA1978">
        <v>0.99432189999999998</v>
      </c>
      <c r="AB1978">
        <v>40</v>
      </c>
      <c r="AC1978">
        <v>-16.503900000000002</v>
      </c>
      <c r="AD1978">
        <v>-1.105174361502</v>
      </c>
      <c r="AE1978">
        <v>-2.1926999999999999</v>
      </c>
      <c r="AF1978">
        <v>-1.80843755006671</v>
      </c>
      <c r="AG1978">
        <v>-1.105174361502</v>
      </c>
      <c r="AH1978">
        <v>16.476936405556501</v>
      </c>
      <c r="AI1978">
        <v>93.814472405623903</v>
      </c>
      <c r="AJ1978">
        <v>96.263467629371704</v>
      </c>
      <c r="AK1978">
        <v>16.612684613107199</v>
      </c>
    </row>
    <row r="1979" spans="1:37" x14ac:dyDescent="0.2">
      <c r="A1979" t="str">
        <f>"20200111153646943"</f>
        <v>20200111153646943</v>
      </c>
      <c r="B1979" t="str">
        <f>"1578728206934650"</f>
        <v>1578728206934650</v>
      </c>
      <c r="C1979" t="s">
        <v>37</v>
      </c>
      <c r="D1979">
        <v>5.9899809999999896</v>
      </c>
      <c r="E1979">
        <v>0.47947899999999999</v>
      </c>
      <c r="F1979" t="s">
        <v>45</v>
      </c>
      <c r="G1979">
        <v>-381.25889999999998</v>
      </c>
      <c r="H1979" s="1">
        <v>-8.6686530000000003E-7</v>
      </c>
      <c r="I1979">
        <v>282.53339999999997</v>
      </c>
      <c r="J1979">
        <v>-364.23450000000003</v>
      </c>
      <c r="K1979">
        <v>1.105143</v>
      </c>
      <c r="L1979">
        <v>284.80079999999998</v>
      </c>
      <c r="M1979">
        <v>-0.9996275</v>
      </c>
      <c r="N1979">
        <v>0</v>
      </c>
      <c r="O1979">
        <v>-2.3303589999999999E-2</v>
      </c>
      <c r="P1979">
        <v>-0.99571829999999995</v>
      </c>
      <c r="Q1979">
        <v>5.5725730000000001E-2</v>
      </c>
      <c r="R1979">
        <v>-7.3754609999999998E-2</v>
      </c>
      <c r="S1979">
        <v>-2.9946290000000002</v>
      </c>
      <c r="T1979">
        <v>-0.1898417</v>
      </c>
      <c r="U1979">
        <v>-0.39117429999999997</v>
      </c>
      <c r="V1979">
        <v>-5.0630639999999998E-2</v>
      </c>
      <c r="W1979">
        <v>6.9819660000000006E-2</v>
      </c>
      <c r="X1979">
        <v>0.99627389999999905</v>
      </c>
      <c r="Y1979">
        <v>-0.10621659999999999</v>
      </c>
      <c r="Z1979">
        <v>-1.880095E-3</v>
      </c>
      <c r="AA1979">
        <v>0.99434129999999998</v>
      </c>
      <c r="AB1979">
        <v>40</v>
      </c>
      <c r="AC1979">
        <v>-17.024399999999901</v>
      </c>
      <c r="AD1979">
        <v>-1.1051438668653</v>
      </c>
      <c r="AE1979">
        <v>-2.2673999999999999</v>
      </c>
      <c r="AF1979">
        <v>-1.8623034956153799</v>
      </c>
      <c r="AG1979">
        <v>-1.1051438668653</v>
      </c>
      <c r="AH1979">
        <v>17.0022211973167</v>
      </c>
      <c r="AI1979">
        <v>93.696943268521807</v>
      </c>
      <c r="AJ1979">
        <v>96.250857251183106</v>
      </c>
      <c r="AK1979">
        <v>17.139575342427101</v>
      </c>
    </row>
    <row r="1980" spans="1:37" x14ac:dyDescent="0.2">
      <c r="A1980" t="str">
        <f>"20200111153646964"</f>
        <v>20200111153646964</v>
      </c>
      <c r="B1980" t="str">
        <f>"1578728206955150"</f>
        <v>1578728206955150</v>
      </c>
      <c r="C1980" t="s">
        <v>37</v>
      </c>
      <c r="D1980">
        <v>5.7752980000000003</v>
      </c>
      <c r="E1980">
        <v>0.51046400000000003</v>
      </c>
      <c r="F1980" t="s">
        <v>45</v>
      </c>
      <c r="G1980">
        <v>-382.4665</v>
      </c>
      <c r="H1980" s="1">
        <v>-2.2425729999999899E-7</v>
      </c>
      <c r="I1980">
        <v>282.4914</v>
      </c>
      <c r="J1980">
        <v>-364.61169999999998</v>
      </c>
      <c r="K1980">
        <v>1.105116</v>
      </c>
      <c r="L1980">
        <v>284.79140000000001</v>
      </c>
      <c r="M1980">
        <v>-0.99961610000000001</v>
      </c>
      <c r="N1980">
        <v>0</v>
      </c>
      <c r="O1980">
        <v>-2.378421E-2</v>
      </c>
      <c r="P1980">
        <v>-0.99566010000000005</v>
      </c>
      <c r="Q1980">
        <v>5.5571889999999999E-2</v>
      </c>
      <c r="R1980">
        <v>-7.4653600000000001E-2</v>
      </c>
      <c r="S1980">
        <v>-2.9949650000000001</v>
      </c>
      <c r="T1980">
        <v>-0.18154139999999999</v>
      </c>
      <c r="U1980">
        <v>-0.37936399999999998</v>
      </c>
      <c r="V1980">
        <v>-5.1046859999999999E-2</v>
      </c>
      <c r="W1980">
        <v>6.9665530000000003E-2</v>
      </c>
      <c r="X1980">
        <v>0.99626349999999997</v>
      </c>
      <c r="Y1980">
        <v>-0.1018886</v>
      </c>
      <c r="Z1980">
        <v>-1.6387800000000001E-3</v>
      </c>
      <c r="AA1980">
        <v>0.99479450000000003</v>
      </c>
      <c r="AB1980">
        <v>40</v>
      </c>
      <c r="AC1980">
        <v>-17.854800000000001</v>
      </c>
      <c r="AD1980">
        <v>-1.1051162242573001</v>
      </c>
      <c r="AE1980">
        <v>-2.30000000000001</v>
      </c>
      <c r="AF1980">
        <v>-1.86760612122707</v>
      </c>
      <c r="AG1980">
        <v>-1.1051162242573001</v>
      </c>
      <c r="AH1980">
        <v>17.837239262635901</v>
      </c>
      <c r="AI1980">
        <v>93.526035208985505</v>
      </c>
      <c r="AJ1980">
        <v>95.977241000528494</v>
      </c>
      <c r="AK1980">
        <v>17.968760085372601</v>
      </c>
    </row>
    <row r="1981" spans="1:37" x14ac:dyDescent="0.2">
      <c r="A1981" t="str">
        <f>"20200111153646986"</f>
        <v>20200111153646986</v>
      </c>
      <c r="B1981" t="str">
        <f>"1578728206974666"</f>
        <v>1578728206974666</v>
      </c>
      <c r="C1981" t="s">
        <v>37</v>
      </c>
      <c r="D1981">
        <v>5.6539789999999996</v>
      </c>
      <c r="E1981">
        <v>0.50887170000000004</v>
      </c>
      <c r="F1981" t="s">
        <v>45</v>
      </c>
      <c r="G1981">
        <v>-386.94450000000001</v>
      </c>
      <c r="H1981" s="1">
        <v>2.1587070000000002E-6</v>
      </c>
      <c r="I1981">
        <v>283.78149999999999</v>
      </c>
      <c r="J1981">
        <v>-364.99799999999999</v>
      </c>
      <c r="K1981">
        <v>1.105094</v>
      </c>
      <c r="L1981">
        <v>284.78179999999998</v>
      </c>
      <c r="M1981">
        <v>-0.99960479999999996</v>
      </c>
      <c r="N1981">
        <v>0</v>
      </c>
      <c r="O1981">
        <v>-2.4258780000000001E-2</v>
      </c>
      <c r="P1981">
        <v>-0.99562070000000003</v>
      </c>
      <c r="Q1981">
        <v>5.5735979999999997E-2</v>
      </c>
      <c r="R1981">
        <v>-7.5054570000000001E-2</v>
      </c>
      <c r="S1981">
        <v>-3.0112000000000001</v>
      </c>
      <c r="T1981">
        <v>-0.1490059</v>
      </c>
      <c r="U1981">
        <v>-0.1361694</v>
      </c>
      <c r="V1981">
        <v>-5.097169E-2</v>
      </c>
      <c r="W1981">
        <v>6.9829649999999993E-2</v>
      </c>
      <c r="X1981">
        <v>0.99625580000000002</v>
      </c>
      <c r="Y1981">
        <v>-2.0929119999999999E-2</v>
      </c>
      <c r="Z1981">
        <v>6.8169539999999999E-4</v>
      </c>
      <c r="AA1981">
        <v>0.99978069999999897</v>
      </c>
      <c r="AB1981">
        <v>40</v>
      </c>
      <c r="AC1981">
        <v>-21.946499999999901</v>
      </c>
      <c r="AD1981">
        <v>-1.105091841293</v>
      </c>
      <c r="AE1981">
        <v>-1.00029999999998</v>
      </c>
      <c r="AF1981">
        <v>-0.46637648145234201</v>
      </c>
      <c r="AG1981">
        <v>-1.105091841293</v>
      </c>
      <c r="AH1981">
        <v>21.9088735049184</v>
      </c>
      <c r="AI1981">
        <v>92.886920588558993</v>
      </c>
      <c r="AJ1981">
        <v>91.219477074258407</v>
      </c>
      <c r="AK1981">
        <v>21.9416834644624</v>
      </c>
    </row>
    <row r="1982" spans="1:37" x14ac:dyDescent="0.2">
      <c r="A1982" t="str">
        <f>"20200111153647009"</f>
        <v>20200111153647009</v>
      </c>
      <c r="B1982" t="str">
        <f>"1578728207004923"</f>
        <v>1578728207004923</v>
      </c>
      <c r="C1982" t="s">
        <v>37</v>
      </c>
      <c r="D1982">
        <v>5.8004030000000002</v>
      </c>
      <c r="E1982">
        <v>0.50660179999999999</v>
      </c>
      <c r="F1982" t="s">
        <v>45</v>
      </c>
      <c r="G1982">
        <v>-387.14850000000001</v>
      </c>
      <c r="H1982" s="1">
        <v>2.2672890000000002E-6</v>
      </c>
      <c r="I1982">
        <v>283.67590000000001</v>
      </c>
      <c r="J1982">
        <v>-365.40219999999999</v>
      </c>
      <c r="K1982">
        <v>1.105067</v>
      </c>
      <c r="L1982">
        <v>284.7715</v>
      </c>
      <c r="M1982">
        <v>-0.99959319999999896</v>
      </c>
      <c r="N1982">
        <v>0</v>
      </c>
      <c r="O1982">
        <v>-2.47361E-2</v>
      </c>
      <c r="P1982">
        <v>-0.99557390000000001</v>
      </c>
      <c r="Q1982">
        <v>5.6178169999999999E-2</v>
      </c>
      <c r="R1982">
        <v>-7.5345670000000003E-2</v>
      </c>
      <c r="S1982">
        <v>-3.010345</v>
      </c>
      <c r="T1982">
        <v>-0.15018619999999999</v>
      </c>
      <c r="U1982">
        <v>-0.15029909999999999</v>
      </c>
      <c r="V1982">
        <v>-5.0784839999999998E-2</v>
      </c>
      <c r="W1982">
        <v>7.0272500000000002E-2</v>
      </c>
      <c r="X1982">
        <v>0.99623419999999896</v>
      </c>
      <c r="Y1982">
        <v>-2.5141819999999999E-2</v>
      </c>
      <c r="Z1982">
        <v>6.0600740000000001E-4</v>
      </c>
      <c r="AA1982">
        <v>0.99968369999999995</v>
      </c>
      <c r="AB1982">
        <v>39</v>
      </c>
      <c r="AC1982">
        <v>-21.746300000000002</v>
      </c>
      <c r="AD1982">
        <v>-1.1050647327109999</v>
      </c>
      <c r="AE1982">
        <v>-1.0955999999999899</v>
      </c>
      <c r="AF1982">
        <v>-0.55586006848139402</v>
      </c>
      <c r="AG1982">
        <v>-1.1050647327109999</v>
      </c>
      <c r="AH1982">
        <v>21.710826572832399</v>
      </c>
      <c r="AI1982">
        <v>92.912844604993793</v>
      </c>
      <c r="AJ1982">
        <v>91.466617568921393</v>
      </c>
      <c r="AK1982">
        <v>21.746037316136999</v>
      </c>
    </row>
    <row r="1983" spans="1:37" x14ac:dyDescent="0.2">
      <c r="A1983" t="str">
        <f>"20200111153647032"</f>
        <v>20200111153647032</v>
      </c>
      <c r="B1983" t="str">
        <f>"1578728207024442"</f>
        <v>1578728207024442</v>
      </c>
      <c r="C1983" t="s">
        <v>37</v>
      </c>
      <c r="D1983">
        <v>5.74681</v>
      </c>
      <c r="E1983">
        <v>0.50609850000000001</v>
      </c>
      <c r="F1983" t="s">
        <v>45</v>
      </c>
      <c r="G1983">
        <v>-387.0967</v>
      </c>
      <c r="H1983" s="1">
        <v>2.2397069999999999E-6</v>
      </c>
      <c r="I1983">
        <v>283.55309999999997</v>
      </c>
      <c r="J1983">
        <v>-365.8109</v>
      </c>
      <c r="K1983">
        <v>1.1050519999999999</v>
      </c>
      <c r="L1983">
        <v>284.760999999999</v>
      </c>
      <c r="M1983">
        <v>-0.99958159999999896</v>
      </c>
      <c r="N1983">
        <v>0</v>
      </c>
      <c r="O1983">
        <v>-2.5200190000000001E-2</v>
      </c>
      <c r="P1983">
        <v>-0.99553709999999995</v>
      </c>
      <c r="Q1983">
        <v>5.6088209999999999E-2</v>
      </c>
      <c r="R1983">
        <v>-7.5896720000000001E-2</v>
      </c>
      <c r="S1983">
        <v>-3.0091860000000001</v>
      </c>
      <c r="T1983">
        <v>-0.15328069999999999</v>
      </c>
      <c r="U1983">
        <v>-0.1690063</v>
      </c>
      <c r="V1983">
        <v>-5.0869240000000003E-2</v>
      </c>
      <c r="W1983">
        <v>7.0182110000000006E-2</v>
      </c>
      <c r="X1983">
        <v>0.99623629999999996</v>
      </c>
      <c r="Y1983">
        <v>-3.088687E-2</v>
      </c>
      <c r="Z1983">
        <v>4.9607480000000005E-4</v>
      </c>
      <c r="AA1983">
        <v>0.99952269999999899</v>
      </c>
      <c r="AB1983">
        <v>39</v>
      </c>
      <c r="AC1983">
        <v>-21.285799999999899</v>
      </c>
      <c r="AD1983">
        <v>-1.1050497602930001</v>
      </c>
      <c r="AE1983">
        <v>-1.20789999999999</v>
      </c>
      <c r="AF1983">
        <v>-0.66925808358629002</v>
      </c>
      <c r="AG1983">
        <v>-1.1050497602930001</v>
      </c>
      <c r="AH1983">
        <v>21.252386556288702</v>
      </c>
      <c r="AI1983">
        <v>92.975027466743299</v>
      </c>
      <c r="AJ1983">
        <v>91.803703103125699</v>
      </c>
      <c r="AK1983">
        <v>21.291617498280601</v>
      </c>
    </row>
    <row r="1984" spans="1:37" x14ac:dyDescent="0.2">
      <c r="A1984" t="str">
        <f>"20200111153647053"</f>
        <v>20200111153647053</v>
      </c>
      <c r="B1984" t="str">
        <f>"1578728207044941"</f>
        <v>1578728207044941</v>
      </c>
      <c r="C1984" t="s">
        <v>37</v>
      </c>
      <c r="D1984">
        <v>5.7257379999999998</v>
      </c>
      <c r="E1984">
        <v>0.50565870000000002</v>
      </c>
      <c r="F1984" t="s">
        <v>45</v>
      </c>
      <c r="G1984">
        <v>-387.63909999999998</v>
      </c>
      <c r="H1984" s="1">
        <v>2.5283769999999998E-6</v>
      </c>
      <c r="I1984">
        <v>283.49369999999999</v>
      </c>
      <c r="J1984">
        <v>-366.18340000000001</v>
      </c>
      <c r="K1984">
        <v>1.1050340000000001</v>
      </c>
      <c r="L1984">
        <v>284.75119999999998</v>
      </c>
      <c r="M1984">
        <v>-0.99957129999999905</v>
      </c>
      <c r="N1984">
        <v>0</v>
      </c>
      <c r="O1984">
        <v>-2.5607850000000001E-2</v>
      </c>
      <c r="P1984">
        <v>-0.99556199999999995</v>
      </c>
      <c r="Q1984">
        <v>5.5767299999999999E-2</v>
      </c>
      <c r="R1984">
        <v>-7.5805689999999995E-2</v>
      </c>
      <c r="S1984">
        <v>-3.0086979999999999</v>
      </c>
      <c r="T1984">
        <v>-0.1523147</v>
      </c>
      <c r="U1984">
        <v>-0.17468259999999999</v>
      </c>
      <c r="V1984">
        <v>-5.0367299999999997E-2</v>
      </c>
      <c r="W1984">
        <v>6.9862460000000001E-2</v>
      </c>
      <c r="X1984">
        <v>0.99628430000000001</v>
      </c>
      <c r="Y1984">
        <v>-3.2366600000000002E-2</v>
      </c>
      <c r="Z1984">
        <v>4.761945E-4</v>
      </c>
      <c r="AA1984">
        <v>0.99947600000000003</v>
      </c>
      <c r="AB1984">
        <v>39</v>
      </c>
      <c r="AC1984">
        <v>-21.455699999999901</v>
      </c>
      <c r="AD1984">
        <v>-1.1050314716230001</v>
      </c>
      <c r="AE1984">
        <v>-1.2574999999999901</v>
      </c>
      <c r="AF1984">
        <v>-0.70573225716193899</v>
      </c>
      <c r="AG1984">
        <v>-1.1050314716230001</v>
      </c>
      <c r="AH1984">
        <v>21.4242332740723</v>
      </c>
      <c r="AI1984">
        <v>92.951020505053606</v>
      </c>
      <c r="AJ1984">
        <v>91.886688933030896</v>
      </c>
      <c r="AK1984">
        <v>21.464317458375898</v>
      </c>
    </row>
    <row r="1985" spans="1:37" x14ac:dyDescent="0.2">
      <c r="A1985" t="str">
        <f>"20200111153647077"</f>
        <v>20200111153647077</v>
      </c>
      <c r="B1985" t="str">
        <f>"1578728207064458"</f>
        <v>1578728207064458</v>
      </c>
      <c r="C1985" t="s">
        <v>37</v>
      </c>
      <c r="D1985">
        <v>5.9320490000000001</v>
      </c>
      <c r="E1985">
        <v>0.5050289</v>
      </c>
      <c r="F1985" t="s">
        <v>45</v>
      </c>
      <c r="G1985">
        <v>-387.84070000000003</v>
      </c>
      <c r="H1985" s="1">
        <v>2.6356389999999998E-6</v>
      </c>
      <c r="I1985">
        <v>283.47059999999999</v>
      </c>
      <c r="J1985">
        <v>-366.57240000000002</v>
      </c>
      <c r="K1985">
        <v>1.1050180000000001</v>
      </c>
      <c r="L1985">
        <v>284.74079999999998</v>
      </c>
      <c r="M1985">
        <v>-0.99956069999999997</v>
      </c>
      <c r="N1985">
        <v>0</v>
      </c>
      <c r="O1985">
        <v>-2.6022190000000001E-2</v>
      </c>
      <c r="P1985">
        <v>-0.99551190000000001</v>
      </c>
      <c r="Q1985">
        <v>5.591111E-2</v>
      </c>
      <c r="R1985">
        <v>-7.6355510000000001E-2</v>
      </c>
      <c r="S1985">
        <v>-3.00839199999999</v>
      </c>
      <c r="T1985">
        <v>-0.153499</v>
      </c>
      <c r="U1985">
        <v>-0.17788699999999999</v>
      </c>
      <c r="V1985">
        <v>-5.0502190000000002E-2</v>
      </c>
      <c r="W1985">
        <v>7.0005639999999994E-2</v>
      </c>
      <c r="X1985">
        <v>0.99626740000000003</v>
      </c>
      <c r="Y1985">
        <v>-3.3018640000000002E-2</v>
      </c>
      <c r="Z1985">
        <v>4.8440979999999999E-4</v>
      </c>
      <c r="AA1985">
        <v>0.99945459999999997</v>
      </c>
      <c r="AB1985">
        <v>39</v>
      </c>
      <c r="AC1985">
        <v>-21.2683</v>
      </c>
      <c r="AD1985">
        <v>-1.1050153643609999</v>
      </c>
      <c r="AE1985">
        <v>-1.27019999999998</v>
      </c>
      <c r="AF1985">
        <v>-0.71434487035209304</v>
      </c>
      <c r="AG1985">
        <v>-1.1050153643609999</v>
      </c>
      <c r="AH1985">
        <v>21.237029089010001</v>
      </c>
      <c r="AI1985">
        <v>92.976875051389001</v>
      </c>
      <c r="AJ1985">
        <v>91.926518082392505</v>
      </c>
      <c r="AK1985">
        <v>21.277752514697902</v>
      </c>
    </row>
    <row r="1986" spans="1:37" x14ac:dyDescent="0.2">
      <c r="A1986" t="str">
        <f>"20200111153647099"</f>
        <v>20200111153647099</v>
      </c>
      <c r="B1986" t="str">
        <f>"1578728207094715"</f>
        <v>1578728207094715</v>
      </c>
      <c r="C1986" t="s">
        <v>37</v>
      </c>
      <c r="D1986">
        <v>5.6894229999999997</v>
      </c>
      <c r="E1986">
        <v>0.50488869999999997</v>
      </c>
      <c r="F1986" t="s">
        <v>45</v>
      </c>
      <c r="G1986">
        <v>-388.00450000000001</v>
      </c>
      <c r="H1986" s="1">
        <v>2.7228399999999998E-6</v>
      </c>
      <c r="I1986">
        <v>283.42669999999998</v>
      </c>
      <c r="J1986">
        <v>-366.9753</v>
      </c>
      <c r="K1986">
        <v>1.1050089999999999</v>
      </c>
      <c r="L1986">
        <v>284.72989999999999</v>
      </c>
      <c r="M1986">
        <v>-0.99954969999999999</v>
      </c>
      <c r="N1986">
        <v>0</v>
      </c>
      <c r="O1986">
        <v>-2.6441590000000001E-2</v>
      </c>
      <c r="P1986">
        <v>-0.99545530000000004</v>
      </c>
      <c r="Q1986">
        <v>5.6186750000000001E-2</v>
      </c>
      <c r="R1986">
        <v>-7.6890349999999996E-2</v>
      </c>
      <c r="S1986">
        <v>-3.0081479999999998</v>
      </c>
      <c r="T1986">
        <v>-0.1550967</v>
      </c>
      <c r="U1986">
        <v>-0.18444820000000001</v>
      </c>
      <c r="V1986">
        <v>-5.0617589999999997E-2</v>
      </c>
      <c r="W1986">
        <v>7.0280099999999998E-2</v>
      </c>
      <c r="X1986">
        <v>0.99624219999999897</v>
      </c>
      <c r="Y1986">
        <v>-3.4774159999999998E-2</v>
      </c>
      <c r="Z1986">
        <v>4.6583589999999998E-4</v>
      </c>
      <c r="AA1986">
        <v>0.99939509999999898</v>
      </c>
      <c r="AB1986">
        <v>39</v>
      </c>
      <c r="AC1986">
        <v>-21.029199999999999</v>
      </c>
      <c r="AD1986">
        <v>-1.10500627716</v>
      </c>
      <c r="AE1986">
        <v>-1.3031999999999999</v>
      </c>
      <c r="AF1986">
        <v>-0.74459477134760998</v>
      </c>
      <c r="AG1986">
        <v>-1.10500627716</v>
      </c>
      <c r="AH1986">
        <v>20.998550486092</v>
      </c>
      <c r="AI1986">
        <v>93.010407600802296</v>
      </c>
      <c r="AJ1986">
        <v>92.0308197333203</v>
      </c>
      <c r="AK1986">
        <v>21.040783796309402</v>
      </c>
    </row>
    <row r="1987" spans="1:37" x14ac:dyDescent="0.2">
      <c r="A1987" t="str">
        <f>"20200111153647123"</f>
        <v>20200111153647123</v>
      </c>
      <c r="B1987" t="str">
        <f>"1578728207114235"</f>
        <v>1578728207114235</v>
      </c>
      <c r="C1987" t="s">
        <v>37</v>
      </c>
      <c r="D1987">
        <v>5.6782979999999998</v>
      </c>
      <c r="E1987">
        <v>0.50465919999999997</v>
      </c>
      <c r="F1987" t="s">
        <v>45</v>
      </c>
      <c r="G1987">
        <v>-388.52769999999998</v>
      </c>
      <c r="H1987" s="1">
        <v>3.0012209999999899E-6</v>
      </c>
      <c r="I1987">
        <v>283.38690000000003</v>
      </c>
      <c r="J1987">
        <v>-367.3879</v>
      </c>
      <c r="K1987">
        <v>1.1049959999999901</v>
      </c>
      <c r="L1987">
        <v>284.71859999999998</v>
      </c>
      <c r="M1987">
        <v>-0.9995385</v>
      </c>
      <c r="N1987">
        <v>0</v>
      </c>
      <c r="O1987">
        <v>-2.6863910000000001E-2</v>
      </c>
      <c r="P1987">
        <v>-0.99536139999999995</v>
      </c>
      <c r="Q1987">
        <v>5.742568E-2</v>
      </c>
      <c r="R1987">
        <v>-7.7189209999999994E-2</v>
      </c>
      <c r="S1987">
        <v>-3.0079349999999998</v>
      </c>
      <c r="T1987">
        <v>-0.1542193</v>
      </c>
      <c r="U1987">
        <v>-0.18743899999999999</v>
      </c>
      <c r="V1987">
        <v>-5.0496279999999998E-2</v>
      </c>
      <c r="W1987">
        <v>7.1516750000000004E-2</v>
      </c>
      <c r="X1987">
        <v>0.99616039999999995</v>
      </c>
      <c r="Y1987">
        <v>-3.5346049999999997E-2</v>
      </c>
      <c r="Z1987">
        <v>4.701862E-4</v>
      </c>
      <c r="AA1987">
        <v>0.99937500000000001</v>
      </c>
      <c r="AB1987">
        <v>39</v>
      </c>
      <c r="AC1987">
        <v>-21.139799999999902</v>
      </c>
      <c r="AD1987">
        <v>-1.1049929987789999</v>
      </c>
      <c r="AE1987">
        <v>-1.3316999999999499</v>
      </c>
      <c r="AF1987">
        <v>-0.761192958681564</v>
      </c>
      <c r="AG1987">
        <v>-1.1049929987789999</v>
      </c>
      <c r="AH1987">
        <v>21.110496625705199</v>
      </c>
      <c r="AI1987">
        <v>92.9943731692385</v>
      </c>
      <c r="AJ1987">
        <v>92.065051251899902</v>
      </c>
      <c r="AK1987">
        <v>21.153096511660099</v>
      </c>
    </row>
    <row r="1988" spans="1:37" x14ac:dyDescent="0.2">
      <c r="A1988" t="str">
        <f>"20200111153647144"</f>
        <v>20200111153647144</v>
      </c>
      <c r="B1988" t="str">
        <f>"1578728207134731"</f>
        <v>1578728207134731</v>
      </c>
      <c r="C1988" t="s">
        <v>37</v>
      </c>
      <c r="D1988">
        <v>5.7080440000000001</v>
      </c>
      <c r="E1988">
        <v>0.50448230000000005</v>
      </c>
      <c r="F1988" t="s">
        <v>45</v>
      </c>
      <c r="G1988">
        <v>-389.3297</v>
      </c>
      <c r="H1988" s="1">
        <v>3.42798099999999E-6</v>
      </c>
      <c r="I1988">
        <v>283.33099999999899</v>
      </c>
      <c r="J1988">
        <v>-367.76670000000001</v>
      </c>
      <c r="K1988">
        <v>1.1049929999999999</v>
      </c>
      <c r="L1988">
        <v>284.707999999999</v>
      </c>
      <c r="M1988">
        <v>-0.99952809999999903</v>
      </c>
      <c r="N1988">
        <v>0</v>
      </c>
      <c r="O1988">
        <v>-2.7247799999999999E-2</v>
      </c>
      <c r="P1988">
        <v>-0.99532350000000003</v>
      </c>
      <c r="Q1988">
        <v>5.7266060000000001E-2</v>
      </c>
      <c r="R1988">
        <v>-7.7792639999999996E-2</v>
      </c>
      <c r="S1988">
        <v>-3.0079349999999998</v>
      </c>
      <c r="T1988">
        <v>-0.15148059999999999</v>
      </c>
      <c r="U1988">
        <v>-0.1902161</v>
      </c>
      <c r="V1988">
        <v>-5.0715839999999998E-2</v>
      </c>
      <c r="W1988">
        <v>7.1355509999999997E-2</v>
      </c>
      <c r="X1988">
        <v>0.99616079999999996</v>
      </c>
      <c r="Y1988">
        <v>-3.5881490000000002E-2</v>
      </c>
      <c r="Z1988">
        <v>4.6765910000000002E-4</v>
      </c>
      <c r="AA1988">
        <v>0.99935599999999902</v>
      </c>
      <c r="AB1988">
        <v>39</v>
      </c>
      <c r="AC1988">
        <v>-21.562999999999899</v>
      </c>
      <c r="AD1988">
        <v>-1.1049895720189999</v>
      </c>
      <c r="AE1988">
        <v>-1.377</v>
      </c>
      <c r="AF1988">
        <v>-0.78682738998230495</v>
      </c>
      <c r="AG1988">
        <v>-1.1049895720189999</v>
      </c>
      <c r="AH1988">
        <v>21.5361914810832</v>
      </c>
      <c r="AI1988">
        <v>92.935229668096</v>
      </c>
      <c r="AJ1988">
        <v>92.092377664708295</v>
      </c>
      <c r="AK1988">
        <v>21.578870285670099</v>
      </c>
    </row>
    <row r="1989" spans="1:37" x14ac:dyDescent="0.2">
      <c r="A1989" t="str">
        <f>"20200111153647165"</f>
        <v>20200111153647165</v>
      </c>
      <c r="B1989" t="str">
        <f>"1578728207154251"</f>
        <v>1578728207154251</v>
      </c>
      <c r="C1989" t="s">
        <v>37</v>
      </c>
      <c r="D1989">
        <v>5.7252000000000001</v>
      </c>
      <c r="E1989">
        <v>0.50456080000000003</v>
      </c>
      <c r="F1989" t="s">
        <v>45</v>
      </c>
      <c r="G1989">
        <v>-389.37220000000002</v>
      </c>
      <c r="H1989" s="1">
        <v>3.4506090000000001E-6</v>
      </c>
      <c r="I1989">
        <v>283.3184</v>
      </c>
      <c r="J1989">
        <v>-368.13810000000001</v>
      </c>
      <c r="K1989">
        <v>1.1049819999999999</v>
      </c>
      <c r="L1989">
        <v>284.69749999999999</v>
      </c>
      <c r="M1989">
        <v>-0.99951780000000001</v>
      </c>
      <c r="N1989">
        <v>0</v>
      </c>
      <c r="O1989">
        <v>-2.7622190000000001E-2</v>
      </c>
      <c r="P1989">
        <v>-0.99522980000000005</v>
      </c>
      <c r="Q1989">
        <v>5.7099610000000002E-2</v>
      </c>
      <c r="R1989">
        <v>-7.9103049999999994E-2</v>
      </c>
      <c r="S1989">
        <v>-3.0077820000000002</v>
      </c>
      <c r="T1989">
        <v>-0.15382970000000001</v>
      </c>
      <c r="U1989">
        <v>-0.19345090000000001</v>
      </c>
      <c r="V1989">
        <v>-5.1654110000000003E-2</v>
      </c>
      <c r="W1989">
        <v>7.1186180000000002E-2</v>
      </c>
      <c r="X1989">
        <v>0.99612469999999997</v>
      </c>
      <c r="Y1989">
        <v>-3.6580029999999999E-2</v>
      </c>
      <c r="Z1989">
        <v>4.7617580000000002E-4</v>
      </c>
      <c r="AA1989">
        <v>0.99933059999999996</v>
      </c>
      <c r="AB1989">
        <v>39</v>
      </c>
      <c r="AC1989">
        <v>-21.234100000000002</v>
      </c>
      <c r="AD1989">
        <v>-1.1049785493909901</v>
      </c>
      <c r="AE1989">
        <v>-1.37909999999999</v>
      </c>
      <c r="AF1989">
        <v>-0.78985243026734597</v>
      </c>
      <c r="AG1989">
        <v>-1.1049785493909901</v>
      </c>
      <c r="AH1989">
        <v>21.206907825858998</v>
      </c>
      <c r="AI1989">
        <v>92.980616476147006</v>
      </c>
      <c r="AJ1989">
        <v>92.132998480677401</v>
      </c>
      <c r="AK1989">
        <v>21.250359620267499</v>
      </c>
    </row>
    <row r="1990" spans="1:37" x14ac:dyDescent="0.2">
      <c r="A1990" t="str">
        <f>"20200111153647188"</f>
        <v>20200111153647188</v>
      </c>
      <c r="B1990" t="str">
        <f>"1578728207184507"</f>
        <v>1578728207184507</v>
      </c>
      <c r="C1990" t="s">
        <v>37</v>
      </c>
      <c r="D1990">
        <v>5.9353109999999996</v>
      </c>
      <c r="E1990">
        <v>0.5045712</v>
      </c>
      <c r="F1990" t="s">
        <v>45</v>
      </c>
      <c r="G1990">
        <v>-389.67160000000001</v>
      </c>
      <c r="H1990" s="1">
        <v>3.6099649999999998E-6</v>
      </c>
      <c r="I1990">
        <v>283.291</v>
      </c>
      <c r="J1990">
        <v>-368.53390000000002</v>
      </c>
      <c r="K1990">
        <v>1.104975</v>
      </c>
      <c r="L1990">
        <v>284.68619999999999</v>
      </c>
      <c r="M1990">
        <v>-0.99950680000000003</v>
      </c>
      <c r="N1990">
        <v>0</v>
      </c>
      <c r="O1990">
        <v>-2.8020920000000001E-2</v>
      </c>
      <c r="P1990">
        <v>-0.9951953</v>
      </c>
      <c r="Q1990">
        <v>5.7093020000000001E-2</v>
      </c>
      <c r="R1990">
        <v>-7.9542489999999993E-2</v>
      </c>
      <c r="S1990">
        <v>-3.0076290000000001</v>
      </c>
      <c r="T1990">
        <v>-0.15433469999999999</v>
      </c>
      <c r="U1990">
        <v>-0.1964417</v>
      </c>
      <c r="V1990">
        <v>-5.1694990000000003E-2</v>
      </c>
      <c r="W1990">
        <v>7.1177630000000006E-2</v>
      </c>
      <c r="X1990">
        <v>0.99612319999999999</v>
      </c>
      <c r="Y1990">
        <v>-3.717384E-2</v>
      </c>
      <c r="Z1990">
        <v>4.8294339999999997E-4</v>
      </c>
      <c r="AA1990">
        <v>0.99930869999999905</v>
      </c>
      <c r="AB1990">
        <v>39</v>
      </c>
      <c r="AC1990">
        <v>-21.137699999999899</v>
      </c>
      <c r="AD1990">
        <v>-1.104971390035</v>
      </c>
      <c r="AE1990">
        <v>-1.39519999999998</v>
      </c>
      <c r="AF1990">
        <v>-0.80011774482211595</v>
      </c>
      <c r="AG1990">
        <v>-1.104971390035</v>
      </c>
      <c r="AH1990">
        <v>21.111057822183898</v>
      </c>
      <c r="AI1990">
        <v>92.9940318749764</v>
      </c>
      <c r="AJ1990">
        <v>92.170494664151306</v>
      </c>
      <c r="AK1990">
        <v>21.155091882333402</v>
      </c>
    </row>
    <row r="1991" spans="1:37" x14ac:dyDescent="0.2">
      <c r="A1991" t="str">
        <f>"20200111153647211"</f>
        <v>20200111153647211</v>
      </c>
      <c r="B1991" t="str">
        <f>"1578728207205006"</f>
        <v>1578728207205006</v>
      </c>
      <c r="C1991" t="s">
        <v>37</v>
      </c>
      <c r="D1991">
        <v>5.7155629999999897</v>
      </c>
      <c r="E1991">
        <v>0.50461149999999999</v>
      </c>
      <c r="F1991" t="s">
        <v>45</v>
      </c>
      <c r="G1991">
        <v>-389.95069999999998</v>
      </c>
      <c r="H1991" s="1">
        <v>3.7584509999999998E-6</v>
      </c>
      <c r="I1991">
        <v>283.27620000000002</v>
      </c>
      <c r="J1991">
        <v>-368.94670000000002</v>
      </c>
      <c r="K1991">
        <v>1.1049770000000001</v>
      </c>
      <c r="L1991">
        <v>284.67419999999998</v>
      </c>
      <c r="M1991">
        <v>-0.99949500000000002</v>
      </c>
      <c r="N1991">
        <v>0</v>
      </c>
      <c r="O1991">
        <v>-2.8437529999999999E-2</v>
      </c>
      <c r="P1991">
        <v>-0.99515089999999995</v>
      </c>
      <c r="Q1991">
        <v>5.7359E-2</v>
      </c>
      <c r="R1991">
        <v>-7.9904530000000001E-2</v>
      </c>
      <c r="S1991">
        <v>-3.007568</v>
      </c>
      <c r="T1991">
        <v>-0.15517220000000001</v>
      </c>
      <c r="U1991">
        <v>-0.19799800000000001</v>
      </c>
      <c r="V1991">
        <v>-5.1642239999999999E-2</v>
      </c>
      <c r="W1991">
        <v>7.1441599999999994E-2</v>
      </c>
      <c r="X1991">
        <v>0.99610699999999996</v>
      </c>
      <c r="Y1991">
        <v>-3.7273830000000001E-2</v>
      </c>
      <c r="Z1991">
        <v>5.0442779999999995E-4</v>
      </c>
      <c r="AA1991">
        <v>0.999304999999999</v>
      </c>
      <c r="AB1991">
        <v>39</v>
      </c>
      <c r="AC1991">
        <v>-21.003999999999898</v>
      </c>
      <c r="AD1991">
        <v>-1.1049732415489999</v>
      </c>
      <c r="AE1991">
        <v>-1.3979999999999599</v>
      </c>
      <c r="AF1991">
        <v>-0.79787412418108605</v>
      </c>
      <c r="AG1991">
        <v>-1.1049732415489999</v>
      </c>
      <c r="AH1991">
        <v>20.977462688246401</v>
      </c>
      <c r="AI1991">
        <v>93.013054079466997</v>
      </c>
      <c r="AJ1991">
        <v>92.178185001471206</v>
      </c>
      <c r="AK1991">
        <v>21.021691411952201</v>
      </c>
    </row>
    <row r="1992" spans="1:37" x14ac:dyDescent="0.2">
      <c r="A1992" t="str">
        <f>"20200111153647233"</f>
        <v>20200111153647233</v>
      </c>
      <c r="B1992" t="str">
        <f>"1578728207224526"</f>
        <v>1578728207224526</v>
      </c>
      <c r="C1992" t="s">
        <v>37</v>
      </c>
      <c r="D1992">
        <v>6.0053010000000002</v>
      </c>
      <c r="E1992">
        <v>0.50469920000000001</v>
      </c>
      <c r="F1992" t="s">
        <v>45</v>
      </c>
      <c r="G1992">
        <v>-390.54270000000002</v>
      </c>
      <c r="H1992" s="1">
        <v>-1.2480129999999899E-6</v>
      </c>
      <c r="I1992">
        <v>283.24610000000001</v>
      </c>
      <c r="J1992">
        <v>-369.32260000000002</v>
      </c>
      <c r="K1992">
        <v>1.104978</v>
      </c>
      <c r="L1992">
        <v>284.66309999999999</v>
      </c>
      <c r="M1992">
        <v>-0.99948429999999999</v>
      </c>
      <c r="N1992">
        <v>0</v>
      </c>
      <c r="O1992">
        <v>-2.8817579999999999E-2</v>
      </c>
      <c r="P1992">
        <v>-0.99518009999999901</v>
      </c>
      <c r="Q1992">
        <v>5.7200099999999997E-2</v>
      </c>
      <c r="R1992">
        <v>-7.9657049999999993E-2</v>
      </c>
      <c r="S1992">
        <v>-3.0074770000000002</v>
      </c>
      <c r="T1992">
        <v>-0.1538805</v>
      </c>
      <c r="U1992">
        <v>-0.19888310000000001</v>
      </c>
      <c r="V1992">
        <v>-5.1013940000000001E-2</v>
      </c>
      <c r="W1992">
        <v>7.1281799999999895E-2</v>
      </c>
      <c r="X1992">
        <v>0.99615089999999995</v>
      </c>
      <c r="Y1992">
        <v>-3.7189449999999999E-2</v>
      </c>
      <c r="Z1992">
        <v>5.2179639999999996E-4</v>
      </c>
      <c r="AA1992">
        <v>0.99930810000000003</v>
      </c>
      <c r="AB1992">
        <v>39</v>
      </c>
      <c r="AC1992">
        <v>-21.220099999999999</v>
      </c>
      <c r="AD1992">
        <v>-1.1049792480130001</v>
      </c>
      <c r="AE1992">
        <v>-1.4169999999999701</v>
      </c>
      <c r="AF1992">
        <v>-0.80267128548432698</v>
      </c>
      <c r="AG1992">
        <v>-1.1049792480130001</v>
      </c>
      <c r="AH1992">
        <v>21.194908495193399</v>
      </c>
      <c r="AI1992">
        <v>92.982232885454707</v>
      </c>
      <c r="AJ1992">
        <v>92.168809062797493</v>
      </c>
      <c r="AK1992">
        <v>21.238865469951602</v>
      </c>
    </row>
    <row r="1993" spans="1:37" x14ac:dyDescent="0.2">
      <c r="A1993" t="str">
        <f>"20200111153647254"</f>
        <v>20200111153647254</v>
      </c>
      <c r="B1993" t="str">
        <f>"1578728207245022"</f>
        <v>1578728207245022</v>
      </c>
      <c r="C1993" t="s">
        <v>37</v>
      </c>
      <c r="D1993">
        <v>5.7602289999999998</v>
      </c>
      <c r="E1993">
        <v>0.50392190000000003</v>
      </c>
      <c r="F1993" t="s">
        <v>45</v>
      </c>
      <c r="G1993">
        <v>-390.76859999999999</v>
      </c>
      <c r="H1993" s="1">
        <v>-1.127792E-6</v>
      </c>
      <c r="I1993">
        <v>283.2559</v>
      </c>
      <c r="J1993">
        <v>-369.70389999999998</v>
      </c>
      <c r="K1993">
        <v>1.1049719999999901</v>
      </c>
      <c r="L1993">
        <v>284.65179999999998</v>
      </c>
      <c r="M1993">
        <v>-0.999472899999999</v>
      </c>
      <c r="N1993">
        <v>0</v>
      </c>
      <c r="O1993">
        <v>-2.920325E-2</v>
      </c>
      <c r="P1993">
        <v>-0.99516680000000002</v>
      </c>
      <c r="Q1993">
        <v>5.7047380000000002E-2</v>
      </c>
      <c r="R1993">
        <v>-7.9930169999999995E-2</v>
      </c>
      <c r="S1993">
        <v>-3.0076290000000001</v>
      </c>
      <c r="T1993">
        <v>-0.15496460000000001</v>
      </c>
      <c r="U1993">
        <v>-0.19735720000000001</v>
      </c>
      <c r="V1993">
        <v>-5.0901929999999998E-2</v>
      </c>
      <c r="W1993">
        <v>7.1127699999999905E-2</v>
      </c>
      <c r="X1993">
        <v>0.99616759999999904</v>
      </c>
      <c r="Y1993">
        <v>-3.6297219999999998E-2</v>
      </c>
      <c r="Z1993">
        <v>5.6822120000000001E-4</v>
      </c>
      <c r="AA1993">
        <v>0.99934089999999998</v>
      </c>
      <c r="AB1993">
        <v>39</v>
      </c>
      <c r="AC1993">
        <v>-21.064699999999998</v>
      </c>
      <c r="AD1993">
        <v>-1.1049731277920001</v>
      </c>
      <c r="AE1993">
        <v>-1.3958999999999799</v>
      </c>
      <c r="AF1993">
        <v>-0.77795366396296795</v>
      </c>
      <c r="AG1993">
        <v>-1.1049731277920001</v>
      </c>
      <c r="AH1993">
        <v>21.038844506663001</v>
      </c>
      <c r="AI1993">
        <v>93.0043979801559</v>
      </c>
      <c r="AJ1993">
        <v>92.117662077171303</v>
      </c>
      <c r="AK1993">
        <v>21.082199972772301</v>
      </c>
    </row>
    <row r="1994" spans="1:37" x14ac:dyDescent="0.2">
      <c r="A1994" t="str">
        <f>"20200111153647277"</f>
        <v>20200111153647277</v>
      </c>
      <c r="B1994" t="str">
        <f>"1578728207274302"</f>
        <v>1578728207274302</v>
      </c>
      <c r="C1994" t="s">
        <v>37</v>
      </c>
      <c r="D1994">
        <v>6.2269350000000001</v>
      </c>
      <c r="E1994">
        <v>0.4775179</v>
      </c>
      <c r="F1994" t="s">
        <v>45</v>
      </c>
      <c r="G1994">
        <v>-391.04610000000002</v>
      </c>
      <c r="H1994" s="1">
        <v>-9.801261999999999E-7</v>
      </c>
      <c r="I1994">
        <v>283.2047</v>
      </c>
      <c r="J1994">
        <v>-370.09300000000002</v>
      </c>
      <c r="K1994">
        <v>1.104959</v>
      </c>
      <c r="L1994">
        <v>284.64</v>
      </c>
      <c r="M1994">
        <v>-0.9994615</v>
      </c>
      <c r="N1994">
        <v>0</v>
      </c>
      <c r="O1994">
        <v>-2.9597269999999998E-2</v>
      </c>
      <c r="P1994">
        <v>-0.99516079999999996</v>
      </c>
      <c r="Q1994">
        <v>5.6647620000000003E-2</v>
      </c>
      <c r="R1994">
        <v>-8.0290340000000002E-2</v>
      </c>
      <c r="S1994">
        <v>-3.00707999999999</v>
      </c>
      <c r="T1994">
        <v>-0.15568879999999999</v>
      </c>
      <c r="U1994">
        <v>-0.20388789999999901</v>
      </c>
      <c r="V1994">
        <v>-5.0867759999999998E-2</v>
      </c>
      <c r="W1994">
        <v>7.0726259999999999E-2</v>
      </c>
      <c r="X1994">
        <v>0.99619789999999997</v>
      </c>
      <c r="Y1994">
        <v>-3.8073950000000002E-2</v>
      </c>
      <c r="Z1994">
        <v>5.4536120000000003E-4</v>
      </c>
      <c r="AA1994">
        <v>0.99927479999999902</v>
      </c>
      <c r="AB1994">
        <v>39</v>
      </c>
      <c r="AC1994">
        <v>-20.953099999999999</v>
      </c>
      <c r="AD1994">
        <v>-1.1049599801262</v>
      </c>
      <c r="AE1994">
        <v>-1.43529999999998</v>
      </c>
      <c r="AF1994">
        <v>-0.81220609945685496</v>
      </c>
      <c r="AG1994">
        <v>-1.1049599801262</v>
      </c>
      <c r="AH1994">
        <v>20.9284742669671</v>
      </c>
      <c r="AI1994">
        <v>93.019968186174196</v>
      </c>
      <c r="AJ1994">
        <v>92.222457274478998</v>
      </c>
      <c r="AK1994">
        <v>20.973355726940301</v>
      </c>
    </row>
    <row r="1995" spans="1:37" x14ac:dyDescent="0.2">
      <c r="A1995" t="str">
        <f>"20200111153647300"</f>
        <v>20200111153647300</v>
      </c>
      <c r="B1995" t="str">
        <f>"1578728207294798"</f>
        <v>1578728207294798</v>
      </c>
      <c r="C1995" t="s">
        <v>37</v>
      </c>
      <c r="D1995">
        <v>5.6189400000000003</v>
      </c>
      <c r="E1995">
        <v>0.47945789999999999</v>
      </c>
      <c r="F1995" t="s">
        <v>45</v>
      </c>
      <c r="G1995">
        <v>-388.47160000000002</v>
      </c>
      <c r="H1995" s="1">
        <v>2.9713440000000002E-6</v>
      </c>
      <c r="I1995">
        <v>282.09309999999999</v>
      </c>
      <c r="J1995">
        <v>-370.483</v>
      </c>
      <c r="K1995">
        <v>1.104956</v>
      </c>
      <c r="L1995">
        <v>284.62810000000002</v>
      </c>
      <c r="M1995">
        <v>-0.99944979999999894</v>
      </c>
      <c r="N1995">
        <v>0</v>
      </c>
      <c r="O1995">
        <v>-2.9992020000000001E-2</v>
      </c>
      <c r="P1995">
        <v>-0.99517330000000004</v>
      </c>
      <c r="Q1995">
        <v>5.6201550000000003E-2</v>
      </c>
      <c r="R1995">
        <v>-8.0446899999999905E-2</v>
      </c>
      <c r="S1995">
        <v>-2.9913939999999899</v>
      </c>
      <c r="T1995">
        <v>-0.1798486</v>
      </c>
      <c r="U1995">
        <v>-0.4145508</v>
      </c>
      <c r="V1995">
        <v>-5.0629470000000003E-2</v>
      </c>
      <c r="W1995">
        <v>7.0279140000000004E-2</v>
      </c>
      <c r="X1995">
        <v>0.99624169999999901</v>
      </c>
      <c r="Y1995">
        <v>-0.1073595</v>
      </c>
      <c r="Z1995">
        <v>-1.417069E-3</v>
      </c>
      <c r="AA1995">
        <v>0.99421919999999897</v>
      </c>
      <c r="AB1995">
        <v>39</v>
      </c>
      <c r="AC1995">
        <v>-17.988600000000002</v>
      </c>
      <c r="AD1995">
        <v>-1.1049530286560001</v>
      </c>
      <c r="AE1995">
        <v>-2.5350000000000201</v>
      </c>
      <c r="AF1995">
        <v>-1.9869399575531099</v>
      </c>
      <c r="AG1995">
        <v>-1.1049530286560001</v>
      </c>
      <c r="AH1995">
        <v>17.989987947039999</v>
      </c>
      <c r="AI1995">
        <v>93.493526596896103</v>
      </c>
      <c r="AJ1995">
        <v>96.302601522269001</v>
      </c>
      <c r="AK1995">
        <v>18.1330780047156</v>
      </c>
    </row>
    <row r="1996" spans="1:37" x14ac:dyDescent="0.2">
      <c r="A1996" t="str">
        <f>"20200111153647333"</f>
        <v>20200111153647333</v>
      </c>
      <c r="B1996" t="str">
        <f>"1578728207325054"</f>
        <v>1578728207325054</v>
      </c>
      <c r="C1996" t="s">
        <v>37</v>
      </c>
      <c r="D1996">
        <v>5.6388480000000003</v>
      </c>
      <c r="E1996">
        <v>0.47977559999999903</v>
      </c>
      <c r="F1996" t="s">
        <v>45</v>
      </c>
      <c r="G1996">
        <v>-390.07709999999997</v>
      </c>
      <c r="H1996" s="1">
        <v>-1.495755E-6</v>
      </c>
      <c r="I1996">
        <v>282.010999999999</v>
      </c>
      <c r="J1996">
        <v>-371.07650000000001</v>
      </c>
      <c r="K1996">
        <v>1.1049469999999999</v>
      </c>
      <c r="L1996">
        <v>284.6096</v>
      </c>
      <c r="M1996">
        <v>-0.99943150000000003</v>
      </c>
      <c r="N1996">
        <v>0</v>
      </c>
      <c r="O1996">
        <v>-3.0592850000000001E-2</v>
      </c>
      <c r="P1996">
        <v>-0.995137099999999</v>
      </c>
      <c r="Q1996">
        <v>5.555417E-2</v>
      </c>
      <c r="R1996">
        <v>-8.1339809999999999E-2</v>
      </c>
      <c r="S1996">
        <v>-2.99175999999999</v>
      </c>
      <c r="T1996">
        <v>-0.16871259999999999</v>
      </c>
      <c r="U1996">
        <v>-0.39959719999999999</v>
      </c>
      <c r="V1996">
        <v>-5.0922519999999999E-2</v>
      </c>
      <c r="W1996">
        <v>6.9628919999999997E-2</v>
      </c>
      <c r="X1996">
        <v>0.99627239999999995</v>
      </c>
      <c r="Y1996">
        <v>-0.10189049999999999</v>
      </c>
      <c r="Z1996">
        <v>-1.142651E-3</v>
      </c>
      <c r="AA1996">
        <v>0.99479499999999998</v>
      </c>
      <c r="AB1996">
        <v>39</v>
      </c>
      <c r="AC1996">
        <v>-19.000599999999899</v>
      </c>
      <c r="AD1996">
        <v>-1.104948495755</v>
      </c>
      <c r="AE1996">
        <v>-2.59860000000003</v>
      </c>
      <c r="AF1996">
        <v>-2.0093720156850998</v>
      </c>
      <c r="AG1996">
        <v>-1.104948495755</v>
      </c>
      <c r="AH1996">
        <v>19.0081095775497</v>
      </c>
      <c r="AI1996">
        <v>93.308487736093198</v>
      </c>
      <c r="AJ1996">
        <v>96.034400158649106</v>
      </c>
      <c r="AK1996">
        <v>19.145932121153798</v>
      </c>
    </row>
    <row r="1997" spans="1:37" x14ac:dyDescent="0.2">
      <c r="A1997" t="str">
        <f>"20200111153647356"</f>
        <v>20200111153647356</v>
      </c>
      <c r="B1997" t="str">
        <f>"1578728207344574"</f>
        <v>1578728207344574</v>
      </c>
      <c r="C1997" t="s">
        <v>37</v>
      </c>
      <c r="D1997">
        <v>5.645187</v>
      </c>
      <c r="E1997">
        <v>0.48078459999999901</v>
      </c>
      <c r="F1997" t="s">
        <v>45</v>
      </c>
      <c r="G1997">
        <v>-389.50599999999997</v>
      </c>
      <c r="H1997" s="1">
        <v>3.5218049999999998E-6</v>
      </c>
      <c r="I1997">
        <v>282.14620000000002</v>
      </c>
      <c r="J1997">
        <v>-371.45569999999998</v>
      </c>
      <c r="K1997">
        <v>1.1049450000000001</v>
      </c>
      <c r="L1997">
        <v>284.5976</v>
      </c>
      <c r="M1997">
        <v>-0.99941990000000003</v>
      </c>
      <c r="N1997">
        <v>0</v>
      </c>
      <c r="O1997">
        <v>-3.097724E-2</v>
      </c>
      <c r="P1997">
        <v>-0.99506830000000002</v>
      </c>
      <c r="Q1997">
        <v>5.5822629999999998E-2</v>
      </c>
      <c r="R1997">
        <v>-8.1995230000000002E-2</v>
      </c>
      <c r="S1997">
        <v>-2.9920040000000001</v>
      </c>
      <c r="T1997">
        <v>-0.17938689999999999</v>
      </c>
      <c r="U1997">
        <v>-0.39993289999999998</v>
      </c>
      <c r="V1997">
        <v>-5.119663E-2</v>
      </c>
      <c r="W1997">
        <v>6.9894810000000002E-2</v>
      </c>
      <c r="X1997">
        <v>0.99623969999999995</v>
      </c>
      <c r="Y1997">
        <v>-0.10159360000000001</v>
      </c>
      <c r="Z1997">
        <v>-1.182968E-3</v>
      </c>
      <c r="AA1997">
        <v>0.99482530000000002</v>
      </c>
      <c r="AB1997">
        <v>39</v>
      </c>
      <c r="AC1997">
        <v>-18.0503</v>
      </c>
      <c r="AD1997">
        <v>-1.104941478195</v>
      </c>
      <c r="AE1997">
        <v>-2.4513999999999698</v>
      </c>
      <c r="AF1997">
        <v>-1.8840866023141301</v>
      </c>
      <c r="AG1997">
        <v>-1.104941478195</v>
      </c>
      <c r="AH1997">
        <v>18.051164198596101</v>
      </c>
      <c r="AI1997">
        <v>93.4839198313434</v>
      </c>
      <c r="AJ1997">
        <v>95.958659795915295</v>
      </c>
      <c r="AK1997">
        <v>18.182827253206099</v>
      </c>
    </row>
    <row r="1998" spans="1:37" x14ac:dyDescent="0.2">
      <c r="A1998" t="str">
        <f>"20200111153647369"</f>
        <v>20200111153647369</v>
      </c>
      <c r="B1998" t="str">
        <f>"1578728207365070"</f>
        <v>1578728207365070</v>
      </c>
      <c r="C1998" t="s">
        <v>37</v>
      </c>
      <c r="D1998">
        <v>5.6044460000000003</v>
      </c>
      <c r="E1998">
        <v>0.48106959999999999</v>
      </c>
      <c r="F1998" t="s">
        <v>45</v>
      </c>
      <c r="G1998">
        <v>-390.94699999999898</v>
      </c>
      <c r="H1998" s="1">
        <v>-1.032852E-6</v>
      </c>
      <c r="I1998">
        <v>282.03219999999999</v>
      </c>
      <c r="J1998">
        <v>-371.69889999999998</v>
      </c>
      <c r="K1998">
        <v>1.1049450000000001</v>
      </c>
      <c r="L1998">
        <v>284.5899</v>
      </c>
      <c r="M1998">
        <v>-0.99941209999999903</v>
      </c>
      <c r="N1998">
        <v>0</v>
      </c>
      <c r="O1998">
        <v>-3.122337E-2</v>
      </c>
      <c r="P1998">
        <v>-0.99505789999999905</v>
      </c>
      <c r="Q1998">
        <v>5.5814309999999999E-2</v>
      </c>
      <c r="R1998">
        <v>-8.2125450000000003E-2</v>
      </c>
      <c r="S1998">
        <v>-2.9919739999999999</v>
      </c>
      <c r="T1998">
        <v>-0.16961289999999901</v>
      </c>
      <c r="U1998">
        <v>-0.3937988</v>
      </c>
      <c r="V1998">
        <v>-5.1081229999999998E-2</v>
      </c>
      <c r="W1998">
        <v>6.9885299999999997E-2</v>
      </c>
      <c r="X1998">
        <v>0.99624630000000003</v>
      </c>
      <c r="Y1998">
        <v>-9.936238E-2</v>
      </c>
      <c r="Z1998">
        <v>-1.0419800000000001E-3</v>
      </c>
      <c r="AA1998">
        <v>0.99505080000000001</v>
      </c>
      <c r="AB1998">
        <v>39</v>
      </c>
      <c r="AC1998">
        <v>-19.248099999999901</v>
      </c>
      <c r="AD1998">
        <v>-1.104946032852</v>
      </c>
      <c r="AE1998">
        <v>-2.5577000000000099</v>
      </c>
      <c r="AF1998">
        <v>-1.9490903116321701</v>
      </c>
      <c r="AG1998">
        <v>-1.104946032852</v>
      </c>
      <c r="AH1998">
        <v>19.256225695249402</v>
      </c>
      <c r="AI1998">
        <v>93.267442649859106</v>
      </c>
      <c r="AJ1998">
        <v>95.779720308944405</v>
      </c>
      <c r="AK1998">
        <v>19.386131300617901</v>
      </c>
    </row>
    <row r="1999" spans="1:37" x14ac:dyDescent="0.2">
      <c r="A1999" t="str">
        <f>"20200111153647389"</f>
        <v>20200111153647389</v>
      </c>
      <c r="B1999" t="str">
        <f>"1578728207384590"</f>
        <v>1578728207384590</v>
      </c>
      <c r="C1999" t="s">
        <v>37</v>
      </c>
      <c r="D1999">
        <v>5.6219570000000001</v>
      </c>
      <c r="E1999">
        <v>0.48156279999999901</v>
      </c>
      <c r="F1999" t="s">
        <v>45</v>
      </c>
      <c r="G1999">
        <v>-390.52289999999999</v>
      </c>
      <c r="H1999" s="1">
        <v>-1.2585209999999901E-6</v>
      </c>
      <c r="I1999">
        <v>282.12479999999999</v>
      </c>
      <c r="J1999">
        <v>-372.03339999999997</v>
      </c>
      <c r="K1999">
        <v>1.104946</v>
      </c>
      <c r="L1999">
        <v>284.57909999999998</v>
      </c>
      <c r="M1999">
        <v>-0.9994014</v>
      </c>
      <c r="N1999">
        <v>0</v>
      </c>
      <c r="O1999">
        <v>-3.1562350000000003E-2</v>
      </c>
      <c r="P1999">
        <v>-0.99502690000000005</v>
      </c>
      <c r="Q1999">
        <v>5.5928970000000001E-2</v>
      </c>
      <c r="R1999">
        <v>-8.2423109999999994E-2</v>
      </c>
      <c r="S1999">
        <v>-2.992432</v>
      </c>
      <c r="T1999">
        <v>-0.1756519</v>
      </c>
      <c r="U1999">
        <v>-0.39187620000000001</v>
      </c>
      <c r="V1999">
        <v>-5.1041389999999999E-2</v>
      </c>
      <c r="W1999">
        <v>6.9997550000000006E-2</v>
      </c>
      <c r="X1999">
        <v>0.99624049999999997</v>
      </c>
      <c r="Y1999">
        <v>-9.8371159999999999E-2</v>
      </c>
      <c r="Z1999">
        <v>-1.0301799999999999E-3</v>
      </c>
      <c r="AA1999">
        <v>0.99514930000000001</v>
      </c>
      <c r="AB1999">
        <v>39</v>
      </c>
      <c r="AC1999">
        <v>-18.4895</v>
      </c>
      <c r="AD1999">
        <v>-1.1049472585210001</v>
      </c>
      <c r="AE1999">
        <v>-2.4542999999999799</v>
      </c>
      <c r="AF1999">
        <v>-1.8629084506170701</v>
      </c>
      <c r="AG1999">
        <v>-1.1049472585210001</v>
      </c>
      <c r="AH1999">
        <v>18.4928566873721</v>
      </c>
      <c r="AI1999">
        <v>93.402176617315604</v>
      </c>
      <c r="AJ1999">
        <v>95.752379186204706</v>
      </c>
      <c r="AK1999">
        <v>18.619266494660199</v>
      </c>
    </row>
    <row r="2000" spans="1:37" x14ac:dyDescent="0.2">
      <c r="A2000" t="str">
        <f>"20200111153647412"</f>
        <v>20200111153647412</v>
      </c>
      <c r="B2000" t="str">
        <f>"1578728207404617"</f>
        <v>1578728207404617</v>
      </c>
      <c r="C2000" t="s">
        <v>37</v>
      </c>
      <c r="D2000">
        <v>5.6451960000000003</v>
      </c>
      <c r="E2000">
        <v>0.48198149999999901</v>
      </c>
      <c r="F2000" t="s">
        <v>45</v>
      </c>
      <c r="G2000">
        <v>-391.43349999999998</v>
      </c>
      <c r="H2000" s="1">
        <v>-7.7394709999999998E-7</v>
      </c>
      <c r="I2000">
        <v>282.0575</v>
      </c>
      <c r="J2000">
        <v>-372.43560000000002</v>
      </c>
      <c r="K2000">
        <v>1.104949</v>
      </c>
      <c r="L2000">
        <v>284.56599999999997</v>
      </c>
      <c r="M2000">
        <v>-0.99938850000000001</v>
      </c>
      <c r="N2000">
        <v>0</v>
      </c>
      <c r="O2000">
        <v>-3.1969879999999999E-2</v>
      </c>
      <c r="P2000">
        <v>-0.9950561</v>
      </c>
      <c r="Q2000">
        <v>5.588862E-2</v>
      </c>
      <c r="R2000">
        <v>-8.2096820000000001E-2</v>
      </c>
      <c r="S2000">
        <v>-2.99234</v>
      </c>
      <c r="T2000">
        <v>-0.17043129999999901</v>
      </c>
      <c r="U2000">
        <v>-0.38894649999999997</v>
      </c>
      <c r="V2000">
        <v>-5.0307579999999998E-2</v>
      </c>
      <c r="W2000">
        <v>6.9956169999999998E-2</v>
      </c>
      <c r="X2000">
        <v>0.99628069999999902</v>
      </c>
      <c r="Y2000">
        <v>-9.702057E-2</v>
      </c>
      <c r="Z2000">
        <v>-9.38363E-4</v>
      </c>
      <c r="AA2000">
        <v>0.99528189999999905</v>
      </c>
      <c r="AB2000">
        <v>39</v>
      </c>
      <c r="AC2000">
        <v>-18.997899999999898</v>
      </c>
      <c r="AD2000">
        <v>-1.1049497739470999</v>
      </c>
      <c r="AE2000">
        <v>-2.5084999999999602</v>
      </c>
      <c r="AF2000">
        <v>-1.89350044741156</v>
      </c>
      <c r="AG2000">
        <v>-1.1049497739470999</v>
      </c>
      <c r="AH2000">
        <v>19.005202679307398</v>
      </c>
      <c r="AI2000">
        <v>93.311036821149798</v>
      </c>
      <c r="AJ2000">
        <v>95.689638959689901</v>
      </c>
      <c r="AK2000">
        <v>19.131230666866301</v>
      </c>
    </row>
    <row r="2001" spans="1:37" x14ac:dyDescent="0.2">
      <c r="A2001" t="str">
        <f>"20200111153647433"</f>
        <v>20200111153647433</v>
      </c>
      <c r="B2001" t="str">
        <f>"1578728207425113"</f>
        <v>1578728207425113</v>
      </c>
      <c r="C2001" t="s">
        <v>37</v>
      </c>
      <c r="D2001">
        <v>5.6747699999999996</v>
      </c>
      <c r="E2001">
        <v>0.48258199999999901</v>
      </c>
      <c r="F2001" t="s">
        <v>45</v>
      </c>
      <c r="G2001">
        <v>-392.06479999999999</v>
      </c>
      <c r="H2001" s="1">
        <v>-4.3801710000000002E-7</v>
      </c>
      <c r="I2001">
        <v>282.04309999999998</v>
      </c>
      <c r="J2001">
        <v>-372.81279999999998</v>
      </c>
      <c r="K2001">
        <v>1.1049519999999999</v>
      </c>
      <c r="L2001">
        <v>284.55349999999999</v>
      </c>
      <c r="M2001">
        <v>-0.99937619999999905</v>
      </c>
      <c r="N2001">
        <v>0</v>
      </c>
      <c r="O2001">
        <v>-3.235201E-2</v>
      </c>
      <c r="P2001">
        <v>-0.99502969999999902</v>
      </c>
      <c r="Q2001">
        <v>5.6378659999999997E-2</v>
      </c>
      <c r="R2001">
        <v>-8.2081500000000002E-2</v>
      </c>
      <c r="S2001">
        <v>-2.9926759999999999</v>
      </c>
      <c r="T2001">
        <v>-0.16846159999999999</v>
      </c>
      <c r="U2001">
        <v>-0.38464359999999997</v>
      </c>
      <c r="V2001">
        <v>-4.9912030000000003E-2</v>
      </c>
      <c r="W2001">
        <v>7.0445140000000003E-2</v>
      </c>
      <c r="X2001">
        <v>0.99626619999999999</v>
      </c>
      <c r="Y2001">
        <v>-9.5223849999999999E-2</v>
      </c>
      <c r="Z2001">
        <v>-8.5580550000000002E-4</v>
      </c>
      <c r="AA2001">
        <v>0.99545550000000005</v>
      </c>
      <c r="AB2001">
        <v>39</v>
      </c>
      <c r="AC2001">
        <v>-19.251999999999999</v>
      </c>
      <c r="AD2001">
        <v>-1.1049524380171001</v>
      </c>
      <c r="AE2001">
        <v>-2.5104000000000002</v>
      </c>
      <c r="AF2001">
        <v>-1.8800926202547299</v>
      </c>
      <c r="AG2001">
        <v>-1.1049524380171001</v>
      </c>
      <c r="AH2001">
        <v>19.260758988848899</v>
      </c>
      <c r="AI2001">
        <v>93.267851523536507</v>
      </c>
      <c r="AJ2001">
        <v>95.575127340877302</v>
      </c>
      <c r="AK2001">
        <v>19.3838207012327</v>
      </c>
    </row>
    <row r="2002" spans="1:37" x14ac:dyDescent="0.2">
      <c r="A2002" t="str">
        <f>"20200111153647456"</f>
        <v>20200111153647456</v>
      </c>
      <c r="B2002" t="str">
        <f>"1578728207444633"</f>
        <v>1578728207444633</v>
      </c>
      <c r="C2002" t="s">
        <v>37</v>
      </c>
      <c r="D2002">
        <v>5.511914</v>
      </c>
      <c r="E2002">
        <v>0.48286489999999999</v>
      </c>
      <c r="F2002" t="s">
        <v>45</v>
      </c>
      <c r="G2002">
        <v>-393.02879999999999</v>
      </c>
      <c r="H2002" s="1">
        <v>7.4986809999999994E-8</v>
      </c>
      <c r="I2002">
        <v>281.9907</v>
      </c>
      <c r="J2002">
        <v>-373.19229999999999</v>
      </c>
      <c r="K2002">
        <v>1.1049530000000001</v>
      </c>
      <c r="L2002">
        <v>284.54090000000002</v>
      </c>
      <c r="M2002">
        <v>-0.99936380000000002</v>
      </c>
      <c r="N2002">
        <v>0</v>
      </c>
      <c r="O2002">
        <v>-3.2735210000000001E-2</v>
      </c>
      <c r="P2002">
        <v>-0.99498369999999903</v>
      </c>
      <c r="Q2002">
        <v>5.6868269999999999E-2</v>
      </c>
      <c r="R2002">
        <v>-8.23013999999999E-2</v>
      </c>
      <c r="S2002">
        <v>-2.9929809999999999</v>
      </c>
      <c r="T2002">
        <v>-0.16358829999999999</v>
      </c>
      <c r="U2002">
        <v>-0.37942500000000001</v>
      </c>
      <c r="V2002">
        <v>-4.9751169999999997E-2</v>
      </c>
      <c r="W2002">
        <v>7.0932209999999996E-2</v>
      </c>
      <c r="X2002">
        <v>0.99623969999999995</v>
      </c>
      <c r="Y2002">
        <v>-9.3130459999999998E-2</v>
      </c>
      <c r="Z2002">
        <v>-7.5332320000000004E-4</v>
      </c>
      <c r="AA2002">
        <v>0.99565360000000003</v>
      </c>
      <c r="AB2002">
        <v>39</v>
      </c>
      <c r="AC2002">
        <v>-19.836500000000001</v>
      </c>
      <c r="AD2002">
        <v>-1.10495292501319</v>
      </c>
      <c r="AE2002">
        <v>-2.55020000000001</v>
      </c>
      <c r="AF2002">
        <v>-1.8936358117957901</v>
      </c>
      <c r="AG2002">
        <v>-1.10495292501319</v>
      </c>
      <c r="AH2002">
        <v>19.848770454954199</v>
      </c>
      <c r="AI2002">
        <v>93.171913445259705</v>
      </c>
      <c r="AJ2002">
        <v>95.449705498450101</v>
      </c>
      <c r="AK2002">
        <v>19.969488379216799</v>
      </c>
    </row>
    <row r="2003" spans="1:37" x14ac:dyDescent="0.2">
      <c r="A2003" t="str">
        <f>"20200111153647478"</f>
        <v>20200111153647478</v>
      </c>
      <c r="B2003" t="str">
        <f>"1578728207474890"</f>
        <v>1578728207474890</v>
      </c>
      <c r="C2003" t="s">
        <v>37</v>
      </c>
      <c r="D2003">
        <v>5.6793300000000002</v>
      </c>
      <c r="E2003">
        <v>0.4832419</v>
      </c>
      <c r="F2003" t="s">
        <v>45</v>
      </c>
      <c r="G2003">
        <v>-393.75540000000001</v>
      </c>
      <c r="H2003" s="1">
        <v>4.6163129999999898E-7</v>
      </c>
      <c r="I2003">
        <v>281.94150000000002</v>
      </c>
      <c r="J2003">
        <v>-373.57830000000001</v>
      </c>
      <c r="K2003">
        <v>1.104949</v>
      </c>
      <c r="L2003">
        <v>284.52780000000001</v>
      </c>
      <c r="M2003">
        <v>-0.999351199999999</v>
      </c>
      <c r="N2003">
        <v>0</v>
      </c>
      <c r="O2003">
        <v>-3.3121350000000001E-2</v>
      </c>
      <c r="P2003">
        <v>-0.99496549999999995</v>
      </c>
      <c r="Q2003">
        <v>5.6887350000000003E-2</v>
      </c>
      <c r="R2003">
        <v>-8.2509319999999997E-2</v>
      </c>
      <c r="S2003">
        <v>-2.993042</v>
      </c>
      <c r="T2003">
        <v>-0.1608301</v>
      </c>
      <c r="U2003">
        <v>-0.3783569</v>
      </c>
      <c r="V2003">
        <v>-4.9573909999999999E-2</v>
      </c>
      <c r="W2003">
        <v>7.0949799999999993E-2</v>
      </c>
      <c r="X2003">
        <v>0.9962472</v>
      </c>
      <c r="Y2003">
        <v>-9.2398030000000006E-2</v>
      </c>
      <c r="Z2003">
        <v>-7.0042789999999998E-4</v>
      </c>
      <c r="AA2003">
        <v>0.99572190000000005</v>
      </c>
      <c r="AB2003">
        <v>39</v>
      </c>
      <c r="AC2003">
        <v>-20.177099999999999</v>
      </c>
      <c r="AD2003">
        <v>-1.1049485383687001</v>
      </c>
      <c r="AE2003">
        <v>-2.5862999999999898</v>
      </c>
      <c r="AF2003">
        <v>-1.91088305222334</v>
      </c>
      <c r="AG2003">
        <v>-1.1049485383687001</v>
      </c>
      <c r="AH2003">
        <v>20.192121728355499</v>
      </c>
      <c r="AI2003">
        <v>93.118297621250093</v>
      </c>
      <c r="AJ2003">
        <v>95.406090413803199</v>
      </c>
      <c r="AK2003">
        <v>20.312414066389099</v>
      </c>
    </row>
    <row r="2004" spans="1:37" x14ac:dyDescent="0.2">
      <c r="A2004" t="str">
        <f>"20200111153647501"</f>
        <v>20200111153647501</v>
      </c>
      <c r="B2004" t="str">
        <f>"1578728207494409"</f>
        <v>1578728207494409</v>
      </c>
      <c r="C2004" t="s">
        <v>37</v>
      </c>
      <c r="D2004">
        <v>5.6870649999999996</v>
      </c>
      <c r="E2004">
        <v>0.4833404</v>
      </c>
      <c r="F2004" t="s">
        <v>45</v>
      </c>
      <c r="G2004">
        <v>-394.45490000000001</v>
      </c>
      <c r="H2004" s="1">
        <v>8.3387249999999995E-7</v>
      </c>
      <c r="I2004">
        <v>281.90600000000001</v>
      </c>
      <c r="J2004">
        <v>-373.9676</v>
      </c>
      <c r="K2004">
        <v>1.1049389999999999</v>
      </c>
      <c r="L2004">
        <v>284.51459999999997</v>
      </c>
      <c r="M2004">
        <v>-0.99933839999999996</v>
      </c>
      <c r="N2004">
        <v>0</v>
      </c>
      <c r="O2004">
        <v>-3.3500769999999999E-2</v>
      </c>
      <c r="P2004">
        <v>-0.99487689999999995</v>
      </c>
      <c r="Q2004">
        <v>5.6426490000000003E-2</v>
      </c>
      <c r="R2004">
        <v>-8.3880700000000002E-2</v>
      </c>
      <c r="S2004">
        <v>-2.9930729999999999</v>
      </c>
      <c r="T2004">
        <v>-0.15841639999999901</v>
      </c>
      <c r="U2004">
        <v>-0.37588499999999903</v>
      </c>
      <c r="V2004">
        <v>-5.056745E-2</v>
      </c>
      <c r="W2004">
        <v>7.0486519999999997E-2</v>
      </c>
      <c r="X2004">
        <v>0.99623019999999995</v>
      </c>
      <c r="Y2004">
        <v>-9.1213810000000006E-2</v>
      </c>
      <c r="Z2004">
        <v>-6.3879609999999999E-4</v>
      </c>
      <c r="AA2004">
        <v>0.99583109999999997</v>
      </c>
      <c r="AB2004">
        <v>39</v>
      </c>
      <c r="AC2004">
        <v>-20.487300000000001</v>
      </c>
      <c r="AD2004">
        <v>-1.1049381661275</v>
      </c>
      <c r="AE2004">
        <v>-2.6085999999999601</v>
      </c>
      <c r="AF2004">
        <v>-1.9152442591981</v>
      </c>
      <c r="AG2004">
        <v>-1.1049381661275</v>
      </c>
      <c r="AH2004">
        <v>20.504505893087199</v>
      </c>
      <c r="AI2004">
        <v>93.071204612072606</v>
      </c>
      <c r="AJ2004">
        <v>95.336287449264702</v>
      </c>
      <c r="AK2004">
        <v>20.623380199254498</v>
      </c>
    </row>
    <row r="2005" spans="1:37" x14ac:dyDescent="0.2">
      <c r="A2005" t="str">
        <f>"20200111153647524"</f>
        <v>20200111153647524</v>
      </c>
      <c r="B2005" t="str">
        <f>"1578728207514437"</f>
        <v>1578728207514437</v>
      </c>
      <c r="C2005" t="s">
        <v>37</v>
      </c>
      <c r="D2005">
        <v>5.6468239999999996</v>
      </c>
      <c r="E2005">
        <v>0.4834329</v>
      </c>
      <c r="F2005" t="s">
        <v>45</v>
      </c>
      <c r="G2005">
        <v>-394.84199999999998</v>
      </c>
      <c r="H2005" s="1">
        <v>1.039909E-6</v>
      </c>
      <c r="I2005">
        <v>281.87169999999998</v>
      </c>
      <c r="J2005">
        <v>-374.37099999999998</v>
      </c>
      <c r="K2005">
        <v>1.104924</v>
      </c>
      <c r="L2005">
        <v>284.50069999999999</v>
      </c>
      <c r="M2005">
        <v>-0.99932589999999999</v>
      </c>
      <c r="N2005">
        <v>0</v>
      </c>
      <c r="O2005">
        <v>-3.3875660000000002E-2</v>
      </c>
      <c r="P2005">
        <v>-0.994776199999999</v>
      </c>
      <c r="Q2005">
        <v>5.5935060000000002E-2</v>
      </c>
      <c r="R2005">
        <v>-8.5388999999999896E-2</v>
      </c>
      <c r="S2005">
        <v>-2.99246199999999</v>
      </c>
      <c r="T2005">
        <v>-0.15839839999999999</v>
      </c>
      <c r="U2005">
        <v>-0.37887569999999998</v>
      </c>
      <c r="V2005">
        <v>-5.1702190000000002E-2</v>
      </c>
      <c r="W2005">
        <v>6.9992789999999999E-2</v>
      </c>
      <c r="X2005">
        <v>0.99620679999999995</v>
      </c>
      <c r="Y2005">
        <v>-9.1844659999999995E-2</v>
      </c>
      <c r="Z2005">
        <v>-6.3571459999999999E-4</v>
      </c>
      <c r="AA2005">
        <v>0.99577309999999997</v>
      </c>
      <c r="AB2005">
        <v>39</v>
      </c>
      <c r="AC2005">
        <v>-20.471</v>
      </c>
      <c r="AD2005">
        <v>-1.104922960091</v>
      </c>
      <c r="AE2005">
        <v>-2.6290000000000102</v>
      </c>
      <c r="AF2005">
        <v>-1.9284258042117199</v>
      </c>
      <c r="AG2005">
        <v>-1.104922960091</v>
      </c>
      <c r="AH2005">
        <v>20.489592565206401</v>
      </c>
      <c r="AI2005">
        <v>93.073190691371707</v>
      </c>
      <c r="AJ2005">
        <v>95.376687585475295</v>
      </c>
      <c r="AK2005">
        <v>20.6097812777877</v>
      </c>
    </row>
    <row r="2006" spans="1:37" x14ac:dyDescent="0.2">
      <c r="A2006" t="str">
        <f>"20200111153647545"</f>
        <v>20200111153647545</v>
      </c>
      <c r="B2006" t="str">
        <f>"1578728207534933"</f>
        <v>1578728207534933</v>
      </c>
      <c r="C2006" t="s">
        <v>37</v>
      </c>
      <c r="D2006">
        <v>5.9764530000000002</v>
      </c>
      <c r="E2006">
        <v>0.48354829999999999</v>
      </c>
      <c r="F2006" t="s">
        <v>45</v>
      </c>
      <c r="G2006">
        <v>-395.27980000000002</v>
      </c>
      <c r="H2006" s="1">
        <v>1.2728360000000001E-6</v>
      </c>
      <c r="I2006">
        <v>281.82960000000003</v>
      </c>
      <c r="J2006">
        <v>-374.738</v>
      </c>
      <c r="K2006">
        <v>1.104914</v>
      </c>
      <c r="L2006">
        <v>284.48790000000002</v>
      </c>
      <c r="M2006">
        <v>-0.99931499999999995</v>
      </c>
      <c r="N2006">
        <v>0</v>
      </c>
      <c r="O2006">
        <v>-3.4199380000000001E-2</v>
      </c>
      <c r="P2006">
        <v>-0.99464409999999903</v>
      </c>
      <c r="Q2006">
        <v>5.5484850000000002E-2</v>
      </c>
      <c r="R2006">
        <v>-8.7204920000000005E-2</v>
      </c>
      <c r="S2006">
        <v>-2.9918520000000002</v>
      </c>
      <c r="T2006">
        <v>-0.15810439999999901</v>
      </c>
      <c r="U2006">
        <v>-0.38220209999999999</v>
      </c>
      <c r="V2006">
        <v>-5.3194930000000001E-2</v>
      </c>
      <c r="W2006">
        <v>6.954043E-2</v>
      </c>
      <c r="X2006">
        <v>0.99615989999999999</v>
      </c>
      <c r="Y2006">
        <v>-9.263652E-2</v>
      </c>
      <c r="Z2006">
        <v>-6.3845129999999897E-4</v>
      </c>
      <c r="AA2006">
        <v>0.99569979999999902</v>
      </c>
      <c r="AB2006">
        <v>39</v>
      </c>
      <c r="AC2006">
        <v>-20.541799999999899</v>
      </c>
      <c r="AD2006">
        <v>-1.104912727164</v>
      </c>
      <c r="AE2006">
        <v>-2.6582999999999899</v>
      </c>
      <c r="AF2006">
        <v>-1.9486127265061399</v>
      </c>
      <c r="AG2006">
        <v>-1.104912727164</v>
      </c>
      <c r="AH2006">
        <v>20.562191826676798</v>
      </c>
      <c r="AI2006">
        <v>93.062146701400593</v>
      </c>
      <c r="AJ2006">
        <v>95.413569252339101</v>
      </c>
      <c r="AK2006">
        <v>20.6838501350596</v>
      </c>
    </row>
    <row r="2007" spans="1:37" x14ac:dyDescent="0.2">
      <c r="A2007" t="str">
        <f>"20200111153647570"</f>
        <v>20200111153647570</v>
      </c>
      <c r="B2007" t="str">
        <f>"1578728207565189"</f>
        <v>1578728207565189</v>
      </c>
      <c r="C2007" t="s">
        <v>37</v>
      </c>
      <c r="D2007">
        <v>5.706512</v>
      </c>
      <c r="E2007">
        <v>0.48351830000000001</v>
      </c>
      <c r="F2007" t="s">
        <v>45</v>
      </c>
      <c r="G2007">
        <v>-395.47449999999998</v>
      </c>
      <c r="H2007" s="1">
        <v>1.376466E-6</v>
      </c>
      <c r="I2007">
        <v>281.80869999999999</v>
      </c>
      <c r="J2007">
        <v>-375.13630000000001</v>
      </c>
      <c r="K2007">
        <v>1.104894</v>
      </c>
      <c r="L2007">
        <v>284.47399999999999</v>
      </c>
      <c r="M2007">
        <v>-0.99930379999999996</v>
      </c>
      <c r="N2007">
        <v>0</v>
      </c>
      <c r="O2007">
        <v>-3.4522369999999997E-2</v>
      </c>
      <c r="P2007">
        <v>-0.99453349999999996</v>
      </c>
      <c r="Q2007">
        <v>5.5442779999999997E-2</v>
      </c>
      <c r="R2007">
        <v>-8.8483530000000005E-2</v>
      </c>
      <c r="S2007">
        <v>-2.9911799999999999</v>
      </c>
      <c r="T2007">
        <v>-0.159380299999999</v>
      </c>
      <c r="U2007">
        <v>-0.386474599999999</v>
      </c>
      <c r="V2007">
        <v>-5.4150789999999997E-2</v>
      </c>
      <c r="W2007">
        <v>6.9497130000000004E-2</v>
      </c>
      <c r="X2007">
        <v>0.99611130000000003</v>
      </c>
      <c r="Y2007">
        <v>-9.3739439999999993E-2</v>
      </c>
      <c r="Z2007">
        <v>-6.5583149999999904E-4</v>
      </c>
      <c r="AA2007">
        <v>0.9955965</v>
      </c>
      <c r="AB2007">
        <v>39</v>
      </c>
      <c r="AC2007">
        <v>-20.338199999999901</v>
      </c>
      <c r="AD2007">
        <v>-1.104892623534</v>
      </c>
      <c r="AE2007">
        <v>-2.6652999999999998</v>
      </c>
      <c r="AF2007">
        <v>-1.9558429891148299</v>
      </c>
      <c r="AG2007">
        <v>-1.104892623534</v>
      </c>
      <c r="AH2007">
        <v>20.359024815406599</v>
      </c>
      <c r="AI2007">
        <v>93.092209689403006</v>
      </c>
      <c r="AJ2007">
        <v>95.487429184139302</v>
      </c>
      <c r="AK2007">
        <v>20.4825779857408</v>
      </c>
    </row>
    <row r="2008" spans="1:37" x14ac:dyDescent="0.2">
      <c r="A2008" t="str">
        <f>"20200111153647591"</f>
        <v>20200111153647591</v>
      </c>
      <c r="B2008" t="str">
        <f>"1578728207584709"</f>
        <v>1578728207584709</v>
      </c>
      <c r="C2008" t="s">
        <v>37</v>
      </c>
      <c r="D2008">
        <v>5.9723290000000002</v>
      </c>
      <c r="E2008">
        <v>0.48357889999999998</v>
      </c>
      <c r="F2008" t="s">
        <v>45</v>
      </c>
      <c r="G2008">
        <v>-395.98099999999999</v>
      </c>
      <c r="H2008" s="1">
        <v>1.646014E-6</v>
      </c>
      <c r="I2008">
        <v>281.75409999999999</v>
      </c>
      <c r="J2008">
        <v>-375.52609999999999</v>
      </c>
      <c r="K2008">
        <v>1.1048639999999901</v>
      </c>
      <c r="L2008">
        <v>284.46019999999999</v>
      </c>
      <c r="M2008">
        <v>-0.99929429999999997</v>
      </c>
      <c r="N2008">
        <v>0</v>
      </c>
      <c r="O2008">
        <v>-3.4799209999999997E-2</v>
      </c>
      <c r="P2008">
        <v>-0.99448409999999998</v>
      </c>
      <c r="Q2008">
        <v>5.5276079999999998E-2</v>
      </c>
      <c r="R2008">
        <v>-8.9140620000000004E-2</v>
      </c>
      <c r="S2008">
        <v>-2.990631</v>
      </c>
      <c r="T2008">
        <v>-0.1585211</v>
      </c>
      <c r="U2008">
        <v>-0.39022829999999997</v>
      </c>
      <c r="V2008">
        <v>-5.4528069999999998E-2</v>
      </c>
      <c r="W2008">
        <v>6.9331599999999993E-2</v>
      </c>
      <c r="X2008">
        <v>0.9961023</v>
      </c>
      <c r="Y2008">
        <v>-9.4715629999999995E-2</v>
      </c>
      <c r="Z2008">
        <v>-6.6354229999999895E-4</v>
      </c>
      <c r="AA2008">
        <v>0.995504099999999</v>
      </c>
      <c r="AB2008">
        <v>39</v>
      </c>
      <c r="AC2008">
        <v>-20.454899999999999</v>
      </c>
      <c r="AD2008">
        <v>-1.1048623539860001</v>
      </c>
      <c r="AE2008">
        <v>-2.70609999999999</v>
      </c>
      <c r="AF2008">
        <v>-1.98687798182301</v>
      </c>
      <c r="AG2008">
        <v>-1.1048623539860001</v>
      </c>
      <c r="AH2008">
        <v>20.4779697796343</v>
      </c>
      <c r="AI2008">
        <v>93.073918261963499</v>
      </c>
      <c r="AJ2008">
        <v>95.541784844454298</v>
      </c>
      <c r="AK2008">
        <v>20.6037775961478</v>
      </c>
    </row>
    <row r="2009" spans="1:37" x14ac:dyDescent="0.2">
      <c r="A2009" t="str">
        <f>"20200111153647613"</f>
        <v>20200111153647613</v>
      </c>
      <c r="B2009" t="str">
        <f>"1578728207604737"</f>
        <v>1578728207604737</v>
      </c>
      <c r="C2009" t="s">
        <v>37</v>
      </c>
      <c r="D2009">
        <v>5.972003</v>
      </c>
      <c r="E2009">
        <v>0.48371029999999998</v>
      </c>
      <c r="F2009" t="s">
        <v>45</v>
      </c>
      <c r="G2009">
        <v>-396.38060000000002</v>
      </c>
      <c r="H2009" s="1">
        <v>1.8586789999999999E-6</v>
      </c>
      <c r="I2009">
        <v>281.7253</v>
      </c>
      <c r="J2009">
        <v>-375.91059999999999</v>
      </c>
      <c r="K2009">
        <v>1.1048209999999901</v>
      </c>
      <c r="L2009">
        <v>284.44650000000001</v>
      </c>
      <c r="M2009">
        <v>-0.99928639999999902</v>
      </c>
      <c r="N2009">
        <v>0</v>
      </c>
      <c r="O2009">
        <v>-3.5024180000000002E-2</v>
      </c>
      <c r="P2009">
        <v>-0.99446579999999996</v>
      </c>
      <c r="Q2009">
        <v>5.489488E-2</v>
      </c>
      <c r="R2009">
        <v>-8.9578710000000006E-2</v>
      </c>
      <c r="S2009">
        <v>-2.9902950000000001</v>
      </c>
      <c r="T2009">
        <v>-0.15842419999999999</v>
      </c>
      <c r="U2009">
        <v>-0.39215090000000002</v>
      </c>
      <c r="V2009">
        <v>-5.4735640000000002E-2</v>
      </c>
      <c r="W2009">
        <v>6.8952459999999993E-2</v>
      </c>
      <c r="X2009">
        <v>0.99611719999999904</v>
      </c>
      <c r="Y2009">
        <v>-9.5134940000000001E-2</v>
      </c>
      <c r="Z2009">
        <v>-6.6239860000000001E-4</v>
      </c>
      <c r="AA2009">
        <v>0.99546409999999996</v>
      </c>
      <c r="AB2009">
        <v>39</v>
      </c>
      <c r="AC2009">
        <v>-20.47</v>
      </c>
      <c r="AD2009">
        <v>-1.10481914132099</v>
      </c>
      <c r="AE2009">
        <v>-2.7212000000000098</v>
      </c>
      <c r="AF2009">
        <v>-1.99679769971506</v>
      </c>
      <c r="AG2009">
        <v>-1.10481914132099</v>
      </c>
      <c r="AH2009">
        <v>20.4940923149524</v>
      </c>
      <c r="AI2009">
        <v>93.071264390172402</v>
      </c>
      <c r="AJ2009">
        <v>95.564925531922896</v>
      </c>
      <c r="AK2009">
        <v>20.620757653452198</v>
      </c>
    </row>
    <row r="2010" spans="1:37" x14ac:dyDescent="0.2">
      <c r="A2010" t="str">
        <f>"20200111153647634"</f>
        <v>20200111153647634</v>
      </c>
      <c r="B2010" t="str">
        <f>"1578728207625233"</f>
        <v>1578728207625233</v>
      </c>
      <c r="C2010" t="s">
        <v>37</v>
      </c>
      <c r="D2010">
        <v>5.6852450000000001</v>
      </c>
      <c r="E2010">
        <v>0.48372409999999999</v>
      </c>
      <c r="F2010" t="s">
        <v>45</v>
      </c>
      <c r="G2010">
        <v>-396.68290000000002</v>
      </c>
      <c r="H2010" s="1">
        <v>2.01950999999999E-6</v>
      </c>
      <c r="I2010">
        <v>281.72129999999999</v>
      </c>
      <c r="J2010">
        <v>-376.27569999999997</v>
      </c>
      <c r="K2010">
        <v>1.104779</v>
      </c>
      <c r="L2010">
        <v>284.43360000000001</v>
      </c>
      <c r="M2010">
        <v>-0.99928079999999997</v>
      </c>
      <c r="N2010">
        <v>0</v>
      </c>
      <c r="O2010">
        <v>-3.5187429999999999E-2</v>
      </c>
      <c r="P2010">
        <v>-0.99447209999999997</v>
      </c>
      <c r="Q2010">
        <v>5.4822740000000002E-2</v>
      </c>
      <c r="R2010">
        <v>-8.9555979999999993E-2</v>
      </c>
      <c r="S2010">
        <v>-2.990173</v>
      </c>
      <c r="T2010">
        <v>-0.15903889999999901</v>
      </c>
      <c r="U2010">
        <v>-0.39230349999999897</v>
      </c>
      <c r="V2010">
        <v>-5.454258E-2</v>
      </c>
      <c r="W2010">
        <v>6.8884440000000005E-2</v>
      </c>
      <c r="X2010">
        <v>0.99613259999999904</v>
      </c>
      <c r="Y2010">
        <v>-9.5027219999999996E-2</v>
      </c>
      <c r="Z2010">
        <v>-6.5351349999999897E-4</v>
      </c>
      <c r="AA2010">
        <v>0.99547450000000004</v>
      </c>
      <c r="AB2010">
        <v>39</v>
      </c>
      <c r="AC2010">
        <v>-20.4072</v>
      </c>
      <c r="AD2010">
        <v>-1.1047769804900001</v>
      </c>
      <c r="AE2010">
        <v>-2.7123000000000199</v>
      </c>
      <c r="AF2010">
        <v>-1.9867497343381799</v>
      </c>
      <c r="AG2010">
        <v>-1.1047769804900001</v>
      </c>
      <c r="AH2010">
        <v>20.431168565724999</v>
      </c>
      <c r="AI2010">
        <v>93.080644557927101</v>
      </c>
      <c r="AJ2010">
        <v>95.554043711210596</v>
      </c>
      <c r="AK2010">
        <v>20.557245818557099</v>
      </c>
    </row>
    <row r="2011" spans="1:37" x14ac:dyDescent="0.2">
      <c r="A2011" t="str">
        <f>"20200111153647658"</f>
        <v>20200111153647658</v>
      </c>
      <c r="B2011" t="str">
        <f>"1578728207654513"</f>
        <v>1578728207654513</v>
      </c>
      <c r="C2011" t="s">
        <v>37</v>
      </c>
      <c r="D2011">
        <v>5.6966239999999999</v>
      </c>
      <c r="E2011">
        <v>0.48378059999999901</v>
      </c>
      <c r="F2011" t="s">
        <v>45</v>
      </c>
      <c r="G2011">
        <v>-397.07069999999999</v>
      </c>
      <c r="H2011" s="1">
        <v>2.2258899999999999E-6</v>
      </c>
      <c r="I2011">
        <v>281.7063</v>
      </c>
      <c r="J2011">
        <v>-376.67360000000002</v>
      </c>
      <c r="K2011">
        <v>1.1047290000000001</v>
      </c>
      <c r="L2011">
        <v>284.4194</v>
      </c>
      <c r="M2011">
        <v>-0.99927649999999901</v>
      </c>
      <c r="N2011">
        <v>0</v>
      </c>
      <c r="O2011">
        <v>-3.5310729999999999E-2</v>
      </c>
      <c r="P2011">
        <v>-0.99448239999999999</v>
      </c>
      <c r="Q2011">
        <v>5.4781299999999998E-2</v>
      </c>
      <c r="R2011">
        <v>-8.9465600000000006E-2</v>
      </c>
      <c r="S2011">
        <v>-2.9900820000000001</v>
      </c>
      <c r="T2011">
        <v>-0.1588541</v>
      </c>
      <c r="U2011">
        <v>-0.39215090000000002</v>
      </c>
      <c r="V2011">
        <v>-5.432091E-2</v>
      </c>
      <c r="W2011">
        <v>6.8845920000000005E-2</v>
      </c>
      <c r="X2011">
        <v>0.99614729999999996</v>
      </c>
      <c r="Y2011">
        <v>-9.4858999999999999E-2</v>
      </c>
      <c r="Z2011">
        <v>-6.418223E-4</v>
      </c>
      <c r="AA2011">
        <v>0.99549049999999994</v>
      </c>
      <c r="AB2011">
        <v>39</v>
      </c>
      <c r="AC2011">
        <v>-20.397099999999899</v>
      </c>
      <c r="AD2011">
        <v>-1.10472677411</v>
      </c>
      <c r="AE2011">
        <v>-2.7130999999999901</v>
      </c>
      <c r="AF2011">
        <v>-1.9853766557758901</v>
      </c>
      <c r="AG2011">
        <v>-1.10472677411</v>
      </c>
      <c r="AH2011">
        <v>20.421325861115498</v>
      </c>
      <c r="AI2011">
        <v>93.081992748485007</v>
      </c>
      <c r="AJ2011">
        <v>95.552887580713403</v>
      </c>
      <c r="AK2011">
        <v>20.547328089963401</v>
      </c>
    </row>
    <row r="2012" spans="1:37" x14ac:dyDescent="0.2">
      <c r="A2012" t="str">
        <f>"20200111153647680"</f>
        <v>20200111153647680</v>
      </c>
      <c r="B2012" t="str">
        <f>"1578728207675008"</f>
        <v>1578728207675008</v>
      </c>
      <c r="C2012" t="s">
        <v>37</v>
      </c>
      <c r="D2012">
        <v>5.7742719999999998</v>
      </c>
      <c r="E2012">
        <v>0.48386859999999998</v>
      </c>
      <c r="F2012" t="s">
        <v>45</v>
      </c>
      <c r="G2012">
        <v>-397.44319999999999</v>
      </c>
      <c r="H2012" s="1">
        <v>2.4240960000000001E-6</v>
      </c>
      <c r="I2012">
        <v>281.70030000000003</v>
      </c>
      <c r="J2012">
        <v>-377.06199999999899</v>
      </c>
      <c r="K2012">
        <v>1.104687</v>
      </c>
      <c r="L2012">
        <v>284.40559999999999</v>
      </c>
      <c r="M2012">
        <v>-0.99927410000000005</v>
      </c>
      <c r="N2012">
        <v>0</v>
      </c>
      <c r="O2012">
        <v>-3.5383079999999997E-2</v>
      </c>
      <c r="P2012">
        <v>-0.9945136</v>
      </c>
      <c r="Q2012">
        <v>5.4899320000000001E-2</v>
      </c>
      <c r="R2012">
        <v>-8.9046009999999995E-2</v>
      </c>
      <c r="S2012">
        <v>-2.9902039999999999</v>
      </c>
      <c r="T2012">
        <v>-0.15904779999999999</v>
      </c>
      <c r="U2012">
        <v>-0.39147949999999998</v>
      </c>
      <c r="V2012">
        <v>-5.3820760000000002E-2</v>
      </c>
      <c r="W2012">
        <v>6.8964849999999994E-2</v>
      </c>
      <c r="X2012">
        <v>0.9961662</v>
      </c>
      <c r="Y2012">
        <v>-9.4562259999999995E-2</v>
      </c>
      <c r="Z2012">
        <v>-6.3090949999999998E-4</v>
      </c>
      <c r="AA2012">
        <v>0.99551869999999998</v>
      </c>
      <c r="AB2012">
        <v>38</v>
      </c>
      <c r="AC2012">
        <v>-20.3812</v>
      </c>
      <c r="AD2012">
        <v>-1.104684575904</v>
      </c>
      <c r="AE2012">
        <v>-2.7052999999999598</v>
      </c>
      <c r="AF2012">
        <v>-1.9766776829046</v>
      </c>
      <c r="AG2012">
        <v>-1.104684575904</v>
      </c>
      <c r="AH2012">
        <v>20.4052586165934</v>
      </c>
      <c r="AI2012">
        <v>93.084400770433703</v>
      </c>
      <c r="AJ2012">
        <v>95.533034891981302</v>
      </c>
      <c r="AK2012">
        <v>20.530517818223501</v>
      </c>
    </row>
    <row r="2013" spans="1:37" x14ac:dyDescent="0.2">
      <c r="A2013" t="str">
        <f>"20200111153647702"</f>
        <v>20200111153647702</v>
      </c>
      <c r="B2013" t="str">
        <f>"1578728207694528"</f>
        <v>1578728207694528</v>
      </c>
      <c r="C2013" t="s">
        <v>37</v>
      </c>
      <c r="D2013">
        <v>6.0371410000000001</v>
      </c>
      <c r="E2013">
        <v>0.48396239999999902</v>
      </c>
      <c r="F2013" t="s">
        <v>45</v>
      </c>
      <c r="G2013">
        <v>-397.86660000000001</v>
      </c>
      <c r="H2013" s="1">
        <v>2.649409E-6</v>
      </c>
      <c r="I2013">
        <v>281.6968</v>
      </c>
      <c r="J2013">
        <v>-377.4402</v>
      </c>
      <c r="K2013">
        <v>1.1046499999999999</v>
      </c>
      <c r="L2013">
        <v>284.3922</v>
      </c>
      <c r="M2013">
        <v>-0.99927279999999996</v>
      </c>
      <c r="N2013">
        <v>0</v>
      </c>
      <c r="O2013">
        <v>-3.5417919999999999E-2</v>
      </c>
      <c r="P2013">
        <v>-0.99455360000000004</v>
      </c>
      <c r="Q2013">
        <v>5.5162849999999999E-2</v>
      </c>
      <c r="R2013">
        <v>-8.8431529999999994E-2</v>
      </c>
      <c r="S2013">
        <v>-2.9904790000000001</v>
      </c>
      <c r="T2013">
        <v>-0.1587886</v>
      </c>
      <c r="U2013">
        <v>-0.38937379999999999</v>
      </c>
      <c r="V2013">
        <v>-5.3164259999999998E-2</v>
      </c>
      <c r="W2013">
        <v>6.9228380000000006E-2</v>
      </c>
      <c r="X2013">
        <v>0.99618320000000005</v>
      </c>
      <c r="Y2013">
        <v>-9.3827839999999996E-2</v>
      </c>
      <c r="Z2013">
        <v>-6.0860669999999995E-4</v>
      </c>
      <c r="AA2013">
        <v>0.99558819999999904</v>
      </c>
      <c r="AB2013">
        <v>38</v>
      </c>
      <c r="AC2013">
        <v>-20.426400000000001</v>
      </c>
      <c r="AD2013">
        <v>-1.1046473505909999</v>
      </c>
      <c r="AE2013">
        <v>-2.6953999999999998</v>
      </c>
      <c r="AF2013">
        <v>-1.9645286890564599</v>
      </c>
      <c r="AG2013">
        <v>-1.1046473505909999</v>
      </c>
      <c r="AH2013">
        <v>20.450271790781802</v>
      </c>
      <c r="AI2013">
        <v>93.077758253604003</v>
      </c>
      <c r="AJ2013">
        <v>95.487206598401301</v>
      </c>
      <c r="AK2013">
        <v>20.574091354325699</v>
      </c>
    </row>
    <row r="2014" spans="1:37" x14ac:dyDescent="0.2">
      <c r="A2014" t="str">
        <f>"20200111153647724"</f>
        <v>20200111153647724</v>
      </c>
      <c r="B2014" t="str">
        <f>"1578728207714555"</f>
        <v>1578728207714555</v>
      </c>
      <c r="C2014" t="s">
        <v>37</v>
      </c>
      <c r="D2014">
        <v>5.7535780000000001</v>
      </c>
      <c r="E2014">
        <v>0.48405519999999902</v>
      </c>
      <c r="F2014" t="s">
        <v>45</v>
      </c>
      <c r="G2014">
        <v>-398.49689999999998</v>
      </c>
      <c r="H2014" s="1">
        <v>2.9848549999999998E-6</v>
      </c>
      <c r="I2014">
        <v>281.666</v>
      </c>
      <c r="J2014">
        <v>-377.82130000000001</v>
      </c>
      <c r="K2014">
        <v>1.104625</v>
      </c>
      <c r="L2014">
        <v>284.37869999999998</v>
      </c>
      <c r="M2014">
        <v>-0.99927250000000001</v>
      </c>
      <c r="N2014">
        <v>0</v>
      </c>
      <c r="O2014">
        <v>-3.5427269999999997E-2</v>
      </c>
      <c r="P2014">
        <v>-0.99456199999999995</v>
      </c>
      <c r="Q2014">
        <v>5.5495490000000001E-2</v>
      </c>
      <c r="R2014">
        <v>-8.8129150000000003E-2</v>
      </c>
      <c r="S2014">
        <v>-2.9906919999999899</v>
      </c>
      <c r="T2014">
        <v>-0.15689339999999999</v>
      </c>
      <c r="U2014">
        <v>-0.38720700000000002</v>
      </c>
      <c r="V2014">
        <v>-5.2847619999999998E-2</v>
      </c>
      <c r="W2014">
        <v>6.9559919999999997E-2</v>
      </c>
      <c r="X2014">
        <v>0.99617699999999998</v>
      </c>
      <c r="Y2014">
        <v>-9.3102959999999998E-2</v>
      </c>
      <c r="Z2014">
        <v>-5.8192349999999999E-4</v>
      </c>
      <c r="AA2014">
        <v>0.99565630000000005</v>
      </c>
      <c r="AB2014">
        <v>38</v>
      </c>
      <c r="AC2014">
        <v>-20.6755999999999</v>
      </c>
      <c r="AD2014">
        <v>-1.1046220151449999</v>
      </c>
      <c r="AE2014">
        <v>-2.7126999999999799</v>
      </c>
      <c r="AF2014">
        <v>-1.97290756772537</v>
      </c>
      <c r="AG2014">
        <v>-1.1046220151449999</v>
      </c>
      <c r="AH2014">
        <v>20.700644103718702</v>
      </c>
      <c r="AI2014">
        <v>93.040751603672305</v>
      </c>
      <c r="AJ2014">
        <v>95.444220552570101</v>
      </c>
      <c r="AK2014">
        <v>20.823765758766001</v>
      </c>
    </row>
    <row r="2015" spans="1:37" x14ac:dyDescent="0.2">
      <c r="A2015" t="str">
        <f>"20200111153647746"</f>
        <v>20200111153647746</v>
      </c>
      <c r="B2015" t="str">
        <f>"1578728207735051"</f>
        <v>1578728207735051</v>
      </c>
      <c r="C2015" t="s">
        <v>37</v>
      </c>
      <c r="D2015">
        <v>5.9801820000000001</v>
      </c>
      <c r="E2015">
        <v>0.48409579999999902</v>
      </c>
      <c r="F2015" t="s">
        <v>45</v>
      </c>
      <c r="G2015">
        <v>-399.05309999999997</v>
      </c>
      <c r="H2015" s="1">
        <v>3.2808020000000001E-6</v>
      </c>
      <c r="I2015">
        <v>281.64299999999997</v>
      </c>
      <c r="J2015">
        <v>-378.19170000000003</v>
      </c>
      <c r="K2015">
        <v>1.1046020000000001</v>
      </c>
      <c r="L2015">
        <v>284.3655</v>
      </c>
      <c r="M2015">
        <v>-0.99927319999999997</v>
      </c>
      <c r="N2015">
        <v>0</v>
      </c>
      <c r="O2015">
        <v>-3.5411400000000003E-2</v>
      </c>
      <c r="P2015">
        <v>-0.99453780000000003</v>
      </c>
      <c r="Q2015">
        <v>5.602095E-2</v>
      </c>
      <c r="R2015">
        <v>-8.8069899999999895E-2</v>
      </c>
      <c r="S2015">
        <v>-2.9909059999999998</v>
      </c>
      <c r="T2015">
        <v>-0.155607299999999</v>
      </c>
      <c r="U2015">
        <v>-0.385376</v>
      </c>
      <c r="V2015">
        <v>-5.2800560000000003E-2</v>
      </c>
      <c r="W2015">
        <v>7.0083649999999997E-2</v>
      </c>
      <c r="X2015">
        <v>0.99614269999999905</v>
      </c>
      <c r="Y2015">
        <v>-9.2512199999999906E-2</v>
      </c>
      <c r="Z2015">
        <v>-5.6266269999999895E-4</v>
      </c>
      <c r="AA2015">
        <v>0.99571139999999903</v>
      </c>
      <c r="AB2015">
        <v>38</v>
      </c>
      <c r="AC2015">
        <v>-20.8613999999999</v>
      </c>
      <c r="AD2015">
        <v>-1.104598719198</v>
      </c>
      <c r="AE2015">
        <v>-2.7225000000000201</v>
      </c>
      <c r="AF2015">
        <v>-1.97653852540317</v>
      </c>
      <c r="AG2015">
        <v>-1.104598719198</v>
      </c>
      <c r="AH2015">
        <v>20.887151281882101</v>
      </c>
      <c r="AI2015">
        <v>93.013778448688498</v>
      </c>
      <c r="AJ2015">
        <v>95.405767685313705</v>
      </c>
      <c r="AK2015">
        <v>21.009520021768299</v>
      </c>
    </row>
    <row r="2016" spans="1:37" x14ac:dyDescent="0.2">
      <c r="A2016" t="str">
        <f>"20200111153647761"</f>
        <v>20200111153647761</v>
      </c>
      <c r="B2016" t="str">
        <f>"1578728207754573"</f>
        <v>1578728207754573</v>
      </c>
      <c r="C2016" t="s">
        <v>37</v>
      </c>
      <c r="D2016">
        <v>5.6113150000000003</v>
      </c>
      <c r="E2016">
        <v>0.48411219999999999</v>
      </c>
      <c r="F2016" t="s">
        <v>45</v>
      </c>
      <c r="G2016">
        <v>-399.66660000000002</v>
      </c>
      <c r="H2016" s="1">
        <v>3.6073039999999999E-6</v>
      </c>
      <c r="I2016">
        <v>281.60250000000002</v>
      </c>
      <c r="J2016">
        <v>-378.43520000000001</v>
      </c>
      <c r="K2016">
        <v>1.1045849999999999</v>
      </c>
      <c r="L2016">
        <v>284.3569</v>
      </c>
      <c r="M2016">
        <v>-0.999274</v>
      </c>
      <c r="N2016">
        <v>0</v>
      </c>
      <c r="O2016">
        <v>-3.5388540000000003E-2</v>
      </c>
      <c r="P2016">
        <v>-0.99451299999999898</v>
      </c>
      <c r="Q2016">
        <v>5.6142780000000003E-2</v>
      </c>
      <c r="R2016">
        <v>-8.8271329999999995E-2</v>
      </c>
      <c r="S2016">
        <v>-2.991028</v>
      </c>
      <c r="T2016">
        <v>-0.15384819999999999</v>
      </c>
      <c r="U2016">
        <v>-0.38482670000000002</v>
      </c>
      <c r="V2016">
        <v>-5.3022399999999997E-2</v>
      </c>
      <c r="W2016">
        <v>7.0204459999999996E-2</v>
      </c>
      <c r="X2016">
        <v>0.99612250000000002</v>
      </c>
      <c r="Y2016">
        <v>-9.2351829999999996E-2</v>
      </c>
      <c r="Z2016">
        <v>-5.533561E-4</v>
      </c>
      <c r="AA2016">
        <v>0.99572629999999995</v>
      </c>
      <c r="AB2016">
        <v>38</v>
      </c>
      <c r="AC2016">
        <v>-21.231400000000001</v>
      </c>
      <c r="AD2016">
        <v>-1.104581392696</v>
      </c>
      <c r="AE2016">
        <v>-2.7543999999999702</v>
      </c>
      <c r="AF2016">
        <v>-1.9959383536828701</v>
      </c>
      <c r="AG2016">
        <v>-1.104581392696</v>
      </c>
      <c r="AH2016">
        <v>21.258993488441</v>
      </c>
      <c r="AI2016">
        <v>92.961317659145294</v>
      </c>
      <c r="AJ2016">
        <v>95.363593338656798</v>
      </c>
      <c r="AK2016">
        <v>21.381035384339299</v>
      </c>
    </row>
    <row r="2017" spans="1:37" x14ac:dyDescent="0.2">
      <c r="A2017" t="str">
        <f>"20200111153647779"</f>
        <v>20200111153647779</v>
      </c>
      <c r="B2017" t="str">
        <f>"1578728207775068"</f>
        <v>1578728207775068</v>
      </c>
      <c r="C2017" t="s">
        <v>37</v>
      </c>
      <c r="D2017">
        <v>5.8606089999999904</v>
      </c>
      <c r="E2017">
        <v>0.48408689999999999</v>
      </c>
      <c r="F2017" t="s">
        <v>48</v>
      </c>
      <c r="G2017">
        <v>-399.96899999999999</v>
      </c>
      <c r="H2017" s="1">
        <v>9.0430990000000005E-6</v>
      </c>
      <c r="I2017">
        <v>281.58159999999998</v>
      </c>
      <c r="J2017">
        <v>-378.7672</v>
      </c>
      <c r="K2017">
        <v>1.1045579999999999</v>
      </c>
      <c r="L2017">
        <v>284.34519999999998</v>
      </c>
      <c r="M2017">
        <v>-0.99927589999999999</v>
      </c>
      <c r="N2017">
        <v>0</v>
      </c>
      <c r="O2017">
        <v>-3.5337500000000001E-2</v>
      </c>
      <c r="P2017">
        <v>-0.99449900000000002</v>
      </c>
      <c r="Q2017">
        <v>5.6165560000000003E-2</v>
      </c>
      <c r="R2017">
        <v>-8.8416320000000007E-2</v>
      </c>
      <c r="S2017">
        <v>-2.991028</v>
      </c>
      <c r="T2017">
        <v>-0.15342529999999999</v>
      </c>
      <c r="U2017">
        <v>-0.38549800000000001</v>
      </c>
      <c r="V2017">
        <v>-5.3214209999999998E-2</v>
      </c>
      <c r="W2017">
        <v>7.0226819999999995E-2</v>
      </c>
      <c r="X2017">
        <v>0.99611070000000002</v>
      </c>
      <c r="Y2017">
        <v>-9.2622529999999995E-2</v>
      </c>
      <c r="Z2017">
        <v>-5.6134299999999995E-4</v>
      </c>
      <c r="AA2017">
        <v>0.99570110000000001</v>
      </c>
      <c r="AB2017">
        <v>38</v>
      </c>
      <c r="AC2017">
        <v>-21.201799999999899</v>
      </c>
      <c r="AD2017">
        <v>-1.1045489569010001</v>
      </c>
      <c r="AE2017">
        <v>-2.7635999999999901</v>
      </c>
      <c r="AF2017">
        <v>-2.0072236932306899</v>
      </c>
      <c r="AG2017">
        <v>-1.1045489569010001</v>
      </c>
      <c r="AH2017">
        <v>21.2295675333493</v>
      </c>
      <c r="AI2017">
        <v>92.9651451322013</v>
      </c>
      <c r="AJ2017">
        <v>95.401173551423199</v>
      </c>
      <c r="AK2017">
        <v>21.352833840169701</v>
      </c>
    </row>
    <row r="2018" spans="1:37" x14ac:dyDescent="0.2">
      <c r="A2018" t="str">
        <f>"20200111153647802"</f>
        <v>20200111153647802</v>
      </c>
      <c r="B2018" t="str">
        <f>"1578728207794587"</f>
        <v>1578728207794587</v>
      </c>
      <c r="C2018" t="s">
        <v>37</v>
      </c>
      <c r="D2018">
        <v>5.6434189999999997</v>
      </c>
      <c r="E2018">
        <v>0.48407709999999998</v>
      </c>
      <c r="F2018" t="s">
        <v>48</v>
      </c>
      <c r="G2018">
        <v>-400.29520000000002</v>
      </c>
      <c r="H2018" s="1">
        <v>8.9018979999999998E-6</v>
      </c>
      <c r="I2018">
        <v>281.56470000000002</v>
      </c>
      <c r="J2018">
        <v>-379.15600000000001</v>
      </c>
      <c r="K2018">
        <v>1.10453</v>
      </c>
      <c r="L2018">
        <v>284.33150000000001</v>
      </c>
      <c r="M2018">
        <v>-0.99927909999999998</v>
      </c>
      <c r="N2018">
        <v>0</v>
      </c>
      <c r="O2018">
        <v>-3.525176E-2</v>
      </c>
      <c r="P2018">
        <v>-0.99446699999999999</v>
      </c>
      <c r="Q2018">
        <v>5.6274199999999899E-2</v>
      </c>
      <c r="R2018">
        <v>-8.8707040000000001E-2</v>
      </c>
      <c r="S2018">
        <v>-2.9909059999999998</v>
      </c>
      <c r="T2018">
        <v>-0.1534557</v>
      </c>
      <c r="U2018">
        <v>-0.38629150000000001</v>
      </c>
      <c r="V2018">
        <v>-5.3585239999999999E-2</v>
      </c>
      <c r="W2018">
        <v>7.0334789999999994E-2</v>
      </c>
      <c r="X2018">
        <v>0.9960831</v>
      </c>
      <c r="Y2018">
        <v>-9.2972369999999999E-2</v>
      </c>
      <c r="Z2018">
        <v>-5.7477259999999997E-4</v>
      </c>
      <c r="AA2018">
        <v>0.99566849999999996</v>
      </c>
      <c r="AB2018">
        <v>38</v>
      </c>
      <c r="AC2018">
        <v>-21.139199999999999</v>
      </c>
      <c r="AD2018">
        <v>-1.1045210981019999</v>
      </c>
      <c r="AE2018">
        <v>-2.7667999999999799</v>
      </c>
      <c r="AF2018">
        <v>-2.0144051718606302</v>
      </c>
      <c r="AG2018">
        <v>-1.1045210981019999</v>
      </c>
      <c r="AH2018">
        <v>21.1667896802693</v>
      </c>
      <c r="AI2018">
        <v>92.973675779054005</v>
      </c>
      <c r="AJ2018">
        <v>95.436363026945301</v>
      </c>
      <c r="AK2018">
        <v>21.291096271007898</v>
      </c>
    </row>
    <row r="2019" spans="1:37" x14ac:dyDescent="0.2">
      <c r="A2019" t="str">
        <f>"20200111153647825"</f>
        <v>20200111153647825</v>
      </c>
      <c r="B2019" t="str">
        <f>"1578728207814614"</f>
        <v>1578728207814614</v>
      </c>
      <c r="C2019" t="s">
        <v>37</v>
      </c>
      <c r="D2019">
        <v>5.7658339999999999</v>
      </c>
      <c r="E2019">
        <v>0.4840313</v>
      </c>
      <c r="F2019" t="s">
        <v>48</v>
      </c>
      <c r="G2019">
        <v>-400.24279999999999</v>
      </c>
      <c r="H2019" s="1">
        <v>8.9179559999999996E-6</v>
      </c>
      <c r="I2019">
        <v>281.59949999999998</v>
      </c>
      <c r="J2019">
        <v>-379.52940000000001</v>
      </c>
      <c r="K2019">
        <v>1.1044989999999999</v>
      </c>
      <c r="L2019">
        <v>284.3184</v>
      </c>
      <c r="M2019">
        <v>-0.99928269999999997</v>
      </c>
      <c r="N2019">
        <v>0</v>
      </c>
      <c r="O2019">
        <v>-3.5145200000000001E-2</v>
      </c>
      <c r="P2019">
        <v>-0.99439730000000004</v>
      </c>
      <c r="Q2019">
        <v>5.681692E-2</v>
      </c>
      <c r="R2019">
        <v>-8.9140250000000004E-2</v>
      </c>
      <c r="S2019">
        <v>-2.9909669999999999</v>
      </c>
      <c r="T2019">
        <v>-0.15666569999999999</v>
      </c>
      <c r="U2019">
        <v>-0.38751219999999997</v>
      </c>
      <c r="V2019">
        <v>-5.4121290000000002E-2</v>
      </c>
      <c r="W2019">
        <v>7.0876549999999996E-2</v>
      </c>
      <c r="X2019">
        <v>0.99601580000000001</v>
      </c>
      <c r="Y2019">
        <v>-9.3471650000000003E-2</v>
      </c>
      <c r="Z2019">
        <v>-6.0531449999999998E-4</v>
      </c>
      <c r="AA2019">
        <v>0.99562169999999905</v>
      </c>
      <c r="AB2019">
        <v>38</v>
      </c>
      <c r="AC2019">
        <v>-20.713399999999901</v>
      </c>
      <c r="AD2019">
        <v>-1.10449008204399</v>
      </c>
      <c r="AE2019">
        <v>-2.7189000000000099</v>
      </c>
      <c r="AF2019">
        <v>-1.98362649039623</v>
      </c>
      <c r="AG2019">
        <v>-1.10449008204399</v>
      </c>
      <c r="AH2019">
        <v>20.738200919083098</v>
      </c>
      <c r="AI2019">
        <v>93.034794603207501</v>
      </c>
      <c r="AJ2019">
        <v>95.463767495789099</v>
      </c>
      <c r="AK2019">
        <v>20.862110385936401</v>
      </c>
    </row>
    <row r="2020" spans="1:37" x14ac:dyDescent="0.2">
      <c r="A2020" t="str">
        <f>"20200111153647846"</f>
        <v>20200111153647846</v>
      </c>
      <c r="B2020" t="str">
        <f>"1578728207844869"</f>
        <v>1578728207844869</v>
      </c>
      <c r="C2020" t="s">
        <v>37</v>
      </c>
      <c r="D2020">
        <v>5.7461529999999996</v>
      </c>
      <c r="E2020">
        <v>0.48398180000000002</v>
      </c>
      <c r="F2020" t="s">
        <v>48</v>
      </c>
      <c r="G2020">
        <v>-400.87650000000002</v>
      </c>
      <c r="H2020" s="1">
        <v>8.6493700000000002E-6</v>
      </c>
      <c r="I2020">
        <v>281.53930000000003</v>
      </c>
      <c r="J2020">
        <v>-379.90820000000002</v>
      </c>
      <c r="K2020">
        <v>1.104465</v>
      </c>
      <c r="L2020">
        <v>284.30520000000001</v>
      </c>
      <c r="M2020">
        <v>-0.9992875</v>
      </c>
      <c r="N2020">
        <v>0</v>
      </c>
      <c r="O2020">
        <v>-3.5015449999999997E-2</v>
      </c>
      <c r="P2020">
        <v>-0.9944096</v>
      </c>
      <c r="Q2020">
        <v>5.6973660000000002E-2</v>
      </c>
      <c r="R2020">
        <v>-8.8904780000000003E-2</v>
      </c>
      <c r="S2020">
        <v>-2.990875</v>
      </c>
      <c r="T2020">
        <v>-0.15474689999999999</v>
      </c>
      <c r="U2020">
        <v>-0.38937379999999999</v>
      </c>
      <c r="V2020">
        <v>-5.4009559999999998E-2</v>
      </c>
      <c r="W2020">
        <v>7.1031609999999995E-2</v>
      </c>
      <c r="X2020">
        <v>0.99601079999999997</v>
      </c>
      <c r="Y2020">
        <v>-9.4214950000000006E-2</v>
      </c>
      <c r="Z2020">
        <v>-6.2371690000000005E-4</v>
      </c>
      <c r="AA2020">
        <v>0.99555169999999904</v>
      </c>
      <c r="AB2020">
        <v>38</v>
      </c>
      <c r="AC2020">
        <v>-20.968299999999999</v>
      </c>
      <c r="AD2020">
        <v>-1.10445635063</v>
      </c>
      <c r="AE2020">
        <v>-2.7658999999999798</v>
      </c>
      <c r="AF2020">
        <v>-2.02439577540438</v>
      </c>
      <c r="AG2020">
        <v>-1.10445635063</v>
      </c>
      <c r="AH2020">
        <v>20.9950452454922</v>
      </c>
      <c r="AI2020">
        <v>92.997425264591598</v>
      </c>
      <c r="AJ2020">
        <v>95.5075786592745</v>
      </c>
      <c r="AK2020">
        <v>21.121314517477</v>
      </c>
    </row>
    <row r="2021" spans="1:37" x14ac:dyDescent="0.2">
      <c r="A2021" t="str">
        <f>"20200111153647869"</f>
        <v>20200111153647869</v>
      </c>
      <c r="B2021" t="str">
        <f>"1578728207864389"</f>
        <v>1578728207864389</v>
      </c>
      <c r="C2021" t="s">
        <v>37</v>
      </c>
      <c r="D2021">
        <v>5.9672669999999997</v>
      </c>
      <c r="E2021">
        <v>0.48400290000000001</v>
      </c>
      <c r="F2021" t="s">
        <v>48</v>
      </c>
      <c r="G2021">
        <v>-401.34930000000003</v>
      </c>
      <c r="H2021" s="1">
        <v>8.4449059999999907E-6</v>
      </c>
      <c r="I2021">
        <v>281.51409999999998</v>
      </c>
      <c r="J2021">
        <v>-380.29059999999998</v>
      </c>
      <c r="K2021">
        <v>1.104441</v>
      </c>
      <c r="L2021">
        <v>284.29199999999997</v>
      </c>
      <c r="M2021">
        <v>-0.99929290000000004</v>
      </c>
      <c r="N2021">
        <v>0</v>
      </c>
      <c r="O2021">
        <v>-3.4865029999999998E-2</v>
      </c>
      <c r="P2021">
        <v>-0.99446749999999995</v>
      </c>
      <c r="Q2021">
        <v>5.6996539999999998E-2</v>
      </c>
      <c r="R2021">
        <v>-8.8236529999999994E-2</v>
      </c>
      <c r="S2021">
        <v>-2.9909059999999998</v>
      </c>
      <c r="T2021">
        <v>-0.1540648</v>
      </c>
      <c r="U2021">
        <v>-0.3893433</v>
      </c>
      <c r="V2021">
        <v>-5.3486110000000003E-2</v>
      </c>
      <c r="W2021">
        <v>7.104779E-2</v>
      </c>
      <c r="X2021">
        <v>0.99603790000000003</v>
      </c>
      <c r="Y2021">
        <v>-9.435383E-2</v>
      </c>
      <c r="Z2021">
        <v>-6.3222440000000005E-4</v>
      </c>
      <c r="AA2021">
        <v>0.99553849999999999</v>
      </c>
      <c r="AB2021">
        <v>38</v>
      </c>
      <c r="AC2021">
        <v>-21.058700000000002</v>
      </c>
      <c r="AD2021">
        <v>-1.104432555094</v>
      </c>
      <c r="AE2021">
        <v>-2.7779000000000398</v>
      </c>
      <c r="AF2021">
        <v>-2.03642041046795</v>
      </c>
      <c r="AG2021">
        <v>-1.104432555094</v>
      </c>
      <c r="AH2021">
        <v>21.085750658124699</v>
      </c>
      <c r="AI2021">
        <v>92.984446009641402</v>
      </c>
      <c r="AJ2021">
        <v>95.516405287594097</v>
      </c>
      <c r="AK2021">
        <v>21.212629732626901</v>
      </c>
    </row>
    <row r="2022" spans="1:37" x14ac:dyDescent="0.2">
      <c r="A2022" t="str">
        <f>"20200111153647892"</f>
        <v>20200111153647892</v>
      </c>
      <c r="B2022" t="str">
        <f>"1578728207884885"</f>
        <v>1578728207884885</v>
      </c>
      <c r="C2022" t="s">
        <v>37</v>
      </c>
      <c r="D2022">
        <v>5.6709370000000003</v>
      </c>
      <c r="E2022">
        <v>0.48393819999999999</v>
      </c>
      <c r="F2022" t="s">
        <v>48</v>
      </c>
      <c r="G2022">
        <v>-401.74149999999997</v>
      </c>
      <c r="H2022" s="1">
        <v>8.2708500000000006E-6</v>
      </c>
      <c r="I2022">
        <v>281.51490000000001</v>
      </c>
      <c r="J2022">
        <v>-380.68779999999998</v>
      </c>
      <c r="K2022">
        <v>1.104422</v>
      </c>
      <c r="L2022">
        <v>284.2783</v>
      </c>
      <c r="M2022">
        <v>-0.99929889999999999</v>
      </c>
      <c r="N2022">
        <v>0</v>
      </c>
      <c r="O2022">
        <v>-3.4694299999999997E-2</v>
      </c>
      <c r="P2022">
        <v>-0.99459519999999901</v>
      </c>
      <c r="Q2022">
        <v>5.6503680000000001E-2</v>
      </c>
      <c r="R2022">
        <v>-8.7109329999999999E-2</v>
      </c>
      <c r="S2022">
        <v>-2.9911189999999999</v>
      </c>
      <c r="T2022">
        <v>-0.15400269999999999</v>
      </c>
      <c r="U2022">
        <v>-0.38723750000000001</v>
      </c>
      <c r="V2022">
        <v>-5.2522390000000002E-2</v>
      </c>
      <c r="W2022">
        <v>7.0545990000000003E-2</v>
      </c>
      <c r="X2022">
        <v>0.99612479999999903</v>
      </c>
      <c r="Y2022">
        <v>-9.3826110000000004E-2</v>
      </c>
      <c r="Z2022">
        <v>-6.2716319999999999E-4</v>
      </c>
      <c r="AA2022">
        <v>0.99558840000000004</v>
      </c>
      <c r="AB2022">
        <v>38</v>
      </c>
      <c r="AC2022">
        <v>-21.0536999999999</v>
      </c>
      <c r="AD2022">
        <v>-1.10441372915</v>
      </c>
      <c r="AE2022">
        <v>-2.7633999999999901</v>
      </c>
      <c r="AF2022">
        <v>-2.02574041565753</v>
      </c>
      <c r="AG2022">
        <v>-1.10441372915</v>
      </c>
      <c r="AH2022">
        <v>21.079882415611699</v>
      </c>
      <c r="AI2022">
        <v>92.985360987554998</v>
      </c>
      <c r="AJ2022">
        <v>95.489169926888195</v>
      </c>
      <c r="AK2022">
        <v>21.2057727181251</v>
      </c>
    </row>
    <row r="2023" spans="1:37" x14ac:dyDescent="0.2">
      <c r="A2023" t="str">
        <f>"20200111153647913"</f>
        <v>20200111153647913</v>
      </c>
      <c r="B2023" t="str">
        <f>"1578728207904916"</f>
        <v>1578728207904916</v>
      </c>
      <c r="C2023" t="s">
        <v>37</v>
      </c>
      <c r="D2023">
        <v>5.7056180000000003</v>
      </c>
      <c r="E2023">
        <v>0.48384529999999998</v>
      </c>
      <c r="F2023" t="s">
        <v>48</v>
      </c>
      <c r="G2023">
        <v>-401.91340000000002</v>
      </c>
      <c r="H2023" s="1">
        <v>8.1872589999999999E-6</v>
      </c>
      <c r="I2023">
        <v>281.55040000000002</v>
      </c>
      <c r="J2023">
        <v>-381.05009999999999</v>
      </c>
      <c r="K2023">
        <v>1.1044080000000001</v>
      </c>
      <c r="L2023">
        <v>284.26580000000001</v>
      </c>
      <c r="M2023">
        <v>-0.99930479999999999</v>
      </c>
      <c r="N2023">
        <v>0</v>
      </c>
      <c r="O2023">
        <v>-3.4530480000000002E-2</v>
      </c>
      <c r="P2023">
        <v>-0.9946528</v>
      </c>
      <c r="Q2023">
        <v>5.6300599999999999E-2</v>
      </c>
      <c r="R2023">
        <v>-8.6581549999999993E-2</v>
      </c>
      <c r="S2023">
        <v>-2.99145499999999</v>
      </c>
      <c r="T2023">
        <v>-0.15565190000000001</v>
      </c>
      <c r="U2023">
        <v>-0.38446039999999998</v>
      </c>
      <c r="V2023">
        <v>-5.2154569999999997E-2</v>
      </c>
      <c r="W2023">
        <v>7.033478E-2</v>
      </c>
      <c r="X2023">
        <v>0.99615909999999996</v>
      </c>
      <c r="Y2023">
        <v>-9.3065099999999998E-2</v>
      </c>
      <c r="Z2023">
        <v>-6.2259730000000001E-4</v>
      </c>
      <c r="AA2023">
        <v>0.99565979999999998</v>
      </c>
      <c r="AB2023">
        <v>38</v>
      </c>
      <c r="AC2023">
        <v>-20.863299999999999</v>
      </c>
      <c r="AD2023">
        <v>-1.104399812741</v>
      </c>
      <c r="AE2023">
        <v>-2.7153999999999798</v>
      </c>
      <c r="AF2023">
        <v>-1.9878120961253001</v>
      </c>
      <c r="AG2023">
        <v>-1.104399812741</v>
      </c>
      <c r="AH2023">
        <v>20.887075782582901</v>
      </c>
      <c r="AI2023">
        <v>93.013094850993497</v>
      </c>
      <c r="AJ2023">
        <v>95.436435858473502</v>
      </c>
      <c r="AK2023">
        <v>21.010498105072301</v>
      </c>
    </row>
    <row r="2024" spans="1:37" x14ac:dyDescent="0.2">
      <c r="A2024" t="str">
        <f>"20200111153647936"</f>
        <v>20200111153647936</v>
      </c>
      <c r="B2024" t="str">
        <f>"1578728207924434"</f>
        <v>1578728207924434</v>
      </c>
      <c r="C2024" t="s">
        <v>37</v>
      </c>
      <c r="D2024">
        <v>6.1398669999999997</v>
      </c>
      <c r="E2024">
        <v>0.48403669999999999</v>
      </c>
      <c r="F2024" t="s">
        <v>48</v>
      </c>
      <c r="G2024">
        <v>-402.30040000000002</v>
      </c>
      <c r="H2024" s="1">
        <v>8.0173119999999998E-6</v>
      </c>
      <c r="I2024">
        <v>281.54219999999998</v>
      </c>
      <c r="J2024">
        <v>-381.42610000000002</v>
      </c>
      <c r="K2024">
        <v>1.104398</v>
      </c>
      <c r="L2024">
        <v>284.25299999999999</v>
      </c>
      <c r="M2024">
        <v>-0.99931099999999995</v>
      </c>
      <c r="N2024">
        <v>0</v>
      </c>
      <c r="O2024">
        <v>-3.435705E-2</v>
      </c>
      <c r="P2024">
        <v>-0.99470190000000003</v>
      </c>
      <c r="Q2024">
        <v>5.6906279999999997E-2</v>
      </c>
      <c r="R2024">
        <v>-8.561502E-2</v>
      </c>
      <c r="S2024">
        <v>-2.9915769999999999</v>
      </c>
      <c r="T2024">
        <v>-0.15547539999999899</v>
      </c>
      <c r="U2024">
        <v>-0.38342290000000001</v>
      </c>
      <c r="V2024">
        <v>-5.1357699999999999E-2</v>
      </c>
      <c r="W2024">
        <v>7.0930779999999999E-2</v>
      </c>
      <c r="X2024">
        <v>0.99615819999999999</v>
      </c>
      <c r="Y2024">
        <v>-9.289319E-2</v>
      </c>
      <c r="Z2024">
        <v>-6.2639019999999996E-4</v>
      </c>
      <c r="AA2024">
        <v>0.99567589999999995</v>
      </c>
      <c r="AB2024">
        <v>38</v>
      </c>
      <c r="AC2024">
        <v>-20.874300000000002</v>
      </c>
      <c r="AD2024">
        <v>-1.1043899826879999</v>
      </c>
      <c r="AE2024">
        <v>-2.7107999999999999</v>
      </c>
      <c r="AF2024">
        <v>-1.9864810489415199</v>
      </c>
      <c r="AG2024">
        <v>-1.1043899826879999</v>
      </c>
      <c r="AH2024">
        <v>20.897593427484502</v>
      </c>
      <c r="AI2024">
        <v>93.011586032584802</v>
      </c>
      <c r="AJ2024">
        <v>95.430099426405107</v>
      </c>
      <c r="AK2024">
        <v>21.0208276538321</v>
      </c>
    </row>
    <row r="2025" spans="1:37" x14ac:dyDescent="0.2">
      <c r="A2025" t="str">
        <f>"20200111153647958"</f>
        <v>20200111153647958</v>
      </c>
      <c r="B2025" t="str">
        <f>"1578728207954693"</f>
        <v>1578728207954693</v>
      </c>
      <c r="C2025" t="s">
        <v>37</v>
      </c>
      <c r="D2025">
        <v>5.7450950000000001</v>
      </c>
      <c r="E2025">
        <v>0.50978029999999996</v>
      </c>
      <c r="F2025" t="s">
        <v>48</v>
      </c>
      <c r="G2025">
        <v>-402.96089999999998</v>
      </c>
      <c r="H2025" s="1">
        <v>7.7276179999999996E-6</v>
      </c>
      <c r="I2025">
        <v>281.52670000000001</v>
      </c>
      <c r="J2025">
        <v>-381.80810000000002</v>
      </c>
      <c r="K2025">
        <v>1.1043959999999999</v>
      </c>
      <c r="L2025">
        <v>284.24</v>
      </c>
      <c r="M2025">
        <v>-0.99931719999999902</v>
      </c>
      <c r="N2025">
        <v>0</v>
      </c>
      <c r="O2025">
        <v>-3.4179969999999997E-2</v>
      </c>
      <c r="P2025">
        <v>-0.99474949999999995</v>
      </c>
      <c r="Q2025">
        <v>5.7198699999999998E-2</v>
      </c>
      <c r="R2025">
        <v>-8.4863949999999994E-2</v>
      </c>
      <c r="S2025">
        <v>-2.9922179999999998</v>
      </c>
      <c r="T2025">
        <v>-0.1534529</v>
      </c>
      <c r="U2025">
        <v>-0.3788147</v>
      </c>
      <c r="V2025">
        <v>-5.0781430000000002E-2</v>
      </c>
      <c r="W2025">
        <v>7.1214260000000001E-2</v>
      </c>
      <c r="X2025">
        <v>0.99616749999999898</v>
      </c>
      <c r="Y2025">
        <v>-9.1537289999999993E-2</v>
      </c>
      <c r="Z2025">
        <v>-5.9258900000000003E-4</v>
      </c>
      <c r="AA2025">
        <v>0.99580139999999995</v>
      </c>
      <c r="AB2025">
        <v>38</v>
      </c>
      <c r="AC2025">
        <v>-21.1527999999999</v>
      </c>
      <c r="AD2025">
        <v>-1.104388272382</v>
      </c>
      <c r="AE2025">
        <v>-2.7132999999999998</v>
      </c>
      <c r="AF2025">
        <v>-1.98332224522242</v>
      </c>
      <c r="AG2025">
        <v>-1.104388272382</v>
      </c>
      <c r="AH2025">
        <v>21.1763974354247</v>
      </c>
      <c r="AI2025">
        <v>92.972391739260104</v>
      </c>
      <c r="AJ2025">
        <v>95.350554690416601</v>
      </c>
      <c r="AK2025">
        <v>21.297724031633798</v>
      </c>
    </row>
    <row r="2026" spans="1:37" x14ac:dyDescent="0.2">
      <c r="A2026" t="str">
        <f>"20200111153647982"</f>
        <v>20200111153647982</v>
      </c>
      <c r="B2026" t="str">
        <f>"1578728207975187"</f>
        <v>1578728207975187</v>
      </c>
      <c r="C2026" t="s">
        <v>37</v>
      </c>
      <c r="D2026">
        <v>5.7647279999999999</v>
      </c>
      <c r="E2026">
        <v>0.50891509999999995</v>
      </c>
      <c r="F2026" t="s">
        <v>48</v>
      </c>
      <c r="G2026">
        <v>-405.69400000000002</v>
      </c>
      <c r="H2026" s="1">
        <v>6.2379610000000002E-6</v>
      </c>
      <c r="I2026">
        <v>282.87040000000002</v>
      </c>
      <c r="J2026">
        <v>-382.19729999999998</v>
      </c>
      <c r="K2026">
        <v>1.104393</v>
      </c>
      <c r="L2026">
        <v>284.2269</v>
      </c>
      <c r="M2026">
        <v>-0.99932330000000003</v>
      </c>
      <c r="N2026">
        <v>0</v>
      </c>
      <c r="O2026">
        <v>-3.4000519999999999E-2</v>
      </c>
      <c r="P2026">
        <v>-0.99476710000000002</v>
      </c>
      <c r="Q2026">
        <v>5.703867E-2</v>
      </c>
      <c r="R2026">
        <v>-8.4764809999999996E-2</v>
      </c>
      <c r="S2026">
        <v>-3.0090939999999899</v>
      </c>
      <c r="T2026">
        <v>-0.13912829999999901</v>
      </c>
      <c r="U2026">
        <v>-0.17254639999999999</v>
      </c>
      <c r="V2026">
        <v>-5.0859479999999999E-2</v>
      </c>
      <c r="W2026">
        <v>7.1045410000000003E-2</v>
      </c>
      <c r="X2026">
        <v>0.99617559999999905</v>
      </c>
      <c r="Y2026">
        <v>-2.327779E-2</v>
      </c>
      <c r="Z2026">
        <v>1.032058E-3</v>
      </c>
      <c r="AA2026">
        <v>0.99972850000000002</v>
      </c>
      <c r="AB2026">
        <v>38</v>
      </c>
      <c r="AC2026">
        <v>-23.496700000000001</v>
      </c>
      <c r="AD2026">
        <v>-1.104386762039</v>
      </c>
      <c r="AE2026">
        <v>-1.3564999999999801</v>
      </c>
      <c r="AF2026">
        <v>-0.555513707320752</v>
      </c>
      <c r="AG2026">
        <v>-1.104386762039</v>
      </c>
      <c r="AH2026">
        <v>23.477544597942501</v>
      </c>
      <c r="AI2026">
        <v>92.692463130031101</v>
      </c>
      <c r="AJ2026">
        <v>91.355450645021193</v>
      </c>
      <c r="AK2026">
        <v>23.510069458586599</v>
      </c>
    </row>
    <row r="2027" spans="1:37" x14ac:dyDescent="0.2">
      <c r="A2027" t="str">
        <f>"20200111153648003"</f>
        <v>20200111153648003</v>
      </c>
      <c r="B2027" t="str">
        <f>"1578728207994705"</f>
        <v>1578728207994705</v>
      </c>
      <c r="C2027" t="s">
        <v>37</v>
      </c>
      <c r="D2027">
        <v>5.7706999999999997</v>
      </c>
      <c r="E2027">
        <v>0.5084187</v>
      </c>
      <c r="F2027" t="s">
        <v>48</v>
      </c>
      <c r="G2027">
        <v>-406.32960000000003</v>
      </c>
      <c r="H2027" s="1">
        <v>5.9724480000000003E-6</v>
      </c>
      <c r="I2027">
        <v>282.79140000000001</v>
      </c>
      <c r="J2027">
        <v>-382.57679999999999</v>
      </c>
      <c r="K2027">
        <v>1.104387</v>
      </c>
      <c r="L2027">
        <v>284.21409999999997</v>
      </c>
      <c r="M2027">
        <v>-0.99932940000000003</v>
      </c>
      <c r="N2027">
        <v>0</v>
      </c>
      <c r="O2027">
        <v>-3.382719E-2</v>
      </c>
      <c r="P2027">
        <v>-0.99475569999999902</v>
      </c>
      <c r="Q2027">
        <v>5.6639210000000002E-2</v>
      </c>
      <c r="R2027">
        <v>-8.5169229999999999E-2</v>
      </c>
      <c r="S2027">
        <v>-3.00839199999999</v>
      </c>
      <c r="T2027">
        <v>-0.13767579999999999</v>
      </c>
      <c r="U2027">
        <v>-0.17895510000000001</v>
      </c>
      <c r="V2027">
        <v>-5.1436669999999997E-2</v>
      </c>
      <c r="W2027">
        <v>7.063875E-2</v>
      </c>
      <c r="X2027">
        <v>0.99617489999999997</v>
      </c>
      <c r="Y2027">
        <v>-2.558409E-2</v>
      </c>
      <c r="Z2027">
        <v>9.608409E-4</v>
      </c>
      <c r="AA2027">
        <v>0.99967220000000001</v>
      </c>
      <c r="AB2027">
        <v>38</v>
      </c>
      <c r="AC2027">
        <v>-23.752800000000001</v>
      </c>
      <c r="AD2027">
        <v>-1.1043810275520001</v>
      </c>
      <c r="AE2027">
        <v>-1.4226999999999601</v>
      </c>
      <c r="AF2027">
        <v>-0.61698718977715405</v>
      </c>
      <c r="AG2027">
        <v>-1.1043810275520001</v>
      </c>
      <c r="AH2027">
        <v>23.7362055521297</v>
      </c>
      <c r="AI2027">
        <v>92.662997301513698</v>
      </c>
      <c r="AJ2027">
        <v>91.488982870926804</v>
      </c>
      <c r="AK2027">
        <v>23.769892398984801</v>
      </c>
    </row>
    <row r="2028" spans="1:37" x14ac:dyDescent="0.2">
      <c r="A2028" t="str">
        <f>"20200111153648025"</f>
        <v>20200111153648025</v>
      </c>
      <c r="B2028" t="str">
        <f>"1578728208014732"</f>
        <v>1578728208014732</v>
      </c>
      <c r="C2028" t="s">
        <v>37</v>
      </c>
      <c r="D2028">
        <v>5.7090680000000003</v>
      </c>
      <c r="E2028">
        <v>0.50787720000000003</v>
      </c>
      <c r="F2028" t="s">
        <v>48</v>
      </c>
      <c r="G2028">
        <v>-406.7593</v>
      </c>
      <c r="H2028" s="1">
        <v>5.7936510000000002E-6</v>
      </c>
      <c r="I2028">
        <v>282.73439999999999</v>
      </c>
      <c r="J2028">
        <v>-382.94159999999999</v>
      </c>
      <c r="K2028">
        <v>1.104384</v>
      </c>
      <c r="L2028">
        <v>284.202</v>
      </c>
      <c r="M2028">
        <v>-0.99933510000000003</v>
      </c>
      <c r="N2028">
        <v>0</v>
      </c>
      <c r="O2028">
        <v>-3.3661400000000001E-2</v>
      </c>
      <c r="P2028">
        <v>-0.99472579999999999</v>
      </c>
      <c r="Q2028">
        <v>5.6496030000000003E-2</v>
      </c>
      <c r="R2028">
        <v>-8.5608610000000002E-2</v>
      </c>
      <c r="S2028">
        <v>-3.0078740000000002</v>
      </c>
      <c r="T2028">
        <v>-0.1373656</v>
      </c>
      <c r="U2028">
        <v>-0.18405150000000001</v>
      </c>
      <c r="V2028">
        <v>-5.2041440000000001E-2</v>
      </c>
      <c r="W2028">
        <v>7.0487949999999994E-2</v>
      </c>
      <c r="X2028">
        <v>0.99615419999999999</v>
      </c>
      <c r="Y2028">
        <v>-2.7445649999999999E-2</v>
      </c>
      <c r="Z2028">
        <v>9.0878360000000002E-4</v>
      </c>
      <c r="AA2028">
        <v>0.99962289999999998</v>
      </c>
      <c r="AB2028">
        <v>38</v>
      </c>
      <c r="AC2028">
        <v>-23.817699999999999</v>
      </c>
      <c r="AD2028">
        <v>-1.104378206349</v>
      </c>
      <c r="AE2028">
        <v>-1.4676</v>
      </c>
      <c r="AF2028">
        <v>-0.66353113566758903</v>
      </c>
      <c r="AG2028">
        <v>-1.104378206349</v>
      </c>
      <c r="AH2028">
        <v>23.802624260079</v>
      </c>
      <c r="AI2028">
        <v>92.655435982765894</v>
      </c>
      <c r="AJ2028">
        <v>91.596785720125794</v>
      </c>
      <c r="AK2028">
        <v>23.837467282770699</v>
      </c>
    </row>
    <row r="2029" spans="1:37" x14ac:dyDescent="0.2">
      <c r="A2029" t="str">
        <f>"20200111153648047"</f>
        <v>20200111153648047</v>
      </c>
      <c r="B2029" t="str">
        <f>"1578728208035231"</f>
        <v>1578728208035231</v>
      </c>
      <c r="C2029" t="s">
        <v>37</v>
      </c>
      <c r="D2029">
        <v>5.6409019999999996</v>
      </c>
      <c r="E2029">
        <v>0.50747039999999999</v>
      </c>
      <c r="F2029" t="s">
        <v>48</v>
      </c>
      <c r="G2029">
        <v>-407.04500000000002</v>
      </c>
      <c r="H2029" s="1">
        <v>5.6781459999999999E-6</v>
      </c>
      <c r="I2029">
        <v>282.68040000000002</v>
      </c>
      <c r="J2029">
        <v>-383.32060000000001</v>
      </c>
      <c r="K2029">
        <v>1.1043810000000001</v>
      </c>
      <c r="L2029">
        <v>284.18939999999998</v>
      </c>
      <c r="M2029">
        <v>-0.99934109999999998</v>
      </c>
      <c r="N2029">
        <v>0</v>
      </c>
      <c r="O2029">
        <v>-3.3489190000000002E-2</v>
      </c>
      <c r="P2029">
        <v>-0.99469349999999901</v>
      </c>
      <c r="Q2029">
        <v>5.6359979999999997E-2</v>
      </c>
      <c r="R2029">
        <v>-8.6075239999999997E-2</v>
      </c>
      <c r="S2029">
        <v>-3.00738499999999</v>
      </c>
      <c r="T2029">
        <v>-0.13779369999999999</v>
      </c>
      <c r="U2029">
        <v>-0.18984989999999999</v>
      </c>
      <c r="V2029">
        <v>-5.2680360000000002E-2</v>
      </c>
      <c r="W2029">
        <v>7.0345270000000001E-2</v>
      </c>
      <c r="X2029">
        <v>0.99613069999999904</v>
      </c>
      <c r="Y2029">
        <v>-2.9545299999999899E-2</v>
      </c>
      <c r="Z2029">
        <v>8.5579289999999995E-4</v>
      </c>
      <c r="AA2029">
        <v>0.99956309999999904</v>
      </c>
      <c r="AB2029">
        <v>38</v>
      </c>
      <c r="AC2029">
        <v>-23.724399999999999</v>
      </c>
      <c r="AD2029">
        <v>-1.104375321854</v>
      </c>
      <c r="AE2029">
        <v>-1.5089999999999499</v>
      </c>
      <c r="AF2029">
        <v>-0.71202796548934699</v>
      </c>
      <c r="AG2029">
        <v>-1.104375321854</v>
      </c>
      <c r="AH2029">
        <v>23.7104583853421</v>
      </c>
      <c r="AI2029">
        <v>92.665570376396403</v>
      </c>
      <c r="AJ2029">
        <v>91.720082329799297</v>
      </c>
      <c r="AK2029">
        <v>23.7468411692629</v>
      </c>
    </row>
    <row r="2030" spans="1:37" x14ac:dyDescent="0.2">
      <c r="A2030" t="str">
        <f>"20200111153648070"</f>
        <v>20200111153648070</v>
      </c>
      <c r="B2030" t="str">
        <f>"1578728208064508"</f>
        <v>1578728208064508</v>
      </c>
      <c r="C2030" t="s">
        <v>37</v>
      </c>
      <c r="D2030">
        <v>5.7726809999999897</v>
      </c>
      <c r="E2030">
        <v>0.50694099999999997</v>
      </c>
      <c r="F2030" t="s">
        <v>48</v>
      </c>
      <c r="G2030">
        <v>-407.12790000000001</v>
      </c>
      <c r="H2030" s="1">
        <v>5.6476169999999998E-6</v>
      </c>
      <c r="I2030">
        <v>282.65010000000001</v>
      </c>
      <c r="J2030">
        <v>-383.70510000000002</v>
      </c>
      <c r="K2030">
        <v>1.104379</v>
      </c>
      <c r="L2030">
        <v>284.17660000000001</v>
      </c>
      <c r="M2030">
        <v>-0.99934690000000004</v>
      </c>
      <c r="N2030">
        <v>0</v>
      </c>
      <c r="O2030">
        <v>-3.3314599999999903E-2</v>
      </c>
      <c r="P2030">
        <v>-0.99469509999999906</v>
      </c>
      <c r="Q2030">
        <v>5.5932219999999998E-2</v>
      </c>
      <c r="R2030">
        <v>-8.6333729999999997E-2</v>
      </c>
      <c r="S2030">
        <v>-3.00705</v>
      </c>
      <c r="T2030">
        <v>-0.13949129999999901</v>
      </c>
      <c r="U2030">
        <v>-0.1944275</v>
      </c>
      <c r="V2030">
        <v>-5.3113279999999999E-2</v>
      </c>
      <c r="W2030">
        <v>6.9910979999999998E-2</v>
      </c>
      <c r="X2030">
        <v>0.99613830000000003</v>
      </c>
      <c r="Y2030">
        <v>-3.1240449999999999E-2</v>
      </c>
      <c r="Z2030">
        <v>8.1903539999999902E-4</v>
      </c>
      <c r="AA2030">
        <v>0.9995115</v>
      </c>
      <c r="AB2030">
        <v>38</v>
      </c>
      <c r="AC2030">
        <v>-23.422799999999899</v>
      </c>
      <c r="AD2030">
        <v>-1.1043733523829999</v>
      </c>
      <c r="AE2030">
        <v>-1.52649999999999</v>
      </c>
      <c r="AF2030">
        <v>-0.743608728506853</v>
      </c>
      <c r="AG2030">
        <v>-1.1043733523829999</v>
      </c>
      <c r="AH2030">
        <v>23.408836001865399</v>
      </c>
      <c r="AI2030">
        <v>92.699716427972504</v>
      </c>
      <c r="AJ2030">
        <v>91.819454818819693</v>
      </c>
      <c r="AK2030">
        <v>23.446667085212699</v>
      </c>
    </row>
    <row r="2031" spans="1:37" x14ac:dyDescent="0.2">
      <c r="A2031" t="str">
        <f>"20200111153648092"</f>
        <v>20200111153648092</v>
      </c>
      <c r="B2031" t="str">
        <f>"1578728208085007"</f>
        <v>1578728208085007</v>
      </c>
      <c r="C2031" t="s">
        <v>37</v>
      </c>
      <c r="D2031">
        <v>6.0046349999999897</v>
      </c>
      <c r="E2031">
        <v>0.50668590000000002</v>
      </c>
      <c r="F2031" t="s">
        <v>48</v>
      </c>
      <c r="G2031">
        <v>-407.4171</v>
      </c>
      <c r="H2031" s="1">
        <v>5.5288829999999999E-6</v>
      </c>
      <c r="I2031">
        <v>282.60399999999998</v>
      </c>
      <c r="J2031">
        <v>-384.08800000000002</v>
      </c>
      <c r="K2031">
        <v>1.1043780000000001</v>
      </c>
      <c r="L2031">
        <v>284.16410000000002</v>
      </c>
      <c r="M2031">
        <v>-0.99935280000000004</v>
      </c>
      <c r="N2031">
        <v>0</v>
      </c>
      <c r="O2031">
        <v>-3.3140509999999998E-2</v>
      </c>
      <c r="P2031">
        <v>-0.99465609999999904</v>
      </c>
      <c r="Q2031">
        <v>5.6130159999999998E-2</v>
      </c>
      <c r="R2031">
        <v>-8.6653209999999994E-2</v>
      </c>
      <c r="S2031">
        <v>-3.006561</v>
      </c>
      <c r="T2031">
        <v>-0.14002909999999999</v>
      </c>
      <c r="U2031">
        <v>-0.19940189999999999</v>
      </c>
      <c r="V2031">
        <v>-5.3607019999999998E-2</v>
      </c>
      <c r="W2031">
        <v>7.0103150000000003E-2</v>
      </c>
      <c r="X2031">
        <v>0.99609829999999999</v>
      </c>
      <c r="Y2031">
        <v>-3.3069460000000002E-2</v>
      </c>
      <c r="Z2031">
        <v>7.7165699999999905E-4</v>
      </c>
      <c r="AA2031">
        <v>0.99945280000000003</v>
      </c>
      <c r="AB2031">
        <v>38</v>
      </c>
      <c r="AC2031">
        <v>-23.329099999999901</v>
      </c>
      <c r="AD2031">
        <v>-1.104372471117</v>
      </c>
      <c r="AE2031">
        <v>-1.5600999999999701</v>
      </c>
      <c r="AF2031">
        <v>-0.78427922547173001</v>
      </c>
      <c r="AG2031">
        <v>-1.104372471117</v>
      </c>
      <c r="AH2031">
        <v>23.3159727781272</v>
      </c>
      <c r="AI2031">
        <v>92.710285344197402</v>
      </c>
      <c r="AJ2031">
        <v>91.926531394242005</v>
      </c>
      <c r="AK2031">
        <v>23.3552846064619</v>
      </c>
    </row>
    <row r="2032" spans="1:37" x14ac:dyDescent="0.2">
      <c r="A2032" t="str">
        <f>"20200111153648115"</f>
        <v>20200111153648115</v>
      </c>
      <c r="B2032" t="str">
        <f>"1578728208105032"</f>
        <v>1578728208105032</v>
      </c>
      <c r="C2032" t="s">
        <v>37</v>
      </c>
      <c r="D2032">
        <v>6.0099109999999998</v>
      </c>
      <c r="E2032">
        <v>0.50649259999999996</v>
      </c>
      <c r="F2032" t="s">
        <v>48</v>
      </c>
      <c r="G2032">
        <v>-407.6225</v>
      </c>
      <c r="H2032" s="1">
        <v>5.4419679999999997E-6</v>
      </c>
      <c r="I2032">
        <v>282.5838</v>
      </c>
      <c r="J2032">
        <v>-384.46140000000003</v>
      </c>
      <c r="K2032">
        <v>1.104382</v>
      </c>
      <c r="L2032">
        <v>284.15179999999998</v>
      </c>
      <c r="M2032">
        <v>-0.99935839999999998</v>
      </c>
      <c r="N2032">
        <v>0</v>
      </c>
      <c r="O2032">
        <v>-3.2970369999999999E-2</v>
      </c>
      <c r="P2032">
        <v>-0.99462199999999901</v>
      </c>
      <c r="Q2032">
        <v>5.6383009999999997E-2</v>
      </c>
      <c r="R2032">
        <v>-8.6879949999999997E-2</v>
      </c>
      <c r="S2032">
        <v>-3.0065</v>
      </c>
      <c r="T2032">
        <v>-0.1410817</v>
      </c>
      <c r="U2032">
        <v>-0.20187379999999999</v>
      </c>
      <c r="V2032">
        <v>-5.4004089999999998E-2</v>
      </c>
      <c r="W2032">
        <v>7.0350019999999999E-2</v>
      </c>
      <c r="X2032">
        <v>0.99605949999999999</v>
      </c>
      <c r="Y2032">
        <v>-3.4057780000000003E-2</v>
      </c>
      <c r="Z2032">
        <v>7.4632619999999905E-4</v>
      </c>
      <c r="AA2032">
        <v>0.99941959999999996</v>
      </c>
      <c r="AB2032">
        <v>38</v>
      </c>
      <c r="AC2032">
        <v>-23.161099999999902</v>
      </c>
      <c r="AD2032">
        <v>-1.104376558032</v>
      </c>
      <c r="AE2032">
        <v>-1.5679999999999801</v>
      </c>
      <c r="AF2032">
        <v>-0.80162829765266896</v>
      </c>
      <c r="AG2032">
        <v>-1.104376558032</v>
      </c>
      <c r="AH2032">
        <v>23.147819125240499</v>
      </c>
      <c r="AI2032">
        <v>92.729861830816105</v>
      </c>
      <c r="AJ2032">
        <v>91.983408025481097</v>
      </c>
      <c r="AK2032">
        <v>23.188009525709202</v>
      </c>
    </row>
    <row r="2033" spans="1:37" x14ac:dyDescent="0.2">
      <c r="A2033" t="str">
        <f>"20200111153648137"</f>
        <v>20200111153648137</v>
      </c>
      <c r="B2033" t="str">
        <f>"1578728208124552"</f>
        <v>1578728208124552</v>
      </c>
      <c r="C2033" t="s">
        <v>37</v>
      </c>
      <c r="D2033">
        <v>5.7579820000000002</v>
      </c>
      <c r="E2033">
        <v>0.50636510000000001</v>
      </c>
      <c r="F2033" t="s">
        <v>48</v>
      </c>
      <c r="G2033">
        <v>-408.21809999999999</v>
      </c>
      <c r="H2033" s="1">
        <v>5.1867629999999997E-6</v>
      </c>
      <c r="I2033">
        <v>282.54070000000002</v>
      </c>
      <c r="J2033">
        <v>-384.83569999999997</v>
      </c>
      <c r="K2033">
        <v>1.1043769999999999</v>
      </c>
      <c r="L2033">
        <v>284.13959999999997</v>
      </c>
      <c r="M2033">
        <v>-0.99936429999999998</v>
      </c>
      <c r="N2033">
        <v>0</v>
      </c>
      <c r="O2033">
        <v>-3.2800339999999997E-2</v>
      </c>
      <c r="P2033">
        <v>-0.99463889999999999</v>
      </c>
      <c r="Q2033">
        <v>5.6057419999999997E-2</v>
      </c>
      <c r="R2033">
        <v>-8.689972E-2</v>
      </c>
      <c r="S2033">
        <v>-3.00637799999999</v>
      </c>
      <c r="T2033">
        <v>-0.1397572</v>
      </c>
      <c r="U2033">
        <v>-0.20388789999999901</v>
      </c>
      <c r="V2033">
        <v>-5.419297E-2</v>
      </c>
      <c r="W2033">
        <v>7.0019440000000002E-2</v>
      </c>
      <c r="X2033">
        <v>0.99607250000000003</v>
      </c>
      <c r="Y2033">
        <v>-3.4895999999999899E-2</v>
      </c>
      <c r="Z2033">
        <v>7.120014E-4</v>
      </c>
      <c r="AA2033">
        <v>0.99939069999999997</v>
      </c>
      <c r="AB2033">
        <v>38</v>
      </c>
      <c r="AC2033">
        <v>-23.382400000000001</v>
      </c>
      <c r="AD2033">
        <v>-1.104371813237</v>
      </c>
      <c r="AE2033">
        <v>-1.59889999999995</v>
      </c>
      <c r="AF2033">
        <v>-0.82917291714223496</v>
      </c>
      <c r="AG2033">
        <v>-1.104371813237</v>
      </c>
      <c r="AH2033">
        <v>23.3703746057408</v>
      </c>
      <c r="AI2033">
        <v>92.703812354858997</v>
      </c>
      <c r="AJ2033">
        <v>92.031982370082403</v>
      </c>
      <c r="AK2033">
        <v>23.411142091770099</v>
      </c>
    </row>
    <row r="2034" spans="1:37" x14ac:dyDescent="0.2">
      <c r="A2034" t="str">
        <f>"20200111153648160"</f>
        <v>20200111153648160</v>
      </c>
      <c r="B2034" t="str">
        <f>"1578728208154808"</f>
        <v>1578728208154808</v>
      </c>
      <c r="C2034" t="s">
        <v>37</v>
      </c>
      <c r="D2034">
        <v>6.4055</v>
      </c>
      <c r="E2034">
        <v>0.50631119999999996</v>
      </c>
      <c r="F2034" t="s">
        <v>48</v>
      </c>
      <c r="G2034">
        <v>-408.47039999999998</v>
      </c>
      <c r="H2034" s="1">
        <v>5.0773039999999998E-6</v>
      </c>
      <c r="I2034">
        <v>282.529</v>
      </c>
      <c r="J2034">
        <v>-385.22280000000001</v>
      </c>
      <c r="K2034">
        <v>1.104373</v>
      </c>
      <c r="L2034">
        <v>284.12709999999998</v>
      </c>
      <c r="M2034">
        <v>-0.99936999999999998</v>
      </c>
      <c r="N2034">
        <v>0</v>
      </c>
      <c r="O2034">
        <v>-3.2623770000000003E-2</v>
      </c>
      <c r="P2034">
        <v>-0.99461089999999996</v>
      </c>
      <c r="Q2034">
        <v>5.5923580000000001E-2</v>
      </c>
      <c r="R2034">
        <v>-8.7303679999999995E-2</v>
      </c>
      <c r="S2034">
        <v>-3.0061339999999999</v>
      </c>
      <c r="T2034">
        <v>-0.1404666</v>
      </c>
      <c r="U2034">
        <v>-0.2048645</v>
      </c>
      <c r="V2034">
        <v>-5.4773910000000002E-2</v>
      </c>
      <c r="W2034">
        <v>6.9881020000000002E-2</v>
      </c>
      <c r="X2034">
        <v>0.9960504</v>
      </c>
      <c r="Y2034">
        <v>-3.5400460000000002E-2</v>
      </c>
      <c r="Z2034">
        <v>6.9566509999999997E-4</v>
      </c>
      <c r="AA2034">
        <v>0.99937299999999996</v>
      </c>
      <c r="AB2034">
        <v>38</v>
      </c>
      <c r="AC2034">
        <v>-23.247599999999899</v>
      </c>
      <c r="AD2034">
        <v>-1.1043679226959999</v>
      </c>
      <c r="AE2034">
        <v>-1.5980999999999801</v>
      </c>
      <c r="AF2034">
        <v>-0.83687107295278296</v>
      </c>
      <c r="AG2034">
        <v>-1.1043679226959999</v>
      </c>
      <c r="AH2034">
        <v>23.235176193470199</v>
      </c>
      <c r="AI2034">
        <v>92.719459764068603</v>
      </c>
      <c r="AJ2034">
        <v>92.062754424804595</v>
      </c>
      <c r="AK2034">
        <v>23.2764557964272</v>
      </c>
    </row>
    <row r="2035" spans="1:37" x14ac:dyDescent="0.2">
      <c r="A2035" t="str">
        <f>"20200111153648182"</f>
        <v>20200111153648182</v>
      </c>
      <c r="B2035" t="str">
        <f>"1578728208174331"</f>
        <v>1578728208174331</v>
      </c>
      <c r="C2035" t="s">
        <v>37</v>
      </c>
      <c r="D2035">
        <v>5.8519500000000004</v>
      </c>
      <c r="E2035">
        <v>0.50614989999999904</v>
      </c>
      <c r="F2035" t="s">
        <v>48</v>
      </c>
      <c r="G2035">
        <v>-408.71609999999998</v>
      </c>
      <c r="H2035" s="1">
        <v>4.9715429999999999E-6</v>
      </c>
      <c r="I2035">
        <v>282.51339999999999</v>
      </c>
      <c r="J2035">
        <v>-385.59469999999999</v>
      </c>
      <c r="K2035">
        <v>1.104373</v>
      </c>
      <c r="L2035">
        <v>284.11509999999998</v>
      </c>
      <c r="M2035">
        <v>-0.99937559999999903</v>
      </c>
      <c r="N2035">
        <v>0</v>
      </c>
      <c r="O2035">
        <v>-3.2454820000000002E-2</v>
      </c>
      <c r="P2035">
        <v>-0.99460800000000005</v>
      </c>
      <c r="Q2035">
        <v>5.5228409999999999E-2</v>
      </c>
      <c r="R2035">
        <v>-8.7778750000000003E-2</v>
      </c>
      <c r="S2035">
        <v>-3.0061040000000001</v>
      </c>
      <c r="T2035">
        <v>-0.14131050000000001</v>
      </c>
      <c r="U2035">
        <v>-0.2064819</v>
      </c>
      <c r="V2035">
        <v>-5.5417309999999997E-2</v>
      </c>
      <c r="W2035">
        <v>6.9181759999999995E-2</v>
      </c>
      <c r="X2035">
        <v>0.99606360000000005</v>
      </c>
      <c r="Y2035">
        <v>-3.6104289999999997E-2</v>
      </c>
      <c r="Z2035">
        <v>6.7539469999999997E-4</v>
      </c>
      <c r="AA2035">
        <v>0.99934780000000001</v>
      </c>
      <c r="AB2035">
        <v>38</v>
      </c>
      <c r="AC2035">
        <v>-23.121399999999898</v>
      </c>
      <c r="AD2035">
        <v>-1.1043680284570001</v>
      </c>
      <c r="AE2035">
        <v>-1.6016999999999899</v>
      </c>
      <c r="AF2035">
        <v>-0.84845556702865199</v>
      </c>
      <c r="AG2035">
        <v>-1.1043680284570001</v>
      </c>
      <c r="AH2035">
        <v>23.108737068817199</v>
      </c>
      <c r="AI2035">
        <v>92.734247743858106</v>
      </c>
      <c r="AJ2035">
        <v>92.102715366726201</v>
      </c>
      <c r="AK2035">
        <v>23.150663802734201</v>
      </c>
    </row>
    <row r="2036" spans="1:37" x14ac:dyDescent="0.2">
      <c r="A2036" t="str">
        <f>"20200111153648203"</f>
        <v>20200111153648203</v>
      </c>
      <c r="B2036" t="str">
        <f>"1578728208194824"</f>
        <v>1578728208194824</v>
      </c>
      <c r="C2036" t="s">
        <v>37</v>
      </c>
      <c r="D2036">
        <v>5.6113809999999997</v>
      </c>
      <c r="E2036">
        <v>0.47919849999999897</v>
      </c>
      <c r="F2036" t="s">
        <v>48</v>
      </c>
      <c r="G2036">
        <v>-408.61779999999999</v>
      </c>
      <c r="H2036" s="1">
        <v>5.014921E-6</v>
      </c>
      <c r="I2036">
        <v>282.51440000000002</v>
      </c>
      <c r="J2036">
        <v>-385.9606</v>
      </c>
      <c r="K2036">
        <v>1.104382</v>
      </c>
      <c r="L2036">
        <v>284.1035</v>
      </c>
      <c r="M2036">
        <v>-0.99938090000000002</v>
      </c>
      <c r="N2036">
        <v>0</v>
      </c>
      <c r="O2036">
        <v>-3.2288150000000002E-2</v>
      </c>
      <c r="P2036">
        <v>-0.99458250000000004</v>
      </c>
      <c r="Q2036">
        <v>5.5241459999999999E-2</v>
      </c>
      <c r="R2036">
        <v>-8.8059189999999996E-2</v>
      </c>
      <c r="S2036">
        <v>-3.0058289999999999</v>
      </c>
      <c r="T2036">
        <v>-0.14418300000000001</v>
      </c>
      <c r="U2036">
        <v>-0.20898439999999999</v>
      </c>
      <c r="V2036">
        <v>-5.5865159999999997E-2</v>
      </c>
      <c r="W2036">
        <v>6.919032E-2</v>
      </c>
      <c r="X2036">
        <v>0.99603799999999898</v>
      </c>
      <c r="Y2036">
        <v>-3.710372E-2</v>
      </c>
      <c r="Z2036">
        <v>6.5724519999999995E-4</v>
      </c>
      <c r="AA2036">
        <v>0.99931119999999996</v>
      </c>
      <c r="AB2036">
        <v>38</v>
      </c>
      <c r="AC2036">
        <v>-22.6571999999999</v>
      </c>
      <c r="AD2036">
        <v>-1.104376985079</v>
      </c>
      <c r="AE2036">
        <v>-1.58909999999997</v>
      </c>
      <c r="AF2036">
        <v>-0.85462024247306401</v>
      </c>
      <c r="AG2036">
        <v>-1.104376985079</v>
      </c>
      <c r="AH2036">
        <v>22.6431645594852</v>
      </c>
      <c r="AI2036">
        <v>92.790295629390002</v>
      </c>
      <c r="AJ2036">
        <v>92.161486811431601</v>
      </c>
      <c r="AK2036">
        <v>22.686183582787699</v>
      </c>
    </row>
    <row r="2037" spans="1:37" x14ac:dyDescent="0.2">
      <c r="A2037" t="str">
        <f>"20200111153648227"</f>
        <v>20200111153648227</v>
      </c>
      <c r="B2037" t="str">
        <f>"1578728208214347"</f>
        <v>1578728208214347</v>
      </c>
      <c r="C2037" t="s">
        <v>37</v>
      </c>
      <c r="D2037">
        <v>5.6298180000000002</v>
      </c>
      <c r="E2037">
        <v>0.47527730000000001</v>
      </c>
      <c r="F2037" t="s">
        <v>48</v>
      </c>
      <c r="G2037">
        <v>-404.86939999999998</v>
      </c>
      <c r="H2037" s="1">
        <v>6.9025879999999901E-6</v>
      </c>
      <c r="I2037">
        <v>281.42360000000002</v>
      </c>
      <c r="J2037">
        <v>-386.3383</v>
      </c>
      <c r="K2037">
        <v>1.104387</v>
      </c>
      <c r="L2037">
        <v>284.09140000000002</v>
      </c>
      <c r="M2037">
        <v>-0.99938669999999996</v>
      </c>
      <c r="N2037">
        <v>0</v>
      </c>
      <c r="O2037">
        <v>-3.2116350000000002E-2</v>
      </c>
      <c r="P2037">
        <v>-0.99453619999999898</v>
      </c>
      <c r="Q2037">
        <v>5.5645460000000001E-2</v>
      </c>
      <c r="R2037">
        <v>-8.8324319999999998E-2</v>
      </c>
      <c r="S2037">
        <v>-2.9885250000000001</v>
      </c>
      <c r="T2037">
        <v>-0.174545899999999</v>
      </c>
      <c r="U2037">
        <v>-0.42355349999999897</v>
      </c>
      <c r="V2037">
        <v>-5.6302909999999998E-2</v>
      </c>
      <c r="W2037">
        <v>6.9590369999999999E-2</v>
      </c>
      <c r="X2037">
        <v>0.99598549999999997</v>
      </c>
      <c r="Y2037">
        <v>-0.108323</v>
      </c>
      <c r="Z2037">
        <v>-1.2811929999999999E-3</v>
      </c>
      <c r="AA2037">
        <v>0.99411489999999902</v>
      </c>
      <c r="AB2037">
        <v>38</v>
      </c>
      <c r="AC2037">
        <v>-18.531099999999899</v>
      </c>
      <c r="AD2037">
        <v>-1.1043800974119999</v>
      </c>
      <c r="AE2037">
        <v>-2.6678000000000002</v>
      </c>
      <c r="AF2037">
        <v>-2.0640323049977498</v>
      </c>
      <c r="AG2037">
        <v>-1.1043800974119999</v>
      </c>
      <c r="AH2037">
        <v>18.542706294350999</v>
      </c>
      <c r="AI2037">
        <v>93.387564741085896</v>
      </c>
      <c r="AJ2037">
        <v>96.351581302595605</v>
      </c>
      <c r="AK2037">
        <v>18.689886074403901</v>
      </c>
    </row>
    <row r="2038" spans="1:37" x14ac:dyDescent="0.2">
      <c r="A2038" t="str">
        <f>"20200111153648248"</f>
        <v>20200111153648248</v>
      </c>
      <c r="B2038" t="str">
        <f>"1578728208244600"</f>
        <v>1578728208244600</v>
      </c>
      <c r="C2038" t="s">
        <v>37</v>
      </c>
      <c r="D2038">
        <v>5.5495269999999897</v>
      </c>
      <c r="E2038">
        <v>0.47279110000000002</v>
      </c>
      <c r="F2038" t="s">
        <v>48</v>
      </c>
      <c r="G2038">
        <v>-403.79969999999997</v>
      </c>
      <c r="H2038" s="1">
        <v>7.3755419999999998E-6</v>
      </c>
      <c r="I2038">
        <v>281.43040000000002</v>
      </c>
      <c r="J2038">
        <v>-386.70979999999997</v>
      </c>
      <c r="K2038">
        <v>1.104392</v>
      </c>
      <c r="L2038">
        <v>284.0797</v>
      </c>
      <c r="M2038">
        <v>-0.99939199999999995</v>
      </c>
      <c r="N2038">
        <v>0</v>
      </c>
      <c r="O2038">
        <v>-3.1947059999999999E-2</v>
      </c>
      <c r="P2038">
        <v>-0.99453289999999905</v>
      </c>
      <c r="Q2038">
        <v>5.6246930000000001E-2</v>
      </c>
      <c r="R2038">
        <v>-8.7982829999999998E-2</v>
      </c>
      <c r="S2038">
        <v>-2.9866029999999899</v>
      </c>
      <c r="T2038">
        <v>-0.18889359999999999</v>
      </c>
      <c r="U2038">
        <v>-0.45513919999999902</v>
      </c>
      <c r="V2038">
        <v>-5.6129569999999997E-2</v>
      </c>
      <c r="W2038">
        <v>7.0187340000000001E-2</v>
      </c>
      <c r="X2038">
        <v>0.99595339999999999</v>
      </c>
      <c r="Y2038">
        <v>-0.11882239999999999</v>
      </c>
      <c r="Z2038">
        <v>-1.726633E-3</v>
      </c>
      <c r="AA2038">
        <v>0.99291399999999996</v>
      </c>
      <c r="AB2038">
        <v>38</v>
      </c>
      <c r="AC2038">
        <v>-17.0899</v>
      </c>
      <c r="AD2038">
        <v>-1.104384624458</v>
      </c>
      <c r="AE2038">
        <v>-2.6492999999999798</v>
      </c>
      <c r="AF2038">
        <v>-2.0933852826341499</v>
      </c>
      <c r="AG2038">
        <v>-1.104384624458</v>
      </c>
      <c r="AH2038">
        <v>17.096102493338801</v>
      </c>
      <c r="AI2038">
        <v>93.668766850077404</v>
      </c>
      <c r="AJ2038">
        <v>96.981007803663402</v>
      </c>
      <c r="AK2038">
        <v>17.259161271714099</v>
      </c>
    </row>
    <row r="2039" spans="1:37" x14ac:dyDescent="0.2">
      <c r="A2039" t="str">
        <f>"20200111153648271"</f>
        <v>20200111153648271</v>
      </c>
      <c r="B2039" t="str">
        <f>"1578728208265099"</f>
        <v>1578728208265099</v>
      </c>
      <c r="C2039" t="s">
        <v>37</v>
      </c>
      <c r="D2039">
        <v>5.8409490000000002</v>
      </c>
      <c r="E2039">
        <v>0.47309449999999997</v>
      </c>
      <c r="F2039" t="s">
        <v>48</v>
      </c>
      <c r="G2039">
        <v>-402.8698</v>
      </c>
      <c r="H2039" s="1">
        <v>7.7700920000000001E-6</v>
      </c>
      <c r="I2039">
        <v>281.51679999999999</v>
      </c>
      <c r="J2039">
        <v>-387.09930000000003</v>
      </c>
      <c r="K2039">
        <v>1.1043969999999901</v>
      </c>
      <c r="L2039">
        <v>284.06740000000002</v>
      </c>
      <c r="M2039">
        <v>-0.99939789999999995</v>
      </c>
      <c r="N2039">
        <v>0</v>
      </c>
      <c r="O2039">
        <v>-3.1770380000000001E-2</v>
      </c>
      <c r="P2039">
        <v>-0.99453670000000005</v>
      </c>
      <c r="Q2039">
        <v>5.6579530000000003E-2</v>
      </c>
      <c r="R2039">
        <v>-8.7725440000000002E-2</v>
      </c>
      <c r="S2039">
        <v>-2.986145</v>
      </c>
      <c r="T2039">
        <v>-0.20407620000000001</v>
      </c>
      <c r="U2039">
        <v>-0.47357179999999999</v>
      </c>
      <c r="V2039">
        <v>-5.6048969999999997E-2</v>
      </c>
      <c r="W2039">
        <v>7.0516499999999996E-2</v>
      </c>
      <c r="X2039">
        <v>0.99593469999999995</v>
      </c>
      <c r="Y2039">
        <v>-0.124959999999999</v>
      </c>
      <c r="Z2039">
        <v>-2.08472E-3</v>
      </c>
      <c r="AA2039">
        <v>0.99215959999999903</v>
      </c>
      <c r="AB2039">
        <v>38</v>
      </c>
      <c r="AC2039">
        <v>-15.770499999999901</v>
      </c>
      <c r="AD2039">
        <v>-1.10438922990799</v>
      </c>
      <c r="AE2039">
        <v>-2.55060000000003</v>
      </c>
      <c r="AF2039">
        <v>-2.0384867038560501</v>
      </c>
      <c r="AG2039">
        <v>-1.10438922990799</v>
      </c>
      <c r="AH2039">
        <v>15.7682220699813</v>
      </c>
      <c r="AI2039">
        <v>93.973433102521398</v>
      </c>
      <c r="AJ2039">
        <v>97.366237223314599</v>
      </c>
      <c r="AK2039">
        <v>15.937751750519199</v>
      </c>
    </row>
    <row r="2040" spans="1:37" x14ac:dyDescent="0.2">
      <c r="A2040" t="str">
        <f>"20200111153648285"</f>
        <v>20200111153648285</v>
      </c>
      <c r="B2040" t="str">
        <f>"1578728208274857"</f>
        <v>1578728208274857</v>
      </c>
      <c r="C2040" t="s">
        <v>37</v>
      </c>
      <c r="D2040">
        <v>5.5746440000000002</v>
      </c>
      <c r="E2040">
        <v>0.47326220000000002</v>
      </c>
      <c r="F2040" t="s">
        <v>48</v>
      </c>
      <c r="G2040">
        <v>-403.37439999999998</v>
      </c>
      <c r="H2040" s="1">
        <v>7.5486069999999898E-6</v>
      </c>
      <c r="I2040">
        <v>281.50580000000002</v>
      </c>
      <c r="J2040">
        <v>-387.32319999999999</v>
      </c>
      <c r="K2040">
        <v>1.1044</v>
      </c>
      <c r="L2040">
        <v>284.06029999999998</v>
      </c>
      <c r="M2040">
        <v>-0.99940099999999998</v>
      </c>
      <c r="N2040">
        <v>0</v>
      </c>
      <c r="O2040">
        <v>-3.166857E-2</v>
      </c>
      <c r="P2040">
        <v>-0.99455169999999904</v>
      </c>
      <c r="Q2040">
        <v>5.670178E-2</v>
      </c>
      <c r="R2040">
        <v>-8.7477100000000002E-2</v>
      </c>
      <c r="S2040">
        <v>-2.9865110000000001</v>
      </c>
      <c r="T2040">
        <v>-0.20265849999999999</v>
      </c>
      <c r="U2040">
        <v>-0.47006229999999899</v>
      </c>
      <c r="V2040">
        <v>-5.5901270000000003E-2</v>
      </c>
      <c r="W2040">
        <v>7.0636359999999995E-2</v>
      </c>
      <c r="X2040">
        <v>0.99593449999999994</v>
      </c>
      <c r="Y2040">
        <v>-0.1239098</v>
      </c>
      <c r="Z2040">
        <v>-2.0416689999999999E-3</v>
      </c>
      <c r="AA2040">
        <v>0.99229140000000005</v>
      </c>
      <c r="AB2040">
        <v>38</v>
      </c>
      <c r="AC2040">
        <v>-16.051199999999898</v>
      </c>
      <c r="AD2040">
        <v>-1.1043924513929999</v>
      </c>
      <c r="AE2040">
        <v>-2.55449999999996</v>
      </c>
      <c r="AF2040">
        <v>-2.0354525387695501</v>
      </c>
      <c r="AG2040">
        <v>-1.1043924513929999</v>
      </c>
      <c r="AH2040">
        <v>16.049948599858201</v>
      </c>
      <c r="AI2040">
        <v>93.905121419719407</v>
      </c>
      <c r="AJ2040">
        <v>97.227660456892295</v>
      </c>
      <c r="AK2040">
        <v>16.2161524346057</v>
      </c>
    </row>
    <row r="2041" spans="1:37" x14ac:dyDescent="0.2">
      <c r="A2041" t="str">
        <f>"20200111153648299"</f>
        <v>20200111153648299</v>
      </c>
      <c r="B2041" t="str">
        <f>"1578728208294377"</f>
        <v>1578728208294377</v>
      </c>
      <c r="C2041" t="s">
        <v>37</v>
      </c>
      <c r="D2041">
        <v>5.5505009999999997</v>
      </c>
      <c r="E2041">
        <v>0.47340870000000002</v>
      </c>
      <c r="F2041" t="s">
        <v>48</v>
      </c>
      <c r="G2041">
        <v>-403.7432</v>
      </c>
      <c r="H2041" s="1">
        <v>7.3889639999999998E-6</v>
      </c>
      <c r="I2041">
        <v>281.48680000000002</v>
      </c>
      <c r="J2041">
        <v>-387.56790000000001</v>
      </c>
      <c r="K2041">
        <v>1.104406</v>
      </c>
      <c r="L2041">
        <v>284.05270000000002</v>
      </c>
      <c r="M2041">
        <v>-0.99940450000000003</v>
      </c>
      <c r="N2041">
        <v>0</v>
      </c>
      <c r="O2041">
        <v>-3.1557460000000002E-2</v>
      </c>
      <c r="P2041">
        <v>-0.99457309999999999</v>
      </c>
      <c r="Q2041">
        <v>5.66843E-2</v>
      </c>
      <c r="R2041">
        <v>-8.7244059999999998E-2</v>
      </c>
      <c r="S2041">
        <v>-2.986694</v>
      </c>
      <c r="T2041">
        <v>-0.2008818</v>
      </c>
      <c r="U2041">
        <v>-0.468109099999999</v>
      </c>
      <c r="V2041">
        <v>-5.5778830000000001E-2</v>
      </c>
      <c r="W2041">
        <v>7.0617330000000006E-2</v>
      </c>
      <c r="X2041">
        <v>0.99594269999999996</v>
      </c>
      <c r="Y2041">
        <v>-0.1233819</v>
      </c>
      <c r="Z2041">
        <v>-2.0135689999999898E-3</v>
      </c>
      <c r="AA2041">
        <v>0.99235720000000005</v>
      </c>
      <c r="AB2041">
        <v>38</v>
      </c>
      <c r="AC2041">
        <v>-16.175299999999901</v>
      </c>
      <c r="AD2041">
        <v>-1.104398611036</v>
      </c>
      <c r="AE2041">
        <v>-2.5658999999999899</v>
      </c>
      <c r="AF2041">
        <v>-2.0448222521306301</v>
      </c>
      <c r="AG2041">
        <v>-1.104398611036</v>
      </c>
      <c r="AH2041">
        <v>16.174672205083699</v>
      </c>
      <c r="AI2041">
        <v>93.875314431775394</v>
      </c>
      <c r="AJ2041">
        <v>97.205181014330293</v>
      </c>
      <c r="AK2041">
        <v>16.340777682741301</v>
      </c>
    </row>
    <row r="2042" spans="1:37" x14ac:dyDescent="0.2">
      <c r="A2042" t="str">
        <f>"20200111153648315"</f>
        <v>20200111153648315</v>
      </c>
      <c r="B2042" t="str">
        <f>"1578728208305112"</f>
        <v>1578728208305112</v>
      </c>
      <c r="C2042" t="s">
        <v>37</v>
      </c>
      <c r="D2042">
        <v>5.5526210000000003</v>
      </c>
      <c r="E2042">
        <v>0.47355799999999998</v>
      </c>
      <c r="F2042" t="s">
        <v>48</v>
      </c>
      <c r="G2042">
        <v>-404.09769999999997</v>
      </c>
      <c r="H2042" s="1">
        <v>7.23481599999999E-6</v>
      </c>
      <c r="I2042">
        <v>281.47199999999998</v>
      </c>
      <c r="J2042">
        <v>-387.84280000000001</v>
      </c>
      <c r="K2042">
        <v>1.1044119999999999</v>
      </c>
      <c r="L2042">
        <v>284.04410000000001</v>
      </c>
      <c r="M2042">
        <v>-0.99940849999999903</v>
      </c>
      <c r="N2042">
        <v>0</v>
      </c>
      <c r="O2042">
        <v>-3.1432870000000002E-2</v>
      </c>
      <c r="P2042">
        <v>-0.99455959999999999</v>
      </c>
      <c r="Q2042">
        <v>5.6821219999999999E-2</v>
      </c>
      <c r="R2042">
        <v>-8.7308499999999997E-2</v>
      </c>
      <c r="S2042">
        <v>-2.986847</v>
      </c>
      <c r="T2042">
        <v>-0.19955889999999901</v>
      </c>
      <c r="U2042">
        <v>-0.46630859999999902</v>
      </c>
      <c r="V2042">
        <v>-5.596777E-2</v>
      </c>
      <c r="W2042">
        <v>7.0751469999999997E-2</v>
      </c>
      <c r="X2042">
        <v>0.99592259999999999</v>
      </c>
      <c r="Y2042">
        <v>-0.1229174</v>
      </c>
      <c r="Z2042">
        <v>-1.9931660000000002E-3</v>
      </c>
      <c r="AA2042">
        <v>0.99241489999999999</v>
      </c>
      <c r="AB2042">
        <v>38</v>
      </c>
      <c r="AC2042">
        <v>-16.2548999999999</v>
      </c>
      <c r="AD2042">
        <v>-1.1044047651840001</v>
      </c>
      <c r="AE2042">
        <v>-2.57210000000003</v>
      </c>
      <c r="AF2042">
        <v>-2.05060604828966</v>
      </c>
      <c r="AG2042">
        <v>-1.1044047651840001</v>
      </c>
      <c r="AH2042">
        <v>16.254520844648901</v>
      </c>
      <c r="AI2042">
        <v>93.856483108610306</v>
      </c>
      <c r="AJ2042">
        <v>97.190224467629093</v>
      </c>
      <c r="AK2042">
        <v>16.420540275513702</v>
      </c>
    </row>
    <row r="2043" spans="1:37" x14ac:dyDescent="0.2">
      <c r="A2043" t="str">
        <f>"20200111153648338"</f>
        <v>20200111153648338</v>
      </c>
      <c r="B2043" t="str">
        <f>"1578728208334393"</f>
        <v>1578728208334393</v>
      </c>
      <c r="C2043" t="s">
        <v>37</v>
      </c>
      <c r="D2043">
        <v>5.5338620000000001</v>
      </c>
      <c r="E2043">
        <v>0.47345589999999999</v>
      </c>
      <c r="F2043" t="s">
        <v>48</v>
      </c>
      <c r="G2043">
        <v>-404.43779999999998</v>
      </c>
      <c r="H2043" s="1">
        <v>7.0865400000000001E-6</v>
      </c>
      <c r="I2043">
        <v>281.4597</v>
      </c>
      <c r="J2043">
        <v>-388.21620000000001</v>
      </c>
      <c r="K2043">
        <v>1.104414</v>
      </c>
      <c r="L2043">
        <v>284.0326</v>
      </c>
      <c r="M2043">
        <v>-0.99941399999999903</v>
      </c>
      <c r="N2043">
        <v>0</v>
      </c>
      <c r="O2043">
        <v>-3.1263109999999997E-2</v>
      </c>
      <c r="P2043">
        <v>-0.99459779999999998</v>
      </c>
      <c r="Q2043">
        <v>5.6082510000000002E-2</v>
      </c>
      <c r="R2043">
        <v>-8.7352100000000002E-2</v>
      </c>
      <c r="S2043">
        <v>-2.9869379999999999</v>
      </c>
      <c r="T2043">
        <v>-0.19878209999999999</v>
      </c>
      <c r="U2043">
        <v>-0.46517939999999902</v>
      </c>
      <c r="V2043">
        <v>-5.6179670000000001E-2</v>
      </c>
      <c r="W2043">
        <v>7.0010390000000006E-2</v>
      </c>
      <c r="X2043">
        <v>0.99596299999999904</v>
      </c>
      <c r="Y2043">
        <v>-0.1227166</v>
      </c>
      <c r="Z2043">
        <v>-1.9899900000000001E-3</v>
      </c>
      <c r="AA2043">
        <v>0.99243969999999904</v>
      </c>
      <c r="AB2043">
        <v>38</v>
      </c>
      <c r="AC2043">
        <v>-16.221599999999899</v>
      </c>
      <c r="AD2043">
        <v>-1.1044069134600001</v>
      </c>
      <c r="AE2043">
        <v>-2.5729000000000002</v>
      </c>
      <c r="AF2043">
        <v>-2.0551627860391899</v>
      </c>
      <c r="AG2043">
        <v>-1.1044069134600001</v>
      </c>
      <c r="AH2043">
        <v>16.220771966565898</v>
      </c>
      <c r="AI2043">
        <v>93.864229583912802</v>
      </c>
      <c r="AJ2043">
        <v>97.220869152741898</v>
      </c>
      <c r="AK2043">
        <v>16.387704290075199</v>
      </c>
    </row>
    <row r="2044" spans="1:37" x14ac:dyDescent="0.2">
      <c r="A2044" t="str">
        <f>"20200111153648361"</f>
        <v>20200111153648361</v>
      </c>
      <c r="B2044" t="str">
        <f>"1578728208354888"</f>
        <v>1578728208354888</v>
      </c>
      <c r="C2044" t="s">
        <v>37</v>
      </c>
      <c r="D2044">
        <v>5.5991119999999999</v>
      </c>
      <c r="E2044">
        <v>0.47342499999999998</v>
      </c>
      <c r="F2044" t="s">
        <v>48</v>
      </c>
      <c r="G2044">
        <v>-404.6891</v>
      </c>
      <c r="H2044" s="1">
        <v>6.9749209999999999E-6</v>
      </c>
      <c r="I2044">
        <v>281.46039999999999</v>
      </c>
      <c r="J2044">
        <v>-388.59870000000001</v>
      </c>
      <c r="K2044">
        <v>1.104414</v>
      </c>
      <c r="L2044">
        <v>284.02069999999998</v>
      </c>
      <c r="M2044">
        <v>-0.99941930000000001</v>
      </c>
      <c r="N2044">
        <v>0</v>
      </c>
      <c r="O2044">
        <v>-3.1089450000000001E-2</v>
      </c>
      <c r="P2044">
        <v>-0.9946043</v>
      </c>
      <c r="Q2044">
        <v>5.591749E-2</v>
      </c>
      <c r="R2044">
        <v>-8.7381459999999994E-2</v>
      </c>
      <c r="S2044">
        <v>-2.9866029999999899</v>
      </c>
      <c r="T2044">
        <v>-0.2002321</v>
      </c>
      <c r="U2044">
        <v>-0.46633909999999901</v>
      </c>
      <c r="V2044">
        <v>-5.6382620000000001E-2</v>
      </c>
      <c r="W2044">
        <v>6.9847720000000002E-2</v>
      </c>
      <c r="X2044">
        <v>0.99596299999999904</v>
      </c>
      <c r="Y2044">
        <v>-0.1232777</v>
      </c>
      <c r="Z2044">
        <v>-2.0348570000000002E-3</v>
      </c>
      <c r="AA2044">
        <v>0.99237009999999903</v>
      </c>
      <c r="AB2044">
        <v>38</v>
      </c>
      <c r="AC2044">
        <v>-16.090399999999899</v>
      </c>
      <c r="AD2044">
        <v>-1.1044070250789999</v>
      </c>
      <c r="AE2044">
        <v>-2.5602999999999798</v>
      </c>
      <c r="AF2044">
        <v>-2.0493554256364699</v>
      </c>
      <c r="AG2044">
        <v>-1.1044070250789999</v>
      </c>
      <c r="AH2044">
        <v>16.088304180964499</v>
      </c>
      <c r="AI2044">
        <v>93.895618388287602</v>
      </c>
      <c r="AJ2044">
        <v>97.259338291912698</v>
      </c>
      <c r="AK2044">
        <v>16.2558636792042</v>
      </c>
    </row>
    <row r="2045" spans="1:37" x14ac:dyDescent="0.2">
      <c r="A2045" t="str">
        <f>"20200111153648383"</f>
        <v>20200111153648383</v>
      </c>
      <c r="B2045" t="str">
        <f>"1578728208374411"</f>
        <v>1578728208374411</v>
      </c>
      <c r="C2045" t="s">
        <v>37</v>
      </c>
      <c r="D2045">
        <v>5.5116389999999997</v>
      </c>
      <c r="E2045">
        <v>0.47332200000000002</v>
      </c>
      <c r="F2045" t="s">
        <v>48</v>
      </c>
      <c r="G2045">
        <v>-405.08420000000001</v>
      </c>
      <c r="H2045" s="1">
        <v>6.8029669999999996E-6</v>
      </c>
      <c r="I2045">
        <v>281.44490000000002</v>
      </c>
      <c r="J2045">
        <v>-388.97140000000002</v>
      </c>
      <c r="K2045">
        <v>1.1044119999999999</v>
      </c>
      <c r="L2045">
        <v>284.0093</v>
      </c>
      <c r="M2045">
        <v>-0.99942439999999999</v>
      </c>
      <c r="N2045">
        <v>0</v>
      </c>
      <c r="O2045">
        <v>-3.0919499999999999E-2</v>
      </c>
      <c r="P2045">
        <v>-0.99465020000000004</v>
      </c>
      <c r="Q2045">
        <v>5.5147099999999998E-2</v>
      </c>
      <c r="R2045">
        <v>-8.7348579999999995E-2</v>
      </c>
      <c r="S2045">
        <v>-2.9865110000000001</v>
      </c>
      <c r="T2045">
        <v>-0.20007469999999999</v>
      </c>
      <c r="U2045">
        <v>-0.46664430000000001</v>
      </c>
      <c r="V2045">
        <v>-5.651813E-2</v>
      </c>
      <c r="W2045">
        <v>6.9083279999999997E-2</v>
      </c>
      <c r="X2045">
        <v>0.99600859999999902</v>
      </c>
      <c r="Y2045">
        <v>-0.123549399999999</v>
      </c>
      <c r="Z2045">
        <v>-2.0536310000000002E-3</v>
      </c>
      <c r="AA2045">
        <v>0.99233629999999995</v>
      </c>
      <c r="AB2045">
        <v>37</v>
      </c>
      <c r="AC2045">
        <v>-16.112799999999901</v>
      </c>
      <c r="AD2045">
        <v>-1.104405197033</v>
      </c>
      <c r="AE2045">
        <v>-2.5643999999999698</v>
      </c>
      <c r="AF2045">
        <v>-2.05550714798333</v>
      </c>
      <c r="AG2045">
        <v>-1.104405197033</v>
      </c>
      <c r="AH2045">
        <v>16.110574292726699</v>
      </c>
      <c r="AI2045">
        <v>93.890143385067404</v>
      </c>
      <c r="AJ2045">
        <v>97.270938955290902</v>
      </c>
      <c r="AK2045">
        <v>16.278680060622499</v>
      </c>
    </row>
    <row r="2046" spans="1:37" x14ac:dyDescent="0.2">
      <c r="A2046" t="str">
        <f>"20200111153648405"</f>
        <v>20200111153648405</v>
      </c>
      <c r="B2046" t="str">
        <f>"1578728208394904"</f>
        <v>1578728208394904</v>
      </c>
      <c r="C2046" t="s">
        <v>37</v>
      </c>
      <c r="D2046">
        <v>5.588622</v>
      </c>
      <c r="E2046">
        <v>0.47327170000000002</v>
      </c>
      <c r="F2046" t="s">
        <v>48</v>
      </c>
      <c r="G2046">
        <v>-405.22129999999999</v>
      </c>
      <c r="H2046" s="1">
        <v>6.7374729999999998E-6</v>
      </c>
      <c r="I2046">
        <v>281.46749999999997</v>
      </c>
      <c r="J2046">
        <v>-389.33510000000001</v>
      </c>
      <c r="K2046">
        <v>1.1044080000000001</v>
      </c>
      <c r="L2046">
        <v>283.9982</v>
      </c>
      <c r="M2046">
        <v>-0.99942949999999997</v>
      </c>
      <c r="N2046">
        <v>0</v>
      </c>
      <c r="O2046">
        <v>-3.075408E-2</v>
      </c>
      <c r="P2046">
        <v>-0.99465369999999997</v>
      </c>
      <c r="Q2046">
        <v>5.455364E-2</v>
      </c>
      <c r="R2046">
        <v>-8.7681850000000006E-2</v>
      </c>
      <c r="S2046">
        <v>-2.9863279999999999</v>
      </c>
      <c r="T2046">
        <v>-0.2029618</v>
      </c>
      <c r="U2046">
        <v>-0.46713260000000001</v>
      </c>
      <c r="V2046">
        <v>-5.7016289999999997E-2</v>
      </c>
      <c r="W2046">
        <v>6.8495299999999995E-2</v>
      </c>
      <c r="X2046">
        <v>0.99602089999999999</v>
      </c>
      <c r="Y2046">
        <v>-0.12387429999999899</v>
      </c>
      <c r="Z2046">
        <v>-2.1054049999999999E-3</v>
      </c>
      <c r="AA2046">
        <v>0.9922957</v>
      </c>
      <c r="AB2046">
        <v>37</v>
      </c>
      <c r="AC2046">
        <v>-15.886199999999899</v>
      </c>
      <c r="AD2046">
        <v>-1.1044012625270001</v>
      </c>
      <c r="AE2046">
        <v>-2.5307000000000199</v>
      </c>
      <c r="AF2046">
        <v>-2.0313153146645702</v>
      </c>
      <c r="AG2046">
        <v>-1.1044012625270001</v>
      </c>
      <c r="AH2046">
        <v>15.881665077726799</v>
      </c>
      <c r="AI2046">
        <v>93.945867688787601</v>
      </c>
      <c r="AJ2046">
        <v>97.288737746543305</v>
      </c>
      <c r="AK2046">
        <v>16.049088126661601</v>
      </c>
    </row>
    <row r="2047" spans="1:37" x14ac:dyDescent="0.2">
      <c r="A2047" t="str">
        <f>"20200111153648428"</f>
        <v>20200111153648428</v>
      </c>
      <c r="B2047" t="str">
        <f>"1578728208425160"</f>
        <v>1578728208425160</v>
      </c>
      <c r="C2047" t="s">
        <v>37</v>
      </c>
      <c r="D2047">
        <v>5.601159</v>
      </c>
      <c r="E2047">
        <v>0.47319079999999902</v>
      </c>
      <c r="F2047" t="s">
        <v>48</v>
      </c>
      <c r="G2047">
        <v>-405.40230000000003</v>
      </c>
      <c r="H2047" s="1">
        <v>6.655252E-6</v>
      </c>
      <c r="I2047">
        <v>281.47699999999998</v>
      </c>
      <c r="J2047">
        <v>-389.71210000000002</v>
      </c>
      <c r="K2047">
        <v>1.1044080000000001</v>
      </c>
      <c r="L2047">
        <v>283.98680000000002</v>
      </c>
      <c r="M2047">
        <v>-0.99943459999999995</v>
      </c>
      <c r="N2047">
        <v>0</v>
      </c>
      <c r="O2047">
        <v>-3.0582109999999999E-2</v>
      </c>
      <c r="P2047">
        <v>-0.99468899999999905</v>
      </c>
      <c r="Q2047">
        <v>5.3816339999999997E-2</v>
      </c>
      <c r="R2047">
        <v>-8.773541E-2</v>
      </c>
      <c r="S2047">
        <v>-2.986084</v>
      </c>
      <c r="T2047">
        <v>-0.20525370000000001</v>
      </c>
      <c r="U2047">
        <v>-0.46856690000000001</v>
      </c>
      <c r="V2047">
        <v>-5.7240470000000002E-2</v>
      </c>
      <c r="W2047">
        <v>6.7763180000000006E-2</v>
      </c>
      <c r="X2047">
        <v>0.996058</v>
      </c>
      <c r="Y2047">
        <v>-0.124516</v>
      </c>
      <c r="Z2047">
        <v>-2.1628339999999898E-3</v>
      </c>
      <c r="AA2047">
        <v>0.99221530000000002</v>
      </c>
      <c r="AB2047">
        <v>37</v>
      </c>
      <c r="AC2047">
        <v>-15.690200000000001</v>
      </c>
      <c r="AD2047">
        <v>-1.1044013447479999</v>
      </c>
      <c r="AE2047">
        <v>-2.5097999999999798</v>
      </c>
      <c r="AF2047">
        <v>-2.0189861296652198</v>
      </c>
      <c r="AG2047">
        <v>-1.1044013447479999</v>
      </c>
      <c r="AH2047">
        <v>15.6838555809006</v>
      </c>
      <c r="AI2047">
        <v>93.995058496827696</v>
      </c>
      <c r="AJ2047">
        <v>97.335356429289703</v>
      </c>
      <c r="AK2047">
        <v>15.851792744185399</v>
      </c>
    </row>
    <row r="2048" spans="1:37" x14ac:dyDescent="0.2">
      <c r="A2048" t="str">
        <f>"20200111153648450"</f>
        <v>20200111153648450</v>
      </c>
      <c r="B2048" t="str">
        <f>"1578728208444680"</f>
        <v>1578728208444680</v>
      </c>
      <c r="C2048" t="s">
        <v>37</v>
      </c>
      <c r="D2048">
        <v>5.6230519999999897</v>
      </c>
      <c r="E2048">
        <v>0.47300989999999998</v>
      </c>
      <c r="F2048" t="s">
        <v>48</v>
      </c>
      <c r="G2048">
        <v>-405.65230000000003</v>
      </c>
      <c r="H2048" s="1">
        <v>6.5435140000000001E-6</v>
      </c>
      <c r="I2048">
        <v>281.4812</v>
      </c>
      <c r="J2048">
        <v>-390.08420000000001</v>
      </c>
      <c r="K2048">
        <v>1.1044080000000001</v>
      </c>
      <c r="L2048">
        <v>283.97559999999999</v>
      </c>
      <c r="M2048">
        <v>-0.99943979999999999</v>
      </c>
      <c r="N2048">
        <v>0</v>
      </c>
      <c r="O2048">
        <v>-3.0412040000000001E-2</v>
      </c>
      <c r="P2048">
        <v>-0.99472329999999998</v>
      </c>
      <c r="Q2048">
        <v>5.2946960000000001E-2</v>
      </c>
      <c r="R2048">
        <v>-8.7877650000000002E-2</v>
      </c>
      <c r="S2048">
        <v>-2.9858090000000002</v>
      </c>
      <c r="T2048">
        <v>-0.2068692</v>
      </c>
      <c r="U2048">
        <v>-0.46932979999999902</v>
      </c>
      <c r="V2048">
        <v>-5.7551610000000003E-2</v>
      </c>
      <c r="W2048">
        <v>6.6899199999999895E-2</v>
      </c>
      <c r="X2048">
        <v>0.9960985</v>
      </c>
      <c r="Y2048">
        <v>-0.12494139999999999</v>
      </c>
      <c r="Z2048">
        <v>-2.2062839999999898E-3</v>
      </c>
      <c r="AA2048">
        <v>0.99216170000000004</v>
      </c>
      <c r="AB2048">
        <v>37</v>
      </c>
      <c r="AC2048">
        <v>-15.568099999999999</v>
      </c>
      <c r="AD2048">
        <v>-1.1044014564860001</v>
      </c>
      <c r="AE2048">
        <v>-2.4943999999999802</v>
      </c>
      <c r="AF2048">
        <v>-2.0098805545637299</v>
      </c>
      <c r="AG2048">
        <v>-1.1044014564860001</v>
      </c>
      <c r="AH2048">
        <v>15.5604171135087</v>
      </c>
      <c r="AI2048">
        <v>94.026425310636895</v>
      </c>
      <c r="AJ2048">
        <v>97.359930052882504</v>
      </c>
      <c r="AK2048">
        <v>15.728506069143201</v>
      </c>
    </row>
    <row r="2049" spans="1:37" x14ac:dyDescent="0.2">
      <c r="A2049" t="str">
        <f>"20200111153648463"</f>
        <v>20200111153648463</v>
      </c>
      <c r="B2049" t="str">
        <f>"1578728208454440"</f>
        <v>1578728208454440</v>
      </c>
      <c r="C2049" t="s">
        <v>37</v>
      </c>
      <c r="D2049">
        <v>5.5953860000000004</v>
      </c>
      <c r="E2049">
        <v>0.47293190000000002</v>
      </c>
      <c r="F2049" t="s">
        <v>48</v>
      </c>
      <c r="G2049">
        <v>-405.79640000000001</v>
      </c>
      <c r="H2049" s="1">
        <v>6.4764969999999999E-6</v>
      </c>
      <c r="I2049">
        <v>281.49619999999999</v>
      </c>
      <c r="J2049">
        <v>-390.30959999999999</v>
      </c>
      <c r="K2049">
        <v>1.1044080000000001</v>
      </c>
      <c r="L2049">
        <v>283.96879999999999</v>
      </c>
      <c r="M2049">
        <v>-0.99944290000000002</v>
      </c>
      <c r="N2049">
        <v>0</v>
      </c>
      <c r="O2049">
        <v>-3.0308720000000001E-2</v>
      </c>
      <c r="P2049">
        <v>-0.99474929999999995</v>
      </c>
      <c r="Q2049">
        <v>5.2717710000000001E-2</v>
      </c>
      <c r="R2049">
        <v>-8.7718980000000002E-2</v>
      </c>
      <c r="S2049">
        <v>-2.9854430000000001</v>
      </c>
      <c r="T2049">
        <v>-0.20984429999999901</v>
      </c>
      <c r="U2049">
        <v>-0.47109989999999902</v>
      </c>
      <c r="V2049">
        <v>-5.7495959999999999E-2</v>
      </c>
      <c r="W2049">
        <v>6.6672720000000005E-2</v>
      </c>
      <c r="X2049">
        <v>0.99611689999999997</v>
      </c>
      <c r="Y2049">
        <v>-0.1256283</v>
      </c>
      <c r="Z2049">
        <v>-2.2692739999999999E-3</v>
      </c>
      <c r="AA2049">
        <v>0.99207479999999904</v>
      </c>
      <c r="AB2049">
        <v>37</v>
      </c>
      <c r="AC2049">
        <v>-15.486800000000001</v>
      </c>
      <c r="AD2049">
        <v>-1.104401523503</v>
      </c>
      <c r="AE2049">
        <v>-2.4725999999999999</v>
      </c>
      <c r="AF2049">
        <v>-1.9921537112780201</v>
      </c>
      <c r="AG2049">
        <v>-1.104401523503</v>
      </c>
      <c r="AH2049">
        <v>15.477876779889799</v>
      </c>
      <c r="AI2049">
        <v>94.048060046118906</v>
      </c>
      <c r="AJ2049">
        <v>97.334203099241506</v>
      </c>
      <c r="AK2049">
        <v>15.644585285264901</v>
      </c>
    </row>
    <row r="2050" spans="1:37" x14ac:dyDescent="0.2">
      <c r="A2050" t="str">
        <f>"20200111153648483"</f>
        <v>20200111153648483</v>
      </c>
      <c r="B2050" t="str">
        <f>"1578728208474951"</f>
        <v>1578728208474951</v>
      </c>
      <c r="C2050" t="s">
        <v>37</v>
      </c>
      <c r="D2050">
        <v>5.5641439999999998</v>
      </c>
      <c r="E2050">
        <v>0.472746099999999</v>
      </c>
      <c r="F2050" t="s">
        <v>48</v>
      </c>
      <c r="G2050">
        <v>-406.00229999999999</v>
      </c>
      <c r="H2050" s="1">
        <v>6.3861120000000001E-6</v>
      </c>
      <c r="I2050">
        <v>281.49169999999998</v>
      </c>
      <c r="J2050">
        <v>-390.65219999999999</v>
      </c>
      <c r="K2050">
        <v>1.1044099999999999</v>
      </c>
      <c r="L2050">
        <v>283.95859999999999</v>
      </c>
      <c r="M2050">
        <v>-0.99944759999999999</v>
      </c>
      <c r="N2050">
        <v>0</v>
      </c>
      <c r="O2050">
        <v>-3.0152109999999999E-2</v>
      </c>
      <c r="P2050">
        <v>-0.99473500000000004</v>
      </c>
      <c r="Q2050">
        <v>5.269426E-2</v>
      </c>
      <c r="R2050">
        <v>-8.7896340000000003E-2</v>
      </c>
      <c r="S2050">
        <v>-2.985382</v>
      </c>
      <c r="T2050">
        <v>-0.21010139999999999</v>
      </c>
      <c r="U2050">
        <v>-0.47125240000000002</v>
      </c>
      <c r="V2050">
        <v>-5.7829470000000001E-2</v>
      </c>
      <c r="W2050">
        <v>6.6652740000000002E-2</v>
      </c>
      <c r="X2050">
        <v>0.99609899999999996</v>
      </c>
      <c r="Y2050">
        <v>-0.1258349</v>
      </c>
      <c r="Z2050">
        <v>-2.2902259999999998E-3</v>
      </c>
      <c r="AA2050">
        <v>0.99204859999999995</v>
      </c>
      <c r="AB2050">
        <v>37</v>
      </c>
      <c r="AC2050">
        <v>-15.3500999999999</v>
      </c>
      <c r="AD2050">
        <v>-1.104403613888</v>
      </c>
      <c r="AE2050">
        <v>-2.4668999999999999</v>
      </c>
      <c r="AF2050">
        <v>-1.99283888273013</v>
      </c>
      <c r="AG2050">
        <v>-1.104403613888</v>
      </c>
      <c r="AH2050">
        <v>15.340100556904201</v>
      </c>
      <c r="AI2050">
        <v>94.083681136746904</v>
      </c>
      <c r="AJ2050">
        <v>97.401864727258499</v>
      </c>
      <c r="AK2050">
        <v>15.508378356579501</v>
      </c>
    </row>
    <row r="2051" spans="1:37" x14ac:dyDescent="0.2">
      <c r="A2051" t="str">
        <f>"20200111153648506"</f>
        <v>20200111153648506</v>
      </c>
      <c r="B2051" t="str">
        <f>"1578728208494456"</f>
        <v>1578728208494456</v>
      </c>
      <c r="C2051" t="s">
        <v>37</v>
      </c>
      <c r="D2051">
        <v>5.7123049999999997</v>
      </c>
      <c r="E2051">
        <v>0.47247729999999999</v>
      </c>
      <c r="F2051" t="s">
        <v>48</v>
      </c>
      <c r="G2051">
        <v>-406.3614</v>
      </c>
      <c r="H2051" s="1">
        <v>6.231824E-6</v>
      </c>
      <c r="I2051">
        <v>281.46769999999998</v>
      </c>
      <c r="J2051">
        <v>-391.01280000000003</v>
      </c>
      <c r="K2051">
        <v>1.1044129999999901</v>
      </c>
      <c r="L2051">
        <v>283.9479</v>
      </c>
      <c r="M2051">
        <v>-0.99945260000000002</v>
      </c>
      <c r="N2051">
        <v>0</v>
      </c>
      <c r="O2051">
        <v>-2.998704E-2</v>
      </c>
      <c r="P2051">
        <v>-0.99477769999999999</v>
      </c>
      <c r="Q2051">
        <v>5.2472489999999997E-2</v>
      </c>
      <c r="R2051">
        <v>-8.7543679999999999E-2</v>
      </c>
      <c r="S2051">
        <v>-2.9851679999999998</v>
      </c>
      <c r="T2051">
        <v>-0.20986529999999901</v>
      </c>
      <c r="U2051">
        <v>-0.47332759999999902</v>
      </c>
      <c r="V2051">
        <v>-5.7640789999999997E-2</v>
      </c>
      <c r="W2051">
        <v>6.6434350000000003E-2</v>
      </c>
      <c r="X2051">
        <v>0.99612449999999997</v>
      </c>
      <c r="Y2051">
        <v>-0.1266805</v>
      </c>
      <c r="Z2051">
        <v>-2.328709E-3</v>
      </c>
      <c r="AA2051">
        <v>0.99194090000000001</v>
      </c>
      <c r="AB2051">
        <v>37</v>
      </c>
      <c r="AC2051">
        <v>-15.3485999999999</v>
      </c>
      <c r="AD2051">
        <v>-1.1044067681759999</v>
      </c>
      <c r="AE2051">
        <v>-2.4802000000000199</v>
      </c>
      <c r="AF2051">
        <v>-2.0086452511319801</v>
      </c>
      <c r="AG2051">
        <v>-1.1044067681759999</v>
      </c>
      <c r="AH2051">
        <v>15.3386821249275</v>
      </c>
      <c r="AI2051">
        <v>94.083524958917195</v>
      </c>
      <c r="AJ2051">
        <v>97.460596629874999</v>
      </c>
      <c r="AK2051">
        <v>15.5090147779948</v>
      </c>
    </row>
    <row r="2052" spans="1:37" x14ac:dyDescent="0.2">
      <c r="A2052" t="str">
        <f>"20200111153648527"</f>
        <v>20200111153648527</v>
      </c>
      <c r="B2052" t="str">
        <f>"1578728208524712"</f>
        <v>1578728208524712</v>
      </c>
      <c r="C2052" t="s">
        <v>37</v>
      </c>
      <c r="D2052">
        <v>5.64452</v>
      </c>
      <c r="E2052">
        <v>0.48757269999999903</v>
      </c>
      <c r="F2052" t="s">
        <v>48</v>
      </c>
      <c r="G2052">
        <v>-406.53129999999999</v>
      </c>
      <c r="H2052" s="1">
        <v>6.1536139999999998E-6</v>
      </c>
      <c r="I2052">
        <v>281.48160000000001</v>
      </c>
      <c r="J2052">
        <v>-391.37970000000001</v>
      </c>
      <c r="K2052">
        <v>1.104403</v>
      </c>
      <c r="L2052">
        <v>283.93709999999999</v>
      </c>
      <c r="M2052">
        <v>-0.9994575</v>
      </c>
      <c r="N2052">
        <v>0</v>
      </c>
      <c r="O2052">
        <v>-2.981922E-2</v>
      </c>
      <c r="P2052">
        <v>-0.99482039999999905</v>
      </c>
      <c r="Q2052">
        <v>5.2303570000000001E-2</v>
      </c>
      <c r="R2052">
        <v>-8.7161180000000005E-2</v>
      </c>
      <c r="S2052">
        <v>-2.9851990000000002</v>
      </c>
      <c r="T2052">
        <v>-0.21244749999999901</v>
      </c>
      <c r="U2052">
        <v>-0.47442629999999902</v>
      </c>
      <c r="V2052">
        <v>-5.7424360000000001E-2</v>
      </c>
      <c r="W2052">
        <v>6.6268300000000002E-2</v>
      </c>
      <c r="X2052">
        <v>0.99614799999999903</v>
      </c>
      <c r="Y2052">
        <v>-0.1271941</v>
      </c>
      <c r="Z2052">
        <v>-2.38718E-3</v>
      </c>
      <c r="AA2052">
        <v>0.99187499999999995</v>
      </c>
      <c r="AB2052">
        <v>37</v>
      </c>
      <c r="AC2052">
        <v>-15.151599999999901</v>
      </c>
      <c r="AD2052">
        <v>-1.1043968463860001</v>
      </c>
      <c r="AE2052">
        <v>-2.45549999999997</v>
      </c>
      <c r="AF2052">
        <v>-1.99224103949512</v>
      </c>
      <c r="AG2052">
        <v>-1.1043968463860001</v>
      </c>
      <c r="AH2052">
        <v>15.139711576392299</v>
      </c>
      <c r="AI2052">
        <v>94.136630533837604</v>
      </c>
      <c r="AJ2052">
        <v>97.496503913654294</v>
      </c>
      <c r="AK2052">
        <v>15.3101137608479</v>
      </c>
    </row>
    <row r="2053" spans="1:37" x14ac:dyDescent="0.2">
      <c r="A2053" t="str">
        <f>"20200111153648551"</f>
        <v>20200111153648551</v>
      </c>
      <c r="B2053" t="str">
        <f>"1578728208545208"</f>
        <v>1578728208545208</v>
      </c>
      <c r="C2053" t="s">
        <v>37</v>
      </c>
      <c r="D2053">
        <v>5.6431879999999897</v>
      </c>
      <c r="E2053">
        <v>0.48886089999999999</v>
      </c>
      <c r="F2053" t="s">
        <v>48</v>
      </c>
      <c r="G2053">
        <v>-408.58609999999999</v>
      </c>
      <c r="H2053" s="1">
        <v>5.1548129999999999E-6</v>
      </c>
      <c r="I2053">
        <v>281.90559999999999</v>
      </c>
      <c r="J2053">
        <v>-391.76339999999999</v>
      </c>
      <c r="K2053">
        <v>1.104403</v>
      </c>
      <c r="L2053">
        <v>283.92579999999998</v>
      </c>
      <c r="M2053">
        <v>-0.99946270000000004</v>
      </c>
      <c r="N2053">
        <v>0</v>
      </c>
      <c r="O2053">
        <v>-2.9644130000000001E-2</v>
      </c>
      <c r="P2053">
        <v>-0.99484680000000003</v>
      </c>
      <c r="Q2053">
        <v>5.2277440000000001E-2</v>
      </c>
      <c r="R2053">
        <v>-8.6874110000000004E-2</v>
      </c>
      <c r="S2053">
        <v>-2.99472</v>
      </c>
      <c r="T2053">
        <v>-0.19221769999999999</v>
      </c>
      <c r="U2053">
        <v>-0.35357670000000002</v>
      </c>
      <c r="V2053">
        <v>-5.7311870000000001E-2</v>
      </c>
      <c r="W2053">
        <v>6.6244520000000001E-2</v>
      </c>
      <c r="X2053">
        <v>0.99615609999999999</v>
      </c>
      <c r="Y2053">
        <v>-8.7640579999999996E-2</v>
      </c>
      <c r="Z2053">
        <v>-9.0668089999999997E-4</v>
      </c>
      <c r="AA2053">
        <v>0.99615169999999997</v>
      </c>
      <c r="AB2053">
        <v>37</v>
      </c>
      <c r="AC2053">
        <v>-16.822699999999902</v>
      </c>
      <c r="AD2053">
        <v>-1.104397845187</v>
      </c>
      <c r="AE2053">
        <v>-2.02019999999998</v>
      </c>
      <c r="AF2053">
        <v>-1.5141360186252699</v>
      </c>
      <c r="AG2053">
        <v>-1.104397845187</v>
      </c>
      <c r="AH2053">
        <v>16.803806249603898</v>
      </c>
      <c r="AI2053">
        <v>93.745117428074707</v>
      </c>
      <c r="AJ2053">
        <v>95.148830496033796</v>
      </c>
      <c r="AK2053">
        <v>16.907992398791102</v>
      </c>
    </row>
    <row r="2054" spans="1:37" x14ac:dyDescent="0.2">
      <c r="A2054" t="str">
        <f>"20200111153648573"</f>
        <v>20200111153648573</v>
      </c>
      <c r="B2054" t="str">
        <f>"1578728208564728"</f>
        <v>1578728208564728</v>
      </c>
      <c r="C2054" t="s">
        <v>37</v>
      </c>
      <c r="D2054">
        <v>5.5637270000000001</v>
      </c>
      <c r="E2054">
        <v>0.48831769999999902</v>
      </c>
      <c r="F2054" t="s">
        <v>48</v>
      </c>
      <c r="G2054">
        <v>-410.6037</v>
      </c>
      <c r="H2054" s="1">
        <v>2.5616809999999899E-6</v>
      </c>
      <c r="I2054">
        <v>281.77</v>
      </c>
      <c r="J2054">
        <v>-392.1395</v>
      </c>
      <c r="K2054">
        <v>1.1044039999999999</v>
      </c>
      <c r="L2054">
        <v>283.91480000000001</v>
      </c>
      <c r="M2054">
        <v>-0.99946769999999996</v>
      </c>
      <c r="N2054">
        <v>0</v>
      </c>
      <c r="O2054">
        <v>-2.9472729999999999E-2</v>
      </c>
      <c r="P2054">
        <v>-0.99484539999999999</v>
      </c>
      <c r="Q2054">
        <v>5.24419E-2</v>
      </c>
      <c r="R2054">
        <v>-8.6789110000000003E-2</v>
      </c>
      <c r="S2054">
        <v>-2.994812</v>
      </c>
      <c r="T2054">
        <v>-0.17555270000000001</v>
      </c>
      <c r="U2054">
        <v>-0.34268189999999998</v>
      </c>
      <c r="V2054">
        <v>-5.7397690000000001E-2</v>
      </c>
      <c r="W2054">
        <v>6.6411059999999994E-2</v>
      </c>
      <c r="X2054">
        <v>0.99614009999999997</v>
      </c>
      <c r="Y2054">
        <v>-8.425668E-2</v>
      </c>
      <c r="Z2054">
        <v>-7.3955850000000003E-4</v>
      </c>
      <c r="AA2054">
        <v>0.99644379999999999</v>
      </c>
      <c r="AB2054">
        <v>37</v>
      </c>
      <c r="AC2054">
        <v>-18.464200000000002</v>
      </c>
      <c r="AD2054">
        <v>-1.104401438319</v>
      </c>
      <c r="AE2054">
        <v>-2.1448000000000298</v>
      </c>
      <c r="AF2054">
        <v>-1.5939976740877</v>
      </c>
      <c r="AG2054">
        <v>-1.104401438319</v>
      </c>
      <c r="AH2054">
        <v>18.454253468177999</v>
      </c>
      <c r="AI2054">
        <v>93.412127157973799</v>
      </c>
      <c r="AJ2054">
        <v>94.936705912566694</v>
      </c>
      <c r="AK2054">
        <v>18.555861666592602</v>
      </c>
    </row>
    <row r="2055" spans="1:37" x14ac:dyDescent="0.2">
      <c r="A2055" t="str">
        <f>"20200111153648595"</f>
        <v>20200111153648595</v>
      </c>
      <c r="B2055" t="str">
        <f>"1578728208585224"</f>
        <v>1578728208585224</v>
      </c>
      <c r="C2055" t="s">
        <v>37</v>
      </c>
      <c r="D2055">
        <v>5.6251110000000004</v>
      </c>
      <c r="E2055">
        <v>0.48794929999999997</v>
      </c>
      <c r="F2055" t="s">
        <v>48</v>
      </c>
      <c r="G2055">
        <v>-411.38490000000002</v>
      </c>
      <c r="H2055" s="1">
        <v>2.7076009999999999E-6</v>
      </c>
      <c r="I2055">
        <v>281.68579999999997</v>
      </c>
      <c r="J2055">
        <v>-392.50199999999899</v>
      </c>
      <c r="K2055">
        <v>1.104406</v>
      </c>
      <c r="L2055">
        <v>283.9042</v>
      </c>
      <c r="M2055">
        <v>-0.99947249999999999</v>
      </c>
      <c r="N2055">
        <v>0</v>
      </c>
      <c r="O2055">
        <v>-2.9307880000000001E-2</v>
      </c>
      <c r="P2055">
        <v>-0.99483310000000003</v>
      </c>
      <c r="Q2055">
        <v>5.2922530000000002E-2</v>
      </c>
      <c r="R2055">
        <v>-8.6640199999999903E-2</v>
      </c>
      <c r="S2055">
        <v>-2.994354</v>
      </c>
      <c r="T2055">
        <v>-0.17183180000000001</v>
      </c>
      <c r="U2055">
        <v>-0.34680179999999999</v>
      </c>
      <c r="V2055">
        <v>-5.741342E-2</v>
      </c>
      <c r="W2055">
        <v>6.689254E-2</v>
      </c>
      <c r="X2055">
        <v>0.99610699999999996</v>
      </c>
      <c r="Y2055">
        <v>-8.579233E-2</v>
      </c>
      <c r="Z2055">
        <v>-7.772613E-4</v>
      </c>
      <c r="AA2055">
        <v>0.99631270000000005</v>
      </c>
      <c r="AB2055">
        <v>37</v>
      </c>
      <c r="AC2055">
        <v>-18.882899999999999</v>
      </c>
      <c r="AD2055">
        <v>-1.1044032923989999</v>
      </c>
      <c r="AE2055">
        <v>-2.2184000000000301</v>
      </c>
      <c r="AF2055">
        <v>-1.65837928636472</v>
      </c>
      <c r="AG2055">
        <v>-1.1044032923989999</v>
      </c>
      <c r="AH2055">
        <v>18.8761189593884</v>
      </c>
      <c r="AI2055">
        <v>93.335622766885805</v>
      </c>
      <c r="AJ2055">
        <v>95.020883213087501</v>
      </c>
      <c r="AK2055">
        <v>18.980985102430498</v>
      </c>
    </row>
    <row r="2056" spans="1:37" x14ac:dyDescent="0.2">
      <c r="A2056" t="str">
        <f>"20200111153648617"</f>
        <v>20200111153648617</v>
      </c>
      <c r="B2056" t="str">
        <f>"1578728208614504"</f>
        <v>1578728208614504</v>
      </c>
      <c r="C2056" t="s">
        <v>37</v>
      </c>
      <c r="D2056">
        <v>5.5613630000000001</v>
      </c>
      <c r="E2056">
        <v>0.48689929999999898</v>
      </c>
      <c r="F2056" t="s">
        <v>48</v>
      </c>
      <c r="G2056">
        <v>-411.94619999999998</v>
      </c>
      <c r="H2056" s="1">
        <v>2.811367E-6</v>
      </c>
      <c r="I2056">
        <v>281.6379</v>
      </c>
      <c r="J2056">
        <v>-392.86709999999999</v>
      </c>
      <c r="K2056">
        <v>1.104409</v>
      </c>
      <c r="L2056">
        <v>283.89370000000002</v>
      </c>
      <c r="M2056">
        <v>-0.99947750000000002</v>
      </c>
      <c r="N2056">
        <v>0</v>
      </c>
      <c r="O2056">
        <v>-2.91416E-2</v>
      </c>
      <c r="P2056">
        <v>-0.99485059999999903</v>
      </c>
      <c r="Q2056">
        <v>5.2815090000000002E-2</v>
      </c>
      <c r="R2056">
        <v>-8.6506410000000006E-2</v>
      </c>
      <c r="S2056">
        <v>-2.9942319999999998</v>
      </c>
      <c r="T2056">
        <v>-0.170068</v>
      </c>
      <c r="U2056">
        <v>-0.348999</v>
      </c>
      <c r="V2056">
        <v>-5.7444700000000001E-2</v>
      </c>
      <c r="W2056">
        <v>6.6785490000000003E-2</v>
      </c>
      <c r="X2056">
        <v>0.99611229999999995</v>
      </c>
      <c r="Y2056">
        <v>-8.6684250000000004E-2</v>
      </c>
      <c r="Z2056">
        <v>-8.0391759999999903E-4</v>
      </c>
      <c r="AA2056">
        <v>0.99623549999999905</v>
      </c>
      <c r="AB2056">
        <v>37</v>
      </c>
      <c r="AC2056">
        <v>-19.079099999999901</v>
      </c>
      <c r="AD2056">
        <v>-1.1044061886329899</v>
      </c>
      <c r="AE2056">
        <v>-2.2558000000000198</v>
      </c>
      <c r="AF2056">
        <v>-1.69319664485726</v>
      </c>
      <c r="AG2056">
        <v>-1.1044061886329899</v>
      </c>
      <c r="AH2056">
        <v>19.073709347581602</v>
      </c>
      <c r="AI2056">
        <v>93.300889310079199</v>
      </c>
      <c r="AJ2056">
        <v>95.072919296497304</v>
      </c>
      <c r="AK2056">
        <v>19.1805374320864</v>
      </c>
    </row>
    <row r="2057" spans="1:37" x14ac:dyDescent="0.2">
      <c r="A2057" t="str">
        <f>"20200111153648640"</f>
        <v>20200111153648640</v>
      </c>
      <c r="B2057" t="str">
        <f>"1578728208635000"</f>
        <v>1578728208635000</v>
      </c>
      <c r="C2057" t="s">
        <v>37</v>
      </c>
      <c r="D2057">
        <v>5.535304</v>
      </c>
      <c r="E2057">
        <v>0.4865062</v>
      </c>
      <c r="F2057" t="s">
        <v>48</v>
      </c>
      <c r="G2057">
        <v>-412.2353</v>
      </c>
      <c r="H2057" s="1">
        <v>2.867351E-6</v>
      </c>
      <c r="I2057">
        <v>281.584</v>
      </c>
      <c r="J2057">
        <v>-393.24149999999997</v>
      </c>
      <c r="K2057">
        <v>1.1044080000000001</v>
      </c>
      <c r="L2057">
        <v>283.88290000000001</v>
      </c>
      <c r="M2057">
        <v>-0.99948230000000005</v>
      </c>
      <c r="N2057">
        <v>0</v>
      </c>
      <c r="O2057">
        <v>-2.8971139999999999E-2</v>
      </c>
      <c r="P2057">
        <v>-0.99485429999999997</v>
      </c>
      <c r="Q2057">
        <v>5.2937560000000002E-2</v>
      </c>
      <c r="R2057">
        <v>-8.6386260000000006E-2</v>
      </c>
      <c r="S2057">
        <v>-2.9935909999999999</v>
      </c>
      <c r="T2057">
        <v>-0.170699499999999</v>
      </c>
      <c r="U2057">
        <v>-0.3569946</v>
      </c>
      <c r="V2057">
        <v>-5.7495049999999999E-2</v>
      </c>
      <c r="W2057">
        <v>6.6908250000000002E-2</v>
      </c>
      <c r="X2057">
        <v>0.99610119999999902</v>
      </c>
      <c r="Y2057">
        <v>-8.949725E-2</v>
      </c>
      <c r="Z2057">
        <v>-8.9648039999999998E-4</v>
      </c>
      <c r="AA2057">
        <v>0.99598659999999894</v>
      </c>
      <c r="AB2057">
        <v>37</v>
      </c>
      <c r="AC2057">
        <v>-18.9938</v>
      </c>
      <c r="AD2057">
        <v>-1.1044051326490001</v>
      </c>
      <c r="AE2057">
        <v>-2.2989000000000002</v>
      </c>
      <c r="AF2057">
        <v>-1.7418050671768599</v>
      </c>
      <c r="AG2057">
        <v>-1.1044051326490001</v>
      </c>
      <c r="AH2057">
        <v>18.989160381365899</v>
      </c>
      <c r="AI2057">
        <v>93.314675587859597</v>
      </c>
      <c r="AJ2057">
        <v>95.240863254561205</v>
      </c>
      <c r="AK2057">
        <v>19.1008326409688</v>
      </c>
    </row>
    <row r="2058" spans="1:37" x14ac:dyDescent="0.2">
      <c r="A2058" t="str">
        <f>"20200111153648662"</f>
        <v>20200111153648662</v>
      </c>
      <c r="B2058" t="str">
        <f>"1578728208654520"</f>
        <v>1578728208654520</v>
      </c>
      <c r="C2058" t="s">
        <v>37</v>
      </c>
      <c r="D2058">
        <v>5.4846370000000002</v>
      </c>
      <c r="E2058">
        <v>0.48626209999999997</v>
      </c>
      <c r="F2058" t="s">
        <v>48</v>
      </c>
      <c r="G2058">
        <v>-412.86720000000003</v>
      </c>
      <c r="H2058" s="1">
        <v>2.984624E-6</v>
      </c>
      <c r="I2058">
        <v>281.52460000000002</v>
      </c>
      <c r="J2058">
        <v>-393.61399999999998</v>
      </c>
      <c r="K2058">
        <v>1.104411</v>
      </c>
      <c r="L2058">
        <v>283.8723</v>
      </c>
      <c r="M2058">
        <v>-0.99948729999999997</v>
      </c>
      <c r="N2058">
        <v>0</v>
      </c>
      <c r="O2058">
        <v>-2.8800329999999999E-2</v>
      </c>
      <c r="P2058">
        <v>-0.9948555</v>
      </c>
      <c r="Q2058">
        <v>5.2796709999999997E-2</v>
      </c>
      <c r="R2058">
        <v>-8.6458889999999997E-2</v>
      </c>
      <c r="S2058">
        <v>-2.9931950000000001</v>
      </c>
      <c r="T2058">
        <v>-0.16843749999999999</v>
      </c>
      <c r="U2058">
        <v>-0.35968020000000001</v>
      </c>
      <c r="V2058">
        <v>-5.7737829999999997E-2</v>
      </c>
      <c r="W2058">
        <v>6.6767400000000005E-2</v>
      </c>
      <c r="X2058">
        <v>0.9960966</v>
      </c>
      <c r="Y2058">
        <v>-9.0564510000000001E-2</v>
      </c>
      <c r="Z2058">
        <v>-9.2415229999999904E-4</v>
      </c>
      <c r="AA2058">
        <v>0.9958901</v>
      </c>
      <c r="AB2058">
        <v>37</v>
      </c>
      <c r="AC2058">
        <v>-19.2532</v>
      </c>
      <c r="AD2058">
        <v>-1.1044080153760001</v>
      </c>
      <c r="AE2058">
        <v>-2.3476999999999699</v>
      </c>
      <c r="AF2058">
        <v>-1.7863813215525399</v>
      </c>
      <c r="AG2058">
        <v>-1.1044080153760001</v>
      </c>
      <c r="AH2058">
        <v>19.250418849756599</v>
      </c>
      <c r="AI2058">
        <v>93.269477442942701</v>
      </c>
      <c r="AJ2058">
        <v>95.301693714450195</v>
      </c>
      <c r="AK2058">
        <v>19.364645650811202</v>
      </c>
    </row>
    <row r="2059" spans="1:37" x14ac:dyDescent="0.2">
      <c r="A2059" t="str">
        <f>"20200111153648684"</f>
        <v>20200111153648684</v>
      </c>
      <c r="B2059" t="str">
        <f>"1578728208675016"</f>
        <v>1578728208675016</v>
      </c>
      <c r="C2059" t="s">
        <v>37</v>
      </c>
      <c r="D2059">
        <v>5.3824750000000003</v>
      </c>
      <c r="E2059">
        <v>0.48599100000000001</v>
      </c>
      <c r="F2059" t="s">
        <v>48</v>
      </c>
      <c r="G2059">
        <v>-413.5686</v>
      </c>
      <c r="H2059" s="1">
        <v>3.11462999999999E-6</v>
      </c>
      <c r="I2059">
        <v>281.46080000000001</v>
      </c>
      <c r="J2059">
        <v>-393.97980000000001</v>
      </c>
      <c r="K2059">
        <v>1.104409</v>
      </c>
      <c r="L2059">
        <v>283.86189999999999</v>
      </c>
      <c r="M2059">
        <v>-0.99949219999999905</v>
      </c>
      <c r="N2059">
        <v>0</v>
      </c>
      <c r="O2059">
        <v>-2.863274E-2</v>
      </c>
      <c r="P2059">
        <v>-0.99478239999999996</v>
      </c>
      <c r="Q2059">
        <v>5.3017950000000001E-2</v>
      </c>
      <c r="R2059">
        <v>-8.7161409999999995E-2</v>
      </c>
      <c r="S2059">
        <v>-2.9928590000000002</v>
      </c>
      <c r="T2059">
        <v>-0.16564300000000001</v>
      </c>
      <c r="U2059">
        <v>-0.36169429999999902</v>
      </c>
      <c r="V2059">
        <v>-5.860899E-2</v>
      </c>
      <c r="W2059">
        <v>6.698817E-2</v>
      </c>
      <c r="X2059">
        <v>0.99603090000000005</v>
      </c>
      <c r="Y2059">
        <v>-9.1406959999999995E-2</v>
      </c>
      <c r="Z2059">
        <v>-9.4134860000000004E-4</v>
      </c>
      <c r="AA2059">
        <v>0.99581319999999995</v>
      </c>
      <c r="AB2059">
        <v>37</v>
      </c>
      <c r="AC2059">
        <v>-19.5887999999999</v>
      </c>
      <c r="AD2059">
        <v>-1.1044058853700001</v>
      </c>
      <c r="AE2059">
        <v>-2.40109999999998</v>
      </c>
      <c r="AF2059">
        <v>-1.83343792097784</v>
      </c>
      <c r="AG2059">
        <v>-1.1044058853700001</v>
      </c>
      <c r="AH2059">
        <v>19.5881816048636</v>
      </c>
      <c r="AI2059">
        <v>93.212976551348902</v>
      </c>
      <c r="AJ2059">
        <v>95.347259397676396</v>
      </c>
      <c r="AK2059">
        <v>19.704772659303501</v>
      </c>
    </row>
    <row r="2060" spans="1:37" x14ac:dyDescent="0.2">
      <c r="A2060" t="str">
        <f>"20200111153648706"</f>
        <v>20200111153648706</v>
      </c>
      <c r="B2060" t="str">
        <f>"1578728208694536"</f>
        <v>1578728208694536</v>
      </c>
      <c r="C2060" t="s">
        <v>37</v>
      </c>
      <c r="D2060">
        <v>5.4765540000000001</v>
      </c>
      <c r="E2060">
        <v>0.48577090000000001</v>
      </c>
      <c r="F2060" t="s">
        <v>48</v>
      </c>
      <c r="G2060">
        <v>-414.15870000000001</v>
      </c>
      <c r="H2060" s="1">
        <v>3.2250639999999899E-6</v>
      </c>
      <c r="I2060">
        <v>281.39490000000001</v>
      </c>
      <c r="J2060">
        <v>-394.3426</v>
      </c>
      <c r="K2060">
        <v>1.104414</v>
      </c>
      <c r="L2060">
        <v>283.85169999999999</v>
      </c>
      <c r="M2060">
        <v>-0.99949690000000002</v>
      </c>
      <c r="N2060">
        <v>0</v>
      </c>
      <c r="O2060">
        <v>-2.846622E-2</v>
      </c>
      <c r="P2060">
        <v>-0.99477549999999904</v>
      </c>
      <c r="Q2060">
        <v>5.310409E-2</v>
      </c>
      <c r="R2060">
        <v>-8.7190909999999996E-2</v>
      </c>
      <c r="S2060">
        <v>-2.9924009999999899</v>
      </c>
      <c r="T2060">
        <v>-0.16377620000000001</v>
      </c>
      <c r="U2060">
        <v>-0.36584470000000002</v>
      </c>
      <c r="V2060">
        <v>-5.8805290000000003E-2</v>
      </c>
      <c r="W2060">
        <v>6.7073789999999994E-2</v>
      </c>
      <c r="X2060">
        <v>0.99601360000000005</v>
      </c>
      <c r="Y2060">
        <v>-9.2951549999999994E-2</v>
      </c>
      <c r="Z2060">
        <v>-9.8197010000000001E-4</v>
      </c>
      <c r="AA2060">
        <v>0.995670099999999</v>
      </c>
      <c r="AB2060">
        <v>37</v>
      </c>
      <c r="AC2060">
        <v>-19.816099999999999</v>
      </c>
      <c r="AD2060">
        <v>-1.1044107749359999</v>
      </c>
      <c r="AE2060">
        <v>-2.4567999999999799</v>
      </c>
      <c r="AF2060">
        <v>-1.8858903423178699</v>
      </c>
      <c r="AG2060">
        <v>-1.1044107749359999</v>
      </c>
      <c r="AH2060">
        <v>19.817386437023501</v>
      </c>
      <c r="AI2060">
        <v>93.175442557873495</v>
      </c>
      <c r="AJ2060">
        <v>95.436092094882795</v>
      </c>
      <c r="AK2060">
        <v>19.937530206556801</v>
      </c>
    </row>
    <row r="2061" spans="1:37" x14ac:dyDescent="0.2">
      <c r="A2061" t="str">
        <f>"20200111153648729"</f>
        <v>20200111153648729</v>
      </c>
      <c r="B2061" t="str">
        <f>"1578728208724792"</f>
        <v>1578728208724792</v>
      </c>
      <c r="C2061" t="s">
        <v>37</v>
      </c>
      <c r="D2061">
        <v>5.7378419999999997</v>
      </c>
      <c r="E2061">
        <v>0.48543819999999999</v>
      </c>
      <c r="F2061" t="s">
        <v>48</v>
      </c>
      <c r="G2061">
        <v>-414.58499999999998</v>
      </c>
      <c r="H2061" s="1">
        <v>3.303361E-6</v>
      </c>
      <c r="I2061">
        <v>281.36419999999998</v>
      </c>
      <c r="J2061">
        <v>-394.71620000000001</v>
      </c>
      <c r="K2061">
        <v>1.1044119999999999</v>
      </c>
      <c r="L2061">
        <v>283.84120000000001</v>
      </c>
      <c r="M2061">
        <v>-0.99950190000000005</v>
      </c>
      <c r="N2061">
        <v>0</v>
      </c>
      <c r="O2061">
        <v>-2.829516E-2</v>
      </c>
      <c r="P2061">
        <v>-0.99475550000000001</v>
      </c>
      <c r="Q2061">
        <v>5.3204340000000003E-2</v>
      </c>
      <c r="R2061">
        <v>-8.7356390000000006E-2</v>
      </c>
      <c r="S2061">
        <v>-2.9922789999999999</v>
      </c>
      <c r="T2061">
        <v>-0.1632566</v>
      </c>
      <c r="U2061">
        <v>-0.36770629999999999</v>
      </c>
      <c r="V2061">
        <v>-5.9142090000000001E-2</v>
      </c>
      <c r="W2061">
        <v>6.7172750000000003E-2</v>
      </c>
      <c r="X2061">
        <v>0.99598690000000001</v>
      </c>
      <c r="Y2061">
        <v>-9.3736280000000005E-2</v>
      </c>
      <c r="Z2061">
        <v>-1.0094570000000001E-3</v>
      </c>
      <c r="AA2061">
        <v>0.9955965</v>
      </c>
      <c r="AB2061">
        <v>37</v>
      </c>
      <c r="AC2061">
        <v>-19.868799999999901</v>
      </c>
      <c r="AD2061">
        <v>-1.1044086966390001</v>
      </c>
      <c r="AE2061">
        <v>-2.4770000000000301</v>
      </c>
      <c r="AF2061">
        <v>-1.9079574553516501</v>
      </c>
      <c r="AG2061">
        <v>-1.1044086966390001</v>
      </c>
      <c r="AH2061">
        <v>19.870482916399101</v>
      </c>
      <c r="AI2061">
        <v>93.166712376469107</v>
      </c>
      <c r="AJ2061">
        <v>95.484707852918504</v>
      </c>
      <c r="AK2061">
        <v>19.9924013452999</v>
      </c>
    </row>
    <row r="2062" spans="1:37" x14ac:dyDescent="0.2">
      <c r="A2062" t="str">
        <f>"20200111153648762"</f>
        <v>20200111153648762</v>
      </c>
      <c r="B2062" t="str">
        <f>"1578728208755050"</f>
        <v>1578728208755050</v>
      </c>
      <c r="C2062" t="s">
        <v>37</v>
      </c>
      <c r="D2062">
        <v>5.4664339999999996</v>
      </c>
      <c r="E2062">
        <v>0.48521039999999999</v>
      </c>
      <c r="F2062" t="s">
        <v>48</v>
      </c>
      <c r="G2062">
        <v>-415.00330000000002</v>
      </c>
      <c r="H2062" s="1">
        <v>3.3805909999999998E-6</v>
      </c>
      <c r="I2062">
        <v>281.32960000000003</v>
      </c>
      <c r="J2062">
        <v>-395.27429999999998</v>
      </c>
      <c r="K2062">
        <v>1.104417</v>
      </c>
      <c r="L2062">
        <v>283.82569999999998</v>
      </c>
      <c r="M2062">
        <v>-0.99950890000000003</v>
      </c>
      <c r="N2062">
        <v>0</v>
      </c>
      <c r="O2062">
        <v>-2.8040059999999999E-2</v>
      </c>
      <c r="P2062">
        <v>-0.99469879999999999</v>
      </c>
      <c r="Q2062">
        <v>5.355418E-2</v>
      </c>
      <c r="R2062">
        <v>-8.7786929999999999E-2</v>
      </c>
      <c r="S2062">
        <v>-2.9920040000000001</v>
      </c>
      <c r="T2062">
        <v>-0.1628819</v>
      </c>
      <c r="U2062">
        <v>-0.37042239999999999</v>
      </c>
      <c r="V2062">
        <v>-5.982788E-2</v>
      </c>
      <c r="W2062">
        <v>6.7520540000000004E-2</v>
      </c>
      <c r="X2062">
        <v>0.99592250000000004</v>
      </c>
      <c r="Y2062">
        <v>-9.4890000000000002E-2</v>
      </c>
      <c r="Z2062">
        <v>-1.0522559999999999E-3</v>
      </c>
      <c r="AA2062">
        <v>0.99548719999999902</v>
      </c>
      <c r="AB2062">
        <v>37</v>
      </c>
      <c r="AC2062">
        <v>-19.728999999999999</v>
      </c>
      <c r="AD2062">
        <v>-1.104413619409</v>
      </c>
      <c r="AE2062">
        <v>-2.49609999999995</v>
      </c>
      <c r="AF2062">
        <v>-1.9358909870958301</v>
      </c>
      <c r="AG2062">
        <v>-1.104413619409</v>
      </c>
      <c r="AH2062">
        <v>19.730384264134699</v>
      </c>
      <c r="AI2062">
        <v>93.188524159556195</v>
      </c>
      <c r="AJ2062">
        <v>95.603767606887899</v>
      </c>
      <c r="AK2062">
        <v>19.8558673083568</v>
      </c>
    </row>
    <row r="2063" spans="1:37" x14ac:dyDescent="0.2">
      <c r="A2063" t="str">
        <f>"20200111153648785"</f>
        <v>20200111153648785</v>
      </c>
      <c r="B2063" t="str">
        <f>"1578728208774568"</f>
        <v>1578728208774568</v>
      </c>
      <c r="C2063" t="s">
        <v>37</v>
      </c>
      <c r="D2063">
        <v>5.47248</v>
      </c>
      <c r="E2063">
        <v>0.48510550000000002</v>
      </c>
      <c r="F2063" t="s">
        <v>48</v>
      </c>
      <c r="G2063">
        <v>-415.65390000000002</v>
      </c>
      <c r="H2063" s="1">
        <v>3.500177E-6</v>
      </c>
      <c r="I2063">
        <v>281.28179999999998</v>
      </c>
      <c r="J2063">
        <v>-395.64389999999997</v>
      </c>
      <c r="K2063">
        <v>1.1044179999999999</v>
      </c>
      <c r="L2063">
        <v>283.81549999999999</v>
      </c>
      <c r="M2063">
        <v>-0.99951369999999895</v>
      </c>
      <c r="N2063">
        <v>0</v>
      </c>
      <c r="O2063">
        <v>-2.7870180000000001E-2</v>
      </c>
      <c r="P2063">
        <v>-0.9946625</v>
      </c>
      <c r="Q2063">
        <v>5.383566E-2</v>
      </c>
      <c r="R2063">
        <v>-8.8025469999999995E-2</v>
      </c>
      <c r="S2063">
        <v>-2.99175999999999</v>
      </c>
      <c r="T2063">
        <v>-0.16212979999999999</v>
      </c>
      <c r="U2063">
        <v>-0.37344359999999999</v>
      </c>
      <c r="V2063">
        <v>-6.0236560000000001E-2</v>
      </c>
      <c r="W2063">
        <v>6.7800750000000007E-2</v>
      </c>
      <c r="X2063">
        <v>0.99587879999999995</v>
      </c>
      <c r="Y2063">
        <v>-9.6058000000000004E-2</v>
      </c>
      <c r="Z2063">
        <v>-1.088087E-3</v>
      </c>
      <c r="AA2063">
        <v>0.99537520000000002</v>
      </c>
      <c r="AB2063">
        <v>37</v>
      </c>
      <c r="AC2063">
        <v>-20.010000000000002</v>
      </c>
      <c r="AD2063">
        <v>-1.1044144998230001</v>
      </c>
      <c r="AE2063">
        <v>-2.5337000000000098</v>
      </c>
      <c r="AF2063">
        <v>-1.9690750362890399</v>
      </c>
      <c r="AG2063">
        <v>-1.1044144998230001</v>
      </c>
      <c r="AH2063">
        <v>20.012844469451299</v>
      </c>
      <c r="AI2063">
        <v>93.143531463635398</v>
      </c>
      <c r="AJ2063">
        <v>95.619277730406495</v>
      </c>
      <c r="AK2063">
        <v>20.139784796377601</v>
      </c>
    </row>
    <row r="2064" spans="1:37" x14ac:dyDescent="0.2">
      <c r="A2064" t="str">
        <f>"20200111153648807"</f>
        <v>20200111153648807</v>
      </c>
      <c r="B2064" t="str">
        <f>"1578728208804823"</f>
        <v>1578728208804823</v>
      </c>
      <c r="C2064" t="s">
        <v>37</v>
      </c>
      <c r="D2064">
        <v>6.7097990000000003</v>
      </c>
      <c r="E2064">
        <v>0.480025599999999</v>
      </c>
      <c r="F2064" t="s">
        <v>48</v>
      </c>
      <c r="G2064">
        <v>-416.07369999999997</v>
      </c>
      <c r="H2064" s="1">
        <v>3.5769410000000001E-6</v>
      </c>
      <c r="I2064">
        <v>281.25549999999998</v>
      </c>
      <c r="J2064">
        <v>-396.00869999999998</v>
      </c>
      <c r="K2064">
        <v>1.10442</v>
      </c>
      <c r="L2064">
        <v>283.80549999999999</v>
      </c>
      <c r="M2064">
        <v>-0.99951829999999997</v>
      </c>
      <c r="N2064">
        <v>0</v>
      </c>
      <c r="O2064">
        <v>-2.7701719999999999E-2</v>
      </c>
      <c r="P2064">
        <v>-0.99463519999999905</v>
      </c>
      <c r="Q2064">
        <v>5.3942370000000003E-2</v>
      </c>
      <c r="R2064">
        <v>-8.826908E-2</v>
      </c>
      <c r="S2064">
        <v>-2.9916990000000001</v>
      </c>
      <c r="T2064">
        <v>-0.16172819999999999</v>
      </c>
      <c r="U2064">
        <v>-0.37487789999999999</v>
      </c>
      <c r="V2064">
        <v>-6.0648319999999999E-2</v>
      </c>
      <c r="W2064">
        <v>6.7905889999999997E-2</v>
      </c>
      <c r="X2064">
        <v>0.99584669999999897</v>
      </c>
      <c r="Y2064">
        <v>-9.6697430000000001E-2</v>
      </c>
      <c r="Z2064">
        <v>-1.1116469999999999E-3</v>
      </c>
      <c r="AA2064">
        <v>0.99531320000000001</v>
      </c>
      <c r="AB2064">
        <v>37</v>
      </c>
      <c r="AC2064">
        <v>-20.065000000000001</v>
      </c>
      <c r="AD2064">
        <v>-1.1044164230589999</v>
      </c>
      <c r="AE2064">
        <v>-2.55000000000001</v>
      </c>
      <c r="AF2064">
        <v>-1.9872069934688701</v>
      </c>
      <c r="AG2064">
        <v>-1.1044164230589999</v>
      </c>
      <c r="AH2064">
        <v>20.0681122347711</v>
      </c>
      <c r="AI2064">
        <v>93.134703435661507</v>
      </c>
      <c r="AJ2064">
        <v>95.655170600915</v>
      </c>
      <c r="AK2064">
        <v>20.196481276147601</v>
      </c>
    </row>
    <row r="2065" spans="1:37" x14ac:dyDescent="0.2">
      <c r="A2065" t="str">
        <f>"20200111153648830"</f>
        <v>20200111153648830</v>
      </c>
      <c r="B2065" t="str">
        <f>"1578728208824343"</f>
        <v>1578728208824343</v>
      </c>
      <c r="C2065" t="s">
        <v>37</v>
      </c>
      <c r="D2065">
        <v>5.4772730000000003</v>
      </c>
      <c r="E2065">
        <v>0.4831896</v>
      </c>
      <c r="F2065" t="s">
        <v>48</v>
      </c>
      <c r="G2065">
        <v>-411.97890000000001</v>
      </c>
      <c r="H2065" s="1">
        <v>2.821337E-6</v>
      </c>
      <c r="I2065">
        <v>281.59010000000001</v>
      </c>
      <c r="J2065">
        <v>-396.37630000000001</v>
      </c>
      <c r="K2065">
        <v>1.1044129999999901</v>
      </c>
      <c r="L2065">
        <v>283.7955</v>
      </c>
      <c r="M2065">
        <v>-0.99952319999999995</v>
      </c>
      <c r="N2065">
        <v>0</v>
      </c>
      <c r="O2065">
        <v>-2.7530289999999999E-2</v>
      </c>
      <c r="P2065">
        <v>-0.99458459999999904</v>
      </c>
      <c r="Q2065">
        <v>5.4049630000000001E-2</v>
      </c>
      <c r="R2065">
        <v>-8.8770260000000004E-2</v>
      </c>
      <c r="S2065">
        <v>-2.99057</v>
      </c>
      <c r="T2065">
        <v>-0.20681289999999999</v>
      </c>
      <c r="U2065">
        <v>-0.414856</v>
      </c>
      <c r="V2065">
        <v>-6.1322149999999999E-2</v>
      </c>
      <c r="W2065">
        <v>6.8011489999999994E-2</v>
      </c>
      <c r="X2065">
        <v>0.99579819999999997</v>
      </c>
      <c r="Y2065">
        <v>-0.109888899999999</v>
      </c>
      <c r="Z2065">
        <v>-1.8854639999999899E-3</v>
      </c>
      <c r="AA2065">
        <v>0.99394210000000005</v>
      </c>
      <c r="AB2065">
        <v>37</v>
      </c>
      <c r="AC2065">
        <v>-15.602599999999899</v>
      </c>
      <c r="AD2065">
        <v>-1.1044101786629901</v>
      </c>
      <c r="AE2065">
        <v>-2.2053999999999898</v>
      </c>
      <c r="AF2065">
        <v>-1.76630142114769</v>
      </c>
      <c r="AG2065">
        <v>-1.1044101786629901</v>
      </c>
      <c r="AH2065">
        <v>15.580869970795</v>
      </c>
      <c r="AI2065">
        <v>94.028764789919805</v>
      </c>
      <c r="AJ2065">
        <v>96.467636666035503</v>
      </c>
      <c r="AK2065">
        <v>15.719511811755</v>
      </c>
    </row>
    <row r="2066" spans="1:37" x14ac:dyDescent="0.2">
      <c r="A2066" t="str">
        <f>"20200111153648852"</f>
        <v>20200111153648852</v>
      </c>
      <c r="B2066" t="str">
        <f>"1578728208844840"</f>
        <v>1578728208844840</v>
      </c>
      <c r="C2066" t="s">
        <v>37</v>
      </c>
      <c r="D2066">
        <v>5.4810400000000001</v>
      </c>
      <c r="E2066">
        <v>0.48326750000000002</v>
      </c>
      <c r="F2066" t="s">
        <v>48</v>
      </c>
      <c r="G2066">
        <v>-416.98219999999998</v>
      </c>
      <c r="H2066" s="1">
        <v>3.7523500000000002E-6</v>
      </c>
      <c r="I2066">
        <v>281.0924</v>
      </c>
      <c r="J2066">
        <v>-396.7473</v>
      </c>
      <c r="K2066">
        <v>1.104417</v>
      </c>
      <c r="L2066">
        <v>283.78539999999998</v>
      </c>
      <c r="M2066">
        <v>-0.99952790000000002</v>
      </c>
      <c r="N2066">
        <v>0</v>
      </c>
      <c r="O2066">
        <v>-2.7353840000000001E-2</v>
      </c>
      <c r="P2066">
        <v>-0.99461449999999996</v>
      </c>
      <c r="Q2066">
        <v>5.3432229999999997E-2</v>
      </c>
      <c r="R2066">
        <v>-8.8810150000000004E-2</v>
      </c>
      <c r="S2066">
        <v>-2.9900509999999998</v>
      </c>
      <c r="T2066">
        <v>-0.1602567</v>
      </c>
      <c r="U2066">
        <v>-0.39224239999999999</v>
      </c>
      <c r="V2066">
        <v>-6.1536979999999998E-2</v>
      </c>
      <c r="W2066">
        <v>6.7393019999999998E-2</v>
      </c>
      <c r="X2066">
        <v>0.99582700000000002</v>
      </c>
      <c r="Y2066">
        <v>-0.10278900000000001</v>
      </c>
      <c r="Z2066">
        <v>-1.2827380000000001E-3</v>
      </c>
      <c r="AA2066">
        <v>0.99470230000000004</v>
      </c>
      <c r="AB2066">
        <v>37</v>
      </c>
      <c r="AC2066">
        <v>-20.2348999999999</v>
      </c>
      <c r="AD2066">
        <v>-1.1044132476499999</v>
      </c>
      <c r="AE2066">
        <v>-2.6929999999999801</v>
      </c>
      <c r="AF2066">
        <v>-2.1321945950691998</v>
      </c>
      <c r="AG2066">
        <v>-1.1044132476499999</v>
      </c>
      <c r="AH2066">
        <v>20.241748568099201</v>
      </c>
      <c r="AI2066">
        <v>93.105877946012598</v>
      </c>
      <c r="AJ2066">
        <v>96.013161079257799</v>
      </c>
      <c r="AK2066">
        <v>20.383678949271498</v>
      </c>
    </row>
    <row r="2067" spans="1:37" x14ac:dyDescent="0.2">
      <c r="A2067" t="str">
        <f>"20200111153648874"</f>
        <v>20200111153648874</v>
      </c>
      <c r="B2067" t="str">
        <f>"1578728208864360"</f>
        <v>1578728208864360</v>
      </c>
      <c r="C2067" t="s">
        <v>37</v>
      </c>
      <c r="D2067">
        <v>5.4360730000000004</v>
      </c>
      <c r="E2067">
        <v>0.48321320000000001</v>
      </c>
      <c r="F2067" t="s">
        <v>48</v>
      </c>
      <c r="G2067">
        <v>-416.51670000000001</v>
      </c>
      <c r="H2067" s="1">
        <v>3.66066899999999E-6</v>
      </c>
      <c r="I2067">
        <v>281.19659999999999</v>
      </c>
      <c r="J2067">
        <v>-397.10910000000001</v>
      </c>
      <c r="K2067">
        <v>1.1044229999999999</v>
      </c>
      <c r="L2067">
        <v>283.77569999999997</v>
      </c>
      <c r="M2067">
        <v>-0.9995328</v>
      </c>
      <c r="N2067">
        <v>0</v>
      </c>
      <c r="O2067">
        <v>-2.7178210000000001E-2</v>
      </c>
      <c r="P2067">
        <v>-0.99460249999999994</v>
      </c>
      <c r="Q2067">
        <v>5.3863109999999999E-2</v>
      </c>
      <c r="R2067">
        <v>-8.8683700000000004E-2</v>
      </c>
      <c r="S2067">
        <v>-2.9902340000000001</v>
      </c>
      <c r="T2067">
        <v>-0.16704820000000001</v>
      </c>
      <c r="U2067">
        <v>-0.391571</v>
      </c>
      <c r="V2067">
        <v>-6.1585519999999998E-2</v>
      </c>
      <c r="W2067">
        <v>6.7822140000000003E-2</v>
      </c>
      <c r="X2067">
        <v>0.99579479999999998</v>
      </c>
      <c r="Y2067">
        <v>-0.102727</v>
      </c>
      <c r="Z2067">
        <v>-1.3449829999999999E-3</v>
      </c>
      <c r="AA2067">
        <v>0.9947087</v>
      </c>
      <c r="AB2067">
        <v>37</v>
      </c>
      <c r="AC2067">
        <v>-19.407599999999999</v>
      </c>
      <c r="AD2067">
        <v>-1.104419339331</v>
      </c>
      <c r="AE2067">
        <v>-2.57909999999998</v>
      </c>
      <c r="AF2067">
        <v>-2.0441269695102702</v>
      </c>
      <c r="AG2067">
        <v>-1.104419339331</v>
      </c>
      <c r="AH2067">
        <v>19.4087699345272</v>
      </c>
      <c r="AI2067">
        <v>93.238920388424603</v>
      </c>
      <c r="AJ2067">
        <v>96.012213396020698</v>
      </c>
      <c r="AK2067">
        <v>19.547341187894901</v>
      </c>
    </row>
    <row r="2068" spans="1:37" x14ac:dyDescent="0.2">
      <c r="A2068" t="str">
        <f>"20200111153648896"</f>
        <v>20200111153648896</v>
      </c>
      <c r="B2068" t="str">
        <f>"1578728208884856"</f>
        <v>1578728208884856</v>
      </c>
      <c r="C2068" t="s">
        <v>37</v>
      </c>
      <c r="D2068">
        <v>5.5463190000000004</v>
      </c>
      <c r="E2068">
        <v>0.48314020000000002</v>
      </c>
      <c r="F2068" t="s">
        <v>48</v>
      </c>
      <c r="G2068">
        <v>-416.96749999999997</v>
      </c>
      <c r="H2068" s="1">
        <v>3.74255299999999E-6</v>
      </c>
      <c r="I2068">
        <v>281.1746</v>
      </c>
      <c r="J2068">
        <v>-397.4753</v>
      </c>
      <c r="K2068">
        <v>1.1044259999999999</v>
      </c>
      <c r="L2068">
        <v>283.765999999999</v>
      </c>
      <c r="M2068">
        <v>-0.99953780000000003</v>
      </c>
      <c r="N2068">
        <v>0</v>
      </c>
      <c r="O2068">
        <v>-2.699613E-2</v>
      </c>
      <c r="P2068">
        <v>-0.9946294</v>
      </c>
      <c r="Q2068">
        <v>5.4182470000000003E-2</v>
      </c>
      <c r="R2068">
        <v>-8.8187000000000001E-2</v>
      </c>
      <c r="S2068">
        <v>-2.990326</v>
      </c>
      <c r="T2068">
        <v>-0.1663065</v>
      </c>
      <c r="U2068">
        <v>-0.39169309999999902</v>
      </c>
      <c r="V2068">
        <v>-6.1268910000000003E-2</v>
      </c>
      <c r="W2068">
        <v>6.8140419999999993E-2</v>
      </c>
      <c r="X2068">
        <v>0.99579259999999903</v>
      </c>
      <c r="Y2068">
        <v>-0.1029446</v>
      </c>
      <c r="Z2068">
        <v>-1.355062E-3</v>
      </c>
      <c r="AA2068">
        <v>0.99468619999999996</v>
      </c>
      <c r="AB2068">
        <v>37</v>
      </c>
      <c r="AC2068">
        <v>-19.492199999999901</v>
      </c>
      <c r="AD2068">
        <v>-1.104422257447</v>
      </c>
      <c r="AE2068">
        <v>-2.5913999999999602</v>
      </c>
      <c r="AF2068">
        <v>-2.0576988183319802</v>
      </c>
      <c r="AG2068">
        <v>-1.104422257447</v>
      </c>
      <c r="AH2068">
        <v>19.493565304980699</v>
      </c>
      <c r="AI2068">
        <v>93.224789764406594</v>
      </c>
      <c r="AJ2068">
        <v>96.0257049516687</v>
      </c>
      <c r="AK2068">
        <v>19.632955998760199</v>
      </c>
    </row>
    <row r="2069" spans="1:37" x14ac:dyDescent="0.2">
      <c r="A2069" t="str">
        <f>"20200111153648919"</f>
        <v>20200111153648919</v>
      </c>
      <c r="B2069" t="str">
        <f>"1578728208915112"</f>
        <v>1578728208915112</v>
      </c>
      <c r="C2069" t="s">
        <v>37</v>
      </c>
      <c r="D2069">
        <v>5.4610959999999897</v>
      </c>
      <c r="E2069">
        <v>0.48325039999999903</v>
      </c>
      <c r="F2069" t="s">
        <v>48</v>
      </c>
      <c r="G2069">
        <v>-417.28100000000001</v>
      </c>
      <c r="H2069" s="1">
        <v>3.7979539999999999E-6</v>
      </c>
      <c r="I2069">
        <v>281.17700000000002</v>
      </c>
      <c r="J2069">
        <v>-397.84219999999999</v>
      </c>
      <c r="K2069">
        <v>1.1044290000000001</v>
      </c>
      <c r="L2069">
        <v>283.75619999999998</v>
      </c>
      <c r="M2069">
        <v>-0.99954279999999995</v>
      </c>
      <c r="N2069">
        <v>0</v>
      </c>
      <c r="O2069">
        <v>-2.6809030000000001E-2</v>
      </c>
      <c r="P2069">
        <v>-0.99470119999999895</v>
      </c>
      <c r="Q2069">
        <v>5.4262709999999999E-2</v>
      </c>
      <c r="R2069">
        <v>-8.7321860000000001E-2</v>
      </c>
      <c r="S2069">
        <v>-2.990631</v>
      </c>
      <c r="T2069">
        <v>-0.16676579999999999</v>
      </c>
      <c r="U2069">
        <v>-0.39093020000000001</v>
      </c>
      <c r="V2069">
        <v>-6.0588120000000002E-2</v>
      </c>
      <c r="W2069">
        <v>6.8219859999999993E-2</v>
      </c>
      <c r="X2069">
        <v>0.99582890000000002</v>
      </c>
      <c r="Y2069">
        <v>-0.1028674</v>
      </c>
      <c r="Z2069">
        <v>-1.366913E-3</v>
      </c>
      <c r="AA2069">
        <v>0.99469409999999903</v>
      </c>
      <c r="AB2069">
        <v>37</v>
      </c>
      <c r="AC2069">
        <v>-19.438800000000001</v>
      </c>
      <c r="AD2069">
        <v>-1.1044252020459999</v>
      </c>
      <c r="AE2069">
        <v>-2.57919999999995</v>
      </c>
      <c r="AF2069">
        <v>-2.0505817078511401</v>
      </c>
      <c r="AG2069">
        <v>-1.1044252020459999</v>
      </c>
      <c r="AH2069">
        <v>19.439299924238199</v>
      </c>
      <c r="AI2069">
        <v>93.233805447684105</v>
      </c>
      <c r="AJ2069">
        <v>96.021656146273003</v>
      </c>
      <c r="AK2069">
        <v>19.578330416865899</v>
      </c>
    </row>
    <row r="2070" spans="1:37" x14ac:dyDescent="0.2">
      <c r="A2070" t="str">
        <f>"20200111153648942"</f>
        <v>20200111153648942</v>
      </c>
      <c r="B2070" t="str">
        <f>"1578728208934632"</f>
        <v>1578728208934632</v>
      </c>
      <c r="C2070" t="s">
        <v>37</v>
      </c>
      <c r="D2070">
        <v>5.5015080000000003</v>
      </c>
      <c r="E2070">
        <v>0.48323169999999999</v>
      </c>
      <c r="F2070" t="s">
        <v>48</v>
      </c>
      <c r="G2070">
        <v>-417.2885</v>
      </c>
      <c r="H2070" s="1">
        <v>3.7938290000000002E-6</v>
      </c>
      <c r="I2070">
        <v>281.23939999999999</v>
      </c>
      <c r="J2070">
        <v>-398.21589999999998</v>
      </c>
      <c r="K2070">
        <v>1.1044369999999999</v>
      </c>
      <c r="L2070">
        <v>283.74639999999999</v>
      </c>
      <c r="M2070">
        <v>-0.99954799999999999</v>
      </c>
      <c r="N2070">
        <v>0</v>
      </c>
      <c r="O2070">
        <v>-2.661285E-2</v>
      </c>
      <c r="P2070">
        <v>-0.99478670000000002</v>
      </c>
      <c r="Q2070">
        <v>5.4463009999999999E-2</v>
      </c>
      <c r="R2070">
        <v>-8.6217650000000007E-2</v>
      </c>
      <c r="S2070">
        <v>-2.991241</v>
      </c>
      <c r="T2070">
        <v>-0.1698838</v>
      </c>
      <c r="U2070">
        <v>-0.38714599999999999</v>
      </c>
      <c r="V2070">
        <v>-5.9677000000000001E-2</v>
      </c>
      <c r="W2070">
        <v>6.8419670000000002E-2</v>
      </c>
      <c r="X2070">
        <v>0.99587019999999904</v>
      </c>
      <c r="Y2070">
        <v>-0.1017961</v>
      </c>
      <c r="Z2070">
        <v>-1.3730579999999999E-3</v>
      </c>
      <c r="AA2070">
        <v>0.99480429999999997</v>
      </c>
      <c r="AB2070">
        <v>37</v>
      </c>
      <c r="AC2070">
        <v>-19.072600000000001</v>
      </c>
      <c r="AD2070">
        <v>-1.104433206171</v>
      </c>
      <c r="AE2070">
        <v>-2.5070000000000001</v>
      </c>
      <c r="AF2070">
        <v>-1.99192014890473</v>
      </c>
      <c r="AG2070">
        <v>-1.104433206171</v>
      </c>
      <c r="AH2070">
        <v>19.069709952755101</v>
      </c>
      <c r="AI2070">
        <v>93.296719107734404</v>
      </c>
      <c r="AJ2070">
        <v>95.963186484632303</v>
      </c>
      <c r="AK2070">
        <v>19.205242936987698</v>
      </c>
    </row>
    <row r="2071" spans="1:37" x14ac:dyDescent="0.2">
      <c r="A2071" t="str">
        <f>"20200111153648963"</f>
        <v>20200111153648963</v>
      </c>
      <c r="B2071" t="str">
        <f>"1578728208955128"</f>
        <v>1578728208955128</v>
      </c>
      <c r="C2071" t="s">
        <v>37</v>
      </c>
      <c r="D2071">
        <v>5.7022709999999996</v>
      </c>
      <c r="E2071">
        <v>0.48315580000000002</v>
      </c>
      <c r="F2071" t="s">
        <v>48</v>
      </c>
      <c r="G2071">
        <v>-417.53620000000001</v>
      </c>
      <c r="H2071" s="1">
        <v>3.8353819999999997E-6</v>
      </c>
      <c r="I2071">
        <v>281.26659999999998</v>
      </c>
      <c r="J2071">
        <v>-398.57799999999997</v>
      </c>
      <c r="K2071">
        <v>1.1044419999999999</v>
      </c>
      <c r="L2071">
        <v>283.73700000000002</v>
      </c>
      <c r="M2071">
        <v>-0.99955339999999904</v>
      </c>
      <c r="N2071">
        <v>0</v>
      </c>
      <c r="O2071">
        <v>-2.641669E-2</v>
      </c>
      <c r="P2071">
        <v>-0.99485159999999995</v>
      </c>
      <c r="Q2071">
        <v>5.441928E-2</v>
      </c>
      <c r="R2071">
        <v>-8.5493410000000006E-2</v>
      </c>
      <c r="S2071">
        <v>-2.9918209999999998</v>
      </c>
      <c r="T2071">
        <v>-0.17102590000000001</v>
      </c>
      <c r="U2071">
        <v>-0.38400269999999997</v>
      </c>
      <c r="V2071">
        <v>-5.9146259999999999E-2</v>
      </c>
      <c r="W2071">
        <v>6.8377350000000003E-2</v>
      </c>
      <c r="X2071">
        <v>0.99590469999999898</v>
      </c>
      <c r="Y2071">
        <v>-0.10093819999999901</v>
      </c>
      <c r="Z2071">
        <v>-1.368841E-3</v>
      </c>
      <c r="AA2071">
        <v>0.99489179999999999</v>
      </c>
      <c r="AB2071">
        <v>37</v>
      </c>
      <c r="AC2071">
        <v>-18.958199999999898</v>
      </c>
      <c r="AD2071">
        <v>-1.1044381646179999</v>
      </c>
      <c r="AE2071">
        <v>-2.4704000000000401</v>
      </c>
      <c r="AF2071">
        <v>-1.9621280169026001</v>
      </c>
      <c r="AG2071">
        <v>-1.1044381646179999</v>
      </c>
      <c r="AH2071">
        <v>18.9535977437071</v>
      </c>
      <c r="AI2071">
        <v>93.317202452210495</v>
      </c>
      <c r="AJ2071">
        <v>95.910361327990202</v>
      </c>
      <c r="AK2071">
        <v>19.086869765481101</v>
      </c>
    </row>
    <row r="2072" spans="1:37" x14ac:dyDescent="0.2">
      <c r="A2072" t="str">
        <f>"20200111153648985"</f>
        <v>20200111153648985</v>
      </c>
      <c r="B2072" t="str">
        <f>"1578728208974648"</f>
        <v>1578728208974648</v>
      </c>
      <c r="C2072" t="s">
        <v>37</v>
      </c>
      <c r="D2072">
        <v>5.7569540000000003</v>
      </c>
      <c r="E2072">
        <v>0.48710100000000001</v>
      </c>
      <c r="F2072" t="s">
        <v>48</v>
      </c>
      <c r="G2072">
        <v>-417.71050000000002</v>
      </c>
      <c r="H2072" s="1">
        <v>3.8641370000000004E-6</v>
      </c>
      <c r="I2072">
        <v>281.29149999999998</v>
      </c>
      <c r="J2072">
        <v>-398.9325</v>
      </c>
      <c r="K2072">
        <v>1.1044449999999999</v>
      </c>
      <c r="L2072">
        <v>283.7278</v>
      </c>
      <c r="M2072">
        <v>-0.99955839999999996</v>
      </c>
      <c r="N2072">
        <v>0</v>
      </c>
      <c r="O2072">
        <v>-2.6218740000000001E-2</v>
      </c>
      <c r="P2072">
        <v>-0.99492369999999997</v>
      </c>
      <c r="Q2072">
        <v>5.4539379999999998E-2</v>
      </c>
      <c r="R2072">
        <v>-8.4570450000000005E-2</v>
      </c>
      <c r="S2072">
        <v>-2.9921570000000002</v>
      </c>
      <c r="T2072">
        <v>-0.17272399999999999</v>
      </c>
      <c r="U2072">
        <v>-0.38244629999999902</v>
      </c>
      <c r="V2072">
        <v>-5.8418230000000002E-2</v>
      </c>
      <c r="W2072">
        <v>6.8499119999999997E-2</v>
      </c>
      <c r="X2072">
        <v>0.99593940000000003</v>
      </c>
      <c r="Y2072">
        <v>-0.1006098</v>
      </c>
      <c r="Z2072">
        <v>-1.3842259999999999E-3</v>
      </c>
      <c r="AA2072">
        <v>0.99492499999999995</v>
      </c>
      <c r="AB2072">
        <v>37</v>
      </c>
      <c r="AC2072">
        <v>-18.777999999999999</v>
      </c>
      <c r="AD2072">
        <v>-1.104441135863</v>
      </c>
      <c r="AE2072">
        <v>-2.4363000000000099</v>
      </c>
      <c r="AF2072">
        <v>-1.9364906763118199</v>
      </c>
      <c r="AG2072">
        <v>-1.104441135863</v>
      </c>
      <c r="AH2072">
        <v>18.7715651485303</v>
      </c>
      <c r="AI2072">
        <v>93.349429956982902</v>
      </c>
      <c r="AJ2072">
        <v>95.889846896623993</v>
      </c>
      <c r="AK2072">
        <v>18.9034770475578</v>
      </c>
    </row>
    <row r="2073" spans="1:37" x14ac:dyDescent="0.2">
      <c r="A2073" t="str">
        <f>"20200111153649007"</f>
        <v>20200111153649007</v>
      </c>
      <c r="B2073" t="str">
        <f>"1578728209004903"</f>
        <v>1578728209004903</v>
      </c>
      <c r="C2073" t="s">
        <v>37</v>
      </c>
      <c r="D2073">
        <v>5.7647839999999997</v>
      </c>
      <c r="E2073">
        <v>0.5609499</v>
      </c>
      <c r="F2073" t="s">
        <v>48</v>
      </c>
      <c r="G2073">
        <v>-417.25380000000001</v>
      </c>
      <c r="H2073" s="1">
        <v>3.756219E-6</v>
      </c>
      <c r="I2073">
        <v>281.59930000000003</v>
      </c>
      <c r="J2073">
        <v>-399.29809999999998</v>
      </c>
      <c r="K2073">
        <v>1.104452</v>
      </c>
      <c r="L2073">
        <v>283.71839999999997</v>
      </c>
      <c r="M2073">
        <v>-0.99956389999999995</v>
      </c>
      <c r="N2073">
        <v>0</v>
      </c>
      <c r="O2073">
        <v>-2.6009109999999998E-2</v>
      </c>
      <c r="P2073">
        <v>-0.9950367</v>
      </c>
      <c r="Q2073">
        <v>5.4279559999999998E-2</v>
      </c>
      <c r="R2073">
        <v>-8.340024E-2</v>
      </c>
      <c r="S2073">
        <v>-2.9956360000000002</v>
      </c>
      <c r="T2073">
        <v>-0.180582399999999</v>
      </c>
      <c r="U2073">
        <v>-0.34802250000000001</v>
      </c>
      <c r="V2073">
        <v>-5.745422E-2</v>
      </c>
      <c r="W2073">
        <v>6.8241750000000004E-2</v>
      </c>
      <c r="X2073">
        <v>0.99601309999999998</v>
      </c>
      <c r="Y2073">
        <v>-8.9409929999999999E-2</v>
      </c>
      <c r="Z2073">
        <v>-1.1228010000000001E-3</v>
      </c>
      <c r="AA2073">
        <v>0.9959943</v>
      </c>
      <c r="AB2073">
        <v>37</v>
      </c>
      <c r="AC2073">
        <v>-17.9557</v>
      </c>
      <c r="AD2073">
        <v>-1.1044482437809999</v>
      </c>
      <c r="AE2073">
        <v>-2.11909999999994</v>
      </c>
      <c r="AF2073">
        <v>-1.64518659053039</v>
      </c>
      <c r="AG2073">
        <v>-1.1044482437809999</v>
      </c>
      <c r="AH2073">
        <v>17.9378115690226</v>
      </c>
      <c r="AI2073">
        <v>93.508619198903205</v>
      </c>
      <c r="AJ2073">
        <v>95.240286266026303</v>
      </c>
      <c r="AK2073">
        <v>18.046925741705</v>
      </c>
    </row>
    <row r="2074" spans="1:37" x14ac:dyDescent="0.2">
      <c r="A2074" t="str">
        <f>"20200111153649031"</f>
        <v>20200111153649031</v>
      </c>
      <c r="B2074" t="str">
        <f>"1578728209024424"</f>
        <v>1578728209024424</v>
      </c>
      <c r="C2074" t="s">
        <v>37</v>
      </c>
      <c r="D2074">
        <v>5.7270349999999999</v>
      </c>
      <c r="E2074">
        <v>0.56059159999999997</v>
      </c>
      <c r="F2074" t="s">
        <v>38</v>
      </c>
      <c r="G2074">
        <v>-400.20580000000001</v>
      </c>
      <c r="H2074">
        <v>1.029682</v>
      </c>
      <c r="I2074">
        <v>283.79129999999998</v>
      </c>
      <c r="J2074">
        <v>-399.6755</v>
      </c>
      <c r="K2074">
        <v>1.10446</v>
      </c>
      <c r="L2074">
        <v>283.7088</v>
      </c>
      <c r="M2074">
        <v>-0.99956970000000001</v>
      </c>
      <c r="N2074">
        <v>0</v>
      </c>
      <c r="O2074">
        <v>-2.57878E-2</v>
      </c>
      <c r="P2074">
        <v>-0.99505169999999998</v>
      </c>
      <c r="Q2074">
        <v>5.425166E-2</v>
      </c>
      <c r="R2074">
        <v>-8.324086E-2</v>
      </c>
      <c r="S2074">
        <v>-3.049194</v>
      </c>
      <c r="T2074">
        <v>-0.25122280000000002</v>
      </c>
      <c r="U2074">
        <v>0.24447629999999901</v>
      </c>
      <c r="V2074">
        <v>-5.7514179999999998E-2</v>
      </c>
      <c r="W2074">
        <v>6.8215120000000004E-2</v>
      </c>
      <c r="X2074">
        <v>0.99601139999999999</v>
      </c>
      <c r="Y2074">
        <v>0.10516099999999901</v>
      </c>
      <c r="Z2074">
        <v>6.4361380000000001E-3</v>
      </c>
      <c r="AA2074">
        <v>0.99443440000000005</v>
      </c>
      <c r="AB2074">
        <v>37</v>
      </c>
      <c r="AC2074">
        <v>-0.53030000000001098</v>
      </c>
      <c r="AD2074">
        <v>-7.4777999999999997E-2</v>
      </c>
      <c r="AE2074">
        <v>8.2499999999981796E-2</v>
      </c>
      <c r="AF2074">
        <v>9.4318059563352999E-2</v>
      </c>
      <c r="AG2074">
        <v>-7.4777999999999997E-2</v>
      </c>
      <c r="AH2074">
        <v>0.51794052933924795</v>
      </c>
      <c r="AI2074">
        <v>98.084200813975798</v>
      </c>
      <c r="AJ2074">
        <v>79.679407398805907</v>
      </c>
      <c r="AK2074">
        <v>0.53174245417872801</v>
      </c>
    </row>
    <row r="2075" spans="1:37" x14ac:dyDescent="0.2">
      <c r="A2075" t="str">
        <f>"20200111153649052"</f>
        <v>20200111153649052</v>
      </c>
      <c r="B2075" t="str">
        <f>"1578728209044920"</f>
        <v>1578728209044920</v>
      </c>
      <c r="C2075" t="s">
        <v>37</v>
      </c>
      <c r="D2075">
        <v>5.7755080000000003</v>
      </c>
      <c r="E2075">
        <v>0.55956719999999904</v>
      </c>
      <c r="F2075" t="s">
        <v>38</v>
      </c>
      <c r="G2075">
        <v>-400.5351</v>
      </c>
      <c r="H2075">
        <v>1.0357719999999999</v>
      </c>
      <c r="I2075">
        <v>283.77749999999997</v>
      </c>
      <c r="J2075">
        <v>-400.03469999999999</v>
      </c>
      <c r="K2075">
        <v>1.1044719999999999</v>
      </c>
      <c r="L2075">
        <v>283.69970000000001</v>
      </c>
      <c r="M2075">
        <v>-0.9995752</v>
      </c>
      <c r="N2075">
        <v>0</v>
      </c>
      <c r="O2075">
        <v>-2.5573780000000001E-2</v>
      </c>
      <c r="P2075">
        <v>-0.99503240000000004</v>
      </c>
      <c r="Q2075">
        <v>5.4827889999999997E-2</v>
      </c>
      <c r="R2075">
        <v>-8.3094169999999995E-2</v>
      </c>
      <c r="S2075">
        <v>-3.0484619999999998</v>
      </c>
      <c r="T2075">
        <v>-0.24376889999999901</v>
      </c>
      <c r="U2075">
        <v>0.2421875</v>
      </c>
      <c r="V2075">
        <v>-5.7580279999999998E-2</v>
      </c>
      <c r="W2075">
        <v>6.8791679999999994E-2</v>
      </c>
      <c r="X2075">
        <v>0.99596799999999996</v>
      </c>
      <c r="Y2075">
        <v>0.10425429999999999</v>
      </c>
      <c r="Z2075">
        <v>6.1942550000000001E-3</v>
      </c>
      <c r="AA2075">
        <v>0.99453139999999995</v>
      </c>
      <c r="AB2075">
        <v>37</v>
      </c>
      <c r="AC2075">
        <v>-0.50040000000001295</v>
      </c>
      <c r="AD2075">
        <v>-6.86999999999999E-2</v>
      </c>
      <c r="AE2075">
        <v>7.7799999999967895E-2</v>
      </c>
      <c r="AF2075">
        <v>8.8936163020621406E-2</v>
      </c>
      <c r="AG2075">
        <v>-6.86999999999999E-2</v>
      </c>
      <c r="AH2075">
        <v>0.48924258629707001</v>
      </c>
      <c r="AI2075">
        <v>97.866016803733601</v>
      </c>
      <c r="AJ2075">
        <v>79.697084634421103</v>
      </c>
      <c r="AK2075">
        <v>0.50198370425689698</v>
      </c>
    </row>
    <row r="2076" spans="1:37" x14ac:dyDescent="0.2">
      <c r="A2076" t="str">
        <f>"20200111153649075"</f>
        <v>20200111153649075</v>
      </c>
      <c r="B2076" t="str">
        <f>"1578728209064440"</f>
        <v>1578728209064440</v>
      </c>
      <c r="C2076" t="s">
        <v>37</v>
      </c>
      <c r="D2076">
        <v>5.7813319999999999</v>
      </c>
      <c r="E2076">
        <v>0.55870710000000001</v>
      </c>
      <c r="F2076" t="s">
        <v>38</v>
      </c>
      <c r="G2076">
        <v>-400.86309999999997</v>
      </c>
      <c r="H2076">
        <v>1.039903</v>
      </c>
      <c r="I2076">
        <v>283.76350000000002</v>
      </c>
      <c r="J2076">
        <v>-400.39109999999999</v>
      </c>
      <c r="K2076">
        <v>1.104487</v>
      </c>
      <c r="L2076">
        <v>283.6909</v>
      </c>
      <c r="M2076">
        <v>-0.99958069999999899</v>
      </c>
      <c r="N2076">
        <v>0</v>
      </c>
      <c r="O2076">
        <v>-2.5359400000000001E-2</v>
      </c>
      <c r="P2076">
        <v>-0.99502420000000003</v>
      </c>
      <c r="Q2076">
        <v>5.526739E-2</v>
      </c>
      <c r="R2076">
        <v>-8.2899520000000004E-2</v>
      </c>
      <c r="S2076">
        <v>-3.0476990000000002</v>
      </c>
      <c r="T2076">
        <v>-0.23753489999999999</v>
      </c>
      <c r="U2076">
        <v>0.23440549999999999</v>
      </c>
      <c r="V2076">
        <v>-5.7599409999999997E-2</v>
      </c>
      <c r="W2076">
        <v>6.9231689999999999E-2</v>
      </c>
      <c r="X2076">
        <v>0.99593639999999894</v>
      </c>
      <c r="Y2076">
        <v>0.1015655</v>
      </c>
      <c r="Z2076">
        <v>5.9172790000000001E-3</v>
      </c>
      <c r="AA2076">
        <v>0.99481119999999901</v>
      </c>
      <c r="AB2076">
        <v>37</v>
      </c>
      <c r="AC2076">
        <v>-0.47199999999997999</v>
      </c>
      <c r="AD2076">
        <v>-6.4583999999999905E-2</v>
      </c>
      <c r="AE2076">
        <v>7.2600000000022605E-2</v>
      </c>
      <c r="AF2076">
        <v>8.3028865566230195E-2</v>
      </c>
      <c r="AG2076">
        <v>-6.4583999999999905E-2</v>
      </c>
      <c r="AH2076">
        <v>0.46156493724372499</v>
      </c>
      <c r="AI2076">
        <v>97.841086792656895</v>
      </c>
      <c r="AJ2076">
        <v>79.802377754606596</v>
      </c>
      <c r="AK2076">
        <v>0.47339948971879797</v>
      </c>
    </row>
    <row r="2077" spans="1:37" x14ac:dyDescent="0.2">
      <c r="A2077" t="str">
        <f>"20200111153649097"</f>
        <v>20200111153649097</v>
      </c>
      <c r="B2077" t="str">
        <f>"1578728209094696"</f>
        <v>1578728209094696</v>
      </c>
      <c r="C2077" t="s">
        <v>37</v>
      </c>
      <c r="D2077">
        <v>5.7791259999999998</v>
      </c>
      <c r="E2077">
        <v>0.55780659999999904</v>
      </c>
      <c r="F2077" t="s">
        <v>38</v>
      </c>
      <c r="G2077">
        <v>-401.19209999999998</v>
      </c>
      <c r="H2077">
        <v>1.044959</v>
      </c>
      <c r="I2077">
        <v>283.75110000000001</v>
      </c>
      <c r="J2077">
        <v>-400.75560000000002</v>
      </c>
      <c r="K2077">
        <v>1.104501</v>
      </c>
      <c r="L2077">
        <v>283.68180000000001</v>
      </c>
      <c r="M2077">
        <v>-0.99958609999999903</v>
      </c>
      <c r="N2077">
        <v>0</v>
      </c>
      <c r="O2077">
        <v>-2.5138480000000001E-2</v>
      </c>
      <c r="P2077">
        <v>-0.99499519999999997</v>
      </c>
      <c r="Q2077">
        <v>5.5719169999999998E-2</v>
      </c>
      <c r="R2077">
        <v>-8.2943230000000007E-2</v>
      </c>
      <c r="S2077">
        <v>-3.04657</v>
      </c>
      <c r="T2077">
        <v>-0.2266533</v>
      </c>
      <c r="U2077">
        <v>0.22796630000000001</v>
      </c>
      <c r="V2077">
        <v>-5.7863049999999999E-2</v>
      </c>
      <c r="W2077">
        <v>6.9683599999999998E-2</v>
      </c>
      <c r="X2077">
        <v>0.99588960000000004</v>
      </c>
      <c r="Y2077">
        <v>9.9323679999999998E-2</v>
      </c>
      <c r="Z2077">
        <v>5.5499310000000001E-3</v>
      </c>
      <c r="AA2077">
        <v>0.99503969999999897</v>
      </c>
      <c r="AB2077">
        <v>36</v>
      </c>
      <c r="AC2077">
        <v>-0.43649999999996603</v>
      </c>
      <c r="AD2077">
        <v>-5.9541999999999901E-2</v>
      </c>
      <c r="AE2077">
        <v>6.9299999999998294E-2</v>
      </c>
      <c r="AF2077">
        <v>7.8821535427779199E-2</v>
      </c>
      <c r="AG2077">
        <v>-5.9541999999999901E-2</v>
      </c>
      <c r="AH2077">
        <v>0.42687219765053203</v>
      </c>
      <c r="AI2077">
        <v>97.8102726528125</v>
      </c>
      <c r="AJ2077">
        <v>79.538226950945102</v>
      </c>
      <c r="AK2077">
        <v>0.438152892650713</v>
      </c>
    </row>
    <row r="2078" spans="1:37" x14ac:dyDescent="0.2">
      <c r="A2078" t="str">
        <f>"20200111153649122"</f>
        <v>20200111153649122</v>
      </c>
      <c r="B2078" t="str">
        <f>"1578728209115193"</f>
        <v>1578728209115193</v>
      </c>
      <c r="C2078" t="s">
        <v>37</v>
      </c>
      <c r="D2078">
        <v>5.8123719999999999</v>
      </c>
      <c r="E2078">
        <v>0.55735389999999996</v>
      </c>
      <c r="F2078" t="s">
        <v>38</v>
      </c>
      <c r="G2078">
        <v>-401.52010000000001</v>
      </c>
      <c r="H2078">
        <v>1.047984</v>
      </c>
      <c r="I2078">
        <v>283.73719999999997</v>
      </c>
      <c r="J2078">
        <v>-401.14249999999998</v>
      </c>
      <c r="K2078">
        <v>1.104519</v>
      </c>
      <c r="L2078">
        <v>283.67230000000001</v>
      </c>
      <c r="M2078">
        <v>-0.99959209999999998</v>
      </c>
      <c r="N2078">
        <v>0</v>
      </c>
      <c r="O2078">
        <v>-2.490303E-2</v>
      </c>
      <c r="P2078">
        <v>-0.99496169999999995</v>
      </c>
      <c r="Q2078">
        <v>5.6067869999999999E-2</v>
      </c>
      <c r="R2078">
        <v>-8.3113350000000003E-2</v>
      </c>
      <c r="S2078">
        <v>-3.0461119999999999</v>
      </c>
      <c r="T2078">
        <v>-0.2251116</v>
      </c>
      <c r="U2078">
        <v>0.22076419999999999</v>
      </c>
      <c r="V2078">
        <v>-5.8268599999999997E-2</v>
      </c>
      <c r="W2078">
        <v>7.0032269999999994E-2</v>
      </c>
      <c r="X2078">
        <v>0.99584150000000005</v>
      </c>
      <c r="Y2078">
        <v>9.6772150000000001E-2</v>
      </c>
      <c r="Z2078">
        <v>5.402179E-3</v>
      </c>
      <c r="AA2078">
        <v>0.99529190000000001</v>
      </c>
      <c r="AB2078">
        <v>36</v>
      </c>
      <c r="AC2078">
        <v>-0.37760000000002902</v>
      </c>
      <c r="AD2078">
        <v>-5.6535000000000002E-2</v>
      </c>
      <c r="AE2078">
        <v>6.4899999999965902E-2</v>
      </c>
      <c r="AF2078">
        <v>7.2701216035310504E-2</v>
      </c>
      <c r="AG2078">
        <v>-5.6535000000000002E-2</v>
      </c>
      <c r="AH2078">
        <v>0.36785699354509699</v>
      </c>
      <c r="AI2078">
        <v>98.573971105007601</v>
      </c>
      <c r="AJ2078">
        <v>78.820449505128707</v>
      </c>
      <c r="AK2078">
        <v>0.379210285643798</v>
      </c>
    </row>
    <row r="2079" spans="1:37" x14ac:dyDescent="0.2">
      <c r="A2079" t="str">
        <f>"20200111153649142"</f>
        <v>20200111153649142</v>
      </c>
      <c r="B2079" t="str">
        <f>"1578728209134712"</f>
        <v>1578728209134712</v>
      </c>
      <c r="C2079" t="s">
        <v>37</v>
      </c>
      <c r="D2079">
        <v>5.8049759999999999</v>
      </c>
      <c r="E2079">
        <v>0.55702879999999999</v>
      </c>
      <c r="F2079" t="s">
        <v>38</v>
      </c>
      <c r="G2079">
        <v>-402.16090000000003</v>
      </c>
      <c r="H2079">
        <v>1.0300400000000001</v>
      </c>
      <c r="I2079">
        <v>283.745</v>
      </c>
      <c r="J2079">
        <v>-401.49079999999998</v>
      </c>
      <c r="K2079">
        <v>1.10454599999999</v>
      </c>
      <c r="L2079">
        <v>283.66379999999998</v>
      </c>
      <c r="M2079">
        <v>-0.99959739999999997</v>
      </c>
      <c r="N2079">
        <v>0</v>
      </c>
      <c r="O2079">
        <v>-2.4690719999999999E-2</v>
      </c>
      <c r="P2079">
        <v>-0.994945999999999</v>
      </c>
      <c r="Q2079">
        <v>5.6083130000000002E-2</v>
      </c>
      <c r="R2079">
        <v>-8.3291970000000007E-2</v>
      </c>
      <c r="S2079">
        <v>-3.04589799999999</v>
      </c>
      <c r="T2079">
        <v>-0.22289389999999901</v>
      </c>
      <c r="U2079">
        <v>0.21694949999999999</v>
      </c>
      <c r="V2079">
        <v>-5.865886E-2</v>
      </c>
      <c r="W2079">
        <v>7.0047029999999996E-2</v>
      </c>
      <c r="X2079">
        <v>0.99581749999999902</v>
      </c>
      <c r="Y2079">
        <v>9.5336359999999995E-2</v>
      </c>
      <c r="Z2079">
        <v>5.281806E-3</v>
      </c>
      <c r="AA2079">
        <v>0.99543110000000001</v>
      </c>
      <c r="AB2079">
        <v>36</v>
      </c>
      <c r="AC2079">
        <v>-0.67010000000004699</v>
      </c>
      <c r="AD2079">
        <v>-7.4505999999999697E-2</v>
      </c>
      <c r="AE2079">
        <v>8.1200000000023906E-2</v>
      </c>
      <c r="AF2079">
        <v>9.6545840839414199E-2</v>
      </c>
      <c r="AG2079">
        <v>-7.4505999999999697E-2</v>
      </c>
      <c r="AH2079">
        <v>0.65985128124390602</v>
      </c>
      <c r="AI2079">
        <v>96.374863885660901</v>
      </c>
      <c r="AJ2079">
        <v>81.675859576788199</v>
      </c>
      <c r="AK2079">
        <v>0.67102604776462604</v>
      </c>
    </row>
    <row r="2080" spans="1:37" x14ac:dyDescent="0.2">
      <c r="A2080" t="str">
        <f>"20200111153649164"</f>
        <v>20200111153649164</v>
      </c>
      <c r="B2080" t="str">
        <f>"1578728209155208"</f>
        <v>1578728209155208</v>
      </c>
      <c r="C2080" t="s">
        <v>37</v>
      </c>
      <c r="D2080">
        <v>5.7994079999999997</v>
      </c>
      <c r="E2080">
        <v>0.55682589999999998</v>
      </c>
      <c r="F2080" t="s">
        <v>38</v>
      </c>
      <c r="G2080">
        <v>-402.48660000000001</v>
      </c>
      <c r="H2080">
        <v>1.0320240000000001</v>
      </c>
      <c r="I2080">
        <v>283.73410000000001</v>
      </c>
      <c r="J2080">
        <v>-401.84690000000001</v>
      </c>
      <c r="K2080">
        <v>1.1045799999999999</v>
      </c>
      <c r="L2080">
        <v>283.65519999999998</v>
      </c>
      <c r="M2080">
        <v>-0.99960269999999996</v>
      </c>
      <c r="N2080">
        <v>0</v>
      </c>
      <c r="O2080">
        <v>-2.4474349999999999E-2</v>
      </c>
      <c r="P2080">
        <v>-0.99494119999999997</v>
      </c>
      <c r="Q2080">
        <v>5.7072999999999999E-2</v>
      </c>
      <c r="R2080">
        <v>-8.2674339999999999E-2</v>
      </c>
      <c r="S2080">
        <v>-3.0456539999999999</v>
      </c>
      <c r="T2080">
        <v>-0.22186919999999999</v>
      </c>
      <c r="U2080">
        <v>0.21411129999999901</v>
      </c>
      <c r="V2080">
        <v>-5.8256380000000003E-2</v>
      </c>
      <c r="W2080">
        <v>7.1035890000000004E-2</v>
      </c>
      <c r="X2080">
        <v>0.99577109999999902</v>
      </c>
      <c r="Y2080">
        <v>9.4209890000000004E-2</v>
      </c>
      <c r="Z2080">
        <v>5.2015239999999999E-3</v>
      </c>
      <c r="AA2080">
        <v>0.99553879999999995</v>
      </c>
      <c r="AB2080">
        <v>36</v>
      </c>
      <c r="AC2080">
        <v>-0.63970000000000404</v>
      </c>
      <c r="AD2080">
        <v>-7.2555999999999801E-2</v>
      </c>
      <c r="AE2080">
        <v>7.8900000000032805E-2</v>
      </c>
      <c r="AF2080">
        <v>9.3351209173410596E-2</v>
      </c>
      <c r="AG2080">
        <v>-7.2555999999999801E-2</v>
      </c>
      <c r="AH2080">
        <v>0.629599002221648</v>
      </c>
      <c r="AI2080">
        <v>96.503379970434693</v>
      </c>
      <c r="AJ2080">
        <v>81.566149121578604</v>
      </c>
      <c r="AK2080">
        <v>0.64060418745792802</v>
      </c>
    </row>
    <row r="2081" spans="1:37" x14ac:dyDescent="0.2">
      <c r="A2081" t="str">
        <f>"20200111153649186"</f>
        <v>20200111153649186</v>
      </c>
      <c r="B2081" t="str">
        <f>"1578728209174737"</f>
        <v>1578728209174737</v>
      </c>
      <c r="C2081" t="s">
        <v>37</v>
      </c>
      <c r="D2081">
        <v>5.8189169999999999</v>
      </c>
      <c r="E2081">
        <v>0.55663869999999904</v>
      </c>
      <c r="F2081" t="s">
        <v>38</v>
      </c>
      <c r="G2081">
        <v>-402.8125</v>
      </c>
      <c r="H2081">
        <v>1.0346569999999999</v>
      </c>
      <c r="I2081">
        <v>283.72320000000002</v>
      </c>
      <c r="J2081">
        <v>-402.20269999999999</v>
      </c>
      <c r="K2081">
        <v>1.104611</v>
      </c>
      <c r="L2081">
        <v>283.64670000000001</v>
      </c>
      <c r="M2081">
        <v>-0.99960789999999999</v>
      </c>
      <c r="N2081">
        <v>0</v>
      </c>
      <c r="O2081">
        <v>-2.4257979999999998E-2</v>
      </c>
      <c r="P2081">
        <v>-0.99496909999999905</v>
      </c>
      <c r="Q2081">
        <v>5.7764179999999998E-2</v>
      </c>
      <c r="R2081">
        <v>-8.1854689999999994E-2</v>
      </c>
      <c r="S2081">
        <v>-3.045715</v>
      </c>
      <c r="T2081">
        <v>-0.22066739999999899</v>
      </c>
      <c r="U2081">
        <v>0.21414179999999899</v>
      </c>
      <c r="V2081">
        <v>-5.7651439999999998E-2</v>
      </c>
      <c r="W2081">
        <v>7.1726020000000001E-2</v>
      </c>
      <c r="X2081">
        <v>0.99575689999999994</v>
      </c>
      <c r="Y2081">
        <v>9.4007439999999998E-2</v>
      </c>
      <c r="Z2081">
        <v>5.1503599999999997E-3</v>
      </c>
      <c r="AA2081">
        <v>0.99555819999999995</v>
      </c>
      <c r="AB2081">
        <v>36</v>
      </c>
      <c r="AC2081">
        <v>-0.609800000000007</v>
      </c>
      <c r="AD2081">
        <v>-6.9954000000000002E-2</v>
      </c>
      <c r="AE2081">
        <v>7.6500000000009893E-2</v>
      </c>
      <c r="AF2081">
        <v>9.0104065235762795E-2</v>
      </c>
      <c r="AG2081">
        <v>-6.9954000000000002E-2</v>
      </c>
      <c r="AH2081">
        <v>0.59999115983266704</v>
      </c>
      <c r="AI2081">
        <v>96.577093221617901</v>
      </c>
      <c r="AJ2081">
        <v>81.459391834623503</v>
      </c>
      <c r="AK2081">
        <v>0.61073864833114999</v>
      </c>
    </row>
    <row r="2082" spans="1:37" x14ac:dyDescent="0.2">
      <c r="A2082" t="str">
        <f>"20200111153649209"</f>
        <v>20200111153649209</v>
      </c>
      <c r="B2082" t="str">
        <f>"1578728209204985"</f>
        <v>1578728209204985</v>
      </c>
      <c r="C2082" t="s">
        <v>37</v>
      </c>
      <c r="D2082">
        <v>5.8517799999999998</v>
      </c>
      <c r="E2082">
        <v>0.55643500000000001</v>
      </c>
      <c r="F2082" t="s">
        <v>38</v>
      </c>
      <c r="G2082">
        <v>-403.13830000000002</v>
      </c>
      <c r="H2082">
        <v>1.0375490000000001</v>
      </c>
      <c r="I2082">
        <v>283.7133</v>
      </c>
      <c r="J2082">
        <v>-402.57510000000002</v>
      </c>
      <c r="K2082">
        <v>1.104636</v>
      </c>
      <c r="L2082">
        <v>283.6379</v>
      </c>
      <c r="M2082">
        <v>-0.99961350000000004</v>
      </c>
      <c r="N2082">
        <v>0</v>
      </c>
      <c r="O2082">
        <v>-2.4031609999999998E-2</v>
      </c>
      <c r="P2082">
        <v>-0.99499570000000004</v>
      </c>
      <c r="Q2082">
        <v>5.8823140000000003E-2</v>
      </c>
      <c r="R2082">
        <v>-8.0770030000000007E-2</v>
      </c>
      <c r="S2082">
        <v>-3.045563</v>
      </c>
      <c r="T2082">
        <v>-0.2183911</v>
      </c>
      <c r="U2082">
        <v>0.21554570000000001</v>
      </c>
      <c r="V2082">
        <v>-5.6791920000000003E-2</v>
      </c>
      <c r="W2082">
        <v>7.2783249999999994E-2</v>
      </c>
      <c r="X2082">
        <v>0.99572950000000005</v>
      </c>
      <c r="Y2082">
        <v>9.4248349999999995E-2</v>
      </c>
      <c r="Z2082">
        <v>5.089962E-3</v>
      </c>
      <c r="AA2082">
        <v>0.99553570000000002</v>
      </c>
      <c r="AB2082">
        <v>36</v>
      </c>
      <c r="AC2082">
        <v>-0.56319999999999404</v>
      </c>
      <c r="AD2082">
        <v>-6.7086999999999897E-2</v>
      </c>
      <c r="AE2082">
        <v>7.5400000000001896E-2</v>
      </c>
      <c r="AF2082">
        <v>8.7691795567245795E-2</v>
      </c>
      <c r="AG2082">
        <v>-6.7086999999999897E-2</v>
      </c>
      <c r="AH2082">
        <v>0.55350969845698805</v>
      </c>
      <c r="AI2082">
        <v>96.826387741815694</v>
      </c>
      <c r="AJ2082">
        <v>80.9975288475338</v>
      </c>
      <c r="AK2082">
        <v>0.564414300726651</v>
      </c>
    </row>
    <row r="2083" spans="1:37" x14ac:dyDescent="0.2">
      <c r="A2083" t="str">
        <f>"20200111153649231"</f>
        <v>20200111153649231</v>
      </c>
      <c r="B2083" t="str">
        <f>"1578728209224504"</f>
        <v>1578728209224504</v>
      </c>
      <c r="C2083" t="s">
        <v>37</v>
      </c>
      <c r="D2083">
        <v>5.8257779999999997</v>
      </c>
      <c r="E2083">
        <v>0.55627260000000001</v>
      </c>
      <c r="F2083" t="s">
        <v>38</v>
      </c>
      <c r="G2083">
        <v>-403.46480000000003</v>
      </c>
      <c r="H2083">
        <v>1.0425420000000001</v>
      </c>
      <c r="I2083">
        <v>283.70139999999998</v>
      </c>
      <c r="J2083">
        <v>-402.93720000000002</v>
      </c>
      <c r="K2083">
        <v>1.1046559999999901</v>
      </c>
      <c r="L2083">
        <v>283.62939999999998</v>
      </c>
      <c r="M2083">
        <v>-0.99961889999999998</v>
      </c>
      <c r="N2083">
        <v>0</v>
      </c>
      <c r="O2083">
        <v>-2.3811200000000001E-2</v>
      </c>
      <c r="P2083">
        <v>-0.99507919999999905</v>
      </c>
      <c r="Q2083">
        <v>5.8899220000000002E-2</v>
      </c>
      <c r="R2083">
        <v>-7.9679159999999999E-2</v>
      </c>
      <c r="S2083">
        <v>-3.0453189999999899</v>
      </c>
      <c r="T2083">
        <v>-0.21254319999999999</v>
      </c>
      <c r="U2083">
        <v>0.21734619999999999</v>
      </c>
      <c r="V2083">
        <v>-5.5918910000000002E-2</v>
      </c>
      <c r="W2083">
        <v>7.2858880000000001E-2</v>
      </c>
      <c r="X2083">
        <v>0.99577340000000003</v>
      </c>
      <c r="Y2083">
        <v>9.4635639999999993E-2</v>
      </c>
      <c r="Z2083">
        <v>4.9524269999999997E-3</v>
      </c>
      <c r="AA2083">
        <v>0.99549969999999999</v>
      </c>
      <c r="AB2083">
        <v>36</v>
      </c>
      <c r="AC2083">
        <v>-0.52760000000000595</v>
      </c>
      <c r="AD2083">
        <v>-6.2113999999999697E-2</v>
      </c>
      <c r="AE2083">
        <v>7.2000000000002701E-2</v>
      </c>
      <c r="AF2083">
        <v>8.3408672076464296E-2</v>
      </c>
      <c r="AG2083">
        <v>-6.2113999999999697E-2</v>
      </c>
      <c r="AH2083">
        <v>0.51867825972103099</v>
      </c>
      <c r="AI2083">
        <v>96.743082376722896</v>
      </c>
      <c r="AJ2083">
        <v>80.864475378743506</v>
      </c>
      <c r="AK2083">
        <v>0.52900122181408704</v>
      </c>
    </row>
    <row r="2084" spans="1:37" x14ac:dyDescent="0.2">
      <c r="A2084" t="str">
        <f>"20200111153649253"</f>
        <v>20200111153649253</v>
      </c>
      <c r="B2084" t="str">
        <f>"1578728209245003"</f>
        <v>1578728209245003</v>
      </c>
      <c r="C2084" t="s">
        <v>37</v>
      </c>
      <c r="D2084">
        <v>5.8183540000000002</v>
      </c>
      <c r="E2084">
        <v>0.556118</v>
      </c>
      <c r="F2084" t="s">
        <v>38</v>
      </c>
      <c r="G2084">
        <v>-403.79059999999998</v>
      </c>
      <c r="H2084">
        <v>1.0450059999999901</v>
      </c>
      <c r="I2084">
        <v>283.69119999999998</v>
      </c>
      <c r="J2084">
        <v>-403.29199999999997</v>
      </c>
      <c r="K2084">
        <v>1.1046559999999901</v>
      </c>
      <c r="L2084">
        <v>283.62119999999999</v>
      </c>
      <c r="M2084">
        <v>-0.99962379999999995</v>
      </c>
      <c r="N2084">
        <v>0</v>
      </c>
      <c r="O2084">
        <v>-2.3595310000000001E-2</v>
      </c>
      <c r="P2084">
        <v>-0.995146999999999</v>
      </c>
      <c r="Q2084">
        <v>5.8738619999999998E-2</v>
      </c>
      <c r="R2084">
        <v>-7.8944470000000003E-2</v>
      </c>
      <c r="S2084">
        <v>-3.045013</v>
      </c>
      <c r="T2084">
        <v>-0.2128707</v>
      </c>
      <c r="U2084">
        <v>0.21960450000000001</v>
      </c>
      <c r="V2084">
        <v>-5.5398679999999999E-2</v>
      </c>
      <c r="W2084">
        <v>7.2697189999999995E-2</v>
      </c>
      <c r="X2084">
        <v>0.99581430000000004</v>
      </c>
      <c r="Y2084">
        <v>9.516057E-2</v>
      </c>
      <c r="Z2084">
        <v>4.9636509999999899E-3</v>
      </c>
      <c r="AA2084">
        <v>0.99544949999999999</v>
      </c>
      <c r="AB2084">
        <v>36</v>
      </c>
      <c r="AC2084">
        <v>-0.49860000000000998</v>
      </c>
      <c r="AD2084">
        <v>-5.9649999999999898E-2</v>
      </c>
      <c r="AE2084">
        <v>6.9999999999993096E-2</v>
      </c>
      <c r="AF2084">
        <v>8.0614780271175204E-2</v>
      </c>
      <c r="AG2084">
        <v>-5.9649999999999898E-2</v>
      </c>
      <c r="AH2084">
        <v>0.48993269008387602</v>
      </c>
      <c r="AI2084">
        <v>96.850453971180499</v>
      </c>
      <c r="AJ2084">
        <v>80.656131380648404</v>
      </c>
      <c r="AK2084">
        <v>0.50009089784857497</v>
      </c>
    </row>
    <row r="2085" spans="1:37" x14ac:dyDescent="0.2">
      <c r="A2085" t="str">
        <f>"20200111153649276"</f>
        <v>20200111153649276</v>
      </c>
      <c r="B2085" t="str">
        <f>"1578728209264520"</f>
        <v>1578728209264520</v>
      </c>
      <c r="C2085" t="s">
        <v>37</v>
      </c>
      <c r="D2085">
        <v>5.8928629999999904</v>
      </c>
      <c r="E2085">
        <v>0.55603219999999898</v>
      </c>
      <c r="F2085" t="s">
        <v>38</v>
      </c>
      <c r="G2085">
        <v>-404.1157</v>
      </c>
      <c r="H2085">
        <v>1.046834</v>
      </c>
      <c r="I2085">
        <v>283.68110000000001</v>
      </c>
      <c r="J2085">
        <v>-403.65710000000001</v>
      </c>
      <c r="K2085">
        <v>1.1046549999999999</v>
      </c>
      <c r="L2085">
        <v>283.61279999999999</v>
      </c>
      <c r="M2085">
        <v>-0.99962909999999905</v>
      </c>
      <c r="N2085">
        <v>0</v>
      </c>
      <c r="O2085">
        <v>-2.3373109999999999E-2</v>
      </c>
      <c r="P2085">
        <v>-0.99524959999999996</v>
      </c>
      <c r="Q2085">
        <v>5.8546800000000003E-2</v>
      </c>
      <c r="R2085">
        <v>-7.7786919999999996E-2</v>
      </c>
      <c r="S2085">
        <v>-3.0447690000000001</v>
      </c>
      <c r="T2085">
        <v>-0.21383170000000001</v>
      </c>
      <c r="U2085">
        <v>0.22064210000000001</v>
      </c>
      <c r="V2085">
        <v>-5.4460649999999999E-2</v>
      </c>
      <c r="W2085">
        <v>7.2505050000000001E-2</v>
      </c>
      <c r="X2085">
        <v>0.99588009999999905</v>
      </c>
      <c r="Y2085">
        <v>9.5280100000000006E-2</v>
      </c>
      <c r="Z2085">
        <v>4.9749579999999998E-3</v>
      </c>
      <c r="AA2085">
        <v>0.99543809999999999</v>
      </c>
      <c r="AB2085">
        <v>36</v>
      </c>
      <c r="AC2085">
        <v>-0.45859999999998902</v>
      </c>
      <c r="AD2085">
        <v>-5.78209999999999E-2</v>
      </c>
      <c r="AE2085">
        <v>6.8300000000021996E-2</v>
      </c>
      <c r="AF2085">
        <v>7.7791509496436706E-2</v>
      </c>
      <c r="AG2085">
        <v>-5.78209999999999E-2</v>
      </c>
      <c r="AH2085">
        <v>0.44988176448442402</v>
      </c>
      <c r="AI2085">
        <v>97.217826692378594</v>
      </c>
      <c r="AJ2085">
        <v>80.189682034371302</v>
      </c>
      <c r="AK2085">
        <v>0.46020472510215799</v>
      </c>
    </row>
    <row r="2086" spans="1:37" x14ac:dyDescent="0.2">
      <c r="A2086" t="str">
        <f>"20200111153649289"</f>
        <v>20200111153649289</v>
      </c>
      <c r="B2086" t="str">
        <f>"1578728209285016"</f>
        <v>1578728209285016</v>
      </c>
      <c r="C2086" t="s">
        <v>37</v>
      </c>
      <c r="D2086">
        <v>5.719125</v>
      </c>
      <c r="E2086">
        <v>0.49706640000000002</v>
      </c>
      <c r="F2086" t="s">
        <v>38</v>
      </c>
      <c r="G2086">
        <v>-404.4409</v>
      </c>
      <c r="H2086">
        <v>1.0491269999999999</v>
      </c>
      <c r="I2086">
        <v>283.6705</v>
      </c>
      <c r="J2086">
        <v>-403.87450000000001</v>
      </c>
      <c r="K2086">
        <v>1.1046549999999999</v>
      </c>
      <c r="L2086">
        <v>283.60789999999997</v>
      </c>
      <c r="M2086">
        <v>-0.99963230000000003</v>
      </c>
      <c r="N2086">
        <v>0</v>
      </c>
      <c r="O2086">
        <v>-2.324056E-2</v>
      </c>
      <c r="P2086">
        <v>-0.99528280000000002</v>
      </c>
      <c r="Q2086">
        <v>5.7956630000000002E-2</v>
      </c>
      <c r="R2086">
        <v>-7.7802239999999995E-2</v>
      </c>
      <c r="S2086">
        <v>-3.0444640000000001</v>
      </c>
      <c r="T2086">
        <v>-0.21568579999999901</v>
      </c>
      <c r="U2086">
        <v>0.22341920000000001</v>
      </c>
      <c r="V2086">
        <v>-5.4607830000000003E-2</v>
      </c>
      <c r="W2086">
        <v>7.1913879999999999E-2</v>
      </c>
      <c r="X2086">
        <v>0.99591479999999999</v>
      </c>
      <c r="Y2086">
        <v>9.6051789999999998E-2</v>
      </c>
      <c r="Z2086">
        <v>5.0362230000000003E-3</v>
      </c>
      <c r="AA2086">
        <v>0.99536360000000002</v>
      </c>
      <c r="AB2086">
        <v>36</v>
      </c>
      <c r="AC2086">
        <v>-0.56639999999998702</v>
      </c>
      <c r="AD2086">
        <v>-5.55279999999998E-2</v>
      </c>
      <c r="AE2086">
        <v>6.26000000000317E-2</v>
      </c>
      <c r="AF2086">
        <v>7.5035349676058696E-2</v>
      </c>
      <c r="AG2086">
        <v>-5.55279999999998E-2</v>
      </c>
      <c r="AH2086">
        <v>0.55947960753908899</v>
      </c>
      <c r="AI2086">
        <v>95.618032982639704</v>
      </c>
      <c r="AJ2086">
        <v>82.361282580363195</v>
      </c>
      <c r="AK2086">
        <v>0.56721344636486004</v>
      </c>
    </row>
    <row r="2087" spans="1:37" x14ac:dyDescent="0.2">
      <c r="A2087" t="str">
        <f>"20200111153649310"</f>
        <v>20200111153649310</v>
      </c>
      <c r="B2087" t="str">
        <f>"1578728209304536"</f>
        <v>1578728209304536</v>
      </c>
      <c r="C2087" t="s">
        <v>37</v>
      </c>
      <c r="D2087">
        <v>5.2112499999999997</v>
      </c>
      <c r="E2087">
        <v>0.48957149999999999</v>
      </c>
      <c r="F2087" t="s">
        <v>48</v>
      </c>
      <c r="G2087">
        <v>-425.95319999999998</v>
      </c>
      <c r="H2087" s="1">
        <v>3.1558450000000001E-6</v>
      </c>
      <c r="I2087">
        <v>281.78820000000002</v>
      </c>
      <c r="J2087">
        <v>-404.19850000000002</v>
      </c>
      <c r="K2087">
        <v>1.104641</v>
      </c>
      <c r="L2087">
        <v>283.60050000000001</v>
      </c>
      <c r="M2087">
        <v>-0.99963690000000005</v>
      </c>
      <c r="N2087">
        <v>0</v>
      </c>
      <c r="O2087">
        <v>-2.304291E-2</v>
      </c>
      <c r="P2087">
        <v>-0.99542180000000002</v>
      </c>
      <c r="Q2087">
        <v>5.6822270000000001E-2</v>
      </c>
      <c r="R2087">
        <v>-7.6859709999999998E-2</v>
      </c>
      <c r="S2087">
        <v>-3.0036320000000001</v>
      </c>
      <c r="T2087">
        <v>-0.15027860000000001</v>
      </c>
      <c r="U2087">
        <v>-0.24755859999999999</v>
      </c>
      <c r="V2087">
        <v>-5.3859499999999998E-2</v>
      </c>
      <c r="W2087">
        <v>7.0779529999999993E-2</v>
      </c>
      <c r="X2087">
        <v>0.99603680000000006</v>
      </c>
      <c r="Y2087">
        <v>-5.9107369999999999E-2</v>
      </c>
      <c r="Z2087">
        <v>-3.2523239999999998E-4</v>
      </c>
      <c r="AA2087">
        <v>0.99825160000000002</v>
      </c>
      <c r="AB2087">
        <v>36</v>
      </c>
      <c r="AC2087">
        <v>-21.7546999999999</v>
      </c>
      <c r="AD2087">
        <v>-1.104637844155</v>
      </c>
      <c r="AE2087">
        <v>-1.81229999999999</v>
      </c>
      <c r="AF2087">
        <v>-1.3071312477097199</v>
      </c>
      <c r="AG2087">
        <v>-1.104637844155</v>
      </c>
      <c r="AH2087">
        <v>21.7350340031972</v>
      </c>
      <c r="AI2087">
        <v>92.904197294008995</v>
      </c>
      <c r="AJ2087">
        <v>93.441586953930496</v>
      </c>
      <c r="AK2087">
        <v>21.802305382358501</v>
      </c>
    </row>
    <row r="2088" spans="1:37" x14ac:dyDescent="0.2">
      <c r="A2088" t="str">
        <f>"20200111153649324"</f>
        <v>20200111153649324</v>
      </c>
      <c r="B2088" t="str">
        <f>"1578728209314296"</f>
        <v>1578728209314296</v>
      </c>
      <c r="C2088" t="s">
        <v>37</v>
      </c>
      <c r="D2088">
        <v>5.5935969999999999</v>
      </c>
      <c r="E2088">
        <v>0.4882937</v>
      </c>
      <c r="F2088" t="s">
        <v>48</v>
      </c>
      <c r="G2088">
        <v>-424.20979999999997</v>
      </c>
      <c r="H2088" s="1">
        <v>3.4836879999999999E-6</v>
      </c>
      <c r="I2088">
        <v>281.57549999999998</v>
      </c>
      <c r="J2088">
        <v>-404.42039999999997</v>
      </c>
      <c r="K2088">
        <v>1.1046389999999999</v>
      </c>
      <c r="L2088">
        <v>283.59559999999999</v>
      </c>
      <c r="M2088">
        <v>-0.99963999999999997</v>
      </c>
      <c r="N2088">
        <v>0</v>
      </c>
      <c r="O2088">
        <v>-2.2907360000000002E-2</v>
      </c>
      <c r="P2088">
        <v>-0.995484499999999</v>
      </c>
      <c r="Q2088">
        <v>5.6329320000000002E-2</v>
      </c>
      <c r="R2088">
        <v>-7.6406269999999998E-2</v>
      </c>
      <c r="S2088">
        <v>-2.99981699999999</v>
      </c>
      <c r="T2088">
        <v>-0.16559179999999901</v>
      </c>
      <c r="U2088">
        <v>-0.3035583</v>
      </c>
      <c r="V2088">
        <v>-5.3540299999999999E-2</v>
      </c>
      <c r="W2088">
        <v>7.0286269999999998E-2</v>
      </c>
      <c r="X2088">
        <v>0.996088999999999</v>
      </c>
      <c r="Y2088">
        <v>-7.7775880000000006E-2</v>
      </c>
      <c r="Z2088">
        <v>-8.7955089999999997E-4</v>
      </c>
      <c r="AA2088">
        <v>0.99697049999999998</v>
      </c>
      <c r="AB2088">
        <v>36</v>
      </c>
      <c r="AC2088">
        <v>-19.789400000000001</v>
      </c>
      <c r="AD2088">
        <v>-1.1046355163120001</v>
      </c>
      <c r="AE2088">
        <v>-2.02010000000001</v>
      </c>
      <c r="AF2088">
        <v>-1.5613878270210899</v>
      </c>
      <c r="AG2088">
        <v>-1.1046355163120001</v>
      </c>
      <c r="AH2088">
        <v>19.769522687145699</v>
      </c>
      <c r="AI2088">
        <v>93.188207503868398</v>
      </c>
      <c r="AJ2088">
        <v>94.515820386763494</v>
      </c>
      <c r="AK2088">
        <v>19.8618271779773</v>
      </c>
    </row>
    <row r="2089" spans="1:37" x14ac:dyDescent="0.2">
      <c r="A2089" t="str">
        <f>"20200111153649343"</f>
        <v>20200111153649343</v>
      </c>
      <c r="B2089" t="str">
        <f>"1578728209334792"</f>
        <v>1578728209334792</v>
      </c>
      <c r="C2089" t="s">
        <v>37</v>
      </c>
      <c r="D2089">
        <v>5.5657610000000002</v>
      </c>
      <c r="E2089">
        <v>0.48718270000000002</v>
      </c>
      <c r="F2089" t="s">
        <v>48</v>
      </c>
      <c r="G2089">
        <v>-424.22859999999997</v>
      </c>
      <c r="H2089" s="1">
        <v>3.4841409999999999E-6</v>
      </c>
      <c r="I2089">
        <v>281.53219999999999</v>
      </c>
      <c r="J2089">
        <v>-404.74470000000002</v>
      </c>
      <c r="K2089">
        <v>1.1046309999999999</v>
      </c>
      <c r="L2089">
        <v>283.5883</v>
      </c>
      <c r="M2089">
        <v>-0.99964449999999905</v>
      </c>
      <c r="N2089">
        <v>0</v>
      </c>
      <c r="O2089">
        <v>-2.270923E-2</v>
      </c>
      <c r="P2089">
        <v>-0.99556800000000001</v>
      </c>
      <c r="Q2089">
        <v>5.5136570000000003E-2</v>
      </c>
      <c r="R2089">
        <v>-7.6185899999999904E-2</v>
      </c>
      <c r="S2089">
        <v>-2.9990839999999999</v>
      </c>
      <c r="T2089">
        <v>-0.16724839999999999</v>
      </c>
      <c r="U2089">
        <v>-0.31240839999999998</v>
      </c>
      <c r="V2089">
        <v>-5.3516269999999998E-2</v>
      </c>
      <c r="W2089">
        <v>6.9093280000000007E-2</v>
      </c>
      <c r="X2089">
        <v>0.99617369999999905</v>
      </c>
      <c r="Y2089">
        <v>-8.0902000000000002E-2</v>
      </c>
      <c r="Z2089">
        <v>-9.8629670000000003E-4</v>
      </c>
      <c r="AA2089">
        <v>0.99672159999999999</v>
      </c>
      <c r="AB2089">
        <v>36</v>
      </c>
      <c r="AC2089">
        <v>-19.483899999999899</v>
      </c>
      <c r="AD2089">
        <v>-1.104627515859</v>
      </c>
      <c r="AE2089">
        <v>-2.05610000000001</v>
      </c>
      <c r="AF2089">
        <v>-1.60795066715656</v>
      </c>
      <c r="AG2089">
        <v>-1.104627515859</v>
      </c>
      <c r="AH2089">
        <v>19.4636991492345</v>
      </c>
      <c r="AI2089">
        <v>93.237230791295403</v>
      </c>
      <c r="AJ2089">
        <v>94.722640395339894</v>
      </c>
      <c r="AK2089">
        <v>19.561219079308799</v>
      </c>
    </row>
    <row r="2090" spans="1:37" x14ac:dyDescent="0.2">
      <c r="A2090" t="str">
        <f>"20200111153649366"</f>
        <v>20200111153649366</v>
      </c>
      <c r="B2090" t="str">
        <f>"1578728209354312"</f>
        <v>1578728209354312</v>
      </c>
      <c r="C2090" t="s">
        <v>37</v>
      </c>
      <c r="D2090">
        <v>5.5504949999999997</v>
      </c>
      <c r="E2090">
        <v>0.4868479</v>
      </c>
      <c r="F2090" t="s">
        <v>48</v>
      </c>
      <c r="G2090">
        <v>-423.38889999999998</v>
      </c>
      <c r="H2090" s="1">
        <v>3.627362E-6</v>
      </c>
      <c r="I2090">
        <v>281.59769999999997</v>
      </c>
      <c r="J2090">
        <v>-405.09989999999999</v>
      </c>
      <c r="K2090">
        <v>1.10463</v>
      </c>
      <c r="L2090">
        <v>283.58049999999997</v>
      </c>
      <c r="M2090">
        <v>-0.99964949999999997</v>
      </c>
      <c r="N2090">
        <v>0</v>
      </c>
      <c r="O2090">
        <v>-2.249168E-2</v>
      </c>
      <c r="P2090">
        <v>-0.99563819999999903</v>
      </c>
      <c r="Q2090">
        <v>5.4249749999999999E-2</v>
      </c>
      <c r="R2090">
        <v>-7.5908809999999993E-2</v>
      </c>
      <c r="S2090">
        <v>-2.998688</v>
      </c>
      <c r="T2090">
        <v>-0.17766579999999901</v>
      </c>
      <c r="U2090">
        <v>-0.3201599</v>
      </c>
      <c r="V2090">
        <v>-5.3455419999999997E-2</v>
      </c>
      <c r="W2090">
        <v>6.8205600000000005E-2</v>
      </c>
      <c r="X2090">
        <v>0.99623819999999996</v>
      </c>
      <c r="Y2090">
        <v>-8.3663689999999999E-2</v>
      </c>
      <c r="Z2090">
        <v>-1.1419749999999999E-3</v>
      </c>
      <c r="AA2090">
        <v>0.99649339999999997</v>
      </c>
      <c r="AB2090">
        <v>36</v>
      </c>
      <c r="AC2090">
        <v>-18.288999999999898</v>
      </c>
      <c r="AD2090">
        <v>-1.1046263726379999</v>
      </c>
      <c r="AE2090">
        <v>-1.9827999999999899</v>
      </c>
      <c r="AF2090">
        <v>-1.5652641680947199</v>
      </c>
      <c r="AG2090">
        <v>-1.1046263726379999</v>
      </c>
      <c r="AH2090">
        <v>18.263124089782099</v>
      </c>
      <c r="AI2090">
        <v>93.448647641315404</v>
      </c>
      <c r="AJ2090">
        <v>94.898636299196795</v>
      </c>
      <c r="AK2090">
        <v>18.3633317472028</v>
      </c>
    </row>
    <row r="2091" spans="1:37" x14ac:dyDescent="0.2">
      <c r="A2091" t="str">
        <f>"20200111153649387"</f>
        <v>20200111153649387</v>
      </c>
      <c r="B2091" t="str">
        <f>"1578728209384568"</f>
        <v>1578728209384568</v>
      </c>
      <c r="C2091" t="s">
        <v>37</v>
      </c>
      <c r="D2091">
        <v>5.584886</v>
      </c>
      <c r="E2091">
        <v>0.48649330000000002</v>
      </c>
      <c r="F2091" t="s">
        <v>48</v>
      </c>
      <c r="G2091">
        <v>-422.71039999999999</v>
      </c>
      <c r="H2091" s="1">
        <v>3.7394799999999998E-6</v>
      </c>
      <c r="I2091">
        <v>281.69200000000001</v>
      </c>
      <c r="J2091">
        <v>-405.4545</v>
      </c>
      <c r="K2091">
        <v>1.104627</v>
      </c>
      <c r="L2091">
        <v>283.5727</v>
      </c>
      <c r="M2091">
        <v>-0.99965439999999905</v>
      </c>
      <c r="N2091">
        <v>0</v>
      </c>
      <c r="O2091">
        <v>-2.227376E-2</v>
      </c>
      <c r="P2091">
        <v>-0.99556859999999903</v>
      </c>
      <c r="Q2091">
        <v>5.431486E-2</v>
      </c>
      <c r="R2091">
        <v>-7.6766710000000002E-2</v>
      </c>
      <c r="S2091">
        <v>-2.9988709999999998</v>
      </c>
      <c r="T2091">
        <v>-0.18810499999999999</v>
      </c>
      <c r="U2091">
        <v>-0.3215942</v>
      </c>
      <c r="V2091">
        <v>-5.4532079999999997E-2</v>
      </c>
      <c r="W2091">
        <v>6.8268860000000001E-2</v>
      </c>
      <c r="X2091">
        <v>0.99617549999999899</v>
      </c>
      <c r="Y2091">
        <v>-8.4331180000000006E-2</v>
      </c>
      <c r="Z2091">
        <v>-1.243308E-3</v>
      </c>
      <c r="AA2091">
        <v>0.99643700000000002</v>
      </c>
      <c r="AB2091">
        <v>36</v>
      </c>
      <c r="AC2091">
        <v>-17.255899999999901</v>
      </c>
      <c r="AD2091">
        <v>-1.1046232605199999</v>
      </c>
      <c r="AE2091">
        <v>-1.88069999999999</v>
      </c>
      <c r="AF2091">
        <v>-1.4898087719641</v>
      </c>
      <c r="AG2091">
        <v>-1.1046232605199999</v>
      </c>
      <c r="AH2091">
        <v>17.223761107581101</v>
      </c>
      <c r="AI2091">
        <v>93.655950026779493</v>
      </c>
      <c r="AJ2091">
        <v>94.943625489739603</v>
      </c>
      <c r="AK2091">
        <v>17.323327319418901</v>
      </c>
    </row>
    <row r="2092" spans="1:37" x14ac:dyDescent="0.2">
      <c r="A2092" t="str">
        <f>"20200111153649411"</f>
        <v>20200111153649411</v>
      </c>
      <c r="B2092" t="str">
        <f>"1578728209405064"</f>
        <v>1578728209405064</v>
      </c>
      <c r="C2092" t="s">
        <v>37</v>
      </c>
      <c r="D2092">
        <v>5.578964</v>
      </c>
      <c r="E2092">
        <v>0.48633769999999998</v>
      </c>
      <c r="F2092" t="s">
        <v>48</v>
      </c>
      <c r="G2092">
        <v>-422.77099999999899</v>
      </c>
      <c r="H2092" s="1">
        <v>3.7291559999999999E-6</v>
      </c>
      <c r="I2092">
        <v>281.68700000000001</v>
      </c>
      <c r="J2092">
        <v>-405.8415</v>
      </c>
      <c r="K2092">
        <v>1.104635</v>
      </c>
      <c r="L2092">
        <v>283.5643</v>
      </c>
      <c r="M2092">
        <v>-0.99965969999999904</v>
      </c>
      <c r="N2092">
        <v>0</v>
      </c>
      <c r="O2092">
        <v>-2.203511E-2</v>
      </c>
      <c r="P2092">
        <v>-0.99553969999999903</v>
      </c>
      <c r="Q2092">
        <v>5.4018209999999997E-2</v>
      </c>
      <c r="R2092">
        <v>-7.7349299999999996E-2</v>
      </c>
      <c r="S2092">
        <v>-2.998596</v>
      </c>
      <c r="T2092">
        <v>-0.19128100000000001</v>
      </c>
      <c r="U2092">
        <v>-0.3265381</v>
      </c>
      <c r="V2092">
        <v>-5.5353529999999998E-2</v>
      </c>
      <c r="W2092">
        <v>6.7970580000000003E-2</v>
      </c>
      <c r="X2092">
        <v>0.996150599999999</v>
      </c>
      <c r="Y2092">
        <v>-8.6194170000000001E-2</v>
      </c>
      <c r="Z2092">
        <v>-1.338606E-3</v>
      </c>
      <c r="AA2092">
        <v>0.99627749999999904</v>
      </c>
      <c r="AB2092">
        <v>36</v>
      </c>
      <c r="AC2092">
        <v>-16.929499999999901</v>
      </c>
      <c r="AD2092">
        <v>-1.104631270844</v>
      </c>
      <c r="AE2092">
        <v>-1.87729999999999</v>
      </c>
      <c r="AF2092">
        <v>-1.49746643721027</v>
      </c>
      <c r="AG2092">
        <v>-1.104631270844</v>
      </c>
      <c r="AH2092">
        <v>16.8957009019753</v>
      </c>
      <c r="AI2092">
        <v>93.726076957803798</v>
      </c>
      <c r="AJ2092">
        <v>95.064892134618702</v>
      </c>
      <c r="AK2092">
        <v>16.9978623639593</v>
      </c>
    </row>
    <row r="2093" spans="1:37" x14ac:dyDescent="0.2">
      <c r="A2093" t="str">
        <f>"20200111153649433"</f>
        <v>20200111153649433</v>
      </c>
      <c r="B2093" t="str">
        <f>"1578728209424584"</f>
        <v>1578728209424584</v>
      </c>
      <c r="C2093" t="s">
        <v>37</v>
      </c>
      <c r="D2093">
        <v>5.5676180000000004</v>
      </c>
      <c r="E2093">
        <v>0.4861145</v>
      </c>
      <c r="F2093" t="s">
        <v>48</v>
      </c>
      <c r="G2093">
        <v>-422.86500000000001</v>
      </c>
      <c r="H2093" s="1">
        <v>3.7118889999999999E-6</v>
      </c>
      <c r="I2093">
        <v>281.69380000000001</v>
      </c>
      <c r="J2093">
        <v>-406.18819999999999</v>
      </c>
      <c r="K2093">
        <v>1.104641</v>
      </c>
      <c r="L2093">
        <v>283.55689999999998</v>
      </c>
      <c r="M2093">
        <v>-0.99966440000000001</v>
      </c>
      <c r="N2093">
        <v>0</v>
      </c>
      <c r="O2093">
        <v>-2.1820530000000001E-2</v>
      </c>
      <c r="P2093">
        <v>-0.99542019999999998</v>
      </c>
      <c r="Q2093">
        <v>5.4598149999999998E-2</v>
      </c>
      <c r="R2093">
        <v>-7.8471180000000001E-2</v>
      </c>
      <c r="S2093">
        <v>-2.9984439999999899</v>
      </c>
      <c r="T2093">
        <v>-0.19456479999999901</v>
      </c>
      <c r="U2093">
        <v>-0.32946779999999998</v>
      </c>
      <c r="V2093">
        <v>-5.6691209999999999E-2</v>
      </c>
      <c r="W2093">
        <v>6.8548109999999995E-2</v>
      </c>
      <c r="X2093">
        <v>0.99603580000000003</v>
      </c>
      <c r="Y2093">
        <v>-8.7368000000000001E-2</v>
      </c>
      <c r="Z2093">
        <v>-1.4133279999999999E-3</v>
      </c>
      <c r="AA2093">
        <v>0.99617509999999998</v>
      </c>
      <c r="AB2093">
        <v>36</v>
      </c>
      <c r="AC2093">
        <v>-16.6768</v>
      </c>
      <c r="AD2093">
        <v>-1.104637288111</v>
      </c>
      <c r="AE2093">
        <v>-1.86309999999997</v>
      </c>
      <c r="AF2093">
        <v>-1.49225770096891</v>
      </c>
      <c r="AG2093">
        <v>-1.104637288111</v>
      </c>
      <c r="AH2093">
        <v>16.641372889749999</v>
      </c>
      <c r="AI2093">
        <v>93.782531115465403</v>
      </c>
      <c r="AJ2093">
        <v>95.124096419222795</v>
      </c>
      <c r="AK2093">
        <v>16.744621471985901</v>
      </c>
    </row>
    <row r="2094" spans="1:37" x14ac:dyDescent="0.2">
      <c r="A2094" t="str">
        <f>"20200111153649454"</f>
        <v>20200111153649454</v>
      </c>
      <c r="B2094" t="str">
        <f>"1578728209445080"</f>
        <v>1578728209445080</v>
      </c>
      <c r="C2094" t="s">
        <v>37</v>
      </c>
      <c r="D2094">
        <v>5.9960649999999998</v>
      </c>
      <c r="E2094">
        <v>0.48615140000000001</v>
      </c>
      <c r="F2094" t="s">
        <v>48</v>
      </c>
      <c r="G2094">
        <v>-423.01229999999998</v>
      </c>
      <c r="H2094" s="1">
        <v>3.6869429999999999E-6</v>
      </c>
      <c r="I2094">
        <v>281.68040000000002</v>
      </c>
      <c r="J2094">
        <v>-406.53449999999998</v>
      </c>
      <c r="K2094">
        <v>1.1046469999999999</v>
      </c>
      <c r="L2094">
        <v>283.5496</v>
      </c>
      <c r="M2094">
        <v>-0.99966909999999898</v>
      </c>
      <c r="N2094">
        <v>0</v>
      </c>
      <c r="O2094">
        <v>-2.1605829999999999E-2</v>
      </c>
      <c r="P2094">
        <v>-0.99529489999999998</v>
      </c>
      <c r="Q2094">
        <v>5.478479E-2</v>
      </c>
      <c r="R2094">
        <v>-7.9918439999999993E-2</v>
      </c>
      <c r="S2094">
        <v>-2.9981990000000001</v>
      </c>
      <c r="T2094">
        <v>-0.1968559</v>
      </c>
      <c r="U2094">
        <v>-0.33441159999999998</v>
      </c>
      <c r="V2094">
        <v>-5.8355070000000002E-2</v>
      </c>
      <c r="W2094">
        <v>6.8732689999999999E-2</v>
      </c>
      <c r="X2094">
        <v>0.99592700000000001</v>
      </c>
      <c r="Y2094">
        <v>-8.9205770000000004E-2</v>
      </c>
      <c r="Z2094">
        <v>-1.504039E-3</v>
      </c>
      <c r="AA2094">
        <v>0.99601209999999996</v>
      </c>
      <c r="AB2094">
        <v>36</v>
      </c>
      <c r="AC2094">
        <v>-16.477799999999998</v>
      </c>
      <c r="AD2094">
        <v>-1.1046433130569999</v>
      </c>
      <c r="AE2094">
        <v>-1.86919999999997</v>
      </c>
      <c r="AF2094">
        <v>-1.506030033764</v>
      </c>
      <c r="AG2094">
        <v>-1.1046433130569999</v>
      </c>
      <c r="AH2094">
        <v>16.4413913175188</v>
      </c>
      <c r="AI2094">
        <v>93.827762350234806</v>
      </c>
      <c r="AJ2094">
        <v>95.233683278089799</v>
      </c>
      <c r="AK2094">
        <v>16.5471360593748</v>
      </c>
    </row>
    <row r="2095" spans="1:37" x14ac:dyDescent="0.2">
      <c r="A2095" t="str">
        <f>"20200111153649477"</f>
        <v>20200111153649477</v>
      </c>
      <c r="B2095" t="str">
        <f>"1578728209475337"</f>
        <v>1578728209475337</v>
      </c>
      <c r="C2095" t="s">
        <v>37</v>
      </c>
      <c r="D2095">
        <v>5.6335410000000001</v>
      </c>
      <c r="E2095">
        <v>0.48626140000000001</v>
      </c>
      <c r="F2095" t="s">
        <v>48</v>
      </c>
      <c r="G2095">
        <v>-423.5034</v>
      </c>
      <c r="H2095" s="1">
        <v>3.6039279999999998E-6</v>
      </c>
      <c r="I2095">
        <v>281.63339999999999</v>
      </c>
      <c r="J2095">
        <v>-406.89440000000002</v>
      </c>
      <c r="K2095">
        <v>1.1046479999999901</v>
      </c>
      <c r="L2095">
        <v>283.54199999999997</v>
      </c>
      <c r="M2095">
        <v>-0.9996739</v>
      </c>
      <c r="N2095">
        <v>0</v>
      </c>
      <c r="O2095">
        <v>-2.13829E-2</v>
      </c>
      <c r="P2095">
        <v>-0.99517919999999904</v>
      </c>
      <c r="Q2095">
        <v>5.5100469999999999E-2</v>
      </c>
      <c r="R2095">
        <v>-8.1133369999999996E-2</v>
      </c>
      <c r="S2095">
        <v>-2.9977109999999998</v>
      </c>
      <c r="T2095">
        <v>-0.19514509999999999</v>
      </c>
      <c r="U2095">
        <v>-0.338501</v>
      </c>
      <c r="V2095">
        <v>-5.9794079999999999E-2</v>
      </c>
      <c r="W2095">
        <v>6.9045709999999996E-2</v>
      </c>
      <c r="X2095">
        <v>0.99581989999999998</v>
      </c>
      <c r="Y2095">
        <v>-9.0786160000000005E-2</v>
      </c>
      <c r="Z2095">
        <v>-1.556794E-3</v>
      </c>
      <c r="AA2095">
        <v>0.99586919999999901</v>
      </c>
      <c r="AB2095">
        <v>36</v>
      </c>
      <c r="AC2095">
        <v>-16.608999999999899</v>
      </c>
      <c r="AD2095">
        <v>-1.1046443960719901</v>
      </c>
      <c r="AE2095">
        <v>-1.9086000000000301</v>
      </c>
      <c r="AF2095">
        <v>-1.5462298572169799</v>
      </c>
      <c r="AG2095">
        <v>-1.1046443960719901</v>
      </c>
      <c r="AH2095">
        <v>16.573660399051001</v>
      </c>
      <c r="AI2095">
        <v>93.796719607721201</v>
      </c>
      <c r="AJ2095">
        <v>95.329947951659307</v>
      </c>
      <c r="AK2095">
        <v>16.682244604255001</v>
      </c>
    </row>
    <row r="2096" spans="1:37" x14ac:dyDescent="0.2">
      <c r="A2096" t="str">
        <f>"20200111153649499"</f>
        <v>20200111153649499</v>
      </c>
      <c r="B2096" t="str">
        <f>"1578728209494856"</f>
        <v>1578728209494856</v>
      </c>
      <c r="C2096" t="s">
        <v>37</v>
      </c>
      <c r="D2096">
        <v>5.9345549999999996</v>
      </c>
      <c r="E2096">
        <v>0.48627029999999899</v>
      </c>
      <c r="F2096" t="s">
        <v>48</v>
      </c>
      <c r="G2096">
        <v>-424.25909999999999</v>
      </c>
      <c r="H2096" s="1">
        <v>3.47607399999999E-6</v>
      </c>
      <c r="I2096">
        <v>281.56270000000001</v>
      </c>
      <c r="J2096">
        <v>-407.2525</v>
      </c>
      <c r="K2096">
        <v>1.104643</v>
      </c>
      <c r="L2096">
        <v>283.53460000000001</v>
      </c>
      <c r="M2096">
        <v>-0.99967870000000003</v>
      </c>
      <c r="N2096">
        <v>0</v>
      </c>
      <c r="O2096">
        <v>-2.1160809999999999E-2</v>
      </c>
      <c r="P2096">
        <v>-0.99508189999999996</v>
      </c>
      <c r="Q2096">
        <v>5.5254749999999998E-2</v>
      </c>
      <c r="R2096">
        <v>-8.2213889999999998E-2</v>
      </c>
      <c r="S2096">
        <v>-2.99725299999999</v>
      </c>
      <c r="T2096">
        <v>-0.1906687</v>
      </c>
      <c r="U2096">
        <v>-0.34164429999999901</v>
      </c>
      <c r="V2096">
        <v>-6.1097310000000002E-2</v>
      </c>
      <c r="W2096">
        <v>6.9197449999999994E-2</v>
      </c>
      <c r="X2096">
        <v>0.99573029999999996</v>
      </c>
      <c r="Y2096">
        <v>-9.2058950000000001E-2</v>
      </c>
      <c r="Z2096">
        <v>-1.5756710000000001E-3</v>
      </c>
      <c r="AA2096">
        <v>0.99575230000000003</v>
      </c>
      <c r="AB2096">
        <v>36</v>
      </c>
      <c r="AC2096">
        <v>-17.006599999999899</v>
      </c>
      <c r="AD2096">
        <v>-1.1046395239260001</v>
      </c>
      <c r="AE2096">
        <v>-1.9719</v>
      </c>
      <c r="AF2096">
        <v>-1.6048688352017599</v>
      </c>
      <c r="AG2096">
        <v>-1.1046395239260001</v>
      </c>
      <c r="AH2096">
        <v>16.9738601241894</v>
      </c>
      <c r="AI2096">
        <v>93.707007179879497</v>
      </c>
      <c r="AJ2096">
        <v>95.401226677805397</v>
      </c>
      <c r="AK2096">
        <v>17.085308307770401</v>
      </c>
    </row>
    <row r="2097" spans="1:37" x14ac:dyDescent="0.2">
      <c r="A2097" t="str">
        <f>"20200111153649513"</f>
        <v>20200111153649513</v>
      </c>
      <c r="B2097" t="str">
        <f>"1578728209504616"</f>
        <v>1578728209504616</v>
      </c>
      <c r="C2097" t="s">
        <v>37</v>
      </c>
      <c r="D2097">
        <v>5.6068239999999996</v>
      </c>
      <c r="E2097">
        <v>0.4862379</v>
      </c>
      <c r="F2097" t="s">
        <v>48</v>
      </c>
      <c r="G2097">
        <v>-424.84570000000002</v>
      </c>
      <c r="H2097" s="1">
        <v>3.37675099999999E-6</v>
      </c>
      <c r="I2097">
        <v>281.50850000000003</v>
      </c>
      <c r="J2097">
        <v>-407.47669999999999</v>
      </c>
      <c r="K2097">
        <v>1.1046419999999999</v>
      </c>
      <c r="L2097">
        <v>283.52999999999997</v>
      </c>
      <c r="M2097">
        <v>-0.99968159999999895</v>
      </c>
      <c r="N2097">
        <v>0</v>
      </c>
      <c r="O2097">
        <v>-2.1021459999999999E-2</v>
      </c>
      <c r="P2097">
        <v>-0.99508050000000003</v>
      </c>
      <c r="Q2097">
        <v>5.4924290000000001E-2</v>
      </c>
      <c r="R2097">
        <v>-8.2454589999999994E-2</v>
      </c>
      <c r="S2097">
        <v>-2.9967649999999999</v>
      </c>
      <c r="T2097">
        <v>-0.1881601</v>
      </c>
      <c r="U2097">
        <v>-0.34512329999999902</v>
      </c>
      <c r="V2097">
        <v>-6.1477129999999998E-2</v>
      </c>
      <c r="W2097">
        <v>6.8865899999999994E-2</v>
      </c>
      <c r="X2097">
        <v>0.99572989999999995</v>
      </c>
      <c r="Y2097">
        <v>-9.3357819999999994E-2</v>
      </c>
      <c r="Z2097">
        <v>-1.6044429999999899E-3</v>
      </c>
      <c r="AA2097">
        <v>0.9956313</v>
      </c>
      <c r="AB2097">
        <v>36</v>
      </c>
      <c r="AC2097">
        <v>-17.369</v>
      </c>
      <c r="AD2097">
        <v>-1.104638623249</v>
      </c>
      <c r="AE2097">
        <v>-2.0214999999999401</v>
      </c>
      <c r="AF2097">
        <v>-1.64931401123667</v>
      </c>
      <c r="AG2097">
        <v>-1.104638623249</v>
      </c>
      <c r="AH2097">
        <v>17.338467776664899</v>
      </c>
      <c r="AI2097">
        <v>93.629065133681806</v>
      </c>
      <c r="AJ2097">
        <v>95.433884993982502</v>
      </c>
      <c r="AK2097">
        <v>17.4517313765163</v>
      </c>
    </row>
    <row r="2098" spans="1:37" x14ac:dyDescent="0.2">
      <c r="A2098" t="str">
        <f>"20200111153649533"</f>
        <v>20200111153649533</v>
      </c>
      <c r="B2098" t="str">
        <f>"1578728209525232"</f>
        <v>1578728209525232</v>
      </c>
      <c r="C2098" t="s">
        <v>37</v>
      </c>
      <c r="D2098">
        <v>5.6522870000000003</v>
      </c>
      <c r="E2098">
        <v>0.48619279999999998</v>
      </c>
      <c r="F2098" t="s">
        <v>48</v>
      </c>
      <c r="G2098">
        <v>-425.0034</v>
      </c>
      <c r="H2098" s="1">
        <v>3.3490730000000001E-6</v>
      </c>
      <c r="I2098">
        <v>281.50510000000003</v>
      </c>
      <c r="J2098">
        <v>-407.79270000000002</v>
      </c>
      <c r="K2098">
        <v>1.104635</v>
      </c>
      <c r="L2098">
        <v>283.52350000000001</v>
      </c>
      <c r="M2098">
        <v>-0.99968579999999996</v>
      </c>
      <c r="N2098">
        <v>0</v>
      </c>
      <c r="O2098">
        <v>-2.0825E-2</v>
      </c>
      <c r="P2098">
        <v>-0.99505499999999902</v>
      </c>
      <c r="Q2098">
        <v>5.4454929999999999E-2</v>
      </c>
      <c r="R2098">
        <v>-8.3069580000000004E-2</v>
      </c>
      <c r="S2098">
        <v>-2.9965519999999999</v>
      </c>
      <c r="T2098">
        <v>-0.1888611</v>
      </c>
      <c r="U2098">
        <v>-0.34619139999999998</v>
      </c>
      <c r="V2098">
        <v>-6.2288669999999997E-2</v>
      </c>
      <c r="W2098">
        <v>6.8395410000000004E-2</v>
      </c>
      <c r="X2098">
        <v>0.99571189999999998</v>
      </c>
      <c r="Y2098">
        <v>-9.3909229999999996E-2</v>
      </c>
      <c r="Z2098">
        <v>-1.640114E-3</v>
      </c>
      <c r="AA2098">
        <v>0.9955794</v>
      </c>
      <c r="AB2098">
        <v>36</v>
      </c>
      <c r="AC2098">
        <v>-17.2106999999999</v>
      </c>
      <c r="AD2098">
        <v>-1.104631650927</v>
      </c>
      <c r="AE2098">
        <v>-2.0183999999999802</v>
      </c>
      <c r="AF2098">
        <v>-1.65279826068059</v>
      </c>
      <c r="AG2098">
        <v>-1.104631650927</v>
      </c>
      <c r="AH2098">
        <v>17.1791956670118</v>
      </c>
      <c r="AI2098">
        <v>93.662221185956895</v>
      </c>
      <c r="AJ2098">
        <v>95.495472278969501</v>
      </c>
      <c r="AK2098">
        <v>17.2938346511182</v>
      </c>
    </row>
    <row r="2099" spans="1:37" x14ac:dyDescent="0.2">
      <c r="A2099" t="str">
        <f>"20200111153649555"</f>
        <v>20200111153649555</v>
      </c>
      <c r="B2099" t="str">
        <f>"1578728209544748"</f>
        <v>1578728209544748</v>
      </c>
      <c r="C2099" t="s">
        <v>37</v>
      </c>
      <c r="D2099">
        <v>5.6363399999999997</v>
      </c>
      <c r="E2099">
        <v>0.48620329999999901</v>
      </c>
      <c r="F2099" t="s">
        <v>48</v>
      </c>
      <c r="G2099">
        <v>-425.31490000000002</v>
      </c>
      <c r="H2099" s="1">
        <v>3.2956409999999999E-6</v>
      </c>
      <c r="I2099">
        <v>281.48430000000002</v>
      </c>
      <c r="J2099">
        <v>-408.14120000000003</v>
      </c>
      <c r="K2099">
        <v>1.1046389999999999</v>
      </c>
      <c r="L2099">
        <v>283.51650000000001</v>
      </c>
      <c r="M2099">
        <v>-0.99969019999999997</v>
      </c>
      <c r="N2099">
        <v>0</v>
      </c>
      <c r="O2099">
        <v>-2.0608049999999999E-2</v>
      </c>
      <c r="P2099">
        <v>-0.99510739999999998</v>
      </c>
      <c r="Q2099">
        <v>5.4117199999999997E-2</v>
      </c>
      <c r="R2099">
        <v>-8.2660250000000005E-2</v>
      </c>
      <c r="S2099">
        <v>-2.996124</v>
      </c>
      <c r="T2099">
        <v>-0.188881299999999</v>
      </c>
      <c r="U2099">
        <v>-0.3486938</v>
      </c>
      <c r="V2099">
        <v>-6.2094969999999999E-2</v>
      </c>
      <c r="W2099">
        <v>6.8056220000000001E-2</v>
      </c>
      <c r="X2099">
        <v>0.9957473</v>
      </c>
      <c r="Y2099">
        <v>-9.4959420000000003E-2</v>
      </c>
      <c r="Z2099">
        <v>-1.68701299999999E-3</v>
      </c>
      <c r="AA2099">
        <v>0.99547969999999897</v>
      </c>
      <c r="AB2099">
        <v>36</v>
      </c>
      <c r="AC2099">
        <v>-17.173699999999901</v>
      </c>
      <c r="AD2099">
        <v>-1.1046357043589901</v>
      </c>
      <c r="AE2099">
        <v>-2.03219999999998</v>
      </c>
      <c r="AF2099">
        <v>-1.6709995394966299</v>
      </c>
      <c r="AG2099">
        <v>-1.1046357043589901</v>
      </c>
      <c r="AH2099">
        <v>17.141994750575499</v>
      </c>
      <c r="AI2099">
        <v>93.669714368996495</v>
      </c>
      <c r="AJ2099">
        <v>95.567594968856298</v>
      </c>
      <c r="AK2099">
        <v>17.258633883627699</v>
      </c>
    </row>
    <row r="2100" spans="1:37" x14ac:dyDescent="0.2">
      <c r="A2100" t="str">
        <f>"20200111153649577"</f>
        <v>20200111153649577</v>
      </c>
      <c r="B2100" t="str">
        <f>"1578728209575005"</f>
        <v>1578728209575005</v>
      </c>
      <c r="C2100" t="s">
        <v>37</v>
      </c>
      <c r="D2100">
        <v>5.9728069999999898</v>
      </c>
      <c r="E2100">
        <v>0.48627809999999999</v>
      </c>
      <c r="F2100" t="s">
        <v>48</v>
      </c>
      <c r="G2100">
        <v>-425.65339999999998</v>
      </c>
      <c r="H2100" s="1">
        <v>3.23569799999999E-6</v>
      </c>
      <c r="I2100">
        <v>281.48309999999998</v>
      </c>
      <c r="J2100">
        <v>-408.50110000000001</v>
      </c>
      <c r="K2100">
        <v>1.104643</v>
      </c>
      <c r="L2100">
        <v>283.5093</v>
      </c>
      <c r="M2100">
        <v>-0.99969490000000005</v>
      </c>
      <c r="N2100">
        <v>0</v>
      </c>
      <c r="O2100">
        <v>-2.0384289999999999E-2</v>
      </c>
      <c r="P2100">
        <v>-0.99516649999999995</v>
      </c>
      <c r="Q2100">
        <v>5.4336780000000001E-2</v>
      </c>
      <c r="R2100">
        <v>-8.1799800000000006E-2</v>
      </c>
      <c r="S2100">
        <v>-2.996124</v>
      </c>
      <c r="T2100">
        <v>-0.18898989999999999</v>
      </c>
      <c r="U2100">
        <v>-0.3479004</v>
      </c>
      <c r="V2100">
        <v>-6.145685E-2</v>
      </c>
      <c r="W2100">
        <v>6.8273630000000002E-2</v>
      </c>
      <c r="X2100">
        <v>0.99577190000000004</v>
      </c>
      <c r="Y2100">
        <v>-9.4921569999999997E-2</v>
      </c>
      <c r="Z2100">
        <v>-1.700862E-3</v>
      </c>
      <c r="AA2100">
        <v>0.99548329999999996</v>
      </c>
      <c r="AB2100">
        <v>36</v>
      </c>
      <c r="AC2100">
        <v>-17.152299999999901</v>
      </c>
      <c r="AD2100">
        <v>-1.1046397643020001</v>
      </c>
      <c r="AE2100">
        <v>-2.02620000000001</v>
      </c>
      <c r="AF2100">
        <v>-1.66927921884121</v>
      </c>
      <c r="AG2100">
        <v>-1.1046397643020001</v>
      </c>
      <c r="AH2100">
        <v>17.120012367003699</v>
      </c>
      <c r="AI2100">
        <v>93.674418177426105</v>
      </c>
      <c r="AJ2100">
        <v>95.568995706642198</v>
      </c>
      <c r="AK2100">
        <v>17.236633823507699</v>
      </c>
    </row>
    <row r="2101" spans="1:37" x14ac:dyDescent="0.2">
      <c r="A2101" t="str">
        <f>"20200111153649601"</f>
        <v>20200111153649601</v>
      </c>
      <c r="B2101" t="str">
        <f>"1578728209594524"</f>
        <v>1578728209594524</v>
      </c>
      <c r="C2101" t="s">
        <v>37</v>
      </c>
      <c r="D2101">
        <v>5.8683550000000002</v>
      </c>
      <c r="E2101">
        <v>0.48636599999999902</v>
      </c>
      <c r="F2101" t="s">
        <v>48</v>
      </c>
      <c r="G2101">
        <v>-426.3107</v>
      </c>
      <c r="H2101" s="1">
        <v>3.121151E-6</v>
      </c>
      <c r="I2101">
        <v>281.45960000000002</v>
      </c>
      <c r="J2101">
        <v>-408.87150000000003</v>
      </c>
      <c r="K2101">
        <v>1.1046549999999999</v>
      </c>
      <c r="L2101">
        <v>283.50200000000001</v>
      </c>
      <c r="M2101">
        <v>-0.99969969999999997</v>
      </c>
      <c r="N2101">
        <v>0</v>
      </c>
      <c r="O2101">
        <v>-2.015374E-2</v>
      </c>
      <c r="P2101">
        <v>-0.99519259999999998</v>
      </c>
      <c r="Q2101">
        <v>5.5507720000000003E-2</v>
      </c>
      <c r="R2101">
        <v>-8.0689360000000002E-2</v>
      </c>
      <c r="S2101">
        <v>-2.9963679999999999</v>
      </c>
      <c r="T2101">
        <v>-0.18584909999999999</v>
      </c>
      <c r="U2101">
        <v>-0.34484860000000001</v>
      </c>
      <c r="V2101">
        <v>-6.0574940000000001E-2</v>
      </c>
      <c r="W2101">
        <v>6.944148E-2</v>
      </c>
      <c r="X2101">
        <v>0.995745199999999</v>
      </c>
      <c r="Y2101">
        <v>-9.4147149999999999E-2</v>
      </c>
      <c r="Z2101">
        <v>-1.662923E-3</v>
      </c>
      <c r="AA2101">
        <v>0.99555689999999997</v>
      </c>
      <c r="AB2101">
        <v>36</v>
      </c>
      <c r="AC2101">
        <v>-17.4391999999999</v>
      </c>
      <c r="AD2101">
        <v>-1.1046518788489901</v>
      </c>
      <c r="AE2101">
        <v>-2.0423999999999798</v>
      </c>
      <c r="AF2101">
        <v>-1.6838211833330099</v>
      </c>
      <c r="AG2101">
        <v>-1.1046518788489901</v>
      </c>
      <c r="AH2101">
        <v>17.4079218314766</v>
      </c>
      <c r="AI2101">
        <v>93.614118462951794</v>
      </c>
      <c r="AJ2101">
        <v>95.524877959735704</v>
      </c>
      <c r="AK2101">
        <v>17.5240192890126</v>
      </c>
    </row>
    <row r="2102" spans="1:37" x14ac:dyDescent="0.2">
      <c r="A2102" t="str">
        <f>"20200111153649623"</f>
        <v>20200111153649623</v>
      </c>
      <c r="B2102" t="str">
        <f>"1578728209615021"</f>
        <v>1578728209615021</v>
      </c>
      <c r="C2102" t="s">
        <v>37</v>
      </c>
      <c r="D2102">
        <v>5.7255019999999996</v>
      </c>
      <c r="E2102">
        <v>0.48632730000000002</v>
      </c>
      <c r="F2102" t="s">
        <v>48</v>
      </c>
      <c r="G2102">
        <v>-427.13479999999998</v>
      </c>
      <c r="H2102" s="1">
        <v>2.9781849999999902E-6</v>
      </c>
      <c r="I2102">
        <v>281.42290000000003</v>
      </c>
      <c r="J2102">
        <v>-409.2294</v>
      </c>
      <c r="K2102">
        <v>1.1046549999999999</v>
      </c>
      <c r="L2102">
        <v>283.49509999999998</v>
      </c>
      <c r="M2102">
        <v>-0.99970409999999899</v>
      </c>
      <c r="N2102">
        <v>0</v>
      </c>
      <c r="O2102">
        <v>-1.993106E-2</v>
      </c>
      <c r="P2102">
        <v>-0.99524029999999997</v>
      </c>
      <c r="Q2102">
        <v>5.6734600000000003E-2</v>
      </c>
      <c r="R2102">
        <v>-7.9236500000000001E-2</v>
      </c>
      <c r="S2102">
        <v>-2.9969790000000001</v>
      </c>
      <c r="T2102">
        <v>-0.1812714</v>
      </c>
      <c r="U2102">
        <v>-0.3411865</v>
      </c>
      <c r="V2102">
        <v>-5.9342399999999997E-2</v>
      </c>
      <c r="W2102">
        <v>7.0665850000000002E-2</v>
      </c>
      <c r="X2102">
        <v>0.99573330000000004</v>
      </c>
      <c r="Y2102">
        <v>-9.315329E-2</v>
      </c>
      <c r="Z2102">
        <v>-1.605291E-3</v>
      </c>
      <c r="AA2102">
        <v>0.99565049999999899</v>
      </c>
      <c r="AB2102">
        <v>36</v>
      </c>
      <c r="AC2102">
        <v>-17.905399999999901</v>
      </c>
      <c r="AD2102">
        <v>-1.104652021815</v>
      </c>
      <c r="AE2102">
        <v>-2.0721999999999499</v>
      </c>
      <c r="AF2102">
        <v>-1.7084633036589301</v>
      </c>
      <c r="AG2102">
        <v>-1.104652021815</v>
      </c>
      <c r="AH2102">
        <v>17.8760086042208</v>
      </c>
      <c r="AI2102">
        <v>93.520109731605601</v>
      </c>
      <c r="AJ2102">
        <v>95.459346094350593</v>
      </c>
      <c r="AK2102">
        <v>17.991408687688299</v>
      </c>
    </row>
    <row r="2103" spans="1:37" x14ac:dyDescent="0.2">
      <c r="A2103" t="str">
        <f>"20200111153649645"</f>
        <v>20200111153649645</v>
      </c>
      <c r="B2103" t="str">
        <f>"1578728209634541"</f>
        <v>1578728209634541</v>
      </c>
      <c r="C2103" t="s">
        <v>37</v>
      </c>
      <c r="D2103">
        <v>5.7377209999999996</v>
      </c>
      <c r="E2103">
        <v>0.4862648</v>
      </c>
      <c r="F2103" t="s">
        <v>48</v>
      </c>
      <c r="G2103">
        <v>-427.93729999999999</v>
      </c>
      <c r="H2103" s="1">
        <v>2.838891E-6</v>
      </c>
      <c r="I2103">
        <v>281.38799999999998</v>
      </c>
      <c r="J2103">
        <v>-409.5727</v>
      </c>
      <c r="K2103">
        <v>1.1046499999999999</v>
      </c>
      <c r="L2103">
        <v>283.48840000000001</v>
      </c>
      <c r="M2103">
        <v>-0.99970840000000005</v>
      </c>
      <c r="N2103">
        <v>0</v>
      </c>
      <c r="O2103">
        <v>-1.9717209999999999E-2</v>
      </c>
      <c r="P2103">
        <v>-0.9954035</v>
      </c>
      <c r="Q2103">
        <v>5.6621810000000002E-2</v>
      </c>
      <c r="R2103">
        <v>-7.7241119999999996E-2</v>
      </c>
      <c r="S2103">
        <v>-2.9975589999999999</v>
      </c>
      <c r="T2103">
        <v>-0.17699799999999999</v>
      </c>
      <c r="U2103">
        <v>-0.33761599999999897</v>
      </c>
      <c r="V2103">
        <v>-5.755847E-2</v>
      </c>
      <c r="W2103">
        <v>7.0551219999999998E-2</v>
      </c>
      <c r="X2103">
        <v>0.99584619999999902</v>
      </c>
      <c r="Y2103">
        <v>-9.2181109999999997E-2</v>
      </c>
      <c r="Z2103">
        <v>-1.551296E-3</v>
      </c>
      <c r="AA2103">
        <v>0.99574110000000005</v>
      </c>
      <c r="AB2103">
        <v>36</v>
      </c>
      <c r="AC2103">
        <v>-18.364599999999999</v>
      </c>
      <c r="AD2103">
        <v>-1.1046471611090001</v>
      </c>
      <c r="AE2103">
        <v>-2.1004000000000298</v>
      </c>
      <c r="AF2103">
        <v>-1.7316732104156101</v>
      </c>
      <c r="AG2103">
        <v>-1.1046471611090001</v>
      </c>
      <c r="AH2103">
        <v>18.336958377289999</v>
      </c>
      <c r="AI2103">
        <v>93.432187702004796</v>
      </c>
      <c r="AJ2103">
        <v>95.3947980498275</v>
      </c>
      <c r="AK2103">
        <v>18.451638951287801</v>
      </c>
    </row>
    <row r="2104" spans="1:37" x14ac:dyDescent="0.2">
      <c r="A2104" t="str">
        <f>"20200111153649660"</f>
        <v>20200111153649660</v>
      </c>
      <c r="B2104" t="str">
        <f>"1578728209655037"</f>
        <v>1578728209655037</v>
      </c>
      <c r="C2104" t="s">
        <v>37</v>
      </c>
      <c r="D2104">
        <v>6.045426</v>
      </c>
      <c r="E2104">
        <v>0.48598570000000002</v>
      </c>
      <c r="F2104" t="s">
        <v>48</v>
      </c>
      <c r="G2104">
        <v>-428.3141</v>
      </c>
      <c r="H2104" s="1">
        <v>2.7700709999999998E-6</v>
      </c>
      <c r="I2104">
        <v>281.41059999999999</v>
      </c>
      <c r="J2104">
        <v>-409.82440000000003</v>
      </c>
      <c r="K2104">
        <v>1.104646</v>
      </c>
      <c r="L2104">
        <v>283.4837</v>
      </c>
      <c r="M2104">
        <v>-0.99971160000000003</v>
      </c>
      <c r="N2104">
        <v>0</v>
      </c>
      <c r="O2104">
        <v>-1.9560569999999999E-2</v>
      </c>
      <c r="P2104">
        <v>-0.995470999999999</v>
      </c>
      <c r="Q2104">
        <v>5.667428E-2</v>
      </c>
      <c r="R2104">
        <v>-7.6324810000000007E-2</v>
      </c>
      <c r="S2104">
        <v>-2.9980769999999999</v>
      </c>
      <c r="T2104">
        <v>-0.17671139999999999</v>
      </c>
      <c r="U2104">
        <v>-0.33239750000000001</v>
      </c>
      <c r="V2104">
        <v>-5.679704E-2</v>
      </c>
      <c r="W2104">
        <v>7.0602590000000007E-2</v>
      </c>
      <c r="X2104">
        <v>0.99588619999999906</v>
      </c>
      <c r="Y2104">
        <v>-9.0608839999999996E-2</v>
      </c>
      <c r="Z2104">
        <v>-1.5117029999999899E-3</v>
      </c>
      <c r="AA2104">
        <v>0.99588539999999903</v>
      </c>
      <c r="AB2104">
        <v>36</v>
      </c>
      <c r="AC2104">
        <v>-18.4896999999999</v>
      </c>
      <c r="AD2104">
        <v>-1.1046432299290001</v>
      </c>
      <c r="AE2104">
        <v>-2.0731000000000099</v>
      </c>
      <c r="AF2104">
        <v>-1.7049890273764701</v>
      </c>
      <c r="AG2104">
        <v>-1.1046432299290001</v>
      </c>
      <c r="AH2104">
        <v>18.461639482827302</v>
      </c>
      <c r="AI2104">
        <v>93.409707120983597</v>
      </c>
      <c r="AJ2104">
        <v>95.276473758020501</v>
      </c>
      <c r="AK2104">
        <v>18.573081506384199</v>
      </c>
    </row>
    <row r="2105" spans="1:37" x14ac:dyDescent="0.2">
      <c r="A2105" t="str">
        <f>"20200111153649678"</f>
        <v>20200111153649678</v>
      </c>
      <c r="B2105" t="str">
        <f>"1578728209674558"</f>
        <v>1578728209674558</v>
      </c>
      <c r="C2105" t="s">
        <v>37</v>
      </c>
      <c r="D2105">
        <v>5.8336860000000001</v>
      </c>
      <c r="E2105">
        <v>0.48566340000000002</v>
      </c>
      <c r="F2105" t="s">
        <v>48</v>
      </c>
      <c r="G2105">
        <v>-428.72269999999997</v>
      </c>
      <c r="H2105" s="1">
        <v>2.6994599999999999E-6</v>
      </c>
      <c r="I2105">
        <v>281.38920000000002</v>
      </c>
      <c r="J2105">
        <v>-410.10899999999998</v>
      </c>
      <c r="K2105">
        <v>1.104643</v>
      </c>
      <c r="L2105">
        <v>283.47829999999999</v>
      </c>
      <c r="M2105">
        <v>-0.99971489999999996</v>
      </c>
      <c r="N2105">
        <v>0</v>
      </c>
      <c r="O2105">
        <v>-1.9383419999999998E-2</v>
      </c>
      <c r="P2105">
        <v>-0.99565890000000001</v>
      </c>
      <c r="Q2105">
        <v>5.617983E-2</v>
      </c>
      <c r="R2105">
        <v>-7.4210860000000003E-2</v>
      </c>
      <c r="S2105">
        <v>-2.998138</v>
      </c>
      <c r="T2105">
        <v>-0.17524719999999999</v>
      </c>
      <c r="U2105">
        <v>-0.3322754</v>
      </c>
      <c r="V2105">
        <v>-5.4856620000000002E-2</v>
      </c>
      <c r="W2105">
        <v>7.0107429999999998E-2</v>
      </c>
      <c r="X2105">
        <v>0.99602999999999997</v>
      </c>
      <c r="Y2105">
        <v>-9.0744530000000004E-2</v>
      </c>
      <c r="Z2105">
        <v>-1.5134289999999999E-3</v>
      </c>
      <c r="AA2105">
        <v>0.99587300000000001</v>
      </c>
      <c r="AB2105">
        <v>36</v>
      </c>
      <c r="AC2105">
        <v>-18.613699999999898</v>
      </c>
      <c r="AD2105">
        <v>-1.1046403005399901</v>
      </c>
      <c r="AE2105">
        <v>-2.08909999999997</v>
      </c>
      <c r="AF2105">
        <v>-1.72188632907749</v>
      </c>
      <c r="AG2105">
        <v>-1.1046403005399901</v>
      </c>
      <c r="AH2105">
        <v>18.5860562513265</v>
      </c>
      <c r="AI2105">
        <v>93.386836424996304</v>
      </c>
      <c r="AJ2105">
        <v>95.293000767576004</v>
      </c>
      <c r="AK2105">
        <v>18.6983049954084</v>
      </c>
    </row>
    <row r="2106" spans="1:37" x14ac:dyDescent="0.2">
      <c r="A2106" t="str">
        <f>"20200111153649701"</f>
        <v>20200111153649701</v>
      </c>
      <c r="B2106" t="str">
        <f>"1578728209695052"</f>
        <v>1578728209695052</v>
      </c>
      <c r="C2106" t="s">
        <v>37</v>
      </c>
      <c r="D2106">
        <v>6.0584179999999996</v>
      </c>
      <c r="E2106">
        <v>0.48551239999999901</v>
      </c>
      <c r="F2106" t="s">
        <v>48</v>
      </c>
      <c r="G2106">
        <v>-428.79300000000001</v>
      </c>
      <c r="H2106" s="1">
        <v>2.683577E-6</v>
      </c>
      <c r="I2106">
        <v>281.4282</v>
      </c>
      <c r="J2106">
        <v>-410.46800000000002</v>
      </c>
      <c r="K2106">
        <v>1.1046469999999999</v>
      </c>
      <c r="L2106">
        <v>283.47160000000002</v>
      </c>
      <c r="M2106">
        <v>-0.99971909999999897</v>
      </c>
      <c r="N2106">
        <v>0</v>
      </c>
      <c r="O2106">
        <v>-1.916002E-2</v>
      </c>
      <c r="P2106">
        <v>-0.99578909999999998</v>
      </c>
      <c r="Q2106">
        <v>5.634873E-2</v>
      </c>
      <c r="R2106">
        <v>-7.2311009999999995E-2</v>
      </c>
      <c r="S2106">
        <v>-2.9985659999999998</v>
      </c>
      <c r="T2106">
        <v>-0.177282</v>
      </c>
      <c r="U2106">
        <v>-0.32900999999999903</v>
      </c>
      <c r="V2106">
        <v>-5.3177460000000003E-2</v>
      </c>
      <c r="W2106">
        <v>7.0274390000000006E-2</v>
      </c>
      <c r="X2106">
        <v>0.99610919999999903</v>
      </c>
      <c r="Y2106">
        <v>-8.9878340000000001E-2</v>
      </c>
      <c r="Z2106">
        <v>-1.518485E-3</v>
      </c>
      <c r="AA2106">
        <v>0.99595159999999905</v>
      </c>
      <c r="AB2106">
        <v>36</v>
      </c>
      <c r="AC2106">
        <v>-18.3249999999999</v>
      </c>
      <c r="AD2106">
        <v>-1.104644316423</v>
      </c>
      <c r="AE2106">
        <v>-2.0434000000000201</v>
      </c>
      <c r="AF2106">
        <v>-1.6858325975653401</v>
      </c>
      <c r="AG2106">
        <v>-1.104644316423</v>
      </c>
      <c r="AH2106">
        <v>18.295127086327401</v>
      </c>
      <c r="AI2106">
        <v>93.440734441859703</v>
      </c>
      <c r="AJ2106">
        <v>95.264740291805296</v>
      </c>
      <c r="AK2106">
        <v>18.405812824151202</v>
      </c>
    </row>
    <row r="2107" spans="1:37" x14ac:dyDescent="0.2">
      <c r="A2107" t="str">
        <f>"20200111153649723"</f>
        <v>20200111153649723</v>
      </c>
      <c r="B2107" t="str">
        <f>"1578728209714572"</f>
        <v>1578728209714572</v>
      </c>
      <c r="C2107" t="s">
        <v>37</v>
      </c>
      <c r="D2107">
        <v>6.0547319999999996</v>
      </c>
      <c r="E2107">
        <v>0.48526750000000002</v>
      </c>
      <c r="F2107" t="s">
        <v>48</v>
      </c>
      <c r="G2107">
        <v>-429.08229999999998</v>
      </c>
      <c r="H2107" s="1">
        <v>2.6297789999999998E-6</v>
      </c>
      <c r="I2107">
        <v>281.45659999999998</v>
      </c>
      <c r="J2107">
        <v>-410.82220000000001</v>
      </c>
      <c r="K2107">
        <v>1.1046590000000001</v>
      </c>
      <c r="L2107">
        <v>283.46499999999997</v>
      </c>
      <c r="M2107">
        <v>-0.99972340000000004</v>
      </c>
      <c r="N2107">
        <v>0</v>
      </c>
      <c r="O2107">
        <v>-1.893914E-2</v>
      </c>
      <c r="P2107">
        <v>-0.99589830000000001</v>
      </c>
      <c r="Q2107">
        <v>5.786674E-2</v>
      </c>
      <c r="R2107">
        <v>-6.9555629999999993E-2</v>
      </c>
      <c r="S2107">
        <v>-2.9991759999999998</v>
      </c>
      <c r="T2107">
        <v>-0.17798220000000001</v>
      </c>
      <c r="U2107">
        <v>-0.32464599999999999</v>
      </c>
      <c r="V2107">
        <v>-5.0640159999999997E-2</v>
      </c>
      <c r="W2107">
        <v>7.1789290000000006E-2</v>
      </c>
      <c r="X2107">
        <v>0.99613339999999995</v>
      </c>
      <c r="Y2107">
        <v>-8.8645000000000002E-2</v>
      </c>
      <c r="Z2107">
        <v>-1.5008739999999999E-3</v>
      </c>
      <c r="AA2107">
        <v>0.99606219999999901</v>
      </c>
      <c r="AB2107">
        <v>36</v>
      </c>
      <c r="AC2107">
        <v>-18.260099999999898</v>
      </c>
      <c r="AD2107">
        <v>-1.1046563702209999</v>
      </c>
      <c r="AE2107">
        <v>-2.0083999999999902</v>
      </c>
      <c r="AF2107">
        <v>-1.65618674988508</v>
      </c>
      <c r="AG2107">
        <v>-1.1046563702209999</v>
      </c>
      <c r="AH2107">
        <v>18.228949790214301</v>
      </c>
      <c r="AI2107">
        <v>93.453636720735801</v>
      </c>
      <c r="AJ2107">
        <v>95.191341138869305</v>
      </c>
      <c r="AK2107">
        <v>18.337334340108399</v>
      </c>
    </row>
    <row r="2108" spans="1:37" x14ac:dyDescent="0.2">
      <c r="A2108" t="str">
        <f>"20200111153649756"</f>
        <v>20200111153649756</v>
      </c>
      <c r="B2108" t="str">
        <f>"1578728209744829"</f>
        <v>1578728209744829</v>
      </c>
      <c r="C2108" t="s">
        <v>37</v>
      </c>
      <c r="D2108">
        <v>6.0115119999999997</v>
      </c>
      <c r="E2108">
        <v>0.53896840000000001</v>
      </c>
      <c r="F2108" t="s">
        <v>48</v>
      </c>
      <c r="G2108">
        <v>-429.75839999999999</v>
      </c>
      <c r="H2108" s="1">
        <v>2.5096469999999999E-6</v>
      </c>
      <c r="I2108">
        <v>281.459</v>
      </c>
      <c r="J2108">
        <v>-411.34660000000002</v>
      </c>
      <c r="K2108">
        <v>1.10467</v>
      </c>
      <c r="L2108">
        <v>283.4554</v>
      </c>
      <c r="M2108">
        <v>-0.99972969999999906</v>
      </c>
      <c r="N2108">
        <v>0</v>
      </c>
      <c r="O2108">
        <v>-1.861204E-2</v>
      </c>
      <c r="P2108">
        <v>-0.99587169999999903</v>
      </c>
      <c r="Q2108">
        <v>6.070263E-2</v>
      </c>
      <c r="R2108">
        <v>-6.7490350000000005E-2</v>
      </c>
      <c r="S2108">
        <v>-3.000305</v>
      </c>
      <c r="T2108">
        <v>-0.17502519999999999</v>
      </c>
      <c r="U2108">
        <v>-0.31784059999999997</v>
      </c>
      <c r="V2108">
        <v>-4.8899970000000001E-2</v>
      </c>
      <c r="W2108">
        <v>7.4620270000000002E-2</v>
      </c>
      <c r="X2108">
        <v>0.99601229999999996</v>
      </c>
      <c r="Y2108">
        <v>-8.670369E-2</v>
      </c>
      <c r="Z2108">
        <v>-1.4381859999999999E-3</v>
      </c>
      <c r="AA2108">
        <v>0.99623309999999998</v>
      </c>
      <c r="AB2108">
        <v>36</v>
      </c>
      <c r="AC2108">
        <v>-18.4117999999999</v>
      </c>
      <c r="AD2108">
        <v>-1.104667490353</v>
      </c>
      <c r="AE2108">
        <v>-1.99639999999999</v>
      </c>
      <c r="AF2108">
        <v>-1.64747812421786</v>
      </c>
      <c r="AG2108">
        <v>-1.104667490353</v>
      </c>
      <c r="AH2108">
        <v>18.380375159858399</v>
      </c>
      <c r="AI2108">
        <v>93.425660510754696</v>
      </c>
      <c r="AJ2108">
        <v>95.121874223712297</v>
      </c>
      <c r="AK2108">
        <v>18.487094564889301</v>
      </c>
    </row>
    <row r="2109" spans="1:37" x14ac:dyDescent="0.2">
      <c r="A2109" t="str">
        <f>"20200111153649778"</f>
        <v>20200111153649778</v>
      </c>
      <c r="B2109" t="str">
        <f>"1578728209775085"</f>
        <v>1578728209775085</v>
      </c>
      <c r="C2109" t="s">
        <v>37</v>
      </c>
      <c r="D2109">
        <v>5.9655250000000004</v>
      </c>
      <c r="E2109">
        <v>0.55111869999999996</v>
      </c>
      <c r="F2109" t="s">
        <v>38</v>
      </c>
      <c r="G2109">
        <v>-412.12189999999998</v>
      </c>
      <c r="H2109">
        <v>1.043031</v>
      </c>
      <c r="I2109">
        <v>283.48579999999998</v>
      </c>
      <c r="J2109">
        <v>-411.702</v>
      </c>
      <c r="K2109">
        <v>1.104687</v>
      </c>
      <c r="L2109">
        <v>283.44909999999999</v>
      </c>
      <c r="M2109">
        <v>-0.99973250000000002</v>
      </c>
      <c r="N2109">
        <v>0</v>
      </c>
      <c r="O2109">
        <v>-1.8396490000000001E-2</v>
      </c>
      <c r="P2109">
        <v>-0.99591149999999995</v>
      </c>
      <c r="Q2109">
        <v>6.1225199999999903E-2</v>
      </c>
      <c r="R2109">
        <v>-6.6421579999999994E-2</v>
      </c>
      <c r="S2109">
        <v>-3.0351870000000001</v>
      </c>
      <c r="T2109">
        <v>-0.2413767</v>
      </c>
      <c r="U2109">
        <v>0.1182556</v>
      </c>
      <c r="V2109">
        <v>-4.8045240000000003E-2</v>
      </c>
      <c r="W2109">
        <v>7.5230340000000007E-2</v>
      </c>
      <c r="X2109">
        <v>0.996008</v>
      </c>
      <c r="Y2109">
        <v>5.7071829999999997E-2</v>
      </c>
      <c r="Z2109">
        <v>3.72527599999999E-3</v>
      </c>
      <c r="AA2109">
        <v>0.99836309999999995</v>
      </c>
      <c r="AB2109">
        <v>36</v>
      </c>
      <c r="AC2109">
        <v>-0.41989999999998401</v>
      </c>
      <c r="AD2109">
        <v>-6.1655999999999898E-2</v>
      </c>
      <c r="AE2109">
        <v>3.6699999999996097E-2</v>
      </c>
      <c r="AF2109">
        <v>4.3488703201517799E-2</v>
      </c>
      <c r="AG2109">
        <v>-6.1655999999999898E-2</v>
      </c>
      <c r="AH2109">
        <v>0.41037293778913803</v>
      </c>
      <c r="AI2109">
        <v>98.497546065030704</v>
      </c>
      <c r="AJ2109">
        <v>83.950736999370406</v>
      </c>
      <c r="AK2109">
        <v>0.41725133638112799</v>
      </c>
    </row>
    <row r="2110" spans="1:37" x14ac:dyDescent="0.2">
      <c r="A2110" t="str">
        <f>"20200111153649801"</f>
        <v>20200111153649801</v>
      </c>
      <c r="B2110" t="str">
        <f>"1578728209794604"</f>
        <v>1578728209794604</v>
      </c>
      <c r="C2110" t="s">
        <v>37</v>
      </c>
      <c r="D2110">
        <v>5.9592650000000003</v>
      </c>
      <c r="E2110">
        <v>0.55219149999999995</v>
      </c>
      <c r="F2110" t="s">
        <v>48</v>
      </c>
      <c r="G2110">
        <v>-428.12220000000002</v>
      </c>
      <c r="H2110" s="1">
        <v>2.5233730000000002E-6</v>
      </c>
      <c r="I2110">
        <v>284.62180000000001</v>
      </c>
      <c r="J2110">
        <v>-412.05189999999999</v>
      </c>
      <c r="K2110">
        <v>1.104768</v>
      </c>
      <c r="L2110">
        <v>283.44290000000001</v>
      </c>
      <c r="M2110">
        <v>-0.99973120000000004</v>
      </c>
      <c r="N2110">
        <v>0</v>
      </c>
      <c r="O2110">
        <v>-1.8184740000000001E-2</v>
      </c>
      <c r="P2110">
        <v>-0.99587899999999996</v>
      </c>
      <c r="Q2110">
        <v>6.1232660000000001E-2</v>
      </c>
      <c r="R2110">
        <v>-6.6902749999999997E-2</v>
      </c>
      <c r="S2110">
        <v>-3.0393680000000001</v>
      </c>
      <c r="T2110">
        <v>-0.2044764</v>
      </c>
      <c r="U2110">
        <v>0.2170715</v>
      </c>
      <c r="V2110">
        <v>-4.8738699999999899E-2</v>
      </c>
      <c r="W2110">
        <v>7.5595510000000005E-2</v>
      </c>
      <c r="X2110">
        <v>0.99594669999999896</v>
      </c>
      <c r="Y2110">
        <v>8.9125720000000005E-2</v>
      </c>
      <c r="Z2110">
        <v>4.2115679999999997E-3</v>
      </c>
      <c r="AA2110">
        <v>0.99601149999999905</v>
      </c>
      <c r="AB2110">
        <v>35</v>
      </c>
      <c r="AC2110">
        <v>-16.0703</v>
      </c>
      <c r="AD2110">
        <v>-1.1047654766269901</v>
      </c>
      <c r="AE2110">
        <v>1.1788999999999901</v>
      </c>
      <c r="AF2110">
        <v>1.46408726094832</v>
      </c>
      <c r="AG2110">
        <v>-1.1047654766269901</v>
      </c>
      <c r="AH2110">
        <v>15.9711266568924</v>
      </c>
      <c r="AI2110">
        <v>93.940528667777599</v>
      </c>
      <c r="AJ2110">
        <v>84.762284447142505</v>
      </c>
      <c r="AK2110">
        <v>16.0760985614208</v>
      </c>
    </row>
    <row r="2111" spans="1:37" x14ac:dyDescent="0.2">
      <c r="A2111" t="str">
        <f>"20200111153649823"</f>
        <v>20200111153649823</v>
      </c>
      <c r="B2111" t="str">
        <f>"1578728209815100"</f>
        <v>1578728209815100</v>
      </c>
      <c r="C2111" t="s">
        <v>37</v>
      </c>
      <c r="D2111">
        <v>5.953748</v>
      </c>
      <c r="E2111">
        <v>0.55278660000000002</v>
      </c>
      <c r="F2111" t="s">
        <v>38</v>
      </c>
      <c r="G2111">
        <v>-413.0643</v>
      </c>
      <c r="H2111">
        <v>1.0330090000000001</v>
      </c>
      <c r="I2111">
        <v>283.51749999999998</v>
      </c>
      <c r="J2111">
        <v>-412.40469999999999</v>
      </c>
      <c r="K2111">
        <v>1.1048629999999999</v>
      </c>
      <c r="L2111">
        <v>283.43669999999997</v>
      </c>
      <c r="M2111">
        <v>-0.99972799999999995</v>
      </c>
      <c r="N2111">
        <v>0</v>
      </c>
      <c r="O2111">
        <v>-1.7966599999999999E-2</v>
      </c>
      <c r="P2111">
        <v>-0.99588339999999997</v>
      </c>
      <c r="Q2111">
        <v>6.058086E-2</v>
      </c>
      <c r="R2111">
        <v>-6.7429649999999994E-2</v>
      </c>
      <c r="S2111">
        <v>-3.0407410000000001</v>
      </c>
      <c r="T2111">
        <v>-0.21557999999999999</v>
      </c>
      <c r="U2111">
        <v>0.22412109999999999</v>
      </c>
      <c r="V2111">
        <v>-4.9483470000000002E-2</v>
      </c>
      <c r="W2111">
        <v>7.5432869999999999E-2</v>
      </c>
      <c r="X2111">
        <v>0.99592230000000004</v>
      </c>
      <c r="Y2111">
        <v>9.1142310000000004E-2</v>
      </c>
      <c r="Z2111">
        <v>4.49323E-3</v>
      </c>
      <c r="AA2111">
        <v>0.99582769999999998</v>
      </c>
      <c r="AB2111">
        <v>35</v>
      </c>
      <c r="AC2111">
        <v>-0.65960000000001096</v>
      </c>
      <c r="AD2111">
        <v>-7.1853999999999807E-2</v>
      </c>
      <c r="AE2111">
        <v>8.0800000000010599E-2</v>
      </c>
      <c r="AF2111">
        <v>9.1568457741289994E-2</v>
      </c>
      <c r="AG2111">
        <v>-7.1853999999999807E-2</v>
      </c>
      <c r="AH2111">
        <v>0.65043703072428705</v>
      </c>
      <c r="AI2111">
        <v>96.242856657957503</v>
      </c>
      <c r="AJ2111">
        <v>81.986568525196802</v>
      </c>
      <c r="AK2111">
        <v>0.66076933245009595</v>
      </c>
    </row>
    <row r="2112" spans="1:37" x14ac:dyDescent="0.2">
      <c r="A2112" t="str">
        <f>"20200111153649845"</f>
        <v>20200111153649845</v>
      </c>
      <c r="B2112" t="str">
        <f>"1578728209834621"</f>
        <v>1578728209834621</v>
      </c>
      <c r="C2112" t="s">
        <v>37</v>
      </c>
      <c r="D2112">
        <v>5.9948739999999896</v>
      </c>
      <c r="E2112">
        <v>0.55308729999999995</v>
      </c>
      <c r="F2112" t="s">
        <v>38</v>
      </c>
      <c r="G2112">
        <v>-413.37759999999997</v>
      </c>
      <c r="H2112">
        <v>1.032994</v>
      </c>
      <c r="I2112">
        <v>283.50940000000003</v>
      </c>
      <c r="J2112">
        <v>-412.74790000000002</v>
      </c>
      <c r="K2112">
        <v>1.1049389999999999</v>
      </c>
      <c r="L2112">
        <v>283.4307</v>
      </c>
      <c r="M2112">
        <v>-0.99972439999999996</v>
      </c>
      <c r="N2112">
        <v>0</v>
      </c>
      <c r="O2112">
        <v>-1.775326E-2</v>
      </c>
      <c r="P2112">
        <v>-0.99586469999999905</v>
      </c>
      <c r="Q2112">
        <v>6.0464009999999999E-2</v>
      </c>
      <c r="R2112">
        <v>-6.7804840000000005E-2</v>
      </c>
      <c r="S2112">
        <v>-3.0414430000000001</v>
      </c>
      <c r="T2112">
        <v>-0.224659</v>
      </c>
      <c r="U2112">
        <v>0.2269592</v>
      </c>
      <c r="V2112">
        <v>-5.0071890000000001E-2</v>
      </c>
      <c r="W2112">
        <v>7.5798050000000006E-2</v>
      </c>
      <c r="X2112">
        <v>0.99586520000000001</v>
      </c>
      <c r="Y2112">
        <v>9.1812759999999993E-2</v>
      </c>
      <c r="Z2112">
        <v>4.6897070000000004E-3</v>
      </c>
      <c r="AA2112">
        <v>0.99576529999999996</v>
      </c>
      <c r="AB2112">
        <v>35</v>
      </c>
      <c r="AC2112">
        <v>-0.62969999999995696</v>
      </c>
      <c r="AD2112">
        <v>-7.1944999999999898E-2</v>
      </c>
      <c r="AE2112">
        <v>7.8700000000026193E-2</v>
      </c>
      <c r="AF2112">
        <v>8.8727728285559707E-2</v>
      </c>
      <c r="AG2112">
        <v>-7.1944999999999898E-2</v>
      </c>
      <c r="AH2112">
        <v>0.62023158713893101</v>
      </c>
      <c r="AI2112">
        <v>96.5504682773837</v>
      </c>
      <c r="AJ2112">
        <v>81.858743167214598</v>
      </c>
      <c r="AK2112">
        <v>0.63066307524429699</v>
      </c>
    </row>
    <row r="2113" spans="1:37" x14ac:dyDescent="0.2">
      <c r="A2113" t="str">
        <f>"20200111153649867"</f>
        <v>20200111153649867</v>
      </c>
      <c r="B2113" t="str">
        <f>"1578728209864877"</f>
        <v>1578728209864877</v>
      </c>
      <c r="C2113" t="s">
        <v>37</v>
      </c>
      <c r="D2113">
        <v>5.9922909999999998</v>
      </c>
      <c r="E2113">
        <v>0.55338069999999995</v>
      </c>
      <c r="F2113" t="s">
        <v>38</v>
      </c>
      <c r="G2113">
        <v>-413.68959999999998</v>
      </c>
      <c r="H2113">
        <v>1.032762</v>
      </c>
      <c r="I2113">
        <v>283.50110000000001</v>
      </c>
      <c r="J2113">
        <v>-413.09820000000002</v>
      </c>
      <c r="K2113">
        <v>1.1050059999999999</v>
      </c>
      <c r="L2113">
        <v>283.4248</v>
      </c>
      <c r="M2113">
        <v>-0.99972050000000001</v>
      </c>
      <c r="N2113">
        <v>0</v>
      </c>
      <c r="O2113">
        <v>-1.753818E-2</v>
      </c>
      <c r="P2113">
        <v>-0.99590380000000001</v>
      </c>
      <c r="Q2113">
        <v>6.0557340000000001E-2</v>
      </c>
      <c r="R2113">
        <v>-6.7144350000000005E-2</v>
      </c>
      <c r="S2113">
        <v>-3.04211399999999</v>
      </c>
      <c r="T2113">
        <v>-0.23306170000000001</v>
      </c>
      <c r="U2113">
        <v>0.227996799999999</v>
      </c>
      <c r="V2113">
        <v>-4.9624710000000002E-2</v>
      </c>
      <c r="W2113">
        <v>7.6384770000000005E-2</v>
      </c>
      <c r="X2113">
        <v>0.99584280000000003</v>
      </c>
      <c r="Y2113">
        <v>9.1898049999999995E-2</v>
      </c>
      <c r="Z2113">
        <v>4.8503139999999997E-3</v>
      </c>
      <c r="AA2113">
        <v>0.99575659999999899</v>
      </c>
      <c r="AB2113">
        <v>35</v>
      </c>
      <c r="AC2113">
        <v>-0.59139999999996395</v>
      </c>
      <c r="AD2113">
        <v>-7.2243999999999697E-2</v>
      </c>
      <c r="AE2113">
        <v>7.6300000000003296E-2</v>
      </c>
      <c r="AF2113">
        <v>8.5408012704233205E-2</v>
      </c>
      <c r="AG2113">
        <v>-7.2243999999999697E-2</v>
      </c>
      <c r="AH2113">
        <v>0.58143627170242396</v>
      </c>
      <c r="AI2113">
        <v>97.008308318486101</v>
      </c>
      <c r="AJ2113">
        <v>81.643501314804496</v>
      </c>
      <c r="AK2113">
        <v>0.59209953742702903</v>
      </c>
    </row>
    <row r="2114" spans="1:37" x14ac:dyDescent="0.2">
      <c r="A2114" t="str">
        <f>"20200111153649891"</f>
        <v>20200111153649891</v>
      </c>
      <c r="B2114" t="str">
        <f>"1578728209884396"</f>
        <v>1578728209884396</v>
      </c>
      <c r="C2114" t="s">
        <v>37</v>
      </c>
      <c r="D2114">
        <v>6.0433729999999999</v>
      </c>
      <c r="E2114">
        <v>0.55344389999999999</v>
      </c>
      <c r="F2114" t="s">
        <v>38</v>
      </c>
      <c r="G2114">
        <v>-414.0016</v>
      </c>
      <c r="H2114">
        <v>1.0348520000000001</v>
      </c>
      <c r="I2114">
        <v>283.4939</v>
      </c>
      <c r="J2114">
        <v>-413.45530000000002</v>
      </c>
      <c r="K2114">
        <v>1.1050770000000001</v>
      </c>
      <c r="L2114">
        <v>283.41879999999998</v>
      </c>
      <c r="M2114">
        <v>-0.99971589999999999</v>
      </c>
      <c r="N2114">
        <v>0</v>
      </c>
      <c r="O2114">
        <v>-1.7322250000000001E-2</v>
      </c>
      <c r="P2114">
        <v>-0.99599159999999998</v>
      </c>
      <c r="Q2114">
        <v>5.9417610000000003E-2</v>
      </c>
      <c r="R2114">
        <v>-6.6861000000000004E-2</v>
      </c>
      <c r="S2114">
        <v>-3.0423580000000001</v>
      </c>
      <c r="T2114">
        <v>-0.23634929999999901</v>
      </c>
      <c r="U2114">
        <v>0.23217769999999999</v>
      </c>
      <c r="V2114">
        <v>-4.9554880000000003E-2</v>
      </c>
      <c r="W2114">
        <v>7.5768569999999993E-2</v>
      </c>
      <c r="X2114">
        <v>0.99589329999999998</v>
      </c>
      <c r="Y2114">
        <v>9.3026029999999996E-2</v>
      </c>
      <c r="Z2114">
        <v>4.9448549999999997E-3</v>
      </c>
      <c r="AA2114">
        <v>0.99565139999999996</v>
      </c>
      <c r="AB2114">
        <v>35</v>
      </c>
      <c r="AC2114">
        <v>-0.54629999999997303</v>
      </c>
      <c r="AD2114">
        <v>-7.0224999999999899E-2</v>
      </c>
      <c r="AE2114">
        <v>7.5100000000020303E-2</v>
      </c>
      <c r="AF2114">
        <v>8.3203765535371094E-2</v>
      </c>
      <c r="AG2114">
        <v>-7.0224999999999899E-2</v>
      </c>
      <c r="AH2114">
        <v>0.53622064755051202</v>
      </c>
      <c r="AI2114">
        <v>97.373903893716403</v>
      </c>
      <c r="AJ2114">
        <v>81.179921640001794</v>
      </c>
      <c r="AK2114">
        <v>0.54716268155253001</v>
      </c>
    </row>
    <row r="2115" spans="1:37" x14ac:dyDescent="0.2">
      <c r="A2115" t="str">
        <f>"20200111153649913"</f>
        <v>20200111153649913</v>
      </c>
      <c r="B2115" t="str">
        <f>"1578728209904893"</f>
        <v>1578728209904893</v>
      </c>
      <c r="C2115" t="s">
        <v>37</v>
      </c>
      <c r="D2115">
        <v>6.0045529999999996</v>
      </c>
      <c r="E2115">
        <v>0.55354680000000001</v>
      </c>
      <c r="F2115" t="s">
        <v>38</v>
      </c>
      <c r="G2115">
        <v>-414.31229999999999</v>
      </c>
      <c r="H2115">
        <v>1.037166</v>
      </c>
      <c r="I2115">
        <v>283.4846</v>
      </c>
      <c r="J2115">
        <v>-413.80770000000001</v>
      </c>
      <c r="K2115">
        <v>1.105154</v>
      </c>
      <c r="L2115">
        <v>283.41289999999998</v>
      </c>
      <c r="M2115">
        <v>-0.99971069999999995</v>
      </c>
      <c r="N2115">
        <v>0</v>
      </c>
      <c r="O2115">
        <v>-1.7108680000000001E-2</v>
      </c>
      <c r="P2115">
        <v>-0.99603539999999902</v>
      </c>
      <c r="Q2115">
        <v>5.9520539999999997E-2</v>
      </c>
      <c r="R2115">
        <v>-6.6115930000000003E-2</v>
      </c>
      <c r="S2115">
        <v>-3.0421450000000001</v>
      </c>
      <c r="T2115">
        <v>-0.24106849999999999</v>
      </c>
      <c r="U2115">
        <v>0.23370360000000001</v>
      </c>
      <c r="V2115">
        <v>-4.9022059999999999E-2</v>
      </c>
      <c r="W2115">
        <v>7.6400449999999995E-2</v>
      </c>
      <c r="X2115">
        <v>0.99587139999999996</v>
      </c>
      <c r="Y2115">
        <v>9.3301759999999997E-2</v>
      </c>
      <c r="Z2115">
        <v>5.0375690000000004E-3</v>
      </c>
      <c r="AA2115">
        <v>0.99562510000000004</v>
      </c>
      <c r="AB2115">
        <v>35</v>
      </c>
      <c r="AC2115">
        <v>-0.50459999999998195</v>
      </c>
      <c r="AD2115">
        <v>-6.7988000000000104E-2</v>
      </c>
      <c r="AE2115">
        <v>7.1700000000021094E-2</v>
      </c>
      <c r="AF2115">
        <v>7.8919434871689301E-2</v>
      </c>
      <c r="AG2115">
        <v>-6.7988000000000104E-2</v>
      </c>
      <c r="AH2115">
        <v>0.49449981725382602</v>
      </c>
      <c r="AI2115">
        <v>97.7317846085176</v>
      </c>
      <c r="AJ2115">
        <v>80.932379851810595</v>
      </c>
      <c r="AK2115">
        <v>0.50535206995572302</v>
      </c>
    </row>
    <row r="2116" spans="1:37" x14ac:dyDescent="0.2">
      <c r="A2116" t="str">
        <f>"20200111153649935"</f>
        <v>20200111153649935</v>
      </c>
      <c r="B2116" t="str">
        <f>"1578728209924413"</f>
        <v>1578728209924413</v>
      </c>
      <c r="C2116" t="s">
        <v>37</v>
      </c>
      <c r="D2116">
        <v>6.0147190000000004</v>
      </c>
      <c r="E2116">
        <v>0.55365559999999903</v>
      </c>
      <c r="F2116" t="s">
        <v>38</v>
      </c>
      <c r="G2116">
        <v>-414.62199999999899</v>
      </c>
      <c r="H2116">
        <v>1.040208</v>
      </c>
      <c r="I2116">
        <v>283.47649999999999</v>
      </c>
      <c r="J2116">
        <v>-414.13389999999998</v>
      </c>
      <c r="K2116">
        <v>1.105234</v>
      </c>
      <c r="L2116">
        <v>283.40750000000003</v>
      </c>
      <c r="M2116">
        <v>-0.99970539999999997</v>
      </c>
      <c r="N2116">
        <v>0</v>
      </c>
      <c r="O2116">
        <v>-1.6909790000000001E-2</v>
      </c>
      <c r="P2116">
        <v>-0.99602380000000001</v>
      </c>
      <c r="Q2116">
        <v>6.098348E-2</v>
      </c>
      <c r="R2116">
        <v>-6.4945439999999993E-2</v>
      </c>
      <c r="S2116">
        <v>-3.0422060000000002</v>
      </c>
      <c r="T2116">
        <v>-0.242701</v>
      </c>
      <c r="U2116">
        <v>0.23696900000000001</v>
      </c>
      <c r="V2116">
        <v>-4.8049290000000001E-2</v>
      </c>
      <c r="W2116">
        <v>7.8358659999999997E-2</v>
      </c>
      <c r="X2116">
        <v>0.99576659999999995</v>
      </c>
      <c r="Y2116">
        <v>9.4157859999999996E-2</v>
      </c>
      <c r="Z2116">
        <v>5.0894979999999996E-3</v>
      </c>
      <c r="AA2116">
        <v>0.99554430000000005</v>
      </c>
      <c r="AB2116">
        <v>35</v>
      </c>
      <c r="AC2116">
        <v>-0.488099999999974</v>
      </c>
      <c r="AD2116">
        <v>-6.5026E-2</v>
      </c>
      <c r="AE2116">
        <v>6.8999999999959899E-2</v>
      </c>
      <c r="AF2116">
        <v>7.5923932574969502E-2</v>
      </c>
      <c r="AG2116">
        <v>-6.5026E-2</v>
      </c>
      <c r="AH2116">
        <v>0.47853643715390598</v>
      </c>
      <c r="AI2116">
        <v>97.643792478549301</v>
      </c>
      <c r="AJ2116">
        <v>80.984675531708405</v>
      </c>
      <c r="AK2116">
        <v>0.48886597948476901</v>
      </c>
    </row>
    <row r="2117" spans="1:37" x14ac:dyDescent="0.2">
      <c r="A2117" t="str">
        <f>"20200111153649957"</f>
        <v>20200111153649957</v>
      </c>
      <c r="B2117" t="str">
        <f>"1578728209954669"</f>
        <v>1578728209954669</v>
      </c>
      <c r="C2117" t="s">
        <v>37</v>
      </c>
      <c r="D2117">
        <v>6.0573779999999999</v>
      </c>
      <c r="E2117">
        <v>0.55371110000000001</v>
      </c>
      <c r="F2117" t="s">
        <v>38</v>
      </c>
      <c r="G2117">
        <v>-414.9298</v>
      </c>
      <c r="H2117">
        <v>1.0421609999999999</v>
      </c>
      <c r="I2117">
        <v>283.4708</v>
      </c>
      <c r="J2117">
        <v>-414.47469999999998</v>
      </c>
      <c r="K2117">
        <v>1.1053249999999999</v>
      </c>
      <c r="L2117">
        <v>283.40199999999999</v>
      </c>
      <c r="M2117">
        <v>-0.99969920000000001</v>
      </c>
      <c r="N2117">
        <v>0</v>
      </c>
      <c r="O2117">
        <v>-1.6701359999999998E-2</v>
      </c>
      <c r="P2117">
        <v>-0.99591189999999996</v>
      </c>
      <c r="Q2117">
        <v>6.3110390000000002E-2</v>
      </c>
      <c r="R2117">
        <v>-6.4627309999999993E-2</v>
      </c>
      <c r="S2117">
        <v>-3.0424799999999999</v>
      </c>
      <c r="T2117">
        <v>-0.24108389999999999</v>
      </c>
      <c r="U2117">
        <v>0.24148559999999999</v>
      </c>
      <c r="V2117">
        <v>-4.793977E-2</v>
      </c>
      <c r="W2117">
        <v>8.1033270000000004E-2</v>
      </c>
      <c r="X2117">
        <v>0.99555780000000005</v>
      </c>
      <c r="Y2117">
        <v>9.541376E-2</v>
      </c>
      <c r="Z2117">
        <v>5.0880959999999899E-3</v>
      </c>
      <c r="AA2117">
        <v>0.99542469999999905</v>
      </c>
      <c r="AB2117">
        <v>34</v>
      </c>
      <c r="AC2117">
        <v>-0.45510000000001499</v>
      </c>
      <c r="AD2117">
        <v>-6.3163999999999706E-2</v>
      </c>
      <c r="AE2117">
        <v>6.8800000000010103E-2</v>
      </c>
      <c r="AF2117">
        <v>7.4980336031474998E-2</v>
      </c>
      <c r="AG2117">
        <v>-6.3163999999999706E-2</v>
      </c>
      <c r="AH2117">
        <v>0.445497359396894</v>
      </c>
      <c r="AI2117">
        <v>97.959305541982403</v>
      </c>
      <c r="AJ2117">
        <v>80.446256626858499</v>
      </c>
      <c r="AK2117">
        <v>0.45615747162246301</v>
      </c>
    </row>
    <row r="2118" spans="1:37" x14ac:dyDescent="0.2">
      <c r="A2118" t="str">
        <f>"20200111153649981"</f>
        <v>20200111153649981</v>
      </c>
      <c r="B2118" t="str">
        <f>"1578728209975165"</f>
        <v>1578728209975165</v>
      </c>
      <c r="C2118" t="s">
        <v>37</v>
      </c>
      <c r="D2118">
        <v>6.0547500000000003</v>
      </c>
      <c r="E2118">
        <v>0.55365140000000002</v>
      </c>
      <c r="F2118" t="s">
        <v>38</v>
      </c>
      <c r="G2118">
        <v>-415.23770000000002</v>
      </c>
      <c r="H2118">
        <v>1.0451649999999999</v>
      </c>
      <c r="I2118">
        <v>283.46289999999999</v>
      </c>
      <c r="J2118">
        <v>-414.82130000000001</v>
      </c>
      <c r="K2118">
        <v>1.1054310000000001</v>
      </c>
      <c r="L2118">
        <v>283.3965</v>
      </c>
      <c r="M2118">
        <v>-0.99969089999999905</v>
      </c>
      <c r="N2118">
        <v>0</v>
      </c>
      <c r="O2118">
        <v>-1.6490109999999999E-2</v>
      </c>
      <c r="P2118">
        <v>-0.99585460000000003</v>
      </c>
      <c r="Q2118">
        <v>6.4155439999999994E-2</v>
      </c>
      <c r="R2118">
        <v>-6.4484410000000006E-2</v>
      </c>
      <c r="S2118">
        <v>-3.0431819999999998</v>
      </c>
      <c r="T2118">
        <v>-0.239962799999999</v>
      </c>
      <c r="U2118">
        <v>0.242340099999999</v>
      </c>
      <c r="V2118">
        <v>-4.8007630000000003E-2</v>
      </c>
      <c r="W2118">
        <v>8.2718949999999999E-2</v>
      </c>
      <c r="X2118">
        <v>0.99541590000000002</v>
      </c>
      <c r="Y2118">
        <v>9.5467129999999997E-2</v>
      </c>
      <c r="Z2118">
        <v>5.048795E-3</v>
      </c>
      <c r="AA2118">
        <v>0.99541979999999997</v>
      </c>
      <c r="AB2118">
        <v>34</v>
      </c>
      <c r="AC2118">
        <v>-0.41640000000000998</v>
      </c>
      <c r="AD2118">
        <v>-6.0266000000000097E-2</v>
      </c>
      <c r="AE2118">
        <v>6.6399999999987303E-2</v>
      </c>
      <c r="AF2118">
        <v>7.17920963892065E-2</v>
      </c>
      <c r="AG2118">
        <v>-6.0266000000000097E-2</v>
      </c>
      <c r="AH2118">
        <v>0.40693549987440297</v>
      </c>
      <c r="AI2118">
        <v>98.297793760516498</v>
      </c>
      <c r="AJ2118">
        <v>79.994758055148097</v>
      </c>
      <c r="AK2118">
        <v>0.41759142342484401</v>
      </c>
    </row>
    <row r="2119" spans="1:37" x14ac:dyDescent="0.2">
      <c r="A2119" t="str">
        <f>"20200111153650002"</f>
        <v>20200111153650002</v>
      </c>
      <c r="B2119" t="str">
        <f>"1578728209994688"</f>
        <v>1578728209994688</v>
      </c>
      <c r="C2119" t="s">
        <v>37</v>
      </c>
      <c r="D2119">
        <v>6.0845849999999997</v>
      </c>
      <c r="E2119">
        <v>0.55363300000000004</v>
      </c>
      <c r="F2119" t="s">
        <v>38</v>
      </c>
      <c r="G2119">
        <v>-415.83170000000001</v>
      </c>
      <c r="H2119">
        <v>1.025901</v>
      </c>
      <c r="I2119">
        <v>283.4769</v>
      </c>
      <c r="J2119">
        <v>-415.15379999999999</v>
      </c>
      <c r="K2119">
        <v>1.105531</v>
      </c>
      <c r="L2119">
        <v>283.39120000000003</v>
      </c>
      <c r="M2119">
        <v>-0.99968109999999999</v>
      </c>
      <c r="N2119">
        <v>0</v>
      </c>
      <c r="O2119">
        <v>-1.628858E-2</v>
      </c>
      <c r="P2119">
        <v>-0.99581640000000005</v>
      </c>
      <c r="Q2119">
        <v>6.4625569999999993E-2</v>
      </c>
      <c r="R2119">
        <v>-6.4603309999999997E-2</v>
      </c>
      <c r="S2119">
        <v>-3.0435490000000001</v>
      </c>
      <c r="T2119">
        <v>-0.23955290000000001</v>
      </c>
      <c r="U2119">
        <v>0.24166869999999999</v>
      </c>
      <c r="V2119">
        <v>-4.8328059999999999E-2</v>
      </c>
      <c r="W2119">
        <v>8.3879339999999997E-2</v>
      </c>
      <c r="X2119">
        <v>0.9953033</v>
      </c>
      <c r="Y2119">
        <v>9.5042180000000004E-2</v>
      </c>
      <c r="Z2119">
        <v>5.0071619999999999E-3</v>
      </c>
      <c r="AA2119">
        <v>0.99546060000000003</v>
      </c>
      <c r="AB2119">
        <v>34</v>
      </c>
      <c r="AC2119">
        <v>-0.67790000000002204</v>
      </c>
      <c r="AD2119">
        <v>-7.9630000000000006E-2</v>
      </c>
      <c r="AE2119">
        <v>8.5699999999974297E-2</v>
      </c>
      <c r="AF2119">
        <v>9.54365737379861E-2</v>
      </c>
      <c r="AG2119">
        <v>-7.9630000000000006E-2</v>
      </c>
      <c r="AH2119">
        <v>0.66735046106332196</v>
      </c>
      <c r="AI2119">
        <v>96.736611546660995</v>
      </c>
      <c r="AJ2119">
        <v>81.861417204511696</v>
      </c>
      <c r="AK2119">
        <v>0.67882671897051505</v>
      </c>
    </row>
    <row r="2120" spans="1:37" x14ac:dyDescent="0.2">
      <c r="A2120" t="str">
        <f>"20200111153650024"</f>
        <v>20200111153650024</v>
      </c>
      <c r="B2120" t="str">
        <f>"1578728210014722"</f>
        <v>1578728210014722</v>
      </c>
      <c r="C2120" t="s">
        <v>37</v>
      </c>
      <c r="D2120">
        <v>6.0526910000000003</v>
      </c>
      <c r="E2120">
        <v>0.5536257</v>
      </c>
      <c r="F2120" t="s">
        <v>38</v>
      </c>
      <c r="G2120">
        <v>-416.13209999999998</v>
      </c>
      <c r="H2120">
        <v>1.0285469999999901</v>
      </c>
      <c r="I2120">
        <v>283.46870000000001</v>
      </c>
      <c r="J2120">
        <v>-415.48739999999998</v>
      </c>
      <c r="K2120">
        <v>1.105629</v>
      </c>
      <c r="L2120">
        <v>283.385999999999</v>
      </c>
      <c r="M2120">
        <v>-0.9996699</v>
      </c>
      <c r="N2120">
        <v>0</v>
      </c>
      <c r="O2120">
        <v>-1.608851E-2</v>
      </c>
      <c r="P2120">
        <v>-0.99582269999999995</v>
      </c>
      <c r="Q2120">
        <v>6.4425140000000006E-2</v>
      </c>
      <c r="R2120">
        <v>-6.4706879999999994E-2</v>
      </c>
      <c r="S2120">
        <v>-3.0437620000000001</v>
      </c>
      <c r="T2120">
        <v>-0.2395563</v>
      </c>
      <c r="U2120">
        <v>0.24078369999999999</v>
      </c>
      <c r="V2120">
        <v>-4.8630550000000002E-2</v>
      </c>
      <c r="W2120">
        <v>8.4411029999999998E-2</v>
      </c>
      <c r="X2120">
        <v>0.99524360000000001</v>
      </c>
      <c r="Y2120">
        <v>9.4552170000000005E-2</v>
      </c>
      <c r="Z2120">
        <v>4.9720329999999998E-3</v>
      </c>
      <c r="AA2120">
        <v>0.99550749999999999</v>
      </c>
      <c r="AB2120">
        <v>34</v>
      </c>
      <c r="AC2120">
        <v>-0.64470000000000005</v>
      </c>
      <c r="AD2120">
        <v>-7.7082000000000303E-2</v>
      </c>
      <c r="AE2120">
        <v>8.2700000000045196E-2</v>
      </c>
      <c r="AF2120">
        <v>9.1772959955305405E-2</v>
      </c>
      <c r="AG2120">
        <v>-7.7082000000000303E-2</v>
      </c>
      <c r="AH2120">
        <v>0.63436417035032699</v>
      </c>
      <c r="AI2120">
        <v>96.857385220424703</v>
      </c>
      <c r="AJ2120">
        <v>81.768176537600098</v>
      </c>
      <c r="AK2120">
        <v>0.64558640903229703</v>
      </c>
    </row>
    <row r="2121" spans="1:37" x14ac:dyDescent="0.2">
      <c r="A2121" t="str">
        <f>"20200111153650046"</f>
        <v>20200111153650046</v>
      </c>
      <c r="B2121" t="str">
        <f>"1578728210035209"</f>
        <v>1578728210035209</v>
      </c>
      <c r="C2121" t="s">
        <v>37</v>
      </c>
      <c r="D2121">
        <v>6.1262619999999997</v>
      </c>
      <c r="E2121">
        <v>0.5536219</v>
      </c>
      <c r="F2121" t="s">
        <v>38</v>
      </c>
      <c r="G2121">
        <v>-416.43009999999998</v>
      </c>
      <c r="H2121">
        <v>1.030864</v>
      </c>
      <c r="I2121">
        <v>283.4606</v>
      </c>
      <c r="J2121">
        <v>-415.82049999999998</v>
      </c>
      <c r="K2121">
        <v>1.1057139999999901</v>
      </c>
      <c r="L2121">
        <v>283.3809</v>
      </c>
      <c r="M2121">
        <v>-0.99965820000000005</v>
      </c>
      <c r="N2121">
        <v>0</v>
      </c>
      <c r="O2121">
        <v>-1.5890189999999998E-2</v>
      </c>
      <c r="P2121">
        <v>-0.99590820000000002</v>
      </c>
      <c r="Q2121">
        <v>6.381705E-2</v>
      </c>
      <c r="R2121">
        <v>-6.3988199999999995E-2</v>
      </c>
      <c r="S2121">
        <v>-3.0438230000000002</v>
      </c>
      <c r="T2121">
        <v>-0.2414036</v>
      </c>
      <c r="U2121">
        <v>0.24072270000000001</v>
      </c>
      <c r="V2121">
        <v>-4.8108520000000002E-2</v>
      </c>
      <c r="W2121">
        <v>8.4528859999999997E-2</v>
      </c>
      <c r="X2121">
        <v>0.995259</v>
      </c>
      <c r="Y2121">
        <v>9.4329570000000001E-2</v>
      </c>
      <c r="Z2121">
        <v>4.9856900000000001E-3</v>
      </c>
      <c r="AA2121">
        <v>0.99552850000000004</v>
      </c>
      <c r="AB2121">
        <v>33</v>
      </c>
      <c r="AC2121">
        <v>-0.60960000000000003</v>
      </c>
      <c r="AD2121">
        <v>-7.4849999999999806E-2</v>
      </c>
      <c r="AE2121">
        <v>7.9700000000002505E-2</v>
      </c>
      <c r="AF2121">
        <v>8.8073181791370095E-2</v>
      </c>
      <c r="AG2121">
        <v>-7.4849999999999806E-2</v>
      </c>
      <c r="AH2121">
        <v>0.59937185628745704</v>
      </c>
      <c r="AI2121">
        <v>97.043424986557994</v>
      </c>
      <c r="AJ2121">
        <v>81.640639357198197</v>
      </c>
      <c r="AK2121">
        <v>0.61041463773432603</v>
      </c>
    </row>
    <row r="2122" spans="1:37" x14ac:dyDescent="0.2">
      <c r="A2122" t="str">
        <f>"20200111153650070"</f>
        <v>20200111153650070</v>
      </c>
      <c r="B2122" t="str">
        <f>"1578728210064489"</f>
        <v>1578728210064489</v>
      </c>
      <c r="C2122" t="s">
        <v>37</v>
      </c>
      <c r="D2122">
        <v>6.0711079999999997</v>
      </c>
      <c r="E2122">
        <v>0.55365540000000002</v>
      </c>
      <c r="F2122" t="s">
        <v>38</v>
      </c>
      <c r="G2122">
        <v>-416.72570000000002</v>
      </c>
      <c r="H2122">
        <v>1.0326569999999999</v>
      </c>
      <c r="I2122">
        <v>283.45319999999998</v>
      </c>
      <c r="J2122">
        <v>-416.16480000000001</v>
      </c>
      <c r="K2122">
        <v>1.1057920000000001</v>
      </c>
      <c r="L2122">
        <v>283.37569999999999</v>
      </c>
      <c r="M2122">
        <v>-0.99964580000000003</v>
      </c>
      <c r="N2122">
        <v>0</v>
      </c>
      <c r="O2122">
        <v>-1.568545E-2</v>
      </c>
      <c r="P2122">
        <v>-0.99605549999999998</v>
      </c>
      <c r="Q2122">
        <v>6.2926389999999999E-2</v>
      </c>
      <c r="R2122">
        <v>-6.2562000000000006E-2</v>
      </c>
      <c r="S2122">
        <v>-3.043701</v>
      </c>
      <c r="T2122">
        <v>-0.24555839999999901</v>
      </c>
      <c r="U2122">
        <v>0.2431335</v>
      </c>
      <c r="V2122">
        <v>-4.688469E-2</v>
      </c>
      <c r="W2122">
        <v>8.4374439999999995E-2</v>
      </c>
      <c r="X2122">
        <v>0.99533050000000001</v>
      </c>
      <c r="Y2122">
        <v>9.4899540000000004E-2</v>
      </c>
      <c r="Z2122">
        <v>5.0777359999999898E-3</v>
      </c>
      <c r="AA2122">
        <v>0.99547389999999902</v>
      </c>
      <c r="AB2122">
        <v>33</v>
      </c>
      <c r="AC2122">
        <v>-0.56090000000000295</v>
      </c>
      <c r="AD2122">
        <v>-7.3135000000000103E-2</v>
      </c>
      <c r="AE2122">
        <v>7.7499999999986302E-2</v>
      </c>
      <c r="AF2122">
        <v>8.4874527051241003E-2</v>
      </c>
      <c r="AG2122">
        <v>-7.3135000000000103E-2</v>
      </c>
      <c r="AH2122">
        <v>0.55043235671172597</v>
      </c>
      <c r="AI2122">
        <v>97.481066480763104</v>
      </c>
      <c r="AJ2122">
        <v>81.234251484043298</v>
      </c>
      <c r="AK2122">
        <v>0.56171896254479103</v>
      </c>
    </row>
    <row r="2123" spans="1:37" x14ac:dyDescent="0.2">
      <c r="A2123" t="str">
        <f>"20200111153650091"</f>
        <v>20200111153650091</v>
      </c>
      <c r="B2123" t="str">
        <f>"1578728210084984"</f>
        <v>1578728210084984</v>
      </c>
      <c r="C2123" t="s">
        <v>37</v>
      </c>
      <c r="D2123">
        <v>6.1278509999999997</v>
      </c>
      <c r="E2123">
        <v>0.55381749999999996</v>
      </c>
      <c r="F2123" t="s">
        <v>38</v>
      </c>
      <c r="G2123">
        <v>-417.01929999999999</v>
      </c>
      <c r="H2123">
        <v>1.0352399999999999</v>
      </c>
      <c r="I2123">
        <v>283.44560000000001</v>
      </c>
      <c r="J2123">
        <v>-416.47989999999999</v>
      </c>
      <c r="K2123">
        <v>1.1058520000000001</v>
      </c>
      <c r="L2123">
        <v>283.37099999999998</v>
      </c>
      <c r="M2123">
        <v>-0.99963440000000003</v>
      </c>
      <c r="N2123">
        <v>0</v>
      </c>
      <c r="O2123">
        <v>-1.54971E-2</v>
      </c>
      <c r="P2123">
        <v>-0.99623169999999905</v>
      </c>
      <c r="Q2123">
        <v>6.1014730000000003E-2</v>
      </c>
      <c r="R2123">
        <v>-6.164625E-2</v>
      </c>
      <c r="S2123">
        <v>-3.0433349999999999</v>
      </c>
      <c r="T2123">
        <v>-0.25135400000000002</v>
      </c>
      <c r="U2123">
        <v>0.24758910000000001</v>
      </c>
      <c r="V2123">
        <v>-4.6155330000000001E-2</v>
      </c>
      <c r="W2123">
        <v>8.3122860000000007E-2</v>
      </c>
      <c r="X2123">
        <v>0.99546990000000002</v>
      </c>
      <c r="Y2123">
        <v>9.6148979999999995E-2</v>
      </c>
      <c r="Z2123">
        <v>5.233433E-3</v>
      </c>
      <c r="AA2123">
        <v>0.99535319999999905</v>
      </c>
      <c r="AB2123">
        <v>33</v>
      </c>
      <c r="AC2123">
        <v>-0.53939999999999999</v>
      </c>
      <c r="AD2123">
        <v>-7.0612000000000105E-2</v>
      </c>
      <c r="AE2123">
        <v>7.4600000000032196E-2</v>
      </c>
      <c r="AF2123">
        <v>8.1580419667909604E-2</v>
      </c>
      <c r="AG2123">
        <v>-7.0612000000000105E-2</v>
      </c>
      <c r="AH2123">
        <v>0.52927880181917697</v>
      </c>
      <c r="AI2123">
        <v>97.511384661403397</v>
      </c>
      <c r="AJ2123">
        <v>81.237668089284199</v>
      </c>
      <c r="AK2123">
        <v>0.54016429859102599</v>
      </c>
    </row>
    <row r="2124" spans="1:37" x14ac:dyDescent="0.2">
      <c r="A2124" t="str">
        <f>"20200111153650114"</f>
        <v>20200111153650114</v>
      </c>
      <c r="B2124" t="str">
        <f>"1578728210104504"</f>
        <v>1578728210104504</v>
      </c>
      <c r="C2124" t="s">
        <v>37</v>
      </c>
      <c r="D2124">
        <v>6.1481769999999996</v>
      </c>
      <c r="E2124">
        <v>0.58394009999999996</v>
      </c>
      <c r="F2124" t="s">
        <v>38</v>
      </c>
      <c r="G2124">
        <v>-417.30959999999999</v>
      </c>
      <c r="H2124">
        <v>1.035493</v>
      </c>
      <c r="I2124">
        <v>283.44</v>
      </c>
      <c r="J2124">
        <v>-416.79509999999999</v>
      </c>
      <c r="K2124">
        <v>1.1059079999999999</v>
      </c>
      <c r="L2124">
        <v>283.3664</v>
      </c>
      <c r="M2124">
        <v>-0.99962289999999998</v>
      </c>
      <c r="N2124">
        <v>0</v>
      </c>
      <c r="O2124">
        <v>-1.530751E-2</v>
      </c>
      <c r="P2124">
        <v>-0.99638359999999904</v>
      </c>
      <c r="Q2124">
        <v>5.8876589999999999E-2</v>
      </c>
      <c r="R2124">
        <v>-6.1261629999999997E-2</v>
      </c>
      <c r="S2124">
        <v>-3.042786</v>
      </c>
      <c r="T2124">
        <v>-0.2581077</v>
      </c>
      <c r="U2124">
        <v>0.25234989999999902</v>
      </c>
      <c r="V2124">
        <v>-4.5958840000000001E-2</v>
      </c>
      <c r="W2124">
        <v>8.1619750000000005E-2</v>
      </c>
      <c r="X2124">
        <v>0.99560329999999997</v>
      </c>
      <c r="Y2124">
        <v>9.7497009999999995E-2</v>
      </c>
      <c r="Z2124">
        <v>5.41514199999999E-3</v>
      </c>
      <c r="AA2124">
        <v>0.99522109999999997</v>
      </c>
      <c r="AB2124">
        <v>33</v>
      </c>
      <c r="AC2124">
        <v>-0.51449999999999796</v>
      </c>
      <c r="AD2124">
        <v>-7.0414999999999894E-2</v>
      </c>
      <c r="AE2124">
        <v>7.3599999999999E-2</v>
      </c>
      <c r="AF2124">
        <v>8.0000694782956405E-2</v>
      </c>
      <c r="AG2124">
        <v>-7.0414999999999894E-2</v>
      </c>
      <c r="AH2124">
        <v>0.50406056614046701</v>
      </c>
      <c r="AI2124">
        <v>97.855427195615704</v>
      </c>
      <c r="AJ2124">
        <v>80.981666452555302</v>
      </c>
      <c r="AK2124">
        <v>0.51520426796427399</v>
      </c>
    </row>
    <row r="2125" spans="1:37" x14ac:dyDescent="0.2">
      <c r="A2125" t="str">
        <f>"20200111153650135"</f>
        <v>20200111153650135</v>
      </c>
      <c r="B2125" t="str">
        <f>"1578728210125000"</f>
        <v>1578728210125000</v>
      </c>
      <c r="C2125" t="s">
        <v>37</v>
      </c>
      <c r="D2125">
        <v>6.1090119999999999</v>
      </c>
      <c r="E2125">
        <v>0.58540159999999997</v>
      </c>
      <c r="F2125" t="s">
        <v>38</v>
      </c>
      <c r="G2125">
        <v>-417.60039999999998</v>
      </c>
      <c r="H2125">
        <v>1.031984</v>
      </c>
      <c r="I2125">
        <v>283.4966</v>
      </c>
      <c r="J2125">
        <v>-417.1069</v>
      </c>
      <c r="K2125">
        <v>1.105953</v>
      </c>
      <c r="L2125">
        <v>283.36180000000002</v>
      </c>
      <c r="M2125">
        <v>-0.99961199999999995</v>
      </c>
      <c r="N2125">
        <v>0</v>
      </c>
      <c r="O2125">
        <v>-1.511991E-2</v>
      </c>
      <c r="P2125">
        <v>-0.99647299999999905</v>
      </c>
      <c r="Q2125">
        <v>5.7719939999999997E-2</v>
      </c>
      <c r="R2125">
        <v>-6.0912519999999998E-2</v>
      </c>
      <c r="S2125">
        <v>-3.0578609999999999</v>
      </c>
      <c r="T2125">
        <v>-0.28089229999999998</v>
      </c>
      <c r="U2125">
        <v>0.49359129999999901</v>
      </c>
      <c r="V2125">
        <v>-4.579623E-2</v>
      </c>
      <c r="W2125">
        <v>8.1053719999999996E-2</v>
      </c>
      <c r="X2125">
        <v>0.99565709999999996</v>
      </c>
      <c r="Y2125">
        <v>0.1734926</v>
      </c>
      <c r="Z2125">
        <v>9.2787579999999998E-3</v>
      </c>
      <c r="AA2125">
        <v>0.98479150000000004</v>
      </c>
      <c r="AB2125">
        <v>32</v>
      </c>
      <c r="AC2125">
        <v>-0.49349999999998301</v>
      </c>
      <c r="AD2125">
        <v>-7.3968999999999896E-2</v>
      </c>
      <c r="AE2125">
        <v>0.13479999999998399</v>
      </c>
      <c r="AF2125">
        <v>0.13933533718260699</v>
      </c>
      <c r="AG2125">
        <v>-7.3968999999999896E-2</v>
      </c>
      <c r="AH2125">
        <v>0.48134183749688297</v>
      </c>
      <c r="AI2125">
        <v>98.396926598739597</v>
      </c>
      <c r="AJ2125">
        <v>73.855711509043005</v>
      </c>
      <c r="AK2125">
        <v>0.50653303315150799</v>
      </c>
    </row>
    <row r="2126" spans="1:37" x14ac:dyDescent="0.2">
      <c r="A2126" t="str">
        <f>"20200111153650159"</f>
        <v>20200111153650159</v>
      </c>
      <c r="B2126" t="str">
        <f>"1578728210155259"</f>
        <v>1578728210155259</v>
      </c>
      <c r="C2126" t="s">
        <v>37</v>
      </c>
      <c r="D2126">
        <v>6.1276440000000001</v>
      </c>
      <c r="E2126">
        <v>0.58517039999999998</v>
      </c>
      <c r="F2126" t="s">
        <v>48</v>
      </c>
      <c r="G2126">
        <v>-429.31990000000002</v>
      </c>
      <c r="H2126" s="1">
        <v>2.2441849999999998E-6</v>
      </c>
      <c r="I2126">
        <v>285.3852</v>
      </c>
      <c r="J2126">
        <v>-417.43400000000003</v>
      </c>
      <c r="K2126">
        <v>1.1060190000000001</v>
      </c>
      <c r="L2126">
        <v>283.3571</v>
      </c>
      <c r="M2126">
        <v>-0.99960070000000001</v>
      </c>
      <c r="N2126">
        <v>0</v>
      </c>
      <c r="O2126">
        <v>-1.4923489999999999E-2</v>
      </c>
      <c r="P2126">
        <v>-0.99648899999999996</v>
      </c>
      <c r="Q2126">
        <v>5.7708759999999998E-2</v>
      </c>
      <c r="R2126">
        <v>-6.0657519999999999E-2</v>
      </c>
      <c r="S2126">
        <v>-3.0575869999999998</v>
      </c>
      <c r="T2126">
        <v>-0.27687899999999999</v>
      </c>
      <c r="U2126">
        <v>0.50656129999999999</v>
      </c>
      <c r="V2126">
        <v>-4.573704E-2</v>
      </c>
      <c r="W2126">
        <v>8.1645889999999999E-2</v>
      </c>
      <c r="X2126">
        <v>0.99561139999999904</v>
      </c>
      <c r="Y2126">
        <v>0.17738809999999999</v>
      </c>
      <c r="Z2126">
        <v>9.3016550000000007E-3</v>
      </c>
      <c r="AA2126">
        <v>0.984096999999999</v>
      </c>
      <c r="AB2126">
        <v>32</v>
      </c>
      <c r="AC2126">
        <v>-11.8858999999999</v>
      </c>
      <c r="AD2126">
        <v>-1.106016755815</v>
      </c>
      <c r="AE2126">
        <v>2.02809999999999</v>
      </c>
      <c r="AF2126">
        <v>2.1869039015096101</v>
      </c>
      <c r="AG2126">
        <v>-1.106016755815</v>
      </c>
      <c r="AH2126">
        <v>11.7553923023387</v>
      </c>
      <c r="AI2126">
        <v>95.284758004467093</v>
      </c>
      <c r="AJ2126">
        <v>79.461503265117997</v>
      </c>
      <c r="AK2126">
        <v>12.0081251625916</v>
      </c>
    </row>
    <row r="2127" spans="1:37" x14ac:dyDescent="0.2">
      <c r="A2127" t="str">
        <f>"20200111153650181"</f>
        <v>20200111153650181</v>
      </c>
      <c r="B2127" t="str">
        <f>"1578728210174776"</f>
        <v>1578728210174776</v>
      </c>
      <c r="C2127" t="s">
        <v>37</v>
      </c>
      <c r="D2127">
        <v>6.0794370000000004</v>
      </c>
      <c r="E2127">
        <v>0.58479890000000001</v>
      </c>
      <c r="F2127" t="s">
        <v>48</v>
      </c>
      <c r="G2127">
        <v>-429.79570000000001</v>
      </c>
      <c r="H2127" s="1">
        <v>2.158503E-6</v>
      </c>
      <c r="I2127">
        <v>285.3999</v>
      </c>
      <c r="J2127">
        <v>-417.75080000000003</v>
      </c>
      <c r="K2127">
        <v>1.106079</v>
      </c>
      <c r="L2127">
        <v>283.3526</v>
      </c>
      <c r="M2127">
        <v>-0.99958989999999903</v>
      </c>
      <c r="N2127">
        <v>0</v>
      </c>
      <c r="O2127">
        <v>-1.4732530000000001E-2</v>
      </c>
      <c r="P2127">
        <v>-0.99653219999999998</v>
      </c>
      <c r="Q2127">
        <v>5.7767760000000001E-2</v>
      </c>
      <c r="R2127">
        <v>-5.9886509999999997E-2</v>
      </c>
      <c r="S2127">
        <v>-3.0571899999999999</v>
      </c>
      <c r="T2127">
        <v>-0.27353109999999897</v>
      </c>
      <c r="U2127">
        <v>0.50521850000000001</v>
      </c>
      <c r="V2127">
        <v>-4.5156509999999997E-2</v>
      </c>
      <c r="W2127">
        <v>8.2260369999999999E-2</v>
      </c>
      <c r="X2127">
        <v>0.99558729999999995</v>
      </c>
      <c r="Y2127">
        <v>0.17682120000000001</v>
      </c>
      <c r="Z2127">
        <v>9.1490519999999995E-3</v>
      </c>
      <c r="AA2127">
        <v>0.98420049999999903</v>
      </c>
      <c r="AB2127">
        <v>32</v>
      </c>
      <c r="AC2127">
        <v>-12.044899999999901</v>
      </c>
      <c r="AD2127">
        <v>-1.1060768414969999</v>
      </c>
      <c r="AE2127">
        <v>2.0472999999999999</v>
      </c>
      <c r="AF2127">
        <v>2.20649887298456</v>
      </c>
      <c r="AG2127">
        <v>-1.1060768414969999</v>
      </c>
      <c r="AH2127">
        <v>11.915760962225599</v>
      </c>
      <c r="AI2127">
        <v>95.215108839972302</v>
      </c>
      <c r="AJ2127">
        <v>79.509097264421101</v>
      </c>
      <c r="AK2127">
        <v>12.168705870579499</v>
      </c>
    </row>
    <row r="2128" spans="1:37" x14ac:dyDescent="0.2">
      <c r="A2128" t="str">
        <f>"20200111153650203"</f>
        <v>20200111153650203</v>
      </c>
      <c r="B2128" t="str">
        <f>"1578728210195272"</f>
        <v>1578728210195272</v>
      </c>
      <c r="C2128" t="s">
        <v>37</v>
      </c>
      <c r="D2128">
        <v>6.0965389999999999</v>
      </c>
      <c r="E2128">
        <v>0.58467000000000002</v>
      </c>
      <c r="F2128" t="s">
        <v>48</v>
      </c>
      <c r="G2128">
        <v>-430.24740000000003</v>
      </c>
      <c r="H2128" s="1">
        <v>2.256819E-6</v>
      </c>
      <c r="I2128">
        <v>285.41559999999998</v>
      </c>
      <c r="J2128">
        <v>-418.05450000000002</v>
      </c>
      <c r="K2128">
        <v>1.106125</v>
      </c>
      <c r="L2128">
        <v>283.34840000000003</v>
      </c>
      <c r="M2128">
        <v>-0.99958049999999998</v>
      </c>
      <c r="N2128">
        <v>0</v>
      </c>
      <c r="O2128">
        <v>-1.454889E-2</v>
      </c>
      <c r="P2128">
        <v>-0.99654880000000001</v>
      </c>
      <c r="Q2128">
        <v>5.8028589999999998E-2</v>
      </c>
      <c r="R2128">
        <v>-5.9359639999999998E-2</v>
      </c>
      <c r="S2128">
        <v>-3.0564580000000001</v>
      </c>
      <c r="T2128">
        <v>-0.27052769999999998</v>
      </c>
      <c r="U2128">
        <v>0.50457759999999996</v>
      </c>
      <c r="V2128">
        <v>-4.4813329999999998E-2</v>
      </c>
      <c r="W2128">
        <v>8.300834E-2</v>
      </c>
      <c r="X2128">
        <v>0.99554069999999995</v>
      </c>
      <c r="Y2128">
        <v>0.1764955</v>
      </c>
      <c r="Z2128">
        <v>9.0208559999999903E-3</v>
      </c>
      <c r="AA2128">
        <v>0.98426009999999997</v>
      </c>
      <c r="AB2128">
        <v>31</v>
      </c>
      <c r="AC2128">
        <v>-12.1929</v>
      </c>
      <c r="AD2128">
        <v>-1.1061227431809999</v>
      </c>
      <c r="AE2128">
        <v>2.06719999999995</v>
      </c>
      <c r="AF2128">
        <v>2.2266171414724898</v>
      </c>
      <c r="AG2128">
        <v>-1.1061227431809999</v>
      </c>
      <c r="AH2128">
        <v>12.0650048096744</v>
      </c>
      <c r="AI2128">
        <v>95.151730561813494</v>
      </c>
      <c r="AJ2128">
        <v>79.543619572913997</v>
      </c>
      <c r="AK2128">
        <v>12.3185093446873</v>
      </c>
    </row>
    <row r="2129" spans="1:37" x14ac:dyDescent="0.2">
      <c r="A2129" t="str">
        <f>"20200111153650226"</f>
        <v>20200111153650226</v>
      </c>
      <c r="B2129" t="str">
        <f>"1578728210215301"</f>
        <v>1578728210215301</v>
      </c>
      <c r="C2129" t="s">
        <v>37</v>
      </c>
      <c r="D2129">
        <v>6.0963789999999998</v>
      </c>
      <c r="E2129">
        <v>0.58458789999999905</v>
      </c>
      <c r="F2129" t="s">
        <v>48</v>
      </c>
      <c r="G2129">
        <v>-430.68340000000001</v>
      </c>
      <c r="H2129" s="1">
        <v>2.448334E-6</v>
      </c>
      <c r="I2129">
        <v>285.43650000000002</v>
      </c>
      <c r="J2129">
        <v>-418.3596</v>
      </c>
      <c r="K2129">
        <v>1.1061669999999999</v>
      </c>
      <c r="L2129">
        <v>283.3442</v>
      </c>
      <c r="M2129">
        <v>-0.99957189999999996</v>
      </c>
      <c r="N2129">
        <v>0</v>
      </c>
      <c r="O2129">
        <v>-1.436434E-2</v>
      </c>
      <c r="P2129">
        <v>-0.99652280000000004</v>
      </c>
      <c r="Q2129">
        <v>5.8040359999999999E-2</v>
      </c>
      <c r="R2129">
        <v>-5.9780800000000002E-2</v>
      </c>
      <c r="S2129">
        <v>-3.0560299999999998</v>
      </c>
      <c r="T2129">
        <v>-0.26766849999999998</v>
      </c>
      <c r="U2129">
        <v>0.50531009999999998</v>
      </c>
      <c r="V2129">
        <v>-4.5419220000000003E-2</v>
      </c>
      <c r="W2129">
        <v>8.3463090000000004E-2</v>
      </c>
      <c r="X2129">
        <v>0.99547529999999995</v>
      </c>
      <c r="Y2129">
        <v>0.17658109999999999</v>
      </c>
      <c r="Z2129">
        <v>8.914623E-3</v>
      </c>
      <c r="AA2129">
        <v>0.9842457</v>
      </c>
      <c r="AB2129">
        <v>31</v>
      </c>
      <c r="AC2129">
        <v>-12.3238</v>
      </c>
      <c r="AD2129">
        <v>-1.1061645516659999</v>
      </c>
      <c r="AE2129">
        <v>2.0923000000000198</v>
      </c>
      <c r="AF2129">
        <v>2.2515333546553902</v>
      </c>
      <c r="AG2129">
        <v>-1.1061645516659999</v>
      </c>
      <c r="AH2129">
        <v>12.1969509106462</v>
      </c>
      <c r="AI2129">
        <v>95.0964441016948</v>
      </c>
      <c r="AJ2129">
        <v>79.541051372225994</v>
      </c>
      <c r="AK2129">
        <v>12.4522533695392</v>
      </c>
    </row>
    <row r="2130" spans="1:37" x14ac:dyDescent="0.2">
      <c r="A2130" t="str">
        <f>"20200111153650247"</f>
        <v>20200111153650247</v>
      </c>
      <c r="B2130" t="str">
        <f>"1578728210244581"</f>
        <v>1578728210244581</v>
      </c>
      <c r="C2130" t="s">
        <v>37</v>
      </c>
      <c r="D2130">
        <v>6.1273780000000002</v>
      </c>
      <c r="E2130">
        <v>0.58450429999999998</v>
      </c>
      <c r="F2130" t="s">
        <v>48</v>
      </c>
      <c r="G2130">
        <v>-431.01440000000002</v>
      </c>
      <c r="H2130" s="1">
        <v>2.5958359999999999E-6</v>
      </c>
      <c r="I2130">
        <v>285.42860000000002</v>
      </c>
      <c r="J2130">
        <v>-418.65820000000002</v>
      </c>
      <c r="K2130">
        <v>1.1061969999999901</v>
      </c>
      <c r="L2130">
        <v>283.34010000000001</v>
      </c>
      <c r="M2130">
        <v>-0.99956429999999996</v>
      </c>
      <c r="N2130">
        <v>0</v>
      </c>
      <c r="O2130">
        <v>-1.418282E-2</v>
      </c>
      <c r="P2130">
        <v>-0.99652559999999901</v>
      </c>
      <c r="Q2130">
        <v>5.8244009999999999E-2</v>
      </c>
      <c r="R2130">
        <v>-5.9533799999999998E-2</v>
      </c>
      <c r="S2130">
        <v>-3.0562130000000001</v>
      </c>
      <c r="T2130">
        <v>-0.2671442</v>
      </c>
      <c r="U2130">
        <v>0.50338749999999999</v>
      </c>
      <c r="V2130">
        <v>-4.5353810000000001E-2</v>
      </c>
      <c r="W2130">
        <v>8.4057519999999997E-2</v>
      </c>
      <c r="X2130">
        <v>0.99542819999999899</v>
      </c>
      <c r="Y2130">
        <v>0.1757967</v>
      </c>
      <c r="Z2130">
        <v>8.8474279999999992E-3</v>
      </c>
      <c r="AA2130">
        <v>0.98438669999999995</v>
      </c>
      <c r="AB2130">
        <v>31</v>
      </c>
      <c r="AC2130">
        <v>-12.356199999999999</v>
      </c>
      <c r="AD2130">
        <v>-1.1061944041639999</v>
      </c>
      <c r="AE2130">
        <v>2.08850000000001</v>
      </c>
      <c r="AF2130">
        <v>2.2460923203513499</v>
      </c>
      <c r="AG2130">
        <v>-1.1061944041639999</v>
      </c>
      <c r="AH2130">
        <v>12.230026927418001</v>
      </c>
      <c r="AI2130">
        <v>95.083719777877704</v>
      </c>
      <c r="AJ2130">
        <v>79.593372536051405</v>
      </c>
      <c r="AK2130">
        <v>12.483675557171299</v>
      </c>
    </row>
    <row r="2131" spans="1:37" x14ac:dyDescent="0.2">
      <c r="A2131" t="str">
        <f>"20200111153650270"</f>
        <v>20200111153650270</v>
      </c>
      <c r="B2131" t="str">
        <f>"1578728210265079"</f>
        <v>1578728210265079</v>
      </c>
      <c r="C2131" t="s">
        <v>37</v>
      </c>
      <c r="D2131">
        <v>6.1036760000000001</v>
      </c>
      <c r="E2131">
        <v>0.58440429999999999</v>
      </c>
      <c r="F2131" t="s">
        <v>48</v>
      </c>
      <c r="G2131">
        <v>-431.34739999999999</v>
      </c>
      <c r="H2131" s="1">
        <v>2.7433399999999999E-6</v>
      </c>
      <c r="I2131">
        <v>285.43040000000002</v>
      </c>
      <c r="J2131">
        <v>-418.96949999999998</v>
      </c>
      <c r="K2131">
        <v>1.1062270000000001</v>
      </c>
      <c r="L2131">
        <v>283.33600000000001</v>
      </c>
      <c r="M2131">
        <v>-0.99955759999999905</v>
      </c>
      <c r="N2131">
        <v>0</v>
      </c>
      <c r="O2131">
        <v>-1.399268E-2</v>
      </c>
      <c r="P2131">
        <v>-0.99649129999999997</v>
      </c>
      <c r="Q2131">
        <v>5.8841409999999997E-2</v>
      </c>
      <c r="R2131">
        <v>-5.9523439999999997E-2</v>
      </c>
      <c r="S2131">
        <v>-3.0561219999999998</v>
      </c>
      <c r="T2131">
        <v>-0.26641989999999999</v>
      </c>
      <c r="U2131">
        <v>0.50341800000000003</v>
      </c>
      <c r="V2131">
        <v>-4.5533320000000002E-2</v>
      </c>
      <c r="W2131">
        <v>8.5017289999999995E-2</v>
      </c>
      <c r="X2131">
        <v>0.99533850000000001</v>
      </c>
      <c r="Y2131">
        <v>0.1756289</v>
      </c>
      <c r="Z2131">
        <v>8.8000950000000008E-3</v>
      </c>
      <c r="AA2131">
        <v>0.98441710000000004</v>
      </c>
      <c r="AB2131">
        <v>30</v>
      </c>
      <c r="AC2131">
        <v>-12.3779</v>
      </c>
      <c r="AD2131">
        <v>-1.10622425666</v>
      </c>
      <c r="AE2131">
        <v>2.0943999999999998</v>
      </c>
      <c r="AF2131">
        <v>2.2499836996367701</v>
      </c>
      <c r="AG2131">
        <v>-1.10622425666</v>
      </c>
      <c r="AH2131">
        <v>12.2522342007404</v>
      </c>
      <c r="AI2131">
        <v>95.074703572096794</v>
      </c>
      <c r="AJ2131">
        <v>79.594218815787499</v>
      </c>
      <c r="AK2131">
        <v>12.5061345612641</v>
      </c>
    </row>
    <row r="2132" spans="1:37" x14ac:dyDescent="0.2">
      <c r="A2132" t="str">
        <f>"20200111153650292"</f>
        <v>20200111153650292</v>
      </c>
      <c r="B2132" t="str">
        <f>"1578728210284597"</f>
        <v>1578728210284597</v>
      </c>
      <c r="C2132" t="s">
        <v>37</v>
      </c>
      <c r="D2132">
        <v>6.1131459999999898</v>
      </c>
      <c r="E2132">
        <v>0.58432609999999996</v>
      </c>
      <c r="F2132" t="s">
        <v>48</v>
      </c>
      <c r="G2132">
        <v>-431.77839999999998</v>
      </c>
      <c r="H2132" s="1">
        <v>2.9335119999999999E-6</v>
      </c>
      <c r="I2132">
        <v>285.44159999999999</v>
      </c>
      <c r="J2132">
        <v>-419.26209999999998</v>
      </c>
      <c r="K2132">
        <v>1.1062609999999999</v>
      </c>
      <c r="L2132">
        <v>283.33210000000003</v>
      </c>
      <c r="M2132">
        <v>-0.999552</v>
      </c>
      <c r="N2132">
        <v>0</v>
      </c>
      <c r="O2132">
        <v>-1.3813249999999999E-2</v>
      </c>
      <c r="P2132">
        <v>-0.99648389999999998</v>
      </c>
      <c r="Q2132">
        <v>5.8898810000000003E-2</v>
      </c>
      <c r="R2132">
        <v>-5.958927E-2</v>
      </c>
      <c r="S2132">
        <v>-3.056152</v>
      </c>
      <c r="T2132">
        <v>-0.26393870000000003</v>
      </c>
      <c r="U2132">
        <v>0.50238039999999995</v>
      </c>
      <c r="V2132">
        <v>-4.5778699999999999E-2</v>
      </c>
      <c r="W2132">
        <v>8.5376460000000001E-2</v>
      </c>
      <c r="X2132">
        <v>0.99529650000000003</v>
      </c>
      <c r="Y2132">
        <v>0.17514070000000001</v>
      </c>
      <c r="Z2132">
        <v>8.6823159999999903E-3</v>
      </c>
      <c r="AA2132">
        <v>0.98450509999999902</v>
      </c>
      <c r="AB2132">
        <v>30</v>
      </c>
      <c r="AC2132">
        <v>-12.516299999999999</v>
      </c>
      <c r="AD2132">
        <v>-1.106258066488</v>
      </c>
      <c r="AE2132">
        <v>2.1094999999999602</v>
      </c>
      <c r="AF2132">
        <v>2.2650446181805299</v>
      </c>
      <c r="AG2132">
        <v>-1.106258066488</v>
      </c>
      <c r="AH2132">
        <v>12.3918248874214</v>
      </c>
      <c r="AI2132">
        <v>95.018739578550395</v>
      </c>
      <c r="AJ2132">
        <v>79.641518744536</v>
      </c>
      <c r="AK2132">
        <v>12.6456141832864</v>
      </c>
    </row>
    <row r="2133" spans="1:37" x14ac:dyDescent="0.2">
      <c r="A2133" t="str">
        <f>"20200111153650314"</f>
        <v>20200111153650314</v>
      </c>
      <c r="B2133" t="str">
        <f>"1578728210305093"</f>
        <v>1578728210305093</v>
      </c>
      <c r="C2133" t="s">
        <v>37</v>
      </c>
      <c r="D2133">
        <v>6.1516070000000003</v>
      </c>
      <c r="E2133">
        <v>0.58425519999999997</v>
      </c>
      <c r="F2133" t="s">
        <v>48</v>
      </c>
      <c r="G2133">
        <v>-432.19940000000003</v>
      </c>
      <c r="H2133" s="1">
        <v>3.11883899999999E-6</v>
      </c>
      <c r="I2133">
        <v>285.45690000000002</v>
      </c>
      <c r="J2133">
        <v>-419.55</v>
      </c>
      <c r="K2133">
        <v>1.1062909999999999</v>
      </c>
      <c r="L2133">
        <v>283.32830000000001</v>
      </c>
      <c r="M2133">
        <v>-0.99954739999999997</v>
      </c>
      <c r="N2133">
        <v>0</v>
      </c>
      <c r="O2133">
        <v>-1.363666E-2</v>
      </c>
      <c r="P2133">
        <v>-0.99650559999999999</v>
      </c>
      <c r="Q2133">
        <v>5.8381889999999999E-2</v>
      </c>
      <c r="R2133">
        <v>-5.9735709999999997E-2</v>
      </c>
      <c r="S2133">
        <v>-3.0560610000000001</v>
      </c>
      <c r="T2133">
        <v>-0.26132139999999998</v>
      </c>
      <c r="U2133">
        <v>0.5019226</v>
      </c>
      <c r="V2133">
        <v>-4.6101950000000003E-2</v>
      </c>
      <c r="W2133">
        <v>8.512227E-2</v>
      </c>
      <c r="X2133">
        <v>0.99530339999999995</v>
      </c>
      <c r="Y2133">
        <v>0.1748431</v>
      </c>
      <c r="Z2133">
        <v>8.5692960000000006E-3</v>
      </c>
      <c r="AA2133">
        <v>0.98455899999999996</v>
      </c>
      <c r="AB2133">
        <v>30</v>
      </c>
      <c r="AC2133">
        <v>-12.6494</v>
      </c>
      <c r="AD2133">
        <v>-1.106287881161</v>
      </c>
      <c r="AE2133">
        <v>2.1286</v>
      </c>
      <c r="AF2133">
        <v>2.28397085539748</v>
      </c>
      <c r="AG2133">
        <v>-1.106287881161</v>
      </c>
      <c r="AH2133">
        <v>12.5260141974113</v>
      </c>
      <c r="AI2133">
        <v>94.965768302855807</v>
      </c>
      <c r="AJ2133">
        <v>79.666314878564904</v>
      </c>
      <c r="AK2133">
        <v>12.7805096697299</v>
      </c>
    </row>
    <row r="2134" spans="1:37" x14ac:dyDescent="0.2">
      <c r="A2134" t="str">
        <f>"20200111153650337"</f>
        <v>20200111153650337</v>
      </c>
      <c r="B2134" t="str">
        <f>"1578728210324613"</f>
        <v>1578728210324613</v>
      </c>
      <c r="C2134" t="s">
        <v>37</v>
      </c>
      <c r="D2134">
        <v>6.121251</v>
      </c>
      <c r="E2134">
        <v>0.58424529999999997</v>
      </c>
      <c r="F2134" t="s">
        <v>48</v>
      </c>
      <c r="G2134">
        <v>-432.49860000000001</v>
      </c>
      <c r="H2134" s="1">
        <v>3.2520220000000001E-6</v>
      </c>
      <c r="I2134">
        <v>285.45139999999998</v>
      </c>
      <c r="J2134">
        <v>-419.84190000000001</v>
      </c>
      <c r="K2134">
        <v>1.1063149999999999</v>
      </c>
      <c r="L2134">
        <v>283.32459999999998</v>
      </c>
      <c r="M2134">
        <v>-0.99954430000000005</v>
      </c>
      <c r="N2134">
        <v>0</v>
      </c>
      <c r="O2134">
        <v>-1.3456269999999999E-2</v>
      </c>
      <c r="P2134">
        <v>-0.99651970000000001</v>
      </c>
      <c r="Q2134">
        <v>5.8342289999999998E-2</v>
      </c>
      <c r="R2134">
        <v>-5.9537769999999997E-2</v>
      </c>
      <c r="S2134">
        <v>-3.0558169999999998</v>
      </c>
      <c r="T2134">
        <v>-0.26107910000000001</v>
      </c>
      <c r="U2134">
        <v>0.50103759999999997</v>
      </c>
      <c r="V2134">
        <v>-4.608421E-2</v>
      </c>
      <c r="W2134">
        <v>8.5288089999999997E-2</v>
      </c>
      <c r="X2134">
        <v>0.99529000000000001</v>
      </c>
      <c r="Y2134">
        <v>0.17440369999999999</v>
      </c>
      <c r="Z2134">
        <v>8.5283440000000002E-3</v>
      </c>
      <c r="AA2134">
        <v>0.98463729999999905</v>
      </c>
      <c r="AB2134">
        <v>30</v>
      </c>
      <c r="AC2134">
        <v>-12.656700000000001</v>
      </c>
      <c r="AD2134">
        <v>-1.106311747978</v>
      </c>
      <c r="AE2134">
        <v>2.1267999999999998</v>
      </c>
      <c r="AF2134">
        <v>2.2800395302093901</v>
      </c>
      <c r="AG2134">
        <v>-1.106311747978</v>
      </c>
      <c r="AH2134">
        <v>12.5337910071734</v>
      </c>
      <c r="AI2134">
        <v>94.963180648047697</v>
      </c>
      <c r="AJ2134">
        <v>79.6899832509704</v>
      </c>
      <c r="AK2134">
        <v>12.787432226781601</v>
      </c>
    </row>
    <row r="2135" spans="1:37" x14ac:dyDescent="0.2">
      <c r="A2135" t="str">
        <f>"20200111153650360"</f>
        <v>20200111153650360</v>
      </c>
      <c r="B2135" t="str">
        <f>"1578728210354868"</f>
        <v>1578728210354868</v>
      </c>
      <c r="C2135" t="s">
        <v>37</v>
      </c>
      <c r="D2135">
        <v>6.1538639999999996</v>
      </c>
      <c r="E2135">
        <v>0.58406899999999995</v>
      </c>
      <c r="F2135" t="s">
        <v>48</v>
      </c>
      <c r="G2135">
        <v>-432.85820000000001</v>
      </c>
      <c r="H2135" s="1">
        <v>3.4105650000000001E-6</v>
      </c>
      <c r="I2135">
        <v>285.46179999999998</v>
      </c>
      <c r="J2135">
        <v>-420.14190000000002</v>
      </c>
      <c r="K2135">
        <v>1.1063209999999899</v>
      </c>
      <c r="L2135">
        <v>283.32080000000002</v>
      </c>
      <c r="M2135">
        <v>-0.99954349999999903</v>
      </c>
      <c r="N2135">
        <v>0</v>
      </c>
      <c r="O2135">
        <v>-1.327008E-2</v>
      </c>
      <c r="P2135">
        <v>-0.99650269999999996</v>
      </c>
      <c r="Q2135">
        <v>5.8681589999999999E-2</v>
      </c>
      <c r="R2135">
        <v>-5.9490059999999997E-2</v>
      </c>
      <c r="S2135">
        <v>-3.0556640000000002</v>
      </c>
      <c r="T2135">
        <v>-0.2597141</v>
      </c>
      <c r="U2135">
        <v>0.50170899999999996</v>
      </c>
      <c r="V2135">
        <v>-4.6222399999999997E-2</v>
      </c>
      <c r="W2135">
        <v>8.5744650000000006E-2</v>
      </c>
      <c r="X2135">
        <v>0.99524439999999903</v>
      </c>
      <c r="Y2135">
        <v>0.1744463</v>
      </c>
      <c r="Z2135">
        <v>8.4702749999999993E-3</v>
      </c>
      <c r="AA2135">
        <v>0.98463029999999996</v>
      </c>
      <c r="AB2135">
        <v>29</v>
      </c>
      <c r="AC2135">
        <v>-12.716299999999899</v>
      </c>
      <c r="AD2135">
        <v>-1.1063175894349999</v>
      </c>
      <c r="AE2135">
        <v>2.14099999999996</v>
      </c>
      <c r="AF2135">
        <v>2.2927444582821601</v>
      </c>
      <c r="AG2135">
        <v>-1.1063175894349999</v>
      </c>
      <c r="AH2135">
        <v>12.594061114389801</v>
      </c>
      <c r="AI2135">
        <v>94.939452917398597</v>
      </c>
      <c r="AJ2135">
        <v>79.682316115716901</v>
      </c>
      <c r="AK2135">
        <v>12.848773914761701</v>
      </c>
    </row>
    <row r="2136" spans="1:37" x14ac:dyDescent="0.2">
      <c r="A2136" t="str">
        <f>"20200111153650382"</f>
        <v>20200111153650382</v>
      </c>
      <c r="B2136" t="str">
        <f>"1578728210375368"</f>
        <v>1578728210375368</v>
      </c>
      <c r="C2136" t="s">
        <v>37</v>
      </c>
      <c r="D2136">
        <v>6.127389</v>
      </c>
      <c r="E2136">
        <v>0.56185569999999996</v>
      </c>
      <c r="F2136" t="s">
        <v>48</v>
      </c>
      <c r="G2136">
        <v>-433.22149999999999</v>
      </c>
      <c r="H2136" s="1">
        <v>3.5716370000000002E-6</v>
      </c>
      <c r="I2136">
        <v>285.4624</v>
      </c>
      <c r="J2136">
        <v>-420.42779999999999</v>
      </c>
      <c r="K2136">
        <v>1.1063149999999999</v>
      </c>
      <c r="L2136">
        <v>283.31720000000001</v>
      </c>
      <c r="M2136">
        <v>-0.99954480000000001</v>
      </c>
      <c r="N2136">
        <v>0</v>
      </c>
      <c r="O2136">
        <v>-1.3092370000000001E-2</v>
      </c>
      <c r="P2136">
        <v>-0.99644719999999998</v>
      </c>
      <c r="Q2136">
        <v>5.9430650000000002E-2</v>
      </c>
      <c r="R2136">
        <v>-5.967687E-2</v>
      </c>
      <c r="S2136">
        <v>-3.0555729999999999</v>
      </c>
      <c r="T2136">
        <v>-0.25845039999999903</v>
      </c>
      <c r="U2136">
        <v>0.50030520000000001</v>
      </c>
      <c r="V2136">
        <v>-4.6587480000000001E-2</v>
      </c>
      <c r="W2136">
        <v>8.6531360000000002E-2</v>
      </c>
      <c r="X2136">
        <v>0.99515929999999997</v>
      </c>
      <c r="Y2136">
        <v>0.17384449999999901</v>
      </c>
      <c r="Z2136">
        <v>8.3896040000000002E-3</v>
      </c>
      <c r="AA2136">
        <v>0.98473739999999998</v>
      </c>
      <c r="AB2136">
        <v>29</v>
      </c>
      <c r="AC2136">
        <v>-12.793699999999999</v>
      </c>
      <c r="AD2136">
        <v>-1.106311428363</v>
      </c>
      <c r="AE2136">
        <v>2.14519999999998</v>
      </c>
      <c r="AF2136">
        <v>2.29587955999658</v>
      </c>
      <c r="AG2136">
        <v>-1.106311428363</v>
      </c>
      <c r="AH2136">
        <v>12.6723391067117</v>
      </c>
      <c r="AI2136">
        <v>94.909817295747999</v>
      </c>
      <c r="AJ2136">
        <v>79.730967715231998</v>
      </c>
      <c r="AK2136">
        <v>12.926065386111601</v>
      </c>
    </row>
    <row r="2137" spans="1:37" x14ac:dyDescent="0.2">
      <c r="A2137" t="str">
        <f>"20200111153650403"</f>
        <v>20200111153650403</v>
      </c>
      <c r="B2137" t="str">
        <f>"1578728210394885"</f>
        <v>1578728210394885</v>
      </c>
      <c r="C2137" t="s">
        <v>37</v>
      </c>
      <c r="D2137">
        <v>6.1372679999999997</v>
      </c>
      <c r="E2137">
        <v>0.55981080000000005</v>
      </c>
      <c r="F2137" t="s">
        <v>38</v>
      </c>
      <c r="G2137">
        <v>-421.36520000000002</v>
      </c>
      <c r="H2137">
        <v>1.0289299999999999</v>
      </c>
      <c r="I2137">
        <v>283.4169</v>
      </c>
      <c r="J2137">
        <v>-420.70240000000001</v>
      </c>
      <c r="K2137">
        <v>1.106303</v>
      </c>
      <c r="L2137">
        <v>283.31380000000001</v>
      </c>
      <c r="M2137">
        <v>-0.99954769999999904</v>
      </c>
      <c r="N2137">
        <v>0</v>
      </c>
      <c r="O2137">
        <v>-1.291895E-2</v>
      </c>
      <c r="P2137">
        <v>-0.99643989999999905</v>
      </c>
      <c r="Q2137">
        <v>5.9153730000000002E-2</v>
      </c>
      <c r="R2137">
        <v>-6.0070560000000002E-2</v>
      </c>
      <c r="S2137">
        <v>-3.0450740000000001</v>
      </c>
      <c r="T2137">
        <v>-0.25159219999999999</v>
      </c>
      <c r="U2137">
        <v>0.323028599999999</v>
      </c>
      <c r="V2137">
        <v>-4.715482E-2</v>
      </c>
      <c r="W2137">
        <v>8.6229230000000004E-2</v>
      </c>
      <c r="X2137">
        <v>0.99515869999999995</v>
      </c>
      <c r="Y2137">
        <v>0.11789230000000001</v>
      </c>
      <c r="Z2137">
        <v>5.9116389999999998E-3</v>
      </c>
      <c r="AA2137">
        <v>0.99300880000000002</v>
      </c>
      <c r="AB2137">
        <v>29</v>
      </c>
      <c r="AC2137">
        <v>-0.66280000000000405</v>
      </c>
      <c r="AD2137">
        <v>-7.7373000000000094E-2</v>
      </c>
      <c r="AE2137">
        <v>0.103099999999983</v>
      </c>
      <c r="AF2137">
        <v>0.11019108350578501</v>
      </c>
      <c r="AG2137">
        <v>-7.7373000000000094E-2</v>
      </c>
      <c r="AH2137">
        <v>0.65272735956969796</v>
      </c>
      <c r="AI2137">
        <v>96.666719264812002</v>
      </c>
      <c r="AJ2137">
        <v>80.417877977682195</v>
      </c>
      <c r="AK2137">
        <v>0.666469550650297</v>
      </c>
    </row>
    <row r="2138" spans="1:37" x14ac:dyDescent="0.2">
      <c r="A2138" t="str">
        <f>"20200111153650427"</f>
        <v>20200111153650427</v>
      </c>
      <c r="B2138" t="str">
        <f>"1578728210415396"</f>
        <v>1578728210415396</v>
      </c>
      <c r="C2138" t="s">
        <v>37</v>
      </c>
      <c r="D2138">
        <v>6.1371820000000001</v>
      </c>
      <c r="E2138">
        <v>0.55937799999999904</v>
      </c>
      <c r="F2138" t="s">
        <v>38</v>
      </c>
      <c r="G2138">
        <v>-421.61750000000001</v>
      </c>
      <c r="H2138">
        <v>1.030205</v>
      </c>
      <c r="I2138">
        <v>283.4058</v>
      </c>
      <c r="J2138">
        <v>-420.98910000000001</v>
      </c>
      <c r="K2138">
        <v>1.1063000000000001</v>
      </c>
      <c r="L2138">
        <v>283.31040000000002</v>
      </c>
      <c r="M2138">
        <v>-0.99955249999999995</v>
      </c>
      <c r="N2138">
        <v>0</v>
      </c>
      <c r="O2138">
        <v>-1.2737409999999999E-2</v>
      </c>
      <c r="P2138">
        <v>-0.99639979999999995</v>
      </c>
      <c r="Q2138">
        <v>5.9260119999999999E-2</v>
      </c>
      <c r="R2138">
        <v>-6.063035E-2</v>
      </c>
      <c r="S2138">
        <v>-3.0441889999999998</v>
      </c>
      <c r="T2138">
        <v>-0.25315379999999998</v>
      </c>
      <c r="U2138">
        <v>0.30590820000000002</v>
      </c>
      <c r="V2138">
        <v>-4.7896899999999999E-2</v>
      </c>
      <c r="W2138">
        <v>8.6246320000000001E-2</v>
      </c>
      <c r="X2138">
        <v>0.99512179999999995</v>
      </c>
      <c r="Y2138">
        <v>0.11222849999999999</v>
      </c>
      <c r="Z2138">
        <v>5.7020680000000002E-3</v>
      </c>
      <c r="AA2138">
        <v>0.9936661</v>
      </c>
      <c r="AB2138">
        <v>28</v>
      </c>
      <c r="AC2138">
        <v>-0.62839999999999896</v>
      </c>
      <c r="AD2138">
        <v>-7.6094999999999996E-2</v>
      </c>
      <c r="AE2138">
        <v>9.5399999999983706E-2</v>
      </c>
      <c r="AF2138">
        <v>0.101938272179196</v>
      </c>
      <c r="AG2138">
        <v>-7.6094999999999996E-2</v>
      </c>
      <c r="AH2138">
        <v>0.61827156133125105</v>
      </c>
      <c r="AI2138">
        <v>96.923951075348597</v>
      </c>
      <c r="AJ2138">
        <v>80.637519670077296</v>
      </c>
      <c r="AK2138">
        <v>0.63122229357878601</v>
      </c>
    </row>
    <row r="2139" spans="1:37" x14ac:dyDescent="0.2">
      <c r="A2139" t="str">
        <f>"20200111153650449"</f>
        <v>20200111153650449</v>
      </c>
      <c r="B2139" t="str">
        <f>"1578728210444661"</f>
        <v>1578728210444661</v>
      </c>
      <c r="C2139" t="s">
        <v>37</v>
      </c>
      <c r="D2139">
        <v>6.0909120000000003</v>
      </c>
      <c r="E2139">
        <v>0.56117759999999905</v>
      </c>
      <c r="F2139" t="s">
        <v>38</v>
      </c>
      <c r="G2139">
        <v>-421.87020000000001</v>
      </c>
      <c r="H2139">
        <v>1.034745</v>
      </c>
      <c r="I2139">
        <v>283.39769999999999</v>
      </c>
      <c r="J2139">
        <v>-421.26049999999998</v>
      </c>
      <c r="K2139">
        <v>1.106277</v>
      </c>
      <c r="L2139">
        <v>283.30709999999999</v>
      </c>
      <c r="M2139">
        <v>-0.99956009999999995</v>
      </c>
      <c r="N2139">
        <v>0</v>
      </c>
      <c r="O2139">
        <v>-1.256403E-2</v>
      </c>
      <c r="P2139">
        <v>-0.99628439999999996</v>
      </c>
      <c r="Q2139">
        <v>6.0443200000000002E-2</v>
      </c>
      <c r="R2139">
        <v>-6.1354300000000001E-2</v>
      </c>
      <c r="S2139">
        <v>-3.0438839999999998</v>
      </c>
      <c r="T2139">
        <v>-0.24727179999999899</v>
      </c>
      <c r="U2139">
        <v>0.30105589999999999</v>
      </c>
      <c r="V2139">
        <v>-4.879522E-2</v>
      </c>
      <c r="W2139">
        <v>8.7226330000000005E-2</v>
      </c>
      <c r="X2139">
        <v>0.99499269999999995</v>
      </c>
      <c r="Y2139">
        <v>0.110523</v>
      </c>
      <c r="Z2139">
        <v>5.4879739999999996E-3</v>
      </c>
      <c r="AA2139">
        <v>0.99385840000000003</v>
      </c>
      <c r="AB2139">
        <v>28</v>
      </c>
      <c r="AC2139">
        <v>-0.60970000000003199</v>
      </c>
      <c r="AD2139">
        <v>-7.1531999999999901E-2</v>
      </c>
      <c r="AE2139">
        <v>9.0599999999994907E-2</v>
      </c>
      <c r="AF2139">
        <v>9.6950233685219406E-2</v>
      </c>
      <c r="AG2139">
        <v>-7.1531999999999901E-2</v>
      </c>
      <c r="AH2139">
        <v>0.60042695487978504</v>
      </c>
      <c r="AI2139">
        <v>96.707849307485802</v>
      </c>
      <c r="AJ2139">
        <v>80.827685228363904</v>
      </c>
      <c r="AK2139">
        <v>0.61239587113388505</v>
      </c>
    </row>
    <row r="2140" spans="1:37" x14ac:dyDescent="0.2">
      <c r="A2140" t="str">
        <f>"20200111153650471"</f>
        <v>20200111153650471</v>
      </c>
      <c r="B2140" t="str">
        <f>"1578728210465156"</f>
        <v>1578728210465156</v>
      </c>
      <c r="C2140" t="s">
        <v>37</v>
      </c>
      <c r="D2140">
        <v>6.0968210000000003</v>
      </c>
      <c r="E2140">
        <v>0.56180819999999998</v>
      </c>
      <c r="F2140" t="s">
        <v>38</v>
      </c>
      <c r="G2140">
        <v>-422.12090000000001</v>
      </c>
      <c r="H2140">
        <v>1.0373299999999901</v>
      </c>
      <c r="I2140">
        <v>283.39569999999998</v>
      </c>
      <c r="J2140">
        <v>-421.53890000000001</v>
      </c>
      <c r="K2140">
        <v>1.1062350000000001</v>
      </c>
      <c r="L2140">
        <v>283.30380000000002</v>
      </c>
      <c r="M2140">
        <v>-0.99957180000000001</v>
      </c>
      <c r="N2140">
        <v>0</v>
      </c>
      <c r="O2140">
        <v>-1.2385470000000001E-2</v>
      </c>
      <c r="P2140">
        <v>-0.99619489999999999</v>
      </c>
      <c r="Q2140">
        <v>6.1491850000000001E-2</v>
      </c>
      <c r="R2140">
        <v>-6.1764680000000002E-2</v>
      </c>
      <c r="S2140">
        <v>-3.0452880000000002</v>
      </c>
      <c r="T2140">
        <v>-0.2440071</v>
      </c>
      <c r="U2140">
        <v>0.31317139999999999</v>
      </c>
      <c r="V2140">
        <v>-4.9384780000000003E-2</v>
      </c>
      <c r="W2140">
        <v>8.7920319999999996E-2</v>
      </c>
      <c r="X2140">
        <v>0.99490259999999997</v>
      </c>
      <c r="Y2140">
        <v>0.11421379999999901</v>
      </c>
      <c r="Z2140">
        <v>5.5451789999999999E-3</v>
      </c>
      <c r="AA2140">
        <v>0.99344069999999995</v>
      </c>
      <c r="AB2140">
        <v>28</v>
      </c>
      <c r="AC2140">
        <v>-0.58199999999999297</v>
      </c>
      <c r="AD2140">
        <v>-6.8905000000000202E-2</v>
      </c>
      <c r="AE2140">
        <v>9.1899999999952797E-2</v>
      </c>
      <c r="AF2140">
        <v>9.7766763641910406E-2</v>
      </c>
      <c r="AG2140">
        <v>-6.8905000000000202E-2</v>
      </c>
      <c r="AH2140">
        <v>0.572980607576972</v>
      </c>
      <c r="AI2140">
        <v>96.760512894226295</v>
      </c>
      <c r="AJ2140">
        <v>80.316965025522094</v>
      </c>
      <c r="AK2140">
        <v>0.58533154344977001</v>
      </c>
    </row>
    <row r="2141" spans="1:37" x14ac:dyDescent="0.2">
      <c r="A2141" t="str">
        <f>"20200111153650494"</f>
        <v>20200111153650494</v>
      </c>
      <c r="B2141" t="str">
        <f>"1578728210484676"</f>
        <v>1578728210484676</v>
      </c>
      <c r="C2141" t="s">
        <v>37</v>
      </c>
      <c r="D2141">
        <v>6.1179839999999999</v>
      </c>
      <c r="E2141">
        <v>0.562231699999999</v>
      </c>
      <c r="F2141" t="s">
        <v>38</v>
      </c>
      <c r="G2141">
        <v>-422.3707</v>
      </c>
      <c r="H2141">
        <v>1.0406409999999999</v>
      </c>
      <c r="I2141">
        <v>283.39069999999998</v>
      </c>
      <c r="J2141">
        <v>-421.81819999999999</v>
      </c>
      <c r="K2141">
        <v>1.1061729999999901</v>
      </c>
      <c r="L2141">
        <v>283.3005</v>
      </c>
      <c r="M2141">
        <v>-0.99958659999999999</v>
      </c>
      <c r="N2141">
        <v>0</v>
      </c>
      <c r="O2141">
        <v>-1.22051E-2</v>
      </c>
      <c r="P2141">
        <v>-0.99610330000000002</v>
      </c>
      <c r="Q2141">
        <v>6.2640669999999996E-2</v>
      </c>
      <c r="R2141">
        <v>-6.2084100000000003E-2</v>
      </c>
      <c r="S2141">
        <v>-3.0459290000000001</v>
      </c>
      <c r="T2141">
        <v>-0.24038479999999901</v>
      </c>
      <c r="U2141">
        <v>0.31719969999999997</v>
      </c>
      <c r="V2141">
        <v>-4.988563E-2</v>
      </c>
      <c r="W2141">
        <v>8.8587189999999996E-2</v>
      </c>
      <c r="X2141">
        <v>0.99481839999999999</v>
      </c>
      <c r="Y2141">
        <v>0.1153222</v>
      </c>
      <c r="Z2141">
        <v>5.4909659999999999E-3</v>
      </c>
      <c r="AA2141">
        <v>0.993312999999999</v>
      </c>
      <c r="AB2141">
        <v>28</v>
      </c>
      <c r="AC2141">
        <v>-0.55250000000000898</v>
      </c>
      <c r="AD2141">
        <v>-6.5531999999999896E-2</v>
      </c>
      <c r="AE2141">
        <v>9.01999999999816E-2</v>
      </c>
      <c r="AF2141">
        <v>9.5628474980824593E-2</v>
      </c>
      <c r="AG2141">
        <v>-6.5531999999999896E-2</v>
      </c>
      <c r="AH2141">
        <v>0.54390437482933895</v>
      </c>
      <c r="AI2141">
        <v>96.767317295103695</v>
      </c>
      <c r="AJ2141">
        <v>80.028255344785293</v>
      </c>
      <c r="AK2141">
        <v>0.55612158491615205</v>
      </c>
    </row>
    <row r="2142" spans="1:37" x14ac:dyDescent="0.2">
      <c r="A2142" t="str">
        <f>"20200111153650515"</f>
        <v>20200111153650515</v>
      </c>
      <c r="B2142" t="str">
        <f>"1578728210505173"</f>
        <v>1578728210505173</v>
      </c>
      <c r="C2142" t="s">
        <v>37</v>
      </c>
      <c r="D2142">
        <v>6.1239790000000003</v>
      </c>
      <c r="E2142">
        <v>0.56257740000000001</v>
      </c>
      <c r="F2142" t="s">
        <v>38</v>
      </c>
      <c r="G2142">
        <v>-422.6259</v>
      </c>
      <c r="H2142">
        <v>1.0437730000000001</v>
      </c>
      <c r="I2142">
        <v>283.38510000000002</v>
      </c>
      <c r="J2142">
        <v>-422.08359999999999</v>
      </c>
      <c r="K2142">
        <v>1.106104</v>
      </c>
      <c r="L2142">
        <v>283.29750000000001</v>
      </c>
      <c r="M2142">
        <v>-0.99960349999999998</v>
      </c>
      <c r="N2142">
        <v>0</v>
      </c>
      <c r="O2142">
        <v>-1.203221E-2</v>
      </c>
      <c r="P2142">
        <v>-0.99605489999999997</v>
      </c>
      <c r="Q2142">
        <v>6.2797729999999996E-2</v>
      </c>
      <c r="R2142">
        <v>-6.2701480000000004E-2</v>
      </c>
      <c r="S2142">
        <v>-3.0464169999999999</v>
      </c>
      <c r="T2142">
        <v>-0.2352764</v>
      </c>
      <c r="U2142">
        <v>0.31961059999999902</v>
      </c>
      <c r="V2142">
        <v>-5.0676810000000003E-2</v>
      </c>
      <c r="W2142">
        <v>8.81768E-2</v>
      </c>
      <c r="X2142">
        <v>0.99481489999999995</v>
      </c>
      <c r="Y2142">
        <v>0.1159268</v>
      </c>
      <c r="Z2142">
        <v>5.3834819999999898E-3</v>
      </c>
      <c r="AA2142">
        <v>0.99324319999999899</v>
      </c>
      <c r="AB2142">
        <v>28</v>
      </c>
      <c r="AC2142">
        <v>-0.542300000000011</v>
      </c>
      <c r="AD2142">
        <v>-6.2331000000000102E-2</v>
      </c>
      <c r="AE2142">
        <v>8.7600000000008907E-2</v>
      </c>
      <c r="AF2142">
        <v>9.29244492024211E-2</v>
      </c>
      <c r="AG2142">
        <v>-6.2331000000000102E-2</v>
      </c>
      <c r="AH2142">
        <v>0.53432697545312202</v>
      </c>
      <c r="AI2142">
        <v>96.556139911796905</v>
      </c>
      <c r="AJ2142">
        <v>80.134399275433296</v>
      </c>
      <c r="AK2142">
        <v>0.54591704820188103</v>
      </c>
    </row>
    <row r="2143" spans="1:37" x14ac:dyDescent="0.2">
      <c r="A2143" t="str">
        <f>"20200111153650538"</f>
        <v>20200111153650538</v>
      </c>
      <c r="B2143" t="str">
        <f>"1578728210535429"</f>
        <v>1578728210535429</v>
      </c>
      <c r="C2143" t="s">
        <v>37</v>
      </c>
      <c r="D2143">
        <v>6.1132499999999999</v>
      </c>
      <c r="E2143">
        <v>0.56311669999999903</v>
      </c>
      <c r="F2143" t="s">
        <v>48</v>
      </c>
      <c r="G2143">
        <v>-436.50810000000001</v>
      </c>
      <c r="H2143" s="1">
        <v>5.0855190000000002E-6</v>
      </c>
      <c r="I2143">
        <v>284.81729999999999</v>
      </c>
      <c r="J2143">
        <v>-422.36349999999999</v>
      </c>
      <c r="K2143">
        <v>1.1060030000000001</v>
      </c>
      <c r="L2143">
        <v>283.29430000000002</v>
      </c>
      <c r="M2143">
        <v>-0.99962430000000002</v>
      </c>
      <c r="N2143">
        <v>0</v>
      </c>
      <c r="O2143">
        <v>-1.184809E-2</v>
      </c>
      <c r="P2143">
        <v>-0.99589780000000006</v>
      </c>
      <c r="Q2143">
        <v>6.4439650000000001E-2</v>
      </c>
      <c r="R2143">
        <v>-6.3523360000000001E-2</v>
      </c>
      <c r="S2143">
        <v>-3.0468439999999899</v>
      </c>
      <c r="T2143">
        <v>-0.23363690000000001</v>
      </c>
      <c r="U2143">
        <v>0.32101439999999998</v>
      </c>
      <c r="V2143">
        <v>-5.1683970000000003E-2</v>
      </c>
      <c r="W2143">
        <v>8.9075420000000002E-2</v>
      </c>
      <c r="X2143">
        <v>0.99468299999999998</v>
      </c>
      <c r="Y2143">
        <v>0.1161869</v>
      </c>
      <c r="Z2143">
        <v>5.3410519999999998E-3</v>
      </c>
      <c r="AA2143">
        <v>0.99321299999999901</v>
      </c>
      <c r="AB2143">
        <v>27</v>
      </c>
      <c r="AC2143">
        <v>-14.144600000000001</v>
      </c>
      <c r="AD2143">
        <v>-1.1059979144809999</v>
      </c>
      <c r="AE2143">
        <v>1.5229999999999599</v>
      </c>
      <c r="AF2143">
        <v>1.68037463052558</v>
      </c>
      <c r="AG2143">
        <v>-1.1059979144809999</v>
      </c>
      <c r="AH2143">
        <v>14.0406950881254</v>
      </c>
      <c r="AI2143">
        <v>94.472156229413301</v>
      </c>
      <c r="AJ2143">
        <v>83.175365043420697</v>
      </c>
      <c r="AK2143">
        <v>14.1840758896538</v>
      </c>
    </row>
    <row r="2144" spans="1:37" x14ac:dyDescent="0.2">
      <c r="A2144" t="str">
        <f>"20200111153650552"</f>
        <v>20200111153650552</v>
      </c>
      <c r="B2144" t="str">
        <f>"1578728210545190"</f>
        <v>1578728210545190</v>
      </c>
      <c r="C2144" t="s">
        <v>37</v>
      </c>
      <c r="D2144">
        <v>6.1259199999999998</v>
      </c>
      <c r="E2144">
        <v>0.56331779999999998</v>
      </c>
      <c r="F2144" t="s">
        <v>48</v>
      </c>
      <c r="G2144">
        <v>-437.1003</v>
      </c>
      <c r="H2144" s="1">
        <v>5.3446380000000002E-6</v>
      </c>
      <c r="I2144">
        <v>284.85700000000003</v>
      </c>
      <c r="J2144">
        <v>-422.52659999999997</v>
      </c>
      <c r="K2144">
        <v>1.1059270000000001</v>
      </c>
      <c r="L2144">
        <v>283.29250000000002</v>
      </c>
      <c r="M2144">
        <v>-0.99963840000000004</v>
      </c>
      <c r="N2144">
        <v>0</v>
      </c>
      <c r="O2144">
        <v>-1.174071E-2</v>
      </c>
      <c r="P2144">
        <v>-0.99578519999999904</v>
      </c>
      <c r="Q2144">
        <v>6.5316099999999905E-2</v>
      </c>
      <c r="R2144">
        <v>-6.4388860000000006E-2</v>
      </c>
      <c r="S2144">
        <v>-3.0477599999999998</v>
      </c>
      <c r="T2144">
        <v>-0.22873399999999999</v>
      </c>
      <c r="U2144">
        <v>0.3231812</v>
      </c>
      <c r="V2144">
        <v>-5.265748E-2</v>
      </c>
      <c r="W2144">
        <v>8.9422619999999994E-2</v>
      </c>
      <c r="X2144">
        <v>0.99460079999999995</v>
      </c>
      <c r="Y2144">
        <v>0.11676159999999999</v>
      </c>
      <c r="Z2144">
        <v>5.2409700000000002E-3</v>
      </c>
      <c r="AA2144">
        <v>0.99314609999999903</v>
      </c>
      <c r="AB2144">
        <v>27</v>
      </c>
      <c r="AC2144">
        <v>-14.573700000000001</v>
      </c>
      <c r="AD2144">
        <v>-1.1059216553619999</v>
      </c>
      <c r="AE2144">
        <v>1.5645</v>
      </c>
      <c r="AF2144">
        <v>1.7257234258566201</v>
      </c>
      <c r="AG2144">
        <v>-1.1059216553619999</v>
      </c>
      <c r="AH2144">
        <v>14.471934080617</v>
      </c>
      <c r="AI2144">
        <v>94.339332594063606</v>
      </c>
      <c r="AJ2144">
        <v>83.199805740734703</v>
      </c>
      <c r="AK2144">
        <v>14.6163627515218</v>
      </c>
    </row>
    <row r="2145" spans="1:37" x14ac:dyDescent="0.2">
      <c r="A2145" t="str">
        <f>"20200111153650572"</f>
        <v>20200111153650572</v>
      </c>
      <c r="B2145" t="str">
        <f>"1578728210564709"</f>
        <v>1578728210564709</v>
      </c>
      <c r="C2145" t="s">
        <v>37</v>
      </c>
      <c r="D2145">
        <v>6.1126120000000004</v>
      </c>
      <c r="E2145">
        <v>0.5634844</v>
      </c>
      <c r="F2145" t="s">
        <v>38</v>
      </c>
      <c r="G2145">
        <v>-423.35610000000003</v>
      </c>
      <c r="H2145">
        <v>1.0445519999999999</v>
      </c>
      <c r="I2145">
        <v>283.38040000000001</v>
      </c>
      <c r="J2145">
        <v>-422.77269999999999</v>
      </c>
      <c r="K2145">
        <v>1.1057999999999999</v>
      </c>
      <c r="L2145">
        <v>283.28980000000001</v>
      </c>
      <c r="M2145">
        <v>-0.99966069999999996</v>
      </c>
      <c r="N2145">
        <v>0</v>
      </c>
      <c r="O2145">
        <v>-1.157998E-2</v>
      </c>
      <c r="P2145">
        <v>-0.99562019999999996</v>
      </c>
      <c r="Q2145">
        <v>6.6646360000000002E-2</v>
      </c>
      <c r="R2145">
        <v>-6.5567390000000003E-2</v>
      </c>
      <c r="S2145">
        <v>-3.0483090000000002</v>
      </c>
      <c r="T2145">
        <v>-0.22560999999999901</v>
      </c>
      <c r="U2145">
        <v>0.32232670000000002</v>
      </c>
      <c r="V2145">
        <v>-5.3998230000000001E-2</v>
      </c>
      <c r="W2145">
        <v>8.9896569999999995E-2</v>
      </c>
      <c r="X2145">
        <v>0.99448619999999899</v>
      </c>
      <c r="Y2145">
        <v>0.11631909999999999</v>
      </c>
      <c r="Z2145">
        <v>5.1405569999999996E-3</v>
      </c>
      <c r="AA2145">
        <v>0.99319859999999904</v>
      </c>
      <c r="AB2145">
        <v>27</v>
      </c>
      <c r="AC2145">
        <v>-0.58340000000004</v>
      </c>
      <c r="AD2145">
        <v>-6.1247999999999699E-2</v>
      </c>
      <c r="AE2145">
        <v>9.0599999999994907E-2</v>
      </c>
      <c r="AF2145">
        <v>9.6314960243119904E-2</v>
      </c>
      <c r="AG2145">
        <v>-6.1247999999999699E-2</v>
      </c>
      <c r="AH2145">
        <v>0.57611120098594704</v>
      </c>
      <c r="AI2145">
        <v>95.986019851208894</v>
      </c>
      <c r="AJ2145">
        <v>80.508996533408705</v>
      </c>
      <c r="AK2145">
        <v>0.58730912215979103</v>
      </c>
    </row>
    <row r="2146" spans="1:37" x14ac:dyDescent="0.2">
      <c r="A2146" t="str">
        <f>"20200111153650593"</f>
        <v>20200111153650593</v>
      </c>
      <c r="B2146" t="str">
        <f>"1578728210585204"</f>
        <v>1578728210585204</v>
      </c>
      <c r="C2146" t="s">
        <v>37</v>
      </c>
      <c r="D2146">
        <v>6.1123129999999897</v>
      </c>
      <c r="E2146">
        <v>0.563778</v>
      </c>
      <c r="F2146" t="s">
        <v>48</v>
      </c>
      <c r="G2146">
        <v>-437.99709999999999</v>
      </c>
      <c r="H2146" s="1">
        <v>5.7397149999999996E-6</v>
      </c>
      <c r="I2146">
        <v>284.88679999999999</v>
      </c>
      <c r="J2146">
        <v>-423.04169999999999</v>
      </c>
      <c r="K2146">
        <v>1.105669</v>
      </c>
      <c r="L2146">
        <v>283.2869</v>
      </c>
      <c r="M2146">
        <v>-0.99968500000000005</v>
      </c>
      <c r="N2146">
        <v>0</v>
      </c>
      <c r="O2146">
        <v>-1.140769E-2</v>
      </c>
      <c r="P2146">
        <v>-0.99554880000000001</v>
      </c>
      <c r="Q2146">
        <v>6.6446210000000006E-2</v>
      </c>
      <c r="R2146">
        <v>-6.6840199999999905E-2</v>
      </c>
      <c r="S2146">
        <v>-3.0490719999999998</v>
      </c>
      <c r="T2146">
        <v>-0.22146360000000001</v>
      </c>
      <c r="U2146">
        <v>0.31985469999999999</v>
      </c>
      <c r="V2146">
        <v>-5.5443720000000002E-2</v>
      </c>
      <c r="W2146">
        <v>8.8723499999999997E-2</v>
      </c>
      <c r="X2146">
        <v>0.99451199999999995</v>
      </c>
      <c r="Y2146">
        <v>0.115340899999999</v>
      </c>
      <c r="Z2146">
        <v>4.9974210000000002E-3</v>
      </c>
      <c r="AA2146">
        <v>0.99331340000000001</v>
      </c>
      <c r="AB2146">
        <v>27</v>
      </c>
      <c r="AC2146">
        <v>-14.9553999999999</v>
      </c>
      <c r="AD2146">
        <v>-1.1056632602850001</v>
      </c>
      <c r="AE2146">
        <v>1.5998999999999901</v>
      </c>
      <c r="AF2146">
        <v>1.7609291632616699</v>
      </c>
      <c r="AG2146">
        <v>-1.1056632602850001</v>
      </c>
      <c r="AH2146">
        <v>14.8558908182066</v>
      </c>
      <c r="AI2146">
        <v>94.226960119726897</v>
      </c>
      <c r="AJ2146">
        <v>83.2400403309708</v>
      </c>
      <c r="AK2146">
        <v>15.0006951427474</v>
      </c>
    </row>
    <row r="2147" spans="1:37" x14ac:dyDescent="0.2">
      <c r="A2147" t="str">
        <f>"20200111153650619"</f>
        <v>20200111153650619</v>
      </c>
      <c r="B2147" t="str">
        <f>"1578728210604725"</f>
        <v>1578728210604725</v>
      </c>
      <c r="C2147" t="s">
        <v>37</v>
      </c>
      <c r="D2147">
        <v>6.1131500000000001</v>
      </c>
      <c r="E2147">
        <v>0.56403800000000004</v>
      </c>
      <c r="F2147" t="s">
        <v>48</v>
      </c>
      <c r="G2147">
        <v>-438.20150000000001</v>
      </c>
      <c r="H2147" s="1">
        <v>5.8318569999999999E-6</v>
      </c>
      <c r="I2147">
        <v>284.86989999999997</v>
      </c>
      <c r="J2147">
        <v>-423.31389999999999</v>
      </c>
      <c r="K2147">
        <v>1.1055459999999999</v>
      </c>
      <c r="L2147">
        <v>283.28399999999999</v>
      </c>
      <c r="M2147">
        <v>-0.99970809999999999</v>
      </c>
      <c r="N2147">
        <v>0</v>
      </c>
      <c r="O2147">
        <v>-1.12418999999999E-2</v>
      </c>
      <c r="P2147">
        <v>-0.99549169999999998</v>
      </c>
      <c r="Q2147">
        <v>6.6073399999999893E-2</v>
      </c>
      <c r="R2147">
        <v>-6.8053470000000005E-2</v>
      </c>
      <c r="S2147">
        <v>-3.049652</v>
      </c>
      <c r="T2147">
        <v>-0.22242239999999999</v>
      </c>
      <c r="U2147">
        <v>0.31845089999999998</v>
      </c>
      <c r="V2147">
        <v>-5.6822789999999998E-2</v>
      </c>
      <c r="W2147">
        <v>8.7389259999999996E-2</v>
      </c>
      <c r="X2147">
        <v>0.99455229999999994</v>
      </c>
      <c r="Y2147">
        <v>0.114703399999999</v>
      </c>
      <c r="Z2147">
        <v>4.9829509999999898E-3</v>
      </c>
      <c r="AA2147">
        <v>0.99338729999999997</v>
      </c>
      <c r="AB2147">
        <v>27</v>
      </c>
      <c r="AC2147">
        <v>-14.887600000000001</v>
      </c>
      <c r="AD2147">
        <v>-1.1055401681429999</v>
      </c>
      <c r="AE2147">
        <v>1.5858999999999801</v>
      </c>
      <c r="AF2147">
        <v>1.7436953551223799</v>
      </c>
      <c r="AG2147">
        <v>-1.1055401681429999</v>
      </c>
      <c r="AH2147">
        <v>14.7881928984258</v>
      </c>
      <c r="AI2147">
        <v>94.246075994489402</v>
      </c>
      <c r="AJ2147">
        <v>83.275229265764594</v>
      </c>
      <c r="AK2147">
        <v>14.931622207781199</v>
      </c>
    </row>
    <row r="2148" spans="1:37" x14ac:dyDescent="0.2">
      <c r="A2148" t="str">
        <f>"20200111153650638"</f>
        <v>20200111153650638</v>
      </c>
      <c r="B2148" t="str">
        <f>"1578728210634981"</f>
        <v>1578728210634981</v>
      </c>
      <c r="C2148" t="s">
        <v>37</v>
      </c>
      <c r="D2148">
        <v>6.4154419999999996</v>
      </c>
      <c r="E2148">
        <v>0.56424810000000003</v>
      </c>
      <c r="F2148" t="s">
        <v>48</v>
      </c>
      <c r="G2148">
        <v>-438.416</v>
      </c>
      <c r="H2148" s="1">
        <v>5.9283249999999997E-6</v>
      </c>
      <c r="I2148">
        <v>284.8544</v>
      </c>
      <c r="J2148">
        <v>-423.58120000000002</v>
      </c>
      <c r="K2148">
        <v>1.1054569999999999</v>
      </c>
      <c r="L2148">
        <v>283.28120000000001</v>
      </c>
      <c r="M2148">
        <v>-0.99972870000000003</v>
      </c>
      <c r="N2148">
        <v>0</v>
      </c>
      <c r="O2148">
        <v>-1.107321E-2</v>
      </c>
      <c r="P2148">
        <v>-0.99542520000000001</v>
      </c>
      <c r="Q2148">
        <v>6.5427589999999994E-2</v>
      </c>
      <c r="R2148">
        <v>-6.9625930000000003E-2</v>
      </c>
      <c r="S2148">
        <v>-3.0500790000000002</v>
      </c>
      <c r="T2148">
        <v>-0.22327919999999901</v>
      </c>
      <c r="U2148">
        <v>0.31716919999999998</v>
      </c>
      <c r="V2148">
        <v>-5.8565350000000002E-2</v>
      </c>
      <c r="W2148">
        <v>8.5847270000000003E-2</v>
      </c>
      <c r="X2148">
        <v>0.99458550000000001</v>
      </c>
      <c r="Y2148">
        <v>0.1141078</v>
      </c>
      <c r="Z2148">
        <v>4.9674740000000004E-3</v>
      </c>
      <c r="AA2148">
        <v>0.99345589999999995</v>
      </c>
      <c r="AB2148">
        <v>27</v>
      </c>
      <c r="AC2148">
        <v>-14.8347999999999</v>
      </c>
      <c r="AD2148">
        <v>-1.1054510716749999</v>
      </c>
      <c r="AE2148">
        <v>1.5731999999999799</v>
      </c>
      <c r="AF2148">
        <v>1.72791870080571</v>
      </c>
      <c r="AG2148">
        <v>-1.1054510716749999</v>
      </c>
      <c r="AH2148">
        <v>14.735551785657201</v>
      </c>
      <c r="AI2148">
        <v>94.261166473315896</v>
      </c>
      <c r="AJ2148">
        <v>83.311931250043003</v>
      </c>
      <c r="AK2148">
        <v>14.877641329735299</v>
      </c>
    </row>
    <row r="2149" spans="1:37" x14ac:dyDescent="0.2">
      <c r="A2149" t="str">
        <f>"20200111153650662"</f>
        <v>20200111153650662</v>
      </c>
      <c r="B2149" t="str">
        <f>"1578728210654500"</f>
        <v>1578728210654500</v>
      </c>
      <c r="C2149" t="s">
        <v>37</v>
      </c>
      <c r="D2149">
        <v>5.9829629999999998</v>
      </c>
      <c r="E2149">
        <v>0.4997508</v>
      </c>
      <c r="F2149" t="s">
        <v>48</v>
      </c>
      <c r="G2149">
        <v>-438.57299999999998</v>
      </c>
      <c r="H2149" s="1">
        <v>6.0001689999999999E-6</v>
      </c>
      <c r="I2149">
        <v>284.82900000000001</v>
      </c>
      <c r="J2149">
        <v>-423.86340000000001</v>
      </c>
      <c r="K2149">
        <v>1.1053839999999999</v>
      </c>
      <c r="L2149">
        <v>283.27820000000003</v>
      </c>
      <c r="M2149">
        <v>-0.99974839999999998</v>
      </c>
      <c r="N2149">
        <v>0</v>
      </c>
      <c r="O2149">
        <v>-1.088484E-2</v>
      </c>
      <c r="P2149">
        <v>-0.99532219999999905</v>
      </c>
      <c r="Q2149">
        <v>6.5569569999999994E-2</v>
      </c>
      <c r="R2149">
        <v>-7.0954080000000003E-2</v>
      </c>
      <c r="S2149">
        <v>-3.0506289999999998</v>
      </c>
      <c r="T2149">
        <v>-0.2249437</v>
      </c>
      <c r="U2149">
        <v>0.31497190000000003</v>
      </c>
      <c r="V2149">
        <v>-6.0083850000000001E-2</v>
      </c>
      <c r="W2149">
        <v>8.5114670000000003E-2</v>
      </c>
      <c r="X2149">
        <v>0.99455789999999999</v>
      </c>
      <c r="Y2149">
        <v>0.1131921</v>
      </c>
      <c r="Z2149">
        <v>4.9562159999999899E-3</v>
      </c>
      <c r="AA2149">
        <v>0.99356069999999996</v>
      </c>
      <c r="AB2149">
        <v>27</v>
      </c>
      <c r="AC2149">
        <v>-14.7096</v>
      </c>
      <c r="AD2149">
        <v>-1.1053779998309901</v>
      </c>
      <c r="AE2149">
        <v>1.55079999999998</v>
      </c>
      <c r="AF2149">
        <v>1.70134858998729</v>
      </c>
      <c r="AG2149">
        <v>-1.1053779998309901</v>
      </c>
      <c r="AH2149">
        <v>14.610247274861999</v>
      </c>
      <c r="AI2149">
        <v>94.297694155204795</v>
      </c>
      <c r="AJ2149">
        <v>83.357879540773993</v>
      </c>
      <c r="AK2149">
        <v>14.750449924655699</v>
      </c>
    </row>
    <row r="2150" spans="1:37" x14ac:dyDescent="0.2">
      <c r="A2150" t="str">
        <f>"20200111153650683"</f>
        <v>20200111153650683</v>
      </c>
      <c r="B2150" t="str">
        <f>"1578728210674996"</f>
        <v>1578728210674996</v>
      </c>
      <c r="C2150" t="s">
        <v>37</v>
      </c>
      <c r="D2150">
        <v>6.0728010000000001</v>
      </c>
      <c r="E2150">
        <v>0.436280099999999</v>
      </c>
      <c r="F2150" t="s">
        <v>48</v>
      </c>
      <c r="G2150">
        <v>-439.3811</v>
      </c>
      <c r="H2150" s="1">
        <v>6.5853219999999996E-6</v>
      </c>
      <c r="I2150">
        <v>282.23480000000001</v>
      </c>
      <c r="J2150">
        <v>-424.12490000000003</v>
      </c>
      <c r="K2150">
        <v>1.1053299999999999</v>
      </c>
      <c r="L2150">
        <v>283.2756</v>
      </c>
      <c r="M2150">
        <v>-0.9997646</v>
      </c>
      <c r="N2150">
        <v>0</v>
      </c>
      <c r="O2150">
        <v>-1.070722E-2</v>
      </c>
      <c r="P2150">
        <v>-0.99525200000000003</v>
      </c>
      <c r="Q2150">
        <v>6.5324900000000005E-2</v>
      </c>
      <c r="R2150">
        <v>-7.2155490000000003E-2</v>
      </c>
      <c r="S2150">
        <v>-3.0137939999999999</v>
      </c>
      <c r="T2150">
        <v>-0.2146826</v>
      </c>
      <c r="U2150">
        <v>-0.2026367</v>
      </c>
      <c r="V2150">
        <v>-6.1464690000000002E-2</v>
      </c>
      <c r="W2150">
        <v>8.4134020000000004E-2</v>
      </c>
      <c r="X2150">
        <v>0.99455700000000002</v>
      </c>
      <c r="Y2150">
        <v>-5.628118E-2</v>
      </c>
      <c r="Z2150">
        <v>-1.238816E-3</v>
      </c>
      <c r="AA2150">
        <v>0.99841420000000003</v>
      </c>
      <c r="AB2150">
        <v>27</v>
      </c>
      <c r="AC2150">
        <v>-15.2561999999999</v>
      </c>
      <c r="AD2150">
        <v>-1.105323414678</v>
      </c>
      <c r="AE2150">
        <v>-1.04079999999999</v>
      </c>
      <c r="AF2150">
        <v>-0.872799533536463</v>
      </c>
      <c r="AG2150">
        <v>-1.105323414678</v>
      </c>
      <c r="AH2150">
        <v>15.187121578453301</v>
      </c>
      <c r="AI2150">
        <v>94.155831966159198</v>
      </c>
      <c r="AJ2150">
        <v>93.289154141157198</v>
      </c>
      <c r="AK2150">
        <v>15.2522844425187</v>
      </c>
    </row>
    <row r="2151" spans="1:37" x14ac:dyDescent="0.2">
      <c r="A2151" t="str">
        <f>"20200111153650706"</f>
        <v>20200111153650706</v>
      </c>
      <c r="B2151" t="str">
        <f>"1578728210694517"</f>
        <v>1578728210694517</v>
      </c>
      <c r="C2151" t="s">
        <v>37</v>
      </c>
      <c r="D2151">
        <v>5.9109210000000001</v>
      </c>
      <c r="E2151">
        <v>0.44024009999999902</v>
      </c>
      <c r="F2151" t="s">
        <v>48</v>
      </c>
      <c r="G2151">
        <v>-438.78269999999998</v>
      </c>
      <c r="H2151" s="1">
        <v>6.5351419999999901E-6</v>
      </c>
      <c r="I2151">
        <v>279.77330000000001</v>
      </c>
      <c r="J2151">
        <v>-424.39530000000002</v>
      </c>
      <c r="K2151">
        <v>1.1052839999999999</v>
      </c>
      <c r="L2151">
        <v>283.27289999999999</v>
      </c>
      <c r="M2151">
        <v>-0.99977919999999998</v>
      </c>
      <c r="N2151">
        <v>0</v>
      </c>
      <c r="O2151">
        <v>-1.0525949999999999E-2</v>
      </c>
      <c r="P2151">
        <v>-0.99515279999999995</v>
      </c>
      <c r="Q2151">
        <v>6.4931119999999995E-2</v>
      </c>
      <c r="R2151">
        <v>-7.3857489999999998E-2</v>
      </c>
      <c r="S2151">
        <v>-2.9774780000000001</v>
      </c>
      <c r="T2151">
        <v>-0.2245279</v>
      </c>
      <c r="U2151">
        <v>-0.7114258</v>
      </c>
      <c r="V2151">
        <v>-6.3348810000000005E-2</v>
      </c>
      <c r="W2151">
        <v>8.3055379999999998E-2</v>
      </c>
      <c r="X2151">
        <v>0.99452940000000001</v>
      </c>
      <c r="Y2151">
        <v>-0.2215752</v>
      </c>
      <c r="Z2151">
        <v>-7.4456549999999998E-3</v>
      </c>
      <c r="AA2151">
        <v>0.97511489999999901</v>
      </c>
      <c r="AB2151">
        <v>27</v>
      </c>
      <c r="AC2151">
        <v>-14.3873999999999</v>
      </c>
      <c r="AD2151">
        <v>-1.1052774648579999</v>
      </c>
      <c r="AE2151">
        <v>-3.4995999999999801</v>
      </c>
      <c r="AF2151">
        <v>-3.32938848138701</v>
      </c>
      <c r="AG2151">
        <v>-1.1052774648579999</v>
      </c>
      <c r="AH2151">
        <v>14.343522757157301</v>
      </c>
      <c r="AI2151">
        <v>94.292686160460903</v>
      </c>
      <c r="AJ2151">
        <v>103.067961449812</v>
      </c>
      <c r="AK2151">
        <v>14.766282911396701</v>
      </c>
    </row>
    <row r="2152" spans="1:37" x14ac:dyDescent="0.2">
      <c r="A2152" t="str">
        <f>"20200111153650727"</f>
        <v>20200111153650727</v>
      </c>
      <c r="B2152" t="str">
        <f>"1578728210724773"</f>
        <v>1578728210724773</v>
      </c>
      <c r="C2152" t="s">
        <v>37</v>
      </c>
      <c r="D2152">
        <v>5.8922589999999904</v>
      </c>
      <c r="E2152">
        <v>0.44206200000000001</v>
      </c>
      <c r="F2152" t="s">
        <v>48</v>
      </c>
      <c r="G2152">
        <v>-438.33030000000002</v>
      </c>
      <c r="H2152" s="1">
        <v>6.3084950000000003E-6</v>
      </c>
      <c r="I2152">
        <v>280.0711</v>
      </c>
      <c r="J2152">
        <v>-424.6626</v>
      </c>
      <c r="K2152">
        <v>1.105267</v>
      </c>
      <c r="L2152">
        <v>283.27030000000002</v>
      </c>
      <c r="M2152">
        <v>-0.99979200000000001</v>
      </c>
      <c r="N2152">
        <v>0</v>
      </c>
      <c r="O2152">
        <v>-1.035174E-2</v>
      </c>
      <c r="P2152">
        <v>-0.99503759999999997</v>
      </c>
      <c r="Q2152">
        <v>6.4766760000000007E-2</v>
      </c>
      <c r="R2152">
        <v>-7.5537240000000005E-2</v>
      </c>
      <c r="S2152">
        <v>-2.979187</v>
      </c>
      <c r="T2152">
        <v>-0.23629919999999999</v>
      </c>
      <c r="U2152">
        <v>-0.68450929999999999</v>
      </c>
      <c r="V2152">
        <v>-6.5203319999999995E-2</v>
      </c>
      <c r="W2152">
        <v>8.2286509999999993E-2</v>
      </c>
      <c r="X2152">
        <v>0.99447350000000001</v>
      </c>
      <c r="Y2152">
        <v>-0.21322169999999999</v>
      </c>
      <c r="Z2152">
        <v>-7.5255180000000001E-3</v>
      </c>
      <c r="AA2152">
        <v>0.97697479999999903</v>
      </c>
      <c r="AB2152">
        <v>27</v>
      </c>
      <c r="AC2152">
        <v>-13.6677</v>
      </c>
      <c r="AD2152">
        <v>-1.1052606915050001</v>
      </c>
      <c r="AE2152">
        <v>-3.19920000000001</v>
      </c>
      <c r="AF2152">
        <v>-3.0386831772696001</v>
      </c>
      <c r="AG2152">
        <v>-1.1052606915050001</v>
      </c>
      <c r="AH2152">
        <v>13.6156762784957</v>
      </c>
      <c r="AI2152">
        <v>94.529884775927798</v>
      </c>
      <c r="AJ2152">
        <v>102.580836932625</v>
      </c>
      <c r="AK2152">
        <v>13.9943501874434</v>
      </c>
    </row>
    <row r="2153" spans="1:37" x14ac:dyDescent="0.2">
      <c r="A2153" t="str">
        <f>"20200111153650751"</f>
        <v>20200111153650751</v>
      </c>
      <c r="B2153" t="str">
        <f>"1578728210745270"</f>
        <v>1578728210745270</v>
      </c>
      <c r="C2153" t="s">
        <v>37</v>
      </c>
      <c r="D2153">
        <v>6.303293</v>
      </c>
      <c r="E2153">
        <v>0.44503379999999998</v>
      </c>
      <c r="F2153" t="s">
        <v>48</v>
      </c>
      <c r="G2153">
        <v>-438.74869999999999</v>
      </c>
      <c r="H2153" s="1">
        <v>6.4935559999999996E-6</v>
      </c>
      <c r="I2153">
        <v>280.07679999999999</v>
      </c>
      <c r="J2153">
        <v>-424.93810000000002</v>
      </c>
      <c r="K2153">
        <v>1.1052549999999901</v>
      </c>
      <c r="L2153">
        <v>283.26760000000002</v>
      </c>
      <c r="M2153">
        <v>-0.99980329999999995</v>
      </c>
      <c r="N2153">
        <v>0</v>
      </c>
      <c r="O2153">
        <v>-1.017348E-2</v>
      </c>
      <c r="P2153">
        <v>-0.99482009999999899</v>
      </c>
      <c r="Q2153">
        <v>6.5376359999999994E-2</v>
      </c>
      <c r="R2153">
        <v>-7.7838149999999995E-2</v>
      </c>
      <c r="S2153">
        <v>-2.978882</v>
      </c>
      <c r="T2153">
        <v>-0.23373649999999899</v>
      </c>
      <c r="U2153">
        <v>-0.67535400000000001</v>
      </c>
      <c r="V2153">
        <v>-6.7683820000000006E-2</v>
      </c>
      <c r="W2153">
        <v>8.2342090000000007E-2</v>
      </c>
      <c r="X2153">
        <v>0.994303099999999</v>
      </c>
      <c r="Y2153">
        <v>-0.21058270000000001</v>
      </c>
      <c r="Z2153">
        <v>-7.3590909999999999E-3</v>
      </c>
      <c r="AA2153">
        <v>0.97754839999999998</v>
      </c>
      <c r="AB2153">
        <v>27</v>
      </c>
      <c r="AC2153">
        <v>-13.8105999999999</v>
      </c>
      <c r="AD2153">
        <v>-1.1052485064440001</v>
      </c>
      <c r="AE2153">
        <v>-3.1908000000000198</v>
      </c>
      <c r="AF2153">
        <v>-3.03167971149121</v>
      </c>
      <c r="AG2153">
        <v>-1.1052485064440001</v>
      </c>
      <c r="AH2153">
        <v>13.758697219379</v>
      </c>
      <c r="AI2153">
        <v>94.485610961396802</v>
      </c>
      <c r="AJ2153">
        <v>102.42634938165</v>
      </c>
      <c r="AK2153">
        <v>14.1320347193393</v>
      </c>
    </row>
    <row r="2154" spans="1:37" x14ac:dyDescent="0.2">
      <c r="A2154" t="str">
        <f>"20200111153650784"</f>
        <v>20200111153650784</v>
      </c>
      <c r="B2154" t="str">
        <f>"1578728210774548"</f>
        <v>1578728210774548</v>
      </c>
      <c r="C2154" t="s">
        <v>37</v>
      </c>
      <c r="D2154">
        <v>5.9296989999999896</v>
      </c>
      <c r="E2154">
        <v>0.44904519999999998</v>
      </c>
      <c r="F2154" t="s">
        <v>48</v>
      </c>
      <c r="G2154">
        <v>-439.5301</v>
      </c>
      <c r="H2154" s="1">
        <v>6.8429409999999998E-6</v>
      </c>
      <c r="I2154">
        <v>280.04349999999999</v>
      </c>
      <c r="J2154">
        <v>-425.33819999999997</v>
      </c>
      <c r="K2154">
        <v>1.1052770000000001</v>
      </c>
      <c r="L2154">
        <v>283.2638</v>
      </c>
      <c r="M2154">
        <v>-0.99981749999999903</v>
      </c>
      <c r="N2154">
        <v>0</v>
      </c>
      <c r="O2154">
        <v>-9.9132609999999996E-3</v>
      </c>
      <c r="P2154">
        <v>-0.99461690000000003</v>
      </c>
      <c r="Q2154">
        <v>6.7545030000000006E-2</v>
      </c>
      <c r="R2154">
        <v>-7.85825E-2</v>
      </c>
      <c r="S2154">
        <v>-2.9789729999999999</v>
      </c>
      <c r="T2154">
        <v>-0.22563859999999999</v>
      </c>
      <c r="U2154">
        <v>-0.65820310000000004</v>
      </c>
      <c r="V2154">
        <v>-6.8687990000000004E-2</v>
      </c>
      <c r="W2154">
        <v>8.3822789999999994E-2</v>
      </c>
      <c r="X2154">
        <v>0.99411050000000001</v>
      </c>
      <c r="Y2154">
        <v>-0.20552049999999999</v>
      </c>
      <c r="Z2154">
        <v>-6.9393019999999996E-3</v>
      </c>
      <c r="AA2154">
        <v>0.97862819999999995</v>
      </c>
      <c r="AB2154">
        <v>27</v>
      </c>
      <c r="AC2154">
        <v>-14.1919</v>
      </c>
      <c r="AD2154">
        <v>-1.105270157059</v>
      </c>
      <c r="AE2154">
        <v>-3.2202999999999999</v>
      </c>
      <c r="AF2154">
        <v>-3.06177358153557</v>
      </c>
      <c r="AG2154">
        <v>-1.105270157059</v>
      </c>
      <c r="AH2154">
        <v>14.141557014000099</v>
      </c>
      <c r="AI2154">
        <v>94.368211054777802</v>
      </c>
      <c r="AJ2154">
        <v>102.216490781166</v>
      </c>
      <c r="AK2154">
        <v>14.5113650069485</v>
      </c>
    </row>
    <row r="2155" spans="1:37" x14ac:dyDescent="0.2">
      <c r="A2155" t="str">
        <f>"20200111153650805"</f>
        <v>20200111153650805</v>
      </c>
      <c r="B2155" t="str">
        <f>"1578728210795045"</f>
        <v>1578728210795045</v>
      </c>
      <c r="C2155" t="s">
        <v>37</v>
      </c>
      <c r="D2155">
        <v>5.8712759999999999</v>
      </c>
      <c r="E2155">
        <v>0.4504939</v>
      </c>
      <c r="F2155" t="s">
        <v>45</v>
      </c>
      <c r="G2155">
        <v>-441.21899999999999</v>
      </c>
      <c r="H2155" s="1">
        <v>-6.8256279999999998E-7</v>
      </c>
      <c r="I2155">
        <v>279.91449999999998</v>
      </c>
      <c r="J2155">
        <v>-425.60599999999999</v>
      </c>
      <c r="K2155">
        <v>1.1052959999999901</v>
      </c>
      <c r="L2155">
        <v>283.26130000000001</v>
      </c>
      <c r="M2155">
        <v>-0.99982549999999903</v>
      </c>
      <c r="N2155">
        <v>0</v>
      </c>
      <c r="O2155">
        <v>-9.7374890000000002E-3</v>
      </c>
      <c r="P2155">
        <v>-0.99430529999999995</v>
      </c>
      <c r="Q2155">
        <v>7.0372480000000001E-2</v>
      </c>
      <c r="R2155">
        <v>-8.0031210000000005E-2</v>
      </c>
      <c r="S2155">
        <v>-2.9806520000000001</v>
      </c>
      <c r="T2155">
        <v>-0.20744859999999901</v>
      </c>
      <c r="U2155">
        <v>-0.62863159999999996</v>
      </c>
      <c r="V2155">
        <v>-7.0313840000000002E-2</v>
      </c>
      <c r="W2155">
        <v>8.6259160000000001E-2</v>
      </c>
      <c r="X2155">
        <v>0.99378840000000002</v>
      </c>
      <c r="Y2155">
        <v>-0.1963934</v>
      </c>
      <c r="Z2155">
        <v>-6.0826119999999899E-3</v>
      </c>
      <c r="AA2155">
        <v>0.98050630000000005</v>
      </c>
      <c r="AB2155">
        <v>27</v>
      </c>
      <c r="AC2155">
        <v>-15.613</v>
      </c>
      <c r="AD2155">
        <v>-1.1052966825627999</v>
      </c>
      <c r="AE2155">
        <v>-3.34680000000002</v>
      </c>
      <c r="AF2155">
        <v>-3.17935657128056</v>
      </c>
      <c r="AG2155">
        <v>-1.1052966825627999</v>
      </c>
      <c r="AH2155">
        <v>15.570247883305001</v>
      </c>
      <c r="AI2155">
        <v>93.978659464951093</v>
      </c>
      <c r="AJ2155">
        <v>101.54082025563</v>
      </c>
      <c r="AK2155">
        <v>15.9299280635976</v>
      </c>
    </row>
    <row r="2156" spans="1:37" x14ac:dyDescent="0.2">
      <c r="A2156" t="str">
        <f>"20200111153650828"</f>
        <v>20200111153650828</v>
      </c>
      <c r="B2156" t="str">
        <f>"1578728210825301"</f>
        <v>1578728210825301</v>
      </c>
      <c r="C2156" t="s">
        <v>37</v>
      </c>
      <c r="D2156">
        <v>5.8861629999999998</v>
      </c>
      <c r="E2156">
        <v>0.45243420000000001</v>
      </c>
      <c r="F2156" t="s">
        <v>45</v>
      </c>
      <c r="G2156">
        <v>-442.4323</v>
      </c>
      <c r="H2156" s="1">
        <v>-2.9985169999999902E-8</v>
      </c>
      <c r="I2156">
        <v>279.75560000000002</v>
      </c>
      <c r="J2156">
        <v>-425.87569999999999</v>
      </c>
      <c r="K2156">
        <v>1.1053170000000001</v>
      </c>
      <c r="L2156">
        <v>283.25889999999998</v>
      </c>
      <c r="M2156">
        <v>-0.99983250000000001</v>
      </c>
      <c r="N2156">
        <v>0</v>
      </c>
      <c r="O2156">
        <v>-9.5594040000000005E-3</v>
      </c>
      <c r="P2156">
        <v>-0.99402250000000003</v>
      </c>
      <c r="Q2156">
        <v>7.3019589999999995E-2</v>
      </c>
      <c r="R2156">
        <v>-8.1161739999999996E-2</v>
      </c>
      <c r="S2156">
        <v>-2.9810180000000002</v>
      </c>
      <c r="T2156">
        <v>-0.1958194</v>
      </c>
      <c r="U2156">
        <v>-0.62109380000000003</v>
      </c>
      <c r="V2156">
        <v>-7.1623740000000005E-2</v>
      </c>
      <c r="W2156">
        <v>8.8561059999999997E-2</v>
      </c>
      <c r="X2156">
        <v>0.99349229999999999</v>
      </c>
      <c r="Y2156">
        <v>-0.19421930000000001</v>
      </c>
      <c r="Z2156">
        <v>-5.6841269999999998E-3</v>
      </c>
      <c r="AA2156">
        <v>0.98094169999999903</v>
      </c>
      <c r="AB2156">
        <v>27</v>
      </c>
      <c r="AC2156">
        <v>-16.5566</v>
      </c>
      <c r="AD2156">
        <v>-1.10531702998517</v>
      </c>
      <c r="AE2156">
        <v>-3.5032999999999599</v>
      </c>
      <c r="AF2156">
        <v>-3.33064123077496</v>
      </c>
      <c r="AG2156">
        <v>-1.10531702998517</v>
      </c>
      <c r="AH2156">
        <v>16.518869172897102</v>
      </c>
      <c r="AI2156">
        <v>93.752791953141795</v>
      </c>
      <c r="AJ2156">
        <v>101.399509860431</v>
      </c>
      <c r="AK2156">
        <v>16.887508267835202</v>
      </c>
    </row>
    <row r="2157" spans="1:37" x14ac:dyDescent="0.2">
      <c r="A2157" t="str">
        <f>"20200111153650850"</f>
        <v>20200111153650850</v>
      </c>
      <c r="B2157" t="str">
        <f>"1578728210844820"</f>
        <v>1578728210844820</v>
      </c>
      <c r="C2157" t="s">
        <v>37</v>
      </c>
      <c r="D2157">
        <v>5.9212410000000002</v>
      </c>
      <c r="E2157">
        <v>0.45232050000000001</v>
      </c>
      <c r="F2157" t="s">
        <v>45</v>
      </c>
      <c r="G2157">
        <v>-443.59289999999999</v>
      </c>
      <c r="H2157" s="1">
        <v>5.9253309999999899E-7</v>
      </c>
      <c r="I2157">
        <v>279.64330000000001</v>
      </c>
      <c r="J2157">
        <v>-426.14940000000001</v>
      </c>
      <c r="K2157">
        <v>1.105335</v>
      </c>
      <c r="L2157">
        <v>283.25650000000002</v>
      </c>
      <c r="M2157">
        <v>-0.99983909999999998</v>
      </c>
      <c r="N2157">
        <v>0</v>
      </c>
      <c r="O2157">
        <v>-9.3790479999999992E-3</v>
      </c>
      <c r="P2157">
        <v>-0.99373259999999997</v>
      </c>
      <c r="Q2157">
        <v>7.5469419999999995E-2</v>
      </c>
      <c r="R2157">
        <v>-8.2465199999999905E-2</v>
      </c>
      <c r="S2157">
        <v>-2.9820250000000001</v>
      </c>
      <c r="T2157">
        <v>-0.18603919999999999</v>
      </c>
      <c r="U2157">
        <v>-0.60855099999999995</v>
      </c>
      <c r="V2157">
        <v>-7.3107909999999998E-2</v>
      </c>
      <c r="W2157">
        <v>9.0706250000000002E-2</v>
      </c>
      <c r="X2157">
        <v>0.99319059999999904</v>
      </c>
      <c r="Y2157">
        <v>-0.19041469999999999</v>
      </c>
      <c r="Z2157">
        <v>-5.29502599999999E-3</v>
      </c>
      <c r="AA2157">
        <v>0.98168949999999999</v>
      </c>
      <c r="AB2157">
        <v>27</v>
      </c>
      <c r="AC2157">
        <v>-17.443499999999901</v>
      </c>
      <c r="AD2157">
        <v>-1.10533440746689</v>
      </c>
      <c r="AE2157">
        <v>-3.6132</v>
      </c>
      <c r="AF2157">
        <v>-3.4361887244986198</v>
      </c>
      <c r="AG2157">
        <v>-1.10533440746689</v>
      </c>
      <c r="AH2157">
        <v>17.409595772983799</v>
      </c>
      <c r="AI2157">
        <v>93.564251102205205</v>
      </c>
      <c r="AJ2157">
        <v>101.165147196516</v>
      </c>
      <c r="AK2157">
        <v>17.779853263775799</v>
      </c>
    </row>
    <row r="2158" spans="1:37" x14ac:dyDescent="0.2">
      <c r="A2158" t="str">
        <f>"20200111153650874"</f>
        <v>20200111153650874</v>
      </c>
      <c r="B2158" t="str">
        <f>"1578728210865316"</f>
        <v>1578728210865316</v>
      </c>
      <c r="C2158" t="s">
        <v>37</v>
      </c>
      <c r="D2158">
        <v>5.8765989999999997</v>
      </c>
      <c r="E2158">
        <v>0.45268559999999902</v>
      </c>
      <c r="F2158" t="s">
        <v>45</v>
      </c>
      <c r="G2158">
        <v>-443.84410000000003</v>
      </c>
      <c r="H2158">
        <v>1.03926E-2</v>
      </c>
      <c r="I2158">
        <v>279.61630000000002</v>
      </c>
      <c r="J2158">
        <v>-426.42579999999998</v>
      </c>
      <c r="K2158">
        <v>1.105351</v>
      </c>
      <c r="L2158">
        <v>283.25409999999999</v>
      </c>
      <c r="M2158">
        <v>-0.99984470000000003</v>
      </c>
      <c r="N2158">
        <v>0</v>
      </c>
      <c r="O2158">
        <v>-9.1970990000000002E-3</v>
      </c>
      <c r="P2158">
        <v>-0.9935195</v>
      </c>
      <c r="Q2158">
        <v>7.6736990000000005E-2</v>
      </c>
      <c r="R2158">
        <v>-8.3849240000000005E-2</v>
      </c>
      <c r="S2158">
        <v>-2.982056</v>
      </c>
      <c r="T2158">
        <v>-0.18452829999999901</v>
      </c>
      <c r="U2158">
        <v>-0.61346440000000002</v>
      </c>
      <c r="V2158">
        <v>-7.4674679999999993E-2</v>
      </c>
      <c r="W2158">
        <v>9.1706780000000002E-2</v>
      </c>
      <c r="X2158">
        <v>0.99298209999999998</v>
      </c>
      <c r="Y2158">
        <v>-0.1921455</v>
      </c>
      <c r="Z2158">
        <v>-5.3152690000000001E-3</v>
      </c>
      <c r="AA2158">
        <v>0.981352</v>
      </c>
      <c r="AB2158">
        <v>27</v>
      </c>
      <c r="AC2158">
        <v>-17.418299999999999</v>
      </c>
      <c r="AD2158">
        <v>-1.0949583999999899</v>
      </c>
      <c r="AE2158">
        <v>-3.6377999999999702</v>
      </c>
      <c r="AF2158">
        <v>-3.4643124283197602</v>
      </c>
      <c r="AG2158">
        <v>-1.0949583999999899</v>
      </c>
      <c r="AH2158">
        <v>17.385194457276199</v>
      </c>
      <c r="AI2158">
        <v>93.534546167494099</v>
      </c>
      <c r="AJ2158">
        <v>101.26959780156901</v>
      </c>
      <c r="AK2158">
        <v>17.760782100348202</v>
      </c>
    </row>
    <row r="2159" spans="1:37" x14ac:dyDescent="0.2">
      <c r="A2159" t="str">
        <f>"20200111153650895"</f>
        <v>20200111153650895</v>
      </c>
      <c r="B2159" t="str">
        <f>"1578728210884838"</f>
        <v>1578728210884838</v>
      </c>
      <c r="C2159" t="s">
        <v>37</v>
      </c>
      <c r="D2159">
        <v>5.669378</v>
      </c>
      <c r="E2159">
        <v>0.45209460000000001</v>
      </c>
      <c r="F2159" t="s">
        <v>45</v>
      </c>
      <c r="G2159">
        <v>-444.07569999999998</v>
      </c>
      <c r="H2159">
        <v>2.6633279999999999E-2</v>
      </c>
      <c r="I2159">
        <v>279.61630000000002</v>
      </c>
      <c r="J2159">
        <v>-426.68090000000001</v>
      </c>
      <c r="K2159">
        <v>1.1053580000000001</v>
      </c>
      <c r="L2159">
        <v>283.25189999999998</v>
      </c>
      <c r="M2159">
        <v>-0.99984949999999995</v>
      </c>
      <c r="N2159">
        <v>0</v>
      </c>
      <c r="O2159">
        <v>-9.02939E-3</v>
      </c>
      <c r="P2159">
        <v>-0.99324669999999904</v>
      </c>
      <c r="Q2159">
        <v>7.8955670000000006E-2</v>
      </c>
      <c r="R2159">
        <v>-8.5013240000000004E-2</v>
      </c>
      <c r="S2159">
        <v>-2.9817809999999998</v>
      </c>
      <c r="T2159">
        <v>-0.1822387</v>
      </c>
      <c r="U2159">
        <v>-0.61456299999999997</v>
      </c>
      <c r="V2159">
        <v>-7.6006989999999996E-2</v>
      </c>
      <c r="W2159">
        <v>9.3709890000000004E-2</v>
      </c>
      <c r="X2159">
        <v>0.99269399999999997</v>
      </c>
      <c r="Y2159">
        <v>-0.19268179999999999</v>
      </c>
      <c r="Z2159">
        <v>-5.276055E-3</v>
      </c>
      <c r="AA2159">
        <v>0.98124709999999904</v>
      </c>
      <c r="AB2159">
        <v>27</v>
      </c>
      <c r="AC2159">
        <v>-17.394799999999901</v>
      </c>
      <c r="AD2159">
        <v>-1.0787247200000001</v>
      </c>
      <c r="AE2159">
        <v>-3.63559999999995</v>
      </c>
      <c r="AF2159">
        <v>-3.4656000520318999</v>
      </c>
      <c r="AG2159">
        <v>-1.0787247200000001</v>
      </c>
      <c r="AH2159">
        <v>17.362942640621601</v>
      </c>
      <c r="AI2159">
        <v>93.486505402154293</v>
      </c>
      <c r="AJ2159">
        <v>101.28775653383499</v>
      </c>
      <c r="AK2159">
        <v>17.738258310321701</v>
      </c>
    </row>
    <row r="2160" spans="1:37" x14ac:dyDescent="0.2">
      <c r="A2160" t="str">
        <f>"20200111153650918"</f>
        <v>20200111153650918</v>
      </c>
      <c r="B2160" t="str">
        <f>"1578728210915093"</f>
        <v>1578728210915093</v>
      </c>
      <c r="C2160" t="s">
        <v>37</v>
      </c>
      <c r="D2160">
        <v>5.912623</v>
      </c>
      <c r="E2160">
        <v>0.45271419999999901</v>
      </c>
      <c r="F2160" t="s">
        <v>45</v>
      </c>
      <c r="G2160">
        <v>-444.0865</v>
      </c>
      <c r="H2160">
        <v>4.1873260000000002E-2</v>
      </c>
      <c r="I2160">
        <v>279.61630000000002</v>
      </c>
      <c r="J2160">
        <v>-426.95359999999999</v>
      </c>
      <c r="K2160">
        <v>1.1053409999999999</v>
      </c>
      <c r="L2160">
        <v>283.24970000000002</v>
      </c>
      <c r="M2160">
        <v>-0.99985400000000002</v>
      </c>
      <c r="N2160">
        <v>0</v>
      </c>
      <c r="O2160">
        <v>-8.850007E-3</v>
      </c>
      <c r="P2160">
        <v>-0.99322739999999998</v>
      </c>
      <c r="Q2160">
        <v>7.9291749999999994E-2</v>
      </c>
      <c r="R2160">
        <v>-8.4927269999999999E-2</v>
      </c>
      <c r="S2160">
        <v>-2.9815669999999899</v>
      </c>
      <c r="T2160">
        <v>-0.18217359999999999</v>
      </c>
      <c r="U2160">
        <v>-0.6227722</v>
      </c>
      <c r="V2160">
        <v>-7.6099719999999996E-2</v>
      </c>
      <c r="W2160">
        <v>9.3848500000000001E-2</v>
      </c>
      <c r="X2160">
        <v>0.99267380000000005</v>
      </c>
      <c r="Y2160">
        <v>-0.1954563</v>
      </c>
      <c r="Z2160">
        <v>-5.36769999999999E-3</v>
      </c>
      <c r="AA2160">
        <v>0.98069779999999995</v>
      </c>
      <c r="AB2160">
        <v>27</v>
      </c>
      <c r="AC2160">
        <v>-17.132899999999999</v>
      </c>
      <c r="AD2160">
        <v>-1.0634677400000001</v>
      </c>
      <c r="AE2160">
        <v>-3.6333999999999902</v>
      </c>
      <c r="AF2160">
        <v>-3.4688253942029301</v>
      </c>
      <c r="AG2160">
        <v>-1.0634677400000001</v>
      </c>
      <c r="AH2160">
        <v>17.1013341494739</v>
      </c>
      <c r="AI2160">
        <v>93.487584619070006</v>
      </c>
      <c r="AJ2160">
        <v>101.466278547332</v>
      </c>
      <c r="AK2160">
        <v>17.481971940872398</v>
      </c>
    </row>
    <row r="2161" spans="1:37" x14ac:dyDescent="0.2">
      <c r="A2161" t="str">
        <f>"20200111153650941"</f>
        <v>20200111153650941</v>
      </c>
      <c r="B2161" t="str">
        <f>"1578728210934612"</f>
        <v>1578728210934612</v>
      </c>
      <c r="C2161" t="s">
        <v>37</v>
      </c>
      <c r="D2161">
        <v>6.0420829999999999</v>
      </c>
      <c r="E2161">
        <v>0.45324599999999998</v>
      </c>
      <c r="F2161" t="s">
        <v>45</v>
      </c>
      <c r="G2161">
        <v>-444.50839999999999</v>
      </c>
      <c r="H2161">
        <v>5.334386E-2</v>
      </c>
      <c r="I2161">
        <v>279.613</v>
      </c>
      <c r="J2161">
        <v>-427.22949999999997</v>
      </c>
      <c r="K2161">
        <v>1.1053200000000001</v>
      </c>
      <c r="L2161">
        <v>283.24740000000003</v>
      </c>
      <c r="M2161">
        <v>-0.99985800000000002</v>
      </c>
      <c r="N2161">
        <v>0</v>
      </c>
      <c r="O2161">
        <v>-8.6683239999999998E-3</v>
      </c>
      <c r="P2161">
        <v>-0.99345139999999998</v>
      </c>
      <c r="Q2161">
        <v>7.7305360000000004E-2</v>
      </c>
      <c r="R2161">
        <v>-8.413234E-2</v>
      </c>
      <c r="S2161">
        <v>-2.981903</v>
      </c>
      <c r="T2161">
        <v>-0.1786954</v>
      </c>
      <c r="U2161">
        <v>-0.61773679999999997</v>
      </c>
      <c r="V2161">
        <v>-7.5484419999999997E-2</v>
      </c>
      <c r="W2161">
        <v>9.1693479999999994E-2</v>
      </c>
      <c r="X2161">
        <v>0.99292219999999998</v>
      </c>
      <c r="Y2161">
        <v>-0.1940395</v>
      </c>
      <c r="Z2161">
        <v>-5.2345009999999999E-3</v>
      </c>
      <c r="AA2161">
        <v>0.98097969999999901</v>
      </c>
      <c r="AB2161">
        <v>27</v>
      </c>
      <c r="AC2161">
        <v>-17.2789</v>
      </c>
      <c r="AD2161">
        <v>-1.0519761400000001</v>
      </c>
      <c r="AE2161">
        <v>-3.6344000000000198</v>
      </c>
      <c r="AF2161">
        <v>-3.4721439824654801</v>
      </c>
      <c r="AG2161">
        <v>-1.0519761400000001</v>
      </c>
      <c r="AH2161">
        <v>17.248532868617701</v>
      </c>
      <c r="AI2161">
        <v>93.421637619882603</v>
      </c>
      <c r="AJ2161">
        <v>101.381579963327</v>
      </c>
      <c r="AK2161">
        <v>17.625955967092601</v>
      </c>
    </row>
    <row r="2162" spans="1:37" x14ac:dyDescent="0.2">
      <c r="A2162" t="str">
        <f>"20200111153650962"</f>
        <v>20200111153650962</v>
      </c>
      <c r="B2162" t="str">
        <f>"1578728210955108"</f>
        <v>1578728210955108</v>
      </c>
      <c r="C2162" t="s">
        <v>37</v>
      </c>
      <c r="D2162">
        <v>6.398657</v>
      </c>
      <c r="E2162">
        <v>0.45351769999999902</v>
      </c>
      <c r="F2162" t="s">
        <v>45</v>
      </c>
      <c r="G2162">
        <v>-444.95460000000003</v>
      </c>
      <c r="H2162">
        <v>9.5588410000000002E-3</v>
      </c>
      <c r="I2162">
        <v>279.61630000000002</v>
      </c>
      <c r="J2162">
        <v>-427.49290000000002</v>
      </c>
      <c r="K2162">
        <v>1.1053010000000001</v>
      </c>
      <c r="L2162">
        <v>283.24529999999999</v>
      </c>
      <c r="M2162">
        <v>-0.99986149999999996</v>
      </c>
      <c r="N2162">
        <v>0</v>
      </c>
      <c r="O2162">
        <v>-8.4948590000000004E-3</v>
      </c>
      <c r="P2162">
        <v>-0.99373469999999997</v>
      </c>
      <c r="Q2162">
        <v>7.4602199999999994E-2</v>
      </c>
      <c r="R2162">
        <v>-8.3221760000000006E-2</v>
      </c>
      <c r="S2162">
        <v>-2.9823909999999998</v>
      </c>
      <c r="T2162">
        <v>-0.1843706</v>
      </c>
      <c r="U2162">
        <v>-0.61096189999999995</v>
      </c>
      <c r="V2162">
        <v>-7.4744759999999993E-2</v>
      </c>
      <c r="W2162">
        <v>8.8853630000000003E-2</v>
      </c>
      <c r="X2162">
        <v>0.99323619999999901</v>
      </c>
      <c r="Y2162">
        <v>-0.19202239999999901</v>
      </c>
      <c r="Z2162">
        <v>-5.3497450000000004E-3</v>
      </c>
      <c r="AA2162">
        <v>0.98137600000000003</v>
      </c>
      <c r="AB2162">
        <v>27</v>
      </c>
      <c r="AC2162">
        <v>-17.4617</v>
      </c>
      <c r="AD2162">
        <v>-1.095742159</v>
      </c>
      <c r="AE2162">
        <v>-3.62899999999996</v>
      </c>
      <c r="AF2162">
        <v>-3.4674307354869698</v>
      </c>
      <c r="AG2162">
        <v>-1.095742159</v>
      </c>
      <c r="AH2162">
        <v>17.4261228711323</v>
      </c>
      <c r="AI2162">
        <v>93.528978187240497</v>
      </c>
      <c r="AJ2162">
        <v>101.253666826546</v>
      </c>
      <c r="AK2162">
        <v>17.801502327169199</v>
      </c>
    </row>
    <row r="2163" spans="1:37" x14ac:dyDescent="0.2">
      <c r="A2163" t="str">
        <f>"20200111153650984"</f>
        <v>20200111153650984</v>
      </c>
      <c r="B2163" t="str">
        <f>"1578728210974629"</f>
        <v>1578728210974629</v>
      </c>
      <c r="C2163" t="s">
        <v>37</v>
      </c>
      <c r="D2163">
        <v>6.2013379999999998</v>
      </c>
      <c r="E2163">
        <v>0.4872763</v>
      </c>
      <c r="F2163" t="s">
        <v>45</v>
      </c>
      <c r="G2163">
        <v>-444.47550000000001</v>
      </c>
      <c r="H2163" s="1">
        <v>1.055551E-6</v>
      </c>
      <c r="I2163">
        <v>279.79590000000002</v>
      </c>
      <c r="J2163">
        <v>-427.75529999999998</v>
      </c>
      <c r="K2163">
        <v>1.1052789999999999</v>
      </c>
      <c r="L2163">
        <v>283.24329999999998</v>
      </c>
      <c r="M2163">
        <v>-0.9998648</v>
      </c>
      <c r="N2163">
        <v>0</v>
      </c>
      <c r="O2163">
        <v>-8.3225969999999993E-3</v>
      </c>
      <c r="P2163">
        <v>-0.99394450000000001</v>
      </c>
      <c r="Q2163">
        <v>7.2257859999999993E-2</v>
      </c>
      <c r="R2163">
        <v>-8.2785109999999995E-2</v>
      </c>
      <c r="S2163">
        <v>-2.9827270000000001</v>
      </c>
      <c r="T2163">
        <v>-0.1941282</v>
      </c>
      <c r="U2163">
        <v>-0.60583500000000001</v>
      </c>
      <c r="V2163">
        <v>-7.447869E-2</v>
      </c>
      <c r="W2163">
        <v>8.6389789999999994E-2</v>
      </c>
      <c r="X2163">
        <v>0.99347359999999896</v>
      </c>
      <c r="Y2163">
        <v>-0.1905162</v>
      </c>
      <c r="Z2163">
        <v>-5.595259E-3</v>
      </c>
      <c r="AA2163">
        <v>0.98166810000000004</v>
      </c>
      <c r="AB2163">
        <v>27</v>
      </c>
      <c r="AC2163">
        <v>-16.720199999999998</v>
      </c>
      <c r="AD2163">
        <v>-1.105277944449</v>
      </c>
      <c r="AE2163">
        <v>-3.4473999999999498</v>
      </c>
      <c r="AF2163">
        <v>-3.2943027115827501</v>
      </c>
      <c r="AG2163">
        <v>-1.105277944449</v>
      </c>
      <c r="AH2163">
        <v>16.6784058658505</v>
      </c>
      <c r="AI2163">
        <v>93.719787844354997</v>
      </c>
      <c r="AJ2163">
        <v>101.17318619266599</v>
      </c>
      <c r="AK2163">
        <v>17.036528164977302</v>
      </c>
    </row>
    <row r="2164" spans="1:37" x14ac:dyDescent="0.2">
      <c r="A2164" t="str">
        <f>"20200111153651007"</f>
        <v>20200111153651007</v>
      </c>
      <c r="B2164" t="str">
        <f>"1578728211004885"</f>
        <v>1578728211004885</v>
      </c>
      <c r="C2164" t="s">
        <v>37</v>
      </c>
      <c r="D2164">
        <v>5.9875470000000002</v>
      </c>
      <c r="E2164">
        <v>0.49143559999999997</v>
      </c>
      <c r="F2164" t="s">
        <v>45</v>
      </c>
      <c r="G2164">
        <v>-440.51990000000001</v>
      </c>
      <c r="H2164" s="1">
        <v>-1.1384049999999999E-6</v>
      </c>
      <c r="I2164">
        <v>281.83120000000002</v>
      </c>
      <c r="J2164">
        <v>-428.02480000000003</v>
      </c>
      <c r="K2164">
        <v>1.105253</v>
      </c>
      <c r="L2164">
        <v>283.24130000000002</v>
      </c>
      <c r="M2164">
        <v>-0.99986769999999903</v>
      </c>
      <c r="N2164">
        <v>0</v>
      </c>
      <c r="O2164">
        <v>-8.1454330000000005E-3</v>
      </c>
      <c r="P2164">
        <v>-0.99400409999999995</v>
      </c>
      <c r="Q2164">
        <v>7.1515209999999996E-2</v>
      </c>
      <c r="R2164">
        <v>-8.2714480000000007E-2</v>
      </c>
      <c r="S2164">
        <v>-3.0094599999999998</v>
      </c>
      <c r="T2164">
        <v>-0.26058920000000002</v>
      </c>
      <c r="U2164">
        <v>-0.3329163</v>
      </c>
      <c r="V2164">
        <v>-7.4584120000000004E-2</v>
      </c>
      <c r="W2164">
        <v>8.5538929999999999E-2</v>
      </c>
      <c r="X2164">
        <v>0.99353930000000001</v>
      </c>
      <c r="Y2164">
        <v>-0.101507</v>
      </c>
      <c r="Z2164">
        <v>-3.6714220000000001E-3</v>
      </c>
      <c r="AA2164">
        <v>0.99482800000000005</v>
      </c>
      <c r="AB2164">
        <v>27</v>
      </c>
      <c r="AC2164">
        <v>-12.4950999999999</v>
      </c>
      <c r="AD2164">
        <v>-1.1052541384050001</v>
      </c>
      <c r="AE2164">
        <v>-1.4100999999999999</v>
      </c>
      <c r="AF2164">
        <v>-1.2982350953299</v>
      </c>
      <c r="AG2164">
        <v>-1.1052541384050001</v>
      </c>
      <c r="AH2164">
        <v>12.4102918141245</v>
      </c>
      <c r="AI2164">
        <v>95.061829078870105</v>
      </c>
      <c r="AJ2164">
        <v>95.971965111359395</v>
      </c>
      <c r="AK2164">
        <v>12.526864890503701</v>
      </c>
    </row>
    <row r="2165" spans="1:37" x14ac:dyDescent="0.2">
      <c r="A2165" t="str">
        <f>"20200111153651030"</f>
        <v>20200111153651030</v>
      </c>
      <c r="B2165" t="str">
        <f>"1578728211025381"</f>
        <v>1578728211025381</v>
      </c>
      <c r="C2165" t="s">
        <v>37</v>
      </c>
      <c r="D2165">
        <v>6.0198140000000002</v>
      </c>
      <c r="E2165">
        <v>0.4910294</v>
      </c>
      <c r="F2165" t="s">
        <v>45</v>
      </c>
      <c r="G2165">
        <v>-441.42399999999998</v>
      </c>
      <c r="H2165" s="1">
        <v>-6.6074169999999899E-7</v>
      </c>
      <c r="I2165">
        <v>281.91070000000002</v>
      </c>
      <c r="J2165">
        <v>-428.29579999999999</v>
      </c>
      <c r="K2165">
        <v>1.105229</v>
      </c>
      <c r="L2165">
        <v>283.23930000000001</v>
      </c>
      <c r="M2165">
        <v>-0.9998705</v>
      </c>
      <c r="N2165">
        <v>0</v>
      </c>
      <c r="O2165">
        <v>-7.9671819999999997E-3</v>
      </c>
      <c r="P2165">
        <v>-0.99403509999999995</v>
      </c>
      <c r="Q2165">
        <v>7.0651839999999994E-2</v>
      </c>
      <c r="R2165">
        <v>-8.3081790000000003E-2</v>
      </c>
      <c r="S2165">
        <v>-3.0111080000000001</v>
      </c>
      <c r="T2165">
        <v>-0.24837670000000001</v>
      </c>
      <c r="U2165">
        <v>-0.29901119999999998</v>
      </c>
      <c r="V2165">
        <v>-7.5128940000000005E-2</v>
      </c>
      <c r="W2165">
        <v>8.4582080000000004E-2</v>
      </c>
      <c r="X2165">
        <v>0.99358019999999903</v>
      </c>
      <c r="Y2165">
        <v>-9.0606720000000002E-2</v>
      </c>
      <c r="Z2165">
        <v>-3.0670229999999999E-3</v>
      </c>
      <c r="AA2165">
        <v>0.99588199999999905</v>
      </c>
      <c r="AB2165">
        <v>27</v>
      </c>
      <c r="AC2165">
        <v>-13.1282</v>
      </c>
      <c r="AD2165">
        <v>-1.1052296607417</v>
      </c>
      <c r="AE2165">
        <v>-1.32859999999999</v>
      </c>
      <c r="AF2165">
        <v>-1.21542580914093</v>
      </c>
      <c r="AG2165">
        <v>-1.1052296607417</v>
      </c>
      <c r="AH2165">
        <v>13.046837138337599</v>
      </c>
      <c r="AI2165">
        <v>94.821329035793596</v>
      </c>
      <c r="AJ2165">
        <v>95.322236861516203</v>
      </c>
      <c r="AK2165">
        <v>13.1498574826807</v>
      </c>
    </row>
    <row r="2166" spans="1:37" x14ac:dyDescent="0.2">
      <c r="A2166" t="str">
        <f>"20200111153651052"</f>
        <v>20200111153651052</v>
      </c>
      <c r="B2166" t="str">
        <f>"1578728211044903"</f>
        <v>1578728211044903</v>
      </c>
      <c r="C2166" t="s">
        <v>37</v>
      </c>
      <c r="D2166">
        <v>6.1874510000000003</v>
      </c>
      <c r="E2166">
        <v>0.49068210000000001</v>
      </c>
      <c r="F2166" t="s">
        <v>45</v>
      </c>
      <c r="G2166">
        <v>-442.09030000000001</v>
      </c>
      <c r="H2166" s="1">
        <v>-3.0343950000000001E-7</v>
      </c>
      <c r="I2166">
        <v>281.84840000000003</v>
      </c>
      <c r="J2166">
        <v>-428.56639999999999</v>
      </c>
      <c r="K2166">
        <v>1.1051959999999901</v>
      </c>
      <c r="L2166">
        <v>283.2373</v>
      </c>
      <c r="M2166">
        <v>-0.99987309999999996</v>
      </c>
      <c r="N2166">
        <v>0</v>
      </c>
      <c r="O2166">
        <v>-7.7893759999999998E-3</v>
      </c>
      <c r="P2166">
        <v>-0.99405829999999995</v>
      </c>
      <c r="Q2166">
        <v>6.9269349999999993E-2</v>
      </c>
      <c r="R2166">
        <v>-8.3965349999999994E-2</v>
      </c>
      <c r="S2166">
        <v>-3.0097959999999899</v>
      </c>
      <c r="T2166">
        <v>-0.2411471</v>
      </c>
      <c r="U2166">
        <v>-0.30346679999999998</v>
      </c>
      <c r="V2166">
        <v>-7.6190090000000002E-2</v>
      </c>
      <c r="W2166">
        <v>8.31181E-2</v>
      </c>
      <c r="X2166">
        <v>0.99362289999999998</v>
      </c>
      <c r="Y2166">
        <v>-9.2295829999999995E-2</v>
      </c>
      <c r="Z2166">
        <v>-3.0606819999999999E-3</v>
      </c>
      <c r="AA2166">
        <v>0.99572689999999997</v>
      </c>
      <c r="AB2166">
        <v>27</v>
      </c>
      <c r="AC2166">
        <v>-13.523899999999999</v>
      </c>
      <c r="AD2166">
        <v>-1.10519630343949</v>
      </c>
      <c r="AE2166">
        <v>-1.38889999999997</v>
      </c>
      <c r="AF2166">
        <v>-1.2750782865775101</v>
      </c>
      <c r="AG2166">
        <v>-1.10519630343949</v>
      </c>
      <c r="AH2166">
        <v>13.4454519186509</v>
      </c>
      <c r="AI2166">
        <v>94.678168882975001</v>
      </c>
      <c r="AJ2166">
        <v>95.417353799068394</v>
      </c>
      <c r="AK2166">
        <v>13.5509210315311</v>
      </c>
    </row>
    <row r="2167" spans="1:37" x14ac:dyDescent="0.2">
      <c r="A2167" t="str">
        <f>"20200111153651074"</f>
        <v>20200111153651074</v>
      </c>
      <c r="B2167" t="str">
        <f>"1578728211065396"</f>
        <v>1578728211065396</v>
      </c>
      <c r="C2167" t="s">
        <v>37</v>
      </c>
      <c r="D2167">
        <v>6.100212</v>
      </c>
      <c r="E2167">
        <v>0.488760999999999</v>
      </c>
      <c r="F2167" t="s">
        <v>45</v>
      </c>
      <c r="G2167">
        <v>-442.46960000000001</v>
      </c>
      <c r="H2167" s="1">
        <v>-9.9868489999999995E-8</v>
      </c>
      <c r="I2167">
        <v>281.80939999999998</v>
      </c>
      <c r="J2167">
        <v>-428.8227</v>
      </c>
      <c r="K2167">
        <v>1.1051599999999999</v>
      </c>
      <c r="L2167">
        <v>283.23559999999998</v>
      </c>
      <c r="M2167">
        <v>-0.99987539999999997</v>
      </c>
      <c r="N2167">
        <v>0</v>
      </c>
      <c r="O2167">
        <v>-7.6209709999999998E-3</v>
      </c>
      <c r="P2167">
        <v>-0.99409309999999995</v>
      </c>
      <c r="Q2167">
        <v>6.8244139999999995E-2</v>
      </c>
      <c r="R2167">
        <v>-8.4391910000000001E-2</v>
      </c>
      <c r="S2167">
        <v>-3.0084529999999998</v>
      </c>
      <c r="T2167">
        <v>-0.239148</v>
      </c>
      <c r="U2167">
        <v>-0.3089905</v>
      </c>
      <c r="V2167">
        <v>-7.6783619999999997E-2</v>
      </c>
      <c r="W2167">
        <v>8.2027039999999996E-2</v>
      </c>
      <c r="X2167">
        <v>0.99366790000000005</v>
      </c>
      <c r="Y2167">
        <v>-9.4314590000000004E-2</v>
      </c>
      <c r="Z2167">
        <v>-3.1296840000000002E-3</v>
      </c>
      <c r="AA2167">
        <v>0.99553749999999996</v>
      </c>
      <c r="AB2167">
        <v>27</v>
      </c>
      <c r="AC2167">
        <v>-13.6469</v>
      </c>
      <c r="AD2167">
        <v>-1.1051600998684801</v>
      </c>
      <c r="AE2167">
        <v>-1.4261999999999899</v>
      </c>
      <c r="AF2167">
        <v>-1.31362411657447</v>
      </c>
      <c r="AG2167">
        <v>-1.1051600998684801</v>
      </c>
      <c r="AH2167">
        <v>13.569345101491599</v>
      </c>
      <c r="AI2167">
        <v>94.634625967182501</v>
      </c>
      <c r="AJ2167">
        <v>95.529471506181096</v>
      </c>
      <c r="AK2167">
        <v>13.6775039261322</v>
      </c>
    </row>
    <row r="2168" spans="1:37" x14ac:dyDescent="0.2">
      <c r="A2168" t="str">
        <f>"20200111153651096"</f>
        <v>20200111153651096</v>
      </c>
      <c r="B2168" t="str">
        <f>"1578728211084916"</f>
        <v>1578728211084916</v>
      </c>
      <c r="C2168" t="s">
        <v>37</v>
      </c>
      <c r="D2168">
        <v>6.4133649999999998</v>
      </c>
      <c r="E2168">
        <v>0.48707879999999998</v>
      </c>
      <c r="F2168" t="s">
        <v>45</v>
      </c>
      <c r="G2168">
        <v>-442.17540000000002</v>
      </c>
      <c r="H2168" s="1">
        <v>-2.5568270000000002E-7</v>
      </c>
      <c r="I2168">
        <v>281.79109999999997</v>
      </c>
      <c r="J2168">
        <v>-429.08949999999999</v>
      </c>
      <c r="K2168">
        <v>1.105119</v>
      </c>
      <c r="L2168">
        <v>283.2337</v>
      </c>
      <c r="M2168">
        <v>-0.99987749999999997</v>
      </c>
      <c r="N2168">
        <v>0</v>
      </c>
      <c r="O2168">
        <v>-7.4454550000000001E-3</v>
      </c>
      <c r="P2168">
        <v>-0.99417849999999997</v>
      </c>
      <c r="Q2168">
        <v>6.7141889999999996E-2</v>
      </c>
      <c r="R2168">
        <v>-8.42691E-2</v>
      </c>
      <c r="S2168">
        <v>-3.0073240000000001</v>
      </c>
      <c r="T2168">
        <v>-0.2489073</v>
      </c>
      <c r="U2168">
        <v>-0.32531739999999998</v>
      </c>
      <c r="V2168">
        <v>-7.6835459999999994E-2</v>
      </c>
      <c r="W2168">
        <v>8.0865039999999999E-2</v>
      </c>
      <c r="X2168">
        <v>0.99375910000000001</v>
      </c>
      <c r="Y2168">
        <v>-9.9829479999999998E-2</v>
      </c>
      <c r="Z2168">
        <v>-3.4989109999999999E-3</v>
      </c>
      <c r="AA2168">
        <v>0.99499839999999995</v>
      </c>
      <c r="AB2168">
        <v>27</v>
      </c>
      <c r="AC2168">
        <v>-13.085900000000001</v>
      </c>
      <c r="AD2168">
        <v>-1.1051192556827001</v>
      </c>
      <c r="AE2168">
        <v>-1.4426000000000201</v>
      </c>
      <c r="AF2168">
        <v>-1.3357084076241299</v>
      </c>
      <c r="AG2168">
        <v>-1.1051192556827001</v>
      </c>
      <c r="AH2168">
        <v>13.0046436309499</v>
      </c>
      <c r="AI2168">
        <v>94.831959146391895</v>
      </c>
      <c r="AJ2168">
        <v>95.864292117301105</v>
      </c>
      <c r="AK2168">
        <v>13.1196860285407</v>
      </c>
    </row>
    <row r="2169" spans="1:37" x14ac:dyDescent="0.2">
      <c r="A2169" t="str">
        <f>"20200111153651119"</f>
        <v>20200111153651119</v>
      </c>
      <c r="B2169" t="str">
        <f>"1578728211115173"</f>
        <v>1578728211115173</v>
      </c>
      <c r="C2169" t="s">
        <v>37</v>
      </c>
      <c r="D2169">
        <v>6.4157799999999998</v>
      </c>
      <c r="E2169">
        <v>0.48517329999999997</v>
      </c>
      <c r="F2169" t="s">
        <v>45</v>
      </c>
      <c r="G2169">
        <v>-442.1259</v>
      </c>
      <c r="H2169" s="1">
        <v>-2.8091909999999902E-7</v>
      </c>
      <c r="I2169">
        <v>281.765999999999</v>
      </c>
      <c r="J2169">
        <v>-429.35849999999999</v>
      </c>
      <c r="K2169">
        <v>1.1050850000000001</v>
      </c>
      <c r="L2169">
        <v>283.2319</v>
      </c>
      <c r="M2169">
        <v>-0.99987959999999998</v>
      </c>
      <c r="N2169">
        <v>0</v>
      </c>
      <c r="O2169">
        <v>-7.2687969999999996E-3</v>
      </c>
      <c r="P2169">
        <v>-0.99434909999999999</v>
      </c>
      <c r="Q2169">
        <v>6.6056619999999996E-2</v>
      </c>
      <c r="R2169">
        <v>-8.3107360000000005E-2</v>
      </c>
      <c r="S2169">
        <v>-3.00607299999999</v>
      </c>
      <c r="T2169">
        <v>-0.25483169999999999</v>
      </c>
      <c r="U2169">
        <v>-0.33843990000000002</v>
      </c>
      <c r="V2169">
        <v>-7.5849180000000002E-2</v>
      </c>
      <c r="W2169">
        <v>7.9728599999999997E-2</v>
      </c>
      <c r="X2169">
        <v>0.99392669999999905</v>
      </c>
      <c r="Y2169">
        <v>-0.1043081</v>
      </c>
      <c r="Z2169">
        <v>-3.7863279999999998E-3</v>
      </c>
      <c r="AA2169">
        <v>0.99453780000000003</v>
      </c>
      <c r="AB2169">
        <v>27</v>
      </c>
      <c r="AC2169">
        <v>-12.7674</v>
      </c>
      <c r="AD2169">
        <v>-1.1050852809191001</v>
      </c>
      <c r="AE2169">
        <v>-1.46590000000003</v>
      </c>
      <c r="AF2169">
        <v>-1.3629706487817499</v>
      </c>
      <c r="AG2169">
        <v>-1.1050852809191001</v>
      </c>
      <c r="AH2169">
        <v>12.6839297994447</v>
      </c>
      <c r="AI2169">
        <v>94.950952663714503</v>
      </c>
      <c r="AJ2169">
        <v>96.133269195894002</v>
      </c>
      <c r="AK2169">
        <v>12.804724816441199</v>
      </c>
    </row>
    <row r="2170" spans="1:37" x14ac:dyDescent="0.2">
      <c r="A2170" t="str">
        <f>"20200111153651142"</f>
        <v>20200111153651142</v>
      </c>
      <c r="B2170" t="str">
        <f>"1578728211134705"</f>
        <v>1578728211134705</v>
      </c>
      <c r="C2170" t="s">
        <v>37</v>
      </c>
      <c r="D2170">
        <v>6.4082189999999999</v>
      </c>
      <c r="E2170">
        <v>0.48505340000000002</v>
      </c>
      <c r="F2170" t="s">
        <v>45</v>
      </c>
      <c r="G2170">
        <v>-442.15589999999997</v>
      </c>
      <c r="H2170" s="1">
        <v>-2.6377819999999998E-7</v>
      </c>
      <c r="I2170">
        <v>281.73939999999999</v>
      </c>
      <c r="J2170">
        <v>-429.63029999999998</v>
      </c>
      <c r="K2170">
        <v>1.105057</v>
      </c>
      <c r="L2170">
        <v>283.23020000000002</v>
      </c>
      <c r="M2170">
        <v>-0.99988140000000003</v>
      </c>
      <c r="N2170">
        <v>0</v>
      </c>
      <c r="O2170">
        <v>-7.089555E-3</v>
      </c>
      <c r="P2170">
        <v>-0.99447509999999995</v>
      </c>
      <c r="Q2170">
        <v>6.5902870000000002E-2</v>
      </c>
      <c r="R2170">
        <v>-8.1707180000000004E-2</v>
      </c>
      <c r="S2170">
        <v>-3.0050050000000001</v>
      </c>
      <c r="T2170">
        <v>-0.25948919999999998</v>
      </c>
      <c r="U2170">
        <v>-0.35046389999999999</v>
      </c>
      <c r="V2170">
        <v>-7.4626129999999999E-2</v>
      </c>
      <c r="W2170">
        <v>7.9529920000000004E-2</v>
      </c>
      <c r="X2170">
        <v>0.99403519999999901</v>
      </c>
      <c r="Y2170">
        <v>-0.1084242</v>
      </c>
      <c r="Z2170">
        <v>-4.0479499999999998E-3</v>
      </c>
      <c r="AA2170">
        <v>0.99409650000000005</v>
      </c>
      <c r="AB2170">
        <v>27</v>
      </c>
      <c r="AC2170">
        <v>-12.525599999999899</v>
      </c>
      <c r="AD2170">
        <v>-1.1050572637781999</v>
      </c>
      <c r="AE2170">
        <v>-1.4908000000000301</v>
      </c>
      <c r="AF2170">
        <v>-1.39127562163741</v>
      </c>
      <c r="AG2170">
        <v>-1.1050572637781999</v>
      </c>
      <c r="AH2170">
        <v>12.440378615956799</v>
      </c>
      <c r="AI2170">
        <v>95.044874932220694</v>
      </c>
      <c r="AJ2170">
        <v>96.381185202656397</v>
      </c>
      <c r="AK2170">
        <v>12.5666152769927</v>
      </c>
    </row>
    <row r="2171" spans="1:37" x14ac:dyDescent="0.2">
      <c r="A2171" t="str">
        <f>"20200111153651162"</f>
        <v>20200111153651162</v>
      </c>
      <c r="B2171" t="str">
        <f>"1578728211155191"</f>
        <v>1578728211155191</v>
      </c>
      <c r="C2171" t="s">
        <v>37</v>
      </c>
      <c r="D2171">
        <v>6.4105650000000001</v>
      </c>
      <c r="E2171">
        <v>0.48441719999999999</v>
      </c>
      <c r="F2171" t="s">
        <v>45</v>
      </c>
      <c r="G2171">
        <v>-442.32940000000002</v>
      </c>
      <c r="H2171" s="1">
        <v>-1.724715E-7</v>
      </c>
      <c r="I2171">
        <v>281.7629</v>
      </c>
      <c r="J2171">
        <v>-429.88830000000002</v>
      </c>
      <c r="K2171">
        <v>1.1050420000000001</v>
      </c>
      <c r="L2171">
        <v>283.22859999999997</v>
      </c>
      <c r="M2171">
        <v>-0.99988319999999997</v>
      </c>
      <c r="N2171">
        <v>0</v>
      </c>
      <c r="O2171">
        <v>-6.9165619999999898E-3</v>
      </c>
      <c r="P2171">
        <v>-0.99463109999999999</v>
      </c>
      <c r="Q2171">
        <v>6.5397579999999997E-2</v>
      </c>
      <c r="R2171">
        <v>-8.0202330000000002E-2</v>
      </c>
      <c r="S2171">
        <v>-3.0054630000000002</v>
      </c>
      <c r="T2171">
        <v>-0.26153169999999998</v>
      </c>
      <c r="U2171">
        <v>-0.3472595</v>
      </c>
      <c r="V2171">
        <v>-7.3292570000000001E-2</v>
      </c>
      <c r="W2171">
        <v>7.8988509999999998E-2</v>
      </c>
      <c r="X2171">
        <v>0.99417759999999999</v>
      </c>
      <c r="Y2171">
        <v>-0.10752979999999999</v>
      </c>
      <c r="Z2171">
        <v>-4.0555890000000001E-3</v>
      </c>
      <c r="AA2171">
        <v>0.99419360000000001</v>
      </c>
      <c r="AB2171">
        <v>27</v>
      </c>
      <c r="AC2171">
        <v>-12.4411</v>
      </c>
      <c r="AD2171">
        <v>-1.1050421724715001</v>
      </c>
      <c r="AE2171">
        <v>-1.46569999999996</v>
      </c>
      <c r="AF2171">
        <v>-1.3689550117021301</v>
      </c>
      <c r="AG2171">
        <v>-1.1050421724715001</v>
      </c>
      <c r="AH2171">
        <v>12.3548040996117</v>
      </c>
      <c r="AI2171">
        <v>95.080140071093993</v>
      </c>
      <c r="AJ2171">
        <v>96.322778874849206</v>
      </c>
      <c r="AK2171">
        <v>12.479436700700401</v>
      </c>
    </row>
    <row r="2172" spans="1:37" x14ac:dyDescent="0.2">
      <c r="A2172" t="str">
        <f>"20200111153651186"</f>
        <v>20200111153651186</v>
      </c>
      <c r="B2172" t="str">
        <f>"1578728211174712"</f>
        <v>1578728211174712</v>
      </c>
      <c r="C2172" t="s">
        <v>37</v>
      </c>
      <c r="D2172">
        <v>6.2226290000000004</v>
      </c>
      <c r="E2172">
        <v>0.4845023</v>
      </c>
      <c r="F2172" t="s">
        <v>45</v>
      </c>
      <c r="G2172">
        <v>-442.55220000000003</v>
      </c>
      <c r="H2172" s="1">
        <v>-5.3936129999999903E-8</v>
      </c>
      <c r="I2172">
        <v>281.7636</v>
      </c>
      <c r="J2172">
        <v>-430.15570000000002</v>
      </c>
      <c r="K2172">
        <v>1.1050359999999999</v>
      </c>
      <c r="L2172">
        <v>283.2269</v>
      </c>
      <c r="M2172">
        <v>-0.99988480000000002</v>
      </c>
      <c r="N2172">
        <v>0</v>
      </c>
      <c r="O2172">
        <v>-6.7349979999999999E-3</v>
      </c>
      <c r="P2172">
        <v>-0.99463959999999996</v>
      </c>
      <c r="Q2172">
        <v>6.5473180000000006E-2</v>
      </c>
      <c r="R2172">
        <v>-8.0032300000000001E-2</v>
      </c>
      <c r="S2172">
        <v>-3.0054020000000001</v>
      </c>
      <c r="T2172">
        <v>-0.26224819999999999</v>
      </c>
      <c r="U2172">
        <v>-0.34765629999999997</v>
      </c>
      <c r="V2172">
        <v>-7.3302740000000005E-2</v>
      </c>
      <c r="W2172">
        <v>7.9029870000000002E-2</v>
      </c>
      <c r="X2172">
        <v>0.99417350000000004</v>
      </c>
      <c r="Y2172">
        <v>-0.1078382</v>
      </c>
      <c r="Z2172">
        <v>-4.0958549999999998E-3</v>
      </c>
      <c r="AA2172">
        <v>0.99416000000000004</v>
      </c>
      <c r="AB2172">
        <v>27</v>
      </c>
      <c r="AC2172">
        <v>-12.3965</v>
      </c>
      <c r="AD2172">
        <v>-1.1050360539361299</v>
      </c>
      <c r="AE2172">
        <v>-1.4633</v>
      </c>
      <c r="AF2172">
        <v>-1.3690396306527399</v>
      </c>
      <c r="AG2172">
        <v>-1.1050360539361299</v>
      </c>
      <c r="AH2172">
        <v>12.309605691227199</v>
      </c>
      <c r="AI2172">
        <v>95.098437009483604</v>
      </c>
      <c r="AJ2172">
        <v>96.346194856572097</v>
      </c>
      <c r="AK2172">
        <v>12.4347000954703</v>
      </c>
    </row>
    <row r="2173" spans="1:37" x14ac:dyDescent="0.2">
      <c r="A2173" t="str">
        <f>"20200111153651208"</f>
        <v>20200111153651208</v>
      </c>
      <c r="B2173" t="str">
        <f>"1578728211204965"</f>
        <v>1578728211204965</v>
      </c>
      <c r="C2173" t="s">
        <v>37</v>
      </c>
      <c r="D2173">
        <v>5.7493879999999997</v>
      </c>
      <c r="E2173">
        <v>0.48474299999999998</v>
      </c>
      <c r="F2173" t="s">
        <v>45</v>
      </c>
      <c r="G2173">
        <v>-442.98770000000002</v>
      </c>
      <c r="H2173" s="1">
        <v>1.78503799999999E-7</v>
      </c>
      <c r="I2173">
        <v>281.74799999999999</v>
      </c>
      <c r="J2173">
        <v>-430.42309999999998</v>
      </c>
      <c r="K2173">
        <v>1.10504</v>
      </c>
      <c r="L2173">
        <v>283.2253</v>
      </c>
      <c r="M2173">
        <v>-0.99988650000000001</v>
      </c>
      <c r="N2173">
        <v>0</v>
      </c>
      <c r="O2173">
        <v>-6.5495179999999998E-3</v>
      </c>
      <c r="P2173">
        <v>-0.99464920000000001</v>
      </c>
      <c r="Q2173">
        <v>6.592423E-2</v>
      </c>
      <c r="R2173">
        <v>-7.9544710000000005E-2</v>
      </c>
      <c r="S2173">
        <v>-3.005341</v>
      </c>
      <c r="T2173">
        <v>-0.25880710000000001</v>
      </c>
      <c r="U2173">
        <v>-0.34637449999999997</v>
      </c>
      <c r="V2173">
        <v>-7.2998800000000003E-2</v>
      </c>
      <c r="W2173">
        <v>7.945149E-2</v>
      </c>
      <c r="X2173">
        <v>0.99416229999999906</v>
      </c>
      <c r="Y2173">
        <v>-0.107616499999999</v>
      </c>
      <c r="Z2173">
        <v>-4.048879E-3</v>
      </c>
      <c r="AA2173">
        <v>0.99418430000000002</v>
      </c>
      <c r="AB2173">
        <v>27</v>
      </c>
      <c r="AC2173">
        <v>-12.5646</v>
      </c>
      <c r="AD2173">
        <v>-1.1050398214962001</v>
      </c>
      <c r="AE2173">
        <v>-1.47730000000001</v>
      </c>
      <c r="AF2173">
        <v>-1.3844063359741501</v>
      </c>
      <c r="AG2173">
        <v>-1.1050398214962001</v>
      </c>
      <c r="AH2173">
        <v>12.478799995638999</v>
      </c>
      <c r="AI2173">
        <v>95.029835537656595</v>
      </c>
      <c r="AJ2173">
        <v>96.330544664416493</v>
      </c>
      <c r="AK2173">
        <v>12.603893971362099</v>
      </c>
    </row>
    <row r="2174" spans="1:37" x14ac:dyDescent="0.2">
      <c r="A2174" t="str">
        <f>"20200111153651231"</f>
        <v>20200111153651231</v>
      </c>
      <c r="B2174" t="str">
        <f>"1578728211225460"</f>
        <v>1578728211225460</v>
      </c>
      <c r="C2174" t="s">
        <v>37</v>
      </c>
      <c r="D2174">
        <v>6.1890729999999996</v>
      </c>
      <c r="E2174">
        <v>0.4848943</v>
      </c>
      <c r="F2174" t="s">
        <v>45</v>
      </c>
      <c r="G2174">
        <v>-443.65640000000002</v>
      </c>
      <c r="H2174" s="1">
        <v>5.3583929999999996E-7</v>
      </c>
      <c r="I2174">
        <v>281.71370000000002</v>
      </c>
      <c r="J2174">
        <v>-430.69290000000001</v>
      </c>
      <c r="K2174">
        <v>1.1050489999999999</v>
      </c>
      <c r="L2174">
        <v>283.22379999999998</v>
      </c>
      <c r="M2174">
        <v>-0.99988809999999995</v>
      </c>
      <c r="N2174">
        <v>0</v>
      </c>
      <c r="O2174">
        <v>-6.3555759999999999E-3</v>
      </c>
      <c r="P2174">
        <v>-0.9945889</v>
      </c>
      <c r="Q2174">
        <v>6.6913280000000006E-2</v>
      </c>
      <c r="R2174">
        <v>-7.9473360000000007E-2</v>
      </c>
      <c r="S2174">
        <v>-3.00528</v>
      </c>
      <c r="T2174">
        <v>-0.2509537</v>
      </c>
      <c r="U2174">
        <v>-0.34329219999999999</v>
      </c>
      <c r="V2174">
        <v>-7.3119710000000004E-2</v>
      </c>
      <c r="W2174">
        <v>8.0413990000000005E-2</v>
      </c>
      <c r="X2174">
        <v>0.99407599999999996</v>
      </c>
      <c r="Y2174">
        <v>-0.106829199999999</v>
      </c>
      <c r="Z2174">
        <v>-3.9101559999999997E-3</v>
      </c>
      <c r="AA2174">
        <v>0.99426970000000003</v>
      </c>
      <c r="AB2174">
        <v>27</v>
      </c>
      <c r="AC2174">
        <v>-12.9635</v>
      </c>
      <c r="AD2174">
        <v>-1.1050484641606999</v>
      </c>
      <c r="AE2174">
        <v>-1.51009999999996</v>
      </c>
      <c r="AF2174">
        <v>-1.4175091671200299</v>
      </c>
      <c r="AG2174">
        <v>-1.1050484641606999</v>
      </c>
      <c r="AH2174">
        <v>12.8804950308007</v>
      </c>
      <c r="AI2174">
        <v>94.874250295946794</v>
      </c>
      <c r="AJ2174">
        <v>96.280175992056698</v>
      </c>
      <c r="AK2174">
        <v>13.0052918685239</v>
      </c>
    </row>
    <row r="2175" spans="1:37" x14ac:dyDescent="0.2">
      <c r="A2175" t="str">
        <f>"20200111153651252"</f>
        <v>20200111153651252</v>
      </c>
      <c r="B2175" t="str">
        <f>"1578728211244980"</f>
        <v>1578728211244980</v>
      </c>
      <c r="C2175" t="s">
        <v>37</v>
      </c>
      <c r="D2175">
        <v>6.1824469999999998</v>
      </c>
      <c r="E2175">
        <v>0.4849446</v>
      </c>
      <c r="F2175" t="s">
        <v>45</v>
      </c>
      <c r="G2175">
        <v>-444.32400000000001</v>
      </c>
      <c r="H2175" s="1">
        <v>8.9315519999999904E-7</v>
      </c>
      <c r="I2175">
        <v>281.66739999999999</v>
      </c>
      <c r="J2175">
        <v>-430.9522</v>
      </c>
      <c r="K2175">
        <v>1.105054</v>
      </c>
      <c r="L2175">
        <v>283.22230000000002</v>
      </c>
      <c r="M2175">
        <v>-0.99988969999999899</v>
      </c>
      <c r="N2175">
        <v>0</v>
      </c>
      <c r="O2175">
        <v>-6.1609209999999998E-3</v>
      </c>
      <c r="P2175">
        <v>-0.99456420000000001</v>
      </c>
      <c r="Q2175">
        <v>6.8281629999999996E-2</v>
      </c>
      <c r="R2175">
        <v>-7.8612879999999996E-2</v>
      </c>
      <c r="S2175">
        <v>-3.00528</v>
      </c>
      <c r="T2175">
        <v>-0.2436316</v>
      </c>
      <c r="U2175">
        <v>-0.34313959999999999</v>
      </c>
      <c r="V2175">
        <v>-7.2451429999999997E-2</v>
      </c>
      <c r="W2175">
        <v>8.1760899999999997E-2</v>
      </c>
      <c r="X2175">
        <v>0.99401499999999998</v>
      </c>
      <c r="Y2175">
        <v>-0.1069915</v>
      </c>
      <c r="Z2175">
        <v>-3.8187059999999998E-3</v>
      </c>
      <c r="AA2175">
        <v>0.99425259999999904</v>
      </c>
      <c r="AB2175">
        <v>27</v>
      </c>
      <c r="AC2175">
        <v>-13.3718</v>
      </c>
      <c r="AD2175">
        <v>-1.1050531068448</v>
      </c>
      <c r="AE2175">
        <v>-1.5549000000000299</v>
      </c>
      <c r="AF2175">
        <v>-1.46262467996974</v>
      </c>
      <c r="AG2175">
        <v>-1.1050531068448</v>
      </c>
      <c r="AH2175">
        <v>13.2915634550746</v>
      </c>
      <c r="AI2175">
        <v>94.724221860499696</v>
      </c>
      <c r="AJ2175">
        <v>96.279652511886596</v>
      </c>
      <c r="AK2175">
        <v>13.4173794909319</v>
      </c>
    </row>
    <row r="2176" spans="1:37" x14ac:dyDescent="0.2">
      <c r="A2176" t="str">
        <f>"20200111153651275"</f>
        <v>20200111153651275</v>
      </c>
      <c r="B2176" t="str">
        <f>"1578728211264501"</f>
        <v>1578728211264501</v>
      </c>
      <c r="C2176" t="s">
        <v>37</v>
      </c>
      <c r="D2176">
        <v>5.7087009999999996</v>
      </c>
      <c r="E2176">
        <v>0.48494490000000001</v>
      </c>
      <c r="F2176" t="s">
        <v>45</v>
      </c>
      <c r="G2176">
        <v>-445.00850000000003</v>
      </c>
      <c r="H2176" s="1">
        <v>1.259125E-6</v>
      </c>
      <c r="I2176">
        <v>281.6284</v>
      </c>
      <c r="J2176">
        <v>-431.2131</v>
      </c>
      <c r="K2176">
        <v>1.105035</v>
      </c>
      <c r="L2176">
        <v>283.22089999999997</v>
      </c>
      <c r="M2176">
        <v>-0.99989110000000003</v>
      </c>
      <c r="N2176">
        <v>0</v>
      </c>
      <c r="O2176">
        <v>-5.9552969999999896E-3</v>
      </c>
      <c r="P2176">
        <v>-0.99457510000000005</v>
      </c>
      <c r="Q2176">
        <v>6.8963269999999993E-2</v>
      </c>
      <c r="R2176">
        <v>-7.7875509999999995E-2</v>
      </c>
      <c r="S2176">
        <v>-3.0056150000000001</v>
      </c>
      <c r="T2176">
        <v>-0.236289</v>
      </c>
      <c r="U2176">
        <v>-0.34082030000000002</v>
      </c>
      <c r="V2176">
        <v>-7.1917090000000003E-2</v>
      </c>
      <c r="W2176">
        <v>8.2423839999999998E-2</v>
      </c>
      <c r="X2176">
        <v>0.99399910000000002</v>
      </c>
      <c r="Y2176">
        <v>-0.106446499999999</v>
      </c>
      <c r="Z2176">
        <v>-3.6984879999999898E-3</v>
      </c>
      <c r="AA2176">
        <v>0.99431159999999996</v>
      </c>
      <c r="AB2176">
        <v>27</v>
      </c>
      <c r="AC2176">
        <v>-13.795400000000001</v>
      </c>
      <c r="AD2176">
        <v>-1.1050337408749999</v>
      </c>
      <c r="AE2176">
        <v>-1.5924999999999701</v>
      </c>
      <c r="AF2176">
        <v>-1.5008056230250999</v>
      </c>
      <c r="AG2176">
        <v>-1.1050337408749999</v>
      </c>
      <c r="AH2176">
        <v>13.7177805082124</v>
      </c>
      <c r="AI2176">
        <v>94.578306552842093</v>
      </c>
      <c r="AJ2176">
        <v>96.243661790435198</v>
      </c>
      <c r="AK2176">
        <v>13.8438079717276</v>
      </c>
    </row>
    <row r="2177" spans="1:37" x14ac:dyDescent="0.2">
      <c r="A2177" t="str">
        <f>"20200111153651298"</f>
        <v>20200111153651298</v>
      </c>
      <c r="B2177" t="str">
        <f>"1578728211294757"</f>
        <v>1578728211294757</v>
      </c>
      <c r="C2177" t="s">
        <v>37</v>
      </c>
      <c r="D2177">
        <v>6.2446650000000004</v>
      </c>
      <c r="E2177">
        <v>0.4850428</v>
      </c>
      <c r="F2177" t="s">
        <v>45</v>
      </c>
      <c r="G2177">
        <v>-445.56490000000002</v>
      </c>
      <c r="H2177" s="1">
        <v>1.5563109999999999E-6</v>
      </c>
      <c r="I2177">
        <v>281.60300000000001</v>
      </c>
      <c r="J2177">
        <v>-431.48160000000001</v>
      </c>
      <c r="K2177">
        <v>1.105002</v>
      </c>
      <c r="L2177">
        <v>283.21960000000001</v>
      </c>
      <c r="M2177">
        <v>-0.99989269999999997</v>
      </c>
      <c r="N2177">
        <v>0</v>
      </c>
      <c r="O2177">
        <v>-5.7317849999999997E-3</v>
      </c>
      <c r="P2177">
        <v>-0.99472989999999994</v>
      </c>
      <c r="Q2177">
        <v>6.7642789999999994E-2</v>
      </c>
      <c r="R2177">
        <v>-7.7052860000000001E-2</v>
      </c>
      <c r="S2177">
        <v>-3.00589</v>
      </c>
      <c r="T2177">
        <v>-0.2314409</v>
      </c>
      <c r="U2177">
        <v>-0.33886719999999998</v>
      </c>
      <c r="V2177">
        <v>-7.1314890000000006E-2</v>
      </c>
      <c r="W2177">
        <v>8.1089359999999999E-2</v>
      </c>
      <c r="X2177">
        <v>0.99415219999999904</v>
      </c>
      <c r="Y2177">
        <v>-0.10603360000000001</v>
      </c>
      <c r="Z2177">
        <v>-3.6239390000000001E-3</v>
      </c>
      <c r="AA2177">
        <v>0.99435589999999996</v>
      </c>
      <c r="AB2177">
        <v>26</v>
      </c>
      <c r="AC2177">
        <v>-14.083299999999999</v>
      </c>
      <c r="AD2177">
        <v>-1.105000443689</v>
      </c>
      <c r="AE2177">
        <v>-1.6166</v>
      </c>
      <c r="AF2177">
        <v>-1.5265679466606601</v>
      </c>
      <c r="AG2177">
        <v>-1.105000443689</v>
      </c>
      <c r="AH2177">
        <v>14.007224970372</v>
      </c>
      <c r="AI2177">
        <v>94.484159147034802</v>
      </c>
      <c r="AJ2177">
        <v>96.2197939500454</v>
      </c>
      <c r="AK2177">
        <v>14.1334280005573</v>
      </c>
    </row>
    <row r="2178" spans="1:37" x14ac:dyDescent="0.2">
      <c r="A2178" t="str">
        <f>"20200111153651321"</f>
        <v>20200111153651321</v>
      </c>
      <c r="B2178" t="str">
        <f>"1578728211315252"</f>
        <v>1578728211315252</v>
      </c>
      <c r="C2178" t="s">
        <v>37</v>
      </c>
      <c r="D2178">
        <v>5.9604379999999999</v>
      </c>
      <c r="E2178">
        <v>0.4850682</v>
      </c>
      <c r="F2178" t="s">
        <v>45</v>
      </c>
      <c r="G2178">
        <v>-445.786</v>
      </c>
      <c r="H2178" s="1">
        <v>1.6731290000000001E-6</v>
      </c>
      <c r="I2178">
        <v>281.6223</v>
      </c>
      <c r="J2178">
        <v>-431.74779999999998</v>
      </c>
      <c r="K2178">
        <v>1.104949</v>
      </c>
      <c r="L2178">
        <v>283.21839999999997</v>
      </c>
      <c r="M2178">
        <v>-0.99989419999999996</v>
      </c>
      <c r="N2178">
        <v>0</v>
      </c>
      <c r="O2178">
        <v>-5.49204599999999E-3</v>
      </c>
      <c r="P2178">
        <v>-0.99489150000000004</v>
      </c>
      <c r="Q2178">
        <v>6.4810939999999997E-2</v>
      </c>
      <c r="R2178">
        <v>-7.7397729999999998E-2</v>
      </c>
      <c r="S2178">
        <v>-3.0056759999999998</v>
      </c>
      <c r="T2178">
        <v>-0.23218409999999901</v>
      </c>
      <c r="U2178">
        <v>-0.33563229999999999</v>
      </c>
      <c r="V2178">
        <v>-7.1896810000000005E-2</v>
      </c>
      <c r="W2178">
        <v>7.8247410000000003E-2</v>
      </c>
      <c r="X2178">
        <v>0.994338099999999</v>
      </c>
      <c r="Y2178">
        <v>-0.105222699999999</v>
      </c>
      <c r="Z2178">
        <v>-3.6232690000000001E-3</v>
      </c>
      <c r="AA2178">
        <v>0.9944421</v>
      </c>
      <c r="AB2178">
        <v>26</v>
      </c>
      <c r="AC2178">
        <v>-14.0382</v>
      </c>
      <c r="AD2178">
        <v>-1.1049473268709999</v>
      </c>
      <c r="AE2178">
        <v>-1.5960999999999701</v>
      </c>
      <c r="AF2178">
        <v>-1.50973662790607</v>
      </c>
      <c r="AG2178">
        <v>-1.1049473268709999</v>
      </c>
      <c r="AH2178">
        <v>13.961364305174699</v>
      </c>
      <c r="AI2178">
        <v>94.499020542522203</v>
      </c>
      <c r="AJ2178">
        <v>96.171797460759507</v>
      </c>
      <c r="AK2178">
        <v>14.0861601063813</v>
      </c>
    </row>
    <row r="2179" spans="1:37" x14ac:dyDescent="0.2">
      <c r="A2179" t="str">
        <f>"20200111153651344"</f>
        <v>20200111153651344</v>
      </c>
      <c r="B2179" t="str">
        <f>"1578728211334772"</f>
        <v>1578728211334772</v>
      </c>
      <c r="C2179" t="s">
        <v>37</v>
      </c>
      <c r="D2179">
        <v>5.8506260000000001</v>
      </c>
      <c r="E2179">
        <v>0.48520000000000002</v>
      </c>
      <c r="F2179" t="s">
        <v>45</v>
      </c>
      <c r="G2179">
        <v>-445.62549999999999</v>
      </c>
      <c r="H2179" s="1">
        <v>1.585695E-6</v>
      </c>
      <c r="I2179">
        <v>281.66860000000003</v>
      </c>
      <c r="J2179">
        <v>-432.02420000000001</v>
      </c>
      <c r="K2179">
        <v>1.104887</v>
      </c>
      <c r="L2179">
        <v>283.21719999999999</v>
      </c>
      <c r="M2179">
        <v>-0.9998958</v>
      </c>
      <c r="N2179">
        <v>0</v>
      </c>
      <c r="O2179">
        <v>-5.2164769999999997E-3</v>
      </c>
      <c r="P2179">
        <v>-0.99495460000000002</v>
      </c>
      <c r="Q2179">
        <v>6.1859709999999998E-2</v>
      </c>
      <c r="R2179">
        <v>-7.8986189999999998E-2</v>
      </c>
      <c r="S2179">
        <v>-3.0048520000000001</v>
      </c>
      <c r="T2179">
        <v>-0.23924670000000001</v>
      </c>
      <c r="U2179">
        <v>-0.33557129999999902</v>
      </c>
      <c r="V2179">
        <v>-7.3757929999999999E-2</v>
      </c>
      <c r="W2179">
        <v>7.5286909999999999E-2</v>
      </c>
      <c r="X2179">
        <v>0.99443029999999999</v>
      </c>
      <c r="Y2179">
        <v>-0.10548689999999999</v>
      </c>
      <c r="Z2179">
        <v>-3.7664669999999999E-3</v>
      </c>
      <c r="AA2179">
        <v>0.99441360000000001</v>
      </c>
      <c r="AB2179">
        <v>26</v>
      </c>
      <c r="AC2179">
        <v>-13.601299999999901</v>
      </c>
      <c r="AD2179">
        <v>-1.104885414305</v>
      </c>
      <c r="AE2179">
        <v>-1.54859999999996</v>
      </c>
      <c r="AF2179">
        <v>-1.4680579915372001</v>
      </c>
      <c r="AG2179">
        <v>-1.104885414305</v>
      </c>
      <c r="AH2179">
        <v>13.5211108403774</v>
      </c>
      <c r="AI2179">
        <v>94.644403443346405</v>
      </c>
      <c r="AJ2179">
        <v>96.196629837258399</v>
      </c>
      <c r="AK2179">
        <v>13.645380331930401</v>
      </c>
    </row>
    <row r="2180" spans="1:37" x14ac:dyDescent="0.2">
      <c r="A2180" t="str">
        <f>"20200111153651364"</f>
        <v>20200111153651364</v>
      </c>
      <c r="B2180" t="str">
        <f>"1578728211355269"</f>
        <v>1578728211355269</v>
      </c>
      <c r="C2180" t="s">
        <v>37</v>
      </c>
      <c r="D2180">
        <v>5.8964600000000003</v>
      </c>
      <c r="E2180">
        <v>0.48524719999999999</v>
      </c>
      <c r="F2180" t="s">
        <v>45</v>
      </c>
      <c r="G2180">
        <v>-445.49540000000002</v>
      </c>
      <c r="H2180" s="1">
        <v>1.5151439999999901E-6</v>
      </c>
      <c r="I2180">
        <v>281.69830000000002</v>
      </c>
      <c r="J2180">
        <v>-432.26769999999999</v>
      </c>
      <c r="K2180">
        <v>1.104835</v>
      </c>
      <c r="L2180">
        <v>283.21609999999998</v>
      </c>
      <c r="M2180">
        <v>-0.99989740000000005</v>
      </c>
      <c r="N2180">
        <v>0</v>
      </c>
      <c r="O2180">
        <v>-4.9543879999999997E-3</v>
      </c>
      <c r="P2180">
        <v>-0.99490879999999904</v>
      </c>
      <c r="Q2180">
        <v>5.967973E-2</v>
      </c>
      <c r="R2180">
        <v>-8.1211889999999995E-2</v>
      </c>
      <c r="S2180">
        <v>-3.0036320000000001</v>
      </c>
      <c r="T2180">
        <v>-0.2463533</v>
      </c>
      <c r="U2180">
        <v>-0.338653599999999</v>
      </c>
      <c r="V2180">
        <v>-7.6242519999999994E-2</v>
      </c>
      <c r="W2180">
        <v>7.3100460000000006E-2</v>
      </c>
      <c r="X2180">
        <v>0.99440599999999901</v>
      </c>
      <c r="Y2180">
        <v>-0.1067756</v>
      </c>
      <c r="Z2180">
        <v>-3.9533069999999997E-3</v>
      </c>
      <c r="AA2180">
        <v>0.99427529999999997</v>
      </c>
      <c r="AB2180">
        <v>26</v>
      </c>
      <c r="AC2180">
        <v>-13.2277</v>
      </c>
      <c r="AD2180">
        <v>-1.104833484856</v>
      </c>
      <c r="AE2180">
        <v>-1.5177999999999601</v>
      </c>
      <c r="AF2180">
        <v>-1.4423090698811201</v>
      </c>
      <c r="AG2180">
        <v>-1.104833484856</v>
      </c>
      <c r="AH2180">
        <v>13.1445494450189</v>
      </c>
      <c r="AI2180">
        <v>94.776033843670902</v>
      </c>
      <c r="AJ2180">
        <v>96.261830765125893</v>
      </c>
      <c r="AK2180">
        <v>13.2695174213257</v>
      </c>
    </row>
    <row r="2181" spans="1:37" x14ac:dyDescent="0.2">
      <c r="A2181" t="str">
        <f>"20200111153651387"</f>
        <v>20200111153651387</v>
      </c>
      <c r="B2181" t="str">
        <f>"1578728211374789"</f>
        <v>1578728211374789</v>
      </c>
      <c r="C2181" t="s">
        <v>37</v>
      </c>
      <c r="D2181">
        <v>6.2158850000000001</v>
      </c>
      <c r="E2181">
        <v>0.48527910000000002</v>
      </c>
      <c r="F2181" t="s">
        <v>45</v>
      </c>
      <c r="G2181">
        <v>-445.41699999999997</v>
      </c>
      <c r="H2181" s="1">
        <v>1.4730619999999999E-6</v>
      </c>
      <c r="I2181">
        <v>281.7063</v>
      </c>
      <c r="J2181">
        <v>-432.53320000000002</v>
      </c>
      <c r="K2181">
        <v>1.1047899999999999</v>
      </c>
      <c r="L2181">
        <v>283.21519999999998</v>
      </c>
      <c r="M2181">
        <v>-0.99989899999999998</v>
      </c>
      <c r="N2181">
        <v>0</v>
      </c>
      <c r="O2181">
        <v>-4.637146E-3</v>
      </c>
      <c r="P2181">
        <v>-0.99480210000000002</v>
      </c>
      <c r="Q2181">
        <v>5.8294289999999999E-2</v>
      </c>
      <c r="R2181">
        <v>-8.3491380000000004E-2</v>
      </c>
      <c r="S2181">
        <v>-3.0023499999999999</v>
      </c>
      <c r="T2181">
        <v>-0.25226369999999998</v>
      </c>
      <c r="U2181">
        <v>-0.34472659999999899</v>
      </c>
      <c r="V2181">
        <v>-7.8835420000000003E-2</v>
      </c>
      <c r="W2181">
        <v>7.1708899999999895E-2</v>
      </c>
      <c r="X2181">
        <v>0.9943052</v>
      </c>
      <c r="Y2181">
        <v>-0.10909769999999901</v>
      </c>
      <c r="Z2181">
        <v>-4.1726659999999898E-3</v>
      </c>
      <c r="AA2181">
        <v>0.99402230000000003</v>
      </c>
      <c r="AB2181">
        <v>26</v>
      </c>
      <c r="AC2181">
        <v>-12.8837999999999</v>
      </c>
      <c r="AD2181">
        <v>-1.104788526938</v>
      </c>
      <c r="AE2181">
        <v>-1.5088999999999799</v>
      </c>
      <c r="AF2181">
        <v>-1.43869856693759</v>
      </c>
      <c r="AG2181">
        <v>-1.104788526938</v>
      </c>
      <c r="AH2181">
        <v>12.7978286623787</v>
      </c>
      <c r="AI2181">
        <v>94.903164714688799</v>
      </c>
      <c r="AJ2181">
        <v>96.414112953034405</v>
      </c>
      <c r="AK2181">
        <v>12.925742908141199</v>
      </c>
    </row>
    <row r="2182" spans="1:37" x14ac:dyDescent="0.2">
      <c r="A2182" t="str">
        <f>"20200111153651409"</f>
        <v>20200111153651409</v>
      </c>
      <c r="B2182" t="str">
        <f>"1578728211405045"</f>
        <v>1578728211405045</v>
      </c>
      <c r="C2182" t="s">
        <v>37</v>
      </c>
      <c r="D2182">
        <v>5.8721750000000004</v>
      </c>
      <c r="E2182">
        <v>0.48539329999999897</v>
      </c>
      <c r="F2182" t="s">
        <v>45</v>
      </c>
      <c r="G2182">
        <v>-445.59629999999999</v>
      </c>
      <c r="H2182" s="1">
        <v>1.569379E-6</v>
      </c>
      <c r="I2182">
        <v>281.68599999999998</v>
      </c>
      <c r="J2182">
        <v>-432.8014</v>
      </c>
      <c r="K2182">
        <v>1.104757</v>
      </c>
      <c r="L2182">
        <v>283.21429999999998</v>
      </c>
      <c r="M2182">
        <v>-0.99990080000000003</v>
      </c>
      <c r="N2182">
        <v>0</v>
      </c>
      <c r="O2182">
        <v>-4.2724759999999999E-3</v>
      </c>
      <c r="P2182">
        <v>-0.99471719999999897</v>
      </c>
      <c r="Q2182">
        <v>5.7377940000000002E-2</v>
      </c>
      <c r="R2182">
        <v>-8.5121329999999995E-2</v>
      </c>
      <c r="S2182">
        <v>-3.001099</v>
      </c>
      <c r="T2182">
        <v>-0.25381169999999997</v>
      </c>
      <c r="U2182">
        <v>-0.35131839999999998</v>
      </c>
      <c r="V2182">
        <v>-8.0824320000000005E-2</v>
      </c>
      <c r="W2182">
        <v>7.0789519999999995E-2</v>
      </c>
      <c r="X2182">
        <v>0.99421139999999997</v>
      </c>
      <c r="Y2182">
        <v>-0.1116462</v>
      </c>
      <c r="Z2182">
        <v>-4.3372819999999996E-3</v>
      </c>
      <c r="AA2182">
        <v>0.99373849999999997</v>
      </c>
      <c r="AB2182">
        <v>26</v>
      </c>
      <c r="AC2182">
        <v>-12.794899999999901</v>
      </c>
      <c r="AD2182">
        <v>-1.1047554306209999</v>
      </c>
      <c r="AE2182">
        <v>-1.5283</v>
      </c>
      <c r="AF2182">
        <v>-1.46286271685849</v>
      </c>
      <c r="AG2182">
        <v>-1.1047554306209999</v>
      </c>
      <c r="AH2182">
        <v>12.707906276712899</v>
      </c>
      <c r="AI2182">
        <v>94.936053885057603</v>
      </c>
      <c r="AJ2182">
        <v>96.566664112164602</v>
      </c>
      <c r="AK2182">
        <v>12.839444451672399</v>
      </c>
    </row>
    <row r="2183" spans="1:37" x14ac:dyDescent="0.2">
      <c r="A2183" t="str">
        <f>"20200111153651432"</f>
        <v>20200111153651432</v>
      </c>
      <c r="B2183" t="str">
        <f>"1578728211425072"</f>
        <v>1578728211425072</v>
      </c>
      <c r="C2183" t="s">
        <v>37</v>
      </c>
      <c r="D2183">
        <v>5.9590230000000002</v>
      </c>
      <c r="E2183">
        <v>0.48540620000000001</v>
      </c>
      <c r="F2183" t="s">
        <v>45</v>
      </c>
      <c r="G2183">
        <v>-445.84589999999997</v>
      </c>
      <c r="H2183" s="1">
        <v>1.702905E-6</v>
      </c>
      <c r="I2183">
        <v>281.6703</v>
      </c>
      <c r="J2183">
        <v>-433.06569999999999</v>
      </c>
      <c r="K2183">
        <v>1.104722</v>
      </c>
      <c r="L2183">
        <v>283.21359999999999</v>
      </c>
      <c r="M2183">
        <v>-0.99990249999999903</v>
      </c>
      <c r="N2183">
        <v>0</v>
      </c>
      <c r="O2183">
        <v>-3.8576169999999998E-3</v>
      </c>
      <c r="P2183">
        <v>-0.99456449999999996</v>
      </c>
      <c r="Q2183">
        <v>5.7739159999999998E-2</v>
      </c>
      <c r="R2183">
        <v>-8.6646699999999993E-2</v>
      </c>
      <c r="S2183">
        <v>-3.0002140000000002</v>
      </c>
      <c r="T2183">
        <v>-0.25409100000000001</v>
      </c>
      <c r="U2183">
        <v>-0.35513309999999998</v>
      </c>
      <c r="V2183">
        <v>-8.2756720000000006E-2</v>
      </c>
      <c r="W2183">
        <v>7.1149080000000003E-2</v>
      </c>
      <c r="X2183">
        <v>0.99402669999999904</v>
      </c>
      <c r="Y2183">
        <v>-0.1133301</v>
      </c>
      <c r="Z2183">
        <v>-4.4488640000000003E-3</v>
      </c>
      <c r="AA2183">
        <v>0.99354739999999997</v>
      </c>
      <c r="AB2183">
        <v>26</v>
      </c>
      <c r="AC2183">
        <v>-12.780199999999899</v>
      </c>
      <c r="AD2183">
        <v>-1.1047202970950001</v>
      </c>
      <c r="AE2183">
        <v>-1.5432999999999799</v>
      </c>
      <c r="AF2183">
        <v>-1.4830609845012199</v>
      </c>
      <c r="AG2183">
        <v>-1.1047202970950001</v>
      </c>
      <c r="AH2183">
        <v>12.692584599776</v>
      </c>
      <c r="AI2183">
        <v>94.940852875673897</v>
      </c>
      <c r="AJ2183">
        <v>96.664487284905803</v>
      </c>
      <c r="AK2183">
        <v>12.826596611768601</v>
      </c>
    </row>
    <row r="2184" spans="1:37" x14ac:dyDescent="0.2">
      <c r="A2184" t="str">
        <f>"20200111153651454"</f>
        <v>20200111153651454</v>
      </c>
      <c r="B2184" t="str">
        <f>"1578728211444593"</f>
        <v>1578728211444593</v>
      </c>
      <c r="C2184" t="s">
        <v>37</v>
      </c>
      <c r="D2184">
        <v>6.0925769999999897</v>
      </c>
      <c r="E2184">
        <v>0.4888053</v>
      </c>
      <c r="F2184" t="s">
        <v>45</v>
      </c>
      <c r="G2184">
        <v>-446.12860000000001</v>
      </c>
      <c r="H2184" s="1">
        <v>1.854155E-6</v>
      </c>
      <c r="I2184">
        <v>281.6508</v>
      </c>
      <c r="J2184">
        <v>-433.32319999999999</v>
      </c>
      <c r="K2184">
        <v>1.104684</v>
      </c>
      <c r="L2184">
        <v>283.2131</v>
      </c>
      <c r="M2184">
        <v>-0.99990429999999997</v>
      </c>
      <c r="N2184">
        <v>0</v>
      </c>
      <c r="O2184">
        <v>-3.3858779999999902E-3</v>
      </c>
      <c r="P2184">
        <v>-0.99434669999999903</v>
      </c>
      <c r="Q2184">
        <v>5.9480110000000003E-2</v>
      </c>
      <c r="R2184">
        <v>-8.7960170000000004E-2</v>
      </c>
      <c r="S2184">
        <v>-2.9998469999999999</v>
      </c>
      <c r="T2184">
        <v>-0.25369550000000002</v>
      </c>
      <c r="U2184">
        <v>-0.3588867</v>
      </c>
      <c r="V2184">
        <v>-8.4530499999999995E-2</v>
      </c>
      <c r="W2184">
        <v>7.2891209999999998E-2</v>
      </c>
      <c r="X2184">
        <v>0.99375119999999895</v>
      </c>
      <c r="Y2184">
        <v>-0.115032199999999</v>
      </c>
      <c r="Z2184">
        <v>-4.5534479999999999E-3</v>
      </c>
      <c r="AA2184">
        <v>0.99335130000000005</v>
      </c>
      <c r="AB2184">
        <v>26</v>
      </c>
      <c r="AC2184">
        <v>-12.805400000000001</v>
      </c>
      <c r="AD2184">
        <v>-1.104682145845</v>
      </c>
      <c r="AE2184">
        <v>-1.56229999999999</v>
      </c>
      <c r="AF2184">
        <v>-1.50787264575749</v>
      </c>
      <c r="AG2184">
        <v>-1.104682145845</v>
      </c>
      <c r="AH2184">
        <v>12.717362557529</v>
      </c>
      <c r="AI2184">
        <v>94.930122745796993</v>
      </c>
      <c r="AJ2184">
        <v>96.761878705332705</v>
      </c>
      <c r="AK2184">
        <v>12.8539998824807</v>
      </c>
    </row>
    <row r="2185" spans="1:37" x14ac:dyDescent="0.2">
      <c r="A2185" t="str">
        <f>"20200111153651476"</f>
        <v>20200111153651476</v>
      </c>
      <c r="B2185" t="str">
        <f>"1578728211465089"</f>
        <v>1578728211465089</v>
      </c>
      <c r="C2185" t="s">
        <v>37</v>
      </c>
      <c r="D2185">
        <v>6.3343989999999897</v>
      </c>
      <c r="E2185">
        <v>0.5062219</v>
      </c>
      <c r="F2185" t="s">
        <v>45</v>
      </c>
      <c r="G2185">
        <v>-451.49239999999998</v>
      </c>
      <c r="H2185" s="1">
        <v>-5.9175690000000003E-7</v>
      </c>
      <c r="I2185">
        <v>281.16520000000003</v>
      </c>
      <c r="J2185">
        <v>-433.58550000000002</v>
      </c>
      <c r="K2185">
        <v>1.1046370000000001</v>
      </c>
      <c r="L2185">
        <v>283.21280000000002</v>
      </c>
      <c r="M2185">
        <v>-0.99990610000000002</v>
      </c>
      <c r="N2185">
        <v>0</v>
      </c>
      <c r="O2185">
        <v>-2.8189349999999998E-3</v>
      </c>
      <c r="P2185">
        <v>-0.99415259999999905</v>
      </c>
      <c r="Q2185">
        <v>6.1808009999999997E-2</v>
      </c>
      <c r="R2185">
        <v>-8.8548050000000003E-2</v>
      </c>
      <c r="S2185">
        <v>-2.9980769999999999</v>
      </c>
      <c r="T2185">
        <v>-0.18228220000000001</v>
      </c>
      <c r="U2185">
        <v>-0.33792109999999997</v>
      </c>
      <c r="V2185">
        <v>-8.5669410000000001E-2</v>
      </c>
      <c r="W2185">
        <v>7.5223209999999999E-2</v>
      </c>
      <c r="X2185">
        <v>0.99347980000000002</v>
      </c>
      <c r="Y2185">
        <v>-0.10900789999999901</v>
      </c>
      <c r="Z2185">
        <v>-3.1296449999999999E-3</v>
      </c>
      <c r="AA2185">
        <v>0.99403600000000003</v>
      </c>
      <c r="AB2185">
        <v>26</v>
      </c>
      <c r="AC2185">
        <v>-17.906899999999901</v>
      </c>
      <c r="AD2185">
        <v>-1.1046375917569</v>
      </c>
      <c r="AE2185">
        <v>-2.0475999999999801</v>
      </c>
      <c r="AF2185">
        <v>-1.9896353231059101</v>
      </c>
      <c r="AG2185">
        <v>-1.1046375917569</v>
      </c>
      <c r="AH2185">
        <v>17.845568586408199</v>
      </c>
      <c r="AI2185">
        <v>93.520322840158897</v>
      </c>
      <c r="AJ2185">
        <v>96.361739121126604</v>
      </c>
      <c r="AK2185">
        <v>17.990085911420099</v>
      </c>
    </row>
    <row r="2186" spans="1:37" x14ac:dyDescent="0.2">
      <c r="A2186" t="str">
        <f>"20200111153651499"</f>
        <v>20200111153651499</v>
      </c>
      <c r="B2186" t="str">
        <f>"1578728211495345"</f>
        <v>1578728211495345</v>
      </c>
      <c r="C2186" t="s">
        <v>37</v>
      </c>
      <c r="D2186">
        <v>6.1139060000000001</v>
      </c>
      <c r="E2186">
        <v>0.50898209999999999</v>
      </c>
      <c r="F2186" t="s">
        <v>45</v>
      </c>
      <c r="G2186">
        <v>-450.0034</v>
      </c>
      <c r="H2186" s="1">
        <v>-1.42602999999999E-6</v>
      </c>
      <c r="I2186">
        <v>282.12439999999998</v>
      </c>
      <c r="J2186">
        <v>-433.85050000000001</v>
      </c>
      <c r="K2186">
        <v>1.104573</v>
      </c>
      <c r="L2186">
        <v>283.21280000000002</v>
      </c>
      <c r="M2186">
        <v>-0.99990800000000002</v>
      </c>
      <c r="N2186">
        <v>0</v>
      </c>
      <c r="O2186">
        <v>-2.141656E-3</v>
      </c>
      <c r="P2186">
        <v>-0.99397429999999998</v>
      </c>
      <c r="Q2186">
        <v>6.3776799999999995E-2</v>
      </c>
      <c r="R2186">
        <v>-8.915091E-2</v>
      </c>
      <c r="S2186">
        <v>-3.012451</v>
      </c>
      <c r="T2186">
        <v>-0.20268539999999999</v>
      </c>
      <c r="U2186">
        <v>-0.199707</v>
      </c>
      <c r="V2186">
        <v>-8.6930480000000004E-2</v>
      </c>
      <c r="W2186">
        <v>7.7201069999999997E-2</v>
      </c>
      <c r="X2186">
        <v>0.9932185</v>
      </c>
      <c r="Y2186">
        <v>-6.3872399999999996E-2</v>
      </c>
      <c r="Z2186">
        <v>-2.000192E-3</v>
      </c>
      <c r="AA2186">
        <v>0.99795610000000001</v>
      </c>
      <c r="AB2186">
        <v>26</v>
      </c>
      <c r="AC2186">
        <v>-16.152899999999899</v>
      </c>
      <c r="AD2186">
        <v>-1.1045744260299999</v>
      </c>
      <c r="AE2186">
        <v>-1.08840000000003</v>
      </c>
      <c r="AF2186">
        <v>-1.0489177108505401</v>
      </c>
      <c r="AG2186">
        <v>-1.1045744260299999</v>
      </c>
      <c r="AH2186">
        <v>16.080339819111799</v>
      </c>
      <c r="AI2186">
        <v>93.921223682678502</v>
      </c>
      <c r="AJ2186">
        <v>93.732106232447194</v>
      </c>
      <c r="AK2186">
        <v>16.152326201661701</v>
      </c>
    </row>
    <row r="2187" spans="1:37" x14ac:dyDescent="0.2">
      <c r="A2187" t="str">
        <f>"20200111153651513"</f>
        <v>20200111153651513</v>
      </c>
      <c r="B2187" t="str">
        <f>"1578728211505106"</f>
        <v>1578728211505106</v>
      </c>
      <c r="C2187" t="s">
        <v>37</v>
      </c>
      <c r="D2187">
        <v>6.3309480000000002</v>
      </c>
      <c r="E2187">
        <v>0.50910869999999997</v>
      </c>
      <c r="F2187" t="s">
        <v>45</v>
      </c>
      <c r="G2187">
        <v>-451.97820000000002</v>
      </c>
      <c r="H2187" s="1">
        <v>-3.7541379999999901E-7</v>
      </c>
      <c r="I2187">
        <v>282.13</v>
      </c>
      <c r="J2187">
        <v>-434.0213</v>
      </c>
      <c r="K2187">
        <v>1.1045180000000001</v>
      </c>
      <c r="L2187">
        <v>283.21289999999999</v>
      </c>
      <c r="M2187">
        <v>-0.99990889999999999</v>
      </c>
      <c r="N2187">
        <v>0</v>
      </c>
      <c r="O2187">
        <v>-1.6260879999999999E-3</v>
      </c>
      <c r="P2187">
        <v>-0.99388969999999899</v>
      </c>
      <c r="Q2187">
        <v>6.4591449999999995E-2</v>
      </c>
      <c r="R2187">
        <v>-8.9505570000000007E-2</v>
      </c>
      <c r="S2187">
        <v>-3.013855</v>
      </c>
      <c r="T2187">
        <v>-0.18364320000000001</v>
      </c>
      <c r="U2187">
        <v>-0.18002319999999999</v>
      </c>
      <c r="V2187">
        <v>-8.7786310000000006E-2</v>
      </c>
      <c r="W2187">
        <v>7.8024469999999999E-2</v>
      </c>
      <c r="X2187">
        <v>0.99307889999999999</v>
      </c>
      <c r="Y2187">
        <v>-5.7898190000000002E-2</v>
      </c>
      <c r="Z2187">
        <v>-1.661846E-3</v>
      </c>
      <c r="AA2187">
        <v>0.99832109999999996</v>
      </c>
      <c r="AB2187">
        <v>26</v>
      </c>
      <c r="AC2187">
        <v>-17.956900000000001</v>
      </c>
      <c r="AD2187">
        <v>-1.1045183754137999</v>
      </c>
      <c r="AE2187">
        <v>-1.08289999999999</v>
      </c>
      <c r="AF2187">
        <v>-1.04973924639298</v>
      </c>
      <c r="AG2187">
        <v>-1.1045183754137999</v>
      </c>
      <c r="AH2187">
        <v>17.891192902774598</v>
      </c>
      <c r="AI2187">
        <v>93.526639578645799</v>
      </c>
      <c r="AJ2187">
        <v>93.3578952614766</v>
      </c>
      <c r="AK2187">
        <v>17.955965493710899</v>
      </c>
    </row>
    <row r="2188" spans="1:37" x14ac:dyDescent="0.2">
      <c r="A2188" t="str">
        <f>"20200111153651532"</f>
        <v>20200111153651532</v>
      </c>
      <c r="B2188" t="str">
        <f>"1578728211525136"</f>
        <v>1578728211525136</v>
      </c>
      <c r="C2188" t="s">
        <v>37</v>
      </c>
      <c r="D2188">
        <v>5.9931449999999904</v>
      </c>
      <c r="E2188">
        <v>0.5090055</v>
      </c>
      <c r="F2188" t="s">
        <v>45</v>
      </c>
      <c r="G2188">
        <v>-452.7131</v>
      </c>
      <c r="H2188" s="1">
        <v>1.7148809999999999E-8</v>
      </c>
      <c r="I2188">
        <v>282.096</v>
      </c>
      <c r="J2188">
        <v>-434.24439999999998</v>
      </c>
      <c r="K2188">
        <v>1.104444</v>
      </c>
      <c r="L2188">
        <v>283.2133</v>
      </c>
      <c r="M2188">
        <v>-0.99990990000000002</v>
      </c>
      <c r="N2188">
        <v>0</v>
      </c>
      <c r="O2188">
        <v>-8.7751539999999996E-4</v>
      </c>
      <c r="P2188">
        <v>-0.99372709999999997</v>
      </c>
      <c r="Q2188">
        <v>6.5339999999999995E-2</v>
      </c>
      <c r="R2188">
        <v>-9.0759580000000006E-2</v>
      </c>
      <c r="S2188">
        <v>-3.0138240000000001</v>
      </c>
      <c r="T2188">
        <v>-0.1780901</v>
      </c>
      <c r="U2188">
        <v>-0.1800842</v>
      </c>
      <c r="V2188">
        <v>-8.9768150000000005E-2</v>
      </c>
      <c r="W2188">
        <v>7.8786949999999994E-2</v>
      </c>
      <c r="X2188">
        <v>0.99284150000000004</v>
      </c>
      <c r="Y2188">
        <v>-5.8669829999999999E-2</v>
      </c>
      <c r="Z2188">
        <v>-1.6786150000000001E-3</v>
      </c>
      <c r="AA2188">
        <v>0.9982761</v>
      </c>
      <c r="AB2188">
        <v>26</v>
      </c>
      <c r="AC2188">
        <v>-18.468699999999998</v>
      </c>
      <c r="AD2188">
        <v>-1.1044439828511901</v>
      </c>
      <c r="AE2188">
        <v>-1.1173</v>
      </c>
      <c r="AF2188">
        <v>-1.09718217574466</v>
      </c>
      <c r="AG2188">
        <v>-1.1044439828511901</v>
      </c>
      <c r="AH2188">
        <v>18.404097759368</v>
      </c>
      <c r="AI2188">
        <v>93.428172870479898</v>
      </c>
      <c r="AJ2188">
        <v>93.411718009598999</v>
      </c>
      <c r="AK2188">
        <v>18.469824568046199</v>
      </c>
    </row>
    <row r="2189" spans="1:37" x14ac:dyDescent="0.2">
      <c r="A2189" t="str">
        <f>"20200111153651554"</f>
        <v>20200111153651554</v>
      </c>
      <c r="B2189" t="str">
        <f>"1578728211544653"</f>
        <v>1578728211544653</v>
      </c>
      <c r="C2189" t="s">
        <v>37</v>
      </c>
      <c r="D2189">
        <v>6.0470689999999996</v>
      </c>
      <c r="E2189">
        <v>0.50882620000000001</v>
      </c>
      <c r="F2189" t="s">
        <v>45</v>
      </c>
      <c r="G2189">
        <v>-453.1927</v>
      </c>
      <c r="H2189" s="1">
        <v>2.7420489999999999E-7</v>
      </c>
      <c r="I2189">
        <v>282.05360000000002</v>
      </c>
      <c r="J2189">
        <v>-434.5018</v>
      </c>
      <c r="K2189">
        <v>1.1043369999999999</v>
      </c>
      <c r="L2189">
        <v>283.21420000000001</v>
      </c>
      <c r="M2189">
        <v>-0.99991019999999897</v>
      </c>
      <c r="N2189">
        <v>0</v>
      </c>
      <c r="O2189">
        <v>1.0884579999999999E-4</v>
      </c>
      <c r="P2189">
        <v>-0.99359159999999902</v>
      </c>
      <c r="Q2189">
        <v>6.5251340000000005E-2</v>
      </c>
      <c r="R2189">
        <v>-9.2293150000000004E-2</v>
      </c>
      <c r="S2189">
        <v>-3.0136720000000001</v>
      </c>
      <c r="T2189">
        <v>-0.1756588</v>
      </c>
      <c r="U2189">
        <v>-0.18444820000000001</v>
      </c>
      <c r="V2189">
        <v>-9.2264730000000003E-2</v>
      </c>
      <c r="W2189">
        <v>7.871707E-2</v>
      </c>
      <c r="X2189">
        <v>0.99261819999999901</v>
      </c>
      <c r="Y2189">
        <v>-6.1094679999999998E-2</v>
      </c>
      <c r="Z2189">
        <v>-1.7836879999999901E-3</v>
      </c>
      <c r="AA2189">
        <v>0.99813039999999997</v>
      </c>
      <c r="AB2189">
        <v>26</v>
      </c>
      <c r="AC2189">
        <v>-18.690899999999999</v>
      </c>
      <c r="AD2189">
        <v>-1.1043367257951</v>
      </c>
      <c r="AE2189">
        <v>-1.1605999999999801</v>
      </c>
      <c r="AF2189">
        <v>-1.1586055124352499</v>
      </c>
      <c r="AG2189">
        <v>-1.1043367257951</v>
      </c>
      <c r="AH2189">
        <v>18.626001011168601</v>
      </c>
      <c r="AI2189">
        <v>93.386567806393003</v>
      </c>
      <c r="AJ2189">
        <v>93.559421338588393</v>
      </c>
      <c r="AK2189">
        <v>18.6946473624254</v>
      </c>
    </row>
    <row r="2190" spans="1:37" x14ac:dyDescent="0.2">
      <c r="A2190" t="str">
        <f>"20200111153651600"</f>
        <v>20200111153651600</v>
      </c>
      <c r="B2190" t="str">
        <f>"1578728211595405"</f>
        <v>1578728211595405</v>
      </c>
      <c r="C2190" t="s">
        <v>37</v>
      </c>
      <c r="D2190">
        <v>6.0521709999999898</v>
      </c>
      <c r="E2190">
        <v>0.50881109999999996</v>
      </c>
      <c r="F2190" t="s">
        <v>45</v>
      </c>
      <c r="G2190">
        <v>-453.27609999999999</v>
      </c>
      <c r="H2190" s="1">
        <v>3.1972369999999998E-7</v>
      </c>
      <c r="I2190">
        <v>282.02850000000001</v>
      </c>
      <c r="J2190">
        <v>-435.02960000000002</v>
      </c>
      <c r="K2190">
        <v>1.104114</v>
      </c>
      <c r="L2190">
        <v>283.21710000000002</v>
      </c>
      <c r="M2190">
        <v>-0.99990709999999905</v>
      </c>
      <c r="N2190">
        <v>0</v>
      </c>
      <c r="O2190">
        <v>2.5421549999999999E-3</v>
      </c>
      <c r="P2190">
        <v>-0.99367019999999995</v>
      </c>
      <c r="Q2190">
        <v>6.1334270000000003E-2</v>
      </c>
      <c r="R2190">
        <v>-9.4115309999999994E-2</v>
      </c>
      <c r="S2190">
        <v>-3.013306</v>
      </c>
      <c r="T2190">
        <v>-0.1772473</v>
      </c>
      <c r="U2190">
        <v>-0.19030759999999999</v>
      </c>
      <c r="V2190">
        <v>-9.6476409999999999E-2</v>
      </c>
      <c r="W2190">
        <v>7.4846620000000003E-2</v>
      </c>
      <c r="X2190">
        <v>0.99251719999999899</v>
      </c>
      <c r="Y2190">
        <v>-6.5450250000000001E-2</v>
      </c>
      <c r="Z2190">
        <v>-2.070643E-3</v>
      </c>
      <c r="AA2190">
        <v>0.99785369999999995</v>
      </c>
      <c r="AB2190">
        <v>26</v>
      </c>
      <c r="AC2190">
        <v>-18.246499999999902</v>
      </c>
      <c r="AD2190">
        <v>-1.1041136802763001</v>
      </c>
      <c r="AE2190">
        <v>-1.1886000000000001</v>
      </c>
      <c r="AF2190">
        <v>-1.23049921717005</v>
      </c>
      <c r="AG2190">
        <v>-1.1041136802763001</v>
      </c>
      <c r="AH2190">
        <v>18.177143336208999</v>
      </c>
      <c r="AI2190">
        <v>93.468064188531102</v>
      </c>
      <c r="AJ2190">
        <v>93.872721418882804</v>
      </c>
      <c r="AK2190">
        <v>18.2521706985092</v>
      </c>
    </row>
    <row r="2191" spans="1:37" x14ac:dyDescent="0.2">
      <c r="A2191" t="str">
        <f>"20200111153651622"</f>
        <v>20200111153651622</v>
      </c>
      <c r="B2191" t="str">
        <f>"1578728211614925"</f>
        <v>1578728211614925</v>
      </c>
      <c r="C2191" t="s">
        <v>37</v>
      </c>
      <c r="D2191">
        <v>6.3766080000000001</v>
      </c>
      <c r="E2191">
        <v>0.50867459999999998</v>
      </c>
      <c r="F2191" t="s">
        <v>45</v>
      </c>
      <c r="G2191">
        <v>-452.0444</v>
      </c>
      <c r="H2191" s="1">
        <v>-3.3941590000000001E-7</v>
      </c>
      <c r="I2191">
        <v>282.1121</v>
      </c>
      <c r="J2191">
        <v>-435.29259999999999</v>
      </c>
      <c r="K2191">
        <v>1.1040099999999999</v>
      </c>
      <c r="L2191">
        <v>283.21940000000001</v>
      </c>
      <c r="M2191">
        <v>-0.99990249999999903</v>
      </c>
      <c r="N2191">
        <v>0</v>
      </c>
      <c r="O2191">
        <v>3.9619950000000003E-3</v>
      </c>
      <c r="P2191">
        <v>-0.99382280000000001</v>
      </c>
      <c r="Q2191">
        <v>5.95363E-2</v>
      </c>
      <c r="R2191">
        <v>-9.365793E-2</v>
      </c>
      <c r="S2191">
        <v>-3.0126339999999998</v>
      </c>
      <c r="T2191">
        <v>-0.19549439999999901</v>
      </c>
      <c r="U2191">
        <v>-0.19564819999999999</v>
      </c>
      <c r="V2191">
        <v>-9.7418249999999998E-2</v>
      </c>
      <c r="W2191">
        <v>7.3070499999999997E-2</v>
      </c>
      <c r="X2191">
        <v>0.99255749999999998</v>
      </c>
      <c r="Y2191">
        <v>-6.8607559999999998E-2</v>
      </c>
      <c r="Z2191">
        <v>-2.4779440000000002E-3</v>
      </c>
      <c r="AA2191">
        <v>0.99764069999999905</v>
      </c>
      <c r="AB2191">
        <v>26</v>
      </c>
      <c r="AC2191">
        <v>-16.751799999999999</v>
      </c>
      <c r="AD2191">
        <v>-1.1040103394159</v>
      </c>
      <c r="AE2191">
        <v>-1.1073</v>
      </c>
      <c r="AF2191">
        <v>-1.16861420364561</v>
      </c>
      <c r="AG2191">
        <v>-1.1040103394159</v>
      </c>
      <c r="AH2191">
        <v>16.675170206590501</v>
      </c>
      <c r="AI2191">
        <v>93.778603800949597</v>
      </c>
      <c r="AJ2191">
        <v>94.008796715053506</v>
      </c>
      <c r="AK2191">
        <v>16.752486364873199</v>
      </c>
    </row>
    <row r="2192" spans="1:37" x14ac:dyDescent="0.2">
      <c r="A2192" t="str">
        <f>"20200111153651644"</f>
        <v>20200111153651644</v>
      </c>
      <c r="B2192" t="str">
        <f>"1578728211635421"</f>
        <v>1578728211635421</v>
      </c>
      <c r="C2192" t="s">
        <v>37</v>
      </c>
      <c r="D2192">
        <v>6.0337949999999996</v>
      </c>
      <c r="E2192">
        <v>0.50863859999999905</v>
      </c>
      <c r="F2192" t="s">
        <v>45</v>
      </c>
      <c r="G2192">
        <v>-451.73140000000001</v>
      </c>
      <c r="H2192" s="1">
        <v>-5.0778579999999998E-7</v>
      </c>
      <c r="I2192">
        <v>282.15370000000001</v>
      </c>
      <c r="J2192">
        <v>-435.54969999999997</v>
      </c>
      <c r="K2192">
        <v>1.1039239999999999</v>
      </c>
      <c r="L2192">
        <v>283.22199999999998</v>
      </c>
      <c r="M2192">
        <v>-0.99989570000000005</v>
      </c>
      <c r="N2192">
        <v>0</v>
      </c>
      <c r="O2192">
        <v>5.4434089999999997E-3</v>
      </c>
      <c r="P2192">
        <v>-0.9939886</v>
      </c>
      <c r="Q2192">
        <v>5.8390299999999999E-2</v>
      </c>
      <c r="R2192">
        <v>-9.2615539999999996E-2</v>
      </c>
      <c r="S2192">
        <v>-3.0123899999999999</v>
      </c>
      <c r="T2192">
        <v>-0.20230919999999999</v>
      </c>
      <c r="U2192">
        <v>-0.19528199999999901</v>
      </c>
      <c r="V2192">
        <v>-9.7838990000000001E-2</v>
      </c>
      <c r="W2192">
        <v>7.1942420000000007E-2</v>
      </c>
      <c r="X2192">
        <v>0.99259850000000005</v>
      </c>
      <c r="Y2192">
        <v>-6.9952879999999995E-2</v>
      </c>
      <c r="Z2192">
        <v>-2.7087179999999902E-3</v>
      </c>
      <c r="AA2192">
        <v>0.99754659999999995</v>
      </c>
      <c r="AB2192">
        <v>26</v>
      </c>
      <c r="AC2192">
        <v>-16.181699999999999</v>
      </c>
      <c r="AD2192">
        <v>-1.1039245077858</v>
      </c>
      <c r="AE2192">
        <v>-1.0682999999999601</v>
      </c>
      <c r="AF2192">
        <v>-1.15104191176457</v>
      </c>
      <c r="AG2192">
        <v>-1.1039245077858</v>
      </c>
      <c r="AH2192">
        <v>16.1010347709766</v>
      </c>
      <c r="AI2192">
        <v>93.912241040893406</v>
      </c>
      <c r="AJ2192">
        <v>94.089043921111795</v>
      </c>
      <c r="AK2192">
        <v>16.179829031782901</v>
      </c>
    </row>
    <row r="2193" spans="1:37" x14ac:dyDescent="0.2">
      <c r="A2193" t="str">
        <f>"20200111153651666"</f>
        <v>20200111153651666</v>
      </c>
      <c r="B2193" t="str">
        <f>"1578728211654941"</f>
        <v>1578728211654941</v>
      </c>
      <c r="C2193" t="s">
        <v>37</v>
      </c>
      <c r="D2193">
        <v>6.0816019999999904</v>
      </c>
      <c r="E2193">
        <v>0.50864960000000004</v>
      </c>
      <c r="F2193" t="s">
        <v>45</v>
      </c>
      <c r="G2193">
        <v>-451.68419999999998</v>
      </c>
      <c r="H2193" s="1">
        <v>-5.3449040000000004E-7</v>
      </c>
      <c r="I2193">
        <v>282.1902</v>
      </c>
      <c r="J2193">
        <v>-435.80930000000001</v>
      </c>
      <c r="K2193">
        <v>1.1038569999999901</v>
      </c>
      <c r="L2193">
        <v>283.2251</v>
      </c>
      <c r="M2193">
        <v>-0.99988580000000005</v>
      </c>
      <c r="N2193">
        <v>0</v>
      </c>
      <c r="O2193">
        <v>7.0179789999999997E-3</v>
      </c>
      <c r="P2193">
        <v>-0.9941719</v>
      </c>
      <c r="Q2193">
        <v>5.7366309999999997E-2</v>
      </c>
      <c r="R2193">
        <v>-9.1276720000000006E-2</v>
      </c>
      <c r="S2193">
        <v>-3.0122680000000002</v>
      </c>
      <c r="T2193">
        <v>-0.20610019999999901</v>
      </c>
      <c r="U2193">
        <v>-0.19262699999999999</v>
      </c>
      <c r="V2193">
        <v>-9.8058619999999999E-2</v>
      </c>
      <c r="W2193">
        <v>7.0932200000000001E-2</v>
      </c>
      <c r="X2193">
        <v>0.99264959999999902</v>
      </c>
      <c r="Y2193">
        <v>-7.0639019999999997E-2</v>
      </c>
      <c r="Z2193">
        <v>-2.8904849999999999E-3</v>
      </c>
      <c r="AA2193">
        <v>0.99749769999999904</v>
      </c>
      <c r="AB2193">
        <v>26</v>
      </c>
      <c r="AC2193">
        <v>-15.874899999999901</v>
      </c>
      <c r="AD2193">
        <v>-1.10385753449039</v>
      </c>
      <c r="AE2193">
        <v>-1.0348999999999899</v>
      </c>
      <c r="AF2193">
        <v>-1.14080167466315</v>
      </c>
      <c r="AG2193">
        <v>-1.10385753449039</v>
      </c>
      <c r="AH2193">
        <v>15.7912166793718</v>
      </c>
      <c r="AI2193">
        <v>93.988296883574804</v>
      </c>
      <c r="AJ2193">
        <v>94.132029011945804</v>
      </c>
      <c r="AK2193">
        <v>15.870805087714899</v>
      </c>
    </row>
    <row r="2194" spans="1:37" x14ac:dyDescent="0.2">
      <c r="A2194" t="str">
        <f>"20200111153651689"</f>
        <v>20200111153651689</v>
      </c>
      <c r="B2194" t="str">
        <f>"1578728211685198"</f>
        <v>1578728211685198</v>
      </c>
      <c r="C2194" t="s">
        <v>37</v>
      </c>
      <c r="D2194">
        <v>6.0077109999999996</v>
      </c>
      <c r="E2194">
        <v>0.50880939999999997</v>
      </c>
      <c r="F2194" t="s">
        <v>45</v>
      </c>
      <c r="G2194">
        <v>-451.69990000000001</v>
      </c>
      <c r="H2194" s="1">
        <v>-5.2780930000000001E-7</v>
      </c>
      <c r="I2194">
        <v>282.22879999999998</v>
      </c>
      <c r="J2194">
        <v>-436.06619999999998</v>
      </c>
      <c r="K2194">
        <v>1.1038079999999999</v>
      </c>
      <c r="L2194">
        <v>283.22879999999998</v>
      </c>
      <c r="M2194">
        <v>-0.99987300000000001</v>
      </c>
      <c r="N2194">
        <v>0</v>
      </c>
      <c r="O2194">
        <v>8.6418529999999997E-3</v>
      </c>
      <c r="P2194">
        <v>-0.99437089999999995</v>
      </c>
      <c r="Q2194">
        <v>5.7068149999999998E-2</v>
      </c>
      <c r="R2194">
        <v>-8.9275019999999997E-2</v>
      </c>
      <c r="S2194">
        <v>-3.0122990000000001</v>
      </c>
      <c r="T2194">
        <v>-0.2092522</v>
      </c>
      <c r="U2194">
        <v>-0.18887329999999999</v>
      </c>
      <c r="V2194">
        <v>-9.766445E-2</v>
      </c>
      <c r="W2194">
        <v>7.064397E-2</v>
      </c>
      <c r="X2194">
        <v>0.99270899999999995</v>
      </c>
      <c r="Y2194">
        <v>-7.1009959999999997E-2</v>
      </c>
      <c r="Z2194">
        <v>-3.0601059999999999E-3</v>
      </c>
      <c r="AA2194">
        <v>0.99747090000000005</v>
      </c>
      <c r="AB2194">
        <v>26</v>
      </c>
      <c r="AC2194">
        <v>-15.633699999999999</v>
      </c>
      <c r="AD2194">
        <v>-1.1038085278092999</v>
      </c>
      <c r="AE2194">
        <v>-1</v>
      </c>
      <c r="AF2194">
        <v>-1.12947144615683</v>
      </c>
      <c r="AG2194">
        <v>-1.1038085278092999</v>
      </c>
      <c r="AH2194">
        <v>15.5472862841434</v>
      </c>
      <c r="AI2194">
        <v>94.050367918357693</v>
      </c>
      <c r="AJ2194">
        <v>94.155095549716606</v>
      </c>
      <c r="AK2194">
        <v>15.6272905461843</v>
      </c>
    </row>
    <row r="2195" spans="1:37" x14ac:dyDescent="0.2">
      <c r="A2195" t="str">
        <f>"20200111153651711"</f>
        <v>20200111153651711</v>
      </c>
      <c r="B2195" t="str">
        <f>"1578728211704720"</f>
        <v>1578728211704720</v>
      </c>
      <c r="C2195" t="s">
        <v>37</v>
      </c>
      <c r="D2195">
        <v>8.8270889999999902</v>
      </c>
      <c r="E2195">
        <v>0.50877620000000001</v>
      </c>
      <c r="F2195" t="s">
        <v>45</v>
      </c>
      <c r="G2195">
        <v>-451.88979999999998</v>
      </c>
      <c r="H2195" s="1">
        <v>-4.2873730000000001E-7</v>
      </c>
      <c r="I2195">
        <v>282.27350000000001</v>
      </c>
      <c r="J2195">
        <v>-436.32830000000001</v>
      </c>
      <c r="K2195">
        <v>1.1037809999999999</v>
      </c>
      <c r="L2195">
        <v>283.23289999999997</v>
      </c>
      <c r="M2195">
        <v>-0.99985679999999999</v>
      </c>
      <c r="N2195">
        <v>0</v>
      </c>
      <c r="O2195">
        <v>1.0347780000000001E-2</v>
      </c>
      <c r="P2195">
        <v>-0.99455990000000005</v>
      </c>
      <c r="Q2195">
        <v>5.789246E-2</v>
      </c>
      <c r="R2195">
        <v>-8.659704E-2</v>
      </c>
      <c r="S2195">
        <v>-3.0127259999999998</v>
      </c>
      <c r="T2195">
        <v>-0.21015929999999999</v>
      </c>
      <c r="U2195">
        <v>-0.18188479999999899</v>
      </c>
      <c r="V2195">
        <v>-9.667502E-2</v>
      </c>
      <c r="W2195">
        <v>7.1473480000000006E-2</v>
      </c>
      <c r="X2195">
        <v>0.99274640000000003</v>
      </c>
      <c r="Y2195">
        <v>-7.0393579999999997E-2</v>
      </c>
      <c r="Z2195">
        <v>-3.170441E-3</v>
      </c>
      <c r="AA2195">
        <v>0.99751420000000002</v>
      </c>
      <c r="AB2195">
        <v>26</v>
      </c>
      <c r="AC2195">
        <v>-15.561499999999899</v>
      </c>
      <c r="AD2195">
        <v>-1.1037814287373</v>
      </c>
      <c r="AE2195">
        <v>-0.95939999999995895</v>
      </c>
      <c r="AF2195">
        <v>-1.1148025921198199</v>
      </c>
      <c r="AG2195">
        <v>-1.1037814287373</v>
      </c>
      <c r="AH2195">
        <v>15.473185719209001</v>
      </c>
      <c r="AI2195">
        <v>94.069775576014806</v>
      </c>
      <c r="AJ2195">
        <v>94.120890739878007</v>
      </c>
      <c r="AK2195">
        <v>15.5525108764776</v>
      </c>
    </row>
    <row r="2196" spans="1:37" x14ac:dyDescent="0.2">
      <c r="A2196" t="str">
        <f>"20200111153651732"</f>
        <v>20200111153651732</v>
      </c>
      <c r="B2196" t="str">
        <f>"1578728211725162"</f>
        <v>1578728211725162</v>
      </c>
      <c r="C2196" t="s">
        <v>37</v>
      </c>
      <c r="D2196">
        <v>6.070227</v>
      </c>
      <c r="E2196">
        <v>0.49760649999999901</v>
      </c>
      <c r="F2196" t="s">
        <v>45</v>
      </c>
      <c r="G2196">
        <v>-452.52289999999999</v>
      </c>
      <c r="H2196" s="1">
        <v>-9.2770340000000005E-8</v>
      </c>
      <c r="I2196">
        <v>282.29570000000001</v>
      </c>
      <c r="J2196">
        <v>-436.58780000000002</v>
      </c>
      <c r="K2196">
        <v>1.1037649999999899</v>
      </c>
      <c r="L2196">
        <v>283.23750000000001</v>
      </c>
      <c r="M2196">
        <v>-0.99983770000000005</v>
      </c>
      <c r="N2196">
        <v>0</v>
      </c>
      <c r="O2196">
        <v>1.206548E-2</v>
      </c>
      <c r="P2196">
        <v>-0.99469159999999901</v>
      </c>
      <c r="Q2196">
        <v>5.9401559999999999E-2</v>
      </c>
      <c r="R2196">
        <v>-8.4026199999999995E-2</v>
      </c>
      <c r="S2196">
        <v>-3.0131839999999999</v>
      </c>
      <c r="T2196">
        <v>-0.2053701</v>
      </c>
      <c r="U2196">
        <v>-0.17437739999999999</v>
      </c>
      <c r="V2196">
        <v>-9.5803879999999994E-2</v>
      </c>
      <c r="W2196">
        <v>7.2984439999999998E-2</v>
      </c>
      <c r="X2196">
        <v>0.99272099999999996</v>
      </c>
      <c r="Y2196">
        <v>-6.9628090000000004E-2</v>
      </c>
      <c r="Z2196">
        <v>-3.1889459999999998E-3</v>
      </c>
      <c r="AA2196">
        <v>0.99756800000000001</v>
      </c>
      <c r="AB2196">
        <v>26</v>
      </c>
      <c r="AC2196">
        <v>-15.935099999999901</v>
      </c>
      <c r="AD2196">
        <v>-1.10376509277034</v>
      </c>
      <c r="AE2196">
        <v>-0.94179999999999997</v>
      </c>
      <c r="AF2196">
        <v>-1.12861722306499</v>
      </c>
      <c r="AG2196">
        <v>-1.10376509277034</v>
      </c>
      <c r="AH2196">
        <v>15.846810132798099</v>
      </c>
      <c r="AI2196">
        <v>93.974307394538101</v>
      </c>
      <c r="AJ2196">
        <v>94.073753642447002</v>
      </c>
      <c r="AK2196">
        <v>15.9252461708185</v>
      </c>
    </row>
    <row r="2197" spans="1:37" x14ac:dyDescent="0.2">
      <c r="A2197" t="str">
        <f>"20200111153651755"</f>
        <v>20200111153651755</v>
      </c>
      <c r="B2197" t="str">
        <f>"1578728211744682"</f>
        <v>1578728211744682</v>
      </c>
      <c r="C2197" t="s">
        <v>37</v>
      </c>
      <c r="D2197">
        <v>6.1454979999999999</v>
      </c>
      <c r="E2197">
        <v>0.49183919999999998</v>
      </c>
      <c r="F2197" t="s">
        <v>49</v>
      </c>
      <c r="G2197">
        <v>-511.95890000000003</v>
      </c>
      <c r="H2197">
        <v>0.86900159999999904</v>
      </c>
      <c r="I2197">
        <v>276.60750000000002</v>
      </c>
      <c r="J2197">
        <v>-436.84289999999999</v>
      </c>
      <c r="K2197">
        <v>1.103761</v>
      </c>
      <c r="L2197">
        <v>283.24250000000001</v>
      </c>
      <c r="M2197">
        <v>-0.99981580000000003</v>
      </c>
      <c r="N2197">
        <v>0</v>
      </c>
      <c r="O2197">
        <v>1.3766459999999999E-2</v>
      </c>
      <c r="P2197">
        <v>-0.99482610000000005</v>
      </c>
      <c r="Q2197">
        <v>6.0791890000000001E-2</v>
      </c>
      <c r="R2197">
        <v>-8.1397410000000003E-2</v>
      </c>
      <c r="S2197">
        <v>-2.994354</v>
      </c>
      <c r="T2197">
        <v>-9.3234779999999996E-3</v>
      </c>
      <c r="U2197">
        <v>-0.2633972</v>
      </c>
      <c r="V2197">
        <v>-9.486058E-2</v>
      </c>
      <c r="W2197">
        <v>7.4373949999999994E-2</v>
      </c>
      <c r="X2197">
        <v>0.99270840000000005</v>
      </c>
      <c r="Y2197">
        <v>-0.10133209999999999</v>
      </c>
      <c r="Z2197">
        <v>-2.002448E-4</v>
      </c>
      <c r="AA2197">
        <v>0.99485270000000003</v>
      </c>
      <c r="AB2197">
        <v>26</v>
      </c>
      <c r="AC2197">
        <v>-75.116</v>
      </c>
      <c r="AD2197">
        <v>-0.23475940000000001</v>
      </c>
      <c r="AE2197">
        <v>-6.63499999999999</v>
      </c>
      <c r="AF2197">
        <v>-7.66847071364265</v>
      </c>
      <c r="AG2197">
        <v>-0.23475940000000001</v>
      </c>
      <c r="AH2197">
        <v>75.016804887735802</v>
      </c>
      <c r="AI2197">
        <v>90.178372675067493</v>
      </c>
      <c r="AJ2197">
        <v>95.836693691803504</v>
      </c>
      <c r="AK2197">
        <v>75.408100165874103</v>
      </c>
    </row>
    <row r="2198" spans="1:37" x14ac:dyDescent="0.2">
      <c r="A2198" t="str">
        <f>"20200111153651777"</f>
        <v>20200111153651777</v>
      </c>
      <c r="B2198" t="str">
        <f>"1578728211774939"</f>
        <v>1578728211774939</v>
      </c>
      <c r="C2198" t="s">
        <v>37</v>
      </c>
      <c r="D2198">
        <v>6.1653979999999997</v>
      </c>
      <c r="E2198">
        <v>0.49262020000000001</v>
      </c>
      <c r="F2198" t="s">
        <v>44</v>
      </c>
      <c r="G2198">
        <v>-486.60210000000001</v>
      </c>
      <c r="H2198" s="1">
        <v>2.4650429999999998E-6</v>
      </c>
      <c r="I2198">
        <v>278.27350000000001</v>
      </c>
      <c r="J2198">
        <v>-437.10320000000002</v>
      </c>
      <c r="K2198">
        <v>1.103764</v>
      </c>
      <c r="L2198">
        <v>283.24810000000002</v>
      </c>
      <c r="M2198">
        <v>-0.99979010000000001</v>
      </c>
      <c r="N2198">
        <v>0</v>
      </c>
      <c r="O2198">
        <v>1.550671E-2</v>
      </c>
      <c r="P2198">
        <v>-0.99500560000000005</v>
      </c>
      <c r="Q2198">
        <v>6.1833899999999997E-2</v>
      </c>
      <c r="R2198">
        <v>-7.8361920000000002E-2</v>
      </c>
      <c r="S2198">
        <v>-2.9951779999999899</v>
      </c>
      <c r="T2198">
        <v>-6.6439029999999996E-2</v>
      </c>
      <c r="U2198">
        <v>-0.2991028</v>
      </c>
      <c r="V2198">
        <v>-9.3554280000000004E-2</v>
      </c>
      <c r="W2198">
        <v>7.5411969999999995E-2</v>
      </c>
      <c r="X2198">
        <v>0.99275400000000003</v>
      </c>
      <c r="Y2198">
        <v>-0.11475489999999899</v>
      </c>
      <c r="Z2198">
        <v>-1.6125950000000001E-3</v>
      </c>
      <c r="AA2198">
        <v>0.99339249999999901</v>
      </c>
      <c r="AB2198">
        <v>26</v>
      </c>
      <c r="AC2198">
        <v>-49.4988999999999</v>
      </c>
      <c r="AD2198">
        <v>-1.103761534957</v>
      </c>
      <c r="AE2198">
        <v>-4.9745999999999997</v>
      </c>
      <c r="AF2198">
        <v>-5.7388106838010398</v>
      </c>
      <c r="AG2198">
        <v>-1.103761534957</v>
      </c>
      <c r="AH2198">
        <v>49.391487295087103</v>
      </c>
      <c r="AI2198">
        <v>91.271635230307197</v>
      </c>
      <c r="AJ2198">
        <v>96.627495089132395</v>
      </c>
      <c r="AK2198">
        <v>49.736015670852701</v>
      </c>
    </row>
    <row r="2199" spans="1:37" x14ac:dyDescent="0.2">
      <c r="A2199" t="str">
        <f>"20200111153651813"</f>
        <v>20200111153651813</v>
      </c>
      <c r="B2199" t="str">
        <f>"1578728211805193"</f>
        <v>1578728211805193</v>
      </c>
      <c r="C2199" t="s">
        <v>37</v>
      </c>
      <c r="D2199">
        <v>6.0770799999999996</v>
      </c>
      <c r="E2199">
        <v>0.48976999999999998</v>
      </c>
      <c r="F2199" t="s">
        <v>45</v>
      </c>
      <c r="G2199">
        <v>-465.78100000000001</v>
      </c>
      <c r="H2199" s="1">
        <v>1.717228E-6</v>
      </c>
      <c r="I2199">
        <v>280.55200000000002</v>
      </c>
      <c r="J2199">
        <v>-437.50189999999998</v>
      </c>
      <c r="K2199">
        <v>1.1037729999999999</v>
      </c>
      <c r="L2199">
        <v>283.25749999999999</v>
      </c>
      <c r="M2199">
        <v>-0.99974569999999996</v>
      </c>
      <c r="N2199">
        <v>0</v>
      </c>
      <c r="O2199">
        <v>1.8155210000000001E-2</v>
      </c>
      <c r="P2199">
        <v>-0.99537249999999999</v>
      </c>
      <c r="Q2199">
        <v>6.1840180000000002E-2</v>
      </c>
      <c r="R2199">
        <v>-7.3550160000000003E-2</v>
      </c>
      <c r="S2199">
        <v>-3.0000309999999999</v>
      </c>
      <c r="T2199">
        <v>-0.1154662</v>
      </c>
      <c r="U2199">
        <v>-0.2820435</v>
      </c>
      <c r="V2199">
        <v>-9.1384099999999996E-2</v>
      </c>
      <c r="W2199">
        <v>7.5409110000000001E-2</v>
      </c>
      <c r="X2199">
        <v>0.99295639999999996</v>
      </c>
      <c r="Y2199">
        <v>-0.11156729999999999</v>
      </c>
      <c r="Z2199">
        <v>-2.838662E-3</v>
      </c>
      <c r="AA2199">
        <v>0.99375279999999999</v>
      </c>
      <c r="AB2199">
        <v>26</v>
      </c>
      <c r="AC2199">
        <v>-28.2791</v>
      </c>
      <c r="AD2199">
        <v>-1.1037712827720001</v>
      </c>
      <c r="AE2199">
        <v>-2.70549999999997</v>
      </c>
      <c r="AF2199">
        <v>-3.2136615034640199</v>
      </c>
      <c r="AG2199">
        <v>-1.1037712827720001</v>
      </c>
      <c r="AH2199">
        <v>28.1827694028953</v>
      </c>
      <c r="AI2199">
        <v>92.228402826859906</v>
      </c>
      <c r="AJ2199">
        <v>96.505299363538398</v>
      </c>
      <c r="AK2199">
        <v>28.386870601041799</v>
      </c>
    </row>
    <row r="2200" spans="1:37" x14ac:dyDescent="0.2">
      <c r="A2200" t="str">
        <f>"20200111153651834"</f>
        <v>20200111153651834</v>
      </c>
      <c r="B2200" t="str">
        <f>"1578728211824574"</f>
        <v>1578728211824574</v>
      </c>
      <c r="C2200" t="s">
        <v>37</v>
      </c>
      <c r="D2200">
        <v>6.002993</v>
      </c>
      <c r="E2200">
        <v>0.48835070000000003</v>
      </c>
      <c r="F2200" t="s">
        <v>45</v>
      </c>
      <c r="G2200">
        <v>-464.61680000000001</v>
      </c>
      <c r="H2200" s="1">
        <v>1.0940630000000001E-6</v>
      </c>
      <c r="I2200">
        <v>280.63479999999998</v>
      </c>
      <c r="J2200">
        <v>-437.75560000000002</v>
      </c>
      <c r="K2200">
        <v>1.10378</v>
      </c>
      <c r="L2200">
        <v>283.26400000000001</v>
      </c>
      <c r="M2200">
        <v>-0.99971409999999905</v>
      </c>
      <c r="N2200">
        <v>0</v>
      </c>
      <c r="O2200">
        <v>1.9818039999999999E-2</v>
      </c>
      <c r="P2200">
        <v>-0.9956642</v>
      </c>
      <c r="Q2200">
        <v>6.0405250000000001E-2</v>
      </c>
      <c r="R2200">
        <v>-7.0739300000000005E-2</v>
      </c>
      <c r="S2200">
        <v>-3.000092</v>
      </c>
      <c r="T2200">
        <v>-0.1221256</v>
      </c>
      <c r="U2200">
        <v>-0.2901917</v>
      </c>
      <c r="V2200">
        <v>-9.0239470000000002E-2</v>
      </c>
      <c r="W2200">
        <v>7.3968809999999996E-2</v>
      </c>
      <c r="X2200">
        <v>0.99316939999999998</v>
      </c>
      <c r="Y2200">
        <v>-0.1158757</v>
      </c>
      <c r="Z2200">
        <v>-3.1567879999999898E-3</v>
      </c>
      <c r="AA2200">
        <v>0.99325869999999905</v>
      </c>
      <c r="AB2200">
        <v>26</v>
      </c>
      <c r="AC2200">
        <v>-26.8612</v>
      </c>
      <c r="AD2200">
        <v>-1.103778905937</v>
      </c>
      <c r="AE2200">
        <v>-2.62920000000002</v>
      </c>
      <c r="AF2200">
        <v>-3.1557893852515799</v>
      </c>
      <c r="AG2200">
        <v>-1.103778905937</v>
      </c>
      <c r="AH2200">
        <v>26.7590581884544</v>
      </c>
      <c r="AI2200">
        <v>92.3458044211893</v>
      </c>
      <c r="AJ2200">
        <v>96.726024079292401</v>
      </c>
      <c r="AK2200">
        <v>26.967100875888502</v>
      </c>
    </row>
    <row r="2201" spans="1:37" x14ac:dyDescent="0.2">
      <c r="A2201" t="str">
        <f>"20200111153651856"</f>
        <v>20200111153651856</v>
      </c>
      <c r="B2201" t="str">
        <f>"1578728211845069"</f>
        <v>1578728211845069</v>
      </c>
      <c r="C2201" t="s">
        <v>37</v>
      </c>
      <c r="D2201">
        <v>6.0980800000000004</v>
      </c>
      <c r="E2201">
        <v>0.48745139999999998</v>
      </c>
      <c r="F2201" t="s">
        <v>45</v>
      </c>
      <c r="G2201">
        <v>-459.1404</v>
      </c>
      <c r="H2201" s="1">
        <v>3.4771889999999998E-6</v>
      </c>
      <c r="I2201">
        <v>281.18599999999998</v>
      </c>
      <c r="J2201">
        <v>-438.00740000000002</v>
      </c>
      <c r="K2201">
        <v>1.1037920000000001</v>
      </c>
      <c r="L2201">
        <v>283.27089999999998</v>
      </c>
      <c r="M2201">
        <v>-0.99968060000000003</v>
      </c>
      <c r="N2201">
        <v>0</v>
      </c>
      <c r="O2201">
        <v>2.144337E-2</v>
      </c>
      <c r="P2201">
        <v>-0.99585869999999999</v>
      </c>
      <c r="Q2201">
        <v>5.9820859999999997E-2</v>
      </c>
      <c r="R2201">
        <v>-6.8464499999999998E-2</v>
      </c>
      <c r="S2201">
        <v>-3.001709</v>
      </c>
      <c r="T2201">
        <v>-0.15493389999999899</v>
      </c>
      <c r="U2201">
        <v>-0.29168699999999997</v>
      </c>
      <c r="V2201">
        <v>-8.9591229999999994E-2</v>
      </c>
      <c r="W2201">
        <v>7.3377709999999999E-2</v>
      </c>
      <c r="X2201">
        <v>0.99327189999999999</v>
      </c>
      <c r="Y2201">
        <v>-0.1178568</v>
      </c>
      <c r="Z2201">
        <v>-4.1362509999999996E-3</v>
      </c>
      <c r="AA2201">
        <v>0.99302199999999996</v>
      </c>
      <c r="AB2201">
        <v>26</v>
      </c>
      <c r="AC2201">
        <v>-21.1329999999999</v>
      </c>
      <c r="AD2201">
        <v>-1.103788522811</v>
      </c>
      <c r="AE2201">
        <v>-2.0849000000000002</v>
      </c>
      <c r="AF2201">
        <v>-2.5307862803010699</v>
      </c>
      <c r="AG2201">
        <v>-1.103788522811</v>
      </c>
      <c r="AH2201">
        <v>21.0266202497317</v>
      </c>
      <c r="AI2201">
        <v>92.983479566196905</v>
      </c>
      <c r="AJ2201">
        <v>96.863166030954304</v>
      </c>
      <c r="AK2201">
        <v>21.207121148946101</v>
      </c>
    </row>
    <row r="2202" spans="1:37" x14ac:dyDescent="0.2">
      <c r="A2202" t="str">
        <f>"20200111153651878"</f>
        <v>20200111153651878</v>
      </c>
      <c r="B2202" t="str">
        <f>"1578728211875326"</f>
        <v>1578728211875326</v>
      </c>
      <c r="C2202" t="s">
        <v>37</v>
      </c>
      <c r="D2202">
        <v>6.0951370000000002</v>
      </c>
      <c r="E2202">
        <v>0.48850149999999998</v>
      </c>
      <c r="F2202" t="s">
        <v>45</v>
      </c>
      <c r="G2202">
        <v>-457.90199999999999</v>
      </c>
      <c r="H2202" s="1">
        <v>2.8114159999999999E-6</v>
      </c>
      <c r="I2202">
        <v>281.34120000000001</v>
      </c>
      <c r="J2202">
        <v>-438.26530000000002</v>
      </c>
      <c r="K2202">
        <v>1.103815</v>
      </c>
      <c r="L2202">
        <v>283.2783</v>
      </c>
      <c r="M2202">
        <v>-0.99964430000000004</v>
      </c>
      <c r="N2202">
        <v>0</v>
      </c>
      <c r="O2202">
        <v>2.3075310000000002E-2</v>
      </c>
      <c r="P2202">
        <v>-0.99602630000000003</v>
      </c>
      <c r="Q2202">
        <v>5.9342949999999998E-2</v>
      </c>
      <c r="R2202">
        <v>-6.6411499999999998E-2</v>
      </c>
      <c r="S2202">
        <v>-3.0024410000000001</v>
      </c>
      <c r="T2202">
        <v>-0.16658149999999999</v>
      </c>
      <c r="U2202">
        <v>-0.29122919999999902</v>
      </c>
      <c r="V2202">
        <v>-8.9170990000000006E-2</v>
      </c>
      <c r="W2202">
        <v>7.2892170000000006E-2</v>
      </c>
      <c r="X2202">
        <v>0.99334549999999999</v>
      </c>
      <c r="Y2202">
        <v>-0.11927119999999999</v>
      </c>
      <c r="Z2202">
        <v>-4.5751189999999999E-3</v>
      </c>
      <c r="AA2202">
        <v>0.99285109999999999</v>
      </c>
      <c r="AB2202">
        <v>26</v>
      </c>
      <c r="AC2202">
        <v>-19.636699999999902</v>
      </c>
      <c r="AD2202">
        <v>-1.103812188584</v>
      </c>
      <c r="AE2202">
        <v>-1.9370999999999801</v>
      </c>
      <c r="AF2202">
        <v>-2.3822926557358501</v>
      </c>
      <c r="AG2202">
        <v>-1.103812188584</v>
      </c>
      <c r="AH2202">
        <v>19.5256654946274</v>
      </c>
      <c r="AI2202">
        <v>93.211797135612997</v>
      </c>
      <c r="AJ2202">
        <v>96.956178263139506</v>
      </c>
      <c r="AK2202">
        <v>19.701404332009499</v>
      </c>
    </row>
    <row r="2203" spans="1:37" x14ac:dyDescent="0.2">
      <c r="A2203" t="str">
        <f>"20200111153651901"</f>
        <v>20200111153651901</v>
      </c>
      <c r="B2203" t="str">
        <f>"1578728211894845"</f>
        <v>1578728211894845</v>
      </c>
      <c r="C2203" t="s">
        <v>37</v>
      </c>
      <c r="D2203">
        <v>6.2076459999999898</v>
      </c>
      <c r="E2203">
        <v>0.48800280000000001</v>
      </c>
      <c r="F2203" t="s">
        <v>45</v>
      </c>
      <c r="G2203">
        <v>-458.83</v>
      </c>
      <c r="H2203" s="1">
        <v>3.3035179999999999E-6</v>
      </c>
      <c r="I2203">
        <v>281.38119999999998</v>
      </c>
      <c r="J2203">
        <v>-438.52980000000002</v>
      </c>
      <c r="K2203">
        <v>1.1038349999999999</v>
      </c>
      <c r="L2203">
        <v>283.28629999999998</v>
      </c>
      <c r="M2203">
        <v>-0.99960519999999997</v>
      </c>
      <c r="N2203">
        <v>0</v>
      </c>
      <c r="O2203">
        <v>2.4709459999999999E-2</v>
      </c>
      <c r="P2203">
        <v>-0.99612440000000002</v>
      </c>
      <c r="Q2203">
        <v>5.9170630000000002E-2</v>
      </c>
      <c r="R2203">
        <v>-6.5077640000000006E-2</v>
      </c>
      <c r="S2203">
        <v>-3.0031129999999999</v>
      </c>
      <c r="T2203">
        <v>-0.1611921</v>
      </c>
      <c r="U2203">
        <v>-0.27703860000000002</v>
      </c>
      <c r="V2203">
        <v>-8.9471519999999999E-2</v>
      </c>
      <c r="W2203">
        <v>7.2711919999999999E-2</v>
      </c>
      <c r="X2203">
        <v>0.99333169999999904</v>
      </c>
      <c r="Y2203">
        <v>-0.1162383</v>
      </c>
      <c r="Z2203">
        <v>-4.4336280000000002E-3</v>
      </c>
      <c r="AA2203">
        <v>0.99321139999999997</v>
      </c>
      <c r="AB2203">
        <v>26</v>
      </c>
      <c r="AC2203">
        <v>-20.300199999999901</v>
      </c>
      <c r="AD2203">
        <v>-1.1038316964820001</v>
      </c>
      <c r="AE2203">
        <v>-1.9051</v>
      </c>
      <c r="AF2203">
        <v>-2.3991385026777201</v>
      </c>
      <c r="AG2203">
        <v>-1.1038316964820001</v>
      </c>
      <c r="AH2203">
        <v>20.187754785258001</v>
      </c>
      <c r="AI2203">
        <v>93.107891645558794</v>
      </c>
      <c r="AJ2203">
        <v>96.777316819117203</v>
      </c>
      <c r="AK2203">
        <v>20.359758182230401</v>
      </c>
    </row>
    <row r="2204" spans="1:37" x14ac:dyDescent="0.2">
      <c r="A2204" t="str">
        <f>"20200111153651923"</f>
        <v>20200111153651923</v>
      </c>
      <c r="B2204" t="str">
        <f>"1578728211915344"</f>
        <v>1578728211915344</v>
      </c>
      <c r="C2204" t="s">
        <v>37</v>
      </c>
      <c r="D2204">
        <v>6.0333909999999999</v>
      </c>
      <c r="E2204">
        <v>0.48716890000000002</v>
      </c>
      <c r="F2204" t="s">
        <v>45</v>
      </c>
      <c r="G2204">
        <v>-458.82490000000001</v>
      </c>
      <c r="H2204" s="1">
        <v>3.29929399999999E-6</v>
      </c>
      <c r="I2204">
        <v>281.41559999999998</v>
      </c>
      <c r="J2204">
        <v>-438.78449999999998</v>
      </c>
      <c r="K2204">
        <v>1.1038619999999999</v>
      </c>
      <c r="L2204">
        <v>283.2944</v>
      </c>
      <c r="M2204">
        <v>-0.99956630000000002</v>
      </c>
      <c r="N2204">
        <v>0</v>
      </c>
      <c r="O2204">
        <v>2.6244420000000001E-2</v>
      </c>
      <c r="P2204">
        <v>-0.99618790000000002</v>
      </c>
      <c r="Q2204">
        <v>5.8094880000000002E-2</v>
      </c>
      <c r="R2204">
        <v>-6.5073000000000006E-2</v>
      </c>
      <c r="S2204">
        <v>-3.0032649999999999</v>
      </c>
      <c r="T2204">
        <v>-0.1633445</v>
      </c>
      <c r="U2204">
        <v>-0.27682499999999999</v>
      </c>
      <c r="V2204">
        <v>-9.100374E-2</v>
      </c>
      <c r="W2204">
        <v>7.1630910000000006E-2</v>
      </c>
      <c r="X2204">
        <v>0.99327109999999996</v>
      </c>
      <c r="Y2204">
        <v>-0.1176789</v>
      </c>
      <c r="Z2204">
        <v>-4.61488099999999E-3</v>
      </c>
      <c r="AA2204">
        <v>0.99304099999999995</v>
      </c>
      <c r="AB2204">
        <v>26</v>
      </c>
      <c r="AC2204">
        <v>-20.040400000000002</v>
      </c>
      <c r="AD2204">
        <v>-1.1038587007059999</v>
      </c>
      <c r="AE2204">
        <v>-1.87880000000001</v>
      </c>
      <c r="AF2204">
        <v>-2.3969394189396498</v>
      </c>
      <c r="AG2204">
        <v>-1.1038587007059999</v>
      </c>
      <c r="AH2204">
        <v>19.924260217039599</v>
      </c>
      <c r="AI2204">
        <v>93.1484463058638</v>
      </c>
      <c r="AJ2204">
        <v>96.859861866524199</v>
      </c>
      <c r="AK2204">
        <v>20.098257830108</v>
      </c>
    </row>
    <row r="2205" spans="1:37" x14ac:dyDescent="0.2">
      <c r="A2205" t="str">
        <f>"20200111153651945"</f>
        <v>20200111153651945</v>
      </c>
      <c r="B2205" t="str">
        <f>"1578728211934862"</f>
        <v>1578728211934862</v>
      </c>
      <c r="C2205" t="s">
        <v>37</v>
      </c>
      <c r="D2205">
        <v>5.9977429999999998</v>
      </c>
      <c r="E2205">
        <v>0.4865488</v>
      </c>
      <c r="F2205" t="s">
        <v>45</v>
      </c>
      <c r="G2205">
        <v>-457.64599999999899</v>
      </c>
      <c r="H2205" s="1">
        <v>2.667414E-6</v>
      </c>
      <c r="I2205">
        <v>281.51870000000002</v>
      </c>
      <c r="J2205">
        <v>-439.04149999999998</v>
      </c>
      <c r="K2205">
        <v>1.1038889999999999</v>
      </c>
      <c r="L2205">
        <v>283.30290000000002</v>
      </c>
      <c r="M2205">
        <v>-0.9995252</v>
      </c>
      <c r="N2205">
        <v>0</v>
      </c>
      <c r="O2205">
        <v>2.7762419999999999E-2</v>
      </c>
      <c r="P2205">
        <v>-0.99610659999999895</v>
      </c>
      <c r="Q2205">
        <v>5.8036629999999999E-2</v>
      </c>
      <c r="R2205">
        <v>-6.635916E-2</v>
      </c>
      <c r="S2205">
        <v>-3.0032649999999999</v>
      </c>
      <c r="T2205">
        <v>-0.1757648</v>
      </c>
      <c r="U2205">
        <v>-0.28274539999999998</v>
      </c>
      <c r="V2205">
        <v>-9.3801519999999999E-2</v>
      </c>
      <c r="W2205">
        <v>7.1568119999999999E-2</v>
      </c>
      <c r="X2205">
        <v>0.99301519999999999</v>
      </c>
      <c r="Y2205">
        <v>-0.1210854</v>
      </c>
      <c r="Z2205">
        <v>-5.1527550000000002E-3</v>
      </c>
      <c r="AA2205">
        <v>0.99262870000000003</v>
      </c>
      <c r="AB2205">
        <v>26</v>
      </c>
      <c r="AC2205">
        <v>-18.604499999999899</v>
      </c>
      <c r="AD2205">
        <v>-1.103886332586</v>
      </c>
      <c r="AE2205">
        <v>-1.78419999999999</v>
      </c>
      <c r="AF2205">
        <v>-2.29206839215386</v>
      </c>
      <c r="AG2205">
        <v>-1.103886332586</v>
      </c>
      <c r="AH2205">
        <v>18.4833107445208</v>
      </c>
      <c r="AI2205">
        <v>93.391920106033794</v>
      </c>
      <c r="AJ2205">
        <v>97.069015992194494</v>
      </c>
      <c r="AK2205">
        <v>18.657570008661299</v>
      </c>
    </row>
    <row r="2206" spans="1:37" x14ac:dyDescent="0.2">
      <c r="A2206" t="str">
        <f>"20200111153651969"</f>
        <v>20200111153651969</v>
      </c>
      <c r="B2206" t="str">
        <f>"1578728211965118"</f>
        <v>1578728211965118</v>
      </c>
      <c r="C2206" t="s">
        <v>37</v>
      </c>
      <c r="D2206">
        <v>5.9788920000000001</v>
      </c>
      <c r="E2206">
        <v>0.485734</v>
      </c>
      <c r="F2206" t="s">
        <v>45</v>
      </c>
      <c r="G2206">
        <v>-457.14330000000001</v>
      </c>
      <c r="H2206" s="1">
        <v>2.3985629999999998E-6</v>
      </c>
      <c r="I2206">
        <v>281.55</v>
      </c>
      <c r="J2206">
        <v>-439.31670000000003</v>
      </c>
      <c r="K2206">
        <v>1.103915</v>
      </c>
      <c r="L2206">
        <v>283.3125</v>
      </c>
      <c r="M2206">
        <v>-0.99947980000000003</v>
      </c>
      <c r="N2206">
        <v>0</v>
      </c>
      <c r="O2206">
        <v>2.9352969999999999E-2</v>
      </c>
      <c r="P2206">
        <v>-0.99605889999999997</v>
      </c>
      <c r="Q2206">
        <v>5.8440289999999999E-2</v>
      </c>
      <c r="R2206">
        <v>-6.6721409999999995E-2</v>
      </c>
      <c r="S2206">
        <v>-3.0030519999999998</v>
      </c>
      <c r="T2206">
        <v>-0.18313219999999999</v>
      </c>
      <c r="U2206">
        <v>-0.290802</v>
      </c>
      <c r="V2206">
        <v>-9.5747550000000001E-2</v>
      </c>
      <c r="W2206">
        <v>7.1965719999999997E-2</v>
      </c>
      <c r="X2206">
        <v>0.99280079999999904</v>
      </c>
      <c r="Y2206">
        <v>-0.12527720000000001</v>
      </c>
      <c r="Z2206">
        <v>-5.592184E-3</v>
      </c>
      <c r="AA2206">
        <v>0.99210599999999904</v>
      </c>
      <c r="AB2206">
        <v>26</v>
      </c>
      <c r="AC2206">
        <v>-17.8265999999999</v>
      </c>
      <c r="AD2206">
        <v>-1.103912601437</v>
      </c>
      <c r="AE2206">
        <v>-1.76249999999998</v>
      </c>
      <c r="AF2206">
        <v>-2.27640594089719</v>
      </c>
      <c r="AG2206">
        <v>-1.103912601437</v>
      </c>
      <c r="AH2206">
        <v>17.6999609392896</v>
      </c>
      <c r="AI2206">
        <v>93.539725611266405</v>
      </c>
      <c r="AJ2206">
        <v>97.328625159717006</v>
      </c>
      <c r="AK2206">
        <v>17.8798563834204</v>
      </c>
    </row>
    <row r="2207" spans="1:37" x14ac:dyDescent="0.2">
      <c r="A2207" t="str">
        <f>"20200111153651991"</f>
        <v>20200111153651991</v>
      </c>
      <c r="B2207" t="str">
        <f>"1578728211984637"</f>
        <v>1578728211984637</v>
      </c>
      <c r="C2207" t="s">
        <v>37</v>
      </c>
      <c r="D2207">
        <v>5.9979170000000002</v>
      </c>
      <c r="E2207">
        <v>0.48533979999999999</v>
      </c>
      <c r="F2207" t="s">
        <v>45</v>
      </c>
      <c r="G2207">
        <v>-456.97649999999999</v>
      </c>
      <c r="H2207" s="1">
        <v>2.3094790000000001E-6</v>
      </c>
      <c r="I2207">
        <v>281.55709999999999</v>
      </c>
      <c r="J2207">
        <v>-439.56040000000002</v>
      </c>
      <c r="K2207">
        <v>1.1039429999999999</v>
      </c>
      <c r="L2207">
        <v>283.32119999999998</v>
      </c>
      <c r="M2207">
        <v>-0.9994383</v>
      </c>
      <c r="N2207">
        <v>0</v>
      </c>
      <c r="O2207">
        <v>3.0730730000000001E-2</v>
      </c>
      <c r="P2207">
        <v>-0.99605449999999995</v>
      </c>
      <c r="Q2207">
        <v>5.8583379999999997E-2</v>
      </c>
      <c r="R2207">
        <v>-6.6659170000000004E-2</v>
      </c>
      <c r="S2207">
        <v>-3.0028990000000002</v>
      </c>
      <c r="T2207">
        <v>-0.18771060000000001</v>
      </c>
      <c r="U2207">
        <v>-0.29849239999999999</v>
      </c>
      <c r="V2207">
        <v>-9.7058759999999994E-2</v>
      </c>
      <c r="W2207">
        <v>7.2103180000000003E-2</v>
      </c>
      <c r="X2207">
        <v>0.99266339999999997</v>
      </c>
      <c r="Y2207">
        <v>-0.1291408</v>
      </c>
      <c r="Z2207">
        <v>-5.9375319999999997E-3</v>
      </c>
      <c r="AA2207">
        <v>0.991608499999999</v>
      </c>
      <c r="AB2207">
        <v>26</v>
      </c>
      <c r="AC2207">
        <v>-17.416099999999901</v>
      </c>
      <c r="AD2207">
        <v>-1.1039406905210001</v>
      </c>
      <c r="AE2207">
        <v>-1.76409999999998</v>
      </c>
      <c r="AF2207">
        <v>-2.2894189229836002</v>
      </c>
      <c r="AG2207">
        <v>-1.1039406905210001</v>
      </c>
      <c r="AH2207">
        <v>17.2849137215448</v>
      </c>
      <c r="AI2207">
        <v>93.622808290474296</v>
      </c>
      <c r="AJ2207">
        <v>97.545014965687002</v>
      </c>
      <c r="AK2207">
        <v>17.4707860846143</v>
      </c>
    </row>
    <row r="2208" spans="1:37" x14ac:dyDescent="0.2">
      <c r="A2208" t="str">
        <f>"20200111153652012"</f>
        <v>20200111153652012</v>
      </c>
      <c r="B2208" t="str">
        <f>"1578728212005133"</f>
        <v>1578728212005133</v>
      </c>
      <c r="C2208" t="s">
        <v>37</v>
      </c>
      <c r="D2208">
        <v>5.9875099999999897</v>
      </c>
      <c r="E2208">
        <v>0.48510320000000001</v>
      </c>
      <c r="F2208" t="s">
        <v>45</v>
      </c>
      <c r="G2208">
        <v>-456.86</v>
      </c>
      <c r="H2208" s="1">
        <v>2.246277E-6</v>
      </c>
      <c r="I2208">
        <v>281.58429999999998</v>
      </c>
      <c r="J2208">
        <v>-439.8152</v>
      </c>
      <c r="K2208">
        <v>1.103979</v>
      </c>
      <c r="L2208">
        <v>283.33069999999998</v>
      </c>
      <c r="M2208">
        <v>-0.99939429999999996</v>
      </c>
      <c r="N2208">
        <v>0</v>
      </c>
      <c r="O2208">
        <v>3.2136409999999997E-2</v>
      </c>
      <c r="P2208">
        <v>-0.99610869999999996</v>
      </c>
      <c r="Q2208">
        <v>5.8391190000000003E-2</v>
      </c>
      <c r="R2208">
        <v>-6.6016530000000004E-2</v>
      </c>
      <c r="S2208">
        <v>-3.0030209999999999</v>
      </c>
      <c r="T2208">
        <v>-0.19163269999999999</v>
      </c>
      <c r="U2208">
        <v>-0.3015137</v>
      </c>
      <c r="V2208">
        <v>-9.7819859999999995E-2</v>
      </c>
      <c r="W2208">
        <v>7.1903880000000003E-2</v>
      </c>
      <c r="X2208">
        <v>0.99260319999999902</v>
      </c>
      <c r="Y2208">
        <v>-0.13149829999999901</v>
      </c>
      <c r="Z2208">
        <v>-6.2251950000000002E-3</v>
      </c>
      <c r="AA2208">
        <v>0.99129679999999998</v>
      </c>
      <c r="AB2208">
        <v>26</v>
      </c>
      <c r="AC2208">
        <v>-17.044799999999999</v>
      </c>
      <c r="AD2208">
        <v>-1.1039767537230001</v>
      </c>
      <c r="AE2208">
        <v>-1.74639999999999</v>
      </c>
      <c r="AF2208">
        <v>-2.28382412684106</v>
      </c>
      <c r="AG2208">
        <v>-1.1039767537230001</v>
      </c>
      <c r="AH2208">
        <v>16.909666861768802</v>
      </c>
      <c r="AI2208">
        <v>93.701836826798001</v>
      </c>
      <c r="AJ2208">
        <v>97.691839000873898</v>
      </c>
      <c r="AK2208">
        <v>17.098872790073099</v>
      </c>
    </row>
    <row r="2209" spans="1:37" x14ac:dyDescent="0.2">
      <c r="A2209" t="str">
        <f>"20200111153652035"</f>
        <v>20200111153652035</v>
      </c>
      <c r="B2209" t="str">
        <f>"1578728212024653"</f>
        <v>1578728212024653</v>
      </c>
      <c r="C2209" t="s">
        <v>37</v>
      </c>
      <c r="D2209">
        <v>6.5858840000000001</v>
      </c>
      <c r="E2209">
        <v>0.48493969999999997</v>
      </c>
      <c r="F2209" t="s">
        <v>45</v>
      </c>
      <c r="G2209">
        <v>-457.13920000000002</v>
      </c>
      <c r="H2209" s="1">
        <v>2.394574E-6</v>
      </c>
      <c r="I2209">
        <v>281.59059999999999</v>
      </c>
      <c r="J2209">
        <v>-440.0668</v>
      </c>
      <c r="K2209">
        <v>1.104006</v>
      </c>
      <c r="L2209">
        <v>283.34039999999999</v>
      </c>
      <c r="M2209">
        <v>-0.99934979999999995</v>
      </c>
      <c r="N2209">
        <v>0</v>
      </c>
      <c r="O2209">
        <v>3.349092E-2</v>
      </c>
      <c r="P2209">
        <v>-0.9960734</v>
      </c>
      <c r="Q2209">
        <v>5.8301230000000002E-2</v>
      </c>
      <c r="R2209">
        <v>-6.6625909999999997E-2</v>
      </c>
      <c r="S2209">
        <v>-3.0029910000000002</v>
      </c>
      <c r="T2209">
        <v>-0.1913667</v>
      </c>
      <c r="U2209">
        <v>-0.30163570000000001</v>
      </c>
      <c r="V2209">
        <v>-9.9779859999999998E-2</v>
      </c>
      <c r="W2209">
        <v>7.1807830000000003E-2</v>
      </c>
      <c r="X2209">
        <v>0.99241509999999999</v>
      </c>
      <c r="Y2209">
        <v>-0.132878</v>
      </c>
      <c r="Z2209">
        <v>-6.346483E-3</v>
      </c>
      <c r="AA2209">
        <v>0.99111209999999905</v>
      </c>
      <c r="AB2209">
        <v>26</v>
      </c>
      <c r="AC2209">
        <v>-17.072399999999998</v>
      </c>
      <c r="AD2209">
        <v>-1.1040036054260001</v>
      </c>
      <c r="AE2209">
        <v>-1.74979999999999</v>
      </c>
      <c r="AF2209">
        <v>-2.3110758605463402</v>
      </c>
      <c r="AG2209">
        <v>-1.1040036054260001</v>
      </c>
      <c r="AH2209">
        <v>16.934136248030899</v>
      </c>
      <c r="AI2209">
        <v>93.695897399378893</v>
      </c>
      <c r="AJ2209">
        <v>97.771395617614999</v>
      </c>
      <c r="AK2209">
        <v>17.126729578669401</v>
      </c>
    </row>
    <row r="2210" spans="1:37" x14ac:dyDescent="0.2">
      <c r="A2210" t="str">
        <f>"20200111153652056"</f>
        <v>20200111153652056</v>
      </c>
      <c r="B2210" t="str">
        <f>"1578728212045149"</f>
        <v>1578728212045149</v>
      </c>
      <c r="C2210" t="s">
        <v>37</v>
      </c>
      <c r="D2210">
        <v>5.9833819999999998</v>
      </c>
      <c r="E2210">
        <v>0.48462259999999902</v>
      </c>
      <c r="F2210" t="s">
        <v>45</v>
      </c>
      <c r="G2210">
        <v>-457.42419999999998</v>
      </c>
      <c r="H2210" s="1">
        <v>2.5468060000000001E-6</v>
      </c>
      <c r="I2210">
        <v>281.57780000000002</v>
      </c>
      <c r="J2210">
        <v>-440.32069999999999</v>
      </c>
      <c r="K2210">
        <v>1.1040299999999901</v>
      </c>
      <c r="L2210">
        <v>283.35050000000001</v>
      </c>
      <c r="M2210">
        <v>-0.99930439999999998</v>
      </c>
      <c r="N2210">
        <v>0</v>
      </c>
      <c r="O2210">
        <v>3.4818000000000002E-2</v>
      </c>
      <c r="P2210">
        <v>-0.99592729999999996</v>
      </c>
      <c r="Q2210">
        <v>5.8044800000000001E-2</v>
      </c>
      <c r="R2210">
        <v>-6.899284E-2</v>
      </c>
      <c r="S2210">
        <v>-3.00259399999999</v>
      </c>
      <c r="T2210">
        <v>-0.19097790000000001</v>
      </c>
      <c r="U2210">
        <v>-0.30490109999999998</v>
      </c>
      <c r="V2210">
        <v>-0.10346559999999901</v>
      </c>
      <c r="W2210">
        <v>7.1545280000000003E-2</v>
      </c>
      <c r="X2210">
        <v>0.99205650000000001</v>
      </c>
      <c r="Y2210">
        <v>-0.13526759999999999</v>
      </c>
      <c r="Z2210">
        <v>-6.493988E-3</v>
      </c>
      <c r="AA2210">
        <v>0.9907878</v>
      </c>
      <c r="AB2210">
        <v>26</v>
      </c>
      <c r="AC2210">
        <v>-17.103499999999901</v>
      </c>
      <c r="AD2210">
        <v>-1.10402745319399</v>
      </c>
      <c r="AE2210">
        <v>-1.77269999999998</v>
      </c>
      <c r="AF2210">
        <v>-2.3574693499183299</v>
      </c>
      <c r="AG2210">
        <v>-1.10402745319399</v>
      </c>
      <c r="AH2210">
        <v>16.961478538173999</v>
      </c>
      <c r="AI2210">
        <v>93.688784637827993</v>
      </c>
      <c r="AJ2210">
        <v>97.912824513668895</v>
      </c>
      <c r="AK2210">
        <v>17.160078454195499</v>
      </c>
    </row>
    <row r="2211" spans="1:37" x14ac:dyDescent="0.2">
      <c r="A2211" t="str">
        <f>"20200111153652080"</f>
        <v>20200111153652080</v>
      </c>
      <c r="B2211" t="str">
        <f>"1578728212075405"</f>
        <v>1578728212075405</v>
      </c>
      <c r="C2211" t="s">
        <v>37</v>
      </c>
      <c r="D2211">
        <v>6.0512050000000004</v>
      </c>
      <c r="E2211">
        <v>0.48483329999999902</v>
      </c>
      <c r="F2211" t="s">
        <v>45</v>
      </c>
      <c r="G2211">
        <v>-456.7704</v>
      </c>
      <c r="H2211" s="1">
        <v>2.196912E-6</v>
      </c>
      <c r="I2211">
        <v>281.62360000000001</v>
      </c>
      <c r="J2211">
        <v>-440.5795</v>
      </c>
      <c r="K2211">
        <v>1.104061</v>
      </c>
      <c r="L2211">
        <v>283.36099999999999</v>
      </c>
      <c r="M2211">
        <v>-0.99925819999999999</v>
      </c>
      <c r="N2211">
        <v>0</v>
      </c>
      <c r="O2211">
        <v>3.612129E-2</v>
      </c>
      <c r="P2211">
        <v>-0.99569920000000001</v>
      </c>
      <c r="Q2211">
        <v>5.7449790000000001E-2</v>
      </c>
      <c r="R2211">
        <v>-7.2680739999999994E-2</v>
      </c>
      <c r="S2211">
        <v>-3.002167</v>
      </c>
      <c r="T2211">
        <v>-0.2014909</v>
      </c>
      <c r="U2211">
        <v>-0.31515500000000002</v>
      </c>
      <c r="V2211">
        <v>-0.108445899999999</v>
      </c>
      <c r="W2211">
        <v>7.0943149999999996E-2</v>
      </c>
      <c r="X2211">
        <v>0.99156769999999905</v>
      </c>
      <c r="Y2211">
        <v>-0.1398692</v>
      </c>
      <c r="Z2211">
        <v>-7.091506E-3</v>
      </c>
      <c r="AA2211">
        <v>0.99014460000000004</v>
      </c>
      <c r="AB2211">
        <v>26</v>
      </c>
      <c r="AC2211">
        <v>-16.190899999999999</v>
      </c>
      <c r="AD2211">
        <v>-1.1040588030879901</v>
      </c>
      <c r="AE2211">
        <v>-1.7373999999999701</v>
      </c>
      <c r="AF2211">
        <v>-2.3105329196436801</v>
      </c>
      <c r="AG2211">
        <v>-1.1040588030879901</v>
      </c>
      <c r="AH2211">
        <v>16.043816733687901</v>
      </c>
      <c r="AI2211">
        <v>93.896541559796901</v>
      </c>
      <c r="AJ2211">
        <v>98.195044618417697</v>
      </c>
      <c r="AK2211">
        <v>16.2468939676973</v>
      </c>
    </row>
    <row r="2212" spans="1:37" x14ac:dyDescent="0.2">
      <c r="A2212" t="str">
        <f>"20200111153652101"</f>
        <v>20200111153652101</v>
      </c>
      <c r="B2212" t="str">
        <f>"1578728212094928"</f>
        <v>1578728212094928</v>
      </c>
      <c r="C2212" t="s">
        <v>37</v>
      </c>
      <c r="D2212">
        <v>6.3467139999999898</v>
      </c>
      <c r="E2212">
        <v>0.48448599999999897</v>
      </c>
      <c r="F2212" t="s">
        <v>45</v>
      </c>
      <c r="G2212">
        <v>-457.16800000000001</v>
      </c>
      <c r="H2212" s="1">
        <v>2.411319E-6</v>
      </c>
      <c r="I2212">
        <v>281.55919999999998</v>
      </c>
      <c r="J2212">
        <v>-440.83519999999999</v>
      </c>
      <c r="K2212">
        <v>1.1041019999999999</v>
      </c>
      <c r="L2212">
        <v>283.37169999999998</v>
      </c>
      <c r="M2212">
        <v>-0.99921329999999997</v>
      </c>
      <c r="N2212">
        <v>0</v>
      </c>
      <c r="O2212">
        <v>3.7341399999999997E-2</v>
      </c>
      <c r="P2212">
        <v>-0.9956296</v>
      </c>
      <c r="Q2212">
        <v>5.6141699999999899E-2</v>
      </c>
      <c r="R2212">
        <v>-7.4631069999999994E-2</v>
      </c>
      <c r="S2212">
        <v>-3.0006710000000001</v>
      </c>
      <c r="T2212">
        <v>-0.19971120000000001</v>
      </c>
      <c r="U2212">
        <v>-0.32592769999999999</v>
      </c>
      <c r="V2212">
        <v>-0.1116137</v>
      </c>
      <c r="W2212">
        <v>6.9623660000000004E-2</v>
      </c>
      <c r="X2212">
        <v>0.99130969999999996</v>
      </c>
      <c r="Y2212">
        <v>-0.14463589999999901</v>
      </c>
      <c r="Z2212">
        <v>-7.2701010000000002E-3</v>
      </c>
      <c r="AA2212">
        <v>0.98945830000000001</v>
      </c>
      <c r="AB2212">
        <v>26</v>
      </c>
      <c r="AC2212">
        <v>-16.332799999999999</v>
      </c>
      <c r="AD2212">
        <v>-1.1040995886810001</v>
      </c>
      <c r="AE2212">
        <v>-1.8125</v>
      </c>
      <c r="AF2212">
        <v>-2.4102991633747899</v>
      </c>
      <c r="AG2212">
        <v>-1.1040995886810001</v>
      </c>
      <c r="AH2212">
        <v>16.180677003429501</v>
      </c>
      <c r="AI2212">
        <v>93.861093888638095</v>
      </c>
      <c r="AJ2212">
        <v>98.472568739849606</v>
      </c>
      <c r="AK2212">
        <v>16.396429070014101</v>
      </c>
    </row>
    <row r="2213" spans="1:37" x14ac:dyDescent="0.2">
      <c r="A2213" t="str">
        <f>"20200111153652124"</f>
        <v>20200111153652124</v>
      </c>
      <c r="B2213" t="str">
        <f>"1578728212115421"</f>
        <v>1578728212115421</v>
      </c>
      <c r="C2213" t="s">
        <v>37</v>
      </c>
      <c r="D2213">
        <v>6.3476610000000004</v>
      </c>
      <c r="E2213">
        <v>0.48425390000000001</v>
      </c>
      <c r="F2213" t="s">
        <v>45</v>
      </c>
      <c r="G2213">
        <v>-457.10890000000001</v>
      </c>
      <c r="H2213" s="1">
        <v>2.380221E-6</v>
      </c>
      <c r="I2213">
        <v>281.55090000000001</v>
      </c>
      <c r="J2213">
        <v>-441.09070000000003</v>
      </c>
      <c r="K2213">
        <v>1.104136</v>
      </c>
      <c r="L2213">
        <v>283.38260000000002</v>
      </c>
      <c r="M2213">
        <v>-0.99916949999999904</v>
      </c>
      <c r="N2213">
        <v>0</v>
      </c>
      <c r="O2213">
        <v>3.8501710000000001E-2</v>
      </c>
      <c r="P2213">
        <v>-0.99574479999999999</v>
      </c>
      <c r="Q2213">
        <v>5.5040360000000003E-2</v>
      </c>
      <c r="R2213">
        <v>-7.3913160000000006E-2</v>
      </c>
      <c r="S2213">
        <v>-2.9994509999999899</v>
      </c>
      <c r="T2213">
        <v>-0.20349979999999901</v>
      </c>
      <c r="U2213">
        <v>-0.33560180000000001</v>
      </c>
      <c r="V2213">
        <v>-0.11206289999999999</v>
      </c>
      <c r="W2213">
        <v>6.8509589999999995E-2</v>
      </c>
      <c r="X2213">
        <v>0.99133660000000001</v>
      </c>
      <c r="Y2213">
        <v>-0.148951799999999</v>
      </c>
      <c r="Z2213">
        <v>-7.6336549999999996E-3</v>
      </c>
      <c r="AA2213">
        <v>0.988815</v>
      </c>
      <c r="AB2213">
        <v>26</v>
      </c>
      <c r="AC2213">
        <v>-16.018199999999901</v>
      </c>
      <c r="AD2213">
        <v>-1.1041336197789999</v>
      </c>
      <c r="AE2213">
        <v>-1.8317000000000101</v>
      </c>
      <c r="AF2213">
        <v>-2.4357011189571001</v>
      </c>
      <c r="AG2213">
        <v>-1.1041336197789999</v>
      </c>
      <c r="AH2213">
        <v>15.8614009588781</v>
      </c>
      <c r="AI2213">
        <v>93.936023236830295</v>
      </c>
      <c r="AJ2213">
        <v>98.730231316715006</v>
      </c>
      <c r="AK2213">
        <v>16.085266282207201</v>
      </c>
    </row>
    <row r="2214" spans="1:37" x14ac:dyDescent="0.2">
      <c r="A2214" t="str">
        <f>"20200111153652146"</f>
        <v>20200111153652146</v>
      </c>
      <c r="B2214" t="str">
        <f>"1578728212134942"</f>
        <v>1578728212134942</v>
      </c>
      <c r="C2214" t="s">
        <v>37</v>
      </c>
      <c r="D2214">
        <v>5.967543</v>
      </c>
      <c r="E2214">
        <v>0.48381590000000002</v>
      </c>
      <c r="F2214" t="s">
        <v>45</v>
      </c>
      <c r="G2214">
        <v>-457.22500000000002</v>
      </c>
      <c r="H2214" s="1">
        <v>2.4410110000000001E-6</v>
      </c>
      <c r="I2214">
        <v>281.57380000000001</v>
      </c>
      <c r="J2214">
        <v>-441.34379999999999</v>
      </c>
      <c r="K2214">
        <v>1.104185</v>
      </c>
      <c r="L2214">
        <v>283.39370000000002</v>
      </c>
      <c r="M2214">
        <v>-0.99912719999999899</v>
      </c>
      <c r="N2214">
        <v>0</v>
      </c>
      <c r="O2214">
        <v>3.9578450000000001E-2</v>
      </c>
      <c r="P2214">
        <v>-0.99598189999999998</v>
      </c>
      <c r="Q2214">
        <v>5.3395819999999997E-2</v>
      </c>
      <c r="R2214">
        <v>-7.1895550000000003E-2</v>
      </c>
      <c r="S2214">
        <v>-2.9992070000000002</v>
      </c>
      <c r="T2214">
        <v>-0.2052464</v>
      </c>
      <c r="U2214">
        <v>-0.33624270000000001</v>
      </c>
      <c r="V2214">
        <v>-0.1111371</v>
      </c>
      <c r="W2214">
        <v>6.6849720000000001E-2</v>
      </c>
      <c r="X2214">
        <v>0.99155409999999899</v>
      </c>
      <c r="Y2214">
        <v>-0.15022189999999999</v>
      </c>
      <c r="Z2214">
        <v>-7.8162490000000008E-3</v>
      </c>
      <c r="AA2214">
        <v>0.98862139999999998</v>
      </c>
      <c r="AB2214">
        <v>26</v>
      </c>
      <c r="AC2214">
        <v>-15.8812</v>
      </c>
      <c r="AD2214">
        <v>-1.104182558989</v>
      </c>
      <c r="AE2214">
        <v>-1.8199000000000101</v>
      </c>
      <c r="AF2214">
        <v>-2.4354624877817499</v>
      </c>
      <c r="AG2214">
        <v>-1.104182558989</v>
      </c>
      <c r="AH2214">
        <v>15.721703965579399</v>
      </c>
      <c r="AI2214">
        <v>93.970256707301502</v>
      </c>
      <c r="AJ2214">
        <v>98.805744706977194</v>
      </c>
      <c r="AK2214">
        <v>15.9474973658654</v>
      </c>
    </row>
    <row r="2215" spans="1:37" x14ac:dyDescent="0.2">
      <c r="A2215" t="str">
        <f>"20200111153652169"</f>
        <v>20200111153652169</v>
      </c>
      <c r="B2215" t="str">
        <f>"1578728212165198"</f>
        <v>1578728212165198</v>
      </c>
      <c r="C2215" t="s">
        <v>37</v>
      </c>
      <c r="D2215">
        <v>6.0603089999999904</v>
      </c>
      <c r="E2215">
        <v>0.48357669999999903</v>
      </c>
      <c r="F2215" t="s">
        <v>45</v>
      </c>
      <c r="G2215">
        <v>-457.08370000000002</v>
      </c>
      <c r="H2215" s="1">
        <v>2.362789E-6</v>
      </c>
      <c r="I2215">
        <v>281.64299999999997</v>
      </c>
      <c r="J2215">
        <v>-441.59750000000003</v>
      </c>
      <c r="K2215">
        <v>1.104247</v>
      </c>
      <c r="L2215">
        <v>283.4049</v>
      </c>
      <c r="M2215">
        <v>-0.99908790000000003</v>
      </c>
      <c r="N2215">
        <v>0</v>
      </c>
      <c r="O2215">
        <v>4.0561310000000003E-2</v>
      </c>
      <c r="P2215">
        <v>-0.99620439999999999</v>
      </c>
      <c r="Q2215">
        <v>5.3122299999999997E-2</v>
      </c>
      <c r="R2215">
        <v>-6.8953529999999999E-2</v>
      </c>
      <c r="S2215">
        <v>-2.9992679999999998</v>
      </c>
      <c r="T2215">
        <v>-0.21040329999999999</v>
      </c>
      <c r="U2215">
        <v>-0.33358759999999998</v>
      </c>
      <c r="V2215">
        <v>-0.1091934</v>
      </c>
      <c r="W2215">
        <v>6.6556630000000006E-2</v>
      </c>
      <c r="X2215">
        <v>0.99178980000000005</v>
      </c>
      <c r="Y2215">
        <v>-0.15030289999999999</v>
      </c>
      <c r="Z2215">
        <v>-8.0839009999999992E-3</v>
      </c>
      <c r="AA2215">
        <v>0.98860689999999996</v>
      </c>
      <c r="AB2215">
        <v>25</v>
      </c>
      <c r="AC2215">
        <v>-15.486199999999901</v>
      </c>
      <c r="AD2215">
        <v>-1.104244637211</v>
      </c>
      <c r="AE2215">
        <v>-1.76190000000002</v>
      </c>
      <c r="AF2215">
        <v>-2.37671651691001</v>
      </c>
      <c r="AG2215">
        <v>-1.104244637211</v>
      </c>
      <c r="AH2215">
        <v>15.325058810725499</v>
      </c>
      <c r="AI2215">
        <v>94.072793968088106</v>
      </c>
      <c r="AJ2215">
        <v>98.815597497519803</v>
      </c>
      <c r="AK2215">
        <v>15.5475260145387</v>
      </c>
    </row>
    <row r="2216" spans="1:37" x14ac:dyDescent="0.2">
      <c r="A2216" t="str">
        <f>"20200111153652191"</f>
        <v>20200111153652191</v>
      </c>
      <c r="B2216" t="str">
        <f>"1578728212184720"</f>
        <v>1578728212184720</v>
      </c>
      <c r="C2216" t="s">
        <v>37</v>
      </c>
      <c r="D2216">
        <v>5.8737560000000002</v>
      </c>
      <c r="E2216">
        <v>0.48348079999999999</v>
      </c>
      <c r="F2216" t="s">
        <v>45</v>
      </c>
      <c r="G2216">
        <v>-457.41160000000002</v>
      </c>
      <c r="H2216" s="1">
        <v>2.5353340000000002E-6</v>
      </c>
      <c r="I2216">
        <v>281.6875</v>
      </c>
      <c r="J2216">
        <v>-441.85430000000002</v>
      </c>
      <c r="K2216">
        <v>1.1043319999999901</v>
      </c>
      <c r="L2216">
        <v>283.41649999999998</v>
      </c>
      <c r="M2216">
        <v>-0.99905200000000005</v>
      </c>
      <c r="N2216">
        <v>0</v>
      </c>
      <c r="O2216">
        <v>4.1438950000000002E-2</v>
      </c>
      <c r="P2216">
        <v>-0.99633159999999898</v>
      </c>
      <c r="Q2216">
        <v>5.42879E-2</v>
      </c>
      <c r="R2216">
        <v>-6.6156919999999994E-2</v>
      </c>
      <c r="S2216">
        <v>-3.000092</v>
      </c>
      <c r="T2216">
        <v>-0.209485799999999</v>
      </c>
      <c r="U2216">
        <v>-0.32580569999999998</v>
      </c>
      <c r="V2216">
        <v>-0.1072876</v>
      </c>
      <c r="W2216">
        <v>6.769704E-2</v>
      </c>
      <c r="X2216">
        <v>0.99192060000000004</v>
      </c>
      <c r="Y2216">
        <v>-0.14861359999999901</v>
      </c>
      <c r="Z2216">
        <v>-8.0499649999999992E-3</v>
      </c>
      <c r="AA2216">
        <v>0.98886260000000004</v>
      </c>
      <c r="AB2216">
        <v>25</v>
      </c>
      <c r="AC2216">
        <v>-15.5572999999999</v>
      </c>
      <c r="AD2216">
        <v>-1.10432946466599</v>
      </c>
      <c r="AE2216">
        <v>-1.7289999999999801</v>
      </c>
      <c r="AF2216">
        <v>-2.3605011012270598</v>
      </c>
      <c r="AG2216">
        <v>-1.10432946466599</v>
      </c>
      <c r="AH2216">
        <v>15.3956507449808</v>
      </c>
      <c r="AI2216">
        <v>94.055566297110801</v>
      </c>
      <c r="AJ2216">
        <v>98.716855753075805</v>
      </c>
      <c r="AK2216">
        <v>15.614658845996299</v>
      </c>
    </row>
    <row r="2217" spans="1:37" x14ac:dyDescent="0.2">
      <c r="A2217" t="str">
        <f>"20200111153652213"</f>
        <v>20200111153652213</v>
      </c>
      <c r="B2217" t="str">
        <f>"1578728212205213"</f>
        <v>1578728212205213</v>
      </c>
      <c r="C2217" t="s">
        <v>37</v>
      </c>
      <c r="D2217">
        <v>6.2448139999999999</v>
      </c>
      <c r="E2217">
        <v>0.48340029999999901</v>
      </c>
      <c r="F2217" t="s">
        <v>45</v>
      </c>
      <c r="G2217">
        <v>-457.9221</v>
      </c>
      <c r="H2217" s="1">
        <v>2.8055769999999999E-6</v>
      </c>
      <c r="I2217">
        <v>281.71890000000002</v>
      </c>
      <c r="J2217">
        <v>-442.10849999999999</v>
      </c>
      <c r="K2217">
        <v>1.1044350000000001</v>
      </c>
      <c r="L2217">
        <v>283.428</v>
      </c>
      <c r="M2217">
        <v>-0.999021099999999</v>
      </c>
      <c r="N2217">
        <v>0</v>
      </c>
      <c r="O2217">
        <v>4.2177180000000002E-2</v>
      </c>
      <c r="P2217">
        <v>-0.99648029999999999</v>
      </c>
      <c r="Q2217">
        <v>5.485044E-2</v>
      </c>
      <c r="R2217">
        <v>-6.3392489999999996E-2</v>
      </c>
      <c r="S2217">
        <v>-3.0011899999999998</v>
      </c>
      <c r="T2217">
        <v>-0.2062707</v>
      </c>
      <c r="U2217">
        <v>-0.31707759999999902</v>
      </c>
      <c r="V2217">
        <v>-0.105280399999999</v>
      </c>
      <c r="W2217">
        <v>6.823224E-2</v>
      </c>
      <c r="X2217">
        <v>0.99209899999999995</v>
      </c>
      <c r="Y2217">
        <v>-0.14647929999999901</v>
      </c>
      <c r="Z2217">
        <v>-7.9025180000000007E-3</v>
      </c>
      <c r="AA2217">
        <v>0.98918220000000001</v>
      </c>
      <c r="AB2217">
        <v>25</v>
      </c>
      <c r="AC2217">
        <v>-15.813599999999999</v>
      </c>
      <c r="AD2217">
        <v>-1.104432194423</v>
      </c>
      <c r="AE2217">
        <v>-1.7090999999999701</v>
      </c>
      <c r="AF2217">
        <v>-2.3632172650327701</v>
      </c>
      <c r="AG2217">
        <v>-1.104432194423</v>
      </c>
      <c r="AH2217">
        <v>15.651969883901501</v>
      </c>
      <c r="AI2217">
        <v>93.991120352522699</v>
      </c>
      <c r="AJ2217">
        <v>98.585968521077703</v>
      </c>
      <c r="AK2217">
        <v>15.867852014699</v>
      </c>
    </row>
    <row r="2218" spans="1:37" x14ac:dyDescent="0.2">
      <c r="A2218" t="str">
        <f>"20200111153652236"</f>
        <v>20200111153652236</v>
      </c>
      <c r="B2218" t="str">
        <f>"1578728212225357"</f>
        <v>1578728212225357</v>
      </c>
      <c r="C2218" t="s">
        <v>37</v>
      </c>
      <c r="D2218">
        <v>6.0331789999999996</v>
      </c>
      <c r="E2218">
        <v>0.48333530000000002</v>
      </c>
      <c r="F2218" t="s">
        <v>45</v>
      </c>
      <c r="G2218">
        <v>-458.38560000000001</v>
      </c>
      <c r="H2218" s="1">
        <v>3.05068899999999E-6</v>
      </c>
      <c r="I2218">
        <v>281.75439999999998</v>
      </c>
      <c r="J2218">
        <v>-442.36149999999998</v>
      </c>
      <c r="K2218">
        <v>1.1045389999999999</v>
      </c>
      <c r="L2218">
        <v>283.43950000000001</v>
      </c>
      <c r="M2218">
        <v>-0.99899609999999905</v>
      </c>
      <c r="N2218">
        <v>0</v>
      </c>
      <c r="O2218">
        <v>4.2768479999999998E-2</v>
      </c>
      <c r="P2218">
        <v>-0.99653559999999997</v>
      </c>
      <c r="Q2218">
        <v>5.4730880000000003E-2</v>
      </c>
      <c r="R2218">
        <v>-6.2626130000000002E-2</v>
      </c>
      <c r="S2218">
        <v>-3.002167</v>
      </c>
      <c r="T2218">
        <v>-0.20370260000000001</v>
      </c>
      <c r="U2218">
        <v>-0.3086853</v>
      </c>
      <c r="V2218">
        <v>-0.1051221</v>
      </c>
      <c r="W2218">
        <v>6.8082859999999995E-2</v>
      </c>
      <c r="X2218">
        <v>0.99212599999999995</v>
      </c>
      <c r="Y2218">
        <v>-0.14430989999999999</v>
      </c>
      <c r="Z2218">
        <v>-7.7695849999999999E-3</v>
      </c>
      <c r="AA2218">
        <v>0.98950210000000005</v>
      </c>
      <c r="AB2218">
        <v>25</v>
      </c>
      <c r="AC2218">
        <v>-16.024100000000001</v>
      </c>
      <c r="AD2218">
        <v>-1.1045359493109901</v>
      </c>
      <c r="AE2218">
        <v>-1.68510000000003</v>
      </c>
      <c r="AF2218">
        <v>-2.35786477124813</v>
      </c>
      <c r="AG2218">
        <v>-1.1045359493109901</v>
      </c>
      <c r="AH2218">
        <v>15.8628153119817</v>
      </c>
      <c r="AI2218">
        <v>93.939956889760197</v>
      </c>
      <c r="AJ2218">
        <v>98.454599058481904</v>
      </c>
      <c r="AK2218">
        <v>16.075087420130998</v>
      </c>
    </row>
    <row r="2219" spans="1:37" x14ac:dyDescent="0.2">
      <c r="A2219" t="str">
        <f>"20200111153652258"</f>
        <v>20200111153652258</v>
      </c>
      <c r="B2219" t="str">
        <f>"1578728212254637"</f>
        <v>1578728212254637</v>
      </c>
      <c r="C2219" t="s">
        <v>37</v>
      </c>
      <c r="D2219">
        <v>6.1261219999999996</v>
      </c>
      <c r="E2219">
        <v>0.48294029999999999</v>
      </c>
      <c r="F2219" t="s">
        <v>45</v>
      </c>
      <c r="G2219">
        <v>-458.57240000000002</v>
      </c>
      <c r="H2219" s="1">
        <v>3.1488580000000002E-6</v>
      </c>
      <c r="I2219">
        <v>281.78379999999999</v>
      </c>
      <c r="J2219">
        <v>-442.61579999999998</v>
      </c>
      <c r="K2219">
        <v>1.1046479999999901</v>
      </c>
      <c r="L2219">
        <v>283.450999999999</v>
      </c>
      <c r="M2219">
        <v>-0.99897689999999995</v>
      </c>
      <c r="N2219">
        <v>0</v>
      </c>
      <c r="O2219">
        <v>4.321038E-2</v>
      </c>
      <c r="P2219">
        <v>-0.99643839999999995</v>
      </c>
      <c r="Q2219">
        <v>5.4738050000000003E-2</v>
      </c>
      <c r="R2219">
        <v>-6.4145250000000001E-2</v>
      </c>
      <c r="S2219">
        <v>-3.0023499999999999</v>
      </c>
      <c r="T2219">
        <v>-0.20456489999999999</v>
      </c>
      <c r="U2219">
        <v>-0.30664059999999999</v>
      </c>
      <c r="V2219">
        <v>-0.10709339999999901</v>
      </c>
      <c r="W2219">
        <v>6.8057649999999997E-2</v>
      </c>
      <c r="X2219">
        <v>0.99191689999999999</v>
      </c>
      <c r="Y2219">
        <v>-0.14407049999999999</v>
      </c>
      <c r="Z2219">
        <v>-7.8240740000000003E-3</v>
      </c>
      <c r="AA2219">
        <v>0.98953649999999904</v>
      </c>
      <c r="AB2219">
        <v>25</v>
      </c>
      <c r="AC2219">
        <v>-15.9566</v>
      </c>
      <c r="AD2219">
        <v>-1.104644851142</v>
      </c>
      <c r="AE2219">
        <v>-1.66719999999997</v>
      </c>
      <c r="AF2219">
        <v>-2.3440819162471098</v>
      </c>
      <c r="AG2219">
        <v>-1.104644851142</v>
      </c>
      <c r="AH2219">
        <v>15.7947676295419</v>
      </c>
      <c r="AI2219">
        <v>93.957399394116706</v>
      </c>
      <c r="AJ2219">
        <v>98.441579876374604</v>
      </c>
      <c r="AK2219">
        <v>16.005925301226998</v>
      </c>
    </row>
    <row r="2220" spans="1:37" x14ac:dyDescent="0.2">
      <c r="A2220" t="str">
        <f>"20200111153652281"</f>
        <v>20200111153652281</v>
      </c>
      <c r="B2220" t="str">
        <f>"1578728212275132"</f>
        <v>1578728212275132</v>
      </c>
      <c r="C2220" t="s">
        <v>37</v>
      </c>
      <c r="D2220">
        <v>6.1065370000000003</v>
      </c>
      <c r="E2220">
        <v>0.48263450000000002</v>
      </c>
      <c r="F2220" t="s">
        <v>45</v>
      </c>
      <c r="G2220">
        <v>-458.95240000000001</v>
      </c>
      <c r="H2220" s="1">
        <v>3.3529699999999902E-6</v>
      </c>
      <c r="I2220">
        <v>281.74009999999998</v>
      </c>
      <c r="J2220">
        <v>-442.87299999999999</v>
      </c>
      <c r="K2220">
        <v>1.1047530000000001</v>
      </c>
      <c r="L2220">
        <v>283.46249999999998</v>
      </c>
      <c r="M2220">
        <v>-0.99896479999999999</v>
      </c>
      <c r="N2220">
        <v>0</v>
      </c>
      <c r="O2220">
        <v>4.3493669999999998E-2</v>
      </c>
      <c r="P2220">
        <v>-0.99630640000000004</v>
      </c>
      <c r="Q2220">
        <v>5.457161E-2</v>
      </c>
      <c r="R2220">
        <v>-6.6299559999999993E-2</v>
      </c>
      <c r="S2220">
        <v>-3.001709</v>
      </c>
      <c r="T2220">
        <v>-0.20296839999999999</v>
      </c>
      <c r="U2220">
        <v>-0.31436160000000002</v>
      </c>
      <c r="V2220">
        <v>-0.1095399</v>
      </c>
      <c r="W2220">
        <v>6.7858310000000005E-2</v>
      </c>
      <c r="X2220">
        <v>0.99166339999999997</v>
      </c>
      <c r="Y2220">
        <v>-0.14688979999999999</v>
      </c>
      <c r="Z2220">
        <v>-7.8778519999999994E-3</v>
      </c>
      <c r="AA2220">
        <v>0.98912149999999999</v>
      </c>
      <c r="AB2220">
        <v>25</v>
      </c>
      <c r="AC2220">
        <v>-16.0793999999999</v>
      </c>
      <c r="AD2220">
        <v>-1.10474964703</v>
      </c>
      <c r="AE2220">
        <v>-1.7223999999999899</v>
      </c>
      <c r="AF2220">
        <v>-2.4089416347450898</v>
      </c>
      <c r="AG2220">
        <v>-1.10474964703</v>
      </c>
      <c r="AH2220">
        <v>15.914986795041401</v>
      </c>
      <c r="AI2220">
        <v>93.926275763483602</v>
      </c>
      <c r="AJ2220">
        <v>98.607131229442103</v>
      </c>
      <c r="AK2220">
        <v>16.134133886532702</v>
      </c>
    </row>
    <row r="2221" spans="1:37" x14ac:dyDescent="0.2">
      <c r="A2221" t="str">
        <f>"20200111153652303"</f>
        <v>20200111153652303</v>
      </c>
      <c r="B2221" t="str">
        <f>"1578728212294655"</f>
        <v>1578728212294655</v>
      </c>
      <c r="C2221" t="s">
        <v>37</v>
      </c>
      <c r="D2221">
        <v>6.3787960000000004</v>
      </c>
      <c r="E2221">
        <v>0.48242200000000002</v>
      </c>
      <c r="F2221" t="s">
        <v>45</v>
      </c>
      <c r="G2221">
        <v>-458.94110000000001</v>
      </c>
      <c r="H2221" s="1">
        <v>3.34723099999999E-6</v>
      </c>
      <c r="I2221">
        <v>281.73309999999998</v>
      </c>
      <c r="J2221">
        <v>-443.12430000000001</v>
      </c>
      <c r="K2221">
        <v>1.1048450000000001</v>
      </c>
      <c r="L2221">
        <v>283.47370000000001</v>
      </c>
      <c r="M2221">
        <v>-0.99895879999999904</v>
      </c>
      <c r="N2221">
        <v>0</v>
      </c>
      <c r="O2221">
        <v>4.3631009999999998E-2</v>
      </c>
      <c r="P2221">
        <v>-0.99621780000000004</v>
      </c>
      <c r="Q2221">
        <v>5.4534079999999999E-2</v>
      </c>
      <c r="R2221">
        <v>-6.7648669999999994E-2</v>
      </c>
      <c r="S2221">
        <v>-3.0008849999999998</v>
      </c>
      <c r="T2221">
        <v>-0.20632420000000001</v>
      </c>
      <c r="U2221">
        <v>-0.32299800000000001</v>
      </c>
      <c r="V2221">
        <v>-0.1110355</v>
      </c>
      <c r="W2221">
        <v>6.7791710000000005E-2</v>
      </c>
      <c r="X2221">
        <v>0.99150159999999998</v>
      </c>
      <c r="Y2221">
        <v>-0.14984649999999999</v>
      </c>
      <c r="Z2221">
        <v>-8.1194619999999992E-3</v>
      </c>
      <c r="AA2221">
        <v>0.988676</v>
      </c>
      <c r="AB2221">
        <v>25</v>
      </c>
      <c r="AC2221">
        <v>-15.816800000000001</v>
      </c>
      <c r="AD2221">
        <v>-1.1048416527689999</v>
      </c>
      <c r="AE2221">
        <v>-1.7406000000000199</v>
      </c>
      <c r="AF2221">
        <v>-2.4174519458490198</v>
      </c>
      <c r="AG2221">
        <v>-1.1048416527689999</v>
      </c>
      <c r="AH2221">
        <v>15.6503344457856</v>
      </c>
      <c r="AI2221">
        <v>93.990943800756497</v>
      </c>
      <c r="AJ2221">
        <v>98.780878856810205</v>
      </c>
      <c r="AK2221">
        <v>15.874435966456399</v>
      </c>
    </row>
    <row r="2222" spans="1:37" x14ac:dyDescent="0.2">
      <c r="A2222" t="str">
        <f>"20200111153652324"</f>
        <v>20200111153652324</v>
      </c>
      <c r="B2222" t="str">
        <f>"1578728212315149"</f>
        <v>1578728212315149</v>
      </c>
      <c r="C2222" t="s">
        <v>37</v>
      </c>
      <c r="D2222">
        <v>6.1142269999999996</v>
      </c>
      <c r="E2222">
        <v>0.48213469999999897</v>
      </c>
      <c r="F2222" t="s">
        <v>45</v>
      </c>
      <c r="G2222">
        <v>-459.0872</v>
      </c>
      <c r="H2222" s="1">
        <v>3.42544899999999E-6</v>
      </c>
      <c r="I2222">
        <v>281.72210000000001</v>
      </c>
      <c r="J2222">
        <v>-443.36709999999999</v>
      </c>
      <c r="K2222">
        <v>1.1049169999999999</v>
      </c>
      <c r="L2222">
        <v>283.48450000000003</v>
      </c>
      <c r="M2222">
        <v>-0.99895719999999999</v>
      </c>
      <c r="N2222">
        <v>0</v>
      </c>
      <c r="O2222">
        <v>4.3670109999999998E-2</v>
      </c>
      <c r="P2222">
        <v>-0.99615889999999996</v>
      </c>
      <c r="Q2222">
        <v>5.4244349999999997E-2</v>
      </c>
      <c r="R2222">
        <v>-6.8740419999999997E-2</v>
      </c>
      <c r="S2222">
        <v>-3.0003660000000001</v>
      </c>
      <c r="T2222">
        <v>-0.20766479999999901</v>
      </c>
      <c r="U2222">
        <v>-0.32922360000000001</v>
      </c>
      <c r="V2222">
        <v>-0.11217429999999901</v>
      </c>
      <c r="W2222">
        <v>6.7479150000000002E-2</v>
      </c>
      <c r="X2222">
        <v>0.99139469999999996</v>
      </c>
      <c r="Y2222">
        <v>-0.15191959999999999</v>
      </c>
      <c r="Z2222">
        <v>-8.2467630000000007E-3</v>
      </c>
      <c r="AA2222">
        <v>0.98835839999999997</v>
      </c>
      <c r="AB2222">
        <v>25</v>
      </c>
      <c r="AC2222">
        <v>-15.7201</v>
      </c>
      <c r="AD2222">
        <v>-1.1049135745509999</v>
      </c>
      <c r="AE2222">
        <v>-1.76240000000001</v>
      </c>
      <c r="AF2222">
        <v>-2.4353957518231799</v>
      </c>
      <c r="AG2222">
        <v>-1.1049135745509999</v>
      </c>
      <c r="AH2222">
        <v>15.552251628354</v>
      </c>
      <c r="AI2222">
        <v>94.014998432640894</v>
      </c>
      <c r="AJ2222">
        <v>98.899921392161502</v>
      </c>
      <c r="AK2222">
        <v>15.7805106757312</v>
      </c>
    </row>
    <row r="2223" spans="1:37" x14ac:dyDescent="0.2">
      <c r="A2223" t="str">
        <f>"20200111153652347"</f>
        <v>20200111153652347</v>
      </c>
      <c r="B2223" t="str">
        <f>"1578728212335175"</f>
        <v>1578728212335175</v>
      </c>
      <c r="C2223" t="s">
        <v>37</v>
      </c>
      <c r="D2223">
        <v>6.3669440000000002</v>
      </c>
      <c r="E2223">
        <v>0.481906</v>
      </c>
      <c r="F2223" t="s">
        <v>45</v>
      </c>
      <c r="G2223">
        <v>-459.07049999999998</v>
      </c>
      <c r="H2223" s="1">
        <v>3.4162020000000001E-6</v>
      </c>
      <c r="I2223">
        <v>281.73110000000003</v>
      </c>
      <c r="J2223">
        <v>-443.62419999999997</v>
      </c>
      <c r="K2223">
        <v>1.104959</v>
      </c>
      <c r="L2223">
        <v>283.49579999999997</v>
      </c>
      <c r="M2223">
        <v>-0.99895829999999997</v>
      </c>
      <c r="N2223">
        <v>0</v>
      </c>
      <c r="O2223">
        <v>4.3642220000000002E-2</v>
      </c>
      <c r="P2223">
        <v>-0.99618589999999996</v>
      </c>
      <c r="Q2223">
        <v>5.301815E-2</v>
      </c>
      <c r="R2223">
        <v>-6.9301989999999994E-2</v>
      </c>
      <c r="S2223">
        <v>-2.9999689999999899</v>
      </c>
      <c r="T2223">
        <v>-0.21108150000000001</v>
      </c>
      <c r="U2223">
        <v>-0.33496090000000001</v>
      </c>
      <c r="V2223">
        <v>-0.1127174</v>
      </c>
      <c r="W2223">
        <v>6.6235950000000002E-2</v>
      </c>
      <c r="X2223">
        <v>0.99141689999999905</v>
      </c>
      <c r="Y2223">
        <v>-0.15375349999999999</v>
      </c>
      <c r="Z2223">
        <v>-8.4446529999999999E-3</v>
      </c>
      <c r="AA2223">
        <v>0.98807319999999998</v>
      </c>
      <c r="AB2223">
        <v>25</v>
      </c>
      <c r="AC2223">
        <v>-15.446300000000001</v>
      </c>
      <c r="AD2223">
        <v>-1.1049555837980001</v>
      </c>
      <c r="AE2223">
        <v>-1.76469999999994</v>
      </c>
      <c r="AF2223">
        <v>-2.4249397973825801</v>
      </c>
      <c r="AG2223">
        <v>-1.1049555837980001</v>
      </c>
      <c r="AH2223">
        <v>15.277386598658801</v>
      </c>
      <c r="AI2223">
        <v>94.085810655148805</v>
      </c>
      <c r="AJ2223">
        <v>99.019168046647295</v>
      </c>
      <c r="AK2223">
        <v>15.508056008023001</v>
      </c>
    </row>
    <row r="2224" spans="1:37" x14ac:dyDescent="0.2">
      <c r="A2224" t="str">
        <f>"20200111153652370"</f>
        <v>20200111153652370</v>
      </c>
      <c r="B2224" t="str">
        <f>"1578728212365431"</f>
        <v>1578728212365431</v>
      </c>
      <c r="C2224" t="s">
        <v>37</v>
      </c>
      <c r="D2224">
        <v>6.042408</v>
      </c>
      <c r="E2224">
        <v>0.48174229999999901</v>
      </c>
      <c r="F2224" t="s">
        <v>45</v>
      </c>
      <c r="G2224">
        <v>-459.01519999999999</v>
      </c>
      <c r="H2224" s="1">
        <v>3.385422E-6</v>
      </c>
      <c r="I2224">
        <v>281.76150000000001</v>
      </c>
      <c r="J2224">
        <v>-443.87849999999997</v>
      </c>
      <c r="K2224">
        <v>1.104984</v>
      </c>
      <c r="L2224">
        <v>283.50689999999997</v>
      </c>
      <c r="M2224">
        <v>-0.99896099999999999</v>
      </c>
      <c r="N2224">
        <v>0</v>
      </c>
      <c r="O2224">
        <v>4.3580590000000002E-2</v>
      </c>
      <c r="P2224">
        <v>-0.9962898</v>
      </c>
      <c r="Q2224">
        <v>5.1330250000000001E-2</v>
      </c>
      <c r="R2224">
        <v>-6.9079119999999994E-2</v>
      </c>
      <c r="S2224">
        <v>-2.9994200000000002</v>
      </c>
      <c r="T2224">
        <v>-0.21533629999999901</v>
      </c>
      <c r="U2224">
        <v>-0.33798220000000001</v>
      </c>
      <c r="V2224">
        <v>-0.112443</v>
      </c>
      <c r="W2224">
        <v>6.4539680000000002E-2</v>
      </c>
      <c r="X2224">
        <v>0.99156</v>
      </c>
      <c r="Y2224">
        <v>-0.15467339999999999</v>
      </c>
      <c r="Z2224">
        <v>-8.6440149999999997E-3</v>
      </c>
      <c r="AA2224">
        <v>0.98792789999999997</v>
      </c>
      <c r="AB2224">
        <v>25</v>
      </c>
      <c r="AC2224">
        <v>-15.136699999999999</v>
      </c>
      <c r="AD2224">
        <v>-1.1049806145779999</v>
      </c>
      <c r="AE2224">
        <v>-1.7453999999999601</v>
      </c>
      <c r="AF2224">
        <v>-2.3908924312223898</v>
      </c>
      <c r="AG2224">
        <v>-1.1049806145779999</v>
      </c>
      <c r="AH2224">
        <v>14.967528409135101</v>
      </c>
      <c r="AI2224">
        <v>94.169541447128594</v>
      </c>
      <c r="AJ2224">
        <v>99.075674537085106</v>
      </c>
      <c r="AK2224">
        <v>15.1975081988639</v>
      </c>
    </row>
    <row r="2225" spans="1:37" x14ac:dyDescent="0.2">
      <c r="A2225" t="str">
        <f>"20200111153652392"</f>
        <v>20200111153652392</v>
      </c>
      <c r="B2225" t="str">
        <f>"1578728212384951"</f>
        <v>1578728212384951</v>
      </c>
      <c r="C2225" t="s">
        <v>37</v>
      </c>
      <c r="D2225">
        <v>6.2459720000000001</v>
      </c>
      <c r="E2225">
        <v>0.48162509999999997</v>
      </c>
      <c r="F2225" t="s">
        <v>45</v>
      </c>
      <c r="G2225">
        <v>-458.9502</v>
      </c>
      <c r="H2225" s="1">
        <v>3.3487950000000001E-6</v>
      </c>
      <c r="I2225">
        <v>281.80799999999999</v>
      </c>
      <c r="J2225">
        <v>-444.13389999999998</v>
      </c>
      <c r="K2225">
        <v>1.104994</v>
      </c>
      <c r="L2225">
        <v>283.51799999999997</v>
      </c>
      <c r="M2225">
        <v>-0.99896430000000003</v>
      </c>
      <c r="N2225">
        <v>0</v>
      </c>
      <c r="O2225">
        <v>4.3510640000000003E-2</v>
      </c>
      <c r="P2225">
        <v>-0.996312999999999</v>
      </c>
      <c r="Q2225">
        <v>5.1323500000000001E-2</v>
      </c>
      <c r="R2225">
        <v>-6.8752659999999993E-2</v>
      </c>
      <c r="S2225">
        <v>-2.998993</v>
      </c>
      <c r="T2225">
        <v>-0.2198716</v>
      </c>
      <c r="U2225">
        <v>-0.33804319999999999</v>
      </c>
      <c r="V2225">
        <v>-0.1120507</v>
      </c>
      <c r="W2225">
        <v>6.4527299999999996E-2</v>
      </c>
      <c r="X2225">
        <v>0.99160519999999996</v>
      </c>
      <c r="Y2225">
        <v>-0.15461839999999999</v>
      </c>
      <c r="Z2225">
        <v>-8.819716E-3</v>
      </c>
      <c r="AA2225">
        <v>0.98793489999999995</v>
      </c>
      <c r="AB2225">
        <v>25</v>
      </c>
      <c r="AC2225">
        <v>-14.8163</v>
      </c>
      <c r="AD2225">
        <v>-1.1049906512050001</v>
      </c>
      <c r="AE2225">
        <v>-1.70999999999997</v>
      </c>
      <c r="AF2225">
        <v>-2.3402584741931101</v>
      </c>
      <c r="AG2225">
        <v>-1.1049906512050001</v>
      </c>
      <c r="AH2225">
        <v>14.647456684079801</v>
      </c>
      <c r="AI2225">
        <v>94.260337351983395</v>
      </c>
      <c r="AJ2225">
        <v>99.0775582729446</v>
      </c>
      <c r="AK2225">
        <v>14.874333644815099</v>
      </c>
    </row>
    <row r="2226" spans="1:37" x14ac:dyDescent="0.2">
      <c r="A2226" t="str">
        <f>"20200111153652414"</f>
        <v>20200111153652414</v>
      </c>
      <c r="B2226" t="str">
        <f>"1578728212405447"</f>
        <v>1578728212405447</v>
      </c>
      <c r="C2226" t="s">
        <v>37</v>
      </c>
      <c r="D2226">
        <v>5.9496919999999998</v>
      </c>
      <c r="E2226">
        <v>0.48157799999999901</v>
      </c>
      <c r="F2226" t="s">
        <v>45</v>
      </c>
      <c r="G2226">
        <v>-459.22609999999997</v>
      </c>
      <c r="H2226" s="1">
        <v>3.4952379999999998E-6</v>
      </c>
      <c r="I2226">
        <v>281.81729999999999</v>
      </c>
      <c r="J2226">
        <v>-444.37810000000002</v>
      </c>
      <c r="K2226">
        <v>1.1049929999999999</v>
      </c>
      <c r="L2226">
        <v>283.52859999999998</v>
      </c>
      <c r="M2226">
        <v>-0.99896679999999904</v>
      </c>
      <c r="N2226">
        <v>0</v>
      </c>
      <c r="O2226">
        <v>4.3450969999999998E-2</v>
      </c>
      <c r="P2226">
        <v>-0.99631289999999995</v>
      </c>
      <c r="Q2226">
        <v>5.1708740000000003E-2</v>
      </c>
      <c r="R2226">
        <v>-6.8463220000000005E-2</v>
      </c>
      <c r="S2226">
        <v>-2.9990540000000001</v>
      </c>
      <c r="T2226">
        <v>-0.219579</v>
      </c>
      <c r="U2226">
        <v>-0.33795170000000002</v>
      </c>
      <c r="V2226">
        <v>-0.111702199999999</v>
      </c>
      <c r="W2226">
        <v>6.4909880000000003E-2</v>
      </c>
      <c r="X2226">
        <v>0.99161949999999999</v>
      </c>
      <c r="Y2226">
        <v>-0.15452929999999901</v>
      </c>
      <c r="Z2226">
        <v>-8.8002459999999994E-3</v>
      </c>
      <c r="AA2226">
        <v>0.98794899999999997</v>
      </c>
      <c r="AB2226">
        <v>25</v>
      </c>
      <c r="AC2226">
        <v>-14.8479999999999</v>
      </c>
      <c r="AD2226">
        <v>-1.104989504762</v>
      </c>
      <c r="AE2226">
        <v>-1.7112999999999901</v>
      </c>
      <c r="AF2226">
        <v>-2.3420993943421302</v>
      </c>
      <c r="AG2226">
        <v>-1.104989504762</v>
      </c>
      <c r="AH2226">
        <v>14.6793765072998</v>
      </c>
      <c r="AI2226">
        <v>94.251249396981706</v>
      </c>
      <c r="AJ2226">
        <v>99.065154174971497</v>
      </c>
      <c r="AK2226">
        <v>14.906056689201099</v>
      </c>
    </row>
    <row r="2227" spans="1:37" x14ac:dyDescent="0.2">
      <c r="A2227" t="str">
        <f>"20200111153652436"</f>
        <v>20200111153652436</v>
      </c>
      <c r="B2227" t="str">
        <f>"1578728212424967"</f>
        <v>1578728212424967</v>
      </c>
      <c r="C2227" t="s">
        <v>37</v>
      </c>
      <c r="D2227">
        <v>5.8255379999999999</v>
      </c>
      <c r="E2227">
        <v>0.48142279999999998</v>
      </c>
      <c r="F2227" t="s">
        <v>45</v>
      </c>
      <c r="G2227">
        <v>-459.56729999999999</v>
      </c>
      <c r="H2227" s="1">
        <v>3.6766410000000002E-6</v>
      </c>
      <c r="I2227">
        <v>281.820999999999</v>
      </c>
      <c r="J2227">
        <v>-444.62889999999999</v>
      </c>
      <c r="K2227">
        <v>1.1049869999999999</v>
      </c>
      <c r="L2227">
        <v>283.53949999999998</v>
      </c>
      <c r="M2227">
        <v>-0.99896879999999999</v>
      </c>
      <c r="N2227">
        <v>0</v>
      </c>
      <c r="O2227">
        <v>4.3403589999999999E-2</v>
      </c>
      <c r="P2227">
        <v>-0.99625259999999904</v>
      </c>
      <c r="Q2227">
        <v>5.1914259999999997E-2</v>
      </c>
      <c r="R2227">
        <v>-6.9179379999999999E-2</v>
      </c>
      <c r="S2227">
        <v>-2.9992679999999998</v>
      </c>
      <c r="T2227">
        <v>-0.21819149999999901</v>
      </c>
      <c r="U2227">
        <v>-0.33718870000000001</v>
      </c>
      <c r="V2227">
        <v>-0.11236739999999899</v>
      </c>
      <c r="W2227">
        <v>6.5114000000000005E-2</v>
      </c>
      <c r="X2227">
        <v>0.99153099999999905</v>
      </c>
      <c r="Y2227">
        <v>-0.15423390000000001</v>
      </c>
      <c r="Z2227">
        <v>-8.7301519999999997E-3</v>
      </c>
      <c r="AA2227">
        <v>0.98799579999999998</v>
      </c>
      <c r="AB2227">
        <v>25</v>
      </c>
      <c r="AC2227">
        <v>-14.9384</v>
      </c>
      <c r="AD2227">
        <v>-1.1049833233589901</v>
      </c>
      <c r="AE2227">
        <v>-1.7184999999999999</v>
      </c>
      <c r="AF2227">
        <v>-2.3526138535407202</v>
      </c>
      <c r="AG2227">
        <v>-1.1049833233589901</v>
      </c>
      <c r="AH2227">
        <v>14.769966388346701</v>
      </c>
      <c r="AI2227">
        <v>94.225420581781506</v>
      </c>
      <c r="AJ2227">
        <v>99.0502519708633</v>
      </c>
      <c r="AK2227">
        <v>14.996922591040599</v>
      </c>
    </row>
    <row r="2228" spans="1:37" x14ac:dyDescent="0.2">
      <c r="A2228" t="str">
        <f>"20200111153652460"</f>
        <v>20200111153652460</v>
      </c>
      <c r="B2228" t="str">
        <f>"1578728212455223"</f>
        <v>1578728212455223</v>
      </c>
      <c r="C2228" t="s">
        <v>37</v>
      </c>
      <c r="D2228">
        <v>5.923921</v>
      </c>
      <c r="E2228">
        <v>0.481174299999999</v>
      </c>
      <c r="F2228" t="s">
        <v>45</v>
      </c>
      <c r="G2228">
        <v>-459.9049</v>
      </c>
      <c r="H2228" s="1">
        <v>3.8569030000000002E-6</v>
      </c>
      <c r="I2228">
        <v>281.80739999999997</v>
      </c>
      <c r="J2228">
        <v>-444.88529999999997</v>
      </c>
      <c r="K2228">
        <v>1.104978</v>
      </c>
      <c r="L2228">
        <v>283.5505</v>
      </c>
      <c r="M2228">
        <v>-0.99897009999999897</v>
      </c>
      <c r="N2228">
        <v>0</v>
      </c>
      <c r="O2228">
        <v>4.3372809999999998E-2</v>
      </c>
      <c r="P2228">
        <v>-0.99615509999999996</v>
      </c>
      <c r="Q2228">
        <v>5.2047799999999998E-2</v>
      </c>
      <c r="R2228">
        <v>-7.0469699999999996E-2</v>
      </c>
      <c r="S2228">
        <v>-2.9989619999999899</v>
      </c>
      <c r="T2228">
        <v>-0.2169288</v>
      </c>
      <c r="U2228">
        <v>-0.34002690000000002</v>
      </c>
      <c r="V2228">
        <v>-0.1136192</v>
      </c>
      <c r="W2228">
        <v>6.5246760000000001E-2</v>
      </c>
      <c r="X2228">
        <v>0.99137960000000003</v>
      </c>
      <c r="Y2228">
        <v>-0.15514149999999999</v>
      </c>
      <c r="Z2228">
        <v>-8.7106549999999994E-3</v>
      </c>
      <c r="AA2228">
        <v>0.98785389999999995</v>
      </c>
      <c r="AB2228">
        <v>25</v>
      </c>
      <c r="AC2228">
        <v>-15.019600000000001</v>
      </c>
      <c r="AD2228">
        <v>-1.1049741430969999</v>
      </c>
      <c r="AE2228">
        <v>-1.7431000000000201</v>
      </c>
      <c r="AF2228">
        <v>-2.3802478955847599</v>
      </c>
      <c r="AG2228">
        <v>-1.1049741430969999</v>
      </c>
      <c r="AH2228">
        <v>14.850545079787899</v>
      </c>
      <c r="AI2228">
        <v>94.201891009711304</v>
      </c>
      <c r="AJ2228">
        <v>99.105928128082496</v>
      </c>
      <c r="AK2228">
        <v>15.080624558292101</v>
      </c>
    </row>
    <row r="2229" spans="1:37" x14ac:dyDescent="0.2">
      <c r="A2229" t="str">
        <f>"20200111153652482"</f>
        <v>20200111153652482</v>
      </c>
      <c r="B2229" t="str">
        <f>"1578728212474746"</f>
        <v>1578728212474746</v>
      </c>
      <c r="C2229" t="s">
        <v>37</v>
      </c>
      <c r="D2229">
        <v>6.1457620000000004</v>
      </c>
      <c r="E2229">
        <v>0.48109769999999902</v>
      </c>
      <c r="F2229" t="s">
        <v>45</v>
      </c>
      <c r="G2229">
        <v>-460.22340000000003</v>
      </c>
      <c r="H2229" s="1">
        <v>-1.29397E-6</v>
      </c>
      <c r="I2229">
        <v>281.78109999999998</v>
      </c>
      <c r="J2229">
        <v>-445.13679999999999</v>
      </c>
      <c r="K2229">
        <v>1.104967</v>
      </c>
      <c r="L2229">
        <v>283.56139999999999</v>
      </c>
      <c r="M2229">
        <v>-0.99897089999999999</v>
      </c>
      <c r="N2229">
        <v>0</v>
      </c>
      <c r="O2229">
        <v>4.3358870000000001E-2</v>
      </c>
      <c r="P2229">
        <v>-0.99602809999999897</v>
      </c>
      <c r="Q2229">
        <v>5.2755249999999997E-2</v>
      </c>
      <c r="R2229">
        <v>-7.1731859999999995E-2</v>
      </c>
      <c r="S2229">
        <v>-2.9983520000000001</v>
      </c>
      <c r="T2229">
        <v>-0.21600569999999999</v>
      </c>
      <c r="U2229">
        <v>-0.34588619999999998</v>
      </c>
      <c r="V2229">
        <v>-0.1148585</v>
      </c>
      <c r="W2229">
        <v>6.5953810000000002E-2</v>
      </c>
      <c r="X2229">
        <v>0.99119000000000002</v>
      </c>
      <c r="Y2229">
        <v>-0.1570549</v>
      </c>
      <c r="Z2229">
        <v>-8.7421169999999902E-3</v>
      </c>
      <c r="AA2229">
        <v>0.98755119999999896</v>
      </c>
      <c r="AB2229">
        <v>25</v>
      </c>
      <c r="AC2229">
        <v>-15.086600000000001</v>
      </c>
      <c r="AD2229">
        <v>-1.1049682939700001</v>
      </c>
      <c r="AE2229">
        <v>-1.78030000000001</v>
      </c>
      <c r="AF2229">
        <v>-2.4200177940833898</v>
      </c>
      <c r="AG2229">
        <v>-1.1049682939700001</v>
      </c>
      <c r="AH2229">
        <v>14.9162936039667</v>
      </c>
      <c r="AI2229">
        <v>94.182129833346195</v>
      </c>
      <c r="AJ2229">
        <v>99.215365706550003</v>
      </c>
      <c r="AK2229">
        <v>15.1516750207394</v>
      </c>
    </row>
    <row r="2230" spans="1:37" x14ac:dyDescent="0.2">
      <c r="A2230" t="str">
        <f>"20200111153652504"</f>
        <v>20200111153652504</v>
      </c>
      <c r="B2230" t="str">
        <f>"1578728212495239"</f>
        <v>1578728212495239</v>
      </c>
      <c r="C2230" t="s">
        <v>37</v>
      </c>
      <c r="D2230">
        <v>5.8405360000000002</v>
      </c>
      <c r="E2230">
        <v>0.48096559999999999</v>
      </c>
      <c r="F2230" t="s">
        <v>45</v>
      </c>
      <c r="G2230">
        <v>-460.63900000000001</v>
      </c>
      <c r="H2230" s="1">
        <v>-1.0715039999999999E-6</v>
      </c>
      <c r="I2230">
        <v>281.75069999999999</v>
      </c>
      <c r="J2230">
        <v>-445.38040000000001</v>
      </c>
      <c r="K2230">
        <v>1.1049549999999999</v>
      </c>
      <c r="L2230">
        <v>283.57190000000003</v>
      </c>
      <c r="M2230">
        <v>-0.99897089999999999</v>
      </c>
      <c r="N2230">
        <v>0</v>
      </c>
      <c r="O2230">
        <v>4.3355820000000003E-2</v>
      </c>
      <c r="P2230">
        <v>-0.99595440000000002</v>
      </c>
      <c r="Q2230">
        <v>5.3044340000000002E-2</v>
      </c>
      <c r="R2230">
        <v>-7.2533790000000001E-2</v>
      </c>
      <c r="S2230">
        <v>-2.9980470000000001</v>
      </c>
      <c r="T2230">
        <v>-0.21369549999999901</v>
      </c>
      <c r="U2230">
        <v>-0.35018919999999998</v>
      </c>
      <c r="V2230">
        <v>-0.1156522</v>
      </c>
      <c r="W2230">
        <v>6.6243570000000002E-2</v>
      </c>
      <c r="X2230">
        <v>0.99107839999999903</v>
      </c>
      <c r="Y2230">
        <v>-0.158469</v>
      </c>
      <c r="Z2230">
        <v>-8.6989860000000006E-3</v>
      </c>
      <c r="AA2230">
        <v>0.98732559999999903</v>
      </c>
      <c r="AB2230">
        <v>25</v>
      </c>
      <c r="AC2230">
        <v>-15.258599999999999</v>
      </c>
      <c r="AD2230">
        <v>-1.1049560715039899</v>
      </c>
      <c r="AE2230">
        <v>-1.8212000000000299</v>
      </c>
      <c r="AF2230">
        <v>-2.4683329463656101</v>
      </c>
      <c r="AG2230">
        <v>-1.1049560715039899</v>
      </c>
      <c r="AH2230">
        <v>15.0872770265923</v>
      </c>
      <c r="AI2230">
        <v>94.133961970898298</v>
      </c>
      <c r="AJ2230">
        <v>99.29148073604</v>
      </c>
      <c r="AK2230">
        <v>15.327737064916301</v>
      </c>
    </row>
    <row r="2231" spans="1:37" x14ac:dyDescent="0.2">
      <c r="A2231" t="str">
        <f>"20200111153652526"</f>
        <v>20200111153652526</v>
      </c>
      <c r="B2231" t="str">
        <f>"1578728212514759"</f>
        <v>1578728212514759</v>
      </c>
      <c r="C2231" t="s">
        <v>37</v>
      </c>
      <c r="D2231">
        <v>5.9215010000000001</v>
      </c>
      <c r="E2231">
        <v>0.4808576</v>
      </c>
      <c r="F2231" t="s">
        <v>45</v>
      </c>
      <c r="G2231">
        <v>-460.97460000000001</v>
      </c>
      <c r="H2231" s="1">
        <v>-8.9205950000000005E-7</v>
      </c>
      <c r="I2231">
        <v>281.73200000000003</v>
      </c>
      <c r="J2231">
        <v>-445.62860000000001</v>
      </c>
      <c r="K2231">
        <v>1.1049450000000001</v>
      </c>
      <c r="L2231">
        <v>283.58269999999999</v>
      </c>
      <c r="M2231">
        <v>-0.99897089999999999</v>
      </c>
      <c r="N2231">
        <v>0</v>
      </c>
      <c r="O2231">
        <v>4.3358460000000001E-2</v>
      </c>
      <c r="P2231">
        <v>-0.99583109999999997</v>
      </c>
      <c r="Q2231">
        <v>5.3904149999999998E-2</v>
      </c>
      <c r="R2231">
        <v>-7.3586079999999998E-2</v>
      </c>
      <c r="S2231">
        <v>-2.9977719999999999</v>
      </c>
      <c r="T2231">
        <v>-0.21241179999999901</v>
      </c>
      <c r="U2231">
        <v>-0.35369869999999998</v>
      </c>
      <c r="V2231">
        <v>-0.11669829999999901</v>
      </c>
      <c r="W2231">
        <v>6.7102339999999996E-2</v>
      </c>
      <c r="X2231">
        <v>0.99089799999999995</v>
      </c>
      <c r="Y2231">
        <v>-0.1596253</v>
      </c>
      <c r="Z2231">
        <v>-8.6880350000000002E-3</v>
      </c>
      <c r="AA2231">
        <v>0.98713949999999995</v>
      </c>
      <c r="AB2231">
        <v>25</v>
      </c>
      <c r="AC2231">
        <v>-15.346</v>
      </c>
      <c r="AD2231">
        <v>-1.1049458920594999</v>
      </c>
      <c r="AE2231">
        <v>-1.85069999999996</v>
      </c>
      <c r="AF2231">
        <v>-2.5016138947842701</v>
      </c>
      <c r="AG2231">
        <v>-1.1049458920594999</v>
      </c>
      <c r="AH2231">
        <v>15.173777160802301</v>
      </c>
      <c r="AI2231">
        <v>94.109613267111797</v>
      </c>
      <c r="AJ2231">
        <v>99.361815021446205</v>
      </c>
      <c r="AK2231">
        <v>15.418251873303999</v>
      </c>
    </row>
    <row r="2232" spans="1:37" x14ac:dyDescent="0.2">
      <c r="A2232" t="str">
        <f>"20200111153652549"</f>
        <v>20200111153652549</v>
      </c>
      <c r="B2232" t="str">
        <f>"1578728212544545"</f>
        <v>1578728212544545</v>
      </c>
      <c r="C2232" t="s">
        <v>37</v>
      </c>
      <c r="D2232">
        <v>6.1048539999999996</v>
      </c>
      <c r="E2232">
        <v>0.48075779999999901</v>
      </c>
      <c r="F2232" t="s">
        <v>45</v>
      </c>
      <c r="G2232">
        <v>-461.46510000000001</v>
      </c>
      <c r="H2232" s="1">
        <v>-6.2933160000000002E-7</v>
      </c>
      <c r="I2232">
        <v>281.6927</v>
      </c>
      <c r="J2232">
        <v>-445.88389999999998</v>
      </c>
      <c r="K2232">
        <v>1.104935</v>
      </c>
      <c r="L2232">
        <v>283.59379999999999</v>
      </c>
      <c r="M2232">
        <v>-0.99897060000000004</v>
      </c>
      <c r="N2232">
        <v>0</v>
      </c>
      <c r="O2232">
        <v>4.3365050000000002E-2</v>
      </c>
      <c r="P2232">
        <v>-0.99575389999999997</v>
      </c>
      <c r="Q2232">
        <v>5.3811890000000001E-2</v>
      </c>
      <c r="R2232">
        <v>-7.4689069999999996E-2</v>
      </c>
      <c r="S2232">
        <v>-2.9974059999999998</v>
      </c>
      <c r="T2232">
        <v>-0.20913509999999999</v>
      </c>
      <c r="U2232">
        <v>-0.35772709999999902</v>
      </c>
      <c r="V2232">
        <v>-0.1178022</v>
      </c>
      <c r="W2232">
        <v>6.7009089999999993E-2</v>
      </c>
      <c r="X2232">
        <v>0.99077359999999903</v>
      </c>
      <c r="Y2232">
        <v>-0.160966</v>
      </c>
      <c r="Z2232">
        <v>-8.6017309999999996E-3</v>
      </c>
      <c r="AA2232">
        <v>0.98692239999999998</v>
      </c>
      <c r="AB2232">
        <v>25</v>
      </c>
      <c r="AC2232">
        <v>-15.581200000000001</v>
      </c>
      <c r="AD2232">
        <v>-1.1049356293315999</v>
      </c>
      <c r="AE2232">
        <v>-1.90109999999998</v>
      </c>
      <c r="AF2232">
        <v>-2.56235392165864</v>
      </c>
      <c r="AG2232">
        <v>-1.1049356293315999</v>
      </c>
      <c r="AH2232">
        <v>15.407744197152001</v>
      </c>
      <c r="AI2232">
        <v>94.046444957282006</v>
      </c>
      <c r="AJ2232">
        <v>99.442047013862194</v>
      </c>
      <c r="AK2232">
        <v>15.658388218768801</v>
      </c>
    </row>
    <row r="2233" spans="1:37" x14ac:dyDescent="0.2">
      <c r="A2233" t="str">
        <f>"20200111153652572"</f>
        <v>20200111153652572</v>
      </c>
      <c r="B2233" t="str">
        <f>"1578728212565041"</f>
        <v>1578728212565041</v>
      </c>
      <c r="C2233" t="s">
        <v>37</v>
      </c>
      <c r="D2233">
        <v>5.845116</v>
      </c>
      <c r="E2233">
        <v>0.48073440000000001</v>
      </c>
      <c r="F2233" t="s">
        <v>45</v>
      </c>
      <c r="G2233">
        <v>-461.71710000000002</v>
      </c>
      <c r="H2233" s="1">
        <v>-4.9488850000000002E-7</v>
      </c>
      <c r="I2233">
        <v>281.68430000000001</v>
      </c>
      <c r="J2233">
        <v>-446.14170000000001</v>
      </c>
      <c r="K2233">
        <v>1.104927</v>
      </c>
      <c r="L2233">
        <v>283.60489999999999</v>
      </c>
      <c r="M2233">
        <v>-0.99897019999999903</v>
      </c>
      <c r="N2233">
        <v>0</v>
      </c>
      <c r="O2233">
        <v>4.3375549999999999E-2</v>
      </c>
      <c r="P2233">
        <v>-0.99573140000000004</v>
      </c>
      <c r="Q2233">
        <v>5.3561150000000002E-2</v>
      </c>
      <c r="R2233">
        <v>-7.5170929999999997E-2</v>
      </c>
      <c r="S2233">
        <v>-2.9969480000000002</v>
      </c>
      <c r="T2233">
        <v>-0.20914549999999901</v>
      </c>
      <c r="U2233">
        <v>-0.36141970000000001</v>
      </c>
      <c r="V2233">
        <v>-0.1182918</v>
      </c>
      <c r="W2233">
        <v>6.6758360000000003E-2</v>
      </c>
      <c r="X2233">
        <v>0.99073230000000001</v>
      </c>
      <c r="Y2233">
        <v>-0.16218959999999999</v>
      </c>
      <c r="Z2233">
        <v>-8.6460770000000003E-3</v>
      </c>
      <c r="AA2233">
        <v>0.98672179999999998</v>
      </c>
      <c r="AB2233">
        <v>25</v>
      </c>
      <c r="AC2233">
        <v>-15.5754</v>
      </c>
      <c r="AD2233">
        <v>-1.1049274948885</v>
      </c>
      <c r="AE2233">
        <v>-1.9205999999999701</v>
      </c>
      <c r="AF2233">
        <v>-2.5816457576853402</v>
      </c>
      <c r="AG2233">
        <v>-1.1049274948885</v>
      </c>
      <c r="AH2233">
        <v>15.401077951286901</v>
      </c>
      <c r="AI2233">
        <v>94.047292868895298</v>
      </c>
      <c r="AJ2233">
        <v>99.515883316368402</v>
      </c>
      <c r="AK2233">
        <v>15.654997976644699</v>
      </c>
    </row>
    <row r="2234" spans="1:37" x14ac:dyDescent="0.2">
      <c r="A2234" t="str">
        <f>"20200111153652594"</f>
        <v>20200111153652594</v>
      </c>
      <c r="B2234" t="str">
        <f>"1578728212584561"</f>
        <v>1578728212584561</v>
      </c>
      <c r="C2234" t="s">
        <v>37</v>
      </c>
      <c r="D2234">
        <v>5.706321</v>
      </c>
      <c r="E2234">
        <v>0.48069650000000003</v>
      </c>
      <c r="F2234" t="s">
        <v>45</v>
      </c>
      <c r="G2234">
        <v>-461.92309999999998</v>
      </c>
      <c r="H2234" s="1">
        <v>-3.8569299999999998E-7</v>
      </c>
      <c r="I2234">
        <v>281.69490000000002</v>
      </c>
      <c r="J2234">
        <v>-446.38569999999999</v>
      </c>
      <c r="K2234">
        <v>1.1049149999999901</v>
      </c>
      <c r="L2234">
        <v>283.6155</v>
      </c>
      <c r="M2234">
        <v>-0.99896960000000001</v>
      </c>
      <c r="N2234">
        <v>0</v>
      </c>
      <c r="O2234">
        <v>4.3391819999999998E-2</v>
      </c>
      <c r="P2234">
        <v>-0.99575449999999999</v>
      </c>
      <c r="Q2234">
        <v>5.3501680000000003E-2</v>
      </c>
      <c r="R2234">
        <v>-7.4904860000000004E-2</v>
      </c>
      <c r="S2234">
        <v>-2.9967649999999999</v>
      </c>
      <c r="T2234">
        <v>-0.20981620000000001</v>
      </c>
      <c r="U2234">
        <v>-0.36270140000000001</v>
      </c>
      <c r="V2234">
        <v>-0.1180418</v>
      </c>
      <c r="W2234">
        <v>6.6699830000000002E-2</v>
      </c>
      <c r="X2234">
        <v>0.99076600000000004</v>
      </c>
      <c r="Y2234">
        <v>-0.16262449999999901</v>
      </c>
      <c r="Z2234">
        <v>-8.6903290000000001E-3</v>
      </c>
      <c r="AA2234">
        <v>0.98664979999999902</v>
      </c>
      <c r="AB2234">
        <v>25</v>
      </c>
      <c r="AC2234">
        <v>-15.5373999999999</v>
      </c>
      <c r="AD2234">
        <v>-1.1049153856929901</v>
      </c>
      <c r="AE2234">
        <v>-1.9205999999999701</v>
      </c>
      <c r="AF2234">
        <v>-2.5801945063684699</v>
      </c>
      <c r="AG2234">
        <v>-1.1049153856929901</v>
      </c>
      <c r="AH2234">
        <v>15.3628951030129</v>
      </c>
      <c r="AI2234">
        <v>94.0570615276784</v>
      </c>
      <c r="AJ2234">
        <v>99.5338360675659</v>
      </c>
      <c r="AK2234">
        <v>15.617195255436</v>
      </c>
    </row>
    <row r="2235" spans="1:37" x14ac:dyDescent="0.2">
      <c r="A2235" t="str">
        <f>"20200111153652616"</f>
        <v>20200111153652616</v>
      </c>
      <c r="B2235" t="str">
        <f>"1578728212605057"</f>
        <v>1578728212605057</v>
      </c>
      <c r="C2235" t="s">
        <v>37</v>
      </c>
      <c r="D2235">
        <v>5.9091339999999999</v>
      </c>
      <c r="E2235">
        <v>0.48068539999999998</v>
      </c>
      <c r="F2235" t="s">
        <v>45</v>
      </c>
      <c r="G2235">
        <v>-462.16059999999999</v>
      </c>
      <c r="H2235" s="1">
        <v>-2.5992449999999998E-7</v>
      </c>
      <c r="I2235">
        <v>281.70890000000003</v>
      </c>
      <c r="J2235">
        <v>-446.63350000000003</v>
      </c>
      <c r="K2235">
        <v>1.1049069999999901</v>
      </c>
      <c r="L2235">
        <v>283.62630000000001</v>
      </c>
      <c r="M2235">
        <v>-0.99896849999999904</v>
      </c>
      <c r="N2235">
        <v>0</v>
      </c>
      <c r="O2235">
        <v>4.3415389999999998E-2</v>
      </c>
      <c r="P2235">
        <v>-0.99576609999999999</v>
      </c>
      <c r="Q2235">
        <v>5.354138E-2</v>
      </c>
      <c r="R2235">
        <v>-7.4720709999999996E-2</v>
      </c>
      <c r="S2235">
        <v>-2.9967959999999998</v>
      </c>
      <c r="T2235">
        <v>-0.2099029</v>
      </c>
      <c r="U2235">
        <v>-0.36221310000000001</v>
      </c>
      <c r="V2235">
        <v>-0.1178809</v>
      </c>
      <c r="W2235">
        <v>6.6740750000000001E-2</v>
      </c>
      <c r="X2235">
        <v>0.99078239999999995</v>
      </c>
      <c r="Y2235">
        <v>-0.1624881</v>
      </c>
      <c r="Z2235">
        <v>-8.6907949999999994E-3</v>
      </c>
      <c r="AA2235">
        <v>0.9866722</v>
      </c>
      <c r="AB2235">
        <v>25</v>
      </c>
      <c r="AC2235">
        <v>-15.5270999999999</v>
      </c>
      <c r="AD2235">
        <v>-1.10490725992449</v>
      </c>
      <c r="AE2235">
        <v>-1.91739999999998</v>
      </c>
      <c r="AF2235">
        <v>-2.5769137463645202</v>
      </c>
      <c r="AG2235">
        <v>-1.10490725992449</v>
      </c>
      <c r="AH2235">
        <v>15.352631013882499</v>
      </c>
      <c r="AI2235">
        <v>94.059802080629296</v>
      </c>
      <c r="AJ2235">
        <v>99.528185012260906</v>
      </c>
      <c r="AK2235">
        <v>15.606555787798399</v>
      </c>
    </row>
    <row r="2236" spans="1:37" x14ac:dyDescent="0.2">
      <c r="A2236" t="str">
        <f>"20200111153652639"</f>
        <v>20200111153652639</v>
      </c>
      <c r="B2236" t="str">
        <f>"1578728212635315"</f>
        <v>1578728212635315</v>
      </c>
      <c r="C2236" t="s">
        <v>37</v>
      </c>
      <c r="D2236">
        <v>5.7596369999999997</v>
      </c>
      <c r="E2236">
        <v>0.48066300000000001</v>
      </c>
      <c r="F2236" t="s">
        <v>45</v>
      </c>
      <c r="G2236">
        <v>-462.4325</v>
      </c>
      <c r="H2236" s="1">
        <v>-1.15699399999999E-7</v>
      </c>
      <c r="I2236">
        <v>281.71870000000001</v>
      </c>
      <c r="J2236">
        <v>-446.8854</v>
      </c>
      <c r="K2236">
        <v>1.104897</v>
      </c>
      <c r="L2236">
        <v>283.63729999999998</v>
      </c>
      <c r="M2236">
        <v>-0.99896719999999894</v>
      </c>
      <c r="N2236">
        <v>0</v>
      </c>
      <c r="O2236">
        <v>4.3446350000000002E-2</v>
      </c>
      <c r="P2236">
        <v>-0.99581960000000003</v>
      </c>
      <c r="Q2236">
        <v>5.337397E-2</v>
      </c>
      <c r="R2236">
        <v>-7.4124899999999994E-2</v>
      </c>
      <c r="S2236">
        <v>-2.9968870000000001</v>
      </c>
      <c r="T2236">
        <v>-0.20958889999999999</v>
      </c>
      <c r="U2236">
        <v>-0.36184690000000003</v>
      </c>
      <c r="V2236">
        <v>-0.11731709999999999</v>
      </c>
      <c r="W2236">
        <v>6.6575190000000006E-2</v>
      </c>
      <c r="X2236">
        <v>0.99086049999999903</v>
      </c>
      <c r="Y2236">
        <v>-0.16239790000000001</v>
      </c>
      <c r="Z2236">
        <v>-8.6766410000000006E-3</v>
      </c>
      <c r="AA2236">
        <v>0.98668719999999999</v>
      </c>
      <c r="AB2236">
        <v>25</v>
      </c>
      <c r="AC2236">
        <v>-15.5471</v>
      </c>
      <c r="AD2236">
        <v>-1.1048971156994001</v>
      </c>
      <c r="AE2236">
        <v>-1.9185999999999599</v>
      </c>
      <c r="AF2236">
        <v>-2.5794800273170302</v>
      </c>
      <c r="AG2236">
        <v>-1.1048971156994001</v>
      </c>
      <c r="AH2236">
        <v>15.372577261848001</v>
      </c>
      <c r="AI2236">
        <v>94.054548418538999</v>
      </c>
      <c r="AJ2236">
        <v>99.525351446257503</v>
      </c>
      <c r="AK2236">
        <v>15.6266006066289</v>
      </c>
    </row>
    <row r="2237" spans="1:37" x14ac:dyDescent="0.2">
      <c r="A2237" t="str">
        <f>"20200111153652661"</f>
        <v>20200111153652661</v>
      </c>
      <c r="B2237" t="str">
        <f>"1578728212654833"</f>
        <v>1578728212654833</v>
      </c>
      <c r="C2237" t="s">
        <v>37</v>
      </c>
      <c r="D2237">
        <v>5.8455089999999998</v>
      </c>
      <c r="E2237">
        <v>0.48062189999999999</v>
      </c>
      <c r="F2237" t="s">
        <v>45</v>
      </c>
      <c r="G2237">
        <v>-462.65320000000003</v>
      </c>
      <c r="H2237" s="1">
        <v>7.2849100000000004E-10</v>
      </c>
      <c r="I2237">
        <v>281.74290000000002</v>
      </c>
      <c r="J2237">
        <v>-447.13290000000001</v>
      </c>
      <c r="K2237">
        <v>1.1048929999999999</v>
      </c>
      <c r="L2237">
        <v>283.6481</v>
      </c>
      <c r="M2237">
        <v>-0.99896569999999996</v>
      </c>
      <c r="N2237">
        <v>0</v>
      </c>
      <c r="O2237">
        <v>4.3483040000000001E-2</v>
      </c>
      <c r="P2237">
        <v>-0.99584689999999998</v>
      </c>
      <c r="Q2237">
        <v>5.3320449999999998E-2</v>
      </c>
      <c r="R2237">
        <v>-7.3798509999999998E-2</v>
      </c>
      <c r="S2237">
        <v>-2.9971009999999998</v>
      </c>
      <c r="T2237">
        <v>-0.21001520000000001</v>
      </c>
      <c r="U2237">
        <v>-0.36007689999999998</v>
      </c>
      <c r="V2237">
        <v>-0.11702750000000001</v>
      </c>
      <c r="W2237">
        <v>6.6521910000000004E-2</v>
      </c>
      <c r="X2237">
        <v>0.99089830000000001</v>
      </c>
      <c r="Y2237">
        <v>-0.16185050000000001</v>
      </c>
      <c r="Z2237">
        <v>-8.6774030000000002E-3</v>
      </c>
      <c r="AA2237">
        <v>0.98677709999999996</v>
      </c>
      <c r="AB2237">
        <v>25</v>
      </c>
      <c r="AC2237">
        <v>-15.520300000000001</v>
      </c>
      <c r="AD2237">
        <v>-1.1048929992715</v>
      </c>
      <c r="AE2237">
        <v>-1.90519999999998</v>
      </c>
      <c r="AF2237">
        <v>-2.56551801987735</v>
      </c>
      <c r="AG2237">
        <v>-1.1048929992715</v>
      </c>
      <c r="AH2237">
        <v>15.346146221416101</v>
      </c>
      <c r="AI2237">
        <v>94.061902657734905</v>
      </c>
      <c r="AJ2237">
        <v>99.490752578092597</v>
      </c>
      <c r="AK2237">
        <v>15.598297185886601</v>
      </c>
    </row>
    <row r="2238" spans="1:37" x14ac:dyDescent="0.2">
      <c r="A2238" t="str">
        <f>"20200111153652683"</f>
        <v>20200111153652683</v>
      </c>
      <c r="B2238" t="str">
        <f>"1578728212675329"</f>
        <v>1578728212675329</v>
      </c>
      <c r="C2238" t="s">
        <v>37</v>
      </c>
      <c r="D2238">
        <v>5.8791760000000002</v>
      </c>
      <c r="E2238">
        <v>0.48060119999999901</v>
      </c>
      <c r="F2238" t="s">
        <v>45</v>
      </c>
      <c r="G2238">
        <v>-462.87189999999998</v>
      </c>
      <c r="H2238" s="1">
        <v>1.16260399999999E-7</v>
      </c>
      <c r="I2238">
        <v>281.76130000000001</v>
      </c>
      <c r="J2238">
        <v>-447.3809</v>
      </c>
      <c r="K2238">
        <v>1.104889</v>
      </c>
      <c r="L2238">
        <v>283.65899999999999</v>
      </c>
      <c r="M2238">
        <v>-0.99896379999999996</v>
      </c>
      <c r="N2238">
        <v>0</v>
      </c>
      <c r="O2238">
        <v>4.3525000000000001E-2</v>
      </c>
      <c r="P2238">
        <v>-0.99584349999999999</v>
      </c>
      <c r="Q2238">
        <v>5.3084810000000003E-2</v>
      </c>
      <c r="R2238">
        <v>-7.4012209999999995E-2</v>
      </c>
      <c r="S2238">
        <v>-2.997223</v>
      </c>
      <c r="T2238">
        <v>-0.2104087</v>
      </c>
      <c r="U2238">
        <v>-0.35931399999999902</v>
      </c>
      <c r="V2238">
        <v>-0.1172821</v>
      </c>
      <c r="W2238">
        <v>6.6285899999999995E-2</v>
      </c>
      <c r="X2238">
        <v>0.99088399999999999</v>
      </c>
      <c r="Y2238">
        <v>-0.16163820000000001</v>
      </c>
      <c r="Z2238">
        <v>-8.6889159999999997E-3</v>
      </c>
      <c r="AA2238">
        <v>0.98681180000000002</v>
      </c>
      <c r="AB2238">
        <v>25</v>
      </c>
      <c r="AC2238">
        <v>-15.4909999999999</v>
      </c>
      <c r="AD2238">
        <v>-1.1048888837396</v>
      </c>
      <c r="AE2238">
        <v>-1.89769999999998</v>
      </c>
      <c r="AF2238">
        <v>-2.5573891436819398</v>
      </c>
      <c r="AG2238">
        <v>-1.1048888837396</v>
      </c>
      <c r="AH2238">
        <v>15.316944271932901</v>
      </c>
      <c r="AI2238">
        <v>94.069745373922402</v>
      </c>
      <c r="AJ2238">
        <v>99.478936445529996</v>
      </c>
      <c r="AK2238">
        <v>15.568230487346099</v>
      </c>
    </row>
    <row r="2239" spans="1:37" x14ac:dyDescent="0.2">
      <c r="A2239" t="str">
        <f>"20200111153652704"</f>
        <v>20200111153652704</v>
      </c>
      <c r="B2239" t="str">
        <f>"1578728212694849"</f>
        <v>1578728212694849</v>
      </c>
      <c r="C2239" t="s">
        <v>37</v>
      </c>
      <c r="D2239">
        <v>5.8772039999999999</v>
      </c>
      <c r="E2239">
        <v>0.48052979999999901</v>
      </c>
      <c r="F2239" t="s">
        <v>45</v>
      </c>
      <c r="G2239">
        <v>-463.01979999999998</v>
      </c>
      <c r="H2239" s="1">
        <v>1.941947E-7</v>
      </c>
      <c r="I2239">
        <v>281.77940000000001</v>
      </c>
      <c r="J2239">
        <v>-447.62139999999999</v>
      </c>
      <c r="K2239">
        <v>1.1048959999999901</v>
      </c>
      <c r="L2239">
        <v>283.66950000000003</v>
      </c>
      <c r="M2239">
        <v>-0.99896189999999996</v>
      </c>
      <c r="N2239">
        <v>0</v>
      </c>
      <c r="O2239">
        <v>4.3569190000000001E-2</v>
      </c>
      <c r="P2239">
        <v>-0.99579769999999901</v>
      </c>
      <c r="Q2239">
        <v>5.3383449999999999E-2</v>
      </c>
      <c r="R2239">
        <v>-7.4413580000000007E-2</v>
      </c>
      <c r="S2239">
        <v>-2.9970699999999999</v>
      </c>
      <c r="T2239">
        <v>-0.2117435</v>
      </c>
      <c r="U2239">
        <v>-0.36019899999999999</v>
      </c>
      <c r="V2239">
        <v>-0.1177248</v>
      </c>
      <c r="W2239">
        <v>6.658232E-2</v>
      </c>
      <c r="X2239">
        <v>0.99081160000000001</v>
      </c>
      <c r="Y2239">
        <v>-0.16196769999999999</v>
      </c>
      <c r="Z2239">
        <v>-8.7588900000000001E-3</v>
      </c>
      <c r="AA2239">
        <v>0.9867572</v>
      </c>
      <c r="AB2239">
        <v>25</v>
      </c>
      <c r="AC2239">
        <v>-15.398399999999899</v>
      </c>
      <c r="AD2239">
        <v>-1.10489580580529</v>
      </c>
      <c r="AE2239">
        <v>-1.8901000000000101</v>
      </c>
      <c r="AF2239">
        <v>-2.5463444293886401</v>
      </c>
      <c r="AG2239">
        <v>-1.10489580580529</v>
      </c>
      <c r="AH2239">
        <v>15.224197603195099</v>
      </c>
      <c r="AI2239">
        <v>94.094286493069006</v>
      </c>
      <c r="AJ2239">
        <v>99.495194869352702</v>
      </c>
      <c r="AK2239">
        <v>15.475169057425401</v>
      </c>
    </row>
    <row r="2240" spans="1:37" x14ac:dyDescent="0.2">
      <c r="A2240" t="str">
        <f>"20200111153652727"</f>
        <v>20200111153652727</v>
      </c>
      <c r="B2240" t="str">
        <f>"1578728212715345"</f>
        <v>1578728212715345</v>
      </c>
      <c r="C2240" t="s">
        <v>37</v>
      </c>
      <c r="D2240">
        <v>5.9804969999999997</v>
      </c>
      <c r="E2240">
        <v>0.48047859999999998</v>
      </c>
      <c r="F2240" t="s">
        <v>45</v>
      </c>
      <c r="G2240">
        <v>-463.26850000000002</v>
      </c>
      <c r="H2240" s="1">
        <v>3.2650760000000001E-7</v>
      </c>
      <c r="I2240">
        <v>281.78019999999998</v>
      </c>
      <c r="J2240">
        <v>-447.86840000000001</v>
      </c>
      <c r="K2240">
        <v>1.1048990000000001</v>
      </c>
      <c r="L2240">
        <v>283.68029999999999</v>
      </c>
      <c r="M2240">
        <v>-0.99895990000000001</v>
      </c>
      <c r="N2240">
        <v>0</v>
      </c>
      <c r="O2240">
        <v>4.3615210000000001E-2</v>
      </c>
      <c r="P2240">
        <v>-0.99574979999999902</v>
      </c>
      <c r="Q2240">
        <v>5.3419939999999999E-2</v>
      </c>
      <c r="R2240">
        <v>-7.5022560000000002E-2</v>
      </c>
      <c r="S2240">
        <v>-2.9969790000000001</v>
      </c>
      <c r="T2240">
        <v>-0.21162719999999999</v>
      </c>
      <c r="U2240">
        <v>-0.36187740000000002</v>
      </c>
      <c r="V2240">
        <v>-0.118377</v>
      </c>
      <c r="W2240">
        <v>6.6616579999999995E-2</v>
      </c>
      <c r="X2240">
        <v>0.99073159999999905</v>
      </c>
      <c r="Y2240">
        <v>-0.1625605</v>
      </c>
      <c r="Z2240">
        <v>-8.7781349999999994E-3</v>
      </c>
      <c r="AA2240">
        <v>0.98665949999999902</v>
      </c>
      <c r="AB2240">
        <v>25</v>
      </c>
      <c r="AC2240">
        <v>-15.4001</v>
      </c>
      <c r="AD2240">
        <v>-1.1048986734924</v>
      </c>
      <c r="AE2240">
        <v>-1.9000999999999999</v>
      </c>
      <c r="AF2240">
        <v>-2.5570643806728501</v>
      </c>
      <c r="AG2240">
        <v>-1.1048986734924</v>
      </c>
      <c r="AH2240">
        <v>15.2253645100425</v>
      </c>
      <c r="AI2240">
        <v>94.093524589111496</v>
      </c>
      <c r="AJ2240">
        <v>99.533719330116398</v>
      </c>
      <c r="AK2240">
        <v>15.4780846292186</v>
      </c>
    </row>
    <row r="2241" spans="1:37" x14ac:dyDescent="0.2">
      <c r="A2241" t="str">
        <f>"20200111153652749"</f>
        <v>20200111153652749</v>
      </c>
      <c r="B2241" t="str">
        <f>"1578728212744628"</f>
        <v>1578728212744628</v>
      </c>
      <c r="C2241" t="s">
        <v>37</v>
      </c>
      <c r="D2241">
        <v>6.1631320000000001</v>
      </c>
      <c r="E2241">
        <v>0.4803867</v>
      </c>
      <c r="F2241" t="s">
        <v>45</v>
      </c>
      <c r="G2241">
        <v>-463.54559999999998</v>
      </c>
      <c r="H2241" s="1">
        <v>4.7425769999999998E-7</v>
      </c>
      <c r="I2241">
        <v>281.77370000000002</v>
      </c>
      <c r="J2241">
        <v>-448.11790000000002</v>
      </c>
      <c r="K2241">
        <v>1.1049020000000001</v>
      </c>
      <c r="L2241">
        <v>283.69119999999998</v>
      </c>
      <c r="M2241">
        <v>-0.99895789999999995</v>
      </c>
      <c r="N2241">
        <v>0</v>
      </c>
      <c r="O2241">
        <v>4.3660749999999998E-2</v>
      </c>
      <c r="P2241">
        <v>-0.99570119999999895</v>
      </c>
      <c r="Q2241">
        <v>5.277896E-2</v>
      </c>
      <c r="R2241">
        <v>-7.6115710000000003E-2</v>
      </c>
      <c r="S2241">
        <v>-2.9966740000000001</v>
      </c>
      <c r="T2241">
        <v>-0.21120029999999901</v>
      </c>
      <c r="U2241">
        <v>-0.36444090000000001</v>
      </c>
      <c r="V2241">
        <v>-0.11951249999999999</v>
      </c>
      <c r="W2241">
        <v>6.597285E-2</v>
      </c>
      <c r="X2241">
        <v>0.99063840000000003</v>
      </c>
      <c r="Y2241">
        <v>-0.16344890000000001</v>
      </c>
      <c r="Z2241">
        <v>-8.7952710000000003E-3</v>
      </c>
      <c r="AA2241">
        <v>0.98651259999999996</v>
      </c>
      <c r="AB2241">
        <v>25</v>
      </c>
      <c r="AC2241">
        <v>-15.4276999999999</v>
      </c>
      <c r="AD2241">
        <v>-1.1049015257423001</v>
      </c>
      <c r="AE2241">
        <v>-1.91749999999996</v>
      </c>
      <c r="AF2241">
        <v>-2.5763025032562599</v>
      </c>
      <c r="AG2241">
        <v>-1.1049015257423001</v>
      </c>
      <c r="AH2241">
        <v>15.2522181892245</v>
      </c>
      <c r="AI2241">
        <v>94.085708270415395</v>
      </c>
      <c r="AJ2241">
        <v>99.587520003027393</v>
      </c>
      <c r="AK2241">
        <v>15.5076852451158</v>
      </c>
    </row>
    <row r="2242" spans="1:37" x14ac:dyDescent="0.2">
      <c r="A2242" t="str">
        <f>"20200111153652772"</f>
        <v>20200111153652772</v>
      </c>
      <c r="B2242" t="str">
        <f>"1578728212765121"</f>
        <v>1578728212765121</v>
      </c>
      <c r="C2242" t="s">
        <v>37</v>
      </c>
      <c r="D2242">
        <v>5.7699379999999998</v>
      </c>
      <c r="E2242">
        <v>0.48029650000000002</v>
      </c>
      <c r="F2242" t="s">
        <v>45</v>
      </c>
      <c r="G2242">
        <v>-463.5958</v>
      </c>
      <c r="H2242" s="1">
        <v>5.0040079999999899E-7</v>
      </c>
      <c r="I2242">
        <v>281.7869</v>
      </c>
      <c r="J2242">
        <v>-448.37419999999997</v>
      </c>
      <c r="K2242">
        <v>1.1048929999999999</v>
      </c>
      <c r="L2242">
        <v>283.70249999999999</v>
      </c>
      <c r="M2242">
        <v>-0.99895599999999996</v>
      </c>
      <c r="N2242">
        <v>0</v>
      </c>
      <c r="O2242">
        <v>4.3705569999999999E-2</v>
      </c>
      <c r="P2242">
        <v>-0.99563539999999995</v>
      </c>
      <c r="Q2242">
        <v>5.2495350000000003E-2</v>
      </c>
      <c r="R2242">
        <v>-7.7163999999999996E-2</v>
      </c>
      <c r="S2242">
        <v>-2.996124</v>
      </c>
      <c r="T2242">
        <v>-0.21388070000000001</v>
      </c>
      <c r="U2242">
        <v>-0.3686218</v>
      </c>
      <c r="V2242">
        <v>-0.12060170000000001</v>
      </c>
      <c r="W2242">
        <v>6.5685939999999998E-2</v>
      </c>
      <c r="X2242">
        <v>0.9905254</v>
      </c>
      <c r="Y2242">
        <v>-0.16485429999999901</v>
      </c>
      <c r="Z2242">
        <v>-8.9606019999999998E-3</v>
      </c>
      <c r="AA2242">
        <v>0.98627719999999897</v>
      </c>
      <c r="AB2242">
        <v>25</v>
      </c>
      <c r="AC2242">
        <v>-15.2216</v>
      </c>
      <c r="AD2242">
        <v>-1.1048924995992</v>
      </c>
      <c r="AE2242">
        <v>-1.91559999999998</v>
      </c>
      <c r="AF2242">
        <v>-2.56578863452124</v>
      </c>
      <c r="AG2242">
        <v>-1.1048924995992</v>
      </c>
      <c r="AH2242">
        <v>15.0452866028137</v>
      </c>
      <c r="AI2242">
        <v>94.1405689141762</v>
      </c>
      <c r="AJ2242">
        <v>99.677985480334499</v>
      </c>
      <c r="AK2242">
        <v>15.302441233787301</v>
      </c>
    </row>
    <row r="2243" spans="1:37" x14ac:dyDescent="0.2">
      <c r="A2243" t="str">
        <f>"20200111153652794"</f>
        <v>20200111153652794</v>
      </c>
      <c r="B2243" t="str">
        <f>"1578728212784641"</f>
        <v>1578728212784641</v>
      </c>
      <c r="C2243" t="s">
        <v>37</v>
      </c>
      <c r="D2243">
        <v>5.8520120000000002</v>
      </c>
      <c r="E2243">
        <v>0.48022789999999999</v>
      </c>
      <c r="F2243" t="s">
        <v>45</v>
      </c>
      <c r="G2243">
        <v>-463.73379999999997</v>
      </c>
      <c r="H2243" s="1">
        <v>5.7360039999999997E-7</v>
      </c>
      <c r="I2243">
        <v>281.79259999999999</v>
      </c>
      <c r="J2243">
        <v>-448.60930000000002</v>
      </c>
      <c r="K2243">
        <v>1.104895</v>
      </c>
      <c r="L2243">
        <v>283.71280000000002</v>
      </c>
      <c r="M2243">
        <v>-0.99895429999999996</v>
      </c>
      <c r="N2243">
        <v>0</v>
      </c>
      <c r="O2243">
        <v>4.3744970000000001E-2</v>
      </c>
      <c r="P2243">
        <v>-0.99566790000000005</v>
      </c>
      <c r="Q2243">
        <v>5.1606260000000001E-2</v>
      </c>
      <c r="R2243">
        <v>-7.7346940000000003E-2</v>
      </c>
      <c r="S2243">
        <v>-2.9956669999999899</v>
      </c>
      <c r="T2243">
        <v>-0.2154925</v>
      </c>
      <c r="U2243">
        <v>-0.37249759999999998</v>
      </c>
      <c r="V2243">
        <v>-0.1208246</v>
      </c>
      <c r="W2243">
        <v>6.479567E-2</v>
      </c>
      <c r="X2243">
        <v>0.99055689999999996</v>
      </c>
      <c r="Y2243">
        <v>-0.16615669999999999</v>
      </c>
      <c r="Z2243">
        <v>-9.0780630000000008E-3</v>
      </c>
      <c r="AA2243">
        <v>0.98605759999999898</v>
      </c>
      <c r="AB2243">
        <v>25</v>
      </c>
      <c r="AC2243">
        <v>-15.1244999999999</v>
      </c>
      <c r="AD2243">
        <v>-1.1048944263995999</v>
      </c>
      <c r="AE2243">
        <v>-1.9202000000000199</v>
      </c>
      <c r="AF2243">
        <v>-2.5665608831669999</v>
      </c>
      <c r="AG2243">
        <v>-1.1048944263995999</v>
      </c>
      <c r="AH2243">
        <v>14.947506533376901</v>
      </c>
      <c r="AI2243">
        <v>94.166761001455498</v>
      </c>
      <c r="AJ2243">
        <v>99.742961168675905</v>
      </c>
      <c r="AK2243">
        <v>15.206445279085999</v>
      </c>
    </row>
    <row r="2244" spans="1:37" x14ac:dyDescent="0.2">
      <c r="A2244" t="str">
        <f>"20200111153652816"</f>
        <v>20200111153652816</v>
      </c>
      <c r="B2244" t="str">
        <f>"1578728212805137"</f>
        <v>1578728212805137</v>
      </c>
      <c r="C2244" t="s">
        <v>37</v>
      </c>
      <c r="D2244">
        <v>5.8002149999999997</v>
      </c>
      <c r="E2244">
        <v>0.48017129999999902</v>
      </c>
      <c r="F2244" t="s">
        <v>45</v>
      </c>
      <c r="G2244">
        <v>-463.74290000000002</v>
      </c>
      <c r="H2244" s="1">
        <v>5.7703859999999999E-7</v>
      </c>
      <c r="I2244">
        <v>281.82380000000001</v>
      </c>
      <c r="J2244">
        <v>-448.85629999999998</v>
      </c>
      <c r="K2244">
        <v>1.1048929999999999</v>
      </c>
      <c r="L2244">
        <v>283.72370000000001</v>
      </c>
      <c r="M2244">
        <v>-0.99895259999999997</v>
      </c>
      <c r="N2244">
        <v>0</v>
      </c>
      <c r="O2244">
        <v>4.3785669999999999E-2</v>
      </c>
      <c r="P2244">
        <v>-0.99568489999999998</v>
      </c>
      <c r="Q2244">
        <v>5.1177109999999998E-2</v>
      </c>
      <c r="R2244">
        <v>-7.7411079999999993E-2</v>
      </c>
      <c r="S2244">
        <v>-2.9953609999999999</v>
      </c>
      <c r="T2244">
        <v>-0.2186902</v>
      </c>
      <c r="U2244">
        <v>-0.37390139999999999</v>
      </c>
      <c r="V2244">
        <v>-0.12093039999999899</v>
      </c>
      <c r="W2244">
        <v>6.4365030000000004E-2</v>
      </c>
      <c r="X2244">
        <v>0.99057199999999901</v>
      </c>
      <c r="Y2244">
        <v>-0.16664679999999901</v>
      </c>
      <c r="Z2244">
        <v>-9.2338519999999903E-3</v>
      </c>
      <c r="AA2244">
        <v>0.9859734</v>
      </c>
      <c r="AB2244">
        <v>25</v>
      </c>
      <c r="AC2244">
        <v>-14.8866</v>
      </c>
      <c r="AD2244">
        <v>-1.1048924229613999</v>
      </c>
      <c r="AE2244">
        <v>-1.8998999999999999</v>
      </c>
      <c r="AF2244">
        <v>-2.5362075821181</v>
      </c>
      <c r="AG2244">
        <v>-1.1048924229613999</v>
      </c>
      <c r="AH2244">
        <v>14.7093937718003</v>
      </c>
      <c r="AI2244">
        <v>94.233455977436606</v>
      </c>
      <c r="AJ2244">
        <v>99.782805004105796</v>
      </c>
      <c r="AK2244">
        <v>14.967277684996301</v>
      </c>
    </row>
    <row r="2245" spans="1:37" x14ac:dyDescent="0.2">
      <c r="A2245" t="str">
        <f>"20200111153652851"</f>
        <v>20200111153652851</v>
      </c>
      <c r="B2245" t="str">
        <f>"1578728212845153"</f>
        <v>1578728212845153</v>
      </c>
      <c r="C2245" t="s">
        <v>37</v>
      </c>
      <c r="D2245">
        <v>5.9752529999999897</v>
      </c>
      <c r="E2245">
        <v>0.48002449999999902</v>
      </c>
      <c r="F2245" t="s">
        <v>45</v>
      </c>
      <c r="G2245">
        <v>-463.84129999999999</v>
      </c>
      <c r="H2245" s="1">
        <v>6.2830209999999998E-7</v>
      </c>
      <c r="I2245">
        <v>281.84910000000002</v>
      </c>
      <c r="J2245">
        <v>-449.23090000000002</v>
      </c>
      <c r="K2245">
        <v>1.1048929999999999</v>
      </c>
      <c r="L2245">
        <v>283.74020000000002</v>
      </c>
      <c r="M2245">
        <v>-0.99895</v>
      </c>
      <c r="N2245">
        <v>0</v>
      </c>
      <c r="O2245">
        <v>4.384652E-2</v>
      </c>
      <c r="P2245">
        <v>-0.99571799999999999</v>
      </c>
      <c r="Q2245">
        <v>5.1330220000000003E-2</v>
      </c>
      <c r="R2245">
        <v>-7.6883000000000007E-2</v>
      </c>
      <c r="S2245">
        <v>-2.9951779999999899</v>
      </c>
      <c r="T2245">
        <v>-0.22084400000000001</v>
      </c>
      <c r="U2245">
        <v>-0.37469479999999999</v>
      </c>
      <c r="V2245">
        <v>-0.120464899999999</v>
      </c>
      <c r="W2245">
        <v>6.4515879999999998E-2</v>
      </c>
      <c r="X2245">
        <v>0.99061889999999997</v>
      </c>
      <c r="Y2245">
        <v>-0.16695940000000001</v>
      </c>
      <c r="Z2245">
        <v>-9.3409010000000004E-3</v>
      </c>
      <c r="AA2245">
        <v>0.98591949999999995</v>
      </c>
      <c r="AB2245">
        <v>25</v>
      </c>
      <c r="AC2245">
        <v>-14.610399999999901</v>
      </c>
      <c r="AD2245">
        <v>-1.1048923716979</v>
      </c>
      <c r="AE2245">
        <v>-1.89109999999999</v>
      </c>
      <c r="AF2245">
        <v>-2.5158020126584102</v>
      </c>
      <c r="AG2245">
        <v>-1.1048923716979</v>
      </c>
      <c r="AH2245">
        <v>14.432243748089601</v>
      </c>
      <c r="AI2245">
        <v>94.313076711965707</v>
      </c>
      <c r="AJ2245">
        <v>99.888334805757097</v>
      </c>
      <c r="AK2245">
        <v>14.691484149812901</v>
      </c>
    </row>
    <row r="2246" spans="1:37" x14ac:dyDescent="0.2">
      <c r="A2246" t="str">
        <f>"20200111153652872"</f>
        <v>20200111153652872</v>
      </c>
      <c r="B2246" t="str">
        <f>"1578728212864673"</f>
        <v>1578728212864673</v>
      </c>
      <c r="C2246" t="s">
        <v>37</v>
      </c>
      <c r="D2246">
        <v>5.7689170000000001</v>
      </c>
      <c r="E2246">
        <v>0.4799447</v>
      </c>
      <c r="F2246" t="s">
        <v>45</v>
      </c>
      <c r="G2246">
        <v>-464.14909999999998</v>
      </c>
      <c r="H2246" s="1">
        <v>7.9097110000000001E-7</v>
      </c>
      <c r="I2246">
        <v>281.8759</v>
      </c>
      <c r="J2246">
        <v>-449.47750000000002</v>
      </c>
      <c r="K2246">
        <v>1.104889</v>
      </c>
      <c r="L2246">
        <v>283.75110000000001</v>
      </c>
      <c r="M2246">
        <v>-0.99894830000000001</v>
      </c>
      <c r="N2246">
        <v>0</v>
      </c>
      <c r="O2246">
        <v>4.3886389999999997E-2</v>
      </c>
      <c r="P2246">
        <v>-0.99581039999999998</v>
      </c>
      <c r="Q2246">
        <v>5.07178E-2</v>
      </c>
      <c r="R2246">
        <v>-7.6088230000000007E-2</v>
      </c>
      <c r="S2246">
        <v>-2.995422</v>
      </c>
      <c r="T2246">
        <v>-0.22185059999999901</v>
      </c>
      <c r="U2246">
        <v>-0.37432859999999901</v>
      </c>
      <c r="V2246">
        <v>-0.1197143</v>
      </c>
      <c r="W2246">
        <v>6.3904409999999995E-2</v>
      </c>
      <c r="X2246">
        <v>0.99074959999999901</v>
      </c>
      <c r="Y2246">
        <v>-0.16686529999999899</v>
      </c>
      <c r="Z2246">
        <v>-9.3821440000000002E-3</v>
      </c>
      <c r="AA2246">
        <v>0.98593509999999995</v>
      </c>
      <c r="AB2246">
        <v>25</v>
      </c>
      <c r="AC2246">
        <v>-14.6715999999999</v>
      </c>
      <c r="AD2246">
        <v>-1.1048882090289001</v>
      </c>
      <c r="AE2246">
        <v>-1.8752</v>
      </c>
      <c r="AF2246">
        <v>-2.5033641940212799</v>
      </c>
      <c r="AG2246">
        <v>-1.1048882090289001</v>
      </c>
      <c r="AH2246">
        <v>14.4942788269956</v>
      </c>
      <c r="AI2246">
        <v>94.295826276206299</v>
      </c>
      <c r="AJ2246">
        <v>99.799107619612002</v>
      </c>
      <c r="AK2246">
        <v>14.750312842684099</v>
      </c>
    </row>
    <row r="2247" spans="1:37" x14ac:dyDescent="0.2">
      <c r="A2247" t="str">
        <f>"20200111153652894"</f>
        <v>20200111153652894</v>
      </c>
      <c r="B2247" t="str">
        <f>"1578728212885169"</f>
        <v>1578728212885169</v>
      </c>
      <c r="C2247" t="s">
        <v>37</v>
      </c>
      <c r="D2247">
        <v>5.8967609999999997</v>
      </c>
      <c r="E2247">
        <v>0.4799213</v>
      </c>
      <c r="F2247" t="s">
        <v>45</v>
      </c>
      <c r="G2247">
        <v>-464.23919999999998</v>
      </c>
      <c r="H2247" s="1">
        <v>8.3726139999999996E-7</v>
      </c>
      <c r="I2247">
        <v>281.91309999999999</v>
      </c>
      <c r="J2247">
        <v>-449.72370000000001</v>
      </c>
      <c r="K2247">
        <v>1.104881</v>
      </c>
      <c r="L2247">
        <v>283.76190000000003</v>
      </c>
      <c r="M2247">
        <v>-0.99894640000000001</v>
      </c>
      <c r="N2247">
        <v>0</v>
      </c>
      <c r="O2247">
        <v>4.392393E-2</v>
      </c>
      <c r="P2247">
        <v>-0.99585429999999997</v>
      </c>
      <c r="Q2247">
        <v>5.015087E-2</v>
      </c>
      <c r="R2247">
        <v>-7.5888720000000007E-2</v>
      </c>
      <c r="S2247">
        <v>-2.99554399999999</v>
      </c>
      <c r="T2247">
        <v>-0.2242122</v>
      </c>
      <c r="U2247">
        <v>-0.37298579999999998</v>
      </c>
      <c r="V2247">
        <v>-0.1195547</v>
      </c>
      <c r="W2247">
        <v>6.3336219999999999E-2</v>
      </c>
      <c r="X2247">
        <v>0.9908053</v>
      </c>
      <c r="Y2247">
        <v>-0.16645109999999999</v>
      </c>
      <c r="Z2247">
        <v>-9.4689909999999995E-3</v>
      </c>
      <c r="AA2247">
        <v>0.9860042</v>
      </c>
      <c r="AB2247">
        <v>25</v>
      </c>
      <c r="AC2247">
        <v>-14.5154999999999</v>
      </c>
      <c r="AD2247">
        <v>-1.1048801627386</v>
      </c>
      <c r="AE2247">
        <v>-1.84880000000004</v>
      </c>
      <c r="AF2247">
        <v>-2.4705639900899499</v>
      </c>
      <c r="AG2247">
        <v>-1.1048801627386</v>
      </c>
      <c r="AH2247">
        <v>14.3385256302127</v>
      </c>
      <c r="AI2247">
        <v>94.3425791107138</v>
      </c>
      <c r="AJ2247">
        <v>99.776215063595004</v>
      </c>
      <c r="AK2247">
        <v>14.5917018833106</v>
      </c>
    </row>
    <row r="2248" spans="1:37" x14ac:dyDescent="0.2">
      <c r="A2248" t="str">
        <f>"20200111153652917"</f>
        <v>20200111153652917</v>
      </c>
      <c r="B2248" t="str">
        <f>"1578728212904690"</f>
        <v>1578728212904690</v>
      </c>
      <c r="C2248" t="s">
        <v>37</v>
      </c>
      <c r="D2248">
        <v>5.5927199999999999</v>
      </c>
      <c r="E2248">
        <v>0.47979830000000001</v>
      </c>
      <c r="F2248" t="s">
        <v>45</v>
      </c>
      <c r="G2248">
        <v>-464.36590000000001</v>
      </c>
      <c r="H2248" s="1">
        <v>9.0357619999999998E-7</v>
      </c>
      <c r="I2248">
        <v>281.9391</v>
      </c>
      <c r="J2248">
        <v>-449.96499999999997</v>
      </c>
      <c r="K2248">
        <v>1.1048849999999999</v>
      </c>
      <c r="L2248">
        <v>283.77260000000001</v>
      </c>
      <c r="M2248">
        <v>-0.99894519999999998</v>
      </c>
      <c r="N2248">
        <v>0</v>
      </c>
      <c r="O2248">
        <v>4.3954750000000001E-2</v>
      </c>
      <c r="P2248">
        <v>-0.9957859</v>
      </c>
      <c r="Q2248">
        <v>5.0307259999999999E-2</v>
      </c>
      <c r="R2248">
        <v>-7.6678940000000001E-2</v>
      </c>
      <c r="S2248">
        <v>-2.9954529999999999</v>
      </c>
      <c r="T2248">
        <v>-0.22603229999999999</v>
      </c>
      <c r="U2248">
        <v>-0.37289429999999901</v>
      </c>
      <c r="V2248">
        <v>-0.1203718</v>
      </c>
      <c r="W2248">
        <v>6.348898E-2</v>
      </c>
      <c r="X2248">
        <v>0.99069660000000004</v>
      </c>
      <c r="Y2248">
        <v>-0.16644600000000001</v>
      </c>
      <c r="Z2248">
        <v>-9.5480689999999993E-3</v>
      </c>
      <c r="AA2248">
        <v>0.9860044</v>
      </c>
      <c r="AB2248">
        <v>25</v>
      </c>
      <c r="AC2248">
        <v>-14.4009</v>
      </c>
      <c r="AD2248">
        <v>-1.1048840964238</v>
      </c>
      <c r="AE2248">
        <v>-1.8335000000000099</v>
      </c>
      <c r="AF2248">
        <v>-2.45057635255221</v>
      </c>
      <c r="AG2248">
        <v>-1.1048840964238</v>
      </c>
      <c r="AH2248">
        <v>14.2239879196791</v>
      </c>
      <c r="AI2248">
        <v>94.377440539431205</v>
      </c>
      <c r="AJ2248">
        <v>99.775227279380999</v>
      </c>
      <c r="AK2248">
        <v>14.475770296098</v>
      </c>
    </row>
    <row r="2249" spans="1:37" x14ac:dyDescent="0.2">
      <c r="A2249" t="str">
        <f>"20200111153652940"</f>
        <v>20200111153652940</v>
      </c>
      <c r="B2249" t="str">
        <f>"1578728212934948"</f>
        <v>1578728212934948</v>
      </c>
      <c r="C2249" t="s">
        <v>37</v>
      </c>
      <c r="D2249">
        <v>5.9111289999999999</v>
      </c>
      <c r="E2249">
        <v>0.47962640000000001</v>
      </c>
      <c r="F2249" t="s">
        <v>45</v>
      </c>
      <c r="G2249">
        <v>-464.60329999999999</v>
      </c>
      <c r="H2249" s="1">
        <v>1.0300469999999999E-6</v>
      </c>
      <c r="I2249">
        <v>281.93549999999999</v>
      </c>
      <c r="J2249">
        <v>-450.21769999999998</v>
      </c>
      <c r="K2249">
        <v>1.1049040000000001</v>
      </c>
      <c r="L2249">
        <v>283.78370000000001</v>
      </c>
      <c r="M2249">
        <v>-0.99894419999999995</v>
      </c>
      <c r="N2249">
        <v>0</v>
      </c>
      <c r="O2249">
        <v>4.3977719999999998E-2</v>
      </c>
      <c r="P2249">
        <v>-0.99570029999999998</v>
      </c>
      <c r="Q2249">
        <v>5.0855949999999997E-2</v>
      </c>
      <c r="R2249">
        <v>-7.7426190000000006E-2</v>
      </c>
      <c r="S2249">
        <v>-2.995209</v>
      </c>
      <c r="T2249">
        <v>-0.22607550000000001</v>
      </c>
      <c r="U2249">
        <v>-0.37588499999999903</v>
      </c>
      <c r="V2249">
        <v>-0.1211385</v>
      </c>
      <c r="W2249">
        <v>6.4032900000000004E-2</v>
      </c>
      <c r="X2249">
        <v>0.99056819999999901</v>
      </c>
      <c r="Y2249">
        <v>-0.1674447</v>
      </c>
      <c r="Z2249">
        <v>-9.5893100000000002E-3</v>
      </c>
      <c r="AA2249">
        <v>0.98583480000000001</v>
      </c>
      <c r="AB2249">
        <v>25</v>
      </c>
      <c r="AC2249">
        <v>-14.3856</v>
      </c>
      <c r="AD2249">
        <v>-1.104902969953</v>
      </c>
      <c r="AE2249">
        <v>-1.84820000000002</v>
      </c>
      <c r="AF2249">
        <v>-2.46480901475933</v>
      </c>
      <c r="AG2249">
        <v>-1.104902969953</v>
      </c>
      <c r="AH2249">
        <v>14.2079385290223</v>
      </c>
      <c r="AI2249">
        <v>94.381564047922595</v>
      </c>
      <c r="AJ2249">
        <v>99.841784039260006</v>
      </c>
      <c r="AK2249">
        <v>14.462420658269</v>
      </c>
    </row>
    <row r="2250" spans="1:37" x14ac:dyDescent="0.2">
      <c r="A2250" t="str">
        <f>"20200111153652962"</f>
        <v>20200111153652962</v>
      </c>
      <c r="B2250" t="str">
        <f>"1578728212955440"</f>
        <v>1578728212955440</v>
      </c>
      <c r="C2250" t="s">
        <v>37</v>
      </c>
      <c r="D2250">
        <v>5.6418109999999997</v>
      </c>
      <c r="E2250">
        <v>0.47957169999999999</v>
      </c>
      <c r="F2250" t="s">
        <v>45</v>
      </c>
      <c r="G2250">
        <v>-464.92779999999999</v>
      </c>
      <c r="H2250" s="1">
        <v>1.203346E-6</v>
      </c>
      <c r="I2250">
        <v>281.92149999999998</v>
      </c>
      <c r="J2250">
        <v>-450.46339999999998</v>
      </c>
      <c r="K2250">
        <v>1.1049199999999999</v>
      </c>
      <c r="L2250">
        <v>283.7946</v>
      </c>
      <c r="M2250">
        <v>-0.99894359999999904</v>
      </c>
      <c r="N2250">
        <v>0</v>
      </c>
      <c r="O2250">
        <v>4.3991919999999997E-2</v>
      </c>
      <c r="P2250">
        <v>-0.99551730000000005</v>
      </c>
      <c r="Q2250">
        <v>5.2030729999999997E-2</v>
      </c>
      <c r="R2250">
        <v>-7.8985749999999993E-2</v>
      </c>
      <c r="S2250">
        <v>-2.9949650000000001</v>
      </c>
      <c r="T2250">
        <v>-0.22495760000000001</v>
      </c>
      <c r="U2250">
        <v>-0.3791504</v>
      </c>
      <c r="V2250">
        <v>-0.122703399999999</v>
      </c>
      <c r="W2250">
        <v>6.5201079999999995E-2</v>
      </c>
      <c r="X2250">
        <v>0.99029929999999999</v>
      </c>
      <c r="Y2250">
        <v>-0.16852929999999999</v>
      </c>
      <c r="Z2250">
        <v>-9.5837460000000006E-3</v>
      </c>
      <c r="AA2250">
        <v>0.98565009999999997</v>
      </c>
      <c r="AB2250">
        <v>25</v>
      </c>
      <c r="AC2250">
        <v>-14.464399999999999</v>
      </c>
      <c r="AD2250">
        <v>-1.1049187966539999</v>
      </c>
      <c r="AE2250">
        <v>-1.87310000000002</v>
      </c>
      <c r="AF2250">
        <v>-2.4933497922666898</v>
      </c>
      <c r="AG2250">
        <v>-1.1049187966539999</v>
      </c>
      <c r="AH2250">
        <v>14.285998262170001</v>
      </c>
      <c r="AI2250">
        <v>94.357007836691807</v>
      </c>
      <c r="AJ2250">
        <v>99.900171097440094</v>
      </c>
      <c r="AK2250">
        <v>14.5439810602366</v>
      </c>
    </row>
    <row r="2251" spans="1:37" x14ac:dyDescent="0.2">
      <c r="A2251" t="str">
        <f>"20200111153652983"</f>
        <v>20200111153652983</v>
      </c>
      <c r="B2251" t="str">
        <f>"1578728212974964"</f>
        <v>1578728212974964</v>
      </c>
      <c r="C2251" t="s">
        <v>37</v>
      </c>
      <c r="D2251">
        <v>5.6467510000000001</v>
      </c>
      <c r="E2251">
        <v>0.47946949999999999</v>
      </c>
      <c r="F2251" t="s">
        <v>45</v>
      </c>
      <c r="G2251">
        <v>-465.39420000000001</v>
      </c>
      <c r="H2251" s="1">
        <v>1.4533919999999999E-6</v>
      </c>
      <c r="I2251">
        <v>281.87889999999999</v>
      </c>
      <c r="J2251">
        <v>-450.70370000000003</v>
      </c>
      <c r="K2251">
        <v>1.10493</v>
      </c>
      <c r="L2251">
        <v>283.80509999999998</v>
      </c>
      <c r="M2251">
        <v>-0.99894319999999903</v>
      </c>
      <c r="N2251">
        <v>0</v>
      </c>
      <c r="O2251">
        <v>4.3999580000000003E-2</v>
      </c>
      <c r="P2251">
        <v>-0.9953417</v>
      </c>
      <c r="Q2251">
        <v>5.3583840000000001E-2</v>
      </c>
      <c r="R2251">
        <v>-8.0147609999999994E-2</v>
      </c>
      <c r="S2251">
        <v>-2.9945680000000001</v>
      </c>
      <c r="T2251">
        <v>-0.22160650000000001</v>
      </c>
      <c r="U2251">
        <v>-0.38421630000000001</v>
      </c>
      <c r="V2251">
        <v>-0.1238654</v>
      </c>
      <c r="W2251">
        <v>6.6748379999999996E-2</v>
      </c>
      <c r="X2251">
        <v>0.99005149999999997</v>
      </c>
      <c r="Y2251">
        <v>-0.17020660000000001</v>
      </c>
      <c r="Z2251">
        <v>-9.5039229999999992E-3</v>
      </c>
      <c r="AA2251">
        <v>0.98536259999999998</v>
      </c>
      <c r="AB2251">
        <v>25</v>
      </c>
      <c r="AC2251">
        <v>-14.690499999999901</v>
      </c>
      <c r="AD2251">
        <v>-1.1049285466079899</v>
      </c>
      <c r="AE2251">
        <v>-1.9261999999999899</v>
      </c>
      <c r="AF2251">
        <v>-2.5565488715026699</v>
      </c>
      <c r="AG2251">
        <v>-1.1049285466079899</v>
      </c>
      <c r="AH2251">
        <v>14.510809072494499</v>
      </c>
      <c r="AI2251">
        <v>94.288597414874801</v>
      </c>
      <c r="AJ2251">
        <v>99.991964589338906</v>
      </c>
      <c r="AK2251">
        <v>14.7756688228953</v>
      </c>
    </row>
    <row r="2252" spans="1:37" x14ac:dyDescent="0.2">
      <c r="A2252" t="str">
        <f>"20200111153653006"</f>
        <v>20200111153653006</v>
      </c>
      <c r="B2252" t="str">
        <f>"1578728212995457"</f>
        <v>1578728212995457</v>
      </c>
      <c r="C2252" t="s">
        <v>37</v>
      </c>
      <c r="D2252">
        <v>5.630973</v>
      </c>
      <c r="E2252">
        <v>0.47935749999999999</v>
      </c>
      <c r="F2252" t="s">
        <v>45</v>
      </c>
      <c r="G2252">
        <v>-465.95510000000002</v>
      </c>
      <c r="H2252" s="1">
        <v>1.754168E-6</v>
      </c>
      <c r="I2252">
        <v>281.82659999999998</v>
      </c>
      <c r="J2252">
        <v>-450.94720000000001</v>
      </c>
      <c r="K2252">
        <v>1.104943</v>
      </c>
      <c r="L2252">
        <v>283.8159</v>
      </c>
      <c r="M2252">
        <v>-0.99894309999999997</v>
      </c>
      <c r="N2252">
        <v>0</v>
      </c>
      <c r="O2252">
        <v>4.4001020000000002E-2</v>
      </c>
      <c r="P2252">
        <v>-0.99517889999999998</v>
      </c>
      <c r="Q2252">
        <v>5.3850540000000002E-2</v>
      </c>
      <c r="R2252">
        <v>-8.1969959999999994E-2</v>
      </c>
      <c r="S2252">
        <v>-2.994415</v>
      </c>
      <c r="T2252">
        <v>-0.21693809999999999</v>
      </c>
      <c r="U2252">
        <v>-0.38845829999999998</v>
      </c>
      <c r="V2252">
        <v>-0.1256806</v>
      </c>
      <c r="W2252">
        <v>6.7009570000000004E-2</v>
      </c>
      <c r="X2252">
        <v>0.98980509999999999</v>
      </c>
      <c r="Y2252">
        <v>-0.1716077</v>
      </c>
      <c r="Z2252">
        <v>-9.3544719999999904E-3</v>
      </c>
      <c r="AA2252">
        <v>0.98512099999999903</v>
      </c>
      <c r="AB2252">
        <v>25</v>
      </c>
      <c r="AC2252">
        <v>-15.007899999999999</v>
      </c>
      <c r="AD2252">
        <v>-1.10494124583199</v>
      </c>
      <c r="AE2252">
        <v>-1.9893000000000101</v>
      </c>
      <c r="AF2252">
        <v>-2.63376442298126</v>
      </c>
      <c r="AG2252">
        <v>-1.10494124583199</v>
      </c>
      <c r="AH2252">
        <v>14.8268420321122</v>
      </c>
      <c r="AI2252">
        <v>94.196522621849198</v>
      </c>
      <c r="AJ2252">
        <v>100.072661629843</v>
      </c>
      <c r="AK2252">
        <v>15.0994322687216</v>
      </c>
    </row>
    <row r="2253" spans="1:37" x14ac:dyDescent="0.2">
      <c r="A2253" t="str">
        <f>"20200111153653028"</f>
        <v>20200111153653028</v>
      </c>
      <c r="B2253" t="str">
        <f>"1578728213024737"</f>
        <v>1578728213024737</v>
      </c>
      <c r="C2253" t="s">
        <v>37</v>
      </c>
      <c r="D2253">
        <v>5.5791029999999999</v>
      </c>
      <c r="E2253">
        <v>0.47917870000000001</v>
      </c>
      <c r="F2253" t="s">
        <v>45</v>
      </c>
      <c r="G2253">
        <v>-466.24360000000001</v>
      </c>
      <c r="H2253" s="1">
        <v>1.9089040000000002E-6</v>
      </c>
      <c r="I2253">
        <v>281.79860000000002</v>
      </c>
      <c r="J2253">
        <v>-451.19290000000001</v>
      </c>
      <c r="K2253">
        <v>1.1049469999999999</v>
      </c>
      <c r="L2253">
        <v>283.82670000000002</v>
      </c>
      <c r="M2253">
        <v>-0.99894340000000004</v>
      </c>
      <c r="N2253">
        <v>0</v>
      </c>
      <c r="O2253">
        <v>4.3999030000000001E-2</v>
      </c>
      <c r="P2253">
        <v>-0.9950542</v>
      </c>
      <c r="Q2253">
        <v>5.4139489999999998E-2</v>
      </c>
      <c r="R2253">
        <v>-8.3282720000000005E-2</v>
      </c>
      <c r="S2253">
        <v>-2.9936829999999999</v>
      </c>
      <c r="T2253">
        <v>-0.21624949999999901</v>
      </c>
      <c r="U2253">
        <v>-0.39480589999999999</v>
      </c>
      <c r="V2253">
        <v>-0.12698489999999901</v>
      </c>
      <c r="W2253">
        <v>6.7294549999999995E-2</v>
      </c>
      <c r="X2253">
        <v>0.98961929999999998</v>
      </c>
      <c r="Y2253">
        <v>-0.1736878</v>
      </c>
      <c r="Z2253">
        <v>-9.4004409999999903E-3</v>
      </c>
      <c r="AA2253">
        <v>0.98475590000000002</v>
      </c>
      <c r="AB2253">
        <v>25</v>
      </c>
      <c r="AC2253">
        <v>-15.050700000000001</v>
      </c>
      <c r="AD2253">
        <v>-1.1049450910959999</v>
      </c>
      <c r="AE2253">
        <v>-2.02809999999999</v>
      </c>
      <c r="AF2253">
        <v>-2.6742536420854299</v>
      </c>
      <c r="AG2253">
        <v>-1.1049450910959999</v>
      </c>
      <c r="AH2253">
        <v>14.8681731662906</v>
      </c>
      <c r="AI2253">
        <v>94.183302945828203</v>
      </c>
      <c r="AJ2253">
        <v>100.196442822507</v>
      </c>
      <c r="AK2253">
        <v>15.1471155504719</v>
      </c>
    </row>
    <row r="2254" spans="1:37" x14ac:dyDescent="0.2">
      <c r="A2254" t="str">
        <f>"20200111153653052"</f>
        <v>20200111153653052</v>
      </c>
      <c r="B2254" t="str">
        <f>"1578728213045233"</f>
        <v>1578728213045233</v>
      </c>
      <c r="C2254" t="s">
        <v>37</v>
      </c>
      <c r="D2254">
        <v>5.5786730000000002</v>
      </c>
      <c r="E2254">
        <v>0.47904929999999901</v>
      </c>
      <c r="F2254" t="s">
        <v>45</v>
      </c>
      <c r="G2254">
        <v>-466.5446</v>
      </c>
      <c r="H2254" s="1">
        <v>2.0702850000000001E-6</v>
      </c>
      <c r="I2254">
        <v>281.77190000000002</v>
      </c>
      <c r="J2254">
        <v>-451.44459999999998</v>
      </c>
      <c r="K2254">
        <v>1.104948</v>
      </c>
      <c r="L2254">
        <v>283.83780000000002</v>
      </c>
      <c r="M2254">
        <v>-0.99894359999999904</v>
      </c>
      <c r="N2254">
        <v>0</v>
      </c>
      <c r="O2254">
        <v>4.3995090000000001E-2</v>
      </c>
      <c r="P2254">
        <v>-0.99497719999999901</v>
      </c>
      <c r="Q2254">
        <v>5.4393770000000001E-2</v>
      </c>
      <c r="R2254">
        <v>-8.4036369999999999E-2</v>
      </c>
      <c r="S2254">
        <v>-2.993134</v>
      </c>
      <c r="T2254">
        <v>-0.21543129999999999</v>
      </c>
      <c r="U2254">
        <v>-0.40063480000000001</v>
      </c>
      <c r="V2254">
        <v>-0.12773109999999999</v>
      </c>
      <c r="W2254">
        <v>6.7546220000000004E-2</v>
      </c>
      <c r="X2254">
        <v>0.98950609999999894</v>
      </c>
      <c r="Y2254">
        <v>-0.17559089999999999</v>
      </c>
      <c r="Z2254">
        <v>-9.4333179999999996E-3</v>
      </c>
      <c r="AA2254">
        <v>0.98441800000000002</v>
      </c>
      <c r="AB2254">
        <v>25</v>
      </c>
      <c r="AC2254">
        <v>-15.1</v>
      </c>
      <c r="AD2254">
        <v>-1.1049459297149999</v>
      </c>
      <c r="AE2254">
        <v>-2.0658999999999899</v>
      </c>
      <c r="AF2254">
        <v>-2.7140182053729598</v>
      </c>
      <c r="AG2254">
        <v>-1.1049459297149999</v>
      </c>
      <c r="AH2254">
        <v>14.916077064712701</v>
      </c>
      <c r="AI2254">
        <v>94.168398898235097</v>
      </c>
      <c r="AJ2254">
        <v>100.312298467476</v>
      </c>
      <c r="AK2254">
        <v>15.2011892734463</v>
      </c>
    </row>
    <row r="2255" spans="1:37" x14ac:dyDescent="0.2">
      <c r="A2255" t="str">
        <f>"20200111153653073"</f>
        <v>20200111153653073</v>
      </c>
      <c r="B2255" t="str">
        <f>"1578728213064753"</f>
        <v>1578728213064753</v>
      </c>
      <c r="C2255" t="s">
        <v>37</v>
      </c>
      <c r="D2255">
        <v>5.598166</v>
      </c>
      <c r="E2255">
        <v>0.47894340000000002</v>
      </c>
      <c r="F2255" t="s">
        <v>45</v>
      </c>
      <c r="G2255">
        <v>-466.85219999999998</v>
      </c>
      <c r="H2255" s="1">
        <v>2.2345450000000001E-6</v>
      </c>
      <c r="I2255">
        <v>281.75779999999997</v>
      </c>
      <c r="J2255">
        <v>-451.68369999999999</v>
      </c>
      <c r="K2255">
        <v>1.1049519999999999</v>
      </c>
      <c r="L2255">
        <v>283.84829999999999</v>
      </c>
      <c r="M2255">
        <v>-0.99894380000000005</v>
      </c>
      <c r="N2255">
        <v>0</v>
      </c>
      <c r="O2255">
        <v>4.3991460000000003E-2</v>
      </c>
      <c r="P2255">
        <v>-0.99497959999999996</v>
      </c>
      <c r="Q2255">
        <v>5.4107629999999997E-2</v>
      </c>
      <c r="R2255">
        <v>-8.4192379999999997E-2</v>
      </c>
      <c r="S2255">
        <v>-2.992737</v>
      </c>
      <c r="T2255">
        <v>-0.21462229999999999</v>
      </c>
      <c r="U2255">
        <v>-0.4040222</v>
      </c>
      <c r="V2255">
        <v>-0.127883199999999</v>
      </c>
      <c r="W2255">
        <v>6.7258399999999996E-2</v>
      </c>
      <c r="X2255">
        <v>0.98950609999999894</v>
      </c>
      <c r="Y2255">
        <v>-0.1767001</v>
      </c>
      <c r="Z2255">
        <v>-9.4378220000000002E-3</v>
      </c>
      <c r="AA2255">
        <v>0.98421950000000002</v>
      </c>
      <c r="AB2255">
        <v>25</v>
      </c>
      <c r="AC2255">
        <v>-15.1684999999999</v>
      </c>
      <c r="AD2255">
        <v>-1.104949765455</v>
      </c>
      <c r="AE2255">
        <v>-2.09050000000002</v>
      </c>
      <c r="AF2255">
        <v>-2.7415425001695799</v>
      </c>
      <c r="AG2255">
        <v>-1.104949765455</v>
      </c>
      <c r="AH2255">
        <v>14.9838126441383</v>
      </c>
      <c r="AI2255">
        <v>94.148894991084404</v>
      </c>
      <c r="AJ2255">
        <v>100.368546910433</v>
      </c>
      <c r="AK2255">
        <v>15.2725770785108</v>
      </c>
    </row>
    <row r="2256" spans="1:37" x14ac:dyDescent="0.2">
      <c r="A2256" t="str">
        <f>"20200111153653095"</f>
        <v>20200111153653095</v>
      </c>
      <c r="B2256" t="str">
        <f>"1578728213085249"</f>
        <v>1578728213085249</v>
      </c>
      <c r="C2256" t="s">
        <v>37</v>
      </c>
      <c r="D2256">
        <v>5.8362230000000004</v>
      </c>
      <c r="E2256">
        <v>0.47882059999999999</v>
      </c>
      <c r="F2256" t="s">
        <v>45</v>
      </c>
      <c r="G2256">
        <v>-467.03280000000001</v>
      </c>
      <c r="H2256" s="1">
        <v>2.330171E-6</v>
      </c>
      <c r="I2256">
        <v>281.76960000000003</v>
      </c>
      <c r="J2256">
        <v>-451.92750000000001</v>
      </c>
      <c r="K2256">
        <v>1.104951</v>
      </c>
      <c r="L2256">
        <v>283.85910000000001</v>
      </c>
      <c r="M2256">
        <v>-0.99894380000000005</v>
      </c>
      <c r="N2256">
        <v>0</v>
      </c>
      <c r="O2256">
        <v>4.3989489999999999E-2</v>
      </c>
      <c r="P2256">
        <v>-0.99495040000000001</v>
      </c>
      <c r="Q2256">
        <v>5.3611529999999998E-2</v>
      </c>
      <c r="R2256">
        <v>-8.4850679999999998E-2</v>
      </c>
      <c r="S2256">
        <v>-2.9925540000000002</v>
      </c>
      <c r="T2256">
        <v>-0.21542700000000001</v>
      </c>
      <c r="U2256">
        <v>-0.40527340000000001</v>
      </c>
      <c r="V2256">
        <v>-0.1285377</v>
      </c>
      <c r="W2256">
        <v>6.6760739999999999E-2</v>
      </c>
      <c r="X2256">
        <v>0.98945490000000003</v>
      </c>
      <c r="Y2256">
        <v>-0.17710499999999901</v>
      </c>
      <c r="Z2256">
        <v>-9.4877820000000002E-3</v>
      </c>
      <c r="AA2256">
        <v>0.98414619999999997</v>
      </c>
      <c r="AB2256">
        <v>24</v>
      </c>
      <c r="AC2256">
        <v>-15.1053</v>
      </c>
      <c r="AD2256">
        <v>-1.1049486698290001</v>
      </c>
      <c r="AE2256">
        <v>-2.0894999999999802</v>
      </c>
      <c r="AF2256">
        <v>-2.737636255964</v>
      </c>
      <c r="AG2256">
        <v>-1.1049486698290001</v>
      </c>
      <c r="AH2256">
        <v>14.920412865633599</v>
      </c>
      <c r="AI2256">
        <v>94.166078887264106</v>
      </c>
      <c r="AJ2256">
        <v>100.39713224963801</v>
      </c>
      <c r="AK2256">
        <v>15.209677311300499</v>
      </c>
    </row>
    <row r="2257" spans="1:37" x14ac:dyDescent="0.2">
      <c r="A2257" t="str">
        <f>"20200111153653119"</f>
        <v>20200111153653119</v>
      </c>
      <c r="B2257" t="str">
        <f>"1578728213115505"</f>
        <v>1578728213115505</v>
      </c>
      <c r="C2257" t="s">
        <v>37</v>
      </c>
      <c r="D2257">
        <v>5.3132000000000001</v>
      </c>
      <c r="E2257">
        <v>0.47862489999999902</v>
      </c>
      <c r="F2257" t="s">
        <v>45</v>
      </c>
      <c r="G2257">
        <v>-467.17919999999998</v>
      </c>
      <c r="H2257" s="1">
        <v>2.4078259999999999E-6</v>
      </c>
      <c r="I2257">
        <v>281.7747</v>
      </c>
      <c r="J2257">
        <v>-452.17410000000001</v>
      </c>
      <c r="K2257">
        <v>1.104962</v>
      </c>
      <c r="L2257">
        <v>283.86989999999997</v>
      </c>
      <c r="M2257">
        <v>-0.9989439</v>
      </c>
      <c r="N2257">
        <v>0</v>
      </c>
      <c r="O2257">
        <v>4.3988489999999998E-2</v>
      </c>
      <c r="P2257">
        <v>-0.99487899999999996</v>
      </c>
      <c r="Q2257">
        <v>5.4294250000000002E-2</v>
      </c>
      <c r="R2257">
        <v>-8.5254759999999999E-2</v>
      </c>
      <c r="S2257">
        <v>-2.992035</v>
      </c>
      <c r="T2257">
        <v>-0.2167654</v>
      </c>
      <c r="U2257">
        <v>-0.40890500000000002</v>
      </c>
      <c r="V2257">
        <v>-0.128937</v>
      </c>
      <c r="W2257">
        <v>6.7440609999999998E-2</v>
      </c>
      <c r="X2257">
        <v>0.98935689999999998</v>
      </c>
      <c r="Y2257">
        <v>-0.17828929999999901</v>
      </c>
      <c r="Z2257">
        <v>-9.5900299999999994E-3</v>
      </c>
      <c r="AA2257">
        <v>0.98393140000000001</v>
      </c>
      <c r="AB2257">
        <v>24</v>
      </c>
      <c r="AC2257">
        <v>-15.005099999999899</v>
      </c>
      <c r="AD2257">
        <v>-1.1049595921740001</v>
      </c>
      <c r="AE2257">
        <v>-2.09519999999997</v>
      </c>
      <c r="AF2257">
        <v>-2.7387141981960301</v>
      </c>
      <c r="AG2257">
        <v>-1.1049595921740001</v>
      </c>
      <c r="AH2257">
        <v>14.8195751409409</v>
      </c>
      <c r="AI2257">
        <v>94.193383516368201</v>
      </c>
      <c r="AJ2257">
        <v>100.47034982399499</v>
      </c>
      <c r="AK2257">
        <v>15.1109661675795</v>
      </c>
    </row>
    <row r="2258" spans="1:37" x14ac:dyDescent="0.2">
      <c r="A2258" t="str">
        <f>"20200111153653141"</f>
        <v>20200111153653141</v>
      </c>
      <c r="B2258" t="str">
        <f>"1578728213135025"</f>
        <v>1578728213135025</v>
      </c>
      <c r="C2258" t="s">
        <v>37</v>
      </c>
      <c r="D2258">
        <v>5.5290900000000001</v>
      </c>
      <c r="E2258">
        <v>0.47849239999999998</v>
      </c>
      <c r="F2258" t="s">
        <v>45</v>
      </c>
      <c r="G2258">
        <v>-467.6123</v>
      </c>
      <c r="H2258" s="1">
        <v>2.639748E-6</v>
      </c>
      <c r="I2258">
        <v>281.74220000000003</v>
      </c>
      <c r="J2258">
        <v>-452.42129999999997</v>
      </c>
      <c r="K2258">
        <v>1.1049659999999999</v>
      </c>
      <c r="L2258">
        <v>283.88080000000002</v>
      </c>
      <c r="M2258">
        <v>-0.99894400000000005</v>
      </c>
      <c r="N2258">
        <v>0</v>
      </c>
      <c r="O2258">
        <v>4.3988029999999997E-2</v>
      </c>
      <c r="P2258">
        <v>-0.99473659999999997</v>
      </c>
      <c r="Q2258">
        <v>5.6291620000000001E-2</v>
      </c>
      <c r="R2258">
        <v>-8.5621340000000004E-2</v>
      </c>
      <c r="S2258">
        <v>-2.9917910000000001</v>
      </c>
      <c r="T2258">
        <v>-0.21413080000000001</v>
      </c>
      <c r="U2258">
        <v>-0.412322999999999</v>
      </c>
      <c r="V2258">
        <v>-0.12929669999999999</v>
      </c>
      <c r="W2258">
        <v>6.9434339999999997E-2</v>
      </c>
      <c r="X2258">
        <v>0.98917199999999905</v>
      </c>
      <c r="Y2258">
        <v>-0.17941379999999901</v>
      </c>
      <c r="Z2258">
        <v>-9.5137869999999992E-3</v>
      </c>
      <c r="AA2258">
        <v>0.98372769999999998</v>
      </c>
      <c r="AB2258">
        <v>24</v>
      </c>
      <c r="AC2258">
        <v>-15.191000000000001</v>
      </c>
      <c r="AD2258">
        <v>-1.1049633602519999</v>
      </c>
      <c r="AE2258">
        <v>-2.1385999999999901</v>
      </c>
      <c r="AF2258">
        <v>-2.7903342994509699</v>
      </c>
      <c r="AG2258">
        <v>-1.1049633602519999</v>
      </c>
      <c r="AH2258">
        <v>15.0043696824696</v>
      </c>
      <c r="AI2258">
        <v>94.141071331804199</v>
      </c>
      <c r="AJ2258">
        <v>100.53484197186</v>
      </c>
      <c r="AK2258">
        <v>15.3015691711146</v>
      </c>
    </row>
    <row r="2259" spans="1:37" x14ac:dyDescent="0.2">
      <c r="A2259" t="str">
        <f>"20200111153653163"</f>
        <v>20200111153653163</v>
      </c>
      <c r="B2259" t="str">
        <f>"1578728213155521"</f>
        <v>1578728213155521</v>
      </c>
      <c r="C2259" t="s">
        <v>37</v>
      </c>
      <c r="D2259">
        <v>5.5254379999999896</v>
      </c>
      <c r="E2259">
        <v>0.478361799999999</v>
      </c>
      <c r="F2259" t="s">
        <v>45</v>
      </c>
      <c r="G2259">
        <v>-468.34089999999998</v>
      </c>
      <c r="H2259" s="1">
        <v>3.0304190000000001E-6</v>
      </c>
      <c r="I2259">
        <v>281.67439999999999</v>
      </c>
      <c r="J2259">
        <v>-452.65960000000001</v>
      </c>
      <c r="K2259">
        <v>1.1049770000000001</v>
      </c>
      <c r="L2259">
        <v>283.8913</v>
      </c>
      <c r="M2259">
        <v>-0.9989439</v>
      </c>
      <c r="N2259">
        <v>0</v>
      </c>
      <c r="O2259">
        <v>4.3986190000000001E-2</v>
      </c>
      <c r="P2259">
        <v>-0.99461710000000003</v>
      </c>
      <c r="Q2259">
        <v>5.7257780000000001E-2</v>
      </c>
      <c r="R2259">
        <v>-8.6363399999999896E-2</v>
      </c>
      <c r="S2259">
        <v>-2.9920040000000001</v>
      </c>
      <c r="T2259">
        <v>-0.2076721</v>
      </c>
      <c r="U2259">
        <v>-0.41467290000000001</v>
      </c>
      <c r="V2259">
        <v>-0.1300307</v>
      </c>
      <c r="W2259">
        <v>7.0398059999999998E-2</v>
      </c>
      <c r="X2259">
        <v>0.98900769999999905</v>
      </c>
      <c r="Y2259">
        <v>-0.1801922</v>
      </c>
      <c r="Z2259">
        <v>-9.2531169999999999E-3</v>
      </c>
      <c r="AA2259">
        <v>0.98358789999999996</v>
      </c>
      <c r="AB2259">
        <v>24</v>
      </c>
      <c r="AC2259">
        <v>-15.681299999999901</v>
      </c>
      <c r="AD2259">
        <v>-1.1049739695809999</v>
      </c>
      <c r="AE2259">
        <v>-2.2168999999999999</v>
      </c>
      <c r="AF2259">
        <v>-2.89050460330628</v>
      </c>
      <c r="AG2259">
        <v>-1.1049739695809999</v>
      </c>
      <c r="AH2259">
        <v>15.4931784753344</v>
      </c>
      <c r="AI2259">
        <v>94.010462024675505</v>
      </c>
      <c r="AJ2259">
        <v>100.56796500236401</v>
      </c>
      <c r="AK2259">
        <v>15.799195030246</v>
      </c>
    </row>
    <row r="2260" spans="1:37" x14ac:dyDescent="0.2">
      <c r="A2260" t="str">
        <f>"20200111153653184"</f>
        <v>20200111153653184</v>
      </c>
      <c r="B2260" t="str">
        <f>"1578728213175041"</f>
        <v>1578728213175041</v>
      </c>
      <c r="C2260" t="s">
        <v>37</v>
      </c>
      <c r="D2260">
        <v>5.8312339999999896</v>
      </c>
      <c r="E2260">
        <v>0.47824420000000001</v>
      </c>
      <c r="F2260" t="s">
        <v>45</v>
      </c>
      <c r="G2260">
        <v>-468.83589999999998</v>
      </c>
      <c r="H2260" s="1">
        <v>3.2958759999999998E-6</v>
      </c>
      <c r="I2260">
        <v>281.62740000000002</v>
      </c>
      <c r="J2260">
        <v>-452.8963</v>
      </c>
      <c r="K2260">
        <v>1.104989</v>
      </c>
      <c r="L2260">
        <v>283.90170000000001</v>
      </c>
      <c r="M2260">
        <v>-0.99894430000000001</v>
      </c>
      <c r="N2260">
        <v>0</v>
      </c>
      <c r="O2260">
        <v>4.3980089999999999E-2</v>
      </c>
      <c r="P2260">
        <v>-0.99455360000000004</v>
      </c>
      <c r="Q2260">
        <v>5.7960230000000001E-2</v>
      </c>
      <c r="R2260">
        <v>-8.662649E-2</v>
      </c>
      <c r="S2260">
        <v>-2.9916079999999998</v>
      </c>
      <c r="T2260">
        <v>-0.20435120000000001</v>
      </c>
      <c r="U2260">
        <v>-0.41867070000000001</v>
      </c>
      <c r="V2260">
        <v>-0.13028509999999999</v>
      </c>
      <c r="W2260">
        <v>7.1097729999999998E-2</v>
      </c>
      <c r="X2260">
        <v>0.98892409999999997</v>
      </c>
      <c r="Y2260">
        <v>-0.1815069</v>
      </c>
      <c r="Z2260">
        <v>-9.1500929999999998E-3</v>
      </c>
      <c r="AA2260">
        <v>0.98334709999999903</v>
      </c>
      <c r="AB2260">
        <v>24</v>
      </c>
      <c r="AC2260">
        <v>-15.939599999999899</v>
      </c>
      <c r="AD2260">
        <v>-1.1049857041240001</v>
      </c>
      <c r="AE2260">
        <v>-2.2742999999999798</v>
      </c>
      <c r="AF2260">
        <v>-2.9592481971282898</v>
      </c>
      <c r="AG2260">
        <v>-1.1049857041240001</v>
      </c>
      <c r="AH2260">
        <v>15.7499617865231</v>
      </c>
      <c r="AI2260">
        <v>93.944385397206304</v>
      </c>
      <c r="AJ2260">
        <v>100.64119760806</v>
      </c>
      <c r="AK2260">
        <v>16.063606057652901</v>
      </c>
    </row>
    <row r="2261" spans="1:37" x14ac:dyDescent="0.2">
      <c r="A2261" t="str">
        <f>"20200111153653207"</f>
        <v>20200111153653207</v>
      </c>
      <c r="B2261" t="str">
        <f>"1578728213194561"</f>
        <v>1578728213194561</v>
      </c>
      <c r="C2261" t="s">
        <v>37</v>
      </c>
      <c r="D2261">
        <v>5.5533359999999998</v>
      </c>
      <c r="E2261">
        <v>0.4781127</v>
      </c>
      <c r="F2261" t="s">
        <v>45</v>
      </c>
      <c r="G2261">
        <v>-469.26069999999999</v>
      </c>
      <c r="H2261" s="1">
        <v>3.5230640000000001E-6</v>
      </c>
      <c r="I2261">
        <v>281.60210000000001</v>
      </c>
      <c r="J2261">
        <v>-453.14350000000002</v>
      </c>
      <c r="K2261">
        <v>1.1050070000000001</v>
      </c>
      <c r="L2261">
        <v>283.9126</v>
      </c>
      <c r="M2261">
        <v>-0.99894509999999903</v>
      </c>
      <c r="N2261">
        <v>0</v>
      </c>
      <c r="O2261">
        <v>4.3959899999999899E-2</v>
      </c>
      <c r="P2261">
        <v>-0.99446460000000003</v>
      </c>
      <c r="Q2261">
        <v>5.8216360000000002E-2</v>
      </c>
      <c r="R2261">
        <v>-8.7470549999999994E-2</v>
      </c>
      <c r="S2261">
        <v>-2.9915159999999998</v>
      </c>
      <c r="T2261">
        <v>-0.20199790000000001</v>
      </c>
      <c r="U2261">
        <v>-0.42037959999999902</v>
      </c>
      <c r="V2261">
        <v>-0.131106</v>
      </c>
      <c r="W2261">
        <v>7.1348389999999998E-2</v>
      </c>
      <c r="X2261">
        <v>0.9887975</v>
      </c>
      <c r="Y2261">
        <v>-0.18205270000000001</v>
      </c>
      <c r="Z2261">
        <v>-9.0618480000000008E-3</v>
      </c>
      <c r="AA2261">
        <v>0.98324699999999998</v>
      </c>
      <c r="AB2261">
        <v>24</v>
      </c>
      <c r="AC2261">
        <v>-16.117199999999901</v>
      </c>
      <c r="AD2261">
        <v>-1.105003476936</v>
      </c>
      <c r="AE2261">
        <v>-2.31049999999999</v>
      </c>
      <c r="AF2261">
        <v>-3.00300745419844</v>
      </c>
      <c r="AG2261">
        <v>-1.105003476936</v>
      </c>
      <c r="AH2261">
        <v>15.926681881430101</v>
      </c>
      <c r="AI2261">
        <v>93.900349022800896</v>
      </c>
      <c r="AJ2261">
        <v>100.67787131125201</v>
      </c>
      <c r="AK2261">
        <v>16.244946358984599</v>
      </c>
    </row>
    <row r="2262" spans="1:37" x14ac:dyDescent="0.2">
      <c r="A2262" t="str">
        <f>"20200111153653230"</f>
        <v>20200111153653230</v>
      </c>
      <c r="B2262" t="str">
        <f>"1578728213224819"</f>
        <v>1578728213224819</v>
      </c>
      <c r="C2262" t="s">
        <v>37</v>
      </c>
      <c r="D2262">
        <v>5.5505949999999897</v>
      </c>
      <c r="E2262">
        <v>0.477898499999999</v>
      </c>
      <c r="F2262" t="s">
        <v>45</v>
      </c>
      <c r="G2262">
        <v>-469.61279999999999</v>
      </c>
      <c r="H2262" s="1">
        <v>3.7115529999999999E-6</v>
      </c>
      <c r="I2262">
        <v>281.57639999999998</v>
      </c>
      <c r="J2262">
        <v>-453.385999999999</v>
      </c>
      <c r="K2262">
        <v>1.1050249999999999</v>
      </c>
      <c r="L2262">
        <v>283.92320000000001</v>
      </c>
      <c r="M2262">
        <v>-0.99894719999999904</v>
      </c>
      <c r="N2262">
        <v>0</v>
      </c>
      <c r="O2262">
        <v>4.391544E-2</v>
      </c>
      <c r="P2262">
        <v>-0.99431219999999998</v>
      </c>
      <c r="Q2262">
        <v>5.8893239999999999E-2</v>
      </c>
      <c r="R2262">
        <v>-8.8740410000000006E-2</v>
      </c>
      <c r="S2262">
        <v>-2.9911189999999999</v>
      </c>
      <c r="T2262">
        <v>-0.2006879</v>
      </c>
      <c r="U2262">
        <v>-0.42428589999999999</v>
      </c>
      <c r="V2262">
        <v>-0.13232629999999901</v>
      </c>
      <c r="W2262">
        <v>7.20166E-2</v>
      </c>
      <c r="X2262">
        <v>0.98858649999999904</v>
      </c>
      <c r="Y2262">
        <v>-0.1832897</v>
      </c>
      <c r="Z2262">
        <v>-9.0418740000000001E-3</v>
      </c>
      <c r="AA2262">
        <v>0.98301740000000004</v>
      </c>
      <c r="AB2262">
        <v>24</v>
      </c>
      <c r="AC2262">
        <v>-16.226800000000001</v>
      </c>
      <c r="AD2262">
        <v>-1.1050212884469901</v>
      </c>
      <c r="AE2262">
        <v>-2.34680000000002</v>
      </c>
      <c r="AF2262">
        <v>-3.0433810298258099</v>
      </c>
      <c r="AG2262">
        <v>-1.1050212884469901</v>
      </c>
      <c r="AH2262">
        <v>16.035234200762901</v>
      </c>
      <c r="AI2262">
        <v>93.873212533818503</v>
      </c>
      <c r="AJ2262">
        <v>100.746539754284</v>
      </c>
      <c r="AK2262">
        <v>16.358850082262499</v>
      </c>
    </row>
    <row r="2263" spans="1:37" x14ac:dyDescent="0.2">
      <c r="A2263" t="str">
        <f>"20200111153653252"</f>
        <v>20200111153653252</v>
      </c>
      <c r="B2263" t="str">
        <f>"1578728213245313"</f>
        <v>1578728213245313</v>
      </c>
      <c r="C2263" t="s">
        <v>37</v>
      </c>
      <c r="D2263">
        <v>5.556934</v>
      </c>
      <c r="E2263">
        <v>0.47776560000000001</v>
      </c>
      <c r="F2263" t="s">
        <v>44</v>
      </c>
      <c r="G2263">
        <v>-470.04039999999998</v>
      </c>
      <c r="H2263" s="1">
        <v>6.326357E-6</v>
      </c>
      <c r="I2263">
        <v>281.52980000000002</v>
      </c>
      <c r="J2263">
        <v>-453.62869999999998</v>
      </c>
      <c r="K2263">
        <v>1.1050519999999999</v>
      </c>
      <c r="L2263">
        <v>283.93380000000002</v>
      </c>
      <c r="M2263">
        <v>-0.99895069999999997</v>
      </c>
      <c r="N2263">
        <v>0</v>
      </c>
      <c r="O2263">
        <v>4.3836809999999997E-2</v>
      </c>
      <c r="P2263">
        <v>-0.99417619999999896</v>
      </c>
      <c r="Q2263">
        <v>5.9621159999999999E-2</v>
      </c>
      <c r="R2263">
        <v>-8.9772899999999906E-2</v>
      </c>
      <c r="S2263">
        <v>-2.9905400000000002</v>
      </c>
      <c r="T2263">
        <v>-0.1984215</v>
      </c>
      <c r="U2263">
        <v>-0.42977910000000002</v>
      </c>
      <c r="V2263">
        <v>-0.1332777</v>
      </c>
      <c r="W2263">
        <v>7.2733320000000004E-2</v>
      </c>
      <c r="X2263">
        <v>0.98840620000000001</v>
      </c>
      <c r="Y2263">
        <v>-0.18501570000000001</v>
      </c>
      <c r="Z2263">
        <v>-8.9922909999999995E-3</v>
      </c>
      <c r="AA2263">
        <v>0.98269439999999997</v>
      </c>
      <c r="AB2263">
        <v>24</v>
      </c>
      <c r="AC2263">
        <v>-16.4116999999999</v>
      </c>
      <c r="AD2263">
        <v>-1.1050456736430001</v>
      </c>
      <c r="AE2263">
        <v>-2.4039999999999901</v>
      </c>
      <c r="AF2263">
        <v>-3.1073963850513699</v>
      </c>
      <c r="AG2263">
        <v>-1.1050456736430001</v>
      </c>
      <c r="AH2263">
        <v>16.218542253133801</v>
      </c>
      <c r="AI2263">
        <v>93.828385516145204</v>
      </c>
      <c r="AJ2263">
        <v>100.846160175957</v>
      </c>
      <c r="AK2263">
        <v>16.5504728346761</v>
      </c>
    </row>
    <row r="2264" spans="1:37" x14ac:dyDescent="0.2">
      <c r="A2264" t="str">
        <f>"20200111153653274"</f>
        <v>20200111153653274</v>
      </c>
      <c r="B2264" t="str">
        <f>"1578728213264833"</f>
        <v>1578728213264833</v>
      </c>
      <c r="C2264" t="s">
        <v>37</v>
      </c>
      <c r="D2264">
        <v>5.7051470000000002</v>
      </c>
      <c r="E2264">
        <v>0.47763840000000002</v>
      </c>
      <c r="F2264" t="s">
        <v>44</v>
      </c>
      <c r="G2264">
        <v>-470.49699999999899</v>
      </c>
      <c r="H2264" s="1">
        <v>6.1199239999999901E-6</v>
      </c>
      <c r="I2264">
        <v>281.48480000000001</v>
      </c>
      <c r="J2264">
        <v>-453.86869999999999</v>
      </c>
      <c r="K2264">
        <v>1.105086</v>
      </c>
      <c r="L2264">
        <v>283.94420000000002</v>
      </c>
      <c r="M2264">
        <v>-0.99895579999999995</v>
      </c>
      <c r="N2264">
        <v>0</v>
      </c>
      <c r="O2264">
        <v>4.3718439999999997E-2</v>
      </c>
      <c r="P2264">
        <v>-0.99403809999999904</v>
      </c>
      <c r="Q2264">
        <v>6.0032080000000002E-2</v>
      </c>
      <c r="R2264">
        <v>-9.1018799999999997E-2</v>
      </c>
      <c r="S2264">
        <v>-2.9901119999999999</v>
      </c>
      <c r="T2264">
        <v>-0.19588259999999999</v>
      </c>
      <c r="U2264">
        <v>-0.43411250000000001</v>
      </c>
      <c r="V2264">
        <v>-0.13440479999999999</v>
      </c>
      <c r="W2264">
        <v>7.3130429999999996E-2</v>
      </c>
      <c r="X2264">
        <v>0.98822430000000006</v>
      </c>
      <c r="Y2264">
        <v>-0.18632399999999999</v>
      </c>
      <c r="Z2264">
        <v>-8.9127069999999902E-3</v>
      </c>
      <c r="AA2264">
        <v>0.98244789999999904</v>
      </c>
      <c r="AB2264">
        <v>24</v>
      </c>
      <c r="AC2264">
        <v>-16.6282999999999</v>
      </c>
      <c r="AD2264">
        <v>-1.105079880076</v>
      </c>
      <c r="AE2264">
        <v>-2.4594000000000098</v>
      </c>
      <c r="AF2264">
        <v>-3.1703728247624601</v>
      </c>
      <c r="AG2264">
        <v>-1.105079880076</v>
      </c>
      <c r="AH2264">
        <v>16.433839660261299</v>
      </c>
      <c r="AI2264">
        <v>93.777569875887593</v>
      </c>
      <c r="AJ2264">
        <v>100.919208397449</v>
      </c>
      <c r="AK2264">
        <v>16.7732987622745</v>
      </c>
    </row>
    <row r="2265" spans="1:37" x14ac:dyDescent="0.2">
      <c r="A2265" t="str">
        <f>"20200111153653297"</f>
        <v>20200111153653297</v>
      </c>
      <c r="B2265" t="str">
        <f>"1578728213285329"</f>
        <v>1578728213285329</v>
      </c>
      <c r="C2265" t="s">
        <v>37</v>
      </c>
      <c r="D2265">
        <v>5.5675220000000003</v>
      </c>
      <c r="E2265">
        <v>0.4775142</v>
      </c>
      <c r="F2265" t="s">
        <v>44</v>
      </c>
      <c r="G2265">
        <v>-470.8571</v>
      </c>
      <c r="H2265" s="1">
        <v>5.9570930000000001E-6</v>
      </c>
      <c r="I2265">
        <v>281.44850000000002</v>
      </c>
      <c r="J2265">
        <v>-454.10899999999998</v>
      </c>
      <c r="K2265">
        <v>1.1051150000000001</v>
      </c>
      <c r="L2265">
        <v>283.95460000000003</v>
      </c>
      <c r="M2265">
        <v>-0.99896289999999999</v>
      </c>
      <c r="N2265">
        <v>0</v>
      </c>
      <c r="O2265">
        <v>4.3555749999999997E-2</v>
      </c>
      <c r="P2265">
        <v>-0.99391180000000001</v>
      </c>
      <c r="Q2265">
        <v>6.0434830000000002E-2</v>
      </c>
      <c r="R2265">
        <v>-9.2124979999999995E-2</v>
      </c>
      <c r="S2265">
        <v>-2.9895320000000001</v>
      </c>
      <c r="T2265">
        <v>-0.19446669999999999</v>
      </c>
      <c r="U2265">
        <v>-0.43917849999999897</v>
      </c>
      <c r="V2265">
        <v>-0.135349</v>
      </c>
      <c r="W2265">
        <v>7.3519429999999997E-2</v>
      </c>
      <c r="X2265">
        <v>0.98806659999999902</v>
      </c>
      <c r="Y2265">
        <v>-0.18782509999999999</v>
      </c>
      <c r="Z2265">
        <v>-8.8870489999999993E-3</v>
      </c>
      <c r="AA2265">
        <v>0.98216229999999904</v>
      </c>
      <c r="AB2265">
        <v>24</v>
      </c>
      <c r="AC2265">
        <v>-16.748099999999901</v>
      </c>
      <c r="AD2265">
        <v>-1.1051090429070001</v>
      </c>
      <c r="AE2265">
        <v>-2.5061</v>
      </c>
      <c r="AF2265">
        <v>-3.2195509170933998</v>
      </c>
      <c r="AG2265">
        <v>-1.1051090429070001</v>
      </c>
      <c r="AH2265">
        <v>16.5525485978315</v>
      </c>
      <c r="AI2265">
        <v>93.749546463496003</v>
      </c>
      <c r="AJ2265">
        <v>101.00687549257999</v>
      </c>
      <c r="AK2265">
        <v>16.898924202091901</v>
      </c>
    </row>
    <row r="2266" spans="1:37" x14ac:dyDescent="0.2">
      <c r="A2266" t="str">
        <f>"20200111153653319"</f>
        <v>20200111153653319</v>
      </c>
      <c r="B2266" t="str">
        <f>"1578728213314609"</f>
        <v>1578728213314609</v>
      </c>
      <c r="C2266" t="s">
        <v>37</v>
      </c>
      <c r="D2266">
        <v>5.5527290000000002</v>
      </c>
      <c r="E2266">
        <v>0.47731960000000001</v>
      </c>
      <c r="F2266" t="s">
        <v>44</v>
      </c>
      <c r="G2266">
        <v>-471.2183</v>
      </c>
      <c r="H2266" s="1">
        <v>5.7942259999999998E-6</v>
      </c>
      <c r="I2266">
        <v>281.41759999999999</v>
      </c>
      <c r="J2266">
        <v>-454.34870000000001</v>
      </c>
      <c r="K2266">
        <v>1.1051489999999999</v>
      </c>
      <c r="L2266">
        <v>283.96480000000003</v>
      </c>
      <c r="M2266">
        <v>-0.99897179999999997</v>
      </c>
      <c r="N2266">
        <v>0</v>
      </c>
      <c r="O2266">
        <v>4.3352259999999997E-2</v>
      </c>
      <c r="P2266">
        <v>-0.99376549999999997</v>
      </c>
      <c r="Q2266">
        <v>6.054296E-2</v>
      </c>
      <c r="R2266">
        <v>-9.3621460000000004E-2</v>
      </c>
      <c r="S2266">
        <v>-2.9890439999999998</v>
      </c>
      <c r="T2266">
        <v>-0.19306609999999999</v>
      </c>
      <c r="U2266">
        <v>-0.44320680000000001</v>
      </c>
      <c r="V2266">
        <v>-0.1366417</v>
      </c>
      <c r="W2266">
        <v>7.3614070000000004E-2</v>
      </c>
      <c r="X2266">
        <v>0.98788159999999903</v>
      </c>
      <c r="Y2266">
        <v>-0.18894829999999899</v>
      </c>
      <c r="Z2266">
        <v>-8.8467249999999997E-3</v>
      </c>
      <c r="AA2266">
        <v>0.98194720000000002</v>
      </c>
      <c r="AB2266">
        <v>24</v>
      </c>
      <c r="AC2266">
        <v>-16.869599999999899</v>
      </c>
      <c r="AD2266">
        <v>-1.1051432057739901</v>
      </c>
      <c r="AE2266">
        <v>-2.5472000000000299</v>
      </c>
      <c r="AF2266">
        <v>-3.2625148812302198</v>
      </c>
      <c r="AG2266">
        <v>-1.1051432057739901</v>
      </c>
      <c r="AH2266">
        <v>16.673339029199798</v>
      </c>
      <c r="AI2266">
        <v>93.721759629529501</v>
      </c>
      <c r="AJ2266">
        <v>101.07132737997</v>
      </c>
      <c r="AK2266">
        <v>17.025439179009599</v>
      </c>
    </row>
    <row r="2267" spans="1:37" x14ac:dyDescent="0.2">
      <c r="A2267" t="str">
        <f>"20200111153653342"</f>
        <v>20200111153653342</v>
      </c>
      <c r="B2267" t="str">
        <f>"1578728213335105"</f>
        <v>1578728213335105</v>
      </c>
      <c r="C2267" t="s">
        <v>37</v>
      </c>
      <c r="D2267">
        <v>5.5132329999999996</v>
      </c>
      <c r="E2267">
        <v>0.47720879999999999</v>
      </c>
      <c r="F2267" t="s">
        <v>44</v>
      </c>
      <c r="G2267">
        <v>-471.47280000000001</v>
      </c>
      <c r="H2267" s="1">
        <v>5.6791989999999902E-6</v>
      </c>
      <c r="I2267">
        <v>281.3931</v>
      </c>
      <c r="J2267">
        <v>-454.59769999999997</v>
      </c>
      <c r="K2267">
        <v>1.105175</v>
      </c>
      <c r="L2267">
        <v>283.9753</v>
      </c>
      <c r="M2267">
        <v>-0.998982699999999</v>
      </c>
      <c r="N2267">
        <v>0</v>
      </c>
      <c r="O2267">
        <v>4.3102260000000003E-2</v>
      </c>
      <c r="P2267">
        <v>-0.99362619999999902</v>
      </c>
      <c r="Q2267">
        <v>6.100771E-2</v>
      </c>
      <c r="R2267">
        <v>-9.4788999999999998E-2</v>
      </c>
      <c r="S2267">
        <v>-2.9882810000000002</v>
      </c>
      <c r="T2267">
        <v>-0.1928559</v>
      </c>
      <c r="U2267">
        <v>-0.44879150000000001</v>
      </c>
      <c r="V2267">
        <v>-0.1375593</v>
      </c>
      <c r="W2267">
        <v>7.4067250000000001E-2</v>
      </c>
      <c r="X2267">
        <v>0.98772039999999905</v>
      </c>
      <c r="Y2267">
        <v>-0.19053210000000001</v>
      </c>
      <c r="Z2267">
        <v>-8.8728869999999994E-3</v>
      </c>
      <c r="AA2267">
        <v>0.98164089999999904</v>
      </c>
      <c r="AB2267">
        <v>24</v>
      </c>
      <c r="AC2267">
        <v>-16.8751</v>
      </c>
      <c r="AD2267">
        <v>-1.1051693208010001</v>
      </c>
      <c r="AE2267">
        <v>-2.5821999999999998</v>
      </c>
      <c r="AF2267">
        <v>-3.2934161582664201</v>
      </c>
      <c r="AG2267">
        <v>-1.1051693208010001</v>
      </c>
      <c r="AH2267">
        <v>16.678208523041899</v>
      </c>
      <c r="AI2267">
        <v>93.719503014538304</v>
      </c>
      <c r="AJ2267">
        <v>101.17038376809499</v>
      </c>
      <c r="AK2267">
        <v>17.036156513639899</v>
      </c>
    </row>
    <row r="2268" spans="1:37" x14ac:dyDescent="0.2">
      <c r="A2268" t="str">
        <f>"20200111153653363"</f>
        <v>20200111153653363</v>
      </c>
      <c r="B2268" t="str">
        <f>"1578728213354625"</f>
        <v>1578728213354625</v>
      </c>
      <c r="C2268" t="s">
        <v>37</v>
      </c>
      <c r="D2268">
        <v>5.5450629999999999</v>
      </c>
      <c r="E2268">
        <v>0.47715350000000001</v>
      </c>
      <c r="F2268" t="s">
        <v>44</v>
      </c>
      <c r="G2268">
        <v>-471.84629999999999</v>
      </c>
      <c r="H2268" s="1">
        <v>5.5107939999999899E-6</v>
      </c>
      <c r="I2268">
        <v>281.3614</v>
      </c>
      <c r="J2268">
        <v>-454.83229999999998</v>
      </c>
      <c r="K2268">
        <v>1.105194</v>
      </c>
      <c r="L2268">
        <v>283.98520000000002</v>
      </c>
      <c r="M2268">
        <v>-0.99899359999999904</v>
      </c>
      <c r="N2268">
        <v>0</v>
      </c>
      <c r="O2268">
        <v>4.2844899999999998E-2</v>
      </c>
      <c r="P2268">
        <v>-0.99335899999999999</v>
      </c>
      <c r="Q2268">
        <v>6.2240360000000002E-2</v>
      </c>
      <c r="R2268">
        <v>-9.6767900000000004E-2</v>
      </c>
      <c r="S2268">
        <v>-2.9877929999999999</v>
      </c>
      <c r="T2268">
        <v>-0.191436299999999</v>
      </c>
      <c r="U2268">
        <v>-0.45278930000000001</v>
      </c>
      <c r="V2268">
        <v>-0.13927290000000001</v>
      </c>
      <c r="W2268">
        <v>7.5288339999999995E-2</v>
      </c>
      <c r="X2268">
        <v>0.98738780000000004</v>
      </c>
      <c r="Y2268">
        <v>-0.19159229999999899</v>
      </c>
      <c r="Z2268">
        <v>-8.8256189999999998E-3</v>
      </c>
      <c r="AA2268">
        <v>0.9814349</v>
      </c>
      <c r="AB2268">
        <v>24</v>
      </c>
      <c r="AC2268">
        <v>-17.013999999999999</v>
      </c>
      <c r="AD2268">
        <v>-1.105188489206</v>
      </c>
      <c r="AE2268">
        <v>-2.6238000000000099</v>
      </c>
      <c r="AF2268">
        <v>-3.3366655825984499</v>
      </c>
      <c r="AG2268">
        <v>-1.105188489206</v>
      </c>
      <c r="AH2268">
        <v>16.816638245554</v>
      </c>
      <c r="AI2268">
        <v>93.688370770777695</v>
      </c>
      <c r="AJ2268">
        <v>101.222559721658</v>
      </c>
      <c r="AK2268">
        <v>17.180049496104498</v>
      </c>
    </row>
    <row r="2269" spans="1:37" x14ac:dyDescent="0.2">
      <c r="A2269" t="str">
        <f>"20200111153653385"</f>
        <v>20200111153653385</v>
      </c>
      <c r="B2269" t="str">
        <f>"1578728213375121"</f>
        <v>1578728213375121</v>
      </c>
      <c r="C2269" t="s">
        <v>37</v>
      </c>
      <c r="D2269">
        <v>5.7657280000000002</v>
      </c>
      <c r="E2269">
        <v>0.47703210000000001</v>
      </c>
      <c r="F2269" t="s">
        <v>44</v>
      </c>
      <c r="G2269">
        <v>-472.3897</v>
      </c>
      <c r="H2269" s="1">
        <v>5.2635399999999999E-6</v>
      </c>
      <c r="I2269">
        <v>281.28960000000001</v>
      </c>
      <c r="J2269">
        <v>-455.07310000000001</v>
      </c>
      <c r="K2269">
        <v>1.1052150000000001</v>
      </c>
      <c r="L2269">
        <v>283.99509999999998</v>
      </c>
      <c r="M2269">
        <v>-0.999005699999999</v>
      </c>
      <c r="N2269">
        <v>0</v>
      </c>
      <c r="O2269">
        <v>4.2569000000000003E-2</v>
      </c>
      <c r="P2269">
        <v>-0.99313130000000005</v>
      </c>
      <c r="Q2269">
        <v>6.2626639999999997E-2</v>
      </c>
      <c r="R2269">
        <v>-9.8835149999999997E-2</v>
      </c>
      <c r="S2269">
        <v>-2.987152</v>
      </c>
      <c r="T2269">
        <v>-0.18803300000000001</v>
      </c>
      <c r="U2269">
        <v>-0.45861819999999998</v>
      </c>
      <c r="V2269">
        <v>-0.14105780000000001</v>
      </c>
      <c r="W2269">
        <v>7.5666349999999993E-2</v>
      </c>
      <c r="X2269">
        <v>0.98710549999999997</v>
      </c>
      <c r="Y2269">
        <v>-0.19323750000000001</v>
      </c>
      <c r="Z2269">
        <v>-8.7037869999999993E-3</v>
      </c>
      <c r="AA2269">
        <v>0.98111340000000002</v>
      </c>
      <c r="AB2269">
        <v>24</v>
      </c>
      <c r="AC2269">
        <v>-17.316599999999902</v>
      </c>
      <c r="AD2269">
        <v>-1.10520973646</v>
      </c>
      <c r="AE2269">
        <v>-2.70549999999997</v>
      </c>
      <c r="AF2269">
        <v>-3.4266364640812501</v>
      </c>
      <c r="AG2269">
        <v>-1.10520973646</v>
      </c>
      <c r="AH2269">
        <v>17.117653044315499</v>
      </c>
      <c r="AI2269">
        <v>93.622530582053102</v>
      </c>
      <c r="AJ2269">
        <v>101.31992812590499</v>
      </c>
      <c r="AK2269">
        <v>17.492208887504699</v>
      </c>
    </row>
    <row r="2270" spans="1:37" x14ac:dyDescent="0.2">
      <c r="A2270" t="str">
        <f>"20200111153653409"</f>
        <v>20200111153653409</v>
      </c>
      <c r="B2270" t="str">
        <f>"1578728213405378"</f>
        <v>1578728213405378</v>
      </c>
      <c r="C2270" t="s">
        <v>37</v>
      </c>
      <c r="D2270">
        <v>5.4813519999999896</v>
      </c>
      <c r="E2270">
        <v>0.47686629999999902</v>
      </c>
      <c r="F2270" t="s">
        <v>44</v>
      </c>
      <c r="G2270">
        <v>-472.69709999999998</v>
      </c>
      <c r="H2270" s="1">
        <v>5.1236779999999902E-6</v>
      </c>
      <c r="I2270">
        <v>281.24869999999999</v>
      </c>
      <c r="J2270">
        <v>-455.32040000000001</v>
      </c>
      <c r="K2270">
        <v>1.1052420000000001</v>
      </c>
      <c r="L2270">
        <v>284.00540000000001</v>
      </c>
      <c r="M2270">
        <v>-0.99901759999999995</v>
      </c>
      <c r="N2270">
        <v>0</v>
      </c>
      <c r="O2270">
        <v>4.228444E-2</v>
      </c>
      <c r="P2270">
        <v>-0.99297459999999904</v>
      </c>
      <c r="Q2270">
        <v>6.2851969999999993E-2</v>
      </c>
      <c r="R2270">
        <v>-0.1002566</v>
      </c>
      <c r="S2270">
        <v>-2.9862669999999998</v>
      </c>
      <c r="T2270">
        <v>-0.18727079999999999</v>
      </c>
      <c r="U2270">
        <v>-0.46536250000000001</v>
      </c>
      <c r="V2270">
        <v>-0.14219010000000001</v>
      </c>
      <c r="W2270">
        <v>7.5886960000000003E-2</v>
      </c>
      <c r="X2270">
        <v>0.98692610000000003</v>
      </c>
      <c r="Y2270">
        <v>-0.1951658</v>
      </c>
      <c r="Z2270">
        <v>-8.7119599999999995E-3</v>
      </c>
      <c r="AA2270">
        <v>0.98073149999999998</v>
      </c>
      <c r="AB2270">
        <v>24</v>
      </c>
      <c r="AC2270">
        <v>-17.3766999999999</v>
      </c>
      <c r="AD2270">
        <v>-1.105236876322</v>
      </c>
      <c r="AE2270">
        <v>-2.7567000000000199</v>
      </c>
      <c r="AF2270">
        <v>-3.4753481698006099</v>
      </c>
      <c r="AG2270">
        <v>-1.105236876322</v>
      </c>
      <c r="AH2270">
        <v>17.1767966032751</v>
      </c>
      <c r="AI2270">
        <v>93.6086841740903</v>
      </c>
      <c r="AJ2270">
        <v>101.43813332498701</v>
      </c>
      <c r="AK2270">
        <v>17.5596678500591</v>
      </c>
    </row>
    <row r="2271" spans="1:37" x14ac:dyDescent="0.2">
      <c r="A2271" t="str">
        <f>"20200111153653430"</f>
        <v>20200111153653430</v>
      </c>
      <c r="B2271" t="str">
        <f>"1578728213424900"</f>
        <v>1578728213424900</v>
      </c>
      <c r="C2271" t="s">
        <v>37</v>
      </c>
      <c r="D2271">
        <v>5.5307529999999998</v>
      </c>
      <c r="E2271">
        <v>0.47675190000000001</v>
      </c>
      <c r="F2271" t="s">
        <v>44</v>
      </c>
      <c r="G2271">
        <v>-472.9579</v>
      </c>
      <c r="H2271" s="1">
        <v>5.0057850000000002E-6</v>
      </c>
      <c r="I2271">
        <v>281.2235</v>
      </c>
      <c r="J2271">
        <v>-455.55509999999998</v>
      </c>
      <c r="K2271">
        <v>1.1052580000000001</v>
      </c>
      <c r="L2271">
        <v>284.01499999999999</v>
      </c>
      <c r="M2271">
        <v>-0.99902899999999994</v>
      </c>
      <c r="N2271">
        <v>0</v>
      </c>
      <c r="O2271">
        <v>4.2017880000000001E-2</v>
      </c>
      <c r="P2271">
        <v>-0.99278940000000004</v>
      </c>
      <c r="Q2271">
        <v>6.3409049999999995E-2</v>
      </c>
      <c r="R2271">
        <v>-0.10172929999999999</v>
      </c>
      <c r="S2271">
        <v>-2.9855040000000002</v>
      </c>
      <c r="T2271">
        <v>-0.18708320000000001</v>
      </c>
      <c r="U2271">
        <v>-0.47088619999999998</v>
      </c>
      <c r="V2271">
        <v>-0.14339009999999999</v>
      </c>
      <c r="W2271">
        <v>7.6440389999999997E-2</v>
      </c>
      <c r="X2271">
        <v>0.98670979999999997</v>
      </c>
      <c r="Y2271">
        <v>-0.19671150000000001</v>
      </c>
      <c r="Z2271">
        <v>-8.7357110000000002E-3</v>
      </c>
      <c r="AA2271">
        <v>0.98042249999999997</v>
      </c>
      <c r="AB2271">
        <v>24</v>
      </c>
      <c r="AC2271">
        <v>-17.402799999999999</v>
      </c>
      <c r="AD2271">
        <v>-1.105252994215</v>
      </c>
      <c r="AE2271">
        <v>-2.7914999999999801</v>
      </c>
      <c r="AF2271">
        <v>-3.5065382989904901</v>
      </c>
      <c r="AG2271">
        <v>-1.105252994215</v>
      </c>
      <c r="AH2271">
        <v>17.202478797689501</v>
      </c>
      <c r="AI2271">
        <v>93.602304240759594</v>
      </c>
      <c r="AJ2271">
        <v>101.521281152998</v>
      </c>
      <c r="AK2271">
        <v>17.5909826845593</v>
      </c>
    </row>
    <row r="2272" spans="1:37" x14ac:dyDescent="0.2">
      <c r="A2272" t="str">
        <f>"20200111153653453"</f>
        <v>20200111153653453</v>
      </c>
      <c r="B2272" t="str">
        <f>"1578728213445394"</f>
        <v>1578728213445394</v>
      </c>
      <c r="C2272" t="s">
        <v>37</v>
      </c>
      <c r="D2272">
        <v>5.4896339999999997</v>
      </c>
      <c r="E2272">
        <v>0.47665089999999999</v>
      </c>
      <c r="F2272" t="s">
        <v>44</v>
      </c>
      <c r="G2272">
        <v>-473.31619999999998</v>
      </c>
      <c r="H2272" s="1">
        <v>4.843191E-6</v>
      </c>
      <c r="I2272">
        <v>281.18110000000001</v>
      </c>
      <c r="J2272">
        <v>-455.79419999999999</v>
      </c>
      <c r="K2272">
        <v>1.1052729999999999</v>
      </c>
      <c r="L2272">
        <v>284.0247</v>
      </c>
      <c r="M2272">
        <v>-0.99904009999999999</v>
      </c>
      <c r="N2272">
        <v>0</v>
      </c>
      <c r="O2272">
        <v>4.175326E-2</v>
      </c>
      <c r="P2272">
        <v>-0.99254659999999995</v>
      </c>
      <c r="Q2272">
        <v>6.3640390000000005E-2</v>
      </c>
      <c r="R2272">
        <v>-0.1039301</v>
      </c>
      <c r="S2272">
        <v>-2.9848939999999899</v>
      </c>
      <c r="T2272">
        <v>-0.185747</v>
      </c>
      <c r="U2272">
        <v>-0.47625729999999999</v>
      </c>
      <c r="V2272">
        <v>-0.1453168</v>
      </c>
      <c r="W2272">
        <v>7.6666219999999993E-2</v>
      </c>
      <c r="X2272">
        <v>0.98641029999999996</v>
      </c>
      <c r="Y2272">
        <v>-0.19820739999999901</v>
      </c>
      <c r="Z2272">
        <v>-8.7038440000000005E-3</v>
      </c>
      <c r="AA2272">
        <v>0.98012140000000003</v>
      </c>
      <c r="AB2272">
        <v>24</v>
      </c>
      <c r="AC2272">
        <v>-17.521999999999899</v>
      </c>
      <c r="AD2272">
        <v>-1.1052681568089999</v>
      </c>
      <c r="AE2272">
        <v>-2.8435999999999799</v>
      </c>
      <c r="AF2272">
        <v>-3.55898703032998</v>
      </c>
      <c r="AG2272">
        <v>-1.1052681568089999</v>
      </c>
      <c r="AH2272">
        <v>17.320827227408099</v>
      </c>
      <c r="AI2272">
        <v>93.576657701326496</v>
      </c>
      <c r="AJ2272">
        <v>101.611210111448</v>
      </c>
      <c r="AK2272">
        <v>17.7171967935742</v>
      </c>
    </row>
    <row r="2273" spans="1:37" x14ac:dyDescent="0.2">
      <c r="A2273" t="str">
        <f>"20200111153653475"</f>
        <v>20200111153653475</v>
      </c>
      <c r="B2273" t="str">
        <f>"1578728213464913"</f>
        <v>1578728213464913</v>
      </c>
      <c r="C2273" t="s">
        <v>37</v>
      </c>
      <c r="D2273">
        <v>5.7649900000000001</v>
      </c>
      <c r="E2273">
        <v>0.47655929999999902</v>
      </c>
      <c r="F2273" t="s">
        <v>44</v>
      </c>
      <c r="G2273">
        <v>-473.57440000000003</v>
      </c>
      <c r="H2273" s="1">
        <v>4.725359E-6</v>
      </c>
      <c r="I2273">
        <v>281.14299999999997</v>
      </c>
      <c r="J2273">
        <v>-456.0317</v>
      </c>
      <c r="K2273">
        <v>1.1052959999999901</v>
      </c>
      <c r="L2273">
        <v>284.03429999999997</v>
      </c>
      <c r="M2273">
        <v>-0.99905069999999996</v>
      </c>
      <c r="N2273">
        <v>0</v>
      </c>
      <c r="O2273">
        <v>4.1497409999999998E-2</v>
      </c>
      <c r="P2273">
        <v>-0.99228510000000003</v>
      </c>
      <c r="Q2273">
        <v>6.3813419999999996E-2</v>
      </c>
      <c r="R2273">
        <v>-0.1062945</v>
      </c>
      <c r="S2273">
        <v>-2.9837950000000002</v>
      </c>
      <c r="T2273">
        <v>-0.18548100000000001</v>
      </c>
      <c r="U2273">
        <v>-0.483581499999999</v>
      </c>
      <c r="V2273">
        <v>-0.14741470000000001</v>
      </c>
      <c r="W2273">
        <v>7.6834540000000007E-2</v>
      </c>
      <c r="X2273">
        <v>0.98608589999999996</v>
      </c>
      <c r="Y2273">
        <v>-0.2003549</v>
      </c>
      <c r="Z2273">
        <v>-8.7433589999999992E-3</v>
      </c>
      <c r="AA2273">
        <v>0.97968440000000001</v>
      </c>
      <c r="AB2273">
        <v>24</v>
      </c>
      <c r="AC2273">
        <v>-17.5427</v>
      </c>
      <c r="AD2273">
        <v>-1.10529127464099</v>
      </c>
      <c r="AE2273">
        <v>-2.8913000000000002</v>
      </c>
      <c r="AF2273">
        <v>-3.6029252053718799</v>
      </c>
      <c r="AG2273">
        <v>-1.10529127464099</v>
      </c>
      <c r="AH2273">
        <v>17.340577355379899</v>
      </c>
      <c r="AI2273">
        <v>93.571045518501094</v>
      </c>
      <c r="AJ2273">
        <v>101.737584095025</v>
      </c>
      <c r="AK2273">
        <v>17.745375787940201</v>
      </c>
    </row>
    <row r="2274" spans="1:37" x14ac:dyDescent="0.2">
      <c r="A2274" t="str">
        <f>"20200111153653498"</f>
        <v>20200111153653498</v>
      </c>
      <c r="B2274" t="str">
        <f>"1578728213485409"</f>
        <v>1578728213485409</v>
      </c>
      <c r="C2274" t="s">
        <v>37</v>
      </c>
      <c r="D2274">
        <v>5.4922309999999896</v>
      </c>
      <c r="E2274">
        <v>0.47648469999999998</v>
      </c>
      <c r="F2274" t="s">
        <v>44</v>
      </c>
      <c r="G2274">
        <v>-473.8143</v>
      </c>
      <c r="H2274" s="1">
        <v>4.6156159999999999E-6</v>
      </c>
      <c r="I2274">
        <v>281.1044</v>
      </c>
      <c r="J2274">
        <v>-456.27480000000003</v>
      </c>
      <c r="K2274">
        <v>1.1053139999999999</v>
      </c>
      <c r="L2274">
        <v>284.04410000000001</v>
      </c>
      <c r="M2274">
        <v>-0.99906130000000004</v>
      </c>
      <c r="N2274">
        <v>0</v>
      </c>
      <c r="O2274">
        <v>4.1241979999999998E-2</v>
      </c>
      <c r="P2274">
        <v>-0.99202999999999997</v>
      </c>
      <c r="Q2274">
        <v>6.4530390000000007E-2</v>
      </c>
      <c r="R2274">
        <v>-0.108223499999999</v>
      </c>
      <c r="S2274">
        <v>-2.9826349999999899</v>
      </c>
      <c r="T2274">
        <v>-0.18538869999999999</v>
      </c>
      <c r="U2274">
        <v>-0.49142459999999999</v>
      </c>
      <c r="V2274">
        <v>-0.1490783</v>
      </c>
      <c r="W2274">
        <v>7.7547179999999993E-2</v>
      </c>
      <c r="X2274">
        <v>0.98577990000000004</v>
      </c>
      <c r="Y2274">
        <v>-0.20266960000000001</v>
      </c>
      <c r="Z2274">
        <v>-8.7961740000000004E-3</v>
      </c>
      <c r="AA2274">
        <v>0.97920769999999902</v>
      </c>
      <c r="AB2274">
        <v>24</v>
      </c>
      <c r="AC2274">
        <v>-17.539499999999901</v>
      </c>
      <c r="AD2274">
        <v>-1.1053093843839901</v>
      </c>
      <c r="AE2274">
        <v>-2.93970000000001</v>
      </c>
      <c r="AF2274">
        <v>-3.6465398272038998</v>
      </c>
      <c r="AG2274">
        <v>-1.1053093843839901</v>
      </c>
      <c r="AH2274">
        <v>17.3363580668574</v>
      </c>
      <c r="AI2274">
        <v>93.570139809697196</v>
      </c>
      <c r="AJ2274">
        <v>101.878468110648</v>
      </c>
      <c r="AK2274">
        <v>17.750162606829399</v>
      </c>
    </row>
    <row r="2275" spans="1:37" x14ac:dyDescent="0.2">
      <c r="A2275" t="str">
        <f>"20200111153653521"</f>
        <v>20200111153653521</v>
      </c>
      <c r="B2275" t="str">
        <f>"1578728213514692"</f>
        <v>1578728213514692</v>
      </c>
      <c r="C2275" t="s">
        <v>37</v>
      </c>
      <c r="D2275">
        <v>5.4999169999999999</v>
      </c>
      <c r="E2275">
        <v>0.47638509999999901</v>
      </c>
      <c r="F2275" t="s">
        <v>44</v>
      </c>
      <c r="G2275">
        <v>-474.20159999999998</v>
      </c>
      <c r="H2275" s="1">
        <v>4.4394269999999999E-6</v>
      </c>
      <c r="I2275">
        <v>281.05380000000002</v>
      </c>
      <c r="J2275">
        <v>-456.5224</v>
      </c>
      <c r="K2275">
        <v>1.105324</v>
      </c>
      <c r="L2275">
        <v>284.05399999999997</v>
      </c>
      <c r="M2275">
        <v>-0.99907199999999996</v>
      </c>
      <c r="N2275">
        <v>0</v>
      </c>
      <c r="O2275">
        <v>4.0985359999999998E-2</v>
      </c>
      <c r="P2275">
        <v>-0.99173679999999997</v>
      </c>
      <c r="Q2275">
        <v>6.5336290000000005E-2</v>
      </c>
      <c r="R2275">
        <v>-0.11040750000000001</v>
      </c>
      <c r="S2275">
        <v>-2.9818119999999899</v>
      </c>
      <c r="T2275">
        <v>-0.1838486</v>
      </c>
      <c r="U2275">
        <v>-0.49737550000000003</v>
      </c>
      <c r="V2275">
        <v>-0.1509944</v>
      </c>
      <c r="W2275">
        <v>7.8348199999999896E-2</v>
      </c>
      <c r="X2275">
        <v>0.98542489999999905</v>
      </c>
      <c r="Y2275">
        <v>-0.20436799999999999</v>
      </c>
      <c r="Z2275">
        <v>-8.7604629999999996E-3</v>
      </c>
      <c r="AA2275">
        <v>0.97885499999999903</v>
      </c>
      <c r="AB2275">
        <v>24</v>
      </c>
      <c r="AC2275">
        <v>-17.679199999999899</v>
      </c>
      <c r="AD2275">
        <v>-1.105319560573</v>
      </c>
      <c r="AE2275">
        <v>-3.0002</v>
      </c>
      <c r="AF2275">
        <v>-3.7082412859583398</v>
      </c>
      <c r="AG2275">
        <v>-1.105319560573</v>
      </c>
      <c r="AH2275">
        <v>17.4749721621702</v>
      </c>
      <c r="AI2275">
        <v>93.540595377835601</v>
      </c>
      <c r="AJ2275">
        <v>101.980615968758</v>
      </c>
      <c r="AK2275">
        <v>17.898252340228499</v>
      </c>
    </row>
    <row r="2276" spans="1:37" x14ac:dyDescent="0.2">
      <c r="A2276" t="str">
        <f>"20200111153653542"</f>
        <v>20200111153653542</v>
      </c>
      <c r="B2276" t="str">
        <f>"1578728213535185"</f>
        <v>1578728213535185</v>
      </c>
      <c r="C2276" t="s">
        <v>37</v>
      </c>
      <c r="D2276">
        <v>5.7057709999999897</v>
      </c>
      <c r="E2276">
        <v>0.47632809999999998</v>
      </c>
      <c r="F2276" t="s">
        <v>44</v>
      </c>
      <c r="G2276">
        <v>-474.56529999999998</v>
      </c>
      <c r="H2276" s="1">
        <v>4.2736710000000001E-6</v>
      </c>
      <c r="I2276">
        <v>281.00279999999998</v>
      </c>
      <c r="J2276">
        <v>-456.75850000000003</v>
      </c>
      <c r="K2276">
        <v>1.1053249999999999</v>
      </c>
      <c r="L2276">
        <v>284.0634</v>
      </c>
      <c r="M2276">
        <v>-0.99908189999999997</v>
      </c>
      <c r="N2276">
        <v>0</v>
      </c>
      <c r="O2276">
        <v>4.0741899999999998E-2</v>
      </c>
      <c r="P2276">
        <v>-0.99146769999999995</v>
      </c>
      <c r="Q2276">
        <v>6.6282740000000007E-2</v>
      </c>
      <c r="R2276">
        <v>-0.1122432</v>
      </c>
      <c r="S2276">
        <v>-2.9809570000000001</v>
      </c>
      <c r="T2276">
        <v>-0.18261469999999999</v>
      </c>
      <c r="U2276">
        <v>-0.50408940000000002</v>
      </c>
      <c r="V2276">
        <v>-0.15257709999999999</v>
      </c>
      <c r="W2276">
        <v>7.9290349999999996E-2</v>
      </c>
      <c r="X2276">
        <v>0.98510569999999897</v>
      </c>
      <c r="Y2276">
        <v>-0.20632159999999999</v>
      </c>
      <c r="Z2276">
        <v>-8.7472009999999996E-3</v>
      </c>
      <c r="AA2276">
        <v>0.97844509999999996</v>
      </c>
      <c r="AB2276">
        <v>24</v>
      </c>
      <c r="AC2276">
        <v>-17.8067999999999</v>
      </c>
      <c r="AD2276">
        <v>-1.1053207263289999</v>
      </c>
      <c r="AE2276">
        <v>-3.06060000000002</v>
      </c>
      <c r="AF2276">
        <v>-3.7694975578458201</v>
      </c>
      <c r="AG2276">
        <v>-1.1053207263289999</v>
      </c>
      <c r="AH2276">
        <v>17.6014336859423</v>
      </c>
      <c r="AI2276">
        <v>93.513826913889503</v>
      </c>
      <c r="AJ2276">
        <v>102.087790920754</v>
      </c>
      <c r="AK2276">
        <v>18.034447969019801</v>
      </c>
    </row>
    <row r="2277" spans="1:37" x14ac:dyDescent="0.2">
      <c r="A2277" t="str">
        <f>"20200111153653565"</f>
        <v>20200111153653565</v>
      </c>
      <c r="B2277" t="str">
        <f>"1578728213554705"</f>
        <v>1578728213554705</v>
      </c>
      <c r="C2277" t="s">
        <v>37</v>
      </c>
      <c r="D2277">
        <v>5.4909470000000002</v>
      </c>
      <c r="E2277">
        <v>0.47630719999999999</v>
      </c>
      <c r="F2277" t="s">
        <v>44</v>
      </c>
      <c r="G2277">
        <v>-474.98410000000001</v>
      </c>
      <c r="H2277" s="1">
        <v>4.0833889999999996E-6</v>
      </c>
      <c r="I2277">
        <v>280.9504</v>
      </c>
      <c r="J2277">
        <v>-456.99169999999998</v>
      </c>
      <c r="K2277">
        <v>1.105313</v>
      </c>
      <c r="L2277">
        <v>284.07260000000002</v>
      </c>
      <c r="M2277">
        <v>-0.99909169999999903</v>
      </c>
      <c r="N2277">
        <v>0</v>
      </c>
      <c r="O2277">
        <v>4.0501049999999997E-2</v>
      </c>
      <c r="P2277">
        <v>-0.99120739999999996</v>
      </c>
      <c r="Q2277">
        <v>6.6539940000000006E-2</v>
      </c>
      <c r="R2277">
        <v>-0.114372</v>
      </c>
      <c r="S2277">
        <v>-2.9802249999999999</v>
      </c>
      <c r="T2277">
        <v>-0.18074109999999999</v>
      </c>
      <c r="U2277">
        <v>-0.50903319999999996</v>
      </c>
      <c r="V2277">
        <v>-0.15445500000000001</v>
      </c>
      <c r="W2277">
        <v>7.9542260000000004E-2</v>
      </c>
      <c r="X2277">
        <v>0.98479269999999997</v>
      </c>
      <c r="Y2277">
        <v>-0.2077097</v>
      </c>
      <c r="Z2277">
        <v>-8.6857859999999992E-3</v>
      </c>
      <c r="AA2277">
        <v>0.97815200000000002</v>
      </c>
      <c r="AB2277">
        <v>24</v>
      </c>
      <c r="AC2277">
        <v>-17.9924</v>
      </c>
      <c r="AD2277">
        <v>-1.1053089166109999</v>
      </c>
      <c r="AE2277">
        <v>-3.1222000000000198</v>
      </c>
      <c r="AF2277">
        <v>-3.8343653260501802</v>
      </c>
      <c r="AG2277">
        <v>-1.1053089166109999</v>
      </c>
      <c r="AH2277">
        <v>17.786010786365601</v>
      </c>
      <c r="AI2277">
        <v>93.476399639809202</v>
      </c>
      <c r="AJ2277">
        <v>102.1658155122</v>
      </c>
      <c r="AK2277">
        <v>18.2281717390272</v>
      </c>
    </row>
    <row r="2278" spans="1:37" x14ac:dyDescent="0.2">
      <c r="A2278" t="str">
        <f>"20200111153653587"</f>
        <v>20200111153653587</v>
      </c>
      <c r="B2278" t="str">
        <f>"1578728213575202"</f>
        <v>1578728213575202</v>
      </c>
      <c r="C2278" t="s">
        <v>37</v>
      </c>
      <c r="D2278">
        <v>5.5119319999999998</v>
      </c>
      <c r="E2278">
        <v>0.47627799999999998</v>
      </c>
      <c r="F2278" t="s">
        <v>44</v>
      </c>
      <c r="G2278">
        <v>-475.17849999999999</v>
      </c>
      <c r="H2278" s="1">
        <v>3.9951320000000001E-6</v>
      </c>
      <c r="I2278">
        <v>280.92700000000002</v>
      </c>
      <c r="J2278">
        <v>-457.23009999999999</v>
      </c>
      <c r="K2278">
        <v>1.1052999999999999</v>
      </c>
      <c r="L2278">
        <v>284.08190000000002</v>
      </c>
      <c r="M2278">
        <v>-0.99910169999999998</v>
      </c>
      <c r="N2278">
        <v>0</v>
      </c>
      <c r="O2278">
        <v>4.0254749999999999E-2</v>
      </c>
      <c r="P2278">
        <v>-0.9909869</v>
      </c>
      <c r="Q2278">
        <v>6.5695820000000002E-2</v>
      </c>
      <c r="R2278">
        <v>-0.116744899999999</v>
      </c>
      <c r="S2278">
        <v>-2.9793090000000002</v>
      </c>
      <c r="T2278">
        <v>-0.18106820000000001</v>
      </c>
      <c r="U2278">
        <v>-0.51528929999999995</v>
      </c>
      <c r="V2278">
        <v>-0.15657370000000001</v>
      </c>
      <c r="W2278">
        <v>7.8693319999999997E-2</v>
      </c>
      <c r="X2278">
        <v>0.98452629999999997</v>
      </c>
      <c r="Y2278">
        <v>-0.20950869999999999</v>
      </c>
      <c r="Z2278">
        <v>-8.7419519999999903E-3</v>
      </c>
      <c r="AA2278">
        <v>0.97776770000000002</v>
      </c>
      <c r="AB2278">
        <v>24</v>
      </c>
      <c r="AC2278">
        <v>-17.9483999999999</v>
      </c>
      <c r="AD2278">
        <v>-1.1052960048680001</v>
      </c>
      <c r="AE2278">
        <v>-3.1548999999999898</v>
      </c>
      <c r="AF2278">
        <v>-3.8607117839659302</v>
      </c>
      <c r="AG2278">
        <v>-1.1052960048680001</v>
      </c>
      <c r="AH2278">
        <v>17.741573188322999</v>
      </c>
      <c r="AI2278">
        <v>93.483588833537496</v>
      </c>
      <c r="AJ2278">
        <v>102.276639534438</v>
      </c>
      <c r="AK2278">
        <v>18.190387404721601</v>
      </c>
    </row>
    <row r="2279" spans="1:37" x14ac:dyDescent="0.2">
      <c r="A2279" t="str">
        <f>"20200111153653610"</f>
        <v>20200111153653610</v>
      </c>
      <c r="B2279" t="str">
        <f>"1578728213605457"</f>
        <v>1578728213605457</v>
      </c>
      <c r="C2279" t="s">
        <v>37</v>
      </c>
      <c r="D2279">
        <v>5.5209890000000001</v>
      </c>
      <c r="E2279">
        <v>0.47623310000000002</v>
      </c>
      <c r="F2279" t="s">
        <v>44</v>
      </c>
      <c r="G2279">
        <v>-475.04919999999998</v>
      </c>
      <c r="H2279" s="1">
        <v>4.0552699999999902E-6</v>
      </c>
      <c r="I2279">
        <v>280.95890000000003</v>
      </c>
      <c r="J2279">
        <v>-457.48149999999998</v>
      </c>
      <c r="K2279">
        <v>1.1052869999999999</v>
      </c>
      <c r="L2279">
        <v>284.0917</v>
      </c>
      <c r="M2279">
        <v>-0.99911240000000001</v>
      </c>
      <c r="N2279">
        <v>0</v>
      </c>
      <c r="O2279">
        <v>3.9988610000000001E-2</v>
      </c>
      <c r="P2279">
        <v>-0.99071559999999903</v>
      </c>
      <c r="Q2279">
        <v>6.3964499999999994E-2</v>
      </c>
      <c r="R2279">
        <v>-0.1199638</v>
      </c>
      <c r="S2279">
        <v>-2.9780880000000001</v>
      </c>
      <c r="T2279">
        <v>-0.18472729999999901</v>
      </c>
      <c r="U2279">
        <v>-0.52194209999999996</v>
      </c>
      <c r="V2279">
        <v>-0.15951660000000001</v>
      </c>
      <c r="W2279">
        <v>7.6954330000000001E-2</v>
      </c>
      <c r="X2279">
        <v>0.98419129999999999</v>
      </c>
      <c r="Y2279">
        <v>-0.21141360000000001</v>
      </c>
      <c r="Z2279">
        <v>-8.9624079999999998E-3</v>
      </c>
      <c r="AA2279">
        <v>0.97735559999999999</v>
      </c>
      <c r="AB2279">
        <v>24</v>
      </c>
      <c r="AC2279">
        <v>-17.567699999999999</v>
      </c>
      <c r="AD2279">
        <v>-1.1052829447300001</v>
      </c>
      <c r="AE2279">
        <v>-3.1327999999999698</v>
      </c>
      <c r="AF2279">
        <v>-3.8182151255259802</v>
      </c>
      <c r="AG2279">
        <v>-1.1052829447300001</v>
      </c>
      <c r="AH2279">
        <v>17.361752220587999</v>
      </c>
      <c r="AI2279">
        <v>93.557849117305295</v>
      </c>
      <c r="AJ2279">
        <v>102.403104877605</v>
      </c>
      <c r="AK2279">
        <v>17.810975753781701</v>
      </c>
    </row>
    <row r="2280" spans="1:37" x14ac:dyDescent="0.2">
      <c r="A2280" t="str">
        <f>"20200111153653632"</f>
        <v>20200111153653632</v>
      </c>
      <c r="B2280" t="str">
        <f>"1578728213624977"</f>
        <v>1578728213624977</v>
      </c>
      <c r="C2280" t="s">
        <v>37</v>
      </c>
      <c r="D2280">
        <v>5.3980610000000002</v>
      </c>
      <c r="E2280">
        <v>0.47621940000000001</v>
      </c>
      <c r="F2280" t="s">
        <v>44</v>
      </c>
      <c r="G2280">
        <v>-474.64389999999997</v>
      </c>
      <c r="H2280" s="1">
        <v>4.2409899999999999E-6</v>
      </c>
      <c r="I2280">
        <v>281.02760000000001</v>
      </c>
      <c r="J2280">
        <v>-457.71480000000003</v>
      </c>
      <c r="K2280">
        <v>1.1052759999999999</v>
      </c>
      <c r="L2280">
        <v>284.10079999999999</v>
      </c>
      <c r="M2280">
        <v>-0.99912269999999903</v>
      </c>
      <c r="N2280">
        <v>0</v>
      </c>
      <c r="O2280">
        <v>3.9726900000000002E-2</v>
      </c>
      <c r="P2280">
        <v>-0.9904598</v>
      </c>
      <c r="Q2280">
        <v>6.1209569999999998E-2</v>
      </c>
      <c r="R2280">
        <v>-0.1234625</v>
      </c>
      <c r="S2280">
        <v>-2.97613499999999</v>
      </c>
      <c r="T2280">
        <v>-0.191667</v>
      </c>
      <c r="U2280">
        <v>-0.53134159999999997</v>
      </c>
      <c r="V2280">
        <v>-0.16274449999999999</v>
      </c>
      <c r="W2280">
        <v>7.4189930000000001E-2</v>
      </c>
      <c r="X2280">
        <v>0.98387500000000006</v>
      </c>
      <c r="Y2280">
        <v>-0.2142174</v>
      </c>
      <c r="Z2280">
        <v>-9.3746980000000008E-3</v>
      </c>
      <c r="AA2280">
        <v>0.97674099999999997</v>
      </c>
      <c r="AB2280">
        <v>24</v>
      </c>
      <c r="AC2280">
        <v>-16.929099999999899</v>
      </c>
      <c r="AD2280">
        <v>-1.1052717590100001</v>
      </c>
      <c r="AE2280">
        <v>-3.0731999999999799</v>
      </c>
      <c r="AF2280">
        <v>-3.7279894239126201</v>
      </c>
      <c r="AG2280">
        <v>-1.1052717590100001</v>
      </c>
      <c r="AH2280">
        <v>16.724618655496901</v>
      </c>
      <c r="AI2280">
        <v>93.690663690568798</v>
      </c>
      <c r="AJ2280">
        <v>102.56604346814299</v>
      </c>
      <c r="AK2280">
        <v>17.170684318857599</v>
      </c>
    </row>
    <row r="2281" spans="1:37" x14ac:dyDescent="0.2">
      <c r="A2281" t="str">
        <f>"20200111153653654"</f>
        <v>20200111153653654</v>
      </c>
      <c r="B2281" t="str">
        <f>"1578728213645473"</f>
        <v>1578728213645473</v>
      </c>
      <c r="C2281" t="s">
        <v>37</v>
      </c>
      <c r="D2281">
        <v>5.5042309999999999</v>
      </c>
      <c r="E2281">
        <v>0.47618919999999998</v>
      </c>
      <c r="F2281" t="s">
        <v>44</v>
      </c>
      <c r="G2281">
        <v>-474.09980000000002</v>
      </c>
      <c r="H2281" s="1">
        <v>4.4901029999999901E-6</v>
      </c>
      <c r="I2281">
        <v>281.11720000000003</v>
      </c>
      <c r="J2281">
        <v>-457.9436</v>
      </c>
      <c r="K2281">
        <v>1.1052759999999999</v>
      </c>
      <c r="L2281">
        <v>284.10950000000003</v>
      </c>
      <c r="M2281">
        <v>-0.99913390000000002</v>
      </c>
      <c r="N2281">
        <v>0</v>
      </c>
      <c r="O2281">
        <v>3.9444970000000003E-2</v>
      </c>
      <c r="P2281">
        <v>-0.99031250000000004</v>
      </c>
      <c r="Q2281">
        <v>5.8500570000000002E-2</v>
      </c>
      <c r="R2281">
        <v>-0.1259313</v>
      </c>
      <c r="S2281">
        <v>-2.9738159999999998</v>
      </c>
      <c r="T2281">
        <v>-0.20060269999999999</v>
      </c>
      <c r="U2281">
        <v>-0.54150390000000004</v>
      </c>
      <c r="V2281">
        <v>-0.1649293</v>
      </c>
      <c r="W2281">
        <v>7.1470140000000001E-2</v>
      </c>
      <c r="X2281">
        <v>0.98371249999999999</v>
      </c>
      <c r="Y2281">
        <v>-0.21725</v>
      </c>
      <c r="Z2281">
        <v>-9.8979010000000006E-3</v>
      </c>
      <c r="AA2281">
        <v>0.97606579999999998</v>
      </c>
      <c r="AB2281">
        <v>24</v>
      </c>
      <c r="AC2281">
        <v>-16.156199999999998</v>
      </c>
      <c r="AD2281">
        <v>-1.1052715098969901</v>
      </c>
      <c r="AE2281">
        <v>-2.9923000000000002</v>
      </c>
      <c r="AF2281">
        <v>-3.6109682102129899</v>
      </c>
      <c r="AG2281">
        <v>-1.1052715098969901</v>
      </c>
      <c r="AH2281">
        <v>15.953394620106801</v>
      </c>
      <c r="AI2281">
        <v>93.8657123132501</v>
      </c>
      <c r="AJ2281">
        <v>102.753701944049</v>
      </c>
      <c r="AK2281">
        <v>16.394252542602</v>
      </c>
    </row>
    <row r="2282" spans="1:37" x14ac:dyDescent="0.2">
      <c r="A2282" t="str">
        <f>"20200111153653676"</f>
        <v>20200111153653676</v>
      </c>
      <c r="B2282" t="str">
        <f>"1578728213664993"</f>
        <v>1578728213664993</v>
      </c>
      <c r="C2282" t="s">
        <v>37</v>
      </c>
      <c r="D2282">
        <v>5.7234769999999999</v>
      </c>
      <c r="E2282">
        <v>0.47616000000000003</v>
      </c>
      <c r="F2282" t="s">
        <v>44</v>
      </c>
      <c r="G2282">
        <v>-473.60910000000001</v>
      </c>
      <c r="H2282" s="1">
        <v>4.716261E-6</v>
      </c>
      <c r="I2282">
        <v>281.21499999999997</v>
      </c>
      <c r="J2282">
        <v>-458.18259999999998</v>
      </c>
      <c r="K2282">
        <v>1.1052949999999999</v>
      </c>
      <c r="L2282">
        <v>284.11860000000001</v>
      </c>
      <c r="M2282">
        <v>-0.99914699999999901</v>
      </c>
      <c r="N2282">
        <v>0</v>
      </c>
      <c r="O2282">
        <v>3.911274E-2</v>
      </c>
      <c r="P2282">
        <v>-0.9901664</v>
      </c>
      <c r="Q2282">
        <v>5.5961400000000001E-2</v>
      </c>
      <c r="R2282">
        <v>-0.12821260000000001</v>
      </c>
      <c r="S2282">
        <v>-2.9718629999999999</v>
      </c>
      <c r="T2282">
        <v>-0.209678</v>
      </c>
      <c r="U2282">
        <v>-0.5491028</v>
      </c>
      <c r="V2282">
        <v>-0.16687949999999999</v>
      </c>
      <c r="W2282">
        <v>6.8915840000000006E-2</v>
      </c>
      <c r="X2282">
        <v>0.98356589999999999</v>
      </c>
      <c r="Y2282">
        <v>-0.21939539999999899</v>
      </c>
      <c r="Z2282">
        <v>-1.0400680000000001E-2</v>
      </c>
      <c r="AA2282">
        <v>0.97558060000000002</v>
      </c>
      <c r="AB2282">
        <v>24</v>
      </c>
      <c r="AC2282">
        <v>-15.426500000000001</v>
      </c>
      <c r="AD2282">
        <v>-1.105290283739</v>
      </c>
      <c r="AE2282">
        <v>-2.9036000000000399</v>
      </c>
      <c r="AF2282">
        <v>-3.4875126542961099</v>
      </c>
      <c r="AG2282">
        <v>-1.105290283739</v>
      </c>
      <c r="AH2282">
        <v>15.225628683858099</v>
      </c>
      <c r="AI2282">
        <v>94.0475883517489</v>
      </c>
      <c r="AJ2282">
        <v>102.901352176996</v>
      </c>
      <c r="AK2282">
        <v>15.6589967732268</v>
      </c>
    </row>
    <row r="2283" spans="1:37" x14ac:dyDescent="0.2">
      <c r="A2283" t="str">
        <f>"20200111153653699"</f>
        <v>20200111153653699</v>
      </c>
      <c r="B2283" t="str">
        <f>"1578728213695250"</f>
        <v>1578728213695250</v>
      </c>
      <c r="C2283" t="s">
        <v>37</v>
      </c>
      <c r="D2283">
        <v>5.4782529999999996</v>
      </c>
      <c r="E2283">
        <v>0.47612709999999903</v>
      </c>
      <c r="F2283" t="s">
        <v>44</v>
      </c>
      <c r="G2283">
        <v>-473.23239999999998</v>
      </c>
      <c r="H2283" s="1">
        <v>4.8908760000000002E-6</v>
      </c>
      <c r="I2283">
        <v>281.30149999999998</v>
      </c>
      <c r="J2283">
        <v>-458.42009999999999</v>
      </c>
      <c r="K2283">
        <v>1.105332</v>
      </c>
      <c r="L2283">
        <v>284.12740000000002</v>
      </c>
      <c r="M2283">
        <v>-0.99916179999999999</v>
      </c>
      <c r="N2283">
        <v>0</v>
      </c>
      <c r="O2283">
        <v>3.8733690000000001E-2</v>
      </c>
      <c r="P2283">
        <v>-0.98961129999999997</v>
      </c>
      <c r="Q2283">
        <v>5.4912229999999999E-2</v>
      </c>
      <c r="R2283">
        <v>-0.1328686</v>
      </c>
      <c r="S2283">
        <v>-2.9701230000000001</v>
      </c>
      <c r="T2283">
        <v>-0.21813299999999999</v>
      </c>
      <c r="U2283">
        <v>-0.55596919999999905</v>
      </c>
      <c r="V2283">
        <v>-0.17114199999999999</v>
      </c>
      <c r="W2283">
        <v>6.7840239999999996E-2</v>
      </c>
      <c r="X2283">
        <v>0.982908</v>
      </c>
      <c r="Y2283">
        <v>-0.22125149999999999</v>
      </c>
      <c r="Z2283">
        <v>-1.086287E-2</v>
      </c>
      <c r="AA2283">
        <v>0.97515629999999998</v>
      </c>
      <c r="AB2283">
        <v>24</v>
      </c>
      <c r="AC2283">
        <v>-14.812299999999899</v>
      </c>
      <c r="AD2283">
        <v>-1.105327109124</v>
      </c>
      <c r="AE2283">
        <v>-2.8259000000000398</v>
      </c>
      <c r="AF2283">
        <v>-3.3794070596949299</v>
      </c>
      <c r="AG2283">
        <v>-1.105327109124</v>
      </c>
      <c r="AH2283">
        <v>14.6131997493661</v>
      </c>
      <c r="AI2283">
        <v>94.214738800185302</v>
      </c>
      <c r="AJ2283">
        <v>103.021156670461</v>
      </c>
      <c r="AK2283">
        <v>15.039539454656</v>
      </c>
    </row>
    <row r="2284" spans="1:37" x14ac:dyDescent="0.2">
      <c r="A2284" t="str">
        <f>"20200111153653722"</f>
        <v>20200111153653722</v>
      </c>
      <c r="B2284" t="str">
        <f>"1578728213714772"</f>
        <v>1578728213714772</v>
      </c>
      <c r="C2284" t="s">
        <v>37</v>
      </c>
      <c r="D2284">
        <v>5.7270469999999998</v>
      </c>
      <c r="E2284">
        <v>0.47611989999999998</v>
      </c>
      <c r="F2284" t="s">
        <v>44</v>
      </c>
      <c r="G2284">
        <v>-473.16239999999999</v>
      </c>
      <c r="H2284" s="1">
        <v>4.9214890000000001E-6</v>
      </c>
      <c r="I2284">
        <v>281.2962</v>
      </c>
      <c r="J2284">
        <v>-458.66469999999998</v>
      </c>
      <c r="K2284">
        <v>1.105391</v>
      </c>
      <c r="L2284">
        <v>284.13639999999998</v>
      </c>
      <c r="M2284">
        <v>-0.99917929999999999</v>
      </c>
      <c r="N2284">
        <v>0</v>
      </c>
      <c r="O2284">
        <v>3.8280099999999997E-2</v>
      </c>
      <c r="P2284">
        <v>-0.98823639999999902</v>
      </c>
      <c r="Q2284">
        <v>5.6928699999999902E-2</v>
      </c>
      <c r="R2284">
        <v>-0.14194589999999899</v>
      </c>
      <c r="S2284">
        <v>-2.967346</v>
      </c>
      <c r="T2284">
        <v>-0.22248289999999901</v>
      </c>
      <c r="U2284">
        <v>-0.56988530000000004</v>
      </c>
      <c r="V2284">
        <v>-0.17972109999999999</v>
      </c>
      <c r="W2284">
        <v>6.9811090000000006E-2</v>
      </c>
      <c r="X2284">
        <v>0.98123739999999904</v>
      </c>
      <c r="Y2284">
        <v>-0.22534859999999901</v>
      </c>
      <c r="Z2284">
        <v>-1.120265E-2</v>
      </c>
      <c r="AA2284">
        <v>0.97421380000000002</v>
      </c>
      <c r="AB2284">
        <v>24</v>
      </c>
      <c r="AC2284">
        <v>-14.4977</v>
      </c>
      <c r="AD2284">
        <v>-1.1053860785109999</v>
      </c>
      <c r="AE2284">
        <v>-2.8401999999999799</v>
      </c>
      <c r="AF2284">
        <v>-3.37424915850703</v>
      </c>
      <c r="AG2284">
        <v>-1.1053860785109999</v>
      </c>
      <c r="AH2284">
        <v>14.298290009842599</v>
      </c>
      <c r="AI2284">
        <v>94.302952157813294</v>
      </c>
      <c r="AJ2284">
        <v>103.278277245897</v>
      </c>
      <c r="AK2284">
        <v>14.7325670869613</v>
      </c>
    </row>
    <row r="2285" spans="1:37" x14ac:dyDescent="0.2">
      <c r="A2285" t="str">
        <f>"20200111153653744"</f>
        <v>20200111153653744</v>
      </c>
      <c r="B2285" t="str">
        <f>"1578728213735265"</f>
        <v>1578728213735265</v>
      </c>
      <c r="C2285" t="s">
        <v>37</v>
      </c>
      <c r="D2285">
        <v>5.4899199999999997</v>
      </c>
      <c r="E2285">
        <v>0.47608119999999998</v>
      </c>
      <c r="F2285" t="s">
        <v>44</v>
      </c>
      <c r="G2285">
        <v>-473.77089999999998</v>
      </c>
      <c r="H2285" s="1">
        <v>4.6336029999999999E-6</v>
      </c>
      <c r="I2285">
        <v>281.0899</v>
      </c>
      <c r="J2285">
        <v>-458.89409999999998</v>
      </c>
      <c r="K2285">
        <v>1.105453</v>
      </c>
      <c r="L2285">
        <v>284.14460000000003</v>
      </c>
      <c r="M2285">
        <v>-0.99919769999999897</v>
      </c>
      <c r="N2285">
        <v>0</v>
      </c>
      <c r="O2285">
        <v>3.7798810000000002E-2</v>
      </c>
      <c r="P2285">
        <v>-0.98656379999999999</v>
      </c>
      <c r="Q2285">
        <v>5.9721450000000002E-2</v>
      </c>
      <c r="R2285">
        <v>-0.1520717</v>
      </c>
      <c r="S2285">
        <v>-2.9624329999999999</v>
      </c>
      <c r="T2285">
        <v>-0.2167751</v>
      </c>
      <c r="U2285">
        <v>-0.59744259999999905</v>
      </c>
      <c r="V2285">
        <v>-0.18931229999999999</v>
      </c>
      <c r="W2285">
        <v>7.2552119999999998E-2</v>
      </c>
      <c r="X2285">
        <v>0.97923289999999996</v>
      </c>
      <c r="Y2285">
        <v>-0.23390810000000001</v>
      </c>
      <c r="Z2285">
        <v>-1.1198939999999999E-2</v>
      </c>
      <c r="AA2285">
        <v>0.97219419999999901</v>
      </c>
      <c r="AB2285">
        <v>24</v>
      </c>
      <c r="AC2285">
        <v>-14.876799999999999</v>
      </c>
      <c r="AD2285">
        <v>-1.1054483663970001</v>
      </c>
      <c r="AE2285">
        <v>-3.05470000000002</v>
      </c>
      <c r="AF2285">
        <v>-3.5958400057537001</v>
      </c>
      <c r="AG2285">
        <v>-1.1054483663970001</v>
      </c>
      <c r="AH2285">
        <v>14.672953339490601</v>
      </c>
      <c r="AI2285">
        <v>94.185097236508696</v>
      </c>
      <c r="AJ2285">
        <v>103.76986073617999</v>
      </c>
      <c r="AK2285">
        <v>15.147529209102601</v>
      </c>
    </row>
    <row r="2286" spans="1:37" x14ac:dyDescent="0.2">
      <c r="A2286" t="str">
        <f>"20200111153653765"</f>
        <v>20200111153653765</v>
      </c>
      <c r="B2286" t="str">
        <f>"1578728213754785"</f>
        <v>1578728213754785</v>
      </c>
      <c r="C2286" t="s">
        <v>37</v>
      </c>
      <c r="D2286">
        <v>5.5127569999999997</v>
      </c>
      <c r="E2286">
        <v>0.47607369999999999</v>
      </c>
      <c r="F2286" t="s">
        <v>44</v>
      </c>
      <c r="G2286">
        <v>-474.5591</v>
      </c>
      <c r="H2286" s="1">
        <v>4.2600529999999999E-6</v>
      </c>
      <c r="I2286">
        <v>280.81540000000001</v>
      </c>
      <c r="J2286">
        <v>-459.12729999999999</v>
      </c>
      <c r="K2286">
        <v>1.1055079999999999</v>
      </c>
      <c r="L2286">
        <v>284.15280000000001</v>
      </c>
      <c r="M2286">
        <v>-0.99921789999999999</v>
      </c>
      <c r="N2286">
        <v>0</v>
      </c>
      <c r="O2286">
        <v>3.726177E-2</v>
      </c>
      <c r="P2286">
        <v>-0.98521639999999999</v>
      </c>
      <c r="Q2286">
        <v>6.1806590000000002E-2</v>
      </c>
      <c r="R2286">
        <v>-0.15977739999999899</v>
      </c>
      <c r="S2286">
        <v>-2.9566349999999999</v>
      </c>
      <c r="T2286">
        <v>-0.208644</v>
      </c>
      <c r="U2286">
        <v>-0.6283569</v>
      </c>
      <c r="V2286">
        <v>-0.19644349999999999</v>
      </c>
      <c r="W2286">
        <v>7.4594590000000002E-2</v>
      </c>
      <c r="X2286">
        <v>0.97767349999999997</v>
      </c>
      <c r="Y2286">
        <v>-0.24351869999999901</v>
      </c>
      <c r="Z2286">
        <v>-1.108687E-2</v>
      </c>
      <c r="AA2286">
        <v>0.96983280000000005</v>
      </c>
      <c r="AB2286">
        <v>24</v>
      </c>
      <c r="AC2286">
        <v>-15.431800000000001</v>
      </c>
      <c r="AD2286">
        <v>-1.105503739947</v>
      </c>
      <c r="AE2286">
        <v>-3.3374000000000001</v>
      </c>
      <c r="AF2286">
        <v>-3.8910716902868998</v>
      </c>
      <c r="AG2286">
        <v>-1.105503739947</v>
      </c>
      <c r="AH2286">
        <v>15.222083714432401</v>
      </c>
      <c r="AI2286">
        <v>94.024844469933598</v>
      </c>
      <c r="AJ2286">
        <v>104.338910765766</v>
      </c>
      <c r="AK2286">
        <v>15.750378091562601</v>
      </c>
    </row>
    <row r="2287" spans="1:37" x14ac:dyDescent="0.2">
      <c r="A2287" t="str">
        <f>"20200111153653787"</f>
        <v>20200111153653787</v>
      </c>
      <c r="B2287" t="str">
        <f>"1578728213775281"</f>
        <v>1578728213775281</v>
      </c>
      <c r="C2287" t="s">
        <v>37</v>
      </c>
      <c r="D2287">
        <v>5.5041779999999996</v>
      </c>
      <c r="E2287">
        <v>0.4761049</v>
      </c>
      <c r="F2287" t="s">
        <v>44</v>
      </c>
      <c r="G2287">
        <v>-475.23779999999999</v>
      </c>
      <c r="H2287" s="1">
        <v>3.9395939999999998E-6</v>
      </c>
      <c r="I2287">
        <v>280.59249999999997</v>
      </c>
      <c r="J2287">
        <v>-459.36430000000001</v>
      </c>
      <c r="K2287">
        <v>1.1055489999999999</v>
      </c>
      <c r="L2287">
        <v>284.16090000000003</v>
      </c>
      <c r="M2287">
        <v>-0.99923989999999996</v>
      </c>
      <c r="N2287">
        <v>0</v>
      </c>
      <c r="O2287">
        <v>3.6669859999999999E-2</v>
      </c>
      <c r="P2287">
        <v>-0.98403130000000005</v>
      </c>
      <c r="Q2287">
        <v>6.3541899999999998E-2</v>
      </c>
      <c r="R2287">
        <v>-0.16626830000000001</v>
      </c>
      <c r="S2287">
        <v>-2.9518740000000001</v>
      </c>
      <c r="T2287">
        <v>-0.20255809999999999</v>
      </c>
      <c r="U2287">
        <v>-0.65234380000000003</v>
      </c>
      <c r="V2287">
        <v>-0.20231350000000001</v>
      </c>
      <c r="W2287">
        <v>7.6292990000000005E-2</v>
      </c>
      <c r="X2287">
        <v>0.97634449999999995</v>
      </c>
      <c r="Y2287">
        <v>-0.25080469999999999</v>
      </c>
      <c r="Z2287">
        <v>-1.0978689999999999E-2</v>
      </c>
      <c r="AA2287">
        <v>0.96797540000000004</v>
      </c>
      <c r="AB2287">
        <v>24</v>
      </c>
      <c r="AC2287">
        <v>-15.8734999999999</v>
      </c>
      <c r="AD2287">
        <v>-1.105545060406</v>
      </c>
      <c r="AE2287">
        <v>-3.5684000000000502</v>
      </c>
      <c r="AF2287">
        <v>-4.1290640445044602</v>
      </c>
      <c r="AG2287">
        <v>-1.105545060406</v>
      </c>
      <c r="AH2287">
        <v>15.659651275337</v>
      </c>
      <c r="AI2287">
        <v>93.905245337824496</v>
      </c>
      <c r="AJ2287">
        <v>104.77128714531</v>
      </c>
      <c r="AK2287">
        <v>16.232562269382299</v>
      </c>
    </row>
    <row r="2288" spans="1:37" x14ac:dyDescent="0.2">
      <c r="A2288" t="str">
        <f>"20200111153653811"</f>
        <v>20200111153653811</v>
      </c>
      <c r="B2288" t="str">
        <f>"1578728213805537"</f>
        <v>1578728213805537</v>
      </c>
      <c r="C2288" t="s">
        <v>37</v>
      </c>
      <c r="D2288">
        <v>5.5148260000000002</v>
      </c>
      <c r="E2288">
        <v>0.47617979999999999</v>
      </c>
      <c r="F2288" t="s">
        <v>44</v>
      </c>
      <c r="G2288">
        <v>-475.82749999999999</v>
      </c>
      <c r="H2288" s="1">
        <v>3.6621449999999998E-6</v>
      </c>
      <c r="I2288">
        <v>280.41030000000001</v>
      </c>
      <c r="J2288">
        <v>-459.60899999999998</v>
      </c>
      <c r="K2288">
        <v>1.1055729999999999</v>
      </c>
      <c r="L2288">
        <v>284.16910000000001</v>
      </c>
      <c r="M2288">
        <v>-0.99926360000000003</v>
      </c>
      <c r="N2288">
        <v>0</v>
      </c>
      <c r="O2288">
        <v>3.6016270000000003E-2</v>
      </c>
      <c r="P2288">
        <v>-0.98278549999999998</v>
      </c>
      <c r="Q2288">
        <v>6.4587720000000001E-2</v>
      </c>
      <c r="R2288">
        <v>-0.17309430000000001</v>
      </c>
      <c r="S2288">
        <v>-2.9479679999999999</v>
      </c>
      <c r="T2288">
        <v>-0.19796340000000001</v>
      </c>
      <c r="U2288">
        <v>-0.67160030000000004</v>
      </c>
      <c r="V2288">
        <v>-0.20845669999999999</v>
      </c>
      <c r="W2288">
        <v>7.7301869999999995E-2</v>
      </c>
      <c r="X2288">
        <v>0.9749719</v>
      </c>
      <c r="Y2288">
        <v>-0.2564746</v>
      </c>
      <c r="Z2288">
        <v>-1.088096E-2</v>
      </c>
      <c r="AA2288">
        <v>0.96648969999999901</v>
      </c>
      <c r="AB2288">
        <v>24</v>
      </c>
      <c r="AC2288">
        <v>-16.218499999999899</v>
      </c>
      <c r="AD2288">
        <v>-1.105569337855</v>
      </c>
      <c r="AE2288">
        <v>-3.7587999999999999</v>
      </c>
      <c r="AF2288">
        <v>-4.3214845962511896</v>
      </c>
      <c r="AG2288">
        <v>-1.105569337855</v>
      </c>
      <c r="AH2288">
        <v>16.002018601590201</v>
      </c>
      <c r="AI2288">
        <v>93.815970457418402</v>
      </c>
      <c r="AJ2288">
        <v>105.112710667836</v>
      </c>
      <c r="AK2288">
        <v>16.612107391961999</v>
      </c>
    </row>
    <row r="2289" spans="1:37" x14ac:dyDescent="0.2">
      <c r="A2289" t="str">
        <f>"20200111153653833"</f>
        <v>20200111153653833</v>
      </c>
      <c r="B2289" t="str">
        <f>"1578728213825056"</f>
        <v>1578728213825056</v>
      </c>
      <c r="C2289" t="s">
        <v>37</v>
      </c>
      <c r="D2289">
        <v>5.5541929999999997</v>
      </c>
      <c r="E2289">
        <v>0.47617129999999902</v>
      </c>
      <c r="F2289" t="s">
        <v>44</v>
      </c>
      <c r="G2289">
        <v>-476.20569999999998</v>
      </c>
      <c r="H2289" s="1">
        <v>3.4823289999999998E-6</v>
      </c>
      <c r="I2289">
        <v>280.27159999999998</v>
      </c>
      <c r="J2289">
        <v>-459.846</v>
      </c>
      <c r="K2289">
        <v>1.1055870000000001</v>
      </c>
      <c r="L2289">
        <v>284.17689999999999</v>
      </c>
      <c r="M2289">
        <v>-0.99928739999999905</v>
      </c>
      <c r="N2289">
        <v>0</v>
      </c>
      <c r="O2289">
        <v>3.5348480000000002E-2</v>
      </c>
      <c r="P2289">
        <v>-0.98167409999999999</v>
      </c>
      <c r="Q2289">
        <v>6.3639360000000006E-2</v>
      </c>
      <c r="R2289">
        <v>-0.1796285</v>
      </c>
      <c r="S2289">
        <v>-2.9436650000000002</v>
      </c>
      <c r="T2289">
        <v>-0.19608929999999899</v>
      </c>
      <c r="U2289">
        <v>-0.69128420000000002</v>
      </c>
      <c r="V2289">
        <v>-0.21429809999999999</v>
      </c>
      <c r="W2289">
        <v>7.6320100000000002E-2</v>
      </c>
      <c r="X2289">
        <v>0.97378209999999998</v>
      </c>
      <c r="Y2289">
        <v>-0.26226450000000001</v>
      </c>
      <c r="Z2289">
        <v>-1.0931710000000001E-2</v>
      </c>
      <c r="AA2289">
        <v>0.96493410000000002</v>
      </c>
      <c r="AB2289">
        <v>24</v>
      </c>
      <c r="AC2289">
        <v>-16.359699999999901</v>
      </c>
      <c r="AD2289">
        <v>-1.105583517671</v>
      </c>
      <c r="AE2289">
        <v>-3.9053000000000102</v>
      </c>
      <c r="AF2289">
        <v>-4.4619210805699199</v>
      </c>
      <c r="AG2289">
        <v>-1.105583517671</v>
      </c>
      <c r="AH2289">
        <v>16.1416707918602</v>
      </c>
      <c r="AI2289">
        <v>93.777002160170895</v>
      </c>
      <c r="AJ2289">
        <v>105.45199686060501</v>
      </c>
      <c r="AK2289">
        <v>16.783461818009201</v>
      </c>
    </row>
    <row r="2290" spans="1:37" x14ac:dyDescent="0.2">
      <c r="A2290" t="str">
        <f>"20200111153653854"</f>
        <v>20200111153653854</v>
      </c>
      <c r="B2290" t="str">
        <f>"1578728213845084"</f>
        <v>1578728213845084</v>
      </c>
      <c r="C2290" t="s">
        <v>37</v>
      </c>
      <c r="D2290">
        <v>5.49437</v>
      </c>
      <c r="E2290">
        <v>0.47608889999999998</v>
      </c>
      <c r="F2290" t="s">
        <v>44</v>
      </c>
      <c r="G2290">
        <v>-476.09039999999999</v>
      </c>
      <c r="H2290" s="1">
        <v>3.5319060000000002E-6</v>
      </c>
      <c r="I2290">
        <v>280.25420000000003</v>
      </c>
      <c r="J2290">
        <v>-460.07240000000002</v>
      </c>
      <c r="K2290">
        <v>1.1055999999999999</v>
      </c>
      <c r="L2290">
        <v>284.1841</v>
      </c>
      <c r="M2290">
        <v>-0.99931080000000005</v>
      </c>
      <c r="N2290">
        <v>0</v>
      </c>
      <c r="O2290">
        <v>3.4680089999999997E-2</v>
      </c>
      <c r="P2290">
        <v>-0.98007230000000001</v>
      </c>
      <c r="Q2290">
        <v>6.165408E-2</v>
      </c>
      <c r="R2290">
        <v>-0.18883079999999999</v>
      </c>
      <c r="S2290">
        <v>-2.939117</v>
      </c>
      <c r="T2290">
        <v>-0.2000343</v>
      </c>
      <c r="U2290">
        <v>-0.70974729999999997</v>
      </c>
      <c r="V2290">
        <v>-0.22278899999999999</v>
      </c>
      <c r="W2290">
        <v>7.4290739999999994E-2</v>
      </c>
      <c r="X2290">
        <v>0.9720318</v>
      </c>
      <c r="Y2290">
        <v>-0.26764660000000001</v>
      </c>
      <c r="Z2290">
        <v>-1.129547E-2</v>
      </c>
      <c r="AA2290">
        <v>0.96345099999999995</v>
      </c>
      <c r="AB2290">
        <v>24</v>
      </c>
      <c r="AC2290">
        <v>-16.017999999999901</v>
      </c>
      <c r="AD2290">
        <v>-1.10559646809399</v>
      </c>
      <c r="AE2290">
        <v>-3.9298999999999702</v>
      </c>
      <c r="AF2290">
        <v>-4.4630349959309603</v>
      </c>
      <c r="AG2290">
        <v>-1.10559646809399</v>
      </c>
      <c r="AH2290">
        <v>15.8010584907124</v>
      </c>
      <c r="AI2290">
        <v>93.852215592775096</v>
      </c>
      <c r="AJ2290">
        <v>105.772420259337</v>
      </c>
      <c r="AK2290">
        <v>16.456441728152502</v>
      </c>
    </row>
    <row r="2291" spans="1:37" x14ac:dyDescent="0.2">
      <c r="A2291" t="str">
        <f>"20200111153653889"</f>
        <v>20200111153653889</v>
      </c>
      <c r="B2291" t="str">
        <f>"1578728213885100"</f>
        <v>1578728213885100</v>
      </c>
      <c r="C2291" t="s">
        <v>37</v>
      </c>
      <c r="D2291">
        <v>5.2581619999999996</v>
      </c>
      <c r="E2291">
        <v>0.47594609999999898</v>
      </c>
      <c r="F2291" t="s">
        <v>44</v>
      </c>
      <c r="G2291">
        <v>-475.73559999999998</v>
      </c>
      <c r="H2291" s="1">
        <v>3.6889200000000001E-6</v>
      </c>
      <c r="I2291">
        <v>280.25029999999998</v>
      </c>
      <c r="J2291">
        <v>-460.42689999999999</v>
      </c>
      <c r="K2291">
        <v>1.1056219999999899</v>
      </c>
      <c r="L2291">
        <v>284.19499999999999</v>
      </c>
      <c r="M2291">
        <v>-0.99934859999999903</v>
      </c>
      <c r="N2291">
        <v>0</v>
      </c>
      <c r="O2291">
        <v>3.3571410000000003E-2</v>
      </c>
      <c r="P2291">
        <v>-0.97838530000000001</v>
      </c>
      <c r="Q2291">
        <v>5.8307900000000003E-2</v>
      </c>
      <c r="R2291">
        <v>-0.19839970000000001</v>
      </c>
      <c r="S2291">
        <v>-2.9320680000000001</v>
      </c>
      <c r="T2291">
        <v>-0.20696149999999899</v>
      </c>
      <c r="U2291">
        <v>-0.73638919999999997</v>
      </c>
      <c r="V2291">
        <v>-0.23121900000000001</v>
      </c>
      <c r="W2291">
        <v>7.0890350000000005E-2</v>
      </c>
      <c r="X2291">
        <v>0.97031559999999994</v>
      </c>
      <c r="Y2291">
        <v>-0.2752867</v>
      </c>
      <c r="Z2291">
        <v>-1.1888660000000001E-2</v>
      </c>
      <c r="AA2291">
        <v>0.961288699999999</v>
      </c>
      <c r="AB2291">
        <v>24</v>
      </c>
      <c r="AC2291">
        <v>-15.3086999999999</v>
      </c>
      <c r="AD2291">
        <v>-1.10561831108</v>
      </c>
      <c r="AE2291">
        <v>-3.9447000000000099</v>
      </c>
      <c r="AF2291">
        <v>-4.4347644872438403</v>
      </c>
      <c r="AG2291">
        <v>-1.10561831108</v>
      </c>
      <c r="AH2291">
        <v>15.093801860950601</v>
      </c>
      <c r="AI2291">
        <v>94.020087863066394</v>
      </c>
      <c r="AJ2291">
        <v>106.373506178436</v>
      </c>
      <c r="AK2291">
        <v>15.770617696360199</v>
      </c>
    </row>
    <row r="2292" spans="1:37" x14ac:dyDescent="0.2">
      <c r="A2292" t="str">
        <f>"20200111153653913"</f>
        <v>20200111153653913</v>
      </c>
      <c r="B2292" t="str">
        <f>"1578728213904619"</f>
        <v>1578728213904619</v>
      </c>
      <c r="C2292" t="s">
        <v>37</v>
      </c>
      <c r="D2292">
        <v>5.3415140000000001</v>
      </c>
      <c r="E2292">
        <v>0.47592869999999998</v>
      </c>
      <c r="F2292" t="s">
        <v>44</v>
      </c>
      <c r="G2292">
        <v>-475.2704</v>
      </c>
      <c r="H2292" s="1">
        <v>3.901101E-6</v>
      </c>
      <c r="I2292">
        <v>280.31760000000003</v>
      </c>
      <c r="J2292">
        <v>-460.6814</v>
      </c>
      <c r="K2292">
        <v>1.105658</v>
      </c>
      <c r="L2292">
        <v>284.20260000000002</v>
      </c>
      <c r="M2292">
        <v>-0.99937670000000001</v>
      </c>
      <c r="N2292">
        <v>0</v>
      </c>
      <c r="O2292">
        <v>3.2730589999999997E-2</v>
      </c>
      <c r="P2292">
        <v>-0.97690949999999999</v>
      </c>
      <c r="Q2292">
        <v>5.7005449999999999E-2</v>
      </c>
      <c r="R2292">
        <v>-0.2059087</v>
      </c>
      <c r="S2292">
        <v>-2.9243769999999998</v>
      </c>
      <c r="T2292">
        <v>-0.21782280000000001</v>
      </c>
      <c r="U2292">
        <v>-0.76391600000000004</v>
      </c>
      <c r="V2292">
        <v>-0.237861299999999</v>
      </c>
      <c r="W2292">
        <v>6.9545190000000007E-2</v>
      </c>
      <c r="X2292">
        <v>0.96880619999999995</v>
      </c>
      <c r="Y2292">
        <v>-0.28345599999999999</v>
      </c>
      <c r="Z2292">
        <v>-1.2765739999999999E-2</v>
      </c>
      <c r="AA2292">
        <v>0.95890030000000004</v>
      </c>
      <c r="AB2292">
        <v>24</v>
      </c>
      <c r="AC2292">
        <v>-14.589</v>
      </c>
      <c r="AD2292">
        <v>-1.105654098899</v>
      </c>
      <c r="AE2292">
        <v>-3.88499999999999</v>
      </c>
      <c r="AF2292">
        <v>-4.3372046625440204</v>
      </c>
      <c r="AG2292">
        <v>-1.105654098899</v>
      </c>
      <c r="AH2292">
        <v>14.376904725899401</v>
      </c>
      <c r="AI2292">
        <v>94.210941647085207</v>
      </c>
      <c r="AJ2292">
        <v>106.787439548927</v>
      </c>
      <c r="AK2292">
        <v>15.0575298362246</v>
      </c>
    </row>
    <row r="2293" spans="1:37" x14ac:dyDescent="0.2">
      <c r="A2293" t="str">
        <f>"20200111153653934"</f>
        <v>20200111153653934</v>
      </c>
      <c r="B2293" t="str">
        <f>"1578728213925115"</f>
        <v>1578728213925115</v>
      </c>
      <c r="C2293" t="s">
        <v>37</v>
      </c>
      <c r="D2293">
        <v>5.419238</v>
      </c>
      <c r="E2293">
        <v>0.4759254</v>
      </c>
      <c r="F2293" t="s">
        <v>44</v>
      </c>
      <c r="G2293">
        <v>-475.20179999999999</v>
      </c>
      <c r="H2293" s="1">
        <v>3.9294229999999996E-6</v>
      </c>
      <c r="I2293">
        <v>280.29379999999998</v>
      </c>
      <c r="J2293">
        <v>-460.90219999999999</v>
      </c>
      <c r="K2293">
        <v>1.105688</v>
      </c>
      <c r="L2293">
        <v>284.20890000000003</v>
      </c>
      <c r="M2293">
        <v>-0.99940119999999899</v>
      </c>
      <c r="N2293">
        <v>0</v>
      </c>
      <c r="O2293">
        <v>3.1970650000000003E-2</v>
      </c>
      <c r="P2293">
        <v>-0.97533119999999995</v>
      </c>
      <c r="Q2293">
        <v>5.6994450000000002E-2</v>
      </c>
      <c r="R2293">
        <v>-0.21326229999999999</v>
      </c>
      <c r="S2293">
        <v>-2.9182739999999998</v>
      </c>
      <c r="T2293">
        <v>-0.22221099999999999</v>
      </c>
      <c r="U2293">
        <v>-0.78558349999999999</v>
      </c>
      <c r="V2293">
        <v>-0.24442629999999901</v>
      </c>
      <c r="W2293">
        <v>6.9492860000000004E-2</v>
      </c>
      <c r="X2293">
        <v>0.96717450000000005</v>
      </c>
      <c r="Y2293">
        <v>-0.28981180000000001</v>
      </c>
      <c r="Z2293">
        <v>-1.321695E-2</v>
      </c>
      <c r="AA2293">
        <v>0.95699239999999997</v>
      </c>
      <c r="AB2293">
        <v>24</v>
      </c>
      <c r="AC2293">
        <v>-14.2995999999999</v>
      </c>
      <c r="AD2293">
        <v>-1.1056840705769999</v>
      </c>
      <c r="AE2293">
        <v>-3.91510000000005</v>
      </c>
      <c r="AF2293">
        <v>-4.3461331619633903</v>
      </c>
      <c r="AG2293">
        <v>-1.1056840705769999</v>
      </c>
      <c r="AH2293">
        <v>14.0887497230803</v>
      </c>
      <c r="AI2293">
        <v>94.288742625832597</v>
      </c>
      <c r="AJ2293">
        <v>107.14408039370601</v>
      </c>
      <c r="AK2293">
        <v>14.785272384540001</v>
      </c>
    </row>
    <row r="2294" spans="1:37" x14ac:dyDescent="0.2">
      <c r="A2294" t="str">
        <f>"20200111153653955"</f>
        <v>20200111153653955</v>
      </c>
      <c r="B2294" t="str">
        <f>"1578728213944770"</f>
        <v>1578728213944770</v>
      </c>
      <c r="C2294" t="s">
        <v>37</v>
      </c>
      <c r="D2294">
        <v>5.5108389999999998</v>
      </c>
      <c r="E2294">
        <v>0.47593779999999902</v>
      </c>
      <c r="F2294" t="s">
        <v>44</v>
      </c>
      <c r="G2294">
        <v>-475.37079999999997</v>
      </c>
      <c r="H2294" s="1">
        <v>3.8462359999999998E-6</v>
      </c>
      <c r="I2294">
        <v>280.19959999999998</v>
      </c>
      <c r="J2294">
        <v>-461.13199999999898</v>
      </c>
      <c r="K2294">
        <v>1.105729</v>
      </c>
      <c r="L2294">
        <v>284.21530000000001</v>
      </c>
      <c r="M2294">
        <v>-0.99942719999999896</v>
      </c>
      <c r="N2294">
        <v>0</v>
      </c>
      <c r="O2294">
        <v>3.114664E-2</v>
      </c>
      <c r="P2294">
        <v>-0.97374799999999995</v>
      </c>
      <c r="Q2294">
        <v>5.7900279999999998E-2</v>
      </c>
      <c r="R2294">
        <v>-0.22014159999999999</v>
      </c>
      <c r="S2294">
        <v>-2.9123839999999999</v>
      </c>
      <c r="T2294">
        <v>-0.22256190000000001</v>
      </c>
      <c r="U2294">
        <v>-0.80703740000000002</v>
      </c>
      <c r="V2294">
        <v>-0.2504593</v>
      </c>
      <c r="W2294">
        <v>7.0358110000000001E-2</v>
      </c>
      <c r="X2294">
        <v>0.96556710000000001</v>
      </c>
      <c r="Y2294">
        <v>-0.2960429</v>
      </c>
      <c r="Z2294">
        <v>-1.342255E-2</v>
      </c>
      <c r="AA2294">
        <v>0.95508029999999999</v>
      </c>
      <c r="AB2294">
        <v>24</v>
      </c>
      <c r="AC2294">
        <v>-14.238799999999999</v>
      </c>
      <c r="AD2294">
        <v>-1.105725153764</v>
      </c>
      <c r="AE2294">
        <v>-4.01570000000003</v>
      </c>
      <c r="AF2294">
        <v>-4.4325204151455599</v>
      </c>
      <c r="AG2294">
        <v>-1.105725153764</v>
      </c>
      <c r="AH2294">
        <v>14.028439547221399</v>
      </c>
      <c r="AI2294">
        <v>94.298143925163103</v>
      </c>
      <c r="AJ2294">
        <v>107.53480389937999</v>
      </c>
      <c r="AK2294">
        <v>14.7535413198457</v>
      </c>
    </row>
    <row r="2295" spans="1:37" x14ac:dyDescent="0.2">
      <c r="A2295" t="str">
        <f>"20200111153653978"</f>
        <v>20200111153653978</v>
      </c>
      <c r="B2295" t="str">
        <f>"1578728213975027"</f>
        <v>1578728213975027</v>
      </c>
      <c r="C2295" t="s">
        <v>37</v>
      </c>
      <c r="D2295">
        <v>5.5297269999999896</v>
      </c>
      <c r="E2295">
        <v>0.476008299999999</v>
      </c>
      <c r="F2295" t="s">
        <v>44</v>
      </c>
      <c r="G2295">
        <v>-475.73540000000003</v>
      </c>
      <c r="H2295" s="1">
        <v>3.6724249999999998E-6</v>
      </c>
      <c r="I2295">
        <v>280.06079999999997</v>
      </c>
      <c r="J2295">
        <v>-461.36689999999999</v>
      </c>
      <c r="K2295">
        <v>1.105769</v>
      </c>
      <c r="L2295">
        <v>284.22160000000002</v>
      </c>
      <c r="M2295">
        <v>-0.99945409999999901</v>
      </c>
      <c r="N2295">
        <v>0</v>
      </c>
      <c r="O2295">
        <v>3.0269879999999999E-2</v>
      </c>
      <c r="P2295">
        <v>-0.97200520000000001</v>
      </c>
      <c r="Q2295">
        <v>6.0331999999999997E-2</v>
      </c>
      <c r="R2295">
        <v>-0.2270817</v>
      </c>
      <c r="S2295">
        <v>-2.9069820000000002</v>
      </c>
      <c r="T2295">
        <v>-0.22010749999999901</v>
      </c>
      <c r="U2295">
        <v>-0.82699579999999995</v>
      </c>
      <c r="V2295">
        <v>-0.25650099999999998</v>
      </c>
      <c r="W2295">
        <v>7.2746630000000007E-2</v>
      </c>
      <c r="X2295">
        <v>0.96380250000000001</v>
      </c>
      <c r="Y2295">
        <v>-0.30173929999999999</v>
      </c>
      <c r="Z2295">
        <v>-1.3432680000000001E-2</v>
      </c>
      <c r="AA2295">
        <v>0.95329580000000003</v>
      </c>
      <c r="AB2295">
        <v>24</v>
      </c>
      <c r="AC2295">
        <v>-14.368499999999999</v>
      </c>
      <c r="AD2295">
        <v>-1.1057653275749999</v>
      </c>
      <c r="AE2295">
        <v>-4.1608000000000498</v>
      </c>
      <c r="AF2295">
        <v>-4.5688982435267302</v>
      </c>
      <c r="AG2295">
        <v>-1.1057653275749999</v>
      </c>
      <c r="AH2295">
        <v>14.158590414212499</v>
      </c>
      <c r="AI2295">
        <v>94.250669607241505</v>
      </c>
      <c r="AJ2295">
        <v>107.884601260797</v>
      </c>
      <c r="AK2295">
        <v>14.9185532353778</v>
      </c>
    </row>
    <row r="2296" spans="1:37" x14ac:dyDescent="0.2">
      <c r="A2296" t="str">
        <f>"20200111153654001"</f>
        <v>20200111153654001</v>
      </c>
      <c r="B2296" t="str">
        <f>"1578728213995522"</f>
        <v>1578728213995522</v>
      </c>
      <c r="C2296" t="s">
        <v>37</v>
      </c>
      <c r="D2296">
        <v>5.5079630000000002</v>
      </c>
      <c r="E2296">
        <v>0.47608050000000002</v>
      </c>
      <c r="F2296" t="s">
        <v>44</v>
      </c>
      <c r="G2296">
        <v>-476.4135</v>
      </c>
      <c r="H2296" s="1">
        <v>3.3513209999999999E-6</v>
      </c>
      <c r="I2296">
        <v>279.82729999999998</v>
      </c>
      <c r="J2296">
        <v>-461.60140000000001</v>
      </c>
      <c r="K2296">
        <v>1.1057980000000001</v>
      </c>
      <c r="L2296">
        <v>284.2276</v>
      </c>
      <c r="M2296">
        <v>-0.99948139999999996</v>
      </c>
      <c r="N2296">
        <v>0</v>
      </c>
      <c r="O2296">
        <v>2.935948E-2</v>
      </c>
      <c r="P2296">
        <v>-0.97037530000000005</v>
      </c>
      <c r="Q2296">
        <v>6.2159510000000001E-2</v>
      </c>
      <c r="R2296">
        <v>-0.23347019999999999</v>
      </c>
      <c r="S2296">
        <v>-2.9016419999999998</v>
      </c>
      <c r="T2296">
        <v>-0.2132406</v>
      </c>
      <c r="U2296">
        <v>-0.847412099999999</v>
      </c>
      <c r="V2296">
        <v>-0.26196649999999999</v>
      </c>
      <c r="W2296">
        <v>7.4532290000000001E-2</v>
      </c>
      <c r="X2296">
        <v>0.96219460000000001</v>
      </c>
      <c r="Y2296">
        <v>-0.307560099999999</v>
      </c>
      <c r="Z2296">
        <v>-1.316898E-2</v>
      </c>
      <c r="AA2296">
        <v>0.95143750000000005</v>
      </c>
      <c r="AB2296">
        <v>24</v>
      </c>
      <c r="AC2296">
        <v>-14.8120999999999</v>
      </c>
      <c r="AD2296">
        <v>-1.105794648679</v>
      </c>
      <c r="AE2296">
        <v>-4.4003000000000103</v>
      </c>
      <c r="AF2296">
        <v>-4.8086893255842798</v>
      </c>
      <c r="AG2296">
        <v>-1.105794648679</v>
      </c>
      <c r="AH2296">
        <v>14.6017310385912</v>
      </c>
      <c r="AI2296">
        <v>94.114211765970097</v>
      </c>
      <c r="AJ2296">
        <v>108.227915198991</v>
      </c>
      <c r="AK2296">
        <v>15.412878516305501</v>
      </c>
    </row>
    <row r="2297" spans="1:37" x14ac:dyDescent="0.2">
      <c r="A2297" t="str">
        <f>"20200111153654022"</f>
        <v>20200111153654022</v>
      </c>
      <c r="B2297" t="str">
        <f>"1578728214015042"</f>
        <v>1578728214015042</v>
      </c>
      <c r="C2297" t="s">
        <v>37</v>
      </c>
      <c r="D2297">
        <v>5.5865289999999996</v>
      </c>
      <c r="E2297">
        <v>0.47612779999999999</v>
      </c>
      <c r="F2297" t="s">
        <v>44</v>
      </c>
      <c r="G2297">
        <v>-476.99900000000002</v>
      </c>
      <c r="H2297" s="1">
        <v>3.0737089999999999E-6</v>
      </c>
      <c r="I2297">
        <v>279.62169999999998</v>
      </c>
      <c r="J2297">
        <v>-461.8372</v>
      </c>
      <c r="K2297">
        <v>1.105817</v>
      </c>
      <c r="L2297">
        <v>284.23340000000002</v>
      </c>
      <c r="M2297">
        <v>-0.99950869999999903</v>
      </c>
      <c r="N2297">
        <v>0</v>
      </c>
      <c r="O2297">
        <v>2.8411390000000002E-2</v>
      </c>
      <c r="P2297">
        <v>-0.96882019999999902</v>
      </c>
      <c r="Q2297">
        <v>6.2732709999999997E-2</v>
      </c>
      <c r="R2297">
        <v>-0.23969119999999999</v>
      </c>
      <c r="S2297">
        <v>-2.8964539999999999</v>
      </c>
      <c r="T2297">
        <v>-0.20801269999999999</v>
      </c>
      <c r="U2297">
        <v>-0.86642459999999899</v>
      </c>
      <c r="V2297">
        <v>-0.26723179999999902</v>
      </c>
      <c r="W2297">
        <v>7.5064389999999995E-2</v>
      </c>
      <c r="X2297">
        <v>0.96070409999999995</v>
      </c>
      <c r="Y2297">
        <v>-0.31288329999999998</v>
      </c>
      <c r="Z2297">
        <v>-1.297746E-2</v>
      </c>
      <c r="AA2297">
        <v>0.94970290000000002</v>
      </c>
      <c r="AB2297">
        <v>23</v>
      </c>
      <c r="AC2297">
        <v>-15.161799999999999</v>
      </c>
      <c r="AD2297">
        <v>-1.1058139262910001</v>
      </c>
      <c r="AE2297">
        <v>-4.6117000000000399</v>
      </c>
      <c r="AF2297">
        <v>-5.0162198665142803</v>
      </c>
      <c r="AG2297">
        <v>-1.1058139262910001</v>
      </c>
      <c r="AH2297">
        <v>14.9518424224374</v>
      </c>
      <c r="AI2297">
        <v>94.010874435000204</v>
      </c>
      <c r="AJ2297">
        <v>108.546178306199</v>
      </c>
      <c r="AK2297">
        <v>15.8095818418512</v>
      </c>
    </row>
    <row r="2298" spans="1:37" x14ac:dyDescent="0.2">
      <c r="A2298" t="str">
        <f>"20200111153654046"</f>
        <v>20200111153654046</v>
      </c>
      <c r="B2298" t="str">
        <f>"1578728214035509"</f>
        <v>1578728214035509</v>
      </c>
      <c r="C2298" t="s">
        <v>37</v>
      </c>
      <c r="D2298">
        <v>5.6669689999999999</v>
      </c>
      <c r="E2298">
        <v>0.47616049999999899</v>
      </c>
      <c r="F2298" t="s">
        <v>44</v>
      </c>
      <c r="G2298">
        <v>-477.17009999999999</v>
      </c>
      <c r="H2298">
        <v>8.4406450000000001E-3</v>
      </c>
      <c r="I2298">
        <v>279.54079999999999</v>
      </c>
      <c r="J2298">
        <v>-462.07639999999998</v>
      </c>
      <c r="K2298">
        <v>1.105817</v>
      </c>
      <c r="L2298">
        <v>284.23899999999998</v>
      </c>
      <c r="M2298">
        <v>-0.99953649999999905</v>
      </c>
      <c r="N2298">
        <v>0</v>
      </c>
      <c r="O2298">
        <v>2.7421979999999999E-2</v>
      </c>
      <c r="P2298">
        <v>-0.96740959999999998</v>
      </c>
      <c r="Q2298">
        <v>6.141228E-2</v>
      </c>
      <c r="R2298">
        <v>-0.245657499999999</v>
      </c>
      <c r="S2298">
        <v>-2.8910520000000002</v>
      </c>
      <c r="T2298">
        <v>-0.206912399999999</v>
      </c>
      <c r="U2298">
        <v>-0.88479609999999997</v>
      </c>
      <c r="V2298">
        <v>-0.27220569999999999</v>
      </c>
      <c r="W2298">
        <v>7.3706789999999994E-2</v>
      </c>
      <c r="X2298">
        <v>0.95941200000000004</v>
      </c>
      <c r="Y2298">
        <v>-0.31795190000000001</v>
      </c>
      <c r="Z2298">
        <v>-1.302831E-2</v>
      </c>
      <c r="AA2298">
        <v>0.94801729999999995</v>
      </c>
      <c r="AB2298">
        <v>23</v>
      </c>
      <c r="AC2298">
        <v>-15.0937</v>
      </c>
      <c r="AD2298">
        <v>-1.097376355</v>
      </c>
      <c r="AE2298">
        <v>-4.6982000000000399</v>
      </c>
      <c r="AF2298">
        <v>-5.0858594607897496</v>
      </c>
      <c r="AG2298">
        <v>-1.097376355</v>
      </c>
      <c r="AH2298">
        <v>14.8874351448917</v>
      </c>
      <c r="AI2298">
        <v>93.990122814177198</v>
      </c>
      <c r="AJ2298">
        <v>108.86124100954</v>
      </c>
      <c r="AK2298">
        <v>15.770413010215499</v>
      </c>
    </row>
    <row r="2299" spans="1:37" x14ac:dyDescent="0.2">
      <c r="A2299" t="str">
        <f>"20200111153654067"</f>
        <v>20200111153654067</v>
      </c>
      <c r="B2299" t="str">
        <f>"1578728214055030"</f>
        <v>1578728214055030</v>
      </c>
      <c r="C2299" t="s">
        <v>37</v>
      </c>
      <c r="D2299">
        <v>5.701479</v>
      </c>
      <c r="E2299">
        <v>0.47618339999999998</v>
      </c>
      <c r="F2299" t="s">
        <v>44</v>
      </c>
      <c r="G2299">
        <v>-477.07479999999998</v>
      </c>
      <c r="H2299">
        <v>5.6548859999999996E-3</v>
      </c>
      <c r="I2299">
        <v>279.548</v>
      </c>
      <c r="J2299">
        <v>-462.29910000000001</v>
      </c>
      <c r="K2299">
        <v>1.1058159999999999</v>
      </c>
      <c r="L2299">
        <v>284.24400000000003</v>
      </c>
      <c r="M2299">
        <v>-0.9995619</v>
      </c>
      <c r="N2299">
        <v>0</v>
      </c>
      <c r="O2299">
        <v>2.647571E-2</v>
      </c>
      <c r="P2299">
        <v>-0.965945099999999</v>
      </c>
      <c r="Q2299">
        <v>5.8644519999999999E-2</v>
      </c>
      <c r="R2299">
        <v>-0.25201370000000001</v>
      </c>
      <c r="S2299">
        <v>-2.885345</v>
      </c>
      <c r="T2299">
        <v>-0.2116458</v>
      </c>
      <c r="U2299">
        <v>-0.90243530000000005</v>
      </c>
      <c r="V2299">
        <v>-0.27761059999999999</v>
      </c>
      <c r="W2299">
        <v>7.0902240000000005E-2</v>
      </c>
      <c r="X2299">
        <v>0.95807369999999903</v>
      </c>
      <c r="Y2299">
        <v>-0.32281509999999902</v>
      </c>
      <c r="Z2299">
        <v>-1.3445199999999999E-2</v>
      </c>
      <c r="AA2299">
        <v>0.9463665</v>
      </c>
      <c r="AB2299">
        <v>23</v>
      </c>
      <c r="AC2299">
        <v>-14.775699999999899</v>
      </c>
      <c r="AD2299">
        <v>-1.1001611139999901</v>
      </c>
      <c r="AE2299">
        <v>-4.6960000000000202</v>
      </c>
      <c r="AF2299">
        <v>-5.0601057884536198</v>
      </c>
      <c r="AG2299">
        <v>-1.1001611139999901</v>
      </c>
      <c r="AH2299">
        <v>14.572800295997</v>
      </c>
      <c r="AI2299">
        <v>94.079266373285904</v>
      </c>
      <c r="AJ2299">
        <v>109.148508273877</v>
      </c>
      <c r="AK2299">
        <v>15.465494933370501</v>
      </c>
    </row>
    <row r="2300" spans="1:37" x14ac:dyDescent="0.2">
      <c r="A2300" t="str">
        <f>"20200111153654090"</f>
        <v>20200111153654090</v>
      </c>
      <c r="B2300" t="str">
        <f>"1578728214085285"</f>
        <v>1578728214085285</v>
      </c>
      <c r="C2300" t="s">
        <v>37</v>
      </c>
      <c r="D2300">
        <v>5.7274640000000003</v>
      </c>
      <c r="E2300">
        <v>0.43562979999999901</v>
      </c>
      <c r="F2300" t="s">
        <v>44</v>
      </c>
      <c r="G2300">
        <v>-476.72289999999998</v>
      </c>
      <c r="H2300" s="1">
        <v>3.197104E-6</v>
      </c>
      <c r="I2300">
        <v>279.6327</v>
      </c>
      <c r="J2300">
        <v>-462.53570000000002</v>
      </c>
      <c r="K2300">
        <v>1.105812</v>
      </c>
      <c r="L2300">
        <v>284.24900000000002</v>
      </c>
      <c r="M2300">
        <v>-0.99958899999999995</v>
      </c>
      <c r="N2300">
        <v>0</v>
      </c>
      <c r="O2300">
        <v>2.5434689999999999E-2</v>
      </c>
      <c r="P2300">
        <v>-0.96429069999999995</v>
      </c>
      <c r="Q2300">
        <v>5.6306469999999997E-2</v>
      </c>
      <c r="R2300">
        <v>-0.25879219999999997</v>
      </c>
      <c r="S2300">
        <v>-2.8790589999999998</v>
      </c>
      <c r="T2300">
        <v>-0.22072510000000001</v>
      </c>
      <c r="U2300">
        <v>-0.920440699999999</v>
      </c>
      <c r="V2300">
        <v>-0.28334509999999902</v>
      </c>
      <c r="W2300">
        <v>6.8521949999999998E-2</v>
      </c>
      <c r="X2300">
        <v>0.9565669</v>
      </c>
      <c r="Y2300">
        <v>-0.3277062</v>
      </c>
      <c r="Z2300">
        <v>-1.4141509999999999E-2</v>
      </c>
      <c r="AA2300">
        <v>0.94467380000000001</v>
      </c>
      <c r="AB2300">
        <v>23</v>
      </c>
      <c r="AC2300">
        <v>-14.187199999999899</v>
      </c>
      <c r="AD2300">
        <v>-1.105808802896</v>
      </c>
      <c r="AE2300">
        <v>-4.6163000000000203</v>
      </c>
      <c r="AF2300">
        <v>-4.9484995992125702</v>
      </c>
      <c r="AG2300">
        <v>-1.105808802896</v>
      </c>
      <c r="AH2300">
        <v>13.988338054216801</v>
      </c>
      <c r="AI2300">
        <v>94.262163586499597</v>
      </c>
      <c r="AJ2300">
        <v>109.48168834619599</v>
      </c>
      <c r="AK2300">
        <v>14.8789805736488</v>
      </c>
    </row>
    <row r="2301" spans="1:37" x14ac:dyDescent="0.2">
      <c r="A2301" t="str">
        <f>"20200111153654112"</f>
        <v>20200111153654112</v>
      </c>
      <c r="B2301" t="str">
        <f>"1578728214104821"</f>
        <v>1578728214104821</v>
      </c>
      <c r="C2301" t="s">
        <v>37</v>
      </c>
      <c r="D2301">
        <v>5.6979360000000003</v>
      </c>
      <c r="E2301">
        <v>0.43084309999999998</v>
      </c>
      <c r="F2301" t="s">
        <v>44</v>
      </c>
      <c r="G2301">
        <v>-471.48910000000001</v>
      </c>
      <c r="H2301" s="1">
        <v>5.5729069999999996E-6</v>
      </c>
      <c r="I2301">
        <v>280.25970000000001</v>
      </c>
      <c r="J2301">
        <v>-462.77109999999999</v>
      </c>
      <c r="K2301">
        <v>1.105815</v>
      </c>
      <c r="L2301">
        <v>284.25369999999998</v>
      </c>
      <c r="M2301">
        <v>-0.9996159</v>
      </c>
      <c r="N2301">
        <v>0</v>
      </c>
      <c r="O2301">
        <v>2.4357449999999999E-2</v>
      </c>
      <c r="P2301">
        <v>-0.96267349999999996</v>
      </c>
      <c r="Q2301">
        <v>5.4577109999999998E-2</v>
      </c>
      <c r="R2301">
        <v>-0.26510650000000002</v>
      </c>
      <c r="S2301">
        <v>-2.7968139999999999</v>
      </c>
      <c r="T2301">
        <v>-0.34542849999999897</v>
      </c>
      <c r="U2301">
        <v>-1.2461549999999999</v>
      </c>
      <c r="V2301">
        <v>-0.28858739999999999</v>
      </c>
      <c r="W2301">
        <v>6.6748370000000001E-2</v>
      </c>
      <c r="X2301">
        <v>0.95512410000000003</v>
      </c>
      <c r="Y2301">
        <v>-0.42625469999999999</v>
      </c>
      <c r="Z2301">
        <v>-2.791544E-2</v>
      </c>
      <c r="AA2301">
        <v>0.90417239999999999</v>
      </c>
      <c r="AB2301">
        <v>23</v>
      </c>
      <c r="AC2301">
        <v>-8.7180000000000106</v>
      </c>
      <c r="AD2301">
        <v>-1.1058094270929999</v>
      </c>
      <c r="AE2301">
        <v>-3.99399999999997</v>
      </c>
      <c r="AF2301">
        <v>-4.1499954697210999</v>
      </c>
      <c r="AG2301">
        <v>-1.1058094270929999</v>
      </c>
      <c r="AH2301">
        <v>8.5050220679045694</v>
      </c>
      <c r="AI2301">
        <v>96.664783601043496</v>
      </c>
      <c r="AJ2301">
        <v>116.009898591113</v>
      </c>
      <c r="AK2301">
        <v>9.5278894443259201</v>
      </c>
    </row>
    <row r="2302" spans="1:37" x14ac:dyDescent="0.2">
      <c r="A2302" t="str">
        <f>"20200111153654134"</f>
        <v>20200111153654134</v>
      </c>
      <c r="B2302" t="str">
        <f>"1578728214125301"</f>
        <v>1578728214125301</v>
      </c>
      <c r="C2302" t="s">
        <v>37</v>
      </c>
      <c r="D2302">
        <v>5.6333229999999999</v>
      </c>
      <c r="E2302">
        <v>0.42944849999999901</v>
      </c>
      <c r="F2302" t="s">
        <v>38</v>
      </c>
      <c r="G2302">
        <v>-463.66120000000001</v>
      </c>
      <c r="H2302">
        <v>0.99662870000000003</v>
      </c>
      <c r="I2302">
        <v>283.83710000000002</v>
      </c>
      <c r="J2302">
        <v>-462.99740000000003</v>
      </c>
      <c r="K2302">
        <v>1.1058319999999999</v>
      </c>
      <c r="L2302">
        <v>284.25799999999998</v>
      </c>
      <c r="M2302">
        <v>-0.99964179999999903</v>
      </c>
      <c r="N2302">
        <v>0</v>
      </c>
      <c r="O2302">
        <v>2.3269919999999999E-2</v>
      </c>
      <c r="P2302">
        <v>-0.96157079999999995</v>
      </c>
      <c r="Q2302">
        <v>5.2957499999999998E-2</v>
      </c>
      <c r="R2302">
        <v>-0.26940209999999998</v>
      </c>
      <c r="S2302">
        <v>-2.7772830000000002</v>
      </c>
      <c r="T2302">
        <v>-0.34063969999999999</v>
      </c>
      <c r="U2302">
        <v>-1.3012999999999999</v>
      </c>
      <c r="V2302">
        <v>-0.29181820000000003</v>
      </c>
      <c r="W2302">
        <v>6.5089270000000005E-2</v>
      </c>
      <c r="X2302">
        <v>0.95425649999999995</v>
      </c>
      <c r="Y2302">
        <v>-0.44237409999999999</v>
      </c>
      <c r="Z2302">
        <v>-2.8408570000000001E-2</v>
      </c>
      <c r="AA2302">
        <v>0.89638059999999997</v>
      </c>
      <c r="AB2302">
        <v>23</v>
      </c>
      <c r="AC2302">
        <v>-0.66379999999997996</v>
      </c>
      <c r="AD2302">
        <v>-0.109203299999999</v>
      </c>
      <c r="AE2302">
        <v>-0.42089999999995997</v>
      </c>
      <c r="AF2302">
        <v>-0.4279726277175</v>
      </c>
      <c r="AG2302">
        <v>-0.109203299999999</v>
      </c>
      <c r="AH2302">
        <v>0.64144306156864295</v>
      </c>
      <c r="AI2302">
        <v>98.0605361458136</v>
      </c>
      <c r="AJ2302">
        <v>123.711329992294</v>
      </c>
      <c r="AK2302">
        <v>0.77880365435767296</v>
      </c>
    </row>
    <row r="2303" spans="1:37" x14ac:dyDescent="0.2">
      <c r="A2303" t="str">
        <f>"20200111153654157"</f>
        <v>20200111153654157</v>
      </c>
      <c r="B2303" t="str">
        <f>"1578728214144822"</f>
        <v>1578728214144822</v>
      </c>
      <c r="C2303" t="s">
        <v>37</v>
      </c>
      <c r="D2303">
        <v>5.634633</v>
      </c>
      <c r="E2303">
        <v>0.429641299999999</v>
      </c>
      <c r="F2303" t="s">
        <v>38</v>
      </c>
      <c r="G2303">
        <v>-463.87199999999899</v>
      </c>
      <c r="H2303">
        <v>0.9982607</v>
      </c>
      <c r="I2303">
        <v>283.83960000000002</v>
      </c>
      <c r="J2303">
        <v>-463.23169999999999</v>
      </c>
      <c r="K2303">
        <v>1.105861</v>
      </c>
      <c r="L2303">
        <v>284.26209999999998</v>
      </c>
      <c r="M2303">
        <v>-0.99966880000000002</v>
      </c>
      <c r="N2303">
        <v>0</v>
      </c>
      <c r="O2303">
        <v>2.2072870000000001E-2</v>
      </c>
      <c r="P2303">
        <v>-0.96032119999999999</v>
      </c>
      <c r="Q2303">
        <v>5.176505E-2</v>
      </c>
      <c r="R2303">
        <v>-0.27404970000000001</v>
      </c>
      <c r="S2303">
        <v>-2.767487</v>
      </c>
      <c r="T2303">
        <v>-0.34036809999999901</v>
      </c>
      <c r="U2303">
        <v>-1.3247070000000001</v>
      </c>
      <c r="V2303">
        <v>-0.29529829999999901</v>
      </c>
      <c r="W2303">
        <v>6.3843499999999997E-2</v>
      </c>
      <c r="X2303">
        <v>0.95326959999999905</v>
      </c>
      <c r="Y2303">
        <v>-0.44866499999999998</v>
      </c>
      <c r="Z2303">
        <v>-2.8654220000000001E-2</v>
      </c>
      <c r="AA2303">
        <v>0.89324059999999905</v>
      </c>
      <c r="AB2303">
        <v>23</v>
      </c>
      <c r="AC2303">
        <v>-0.64029999999996701</v>
      </c>
      <c r="AD2303">
        <v>-0.107600299999999</v>
      </c>
      <c r="AE2303">
        <v>-0.42249999999995602</v>
      </c>
      <c r="AF2303">
        <v>-0.42810902287275998</v>
      </c>
      <c r="AG2303">
        <v>-0.107600299999999</v>
      </c>
      <c r="AH2303">
        <v>0.61864626351696295</v>
      </c>
      <c r="AI2303">
        <v>98.139399794541404</v>
      </c>
      <c r="AJ2303">
        <v>124.68359805337199</v>
      </c>
      <c r="AK2303">
        <v>0.75998576262233997</v>
      </c>
    </row>
    <row r="2304" spans="1:37" x14ac:dyDescent="0.2">
      <c r="A2304" t="str">
        <f>"20200111153654178"</f>
        <v>20200111153654178</v>
      </c>
      <c r="B2304" t="str">
        <f>"1578728214175077"</f>
        <v>1578728214175077</v>
      </c>
      <c r="C2304" t="s">
        <v>37</v>
      </c>
      <c r="D2304">
        <v>5.6307080000000003</v>
      </c>
      <c r="E2304">
        <v>0.43065619999999999</v>
      </c>
      <c r="F2304" t="s">
        <v>44</v>
      </c>
      <c r="G2304">
        <v>-472.1071</v>
      </c>
      <c r="H2304" s="1">
        <v>5.2733470000000002E-6</v>
      </c>
      <c r="I2304">
        <v>279.96809999999999</v>
      </c>
      <c r="J2304">
        <v>-463.46249999999998</v>
      </c>
      <c r="K2304">
        <v>1.1059129999999999</v>
      </c>
      <c r="L2304">
        <v>284.26569999999998</v>
      </c>
      <c r="M2304">
        <v>-0.99969629999999998</v>
      </c>
      <c r="N2304">
        <v>0</v>
      </c>
      <c r="O2304">
        <v>2.0798879999999999E-2</v>
      </c>
      <c r="P2304">
        <v>-0.95870889999999997</v>
      </c>
      <c r="Q2304">
        <v>5.0688549999999999E-2</v>
      </c>
      <c r="R2304">
        <v>-0.279835099999999</v>
      </c>
      <c r="S2304">
        <v>-2.7612610000000002</v>
      </c>
      <c r="T2304">
        <v>-0.34404600000000002</v>
      </c>
      <c r="U2304">
        <v>-1.335907</v>
      </c>
      <c r="V2304">
        <v>-0.29984050000000001</v>
      </c>
      <c r="W2304">
        <v>6.2696139999999997E-2</v>
      </c>
      <c r="X2304">
        <v>0.95192690000000002</v>
      </c>
      <c r="Y2304">
        <v>-0.45117489999999999</v>
      </c>
      <c r="Z2304">
        <v>-2.89938E-2</v>
      </c>
      <c r="AA2304">
        <v>0.89196450000000005</v>
      </c>
      <c r="AB2304">
        <v>23</v>
      </c>
      <c r="AC2304">
        <v>-8.64460000000002</v>
      </c>
      <c r="AD2304">
        <v>-1.105907726653</v>
      </c>
      <c r="AE2304">
        <v>-4.2975999999999797</v>
      </c>
      <c r="AF2304">
        <v>-4.4185004595340001</v>
      </c>
      <c r="AG2304">
        <v>-1.105907726653</v>
      </c>
      <c r="AH2304">
        <v>8.4425461221645399</v>
      </c>
      <c r="AI2304">
        <v>96.620039999704701</v>
      </c>
      <c r="AJ2304">
        <v>117.625811826073</v>
      </c>
      <c r="AK2304">
        <v>9.5928495889203091</v>
      </c>
    </row>
    <row r="2305" spans="1:37" x14ac:dyDescent="0.2">
      <c r="A2305" t="str">
        <f>"20200111153654202"</f>
        <v>20200111153654202</v>
      </c>
      <c r="B2305" t="str">
        <f>"1578728214195573"</f>
        <v>1578728214195573</v>
      </c>
      <c r="C2305" t="s">
        <v>37</v>
      </c>
      <c r="D2305">
        <v>5.618519</v>
      </c>
      <c r="E2305">
        <v>0.43114649999999999</v>
      </c>
      <c r="F2305" t="s">
        <v>44</v>
      </c>
      <c r="G2305">
        <v>-472.19139999999999</v>
      </c>
      <c r="H2305" s="1">
        <v>5.239601E-6</v>
      </c>
      <c r="I2305">
        <v>280.01</v>
      </c>
      <c r="J2305">
        <v>-463.70370000000003</v>
      </c>
      <c r="K2305">
        <v>1.10599</v>
      </c>
      <c r="L2305">
        <v>284.26900000000001</v>
      </c>
      <c r="M2305">
        <v>-0.99972569999999905</v>
      </c>
      <c r="N2305">
        <v>0</v>
      </c>
      <c r="O2305">
        <v>1.9328499999999998E-2</v>
      </c>
      <c r="P2305">
        <v>-0.95712090000000005</v>
      </c>
      <c r="Q2305">
        <v>5.050172E-2</v>
      </c>
      <c r="R2305">
        <v>-0.28525289999999998</v>
      </c>
      <c r="S2305">
        <v>-2.7555540000000001</v>
      </c>
      <c r="T2305">
        <v>-0.34911129999999901</v>
      </c>
      <c r="U2305">
        <v>-1.3434139999999899</v>
      </c>
      <c r="V2305">
        <v>-0.30383709999999903</v>
      </c>
      <c r="W2305">
        <v>6.242441E-2</v>
      </c>
      <c r="X2305">
        <v>0.95067669999999904</v>
      </c>
      <c r="Y2305">
        <v>-0.45246049999999899</v>
      </c>
      <c r="Z2305">
        <v>-2.9356529999999999E-2</v>
      </c>
      <c r="AA2305">
        <v>0.89130109999999996</v>
      </c>
      <c r="AB2305">
        <v>23</v>
      </c>
      <c r="AC2305">
        <v>-8.4876999999999594</v>
      </c>
      <c r="AD2305">
        <v>-1.1059847603990001</v>
      </c>
      <c r="AE2305">
        <v>-4.2590000000000101</v>
      </c>
      <c r="AF2305">
        <v>-4.3630921528785196</v>
      </c>
      <c r="AG2305">
        <v>-1.1059847603990001</v>
      </c>
      <c r="AH2305">
        <v>8.2913234113304792</v>
      </c>
      <c r="AI2305">
        <v>96.732283136528807</v>
      </c>
      <c r="AJ2305">
        <v>117.754415518032</v>
      </c>
      <c r="AK2305">
        <v>9.4342895512074403</v>
      </c>
    </row>
    <row r="2306" spans="1:37" x14ac:dyDescent="0.2">
      <c r="A2306" t="str">
        <f>"20200111153654223"</f>
        <v>20200111153654223</v>
      </c>
      <c r="B2306" t="str">
        <f>"1578728214215098"</f>
        <v>1578728214215098</v>
      </c>
      <c r="C2306" t="s">
        <v>37</v>
      </c>
      <c r="D2306">
        <v>5.6167850000000001</v>
      </c>
      <c r="E2306">
        <v>0.43181999999999998</v>
      </c>
      <c r="F2306" t="s">
        <v>38</v>
      </c>
      <c r="G2306">
        <v>-464.606999999999</v>
      </c>
      <c r="H2306">
        <v>0.99057499999999998</v>
      </c>
      <c r="I2306">
        <v>283.82429999999999</v>
      </c>
      <c r="J2306">
        <v>-463.9248</v>
      </c>
      <c r="K2306">
        <v>1.1060829999999999</v>
      </c>
      <c r="L2306">
        <v>284.27159999999998</v>
      </c>
      <c r="M2306">
        <v>-0.99975319999999901</v>
      </c>
      <c r="N2306">
        <v>0</v>
      </c>
      <c r="O2306">
        <v>1.7849569999999999E-2</v>
      </c>
      <c r="P2306">
        <v>-0.95589360000000001</v>
      </c>
      <c r="Q2306">
        <v>5.1736600000000001E-2</v>
      </c>
      <c r="R2306">
        <v>-0.28912139999999997</v>
      </c>
      <c r="S2306">
        <v>-2.7494809999999998</v>
      </c>
      <c r="T2306">
        <v>-0.3513116</v>
      </c>
      <c r="U2306">
        <v>-1.353699</v>
      </c>
      <c r="V2306">
        <v>-0.30629099999999998</v>
      </c>
      <c r="W2306">
        <v>6.3578919999999997E-2</v>
      </c>
      <c r="X2306">
        <v>0.9498124</v>
      </c>
      <c r="Y2306">
        <v>-0.45455669999999998</v>
      </c>
      <c r="Z2306">
        <v>-2.952347E-2</v>
      </c>
      <c r="AA2306">
        <v>0.89022839999999903</v>
      </c>
      <c r="AB2306">
        <v>23</v>
      </c>
      <c r="AC2306">
        <v>-0.68219999999996594</v>
      </c>
      <c r="AD2306">
        <v>-0.115507999999999</v>
      </c>
      <c r="AE2306">
        <v>-0.44729999999998399</v>
      </c>
      <c r="AF2306">
        <v>-0.45037715083872598</v>
      </c>
      <c r="AG2306">
        <v>-0.115507999999999</v>
      </c>
      <c r="AH2306">
        <v>0.66085695604232797</v>
      </c>
      <c r="AI2306">
        <v>98.218587139162594</v>
      </c>
      <c r="AJ2306">
        <v>124.27461568870601</v>
      </c>
      <c r="AK2306">
        <v>0.80803068779047005</v>
      </c>
    </row>
    <row r="2307" spans="1:37" x14ac:dyDescent="0.2">
      <c r="A2307" t="str">
        <f>"20200111153654246"</f>
        <v>20200111153654246</v>
      </c>
      <c r="B2307" t="str">
        <f>"1578728214235590"</f>
        <v>1578728214235590</v>
      </c>
      <c r="C2307" t="s">
        <v>37</v>
      </c>
      <c r="D2307">
        <v>5.5842409999999996</v>
      </c>
      <c r="E2307">
        <v>0.4321701</v>
      </c>
      <c r="F2307" t="s">
        <v>38</v>
      </c>
      <c r="G2307">
        <v>-464.81459999999998</v>
      </c>
      <c r="H2307">
        <v>0.99360969999999904</v>
      </c>
      <c r="I2307">
        <v>283.83120000000002</v>
      </c>
      <c r="J2307">
        <v>-464.15480000000002</v>
      </c>
      <c r="K2307">
        <v>1.1061729999999901</v>
      </c>
      <c r="L2307">
        <v>284.27379999999999</v>
      </c>
      <c r="M2307">
        <v>-0.99978149999999999</v>
      </c>
      <c r="N2307">
        <v>0</v>
      </c>
      <c r="O2307">
        <v>1.618642E-2</v>
      </c>
      <c r="P2307">
        <v>-0.95459969999999905</v>
      </c>
      <c r="Q2307">
        <v>5.2652820000000003E-2</v>
      </c>
      <c r="R2307">
        <v>-0.2932015</v>
      </c>
      <c r="S2307">
        <v>-2.7460629999999999</v>
      </c>
      <c r="T2307">
        <v>-0.34708230000000001</v>
      </c>
      <c r="U2307">
        <v>-1.359375</v>
      </c>
      <c r="V2307">
        <v>-0.30878430000000001</v>
      </c>
      <c r="W2307">
        <v>6.4414059999999995E-2</v>
      </c>
      <c r="X2307">
        <v>0.94894840000000003</v>
      </c>
      <c r="Y2307">
        <v>-0.45507419999999998</v>
      </c>
      <c r="Z2307">
        <v>-2.9022679999999999E-2</v>
      </c>
      <c r="AA2307">
        <v>0.8899804</v>
      </c>
      <c r="AB2307">
        <v>23</v>
      </c>
      <c r="AC2307">
        <v>-0.65979999999996097</v>
      </c>
      <c r="AD2307">
        <v>-0.11256329999999901</v>
      </c>
      <c r="AE2307">
        <v>-0.44259999999997002</v>
      </c>
      <c r="AF2307">
        <v>-0.44430435859770101</v>
      </c>
      <c r="AG2307">
        <v>-0.11256329999999901</v>
      </c>
      <c r="AH2307">
        <v>0.63970814942109999</v>
      </c>
      <c r="AI2307">
        <v>98.223559768087</v>
      </c>
      <c r="AJ2307">
        <v>124.78161309799999</v>
      </c>
      <c r="AK2307">
        <v>0.78695830639975695</v>
      </c>
    </row>
    <row r="2308" spans="1:37" x14ac:dyDescent="0.2">
      <c r="A2308" t="str">
        <f>"20200111153654268"</f>
        <v>20200111153654268</v>
      </c>
      <c r="B2308" t="str">
        <f>"1578728214264870"</f>
        <v>1578728214264870</v>
      </c>
      <c r="C2308" t="s">
        <v>37</v>
      </c>
      <c r="D2308">
        <v>5.6521999999999997</v>
      </c>
      <c r="E2308">
        <v>0.43262119999999998</v>
      </c>
      <c r="F2308" t="s">
        <v>38</v>
      </c>
      <c r="G2308">
        <v>-465.02260000000001</v>
      </c>
      <c r="H2308">
        <v>0.9973822</v>
      </c>
      <c r="I2308">
        <v>283.84050000000002</v>
      </c>
      <c r="J2308">
        <v>-464.38659999999999</v>
      </c>
      <c r="K2308">
        <v>1.1062669999999999</v>
      </c>
      <c r="L2308">
        <v>284.27550000000002</v>
      </c>
      <c r="M2308">
        <v>-0.99980930000000001</v>
      </c>
      <c r="N2308">
        <v>0</v>
      </c>
      <c r="O2308">
        <v>1.437106E-2</v>
      </c>
      <c r="P2308">
        <v>-0.95273109999999905</v>
      </c>
      <c r="Q2308">
        <v>5.2616059999999999E-2</v>
      </c>
      <c r="R2308">
        <v>-0.29922409999999999</v>
      </c>
      <c r="S2308">
        <v>-2.741333</v>
      </c>
      <c r="T2308">
        <v>-0.34366059999999998</v>
      </c>
      <c r="U2308">
        <v>-1.3682859999999999</v>
      </c>
      <c r="V2308">
        <v>-0.31306799999999901</v>
      </c>
      <c r="W2308">
        <v>6.4283670000000001E-2</v>
      </c>
      <c r="X2308">
        <v>0.94755270000000003</v>
      </c>
      <c r="Y2308">
        <v>-0.45644750000000001</v>
      </c>
      <c r="Z2308">
        <v>-2.862955E-2</v>
      </c>
      <c r="AA2308">
        <v>0.88928960000000001</v>
      </c>
      <c r="AB2308">
        <v>23</v>
      </c>
      <c r="AC2308">
        <v>-0.63600000000002399</v>
      </c>
      <c r="AD2308">
        <v>-0.1088848</v>
      </c>
      <c r="AE2308">
        <v>-0.435000000000002</v>
      </c>
      <c r="AF2308">
        <v>-0.43540141681468097</v>
      </c>
      <c r="AG2308">
        <v>-0.1088848</v>
      </c>
      <c r="AH2308">
        <v>0.61735451892868698</v>
      </c>
      <c r="AI2308">
        <v>98.201719719195495</v>
      </c>
      <c r="AJ2308">
        <v>125.19415635257199</v>
      </c>
      <c r="AK2308">
        <v>0.76325414867981101</v>
      </c>
    </row>
    <row r="2309" spans="1:37" x14ac:dyDescent="0.2">
      <c r="A2309" t="str">
        <f>"20200111153654291"</f>
        <v>20200111153654291</v>
      </c>
      <c r="B2309" t="str">
        <f>"1578728214285365"</f>
        <v>1578728214285365</v>
      </c>
      <c r="C2309" t="s">
        <v>37</v>
      </c>
      <c r="D2309">
        <v>5.7600669999999896</v>
      </c>
      <c r="E2309">
        <v>0.43278179999999999</v>
      </c>
      <c r="F2309" t="s">
        <v>38</v>
      </c>
      <c r="G2309">
        <v>-465.2303</v>
      </c>
      <c r="H2309">
        <v>0.99993379999999998</v>
      </c>
      <c r="I2309">
        <v>283.84960000000001</v>
      </c>
      <c r="J2309">
        <v>-464.62130000000002</v>
      </c>
      <c r="K2309">
        <v>1.1063700000000001</v>
      </c>
      <c r="L2309">
        <v>284.27670000000001</v>
      </c>
      <c r="M2309">
        <v>-0.9998359</v>
      </c>
      <c r="N2309">
        <v>0</v>
      </c>
      <c r="O2309">
        <v>1.238127E-2</v>
      </c>
      <c r="P2309">
        <v>-0.95070109999999997</v>
      </c>
      <c r="Q2309">
        <v>5.119257E-2</v>
      </c>
      <c r="R2309">
        <v>-0.3058555</v>
      </c>
      <c r="S2309">
        <v>-2.7341609999999998</v>
      </c>
      <c r="T2309">
        <v>-0.3445511</v>
      </c>
      <c r="U2309">
        <v>-1.3810119999999999</v>
      </c>
      <c r="V2309">
        <v>-0.31779449999999998</v>
      </c>
      <c r="W2309">
        <v>6.2760389999999999E-2</v>
      </c>
      <c r="X2309">
        <v>0.94608019999999904</v>
      </c>
      <c r="Y2309">
        <v>-0.45888959999999901</v>
      </c>
      <c r="Z2309">
        <v>-2.8650620000000002E-2</v>
      </c>
      <c r="AA2309">
        <v>0.88803120000000002</v>
      </c>
      <c r="AB2309">
        <v>23</v>
      </c>
      <c r="AC2309">
        <v>-0.60899999999998</v>
      </c>
      <c r="AD2309">
        <v>-0.10643619999999999</v>
      </c>
      <c r="AE2309">
        <v>-0.42709999999999498</v>
      </c>
      <c r="AF2309">
        <v>-0.42588809604308098</v>
      </c>
      <c r="AG2309">
        <v>-0.10643619999999999</v>
      </c>
      <c r="AH2309">
        <v>0.59155282738171999</v>
      </c>
      <c r="AI2309">
        <v>98.307632411488697</v>
      </c>
      <c r="AJ2309">
        <v>125.751977399593</v>
      </c>
      <c r="AK2309">
        <v>0.736643796284845</v>
      </c>
    </row>
    <row r="2310" spans="1:37" x14ac:dyDescent="0.2">
      <c r="A2310" t="str">
        <f>"20200111153654313"</f>
        <v>20200111153654313</v>
      </c>
      <c r="B2310" t="str">
        <f>"1578728214304889"</f>
        <v>1578728214304889</v>
      </c>
      <c r="C2310" t="s">
        <v>37</v>
      </c>
      <c r="D2310">
        <v>6.0432629999999996</v>
      </c>
      <c r="E2310">
        <v>0.47163769999999999</v>
      </c>
      <c r="F2310" t="s">
        <v>38</v>
      </c>
      <c r="G2310">
        <v>-465.43770000000001</v>
      </c>
      <c r="H2310">
        <v>1.001676</v>
      </c>
      <c r="I2310">
        <v>283.85789999999997</v>
      </c>
      <c r="J2310">
        <v>-464.85469999999998</v>
      </c>
      <c r="K2310">
        <v>1.106481</v>
      </c>
      <c r="L2310">
        <v>284.27719999999999</v>
      </c>
      <c r="M2310">
        <v>-0.99985999999999997</v>
      </c>
      <c r="N2310">
        <v>0</v>
      </c>
      <c r="O2310">
        <v>1.024627E-2</v>
      </c>
      <c r="P2310">
        <v>-0.94899899999999904</v>
      </c>
      <c r="Q2310">
        <v>5.050325E-2</v>
      </c>
      <c r="R2310">
        <v>-0.3112086</v>
      </c>
      <c r="S2310">
        <v>-2.724701</v>
      </c>
      <c r="T2310">
        <v>-0.34941159999999999</v>
      </c>
      <c r="U2310">
        <v>-1.3977660000000001</v>
      </c>
      <c r="V2310">
        <v>-0.3211195</v>
      </c>
      <c r="W2310">
        <v>6.1975139999999998E-2</v>
      </c>
      <c r="X2310">
        <v>0.94500859999999998</v>
      </c>
      <c r="Y2310">
        <v>-0.46246399999999999</v>
      </c>
      <c r="Z2310">
        <v>-2.906131E-2</v>
      </c>
      <c r="AA2310">
        <v>0.88616170000000005</v>
      </c>
      <c r="AB2310">
        <v>23</v>
      </c>
      <c r="AC2310">
        <v>-0.58300000000002605</v>
      </c>
      <c r="AD2310">
        <v>-0.104805</v>
      </c>
      <c r="AE2310">
        <v>-0.41930000000002099</v>
      </c>
      <c r="AF2310">
        <v>-0.41638340251186301</v>
      </c>
      <c r="AG2310">
        <v>-0.104805</v>
      </c>
      <c r="AH2310">
        <v>0.56660446691608302</v>
      </c>
      <c r="AI2310">
        <v>98.477599391078897</v>
      </c>
      <c r="AJ2310">
        <v>126.311232575685</v>
      </c>
      <c r="AK2310">
        <v>0.71091479647114897</v>
      </c>
    </row>
    <row r="2311" spans="1:37" x14ac:dyDescent="0.2">
      <c r="A2311" t="str">
        <f>"20200111153654335"</f>
        <v>20200111153654335</v>
      </c>
      <c r="B2311" t="str">
        <f>"1578728214325382"</f>
        <v>1578728214325382</v>
      </c>
      <c r="C2311" t="s">
        <v>37</v>
      </c>
      <c r="D2311">
        <v>5.6807189999999999</v>
      </c>
      <c r="E2311">
        <v>0.48043599999999997</v>
      </c>
      <c r="F2311" t="s">
        <v>44</v>
      </c>
      <c r="G2311">
        <v>-474.16269999999997</v>
      </c>
      <c r="H2311" s="1">
        <v>4.4148149999999998E-6</v>
      </c>
      <c r="I2311">
        <v>280.57490000000001</v>
      </c>
      <c r="J2311">
        <v>-465.08030000000002</v>
      </c>
      <c r="K2311">
        <v>1.1066020000000001</v>
      </c>
      <c r="L2311">
        <v>284.27710000000002</v>
      </c>
      <c r="M2311">
        <v>-0.99988009999999905</v>
      </c>
      <c r="N2311">
        <v>0</v>
      </c>
      <c r="O2311">
        <v>8.0378210000000005E-3</v>
      </c>
      <c r="P2311">
        <v>-0.94761479999999998</v>
      </c>
      <c r="Q2311">
        <v>5.1163210000000001E-2</v>
      </c>
      <c r="R2311">
        <v>-0.31529170000000001</v>
      </c>
      <c r="S2311">
        <v>-2.812195</v>
      </c>
      <c r="T2311">
        <v>-0.33429609999999998</v>
      </c>
      <c r="U2311">
        <v>-1.1185609999999999</v>
      </c>
      <c r="V2311">
        <v>-0.32311889999999999</v>
      </c>
      <c r="W2311">
        <v>6.2546249999999998E-2</v>
      </c>
      <c r="X2311">
        <v>0.9442893</v>
      </c>
      <c r="Y2311">
        <v>-0.3747183</v>
      </c>
      <c r="Z2311">
        <v>-2.2305180000000001E-2</v>
      </c>
      <c r="AA2311">
        <v>0.92687030000000004</v>
      </c>
      <c r="AB2311">
        <v>23</v>
      </c>
      <c r="AC2311">
        <v>-9.0823999999999394</v>
      </c>
      <c r="AD2311">
        <v>-1.1065975851850001</v>
      </c>
      <c r="AE2311">
        <v>-3.7021999999999999</v>
      </c>
      <c r="AF2311">
        <v>-3.7276374487012598</v>
      </c>
      <c r="AG2311">
        <v>-1.1065975851850001</v>
      </c>
      <c r="AH2311">
        <v>8.9385603435003897</v>
      </c>
      <c r="AI2311">
        <v>96.518495571372199</v>
      </c>
      <c r="AJ2311">
        <v>112.637543988353</v>
      </c>
      <c r="AK2311">
        <v>9.7477023025375207</v>
      </c>
    </row>
    <row r="2312" spans="1:37" x14ac:dyDescent="0.2">
      <c r="A2312" t="str">
        <f>"20200111153654358"</f>
        <v>20200111153654358</v>
      </c>
      <c r="B2312" t="str">
        <f>"1578728214355104"</f>
        <v>1578728214355104</v>
      </c>
      <c r="C2312" t="s">
        <v>37</v>
      </c>
      <c r="D2312">
        <v>5.916137</v>
      </c>
      <c r="E2312">
        <v>0.48396309999999898</v>
      </c>
      <c r="F2312" t="s">
        <v>44</v>
      </c>
      <c r="G2312">
        <v>-474.86840000000001</v>
      </c>
      <c r="H2312" s="1">
        <v>4.1030999999999997E-6</v>
      </c>
      <c r="I2312">
        <v>280.58920000000001</v>
      </c>
      <c r="J2312">
        <v>-465.31259999999997</v>
      </c>
      <c r="K2312">
        <v>1.106719</v>
      </c>
      <c r="L2312">
        <v>284.27620000000002</v>
      </c>
      <c r="M2312">
        <v>-0.99989660000000002</v>
      </c>
      <c r="N2312">
        <v>0</v>
      </c>
      <c r="O2312">
        <v>5.6153740000000002E-3</v>
      </c>
      <c r="P2312">
        <v>-0.94626100000000002</v>
      </c>
      <c r="Q2312">
        <v>5.2284419999999998E-2</v>
      </c>
      <c r="R2312">
        <v>-0.31915009999999999</v>
      </c>
      <c r="S2312">
        <v>-2.8284910000000001</v>
      </c>
      <c r="T2312">
        <v>-0.31977499999999998</v>
      </c>
      <c r="U2312">
        <v>-1.065704</v>
      </c>
      <c r="V2312">
        <v>-0.3246984</v>
      </c>
      <c r="W2312">
        <v>6.3576540000000001E-2</v>
      </c>
      <c r="X2312">
        <v>0.94367839999999903</v>
      </c>
      <c r="Y2312">
        <v>-0.35581079999999998</v>
      </c>
      <c r="Z2312">
        <v>-2.0002180000000001E-2</v>
      </c>
      <c r="AA2312">
        <v>0.9343439</v>
      </c>
      <c r="AB2312">
        <v>23</v>
      </c>
      <c r="AC2312">
        <v>-9.5558000000000298</v>
      </c>
      <c r="AD2312">
        <v>-1.1067148969</v>
      </c>
      <c r="AE2312">
        <v>-3.68700000000001</v>
      </c>
      <c r="AF2312">
        <v>-3.6974374773147902</v>
      </c>
      <c r="AG2312">
        <v>-1.1067148969</v>
      </c>
      <c r="AH2312">
        <v>9.4249055663244494</v>
      </c>
      <c r="AI2312">
        <v>96.238435977815499</v>
      </c>
      <c r="AJ2312">
        <v>111.420324904306</v>
      </c>
      <c r="AK2312">
        <v>10.1845327185789</v>
      </c>
    </row>
    <row r="2313" spans="1:37" x14ac:dyDescent="0.2">
      <c r="A2313" t="str">
        <f>"20200111153654381"</f>
        <v>20200111153654381</v>
      </c>
      <c r="B2313" t="str">
        <f>"1578728214374628"</f>
        <v>1578728214374628</v>
      </c>
      <c r="C2313" t="s">
        <v>37</v>
      </c>
      <c r="D2313">
        <v>5.6466050000000001</v>
      </c>
      <c r="E2313">
        <v>0.48504359999999902</v>
      </c>
      <c r="F2313" t="s">
        <v>44</v>
      </c>
      <c r="G2313">
        <v>-475.83150000000001</v>
      </c>
      <c r="H2313" s="1">
        <v>3.65668799999999E-6</v>
      </c>
      <c r="I2313">
        <v>280.36810000000003</v>
      </c>
      <c r="J2313">
        <v>-465.54090000000002</v>
      </c>
      <c r="K2313">
        <v>1.106824</v>
      </c>
      <c r="L2313">
        <v>284.2747</v>
      </c>
      <c r="M2313">
        <v>-0.99990759999999901</v>
      </c>
      <c r="N2313">
        <v>0</v>
      </c>
      <c r="O2313">
        <v>3.0787050000000002E-3</v>
      </c>
      <c r="P2313">
        <v>-0.94505269999999997</v>
      </c>
      <c r="Q2313">
        <v>5.3864040000000002E-2</v>
      </c>
      <c r="R2313">
        <v>-0.32245029999999902</v>
      </c>
      <c r="S2313">
        <v>-2.832001</v>
      </c>
      <c r="T2313">
        <v>-0.29795949999999999</v>
      </c>
      <c r="U2313">
        <v>-1.0521849999999999</v>
      </c>
      <c r="V2313">
        <v>-0.32561979999999902</v>
      </c>
      <c r="W2313">
        <v>6.5072610000000003E-2</v>
      </c>
      <c r="X2313">
        <v>0.94325890000000001</v>
      </c>
      <c r="Y2313">
        <v>-0.34944730000000002</v>
      </c>
      <c r="Z2313">
        <v>-1.8057219999999999E-2</v>
      </c>
      <c r="AA2313">
        <v>0.936782</v>
      </c>
      <c r="AB2313">
        <v>23</v>
      </c>
      <c r="AC2313">
        <v>-10.2905999999999</v>
      </c>
      <c r="AD2313">
        <v>-1.1068203433120001</v>
      </c>
      <c r="AE2313">
        <v>-3.9065999999999601</v>
      </c>
      <c r="AF2313">
        <v>-3.8988440289493802</v>
      </c>
      <c r="AG2313">
        <v>-1.1068203433120001</v>
      </c>
      <c r="AH2313">
        <v>10.175635118724401</v>
      </c>
      <c r="AI2313">
        <v>95.799707487232396</v>
      </c>
      <c r="AJ2313">
        <v>110.964577127711</v>
      </c>
      <c r="AK2313">
        <v>10.953062864051301</v>
      </c>
    </row>
    <row r="2314" spans="1:37" x14ac:dyDescent="0.2">
      <c r="A2314" t="str">
        <f>"20200111153654402"</f>
        <v>20200111153654402</v>
      </c>
      <c r="B2314" t="str">
        <f>"1578728214395121"</f>
        <v>1578728214395121</v>
      </c>
      <c r="C2314" t="s">
        <v>37</v>
      </c>
      <c r="D2314">
        <v>5.846781</v>
      </c>
      <c r="E2314">
        <v>0.48582879999999901</v>
      </c>
      <c r="F2314" t="s">
        <v>44</v>
      </c>
      <c r="G2314">
        <v>-476.4905</v>
      </c>
      <c r="H2314" s="1">
        <v>3.3491089999999999E-6</v>
      </c>
      <c r="I2314">
        <v>280.1925</v>
      </c>
      <c r="J2314">
        <v>-465.77550000000002</v>
      </c>
      <c r="K2314">
        <v>1.1069199999999999</v>
      </c>
      <c r="L2314">
        <v>284.27229999999997</v>
      </c>
      <c r="M2314">
        <v>-0.99991229999999998</v>
      </c>
      <c r="N2314">
        <v>0</v>
      </c>
      <c r="O2314">
        <v>3.1543350000000001E-4</v>
      </c>
      <c r="P2314">
        <v>-0.94354680000000002</v>
      </c>
      <c r="Q2314">
        <v>5.4626889999999997E-2</v>
      </c>
      <c r="R2314">
        <v>-0.32670389999999999</v>
      </c>
      <c r="S2314">
        <v>-2.8306580000000001</v>
      </c>
      <c r="T2314">
        <v>-0.28613230000000001</v>
      </c>
      <c r="U2314">
        <v>-1.055328</v>
      </c>
      <c r="V2314">
        <v>-0.32728059999999998</v>
      </c>
      <c r="W2314">
        <v>6.5749699999999994E-2</v>
      </c>
      <c r="X2314">
        <v>0.94263699999999995</v>
      </c>
      <c r="Y2314">
        <v>-0.34806900000000002</v>
      </c>
      <c r="Z2314">
        <v>-1.7011350000000001E-2</v>
      </c>
      <c r="AA2314">
        <v>0.9373146</v>
      </c>
      <c r="AB2314">
        <v>23</v>
      </c>
      <c r="AC2314">
        <v>-10.7149999999999</v>
      </c>
      <c r="AD2314">
        <v>-1.106916650891</v>
      </c>
      <c r="AE2314">
        <v>-4.0797999999999703</v>
      </c>
      <c r="AF2314">
        <v>-4.0454732408444896</v>
      </c>
      <c r="AG2314">
        <v>-1.106916650891</v>
      </c>
      <c r="AH2314">
        <v>10.6147751043705</v>
      </c>
      <c r="AI2314">
        <v>95.565543568544697</v>
      </c>
      <c r="AJ2314">
        <v>110.862703639524</v>
      </c>
      <c r="AK2314">
        <v>11.413350460349999</v>
      </c>
    </row>
    <row r="2315" spans="1:37" x14ac:dyDescent="0.2">
      <c r="A2315" t="str">
        <f>"20200111153654425"</f>
        <v>20200111153654425</v>
      </c>
      <c r="B2315" t="str">
        <f>"1578728214414638"</f>
        <v>1578728214414638</v>
      </c>
      <c r="C2315" t="s">
        <v>37</v>
      </c>
      <c r="D2315">
        <v>5.9025650000000001</v>
      </c>
      <c r="E2315">
        <v>0.48644100000000001</v>
      </c>
      <c r="F2315" t="s">
        <v>44</v>
      </c>
      <c r="G2315">
        <v>-476.83589999999998</v>
      </c>
      <c r="H2315" s="1">
        <v>3.189365E-6</v>
      </c>
      <c r="I2315">
        <v>280.11720000000003</v>
      </c>
      <c r="J2315">
        <v>-465.99939999999998</v>
      </c>
      <c r="K2315">
        <v>1.106984</v>
      </c>
      <c r="L2315">
        <v>284.26920000000001</v>
      </c>
      <c r="M2315">
        <v>-0.99990919999999905</v>
      </c>
      <c r="N2315">
        <v>0</v>
      </c>
      <c r="O2315">
        <v>-2.4350270000000002E-3</v>
      </c>
      <c r="P2315">
        <v>-0.94244550000000005</v>
      </c>
      <c r="Q2315">
        <v>5.5167969999999997E-2</v>
      </c>
      <c r="R2315">
        <v>-0.32977770000000001</v>
      </c>
      <c r="S2315">
        <v>-2.828033</v>
      </c>
      <c r="T2315">
        <v>-0.28302739999999998</v>
      </c>
      <c r="U2315">
        <v>-1.062408</v>
      </c>
      <c r="V2315">
        <v>-0.32777489999999998</v>
      </c>
      <c r="W2315">
        <v>6.6230709999999998E-2</v>
      </c>
      <c r="X2315">
        <v>0.94243149999999998</v>
      </c>
      <c r="Y2315">
        <v>-0.34788049999999998</v>
      </c>
      <c r="Z2315">
        <v>-1.6560370000000001E-2</v>
      </c>
      <c r="AA2315">
        <v>0.93739259999999902</v>
      </c>
      <c r="AB2315">
        <v>23</v>
      </c>
      <c r="AC2315">
        <v>-10.836499999999999</v>
      </c>
      <c r="AD2315">
        <v>-1.1069808106350001</v>
      </c>
      <c r="AE2315">
        <v>-4.1519999999999797</v>
      </c>
      <c r="AF2315">
        <v>-4.0883962203780202</v>
      </c>
      <c r="AG2315">
        <v>-1.1069808106350001</v>
      </c>
      <c r="AH2315">
        <v>10.748771543645899</v>
      </c>
      <c r="AI2315">
        <v>95.498283406808795</v>
      </c>
      <c r="AJ2315">
        <v>110.82478231578099</v>
      </c>
      <c r="AK2315">
        <v>11.5532021477773</v>
      </c>
    </row>
    <row r="2316" spans="1:37" x14ac:dyDescent="0.2">
      <c r="A2316" t="str">
        <f>"20200111153654447"</f>
        <v>20200111153654447</v>
      </c>
      <c r="B2316" t="str">
        <f>"1578728214435134"</f>
        <v>1578728214435134</v>
      </c>
      <c r="C2316" t="s">
        <v>37</v>
      </c>
      <c r="D2316">
        <v>5.6248079999999998</v>
      </c>
      <c r="E2316">
        <v>0.4867572</v>
      </c>
      <c r="F2316" t="s">
        <v>44</v>
      </c>
      <c r="G2316">
        <v>-477.14120000000003</v>
      </c>
      <c r="H2316" s="1">
        <v>3.0490139999999999E-6</v>
      </c>
      <c r="I2316">
        <v>280.06049999999999</v>
      </c>
      <c r="J2316">
        <v>-466.22539999999998</v>
      </c>
      <c r="K2316">
        <v>1.10703</v>
      </c>
      <c r="L2316">
        <v>284.2654</v>
      </c>
      <c r="M2316">
        <v>-0.99989810000000001</v>
      </c>
      <c r="N2316">
        <v>0</v>
      </c>
      <c r="O2316">
        <v>-5.3182799999999999E-3</v>
      </c>
      <c r="P2316">
        <v>-0.94133829999999996</v>
      </c>
      <c r="Q2316">
        <v>5.4312149999999997E-2</v>
      </c>
      <c r="R2316">
        <v>-0.33306599999999997</v>
      </c>
      <c r="S2316">
        <v>-2.826111</v>
      </c>
      <c r="T2316">
        <v>-0.28078589999999998</v>
      </c>
      <c r="U2316">
        <v>-1.0675349999999999</v>
      </c>
      <c r="V2316">
        <v>-0.32835359999999902</v>
      </c>
      <c r="W2316">
        <v>6.5323839999999994E-2</v>
      </c>
      <c r="X2316">
        <v>0.9422933</v>
      </c>
      <c r="Y2316">
        <v>-0.34691759999999999</v>
      </c>
      <c r="Z2316">
        <v>-1.611282E-2</v>
      </c>
      <c r="AA2316">
        <v>0.93775719999999996</v>
      </c>
      <c r="AB2316">
        <v>23</v>
      </c>
      <c r="AC2316">
        <v>-10.915800000000001</v>
      </c>
      <c r="AD2316">
        <v>-1.107026950986</v>
      </c>
      <c r="AE2316">
        <v>-4.2049000000000003</v>
      </c>
      <c r="AF2316">
        <v>-4.1099730311238201</v>
      </c>
      <c r="AG2316">
        <v>-1.107026950986</v>
      </c>
      <c r="AH2316">
        <v>10.8409186094093</v>
      </c>
      <c r="AI2316">
        <v>95.454292535122704</v>
      </c>
      <c r="AJ2316">
        <v>110.76255336901799</v>
      </c>
      <c r="AK2316">
        <v>11.6465833308577</v>
      </c>
    </row>
    <row r="2317" spans="1:37" x14ac:dyDescent="0.2">
      <c r="A2317" t="str">
        <f>"20200111153654470"</f>
        <v>20200111153654470</v>
      </c>
      <c r="B2317" t="str">
        <f>"1578728214465390"</f>
        <v>1578728214465390</v>
      </c>
      <c r="C2317" t="s">
        <v>37</v>
      </c>
      <c r="D2317">
        <v>5.583723</v>
      </c>
      <c r="E2317">
        <v>0.48734719999999998</v>
      </c>
      <c r="F2317" t="s">
        <v>44</v>
      </c>
      <c r="G2317">
        <v>-477.27600000000001</v>
      </c>
      <c r="H2317" s="1">
        <v>2.98884999999999E-6</v>
      </c>
      <c r="I2317">
        <v>280.05610000000001</v>
      </c>
      <c r="J2317">
        <v>-466.45330000000001</v>
      </c>
      <c r="K2317">
        <v>1.1070719999999901</v>
      </c>
      <c r="L2317">
        <v>284.26080000000002</v>
      </c>
      <c r="M2317">
        <v>-0.99987729999999997</v>
      </c>
      <c r="N2317">
        <v>0</v>
      </c>
      <c r="O2317">
        <v>-8.3379690000000006E-3</v>
      </c>
      <c r="P2317">
        <v>-0.94004460000000001</v>
      </c>
      <c r="Q2317">
        <v>5.291266E-2</v>
      </c>
      <c r="R2317">
        <v>-0.33692179999999999</v>
      </c>
      <c r="S2317">
        <v>-2.8228149999999999</v>
      </c>
      <c r="T2317">
        <v>-0.2827848</v>
      </c>
      <c r="U2317">
        <v>-1.075256</v>
      </c>
      <c r="V2317">
        <v>-0.32937369999999999</v>
      </c>
      <c r="W2317">
        <v>6.3872529999999997E-2</v>
      </c>
      <c r="X2317">
        <v>0.94203669999999995</v>
      </c>
      <c r="Y2317">
        <v>-0.34668280000000001</v>
      </c>
      <c r="Z2317">
        <v>-1.5934299999999998E-2</v>
      </c>
      <c r="AA2317">
        <v>0.93784709999999905</v>
      </c>
      <c r="AB2317">
        <v>23</v>
      </c>
      <c r="AC2317">
        <v>-10.8226999999999</v>
      </c>
      <c r="AD2317">
        <v>-1.1070690111499999</v>
      </c>
      <c r="AE2317">
        <v>-4.2046999999999999</v>
      </c>
      <c r="AF2317">
        <v>-4.0772391183205396</v>
      </c>
      <c r="AG2317">
        <v>-1.1070690111499999</v>
      </c>
      <c r="AH2317">
        <v>10.759566965252301</v>
      </c>
      <c r="AI2317">
        <v>95.495806055363104</v>
      </c>
      <c r="AJ2317">
        <v>110.753743186248</v>
      </c>
      <c r="AK2317">
        <v>11.559314940910699</v>
      </c>
    </row>
    <row r="2318" spans="1:37" x14ac:dyDescent="0.2">
      <c r="A2318" t="str">
        <f>"20200111153654492"</f>
        <v>20200111153654492</v>
      </c>
      <c r="B2318" t="str">
        <f>"1578728214484910"</f>
        <v>1578728214484910</v>
      </c>
      <c r="C2318" t="s">
        <v>37</v>
      </c>
      <c r="D2318">
        <v>5.7595349999999996</v>
      </c>
      <c r="E2318">
        <v>0.48758649999999998</v>
      </c>
      <c r="F2318" t="s">
        <v>44</v>
      </c>
      <c r="G2318">
        <v>-477.3535</v>
      </c>
      <c r="H2318" s="1">
        <v>2.9565E-6</v>
      </c>
      <c r="I2318">
        <v>280.07920000000001</v>
      </c>
      <c r="J2318">
        <v>-466.69040000000001</v>
      </c>
      <c r="K2318">
        <v>1.1071329999999999</v>
      </c>
      <c r="L2318">
        <v>284.25510000000003</v>
      </c>
      <c r="M2318">
        <v>-0.99984470000000003</v>
      </c>
      <c r="N2318">
        <v>0</v>
      </c>
      <c r="O2318">
        <v>-1.159875E-2</v>
      </c>
      <c r="P2318">
        <v>-0.93847219999999998</v>
      </c>
      <c r="Q2318">
        <v>5.2366379999999997E-2</v>
      </c>
      <c r="R2318">
        <v>-0.34136109999999997</v>
      </c>
      <c r="S2318">
        <v>-2.819763</v>
      </c>
      <c r="T2318">
        <v>-0.28638730000000001</v>
      </c>
      <c r="U2318">
        <v>-1.081726</v>
      </c>
      <c r="V2318">
        <v>-0.330762099999999</v>
      </c>
      <c r="W2318">
        <v>6.3264360000000006E-2</v>
      </c>
      <c r="X2318">
        <v>0.94159119999999996</v>
      </c>
      <c r="Y2318">
        <v>-0.34581999999999902</v>
      </c>
      <c r="Z2318">
        <v>-1.5785250000000001E-2</v>
      </c>
      <c r="AA2318">
        <v>0.93816809999999995</v>
      </c>
      <c r="AB2318">
        <v>23</v>
      </c>
      <c r="AC2318">
        <v>-10.663099999999901</v>
      </c>
      <c r="AD2318">
        <v>-1.1071300435</v>
      </c>
      <c r="AE2318">
        <v>-4.1759000000000102</v>
      </c>
      <c r="AF2318">
        <v>-4.0144076911759496</v>
      </c>
      <c r="AG2318">
        <v>-1.1071300435</v>
      </c>
      <c r="AH2318">
        <v>10.6116372999142</v>
      </c>
      <c r="AI2318">
        <v>95.573416554730699</v>
      </c>
      <c r="AJ2318">
        <v>110.721749937273</v>
      </c>
      <c r="AK2318">
        <v>11.399475962917</v>
      </c>
    </row>
    <row r="2319" spans="1:37" x14ac:dyDescent="0.2">
      <c r="A2319" t="str">
        <f>"20200111153654514"</f>
        <v>20200111153654514</v>
      </c>
      <c r="B2319" t="str">
        <f>"1578728214505406"</f>
        <v>1578728214505406</v>
      </c>
      <c r="C2319" t="s">
        <v>37</v>
      </c>
      <c r="D2319">
        <v>5.6298789999999999</v>
      </c>
      <c r="E2319">
        <v>0.48773450000000002</v>
      </c>
      <c r="F2319" t="s">
        <v>44</v>
      </c>
      <c r="G2319">
        <v>-477.50580000000002</v>
      </c>
      <c r="H2319" s="1">
        <v>2.8870920000000001E-6</v>
      </c>
      <c r="I2319">
        <v>280.05770000000001</v>
      </c>
      <c r="J2319">
        <v>-466.91500000000002</v>
      </c>
      <c r="K2319">
        <v>1.1071979999999999</v>
      </c>
      <c r="L2319">
        <v>284.24889999999999</v>
      </c>
      <c r="M2319">
        <v>-0.99980239999999998</v>
      </c>
      <c r="N2319">
        <v>0</v>
      </c>
      <c r="O2319">
        <v>-1.4807239999999999E-2</v>
      </c>
      <c r="P2319">
        <v>-0.93684299999999998</v>
      </c>
      <c r="Q2319">
        <v>5.2726049999999997E-2</v>
      </c>
      <c r="R2319">
        <v>-0.34575339999999999</v>
      </c>
      <c r="S2319">
        <v>-2.8153079999999999</v>
      </c>
      <c r="T2319">
        <v>-0.28819409999999901</v>
      </c>
      <c r="U2319">
        <v>-1.0926209999999901</v>
      </c>
      <c r="V2319">
        <v>-0.33216489999999999</v>
      </c>
      <c r="W2319">
        <v>6.3556550000000003E-2</v>
      </c>
      <c r="X2319">
        <v>0.94107759999999996</v>
      </c>
      <c r="Y2319">
        <v>-0.34645769999999998</v>
      </c>
      <c r="Z2319">
        <v>-1.561274E-2</v>
      </c>
      <c r="AA2319">
        <v>0.93793570000000004</v>
      </c>
      <c r="AB2319">
        <v>23</v>
      </c>
      <c r="AC2319">
        <v>-10.5908</v>
      </c>
      <c r="AD2319">
        <v>-1.107195112908</v>
      </c>
      <c r="AE2319">
        <v>-4.1911999999999798</v>
      </c>
      <c r="AF2319">
        <v>-3.9961449710449601</v>
      </c>
      <c r="AG2319">
        <v>-1.107195112908</v>
      </c>
      <c r="AH2319">
        <v>10.551994322362001</v>
      </c>
      <c r="AI2319">
        <v>95.604295032008096</v>
      </c>
      <c r="AJ2319">
        <v>110.74217414927099</v>
      </c>
      <c r="AK2319">
        <v>11.337532351742899</v>
      </c>
    </row>
    <row r="2320" spans="1:37" x14ac:dyDescent="0.2">
      <c r="A2320" t="str">
        <f>"20200111153654536"</f>
        <v>20200111153654536</v>
      </c>
      <c r="B2320" t="str">
        <f>"1578728214524926"</f>
        <v>1578728214524926</v>
      </c>
      <c r="C2320" t="s">
        <v>37</v>
      </c>
      <c r="D2320">
        <v>5.4898540000000002</v>
      </c>
      <c r="E2320">
        <v>0.48748439999999998</v>
      </c>
      <c r="F2320" t="s">
        <v>44</v>
      </c>
      <c r="G2320">
        <v>-477.57679999999999</v>
      </c>
      <c r="H2320" s="1">
        <v>2.8560159999999999E-6</v>
      </c>
      <c r="I2320">
        <v>280.06229999999999</v>
      </c>
      <c r="J2320">
        <v>-467.13630000000001</v>
      </c>
      <c r="K2320">
        <v>1.1072850000000001</v>
      </c>
      <c r="L2320">
        <v>284.24189999999999</v>
      </c>
      <c r="M2320">
        <v>-0.99974819999999998</v>
      </c>
      <c r="N2320">
        <v>0</v>
      </c>
      <c r="O2320">
        <v>-1.8094880000000001E-2</v>
      </c>
      <c r="P2320">
        <v>-0.93515099999999995</v>
      </c>
      <c r="Q2320">
        <v>5.3607299999999997E-2</v>
      </c>
      <c r="R2320">
        <v>-0.35017029999999999</v>
      </c>
      <c r="S2320">
        <v>-2.8112490000000001</v>
      </c>
      <c r="T2320">
        <v>-0.29194209999999998</v>
      </c>
      <c r="U2320">
        <v>-1.103912</v>
      </c>
      <c r="V2320">
        <v>-0.33352939999999998</v>
      </c>
      <c r="W2320">
        <v>6.4362660000000002E-2</v>
      </c>
      <c r="X2320">
        <v>0.94053999999999904</v>
      </c>
      <c r="Y2320">
        <v>-0.3470722</v>
      </c>
      <c r="Z2320">
        <v>-1.552775E-2</v>
      </c>
      <c r="AA2320">
        <v>0.93770989999999999</v>
      </c>
      <c r="AB2320">
        <v>23</v>
      </c>
      <c r="AC2320">
        <v>-10.440499999999901</v>
      </c>
      <c r="AD2320">
        <v>-1.1072821439839999</v>
      </c>
      <c r="AE2320">
        <v>-4.17959999999999</v>
      </c>
      <c r="AF2320">
        <v>-3.9516704846031501</v>
      </c>
      <c r="AG2320">
        <v>-1.1072821439839999</v>
      </c>
      <c r="AH2320">
        <v>10.4134745332869</v>
      </c>
      <c r="AI2320">
        <v>95.677369043926504</v>
      </c>
      <c r="AJ2320">
        <v>110.780584564329</v>
      </c>
      <c r="AK2320">
        <v>11.1929542668897</v>
      </c>
    </row>
    <row r="2321" spans="1:37" x14ac:dyDescent="0.2">
      <c r="A2321" t="str">
        <f>"20200111153654558"</f>
        <v>20200111153654558</v>
      </c>
      <c r="B2321" t="str">
        <f>"1578728214554713"</f>
        <v>1578728214554713</v>
      </c>
      <c r="C2321" t="s">
        <v>37</v>
      </c>
      <c r="D2321">
        <v>5.5496239999999997</v>
      </c>
      <c r="E2321">
        <v>0.45397949999999998</v>
      </c>
      <c r="F2321" t="s">
        <v>44</v>
      </c>
      <c r="G2321">
        <v>-477.87650000000002</v>
      </c>
      <c r="H2321" s="1">
        <v>2.7139559999999998E-6</v>
      </c>
      <c r="I2321">
        <v>279.95769999999999</v>
      </c>
      <c r="J2321">
        <v>-467.36439999999999</v>
      </c>
      <c r="K2321">
        <v>1.10738799999999</v>
      </c>
      <c r="L2321">
        <v>284.23379999999997</v>
      </c>
      <c r="M2321">
        <v>-0.99967779999999995</v>
      </c>
      <c r="N2321">
        <v>0</v>
      </c>
      <c r="O2321">
        <v>-2.1631379999999999E-2</v>
      </c>
      <c r="P2321">
        <v>-0.93293549999999903</v>
      </c>
      <c r="Q2321">
        <v>5.5544900000000001E-2</v>
      </c>
      <c r="R2321">
        <v>-0.35573280000000002</v>
      </c>
      <c r="S2321">
        <v>-2.8055729999999999</v>
      </c>
      <c r="T2321">
        <v>-0.28924569999999999</v>
      </c>
      <c r="U2321">
        <v>-1.11911</v>
      </c>
      <c r="V2321">
        <v>-0.33583249999999998</v>
      </c>
      <c r="W2321">
        <v>6.6204070000000004E-2</v>
      </c>
      <c r="X2321">
        <v>0.93959219999999899</v>
      </c>
      <c r="Y2321">
        <v>-0.34882649999999998</v>
      </c>
      <c r="Z2321">
        <v>-1.5136419999999999E-2</v>
      </c>
      <c r="AA2321">
        <v>0.93706509999999998</v>
      </c>
      <c r="AB2321">
        <v>23</v>
      </c>
      <c r="AC2321">
        <v>-10.5121</v>
      </c>
      <c r="AD2321">
        <v>-1.1073852860439899</v>
      </c>
      <c r="AE2321">
        <v>-4.27609999999998</v>
      </c>
      <c r="AF2321">
        <v>-4.0095103469703499</v>
      </c>
      <c r="AG2321">
        <v>-1.1073852860439899</v>
      </c>
      <c r="AH2321">
        <v>10.502146936266</v>
      </c>
      <c r="AI2321">
        <v>95.6259814636594</v>
      </c>
      <c r="AJ2321">
        <v>110.895859450054</v>
      </c>
      <c r="AK2321">
        <v>11.2959092447279</v>
      </c>
    </row>
    <row r="2322" spans="1:37" x14ac:dyDescent="0.2">
      <c r="A2322" t="str">
        <f>"20200111153654582"</f>
        <v>20200111153654582</v>
      </c>
      <c r="B2322" t="str">
        <f>"1578728214575209"</f>
        <v>1578728214575209</v>
      </c>
      <c r="C2322" t="s">
        <v>37</v>
      </c>
      <c r="D2322">
        <v>5.4722919999999897</v>
      </c>
      <c r="E2322">
        <v>0.45477129999999999</v>
      </c>
      <c r="F2322" t="s">
        <v>44</v>
      </c>
      <c r="G2322">
        <v>-478.26</v>
      </c>
      <c r="H2322">
        <v>8.0000269999999998E-2</v>
      </c>
      <c r="I2322">
        <v>278.63780000000003</v>
      </c>
      <c r="J2322">
        <v>-467.59399999999999</v>
      </c>
      <c r="K2322">
        <v>1.107497</v>
      </c>
      <c r="L2322">
        <v>284.22449999999998</v>
      </c>
      <c r="M2322">
        <v>-0.99958969999999903</v>
      </c>
      <c r="N2322">
        <v>0</v>
      </c>
      <c r="O2322">
        <v>-2.5375439999999999E-2</v>
      </c>
      <c r="P2322">
        <v>-0.9303169</v>
      </c>
      <c r="Q2322">
        <v>5.727525E-2</v>
      </c>
      <c r="R2322">
        <v>-0.3622571</v>
      </c>
      <c r="S2322">
        <v>-2.701721</v>
      </c>
      <c r="T2322">
        <v>-0.25475599999999998</v>
      </c>
      <c r="U2322">
        <v>-1.3876040000000001</v>
      </c>
      <c r="V2322">
        <v>-0.33892280000000002</v>
      </c>
      <c r="W2322">
        <v>6.7822149999999998E-2</v>
      </c>
      <c r="X2322">
        <v>0.93836640000000004</v>
      </c>
      <c r="Y2322">
        <v>-0.4327182</v>
      </c>
      <c r="Z2322">
        <v>-1.6927770000000002E-2</v>
      </c>
      <c r="AA2322">
        <v>0.90137029999999996</v>
      </c>
      <c r="AB2322">
        <v>23</v>
      </c>
      <c r="AC2322">
        <v>-10.665999999999899</v>
      </c>
      <c r="AD2322">
        <v>-1.02749673</v>
      </c>
      <c r="AE2322">
        <v>-5.5866999999999498</v>
      </c>
      <c r="AF2322">
        <v>-5.2758024179174301</v>
      </c>
      <c r="AG2322">
        <v>-1.02749673</v>
      </c>
      <c r="AH2322">
        <v>10.726230726262401</v>
      </c>
      <c r="AI2322">
        <v>94.912944324378998</v>
      </c>
      <c r="AJ2322">
        <v>116.190721433549</v>
      </c>
      <c r="AK2322">
        <v>11.9975775169857</v>
      </c>
    </row>
    <row r="2323" spans="1:37" x14ac:dyDescent="0.2">
      <c r="A2323" t="str">
        <f>"20200111153654603"</f>
        <v>20200111153654603</v>
      </c>
      <c r="B2323" t="str">
        <f>"1578728214594729"</f>
        <v>1578728214594729</v>
      </c>
      <c r="C2323" t="s">
        <v>37</v>
      </c>
      <c r="D2323">
        <v>5.4650030000000003</v>
      </c>
      <c r="E2323">
        <v>0.45580140000000002</v>
      </c>
      <c r="F2323" t="s">
        <v>38</v>
      </c>
      <c r="G2323">
        <v>-468.48540000000003</v>
      </c>
      <c r="H2323">
        <v>1.024686</v>
      </c>
      <c r="I2323">
        <v>283.76159999999999</v>
      </c>
      <c r="J2323">
        <v>-467.81670000000003</v>
      </c>
      <c r="K2323">
        <v>1.1076079999999999</v>
      </c>
      <c r="L2323">
        <v>284.21440000000001</v>
      </c>
      <c r="M2323">
        <v>-0.99948559999999997</v>
      </c>
      <c r="N2323">
        <v>0</v>
      </c>
      <c r="O2323">
        <v>-2.918863E-2</v>
      </c>
      <c r="P2323">
        <v>-0.92745789999999995</v>
      </c>
      <c r="Q2323">
        <v>5.8220920000000002E-2</v>
      </c>
      <c r="R2323">
        <v>-0.36936799999999997</v>
      </c>
      <c r="S2323">
        <v>-2.6951290000000001</v>
      </c>
      <c r="T2323">
        <v>-0.25034610000000002</v>
      </c>
      <c r="U2323">
        <v>-1.3995059999999999</v>
      </c>
      <c r="V2323">
        <v>-0.3425511</v>
      </c>
      <c r="W2323">
        <v>6.8648029999999999E-2</v>
      </c>
      <c r="X2323">
        <v>0.93698780000000004</v>
      </c>
      <c r="Y2323">
        <v>-0.43337520000000002</v>
      </c>
      <c r="Z2323">
        <v>-1.6353389999999999E-2</v>
      </c>
      <c r="AA2323">
        <v>0.90106520000000001</v>
      </c>
      <c r="AB2323">
        <v>23</v>
      </c>
      <c r="AC2323">
        <v>-0.66870000000000096</v>
      </c>
      <c r="AD2323">
        <v>-8.2921999999999899E-2</v>
      </c>
      <c r="AE2323">
        <v>-0.45280000000002402</v>
      </c>
      <c r="AF2323">
        <v>-0.42856845052345899</v>
      </c>
      <c r="AG2323">
        <v>-8.2921999999999899E-2</v>
      </c>
      <c r="AH2323">
        <v>0.67452128493465602</v>
      </c>
      <c r="AI2323">
        <v>95.923925510723294</v>
      </c>
      <c r="AJ2323">
        <v>122.430523058923</v>
      </c>
      <c r="AK2323">
        <v>0.80344628862045198</v>
      </c>
    </row>
    <row r="2324" spans="1:37" x14ac:dyDescent="0.2">
      <c r="A2324" t="str">
        <f>"20200111153654626"</f>
        <v>20200111153654626</v>
      </c>
      <c r="B2324" t="str">
        <f>"1578728214615226"</f>
        <v>1578728214615226</v>
      </c>
      <c r="C2324" t="s">
        <v>37</v>
      </c>
      <c r="D2324">
        <v>5.4715339999999903</v>
      </c>
      <c r="E2324">
        <v>0.45628229999999997</v>
      </c>
      <c r="F2324" t="s">
        <v>38</v>
      </c>
      <c r="G2324">
        <v>-468.68799999999999</v>
      </c>
      <c r="H2324">
        <v>1.026467</v>
      </c>
      <c r="I2324">
        <v>283.75670000000002</v>
      </c>
      <c r="J2324">
        <v>-468.04610000000002</v>
      </c>
      <c r="K2324">
        <v>1.107721</v>
      </c>
      <c r="L2324">
        <v>284.20299999999997</v>
      </c>
      <c r="M2324">
        <v>-0.99935759999999996</v>
      </c>
      <c r="N2324">
        <v>0</v>
      </c>
      <c r="O2324">
        <v>-3.3279839999999998E-2</v>
      </c>
      <c r="P2324">
        <v>-0.92465830000000004</v>
      </c>
      <c r="Q2324">
        <v>5.9002310000000002E-2</v>
      </c>
      <c r="R2324">
        <v>-0.37619949999999902</v>
      </c>
      <c r="S2324">
        <v>-2.6879580000000001</v>
      </c>
      <c r="T2324">
        <v>-0.25028889999999998</v>
      </c>
      <c r="U2324">
        <v>-1.41214</v>
      </c>
      <c r="V2324">
        <v>-0.34565170000000001</v>
      </c>
      <c r="W2324">
        <v>6.9318260000000007E-2</v>
      </c>
      <c r="X2324">
        <v>0.93579909999999999</v>
      </c>
      <c r="Y2324">
        <v>-0.43400719999999998</v>
      </c>
      <c r="Z2324">
        <v>-1.604353E-2</v>
      </c>
      <c r="AA2324">
        <v>0.90076659999999997</v>
      </c>
      <c r="AB2324">
        <v>23</v>
      </c>
      <c r="AC2324">
        <v>-0.64190000000002101</v>
      </c>
      <c r="AD2324">
        <v>-8.1253999999999896E-2</v>
      </c>
      <c r="AE2324">
        <v>-0.44629999999995101</v>
      </c>
      <c r="AF2324">
        <v>-0.42015018046869701</v>
      </c>
      <c r="AG2324">
        <v>-8.1253999999999896E-2</v>
      </c>
      <c r="AH2324">
        <v>0.64938402052090005</v>
      </c>
      <c r="AI2324">
        <v>95.997147603031195</v>
      </c>
      <c r="AJ2324">
        <v>122.902787520118</v>
      </c>
      <c r="AK2324">
        <v>0.77770688101094199</v>
      </c>
    </row>
    <row r="2325" spans="1:37" x14ac:dyDescent="0.2">
      <c r="A2325" t="str">
        <f>"20200111153654648"</f>
        <v>20200111153654648</v>
      </c>
      <c r="B2325" t="str">
        <f>"1578728214645013"</f>
        <v>1578728214645013</v>
      </c>
      <c r="C2325" t="s">
        <v>37</v>
      </c>
      <c r="D2325">
        <v>5.4588190000000001</v>
      </c>
      <c r="E2325">
        <v>0.45671889999999998</v>
      </c>
      <c r="F2325" t="s">
        <v>38</v>
      </c>
      <c r="G2325">
        <v>-468.90089999999998</v>
      </c>
      <c r="H2325">
        <v>1.0290459999999999</v>
      </c>
      <c r="I2325">
        <v>283.74770000000001</v>
      </c>
      <c r="J2325">
        <v>-468.2715</v>
      </c>
      <c r="K2325">
        <v>1.107818</v>
      </c>
      <c r="L2325">
        <v>284.19080000000002</v>
      </c>
      <c r="M2325">
        <v>-0.99920919999999902</v>
      </c>
      <c r="N2325">
        <v>0</v>
      </c>
      <c r="O2325">
        <v>-3.7471820000000003E-2</v>
      </c>
      <c r="P2325">
        <v>-0.92197260000000003</v>
      </c>
      <c r="Q2325">
        <v>5.9167599999999897E-2</v>
      </c>
      <c r="R2325">
        <v>-0.38270859999999901</v>
      </c>
      <c r="S2325">
        <v>-2.679138</v>
      </c>
      <c r="T2325">
        <v>-0.24654980000000001</v>
      </c>
      <c r="U2325">
        <v>-1.42807</v>
      </c>
      <c r="V2325">
        <v>-0.34834219999999999</v>
      </c>
      <c r="W2325">
        <v>6.9379640000000006E-2</v>
      </c>
      <c r="X2325">
        <v>0.93479630000000002</v>
      </c>
      <c r="Y2325">
        <v>-0.43567679999999998</v>
      </c>
      <c r="Z2325">
        <v>-1.554264E-2</v>
      </c>
      <c r="AA2325">
        <v>0.89996900000000002</v>
      </c>
      <c r="AB2325">
        <v>23</v>
      </c>
      <c r="AC2325">
        <v>-0.62939999999997498</v>
      </c>
      <c r="AD2325">
        <v>-7.8771999999999995E-2</v>
      </c>
      <c r="AE2325">
        <v>-0.44310000000001498</v>
      </c>
      <c r="AF2325">
        <v>-0.41485712623116699</v>
      </c>
      <c r="AG2325">
        <v>-7.8771999999999995E-2</v>
      </c>
      <c r="AH2325">
        <v>0.63887224573076895</v>
      </c>
      <c r="AI2325">
        <v>95.903923394242199</v>
      </c>
      <c r="AJ2325">
        <v>122.99802169051</v>
      </c>
      <c r="AK2325">
        <v>0.76581277707665496</v>
      </c>
    </row>
    <row r="2326" spans="1:37" x14ac:dyDescent="0.2">
      <c r="A2326" t="str">
        <f>"20200111153654671"</f>
        <v>20200111153654671</v>
      </c>
      <c r="B2326" t="str">
        <f>"1578728214665508"</f>
        <v>1578728214665508</v>
      </c>
      <c r="C2326" t="s">
        <v>37</v>
      </c>
      <c r="D2326">
        <v>5.4841179999999996</v>
      </c>
      <c r="E2326">
        <v>0.45705390000000001</v>
      </c>
      <c r="F2326" t="s">
        <v>38</v>
      </c>
      <c r="G2326">
        <v>-469.13119999999998</v>
      </c>
      <c r="H2326">
        <v>1.02782</v>
      </c>
      <c r="I2326">
        <v>283.72559999999999</v>
      </c>
      <c r="J2326">
        <v>-468.49599999999998</v>
      </c>
      <c r="K2326">
        <v>1.1079159999999999</v>
      </c>
      <c r="L2326">
        <v>284.17739999999998</v>
      </c>
      <c r="M2326">
        <v>-0.99903569999999997</v>
      </c>
      <c r="N2326">
        <v>0</v>
      </c>
      <c r="O2326">
        <v>-4.1835650000000002E-2</v>
      </c>
      <c r="P2326">
        <v>-0.91935699999999998</v>
      </c>
      <c r="Q2326">
        <v>5.8831460000000002E-2</v>
      </c>
      <c r="R2326">
        <v>-0.38900089999999998</v>
      </c>
      <c r="S2326">
        <v>-2.6703189999999899</v>
      </c>
      <c r="T2326">
        <v>-0.24850659999999999</v>
      </c>
      <c r="U2326">
        <v>-1.444275</v>
      </c>
      <c r="V2326">
        <v>-0.35066310000000001</v>
      </c>
      <c r="W2326">
        <v>6.8938669999999994E-2</v>
      </c>
      <c r="X2326">
        <v>0.93396089999999998</v>
      </c>
      <c r="Y2326">
        <v>-0.43720310000000001</v>
      </c>
      <c r="Z2326">
        <v>-1.537912E-2</v>
      </c>
      <c r="AA2326">
        <v>0.89923129999999996</v>
      </c>
      <c r="AB2326">
        <v>23</v>
      </c>
      <c r="AC2326">
        <v>-0.63519999999999699</v>
      </c>
      <c r="AD2326">
        <v>-8.0095999999999695E-2</v>
      </c>
      <c r="AE2326">
        <v>-0.45179999999999099</v>
      </c>
      <c r="AF2326">
        <v>-0.42038933740823498</v>
      </c>
      <c r="AG2326">
        <v>-8.0095999999999695E-2</v>
      </c>
      <c r="AH2326">
        <v>0.64671843417325503</v>
      </c>
      <c r="AI2326">
        <v>95.928318402592495</v>
      </c>
      <c r="AJ2326">
        <v>123.02525983626801</v>
      </c>
      <c r="AK2326">
        <v>0.77549164877646604</v>
      </c>
    </row>
    <row r="2327" spans="1:37" x14ac:dyDescent="0.2">
      <c r="A2327" t="str">
        <f>"20200111153654693"</f>
        <v>20200111153654693</v>
      </c>
      <c r="B2327" t="str">
        <f>"1578728214685028"</f>
        <v>1578728214685028</v>
      </c>
      <c r="C2327" t="s">
        <v>37</v>
      </c>
      <c r="D2327">
        <v>5.5012429999999997</v>
      </c>
      <c r="E2327">
        <v>0.45750420000000003</v>
      </c>
      <c r="F2327" t="s">
        <v>38</v>
      </c>
      <c r="G2327">
        <v>-469.36430000000001</v>
      </c>
      <c r="H2327">
        <v>1.024834</v>
      </c>
      <c r="I2327">
        <v>283.70139999999998</v>
      </c>
      <c r="J2327">
        <v>-468.72149999999999</v>
      </c>
      <c r="K2327">
        <v>1.1080410000000001</v>
      </c>
      <c r="L2327">
        <v>284.1628</v>
      </c>
      <c r="M2327">
        <v>-0.99883310000000003</v>
      </c>
      <c r="N2327">
        <v>0</v>
      </c>
      <c r="O2327">
        <v>-4.6418510000000003E-2</v>
      </c>
      <c r="P2327">
        <v>-0.91658289999999998</v>
      </c>
      <c r="Q2327">
        <v>5.8435139999999997E-2</v>
      </c>
      <c r="R2327">
        <v>-0.39555190000000001</v>
      </c>
      <c r="S2327">
        <v>-2.6618650000000001</v>
      </c>
      <c r="T2327">
        <v>-0.2546737</v>
      </c>
      <c r="U2327">
        <v>-1.459595</v>
      </c>
      <c r="V2327">
        <v>-0.35306019999999999</v>
      </c>
      <c r="W2327">
        <v>6.8424899999999997E-2</v>
      </c>
      <c r="X2327">
        <v>0.93309519999999901</v>
      </c>
      <c r="Y2327">
        <v>-0.43820690000000001</v>
      </c>
      <c r="Z2327">
        <v>-1.5421499999999999E-2</v>
      </c>
      <c r="AA2327">
        <v>0.89874179999999904</v>
      </c>
      <c r="AB2327">
        <v>23</v>
      </c>
      <c r="AC2327">
        <v>-0.64280000000002202</v>
      </c>
      <c r="AD2327">
        <v>-8.3207000000000003E-2</v>
      </c>
      <c r="AE2327">
        <v>-0.46140000000002601</v>
      </c>
      <c r="AF2327">
        <v>-0.426347408078674</v>
      </c>
      <c r="AG2327">
        <v>-8.3207000000000003E-2</v>
      </c>
      <c r="AH2327">
        <v>0.65626916809420799</v>
      </c>
      <c r="AI2327">
        <v>96.068965441911502</v>
      </c>
      <c r="AJ2327">
        <v>123.00989949044499</v>
      </c>
      <c r="AK2327">
        <v>0.78700999880272704</v>
      </c>
    </row>
    <row r="2328" spans="1:37" x14ac:dyDescent="0.2">
      <c r="A2328" t="str">
        <f>"20200111153654715"</f>
        <v>20200111153654715</v>
      </c>
      <c r="B2328" t="str">
        <f>"1578728214705525"</f>
        <v>1578728214705525</v>
      </c>
      <c r="C2328" t="s">
        <v>37</v>
      </c>
      <c r="D2328">
        <v>5.4509429999999996</v>
      </c>
      <c r="E2328">
        <v>0.45551149999999901</v>
      </c>
      <c r="F2328" t="s">
        <v>44</v>
      </c>
      <c r="G2328">
        <v>-479.16930000000002</v>
      </c>
      <c r="H2328">
        <v>7.9999890000000004E-2</v>
      </c>
      <c r="I2328">
        <v>278.35500000000002</v>
      </c>
      <c r="J2328">
        <v>-468.94349999999997</v>
      </c>
      <c r="K2328">
        <v>1.1081809999999901</v>
      </c>
      <c r="L2328">
        <v>284.14710000000002</v>
      </c>
      <c r="M2328">
        <v>-0.99860230000000005</v>
      </c>
      <c r="N2328">
        <v>0</v>
      </c>
      <c r="O2328">
        <v>-5.1143550000000003E-2</v>
      </c>
      <c r="P2328">
        <v>-0.91363159999999899</v>
      </c>
      <c r="Q2328">
        <v>5.9516760000000002E-2</v>
      </c>
      <c r="R2328">
        <v>-0.40216350000000001</v>
      </c>
      <c r="S2328">
        <v>-2.653168</v>
      </c>
      <c r="T2328">
        <v>-0.26106560000000001</v>
      </c>
      <c r="U2328">
        <v>-1.4748540000000001</v>
      </c>
      <c r="V2328">
        <v>-0.3554214</v>
      </c>
      <c r="W2328">
        <v>6.9375370000000006E-2</v>
      </c>
      <c r="X2328">
        <v>0.93212799999999996</v>
      </c>
      <c r="Y2328">
        <v>-0.43909890000000001</v>
      </c>
      <c r="Z2328">
        <v>-1.544307E-2</v>
      </c>
      <c r="AA2328">
        <v>0.89830599999999905</v>
      </c>
      <c r="AB2328">
        <v>23</v>
      </c>
      <c r="AC2328">
        <v>-10.2258</v>
      </c>
      <c r="AD2328">
        <v>-1.02818110999999</v>
      </c>
      <c r="AE2328">
        <v>-5.7920999999999996</v>
      </c>
      <c r="AF2328">
        <v>-5.2215220663942503</v>
      </c>
      <c r="AG2328">
        <v>-1.02818110999999</v>
      </c>
      <c r="AH2328">
        <v>10.428846153302</v>
      </c>
      <c r="AI2328">
        <v>95.038037296404397</v>
      </c>
      <c r="AJ2328">
        <v>116.596243996393</v>
      </c>
      <c r="AK2328">
        <v>11.708214260682301</v>
      </c>
    </row>
    <row r="2329" spans="1:37" x14ac:dyDescent="0.2">
      <c r="A2329" t="str">
        <f>"20200111153654737"</f>
        <v>20200111153654737</v>
      </c>
      <c r="B2329" t="str">
        <f>"1578728214725044"</f>
        <v>1578728214725044</v>
      </c>
      <c r="C2329" t="s">
        <v>37</v>
      </c>
      <c r="D2329">
        <v>5.5311389999999996</v>
      </c>
      <c r="E2329">
        <v>0.45585769999999998</v>
      </c>
      <c r="F2329" t="s">
        <v>44</v>
      </c>
      <c r="G2329">
        <v>-477.03870000000001</v>
      </c>
      <c r="H2329">
        <v>5.8526719999999997E-2</v>
      </c>
      <c r="I2329">
        <v>279.54219999999998</v>
      </c>
      <c r="J2329">
        <v>-469.16399999999999</v>
      </c>
      <c r="K2329">
        <v>1.1083289999999999</v>
      </c>
      <c r="L2329">
        <v>284.13029999999998</v>
      </c>
      <c r="M2329">
        <v>-0.99833830000000001</v>
      </c>
      <c r="N2329">
        <v>0</v>
      </c>
      <c r="O2329">
        <v>-5.6056620000000001E-2</v>
      </c>
      <c r="P2329">
        <v>-0.91050959999999903</v>
      </c>
      <c r="Q2329">
        <v>6.0663830000000002E-2</v>
      </c>
      <c r="R2329">
        <v>-0.40901399999999999</v>
      </c>
      <c r="S2329">
        <v>-2.6438899999999999</v>
      </c>
      <c r="T2329">
        <v>-0.34281590000000001</v>
      </c>
      <c r="U2329">
        <v>-1.5039670000000001</v>
      </c>
      <c r="V2329">
        <v>-0.35787370000000002</v>
      </c>
      <c r="W2329">
        <v>7.0379029999999995E-2</v>
      </c>
      <c r="X2329">
        <v>0.931114</v>
      </c>
      <c r="Y2329">
        <v>-0.4425114</v>
      </c>
      <c r="Z2329">
        <v>-1.9880990000000001E-2</v>
      </c>
      <c r="AA2329">
        <v>0.89654249999999902</v>
      </c>
      <c r="AB2329">
        <v>23</v>
      </c>
      <c r="AC2329">
        <v>-7.8747000000000096</v>
      </c>
      <c r="AD2329">
        <v>-1.04980228</v>
      </c>
      <c r="AE2329">
        <v>-4.5880999999999901</v>
      </c>
      <c r="AF2329">
        <v>-4.0852121454611696</v>
      </c>
      <c r="AG2329">
        <v>-1.04980228</v>
      </c>
      <c r="AH2329">
        <v>8.0132102621738799</v>
      </c>
      <c r="AI2329">
        <v>96.657236779711994</v>
      </c>
      <c r="AJ2329">
        <v>117.012927140485</v>
      </c>
      <c r="AK2329">
        <v>9.05552769342159</v>
      </c>
    </row>
    <row r="2330" spans="1:37" x14ac:dyDescent="0.2">
      <c r="A2330" t="str">
        <f>"20200111153654760"</f>
        <v>20200111153654760</v>
      </c>
      <c r="B2330" t="str">
        <f>"1578728214754831"</f>
        <v>1578728214754831</v>
      </c>
      <c r="C2330" t="s">
        <v>37</v>
      </c>
      <c r="D2330">
        <v>5.5222350000000002</v>
      </c>
      <c r="E2330">
        <v>0.45642470000000002</v>
      </c>
      <c r="F2330" t="s">
        <v>44</v>
      </c>
      <c r="G2330">
        <v>-477.13560000000001</v>
      </c>
      <c r="H2330">
        <v>6.5971020000000005E-2</v>
      </c>
      <c r="I2330">
        <v>279.5274</v>
      </c>
      <c r="J2330">
        <v>-469.39299999999997</v>
      </c>
      <c r="K2330">
        <v>1.1084940000000001</v>
      </c>
      <c r="L2330">
        <v>284.11130000000003</v>
      </c>
      <c r="M2330">
        <v>-0.99802259999999998</v>
      </c>
      <c r="N2330">
        <v>0</v>
      </c>
      <c r="O2330">
        <v>-6.1417939999999997E-2</v>
      </c>
      <c r="P2330">
        <v>-0.90742699999999998</v>
      </c>
      <c r="Q2330">
        <v>6.121658E-2</v>
      </c>
      <c r="R2330">
        <v>-0.41572709999999902</v>
      </c>
      <c r="S2330">
        <v>-2.6344910000000001</v>
      </c>
      <c r="T2330">
        <v>-0.34448109999999998</v>
      </c>
      <c r="U2330">
        <v>-1.5211790000000001</v>
      </c>
      <c r="V2330">
        <v>-0.35978379999999999</v>
      </c>
      <c r="W2330">
        <v>7.0782380000000006E-2</v>
      </c>
      <c r="X2330">
        <v>0.93034699999999904</v>
      </c>
      <c r="Y2330">
        <v>-0.4434804</v>
      </c>
      <c r="Z2330">
        <v>-1.9424730000000001E-2</v>
      </c>
      <c r="AA2330">
        <v>0.89607359999999903</v>
      </c>
      <c r="AB2330">
        <v>23</v>
      </c>
      <c r="AC2330">
        <v>-7.7425999999999799</v>
      </c>
      <c r="AD2330">
        <v>-1.04252298</v>
      </c>
      <c r="AE2330">
        <v>-4.5839000000000203</v>
      </c>
      <c r="AF2330">
        <v>-4.0453603538727103</v>
      </c>
      <c r="AG2330">
        <v>-1.04252298</v>
      </c>
      <c r="AH2330">
        <v>7.9034388965618696</v>
      </c>
      <c r="AI2330">
        <v>96.697000926555106</v>
      </c>
      <c r="AJ2330">
        <v>117.105551395443</v>
      </c>
      <c r="AK2330">
        <v>8.9395828173467002</v>
      </c>
    </row>
    <row r="2331" spans="1:37" x14ac:dyDescent="0.2">
      <c r="A2331" t="str">
        <f>"20200111153654782"</f>
        <v>20200111153654782</v>
      </c>
      <c r="B2331" t="str">
        <f>"1578728214775344"</f>
        <v>1578728214775344</v>
      </c>
      <c r="C2331" t="s">
        <v>37</v>
      </c>
      <c r="D2331">
        <v>5.5418320000000003</v>
      </c>
      <c r="E2331">
        <v>0.45628209999999902</v>
      </c>
      <c r="F2331" t="s">
        <v>38</v>
      </c>
      <c r="G2331">
        <v>-470.2724</v>
      </c>
      <c r="H2331">
        <v>0.99070729999999996</v>
      </c>
      <c r="I2331">
        <v>283.59690000000001</v>
      </c>
      <c r="J2331">
        <v>-469.61489999999998</v>
      </c>
      <c r="K2331">
        <v>1.1086499999999999</v>
      </c>
      <c r="L2331">
        <v>284.09140000000002</v>
      </c>
      <c r="M2331">
        <v>-0.99767090000000003</v>
      </c>
      <c r="N2331">
        <v>0</v>
      </c>
      <c r="O2331">
        <v>-6.6883109999999996E-2</v>
      </c>
      <c r="P2331">
        <v>-0.90453739999999905</v>
      </c>
      <c r="Q2331">
        <v>6.0288759999999997E-2</v>
      </c>
      <c r="R2331">
        <v>-0.42211080000000001</v>
      </c>
      <c r="S2331">
        <v>-2.6259160000000001</v>
      </c>
      <c r="T2331">
        <v>-0.35171520000000001</v>
      </c>
      <c r="U2331">
        <v>-1.536346</v>
      </c>
      <c r="V2331">
        <v>-0.36125949999999901</v>
      </c>
      <c r="W2331">
        <v>6.9715470000000002E-2</v>
      </c>
      <c r="X2331">
        <v>0.92985549999999995</v>
      </c>
      <c r="Y2331">
        <v>-0.44363919999999901</v>
      </c>
      <c r="Z2331">
        <v>-1.9200080000000001E-2</v>
      </c>
      <c r="AA2331">
        <v>0.89599980000000001</v>
      </c>
      <c r="AB2331">
        <v>23</v>
      </c>
      <c r="AC2331">
        <v>-0.65750000000002695</v>
      </c>
      <c r="AD2331">
        <v>-0.117942699999999</v>
      </c>
      <c r="AE2331">
        <v>-0.49450000000001598</v>
      </c>
      <c r="AF2331">
        <v>-0.44036251558405298</v>
      </c>
      <c r="AG2331">
        <v>-0.117942699999999</v>
      </c>
      <c r="AH2331">
        <v>0.67522674221927703</v>
      </c>
      <c r="AI2331">
        <v>98.323703866127801</v>
      </c>
      <c r="AJ2331">
        <v>123.11117818014699</v>
      </c>
      <c r="AK2331">
        <v>0.814715152076395</v>
      </c>
    </row>
    <row r="2332" spans="1:37" x14ac:dyDescent="0.2">
      <c r="A2332" t="str">
        <f>"20200111153654804"</f>
        <v>20200111153654804</v>
      </c>
      <c r="B2332" t="str">
        <f>"1578728214794847"</f>
        <v>1578728214794847</v>
      </c>
      <c r="C2332" t="s">
        <v>37</v>
      </c>
      <c r="D2332">
        <v>5.5436969999999999</v>
      </c>
      <c r="E2332">
        <v>0.45625359999999998</v>
      </c>
      <c r="F2332" t="s">
        <v>38</v>
      </c>
      <c r="G2332">
        <v>-470.47129999999999</v>
      </c>
      <c r="H2332">
        <v>0.99025649999999998</v>
      </c>
      <c r="I2332">
        <v>283.58229999999998</v>
      </c>
      <c r="J2332">
        <v>-469.8329</v>
      </c>
      <c r="K2332">
        <v>1.108779</v>
      </c>
      <c r="L2332">
        <v>284.07040000000001</v>
      </c>
      <c r="M2332">
        <v>-0.99728119999999998</v>
      </c>
      <c r="N2332">
        <v>0</v>
      </c>
      <c r="O2332">
        <v>-7.2460280000000002E-2</v>
      </c>
      <c r="P2332">
        <v>-0.90160019999999996</v>
      </c>
      <c r="Q2332">
        <v>5.9625740000000003E-2</v>
      </c>
      <c r="R2332">
        <v>-0.42844110000000002</v>
      </c>
      <c r="S2332">
        <v>-2.6147770000000001</v>
      </c>
      <c r="T2332">
        <v>-0.36139509999999903</v>
      </c>
      <c r="U2332">
        <v>-1.5556950000000001</v>
      </c>
      <c r="V2332">
        <v>-0.36259400000000003</v>
      </c>
      <c r="W2332">
        <v>6.8933430000000004E-2</v>
      </c>
      <c r="X2332">
        <v>0.92939430000000001</v>
      </c>
      <c r="Y2332">
        <v>-0.44509460000000001</v>
      </c>
      <c r="Z2332">
        <v>-1.9153690000000001E-2</v>
      </c>
      <c r="AA2332">
        <v>0.89527869999999998</v>
      </c>
      <c r="AB2332">
        <v>23</v>
      </c>
      <c r="AC2332">
        <v>-0.63839999999998998</v>
      </c>
      <c r="AD2332">
        <v>-0.1185225</v>
      </c>
      <c r="AE2332">
        <v>-0.48810000000003101</v>
      </c>
      <c r="AF2332">
        <v>-0.43117483498231102</v>
      </c>
      <c r="AG2332">
        <v>-0.1185225</v>
      </c>
      <c r="AH2332">
        <v>0.65778422498933597</v>
      </c>
      <c r="AI2332">
        <v>98.569703475340106</v>
      </c>
      <c r="AJ2332">
        <v>123.244675372778</v>
      </c>
      <c r="AK2332">
        <v>0.79538632624221905</v>
      </c>
    </row>
    <row r="2333" spans="1:37" x14ac:dyDescent="0.2">
      <c r="A2333" t="str">
        <f>"20200111153654827"</f>
        <v>20200111153654827</v>
      </c>
      <c r="B2333" t="str">
        <f>"1578728214815346"</f>
        <v>1578728214815346</v>
      </c>
      <c r="C2333" t="s">
        <v>37</v>
      </c>
      <c r="D2333">
        <v>5.5085809999999897</v>
      </c>
      <c r="E2333">
        <v>0.45593400000000001</v>
      </c>
      <c r="F2333" t="s">
        <v>38</v>
      </c>
      <c r="G2333">
        <v>-470.6694</v>
      </c>
      <c r="H2333">
        <v>0.99024480000000004</v>
      </c>
      <c r="I2333">
        <v>283.56470000000002</v>
      </c>
      <c r="J2333">
        <v>-470.05759999999998</v>
      </c>
      <c r="K2333">
        <v>1.1088899999999999</v>
      </c>
      <c r="L2333">
        <v>284.04719999999998</v>
      </c>
      <c r="M2333">
        <v>-0.9968302</v>
      </c>
      <c r="N2333">
        <v>0</v>
      </c>
      <c r="O2333">
        <v>-7.8417909999999993E-2</v>
      </c>
      <c r="P2333">
        <v>-0.89847279999999996</v>
      </c>
      <c r="Q2333">
        <v>5.96813E-2</v>
      </c>
      <c r="R2333">
        <v>-0.4349537</v>
      </c>
      <c r="S2333">
        <v>-2.60379</v>
      </c>
      <c r="T2333">
        <v>-0.3689788</v>
      </c>
      <c r="U2333">
        <v>-1.5741270000000001</v>
      </c>
      <c r="V2333">
        <v>-0.36378660000000002</v>
      </c>
      <c r="W2333">
        <v>6.8883490000000006E-2</v>
      </c>
      <c r="X2333">
        <v>0.92893179999999997</v>
      </c>
      <c r="Y2333">
        <v>-0.44598759999999998</v>
      </c>
      <c r="Z2333">
        <v>-1.8882969999999999E-2</v>
      </c>
      <c r="AA2333">
        <v>0.89483989999999902</v>
      </c>
      <c r="AB2333">
        <v>23</v>
      </c>
      <c r="AC2333">
        <v>-0.611800000000016</v>
      </c>
      <c r="AD2333">
        <v>-0.11864519999999899</v>
      </c>
      <c r="AE2333">
        <v>-0.48249999999995902</v>
      </c>
      <c r="AF2333">
        <v>-0.42322048462067802</v>
      </c>
      <c r="AG2333">
        <v>-0.11864519999999899</v>
      </c>
      <c r="AH2333">
        <v>0.63307684834037903</v>
      </c>
      <c r="AI2333">
        <v>98.855598423480203</v>
      </c>
      <c r="AJ2333">
        <v>123.763266221328</v>
      </c>
      <c r="AK2333">
        <v>0.77070004410937298</v>
      </c>
    </row>
    <row r="2334" spans="1:37" x14ac:dyDescent="0.2">
      <c r="A2334" t="str">
        <f>"20200111153654849"</f>
        <v>20200111153654849</v>
      </c>
      <c r="B2334" t="str">
        <f>"1578728214845129"</f>
        <v>1578728214845129</v>
      </c>
      <c r="C2334" t="s">
        <v>37</v>
      </c>
      <c r="D2334">
        <v>5.5366359999999997</v>
      </c>
      <c r="E2334">
        <v>0.45563549999999903</v>
      </c>
      <c r="F2334" t="s">
        <v>38</v>
      </c>
      <c r="G2334">
        <v>-470.86799999999999</v>
      </c>
      <c r="H2334">
        <v>0.99200449999999996</v>
      </c>
      <c r="I2334">
        <v>283.54899999999998</v>
      </c>
      <c r="J2334">
        <v>-470.27960000000002</v>
      </c>
      <c r="K2334">
        <v>1.1089910000000001</v>
      </c>
      <c r="L2334">
        <v>284.02280000000002</v>
      </c>
      <c r="M2334">
        <v>-0.99633249999999995</v>
      </c>
      <c r="N2334">
        <v>0</v>
      </c>
      <c r="O2334">
        <v>-8.4504930000000006E-2</v>
      </c>
      <c r="P2334">
        <v>-0.89537770000000005</v>
      </c>
      <c r="Q2334">
        <v>5.9880889999999999E-2</v>
      </c>
      <c r="R2334">
        <v>-0.44126389999999999</v>
      </c>
      <c r="S2334">
        <v>-2.592041</v>
      </c>
      <c r="T2334">
        <v>-0.37379829999999997</v>
      </c>
      <c r="U2334">
        <v>-1.5942080000000001</v>
      </c>
      <c r="V2334">
        <v>-0.36466880000000002</v>
      </c>
      <c r="W2334">
        <v>6.8992429999999993E-2</v>
      </c>
      <c r="X2334">
        <v>0.92857780000000001</v>
      </c>
      <c r="Y2334">
        <v>-0.44732939999999999</v>
      </c>
      <c r="Z2334">
        <v>-1.846215E-2</v>
      </c>
      <c r="AA2334">
        <v>0.89417869999999999</v>
      </c>
      <c r="AB2334">
        <v>23</v>
      </c>
      <c r="AC2334">
        <v>-0.58840000000003501</v>
      </c>
      <c r="AD2334">
        <v>-0.11698649999999999</v>
      </c>
      <c r="AE2334">
        <v>-0.47379999999998201</v>
      </c>
      <c r="AF2334">
        <v>-0.41248602532432499</v>
      </c>
      <c r="AG2334">
        <v>-0.11698649999999999</v>
      </c>
      <c r="AH2334">
        <v>0.61166871967465897</v>
      </c>
      <c r="AI2334">
        <v>99.010416199151607</v>
      </c>
      <c r="AJ2334">
        <v>123.994222379525</v>
      </c>
      <c r="AK2334">
        <v>0.74697334952362704</v>
      </c>
    </row>
    <row r="2335" spans="1:37" x14ac:dyDescent="0.2">
      <c r="A2335" t="str">
        <f>"20200111153654871"</f>
        <v>20200111153654871</v>
      </c>
      <c r="B2335" t="str">
        <f>"1578728214864653"</f>
        <v>1578728214864653</v>
      </c>
      <c r="C2335" t="s">
        <v>37</v>
      </c>
      <c r="D2335">
        <v>5.5357799999999999</v>
      </c>
      <c r="E2335">
        <v>0.45547259999999901</v>
      </c>
      <c r="F2335" t="s">
        <v>38</v>
      </c>
      <c r="G2335">
        <v>-471.07069999999999</v>
      </c>
      <c r="H2335">
        <v>0.9927106</v>
      </c>
      <c r="I2335">
        <v>283.52780000000001</v>
      </c>
      <c r="J2335">
        <v>-470.50020000000001</v>
      </c>
      <c r="K2335">
        <v>1.109091</v>
      </c>
      <c r="L2335">
        <v>283.99700000000001</v>
      </c>
      <c r="M2335">
        <v>-0.99578349999999904</v>
      </c>
      <c r="N2335">
        <v>0</v>
      </c>
      <c r="O2335">
        <v>-9.0743870000000004E-2</v>
      </c>
      <c r="P2335">
        <v>-0.89240399999999998</v>
      </c>
      <c r="Q2335">
        <v>6.0149979999999999E-2</v>
      </c>
      <c r="R2335">
        <v>-0.44721090000000002</v>
      </c>
      <c r="S2335">
        <v>-2.580139</v>
      </c>
      <c r="T2335">
        <v>-0.3792276</v>
      </c>
      <c r="U2335">
        <v>-1.614746</v>
      </c>
      <c r="V2335">
        <v>-0.36505169999999998</v>
      </c>
      <c r="W2335">
        <v>6.9182709999999994E-2</v>
      </c>
      <c r="X2335">
        <v>0.92841319999999905</v>
      </c>
      <c r="Y2335">
        <v>-0.44866070000000002</v>
      </c>
      <c r="Z2335">
        <v>-1.8030359999999999E-2</v>
      </c>
      <c r="AA2335">
        <v>0.89352030000000005</v>
      </c>
      <c r="AB2335">
        <v>23</v>
      </c>
      <c r="AC2335">
        <v>-0.57049999999998102</v>
      </c>
      <c r="AD2335">
        <v>-0.11638039999999999</v>
      </c>
      <c r="AE2335">
        <v>-0.46920000000000001</v>
      </c>
      <c r="AF2335">
        <v>-0.40542554663193497</v>
      </c>
      <c r="AG2335">
        <v>-0.11638039999999999</v>
      </c>
      <c r="AH2335">
        <v>0.59593331537069205</v>
      </c>
      <c r="AI2335">
        <v>99.172225894801102</v>
      </c>
      <c r="AJ2335">
        <v>124.228250355694</v>
      </c>
      <c r="AK2335">
        <v>0.73010327196545899</v>
      </c>
    </row>
    <row r="2336" spans="1:37" x14ac:dyDescent="0.2">
      <c r="A2336" t="str">
        <f>"20200111153654893"</f>
        <v>20200111153654893</v>
      </c>
      <c r="B2336" t="str">
        <f>"1578728214885145"</f>
        <v>1578728214885145</v>
      </c>
      <c r="C2336" t="s">
        <v>37</v>
      </c>
      <c r="D2336">
        <v>5.5416699999999999</v>
      </c>
      <c r="E2336">
        <v>0.45528039999999997</v>
      </c>
      <c r="F2336" t="s">
        <v>38</v>
      </c>
      <c r="G2336">
        <v>-471.29899999999998</v>
      </c>
      <c r="H2336">
        <v>0.99046290000000003</v>
      </c>
      <c r="I2336">
        <v>283.4896</v>
      </c>
      <c r="J2336">
        <v>-470.71780000000001</v>
      </c>
      <c r="K2336">
        <v>1.109181</v>
      </c>
      <c r="L2336">
        <v>283.9699</v>
      </c>
      <c r="M2336">
        <v>-0.99518629999999997</v>
      </c>
      <c r="N2336">
        <v>0</v>
      </c>
      <c r="O2336">
        <v>-9.7072850000000002E-2</v>
      </c>
      <c r="P2336">
        <v>-0.88906180000000001</v>
      </c>
      <c r="Q2336">
        <v>5.9811690000000001E-2</v>
      </c>
      <c r="R2336">
        <v>-0.45386369999999998</v>
      </c>
      <c r="S2336">
        <v>-2.5690919999999999</v>
      </c>
      <c r="T2336">
        <v>-0.38141950000000002</v>
      </c>
      <c r="U2336">
        <v>-1.632965</v>
      </c>
      <c r="V2336">
        <v>-0.36609559999999902</v>
      </c>
      <c r="W2336">
        <v>6.8756479999999995E-2</v>
      </c>
      <c r="X2336">
        <v>0.92803369999999996</v>
      </c>
      <c r="Y2336">
        <v>-0.4492488</v>
      </c>
      <c r="Z2336">
        <v>-1.736658E-2</v>
      </c>
      <c r="AA2336">
        <v>0.89323790000000003</v>
      </c>
      <c r="AB2336">
        <v>23</v>
      </c>
      <c r="AC2336">
        <v>-0.58120000000002303</v>
      </c>
      <c r="AD2336">
        <v>-0.11871809999999899</v>
      </c>
      <c r="AE2336">
        <v>-0.48029999999999901</v>
      </c>
      <c r="AF2336">
        <v>-0.41140765722144501</v>
      </c>
      <c r="AG2336">
        <v>-0.11871809999999899</v>
      </c>
      <c r="AH2336">
        <v>0.60996061724789397</v>
      </c>
      <c r="AI2336">
        <v>99.166211925942704</v>
      </c>
      <c r="AJ2336">
        <v>123.99896868912801</v>
      </c>
      <c r="AK2336">
        <v>0.745253112896203</v>
      </c>
    </row>
    <row r="2337" spans="1:37" x14ac:dyDescent="0.2">
      <c r="A2337" t="str">
        <f>"20200111153654908"</f>
        <v>20200111153654908</v>
      </c>
      <c r="B2337" t="str">
        <f>"1578728214905643"</f>
        <v>1578728214905643</v>
      </c>
      <c r="C2337" t="s">
        <v>37</v>
      </c>
      <c r="D2337">
        <v>5.5699129999999997</v>
      </c>
      <c r="E2337">
        <v>0.4551444</v>
      </c>
      <c r="F2337" t="s">
        <v>38</v>
      </c>
      <c r="G2337">
        <v>-471.5179</v>
      </c>
      <c r="H2337">
        <v>0.98898639999999904</v>
      </c>
      <c r="I2337">
        <v>283.45260000000002</v>
      </c>
      <c r="J2337">
        <v>-470.86380000000003</v>
      </c>
      <c r="K2337">
        <v>1.1092420000000001</v>
      </c>
      <c r="L2337">
        <v>283.95089999999999</v>
      </c>
      <c r="M2337">
        <v>-0.99475239999999998</v>
      </c>
      <c r="N2337">
        <v>0</v>
      </c>
      <c r="O2337">
        <v>-0.1014187</v>
      </c>
      <c r="P2337">
        <v>-0.8870306</v>
      </c>
      <c r="Q2337">
        <v>5.8843560000000003E-2</v>
      </c>
      <c r="R2337">
        <v>-0.4579452</v>
      </c>
      <c r="S2337">
        <v>-2.5562130000000001</v>
      </c>
      <c r="T2337">
        <v>-0.38399169999999999</v>
      </c>
      <c r="U2337">
        <v>-1.653168</v>
      </c>
      <c r="V2337">
        <v>-0.36630309999999999</v>
      </c>
      <c r="W2337">
        <v>6.7737000000000006E-2</v>
      </c>
      <c r="X2337">
        <v>0.92802680000000004</v>
      </c>
      <c r="Y2337">
        <v>-0.45234570000000002</v>
      </c>
      <c r="Z2337">
        <v>-1.7152529999999999E-2</v>
      </c>
      <c r="AA2337">
        <v>0.89167770000000002</v>
      </c>
      <c r="AB2337">
        <v>23</v>
      </c>
      <c r="AC2337">
        <v>-0.65409999999997104</v>
      </c>
      <c r="AD2337">
        <v>-0.1202556</v>
      </c>
      <c r="AE2337">
        <v>-0.49829999999997199</v>
      </c>
      <c r="AF2337">
        <v>-0.42039485079746403</v>
      </c>
      <c r="AG2337">
        <v>-0.1202556</v>
      </c>
      <c r="AH2337">
        <v>0.68658369933341801</v>
      </c>
      <c r="AI2337">
        <v>98.495676186286104</v>
      </c>
      <c r="AJ2337">
        <v>121.479114496847</v>
      </c>
      <c r="AK2337">
        <v>0.81399657007799697</v>
      </c>
    </row>
    <row r="2338" spans="1:37" x14ac:dyDescent="0.2">
      <c r="A2338" t="str">
        <f>"20200111153654928"</f>
        <v>20200111153654928</v>
      </c>
      <c r="B2338" t="str">
        <f>"1578728214915402"</f>
        <v>1578728214915402</v>
      </c>
      <c r="C2338" t="s">
        <v>37</v>
      </c>
      <c r="D2338">
        <v>5.5376769999999897</v>
      </c>
      <c r="E2338">
        <v>0.45505390000000001</v>
      </c>
      <c r="F2338" t="s">
        <v>38</v>
      </c>
      <c r="G2338">
        <v>-471.64830000000001</v>
      </c>
      <c r="H2338">
        <v>0.9895716</v>
      </c>
      <c r="I2338">
        <v>283.4384</v>
      </c>
      <c r="J2338">
        <v>-471.05009999999999</v>
      </c>
      <c r="K2338">
        <v>1.109305</v>
      </c>
      <c r="L2338">
        <v>283.92540000000002</v>
      </c>
      <c r="M2338">
        <v>-0.99416079999999996</v>
      </c>
      <c r="N2338">
        <v>0</v>
      </c>
      <c r="O2338">
        <v>-0.10706199999999901</v>
      </c>
      <c r="P2338">
        <v>-0.88414300000000001</v>
      </c>
      <c r="Q2338">
        <v>5.7109760000000002E-2</v>
      </c>
      <c r="R2338">
        <v>-0.4637134</v>
      </c>
      <c r="S2338">
        <v>-2.548035</v>
      </c>
      <c r="T2338">
        <v>-0.38860209999999901</v>
      </c>
      <c r="U2338">
        <v>-1.665375</v>
      </c>
      <c r="V2338">
        <v>-0.36706609999999901</v>
      </c>
      <c r="W2338">
        <v>6.5930970000000005E-2</v>
      </c>
      <c r="X2338">
        <v>0.9278554</v>
      </c>
      <c r="Y2338">
        <v>-0.45157779999999997</v>
      </c>
      <c r="Z2338">
        <v>-1.656442E-2</v>
      </c>
      <c r="AA2338">
        <v>0.89207800000000004</v>
      </c>
      <c r="AB2338">
        <v>22</v>
      </c>
      <c r="AC2338">
        <v>-0.59820000000001905</v>
      </c>
      <c r="AD2338">
        <v>-0.119733399999999</v>
      </c>
      <c r="AE2338">
        <v>-0.48700000000002303</v>
      </c>
      <c r="AF2338">
        <v>-0.41026522793382803</v>
      </c>
      <c r="AG2338">
        <v>-0.119733399999999</v>
      </c>
      <c r="AH2338">
        <v>0.63168538459262802</v>
      </c>
      <c r="AI2338">
        <v>99.032253884942904</v>
      </c>
      <c r="AJ2338">
        <v>123.002803349367</v>
      </c>
      <c r="AK2338">
        <v>0.76267953259222399</v>
      </c>
    </row>
    <row r="2339" spans="1:37" x14ac:dyDescent="0.2">
      <c r="A2339" t="str">
        <f>"20200111153654950"</f>
        <v>20200111153654950</v>
      </c>
      <c r="B2339" t="str">
        <f>"1578728214945657"</f>
        <v>1578728214945657</v>
      </c>
      <c r="C2339" t="s">
        <v>37</v>
      </c>
      <c r="D2339">
        <v>5.5722040000000002</v>
      </c>
      <c r="E2339">
        <v>0.4546424</v>
      </c>
      <c r="F2339" t="s">
        <v>38</v>
      </c>
      <c r="G2339">
        <v>-471.83909999999997</v>
      </c>
      <c r="H2339">
        <v>0.98631829999999998</v>
      </c>
      <c r="I2339">
        <v>283.40199999999999</v>
      </c>
      <c r="J2339">
        <v>-471.27330000000001</v>
      </c>
      <c r="K2339">
        <v>1.109378</v>
      </c>
      <c r="L2339">
        <v>283.89330000000001</v>
      </c>
      <c r="M2339">
        <v>-0.99339140000000004</v>
      </c>
      <c r="N2339">
        <v>0</v>
      </c>
      <c r="O2339">
        <v>-0.1139773</v>
      </c>
      <c r="P2339">
        <v>-0.88052609999999998</v>
      </c>
      <c r="Q2339">
        <v>5.4664490000000003E-2</v>
      </c>
      <c r="R2339">
        <v>-0.47083530000000001</v>
      </c>
      <c r="S2339">
        <v>-2.536438</v>
      </c>
      <c r="T2339">
        <v>-0.39535549999999903</v>
      </c>
      <c r="U2339">
        <v>-1.682129</v>
      </c>
      <c r="V2339">
        <v>-0.36807259999999897</v>
      </c>
      <c r="W2339">
        <v>6.3404260000000004E-2</v>
      </c>
      <c r="X2339">
        <v>0.92763269999999998</v>
      </c>
      <c r="Y2339">
        <v>-0.45130619999999999</v>
      </c>
      <c r="Z2339">
        <v>-1.591298E-2</v>
      </c>
      <c r="AA2339">
        <v>0.892227199999999</v>
      </c>
      <c r="AB2339">
        <v>22</v>
      </c>
      <c r="AC2339">
        <v>-0.565799999999967</v>
      </c>
      <c r="AD2339">
        <v>-0.12305969999999899</v>
      </c>
      <c r="AE2339">
        <v>-0.491300000000023</v>
      </c>
      <c r="AF2339">
        <v>-0.412479056649248</v>
      </c>
      <c r="AG2339">
        <v>-0.12305969999999899</v>
      </c>
      <c r="AH2339">
        <v>0.60188173580587601</v>
      </c>
      <c r="AI2339">
        <v>99.573073429140607</v>
      </c>
      <c r="AJ2339">
        <v>124.42345648250701</v>
      </c>
      <c r="AK2339">
        <v>0.73996235433637902</v>
      </c>
    </row>
    <row r="2340" spans="1:37" x14ac:dyDescent="0.2">
      <c r="A2340" t="str">
        <f>"20200111153654972"</f>
        <v>20200111153654972</v>
      </c>
      <c r="B2340" t="str">
        <f>"1578728214965177"</f>
        <v>1578728214965177</v>
      </c>
      <c r="C2340" t="s">
        <v>37</v>
      </c>
      <c r="D2340">
        <v>5.5905870000000002</v>
      </c>
      <c r="E2340">
        <v>0.45448270000000002</v>
      </c>
      <c r="F2340" t="s">
        <v>38</v>
      </c>
      <c r="G2340">
        <v>-472.03750000000002</v>
      </c>
      <c r="H2340">
        <v>0.98635599999999901</v>
      </c>
      <c r="I2340">
        <v>283.3768</v>
      </c>
      <c r="J2340">
        <v>-471.4905</v>
      </c>
      <c r="K2340">
        <v>1.109432</v>
      </c>
      <c r="L2340">
        <v>283.86040000000003</v>
      </c>
      <c r="M2340">
        <v>-0.99257850000000003</v>
      </c>
      <c r="N2340">
        <v>0</v>
      </c>
      <c r="O2340">
        <v>-0.1208509</v>
      </c>
      <c r="P2340">
        <v>-0.87692950000000003</v>
      </c>
      <c r="Q2340">
        <v>5.2683550000000003E-2</v>
      </c>
      <c r="R2340">
        <v>-0.4777228</v>
      </c>
      <c r="S2340">
        <v>-2.5206909999999998</v>
      </c>
      <c r="T2340">
        <v>-0.40571370000000001</v>
      </c>
      <c r="U2340">
        <v>-1.704712</v>
      </c>
      <c r="V2340">
        <v>-0.36890009999999901</v>
      </c>
      <c r="W2340">
        <v>6.1356910000000001E-2</v>
      </c>
      <c r="X2340">
        <v>0.92744169999999904</v>
      </c>
      <c r="Y2340">
        <v>-0.453096</v>
      </c>
      <c r="Z2340">
        <v>-1.5530449999999999E-2</v>
      </c>
      <c r="AA2340">
        <v>0.89132639999999996</v>
      </c>
      <c r="AB2340">
        <v>22</v>
      </c>
      <c r="AC2340">
        <v>-0.54700000000002502</v>
      </c>
      <c r="AD2340">
        <v>-0.123076</v>
      </c>
      <c r="AE2340">
        <v>-0.48360000000002401</v>
      </c>
      <c r="AF2340">
        <v>-0.40250596680526601</v>
      </c>
      <c r="AG2340">
        <v>-0.123076</v>
      </c>
      <c r="AH2340">
        <v>0.58482095599554096</v>
      </c>
      <c r="AI2340">
        <v>99.834997202718696</v>
      </c>
      <c r="AJ2340">
        <v>124.53788829288</v>
      </c>
      <c r="AK2340">
        <v>0.720537511626828</v>
      </c>
    </row>
    <row r="2341" spans="1:37" x14ac:dyDescent="0.2">
      <c r="A2341" t="str">
        <f>"20200111153654994"</f>
        <v>20200111153654994</v>
      </c>
      <c r="B2341" t="str">
        <f>"1578728214985673"</f>
        <v>1578728214985673</v>
      </c>
      <c r="C2341" t="s">
        <v>37</v>
      </c>
      <c r="D2341">
        <v>5.6086349999999996</v>
      </c>
      <c r="E2341">
        <v>0.44839519999999999</v>
      </c>
      <c r="F2341" t="s">
        <v>38</v>
      </c>
      <c r="G2341">
        <v>-472.25699999999898</v>
      </c>
      <c r="H2341">
        <v>0.98321059999999905</v>
      </c>
      <c r="I2341">
        <v>283.3329</v>
      </c>
      <c r="J2341">
        <v>-471.70650000000001</v>
      </c>
      <c r="K2341">
        <v>1.1094729999999999</v>
      </c>
      <c r="L2341">
        <v>283.825999999999</v>
      </c>
      <c r="M2341">
        <v>-0.99170539999999996</v>
      </c>
      <c r="N2341">
        <v>0</v>
      </c>
      <c r="O2341">
        <v>-0.12781689999999901</v>
      </c>
      <c r="P2341">
        <v>-0.87312670000000003</v>
      </c>
      <c r="Q2341">
        <v>5.1296670000000003E-2</v>
      </c>
      <c r="R2341">
        <v>-0.48478710000000003</v>
      </c>
      <c r="S2341">
        <v>-2.5061339999999999</v>
      </c>
      <c r="T2341">
        <v>-0.41271949999999902</v>
      </c>
      <c r="U2341">
        <v>-1.7249759999999901</v>
      </c>
      <c r="V2341">
        <v>-0.36986069999999999</v>
      </c>
      <c r="W2341">
        <v>5.9912849999999997E-2</v>
      </c>
      <c r="X2341">
        <v>0.92715349999999996</v>
      </c>
      <c r="Y2341">
        <v>-0.45409859999999902</v>
      </c>
      <c r="Z2341">
        <v>-1.4909560000000001E-2</v>
      </c>
      <c r="AA2341">
        <v>0.89082669999999997</v>
      </c>
      <c r="AB2341">
        <v>22</v>
      </c>
      <c r="AC2341">
        <v>-0.55049999999994204</v>
      </c>
      <c r="AD2341">
        <v>-0.1262624</v>
      </c>
      <c r="AE2341">
        <v>-0.49309999999996901</v>
      </c>
      <c r="AF2341">
        <v>-0.40681125492179698</v>
      </c>
      <c r="AG2341">
        <v>-0.1262624</v>
      </c>
      <c r="AH2341">
        <v>0.59174454543691102</v>
      </c>
      <c r="AI2341">
        <v>99.972394959908101</v>
      </c>
      <c r="AJ2341">
        <v>124.50766035181999</v>
      </c>
      <c r="AK2341">
        <v>0.72910849524549104</v>
      </c>
    </row>
    <row r="2342" spans="1:37" x14ac:dyDescent="0.2">
      <c r="A2342" t="str">
        <f>"20200111153655016"</f>
        <v>20200111153655016</v>
      </c>
      <c r="B2342" t="str">
        <f>"1578728215005193"</f>
        <v>1578728215005193</v>
      </c>
      <c r="C2342" t="s">
        <v>37</v>
      </c>
      <c r="D2342">
        <v>5.5703569999999996</v>
      </c>
      <c r="E2342">
        <v>0.448546</v>
      </c>
      <c r="F2342" t="s">
        <v>38</v>
      </c>
      <c r="G2342">
        <v>-472.42950000000002</v>
      </c>
      <c r="H2342">
        <v>0.97922209999999998</v>
      </c>
      <c r="I2342">
        <v>283.30369999999999</v>
      </c>
      <c r="J2342">
        <v>-471.92259999999999</v>
      </c>
      <c r="K2342">
        <v>1.1095139999999999</v>
      </c>
      <c r="L2342">
        <v>283.78989999999999</v>
      </c>
      <c r="M2342">
        <v>-0.99076549999999997</v>
      </c>
      <c r="N2342">
        <v>0</v>
      </c>
      <c r="O2342">
        <v>-0.134907</v>
      </c>
      <c r="P2342">
        <v>-0.86902780000000002</v>
      </c>
      <c r="Q2342">
        <v>4.994183E-2</v>
      </c>
      <c r="R2342">
        <v>-0.49223660000000002</v>
      </c>
      <c r="S2342">
        <v>-2.470612</v>
      </c>
      <c r="T2342">
        <v>-0.44505230000000001</v>
      </c>
      <c r="U2342">
        <v>-1.7856749999999999</v>
      </c>
      <c r="V2342">
        <v>-0.3711412</v>
      </c>
      <c r="W2342">
        <v>5.850437E-2</v>
      </c>
      <c r="X2342">
        <v>0.92673159999999899</v>
      </c>
      <c r="Y2342">
        <v>-0.46762419999999999</v>
      </c>
      <c r="Z2342">
        <v>-1.6136299999999999E-2</v>
      </c>
      <c r="AA2342">
        <v>0.88378009999999996</v>
      </c>
      <c r="AB2342">
        <v>22</v>
      </c>
      <c r="AC2342">
        <v>-0.50690000000002999</v>
      </c>
      <c r="AD2342">
        <v>-0.13029189999999899</v>
      </c>
      <c r="AE2342">
        <v>-0.48619999999999602</v>
      </c>
      <c r="AF2342">
        <v>-0.39961296509697802</v>
      </c>
      <c r="AG2342">
        <v>-0.13029189999999899</v>
      </c>
      <c r="AH2342">
        <v>0.54897262226244603</v>
      </c>
      <c r="AI2342">
        <v>100.862096699557</v>
      </c>
      <c r="AJ2342">
        <v>126.051950571047</v>
      </c>
      <c r="AK2342">
        <v>0.69140251740423597</v>
      </c>
    </row>
    <row r="2343" spans="1:37" x14ac:dyDescent="0.2">
      <c r="A2343" t="str">
        <f>"20200111153655039"</f>
        <v>20200111153655039</v>
      </c>
      <c r="B2343" t="str">
        <f>"1578728215035450"</f>
        <v>1578728215035450</v>
      </c>
      <c r="C2343" t="s">
        <v>37</v>
      </c>
      <c r="D2343">
        <v>5.6010210000000002</v>
      </c>
      <c r="E2343">
        <v>0.44845159999999901</v>
      </c>
      <c r="F2343" t="s">
        <v>38</v>
      </c>
      <c r="G2343">
        <v>-472.64830000000001</v>
      </c>
      <c r="H2343">
        <v>0.97682159999999996</v>
      </c>
      <c r="I2343">
        <v>283.25659999999999</v>
      </c>
      <c r="J2343">
        <v>-472.13990000000001</v>
      </c>
      <c r="K2343">
        <v>1.1095549999999901</v>
      </c>
      <c r="L2343">
        <v>283.75189999999998</v>
      </c>
      <c r="M2343">
        <v>-0.98975249999999904</v>
      </c>
      <c r="N2343">
        <v>0</v>
      </c>
      <c r="O2343">
        <v>-0.1421463</v>
      </c>
      <c r="P2343">
        <v>-0.86492409999999997</v>
      </c>
      <c r="Q2343">
        <v>4.8741439999999997E-2</v>
      </c>
      <c r="R2343">
        <v>-0.49953019999999998</v>
      </c>
      <c r="S2343">
        <v>-2.4556269999999998</v>
      </c>
      <c r="T2343">
        <v>-0.4490017</v>
      </c>
      <c r="U2343">
        <v>-1.8048709999999999</v>
      </c>
      <c r="V2343">
        <v>-0.37214809999999998</v>
      </c>
      <c r="W2343">
        <v>5.7258089999999998E-2</v>
      </c>
      <c r="X2343">
        <v>0.92640549999999999</v>
      </c>
      <c r="Y2343">
        <v>-0.468230599999999</v>
      </c>
      <c r="Z2343">
        <v>-1.5236370000000001E-2</v>
      </c>
      <c r="AA2343">
        <v>0.88347489999999995</v>
      </c>
      <c r="AB2343">
        <v>22</v>
      </c>
      <c r="AC2343">
        <v>-0.50839999999999397</v>
      </c>
      <c r="AD2343">
        <v>-0.132733399999999</v>
      </c>
      <c r="AE2343">
        <v>-0.49529999999998597</v>
      </c>
      <c r="AF2343">
        <v>-0.40387195477122101</v>
      </c>
      <c r="AG2343">
        <v>-0.132733399999999</v>
      </c>
      <c r="AH2343">
        <v>0.55426490829387298</v>
      </c>
      <c r="AI2343">
        <v>100.95388909894599</v>
      </c>
      <c r="AJ2343">
        <v>126.079413370483</v>
      </c>
      <c r="AK2343">
        <v>0.69852723632819302</v>
      </c>
    </row>
    <row r="2344" spans="1:37" x14ac:dyDescent="0.2">
      <c r="A2344" t="str">
        <f>"20200111153655062"</f>
        <v>20200111153655062</v>
      </c>
      <c r="B2344" t="str">
        <f>"1578728215054970"</f>
        <v>1578728215054970</v>
      </c>
      <c r="C2344" t="s">
        <v>37</v>
      </c>
      <c r="D2344">
        <v>5.537032</v>
      </c>
      <c r="E2344">
        <v>0.45173019999999903</v>
      </c>
      <c r="F2344" t="s">
        <v>38</v>
      </c>
      <c r="G2344">
        <v>-472.86860000000001</v>
      </c>
      <c r="H2344">
        <v>0.97418019999999905</v>
      </c>
      <c r="I2344">
        <v>283.20690000000002</v>
      </c>
      <c r="J2344">
        <v>-472.36579999999998</v>
      </c>
      <c r="K2344">
        <v>1.1096010000000001</v>
      </c>
      <c r="L2344">
        <v>283.71039999999999</v>
      </c>
      <c r="M2344">
        <v>-0.98862299999999903</v>
      </c>
      <c r="N2344">
        <v>0</v>
      </c>
      <c r="O2344">
        <v>-0.1497995</v>
      </c>
      <c r="P2344">
        <v>-0.86028549999999904</v>
      </c>
      <c r="Q2344">
        <v>4.922816E-2</v>
      </c>
      <c r="R2344">
        <v>-0.50743059999999995</v>
      </c>
      <c r="S2344">
        <v>-2.4398499999999999</v>
      </c>
      <c r="T2344">
        <v>-0.45323859999999899</v>
      </c>
      <c r="U2344">
        <v>-1.8253169999999901</v>
      </c>
      <c r="V2344">
        <v>-0.37348179999999997</v>
      </c>
      <c r="W2344">
        <v>5.7690819999999997E-2</v>
      </c>
      <c r="X2344">
        <v>0.9258419</v>
      </c>
      <c r="Y2344">
        <v>-0.46889369999999903</v>
      </c>
      <c r="Z2344">
        <v>-1.4264600000000001E-2</v>
      </c>
      <c r="AA2344">
        <v>0.88313940000000002</v>
      </c>
      <c r="AB2344">
        <v>22</v>
      </c>
      <c r="AC2344">
        <v>-0.502800000000036</v>
      </c>
      <c r="AD2344">
        <v>-0.13542080000000001</v>
      </c>
      <c r="AE2344">
        <v>-0.50349999999997397</v>
      </c>
      <c r="AF2344">
        <v>-0.40772384468056599</v>
      </c>
      <c r="AG2344">
        <v>-0.13542080000000001</v>
      </c>
      <c r="AH2344">
        <v>0.55254356676007899</v>
      </c>
      <c r="AI2344">
        <v>101.156036510324</v>
      </c>
      <c r="AJ2344">
        <v>126.42374680129301</v>
      </c>
      <c r="AK2344">
        <v>0.69991565189077798</v>
      </c>
    </row>
    <row r="2345" spans="1:37" x14ac:dyDescent="0.2">
      <c r="A2345" t="str">
        <f>"20200111153655084"</f>
        <v>20200111153655084</v>
      </c>
      <c r="B2345" t="str">
        <f>"1578728215075465"</f>
        <v>1578728215075465</v>
      </c>
      <c r="C2345" t="s">
        <v>37</v>
      </c>
      <c r="D2345">
        <v>5.5564549999999997</v>
      </c>
      <c r="E2345">
        <v>0.45206030000000003</v>
      </c>
      <c r="F2345" t="s">
        <v>38</v>
      </c>
      <c r="G2345">
        <v>-473.16480000000001</v>
      </c>
      <c r="H2345">
        <v>0.99112549999999899</v>
      </c>
      <c r="I2345">
        <v>283.10890000000001</v>
      </c>
      <c r="J2345">
        <v>-472.57499999999999</v>
      </c>
      <c r="K2345">
        <v>1.1096539999999999</v>
      </c>
      <c r="L2345">
        <v>283.67020000000002</v>
      </c>
      <c r="M2345">
        <v>-0.98750720000000003</v>
      </c>
      <c r="N2345">
        <v>0</v>
      </c>
      <c r="O2345">
        <v>-0.15698570000000001</v>
      </c>
      <c r="P2345">
        <v>-0.85532450000000004</v>
      </c>
      <c r="Q2345">
        <v>5.049555E-2</v>
      </c>
      <c r="R2345">
        <v>-0.51562619999999904</v>
      </c>
      <c r="S2345">
        <v>-2.428925</v>
      </c>
      <c r="T2345">
        <v>-0.36010540000000002</v>
      </c>
      <c r="U2345">
        <v>-1.829224</v>
      </c>
      <c r="V2345">
        <v>-0.37562679999999998</v>
      </c>
      <c r="W2345">
        <v>5.8890409999999997E-2</v>
      </c>
      <c r="X2345">
        <v>0.92489809999999995</v>
      </c>
      <c r="Y2345">
        <v>-0.46659979999999901</v>
      </c>
      <c r="Z2345">
        <v>-1.033474E-2</v>
      </c>
      <c r="AA2345">
        <v>0.88440819999999998</v>
      </c>
      <c r="AB2345">
        <v>22</v>
      </c>
      <c r="AC2345">
        <v>-0.58980000000002497</v>
      </c>
      <c r="AD2345">
        <v>-0.11852849999999999</v>
      </c>
      <c r="AE2345">
        <v>-0.56130000000001701</v>
      </c>
      <c r="AF2345">
        <v>-0.45215796055402402</v>
      </c>
      <c r="AG2345">
        <v>-0.11852849999999999</v>
      </c>
      <c r="AH2345">
        <v>0.65669286127092297</v>
      </c>
      <c r="AI2345">
        <v>98.455763249881599</v>
      </c>
      <c r="AJ2345">
        <v>124.54888658018</v>
      </c>
      <c r="AK2345">
        <v>0.80606534514815598</v>
      </c>
    </row>
    <row r="2346" spans="1:37" x14ac:dyDescent="0.2">
      <c r="A2346" t="str">
        <f>"20200111153655106"</f>
        <v>20200111153655106</v>
      </c>
      <c r="B2346" t="str">
        <f>"1578728215094986"</f>
        <v>1578728215094986</v>
      </c>
      <c r="C2346" t="s">
        <v>37</v>
      </c>
      <c r="D2346">
        <v>5.5852769999999996</v>
      </c>
      <c r="E2346">
        <v>0.45156590000000002</v>
      </c>
      <c r="F2346" t="s">
        <v>38</v>
      </c>
      <c r="G2346">
        <v>-473.35550000000001</v>
      </c>
      <c r="H2346">
        <v>1.0028649999999999</v>
      </c>
      <c r="I2346">
        <v>283.07089999999999</v>
      </c>
      <c r="J2346">
        <v>-472.79270000000002</v>
      </c>
      <c r="K2346">
        <v>1.10971</v>
      </c>
      <c r="L2346">
        <v>283.6266</v>
      </c>
      <c r="M2346">
        <v>-0.98627509999999996</v>
      </c>
      <c r="N2346">
        <v>0</v>
      </c>
      <c r="O2346">
        <v>-0.16454849999999999</v>
      </c>
      <c r="P2346">
        <v>-0.85029290000000002</v>
      </c>
      <c r="Q2346">
        <v>5.1438579999999998E-2</v>
      </c>
      <c r="R2346">
        <v>-0.52379039999999999</v>
      </c>
      <c r="S2346">
        <v>-2.4108580000000002</v>
      </c>
      <c r="T2346">
        <v>-0.3298603</v>
      </c>
      <c r="U2346">
        <v>-1.8513489999999999</v>
      </c>
      <c r="V2346">
        <v>-0.37741979999999897</v>
      </c>
      <c r="W2346">
        <v>5.977387E-2</v>
      </c>
      <c r="X2346">
        <v>0.92411109999999896</v>
      </c>
      <c r="Y2346">
        <v>-0.46849629999999998</v>
      </c>
      <c r="Z2346">
        <v>-8.7442230000000006E-3</v>
      </c>
      <c r="AA2346">
        <v>0.88342219999999905</v>
      </c>
      <c r="AB2346">
        <v>22</v>
      </c>
      <c r="AC2346">
        <v>-0.56279999999998098</v>
      </c>
      <c r="AD2346">
        <v>-0.106845</v>
      </c>
      <c r="AE2346">
        <v>-0.55570000000000097</v>
      </c>
      <c r="AF2346">
        <v>-0.44734360467203099</v>
      </c>
      <c r="AG2346">
        <v>-0.106845</v>
      </c>
      <c r="AH2346">
        <v>0.63498696910617902</v>
      </c>
      <c r="AI2346">
        <v>97.832209369695505</v>
      </c>
      <c r="AJ2346">
        <v>125.164411237794</v>
      </c>
      <c r="AK2346">
        <v>0.78405395579680504</v>
      </c>
    </row>
    <row r="2347" spans="1:37" x14ac:dyDescent="0.2">
      <c r="A2347" t="str">
        <f>"20200111153655129"</f>
        <v>20200111153655129</v>
      </c>
      <c r="B2347" t="str">
        <f>"1578728215125243"</f>
        <v>1578728215125243</v>
      </c>
      <c r="C2347" t="s">
        <v>37</v>
      </c>
      <c r="D2347">
        <v>5.5654769999999996</v>
      </c>
      <c r="E2347">
        <v>0.451071099999999</v>
      </c>
      <c r="F2347" t="s">
        <v>38</v>
      </c>
      <c r="G2347">
        <v>-473.54669999999999</v>
      </c>
      <c r="H2347">
        <v>1.009795</v>
      </c>
      <c r="I2347">
        <v>283.0342</v>
      </c>
      <c r="J2347">
        <v>-473.005</v>
      </c>
      <c r="K2347">
        <v>1.1097709999999901</v>
      </c>
      <c r="L2347">
        <v>283.58229999999998</v>
      </c>
      <c r="M2347">
        <v>-0.98499859999999995</v>
      </c>
      <c r="N2347">
        <v>0</v>
      </c>
      <c r="O2347">
        <v>-0.1720235</v>
      </c>
      <c r="P2347">
        <v>-0.84530839999999996</v>
      </c>
      <c r="Q2347">
        <v>5.3133380000000001E-2</v>
      </c>
      <c r="R2347">
        <v>-0.53163000000000005</v>
      </c>
      <c r="S2347">
        <v>-2.390015</v>
      </c>
      <c r="T2347">
        <v>-0.3166679</v>
      </c>
      <c r="U2347">
        <v>-1.8788149999999999</v>
      </c>
      <c r="V2347">
        <v>-0.37900029999999901</v>
      </c>
      <c r="W2347">
        <v>6.1411159999999999E-2</v>
      </c>
      <c r="X2347">
        <v>0.92335659999999897</v>
      </c>
      <c r="Y2347">
        <v>-0.47196899999999897</v>
      </c>
      <c r="Z2347">
        <v>-7.7991969999999999E-3</v>
      </c>
      <c r="AA2347">
        <v>0.881580699999999</v>
      </c>
      <c r="AB2347">
        <v>22</v>
      </c>
      <c r="AC2347">
        <v>-0.54169999999999097</v>
      </c>
      <c r="AD2347">
        <v>-9.9975999999999801E-2</v>
      </c>
      <c r="AE2347">
        <v>-0.54809999999997605</v>
      </c>
      <c r="AF2347">
        <v>-0.439339503620719</v>
      </c>
      <c r="AG2347">
        <v>-9.9975999999999801E-2</v>
      </c>
      <c r="AH2347">
        <v>0.61752449190832603</v>
      </c>
      <c r="AI2347">
        <v>97.514973551237105</v>
      </c>
      <c r="AJ2347">
        <v>125.430053952213</v>
      </c>
      <c r="AK2347">
        <v>0.76442847809611103</v>
      </c>
    </row>
    <row r="2348" spans="1:37" x14ac:dyDescent="0.2">
      <c r="A2348" t="str">
        <f>"20200111153655152"</f>
        <v>20200111153655152</v>
      </c>
      <c r="B2348" t="str">
        <f>"1578728215144761"</f>
        <v>1578728215144761</v>
      </c>
      <c r="C2348" t="s">
        <v>37</v>
      </c>
      <c r="D2348">
        <v>5.6034160000000002</v>
      </c>
      <c r="E2348">
        <v>0.45110220000000001</v>
      </c>
      <c r="F2348" t="s">
        <v>38</v>
      </c>
      <c r="G2348">
        <v>-473.73669999999998</v>
      </c>
      <c r="H2348">
        <v>1.014678</v>
      </c>
      <c r="I2348">
        <v>282.99430000000001</v>
      </c>
      <c r="J2348">
        <v>-473.2276</v>
      </c>
      <c r="K2348">
        <v>1.109836</v>
      </c>
      <c r="L2348">
        <v>283.53390000000002</v>
      </c>
      <c r="M2348">
        <v>-0.98357340000000004</v>
      </c>
      <c r="N2348">
        <v>0</v>
      </c>
      <c r="O2348">
        <v>-0.17999319999999999</v>
      </c>
      <c r="P2348">
        <v>-0.84003530000000004</v>
      </c>
      <c r="Q2348">
        <v>5.4475259999999998E-2</v>
      </c>
      <c r="R2348">
        <v>-0.53979009999999905</v>
      </c>
      <c r="S2348">
        <v>-2.3703919999999998</v>
      </c>
      <c r="T2348">
        <v>-0.308085</v>
      </c>
      <c r="U2348">
        <v>-1.9048160000000001</v>
      </c>
      <c r="V2348">
        <v>-0.38050529999999999</v>
      </c>
      <c r="W2348">
        <v>6.2688049999999995E-2</v>
      </c>
      <c r="X2348">
        <v>0.92265160000000002</v>
      </c>
      <c r="Y2348">
        <v>-0.47438379999999902</v>
      </c>
      <c r="Z2348">
        <v>-6.8897439999999997E-3</v>
      </c>
      <c r="AA2348">
        <v>0.88029120000000005</v>
      </c>
      <c r="AB2348">
        <v>22</v>
      </c>
      <c r="AC2348">
        <v>-0.50909999999998901</v>
      </c>
      <c r="AD2348">
        <v>-9.5158000000000006E-2</v>
      </c>
      <c r="AE2348">
        <v>-0.53960000000000696</v>
      </c>
      <c r="AF2348">
        <v>-0.43203411808950698</v>
      </c>
      <c r="AG2348">
        <v>-9.5158000000000006E-2</v>
      </c>
      <c r="AH2348">
        <v>0.58823868236605503</v>
      </c>
      <c r="AI2348">
        <v>97.428353041119095</v>
      </c>
      <c r="AJ2348">
        <v>126.29556159078101</v>
      </c>
      <c r="AK2348">
        <v>0.73602531993752096</v>
      </c>
    </row>
    <row r="2349" spans="1:37" x14ac:dyDescent="0.2">
      <c r="A2349" t="str">
        <f>"20200111153655174"</f>
        <v>20200111153655174</v>
      </c>
      <c r="B2349" t="str">
        <f>"1578728215165258"</f>
        <v>1578728215165258</v>
      </c>
      <c r="C2349" t="s">
        <v>37</v>
      </c>
      <c r="D2349">
        <v>5.5384709999999897</v>
      </c>
      <c r="E2349">
        <v>0.45104840000000002</v>
      </c>
      <c r="F2349" t="s">
        <v>38</v>
      </c>
      <c r="G2349">
        <v>-473.92860000000002</v>
      </c>
      <c r="H2349">
        <v>1.0189950000000001</v>
      </c>
      <c r="I2349">
        <v>282.95929999999998</v>
      </c>
      <c r="J2349">
        <v>-473.43369999999999</v>
      </c>
      <c r="K2349">
        <v>1.1098980000000001</v>
      </c>
      <c r="L2349">
        <v>283.4873</v>
      </c>
      <c r="M2349">
        <v>-0.98216840000000005</v>
      </c>
      <c r="N2349">
        <v>0</v>
      </c>
      <c r="O2349">
        <v>-0.1875069</v>
      </c>
      <c r="P2349">
        <v>-0.83504249999999902</v>
      </c>
      <c r="Q2349">
        <v>5.5554270000000003E-2</v>
      </c>
      <c r="R2349">
        <v>-0.5473732</v>
      </c>
      <c r="S2349">
        <v>-2.351807</v>
      </c>
      <c r="T2349">
        <v>-0.3047549</v>
      </c>
      <c r="U2349">
        <v>-1.92852799999999</v>
      </c>
      <c r="V2349">
        <v>-0.38184220000000002</v>
      </c>
      <c r="W2349">
        <v>6.3695039999999994E-2</v>
      </c>
      <c r="X2349">
        <v>0.92203009999999996</v>
      </c>
      <c r="Y2349">
        <v>-0.47643089999999999</v>
      </c>
      <c r="Z2349">
        <v>-6.1492229999999997E-3</v>
      </c>
      <c r="AA2349">
        <v>0.87919040000000004</v>
      </c>
      <c r="AB2349">
        <v>22</v>
      </c>
      <c r="AC2349">
        <v>-0.49490000000002898</v>
      </c>
      <c r="AD2349">
        <v>-9.0902999999999901E-2</v>
      </c>
      <c r="AE2349">
        <v>-0.52800000000002001</v>
      </c>
      <c r="AF2349">
        <v>-0.41921289040743298</v>
      </c>
      <c r="AG2349">
        <v>-9.0902999999999901E-2</v>
      </c>
      <c r="AH2349">
        <v>0.57604421001536898</v>
      </c>
      <c r="AI2349">
        <v>97.271333543360896</v>
      </c>
      <c r="AJ2349">
        <v>126.045041392237</v>
      </c>
      <c r="AK2349">
        <v>0.71821287567474401</v>
      </c>
    </row>
    <row r="2350" spans="1:37" x14ac:dyDescent="0.2">
      <c r="A2350" t="str">
        <f>"20200111153655196"</f>
        <v>20200111153655196</v>
      </c>
      <c r="B2350" t="str">
        <f>"1578728215184778"</f>
        <v>1578728215184778</v>
      </c>
      <c r="C2350" t="s">
        <v>37</v>
      </c>
      <c r="D2350">
        <v>5.5707789999999999</v>
      </c>
      <c r="E2350">
        <v>0.45094519999999999</v>
      </c>
      <c r="F2350" t="s">
        <v>38</v>
      </c>
      <c r="G2350">
        <v>-474.11720000000003</v>
      </c>
      <c r="H2350">
        <v>1.0217559999999899</v>
      </c>
      <c r="I2350">
        <v>282.91609999999997</v>
      </c>
      <c r="J2350">
        <v>-473.64359999999999</v>
      </c>
      <c r="K2350">
        <v>1.1099729999999901</v>
      </c>
      <c r="L2350">
        <v>283.43799999999999</v>
      </c>
      <c r="M2350">
        <v>-0.98064419999999897</v>
      </c>
      <c r="N2350">
        <v>0</v>
      </c>
      <c r="O2350">
        <v>-0.19532149999999901</v>
      </c>
      <c r="P2350">
        <v>-0.829920199999999</v>
      </c>
      <c r="Q2350">
        <v>5.5066820000000002E-2</v>
      </c>
      <c r="R2350">
        <v>-0.55515809999999999</v>
      </c>
      <c r="S2350">
        <v>-2.33371</v>
      </c>
      <c r="T2350">
        <v>-0.30090090000000003</v>
      </c>
      <c r="U2350">
        <v>-1.95105</v>
      </c>
      <c r="V2350">
        <v>-0.38312429999999997</v>
      </c>
      <c r="W2350">
        <v>6.3119690000000006E-2</v>
      </c>
      <c r="X2350">
        <v>0.92153770000000002</v>
      </c>
      <c r="Y2350">
        <v>-0.4778464</v>
      </c>
      <c r="Z2350">
        <v>-5.3443049999999997E-3</v>
      </c>
      <c r="AA2350">
        <v>0.87842710000000002</v>
      </c>
      <c r="AB2350">
        <v>22</v>
      </c>
      <c r="AC2350">
        <v>-0.47360000000003299</v>
      </c>
      <c r="AD2350">
        <v>-8.8216999999999907E-2</v>
      </c>
      <c r="AE2350">
        <v>-0.52190000000001602</v>
      </c>
      <c r="AF2350">
        <v>-0.41286403097940799</v>
      </c>
      <c r="AG2350">
        <v>-8.8216999999999907E-2</v>
      </c>
      <c r="AH2350">
        <v>0.55768602213845897</v>
      </c>
      <c r="AI2350">
        <v>97.245467989060501</v>
      </c>
      <c r="AJ2350">
        <v>126.513148090618</v>
      </c>
      <c r="AK2350">
        <v>0.69946597233474095</v>
      </c>
    </row>
    <row r="2351" spans="1:37" x14ac:dyDescent="0.2">
      <c r="A2351" t="str">
        <f>"20200111153655217"</f>
        <v>20200111153655217</v>
      </c>
      <c r="B2351" t="str">
        <f>"1578728215205275"</f>
        <v>1578728215205275</v>
      </c>
      <c r="C2351" t="s">
        <v>37</v>
      </c>
      <c r="D2351">
        <v>5.6377940000000004</v>
      </c>
      <c r="E2351">
        <v>0.45103019999999999</v>
      </c>
      <c r="F2351" t="s">
        <v>38</v>
      </c>
      <c r="G2351">
        <v>-474.30680000000001</v>
      </c>
      <c r="H2351">
        <v>1.023436</v>
      </c>
      <c r="I2351">
        <v>282.87240000000003</v>
      </c>
      <c r="J2351">
        <v>-473.85469999999998</v>
      </c>
      <c r="K2351">
        <v>1.1100699999999999</v>
      </c>
      <c r="L2351">
        <v>283.38639999999998</v>
      </c>
      <c r="M2351">
        <v>-0.9790065</v>
      </c>
      <c r="N2351">
        <v>0</v>
      </c>
      <c r="O2351">
        <v>-0.2033691</v>
      </c>
      <c r="P2351">
        <v>-0.82527459999999997</v>
      </c>
      <c r="Q2351">
        <v>5.4442570000000003E-2</v>
      </c>
      <c r="R2351">
        <v>-0.56210150000000003</v>
      </c>
      <c r="S2351">
        <v>-2.3143310000000001</v>
      </c>
      <c r="T2351">
        <v>-0.30198069999999999</v>
      </c>
      <c r="U2351">
        <v>-1.9740599999999999</v>
      </c>
      <c r="V2351">
        <v>-0.38328869999999998</v>
      </c>
      <c r="W2351">
        <v>6.2409180000000002E-2</v>
      </c>
      <c r="X2351">
        <v>0.9215177</v>
      </c>
      <c r="Y2351">
        <v>-0.4793403</v>
      </c>
      <c r="Z2351">
        <v>-4.6126270000000002E-3</v>
      </c>
      <c r="AA2351">
        <v>0.87761699999999998</v>
      </c>
      <c r="AB2351">
        <v>22</v>
      </c>
      <c r="AC2351">
        <v>-0.45210000000002898</v>
      </c>
      <c r="AD2351">
        <v>-8.66340000000001E-2</v>
      </c>
      <c r="AE2351">
        <v>-0.51399999999995305</v>
      </c>
      <c r="AF2351">
        <v>-0.40482064318417699</v>
      </c>
      <c r="AG2351">
        <v>-8.66340000000001E-2</v>
      </c>
      <c r="AH2351">
        <v>0.53856555070654599</v>
      </c>
      <c r="AI2351">
        <v>97.327211119741406</v>
      </c>
      <c r="AJ2351">
        <v>126.930887513625</v>
      </c>
      <c r="AK2351">
        <v>0.67929231963264203</v>
      </c>
    </row>
    <row r="2352" spans="1:37" x14ac:dyDescent="0.2">
      <c r="A2352" t="str">
        <f>"20200111153655254"</f>
        <v>20200111153655254</v>
      </c>
      <c r="B2352" t="str">
        <f>"1578728215245290"</f>
        <v>1578728215245290</v>
      </c>
      <c r="C2352" t="s">
        <v>37</v>
      </c>
      <c r="D2352">
        <v>5.6147419999999997</v>
      </c>
      <c r="E2352">
        <v>0.45075169999999998</v>
      </c>
      <c r="F2352" t="s">
        <v>38</v>
      </c>
      <c r="G2352">
        <v>-474.51389999999998</v>
      </c>
      <c r="H2352">
        <v>1.022964</v>
      </c>
      <c r="I2352">
        <v>282.81439999999998</v>
      </c>
      <c r="J2352">
        <v>-474.06799999999998</v>
      </c>
      <c r="K2352">
        <v>1.110198</v>
      </c>
      <c r="L2352">
        <v>283.33210000000003</v>
      </c>
      <c r="M2352">
        <v>-0.9772303</v>
      </c>
      <c r="N2352">
        <v>0</v>
      </c>
      <c r="O2352">
        <v>-0.2117376</v>
      </c>
      <c r="P2352">
        <v>-0.82012589999999996</v>
      </c>
      <c r="Q2352">
        <v>5.4388970000000002E-2</v>
      </c>
      <c r="R2352">
        <v>-0.56959249999999995</v>
      </c>
      <c r="S2352">
        <v>-2.297272</v>
      </c>
      <c r="T2352">
        <v>-0.30353819999999998</v>
      </c>
      <c r="U2352">
        <v>-1.9936830000000001</v>
      </c>
      <c r="V2352">
        <v>-0.38381359999999998</v>
      </c>
      <c r="W2352">
        <v>6.2245460000000002E-2</v>
      </c>
      <c r="X2352">
        <v>0.92131030000000003</v>
      </c>
      <c r="Y2352">
        <v>-0.47936099999999998</v>
      </c>
      <c r="Z2352">
        <v>-3.759203E-3</v>
      </c>
      <c r="AA2352">
        <v>0.8776098</v>
      </c>
      <c r="AB2352">
        <v>22</v>
      </c>
      <c r="AC2352">
        <v>-0.44589999999993701</v>
      </c>
      <c r="AD2352">
        <v>-8.7234000000000006E-2</v>
      </c>
      <c r="AE2352">
        <v>-0.51770000000004701</v>
      </c>
      <c r="AF2352">
        <v>-0.404936340689805</v>
      </c>
      <c r="AG2352">
        <v>-8.7234000000000006E-2</v>
      </c>
      <c r="AH2352">
        <v>0.53666686454839796</v>
      </c>
      <c r="AI2352">
        <v>97.393103942859895</v>
      </c>
      <c r="AJ2352">
        <v>127.03599506814599</v>
      </c>
      <c r="AK2352">
        <v>0.677934019113555</v>
      </c>
    </row>
    <row r="2353" spans="1:37" x14ac:dyDescent="0.2">
      <c r="A2353" t="str">
        <f>"20200111153655269"</f>
        <v>20200111153655269</v>
      </c>
      <c r="B2353" t="str">
        <f>"1578728215264810"</f>
        <v>1578728215264810</v>
      </c>
      <c r="C2353" t="s">
        <v>37</v>
      </c>
      <c r="D2353">
        <v>5.5654459999999997</v>
      </c>
      <c r="E2353">
        <v>0.45077089999999997</v>
      </c>
      <c r="F2353" t="s">
        <v>38</v>
      </c>
      <c r="G2353">
        <v>-474.83170000000001</v>
      </c>
      <c r="H2353">
        <v>1.007579</v>
      </c>
      <c r="I2353">
        <v>282.6558</v>
      </c>
      <c r="J2353">
        <v>-474.33319999999998</v>
      </c>
      <c r="K2353">
        <v>1.11036</v>
      </c>
      <c r="L2353">
        <v>283.26130000000001</v>
      </c>
      <c r="M2353">
        <v>-0.97483390000000003</v>
      </c>
      <c r="N2353">
        <v>0</v>
      </c>
      <c r="O2353">
        <v>-0.2225084</v>
      </c>
      <c r="P2353">
        <v>-0.81369130000000001</v>
      </c>
      <c r="Q2353">
        <v>5.524544E-2</v>
      </c>
      <c r="R2353">
        <v>-0.57866640000000003</v>
      </c>
      <c r="S2353">
        <v>-2.2774049999999999</v>
      </c>
      <c r="T2353">
        <v>-0.306004099999999</v>
      </c>
      <c r="U2353">
        <v>-2.0170590000000002</v>
      </c>
      <c r="V2353">
        <v>-0.38393149999999998</v>
      </c>
      <c r="W2353">
        <v>6.2965969999999996E-2</v>
      </c>
      <c r="X2353">
        <v>0.92121219999999904</v>
      </c>
      <c r="Y2353">
        <v>-0.47856340000000003</v>
      </c>
      <c r="Z2353">
        <v>-2.5991949999999999E-3</v>
      </c>
      <c r="AA2353">
        <v>0.87804919999999997</v>
      </c>
      <c r="AB2353">
        <v>22</v>
      </c>
      <c r="AC2353">
        <v>-0.49850000000003503</v>
      </c>
      <c r="AD2353">
        <v>-0.102781</v>
      </c>
      <c r="AE2353">
        <v>-0.60550000000000603</v>
      </c>
      <c r="AF2353">
        <v>-0.47129304690733098</v>
      </c>
      <c r="AG2353">
        <v>-0.102781</v>
      </c>
      <c r="AH2353">
        <v>0.61026187221991302</v>
      </c>
      <c r="AI2353">
        <v>97.592652118538496</v>
      </c>
      <c r="AJ2353">
        <v>127.678191694852</v>
      </c>
      <c r="AK2353">
        <v>0.77788213934345496</v>
      </c>
    </row>
    <row r="2354" spans="1:37" x14ac:dyDescent="0.2">
      <c r="A2354" t="str">
        <f>"20200111153655285"</f>
        <v>20200111153655285</v>
      </c>
      <c r="B2354" t="str">
        <f>"1578728215275547"</f>
        <v>1578728215275547</v>
      </c>
      <c r="C2354" t="s">
        <v>37</v>
      </c>
      <c r="D2354">
        <v>5.821078</v>
      </c>
      <c r="E2354">
        <v>0.45077089999999997</v>
      </c>
      <c r="F2354" t="s">
        <v>38</v>
      </c>
      <c r="G2354">
        <v>-475.02870000000001</v>
      </c>
      <c r="H2354">
        <v>1.016543</v>
      </c>
      <c r="I2354">
        <v>282.63139999999999</v>
      </c>
      <c r="J2354">
        <v>-474.48410000000001</v>
      </c>
      <c r="K2354">
        <v>1.1104449999999999</v>
      </c>
      <c r="L2354">
        <v>283.21949999999998</v>
      </c>
      <c r="M2354">
        <v>-0.97338029999999998</v>
      </c>
      <c r="N2354">
        <v>0</v>
      </c>
      <c r="O2354">
        <v>-0.22878270000000001</v>
      </c>
      <c r="P2354">
        <v>-0.80992189999999997</v>
      </c>
      <c r="Q2354">
        <v>5.5188859999999999E-2</v>
      </c>
      <c r="R2354">
        <v>-0.58393569999999995</v>
      </c>
      <c r="S2354">
        <v>-2.2549739999999998</v>
      </c>
      <c r="T2354">
        <v>-0.3041237</v>
      </c>
      <c r="U2354">
        <v>-2.0425110000000002</v>
      </c>
      <c r="V2354">
        <v>-0.38399</v>
      </c>
      <c r="W2354">
        <v>6.2838439999999995E-2</v>
      </c>
      <c r="X2354">
        <v>0.92119649999999997</v>
      </c>
      <c r="Y2354">
        <v>-0.48271709999999901</v>
      </c>
      <c r="Z2354">
        <v>-2.1653179999999998E-3</v>
      </c>
      <c r="AA2354">
        <v>0.87577369999999899</v>
      </c>
      <c r="AB2354">
        <v>22</v>
      </c>
      <c r="AC2354">
        <v>-0.54460000000000197</v>
      </c>
      <c r="AD2354">
        <v>-9.3902000000000097E-2</v>
      </c>
      <c r="AE2354">
        <v>-0.58809999999999696</v>
      </c>
      <c r="AF2354">
        <v>-0.44182822660974003</v>
      </c>
      <c r="AG2354">
        <v>-9.3902000000000097E-2</v>
      </c>
      <c r="AH2354">
        <v>0.65571331165642799</v>
      </c>
      <c r="AI2354">
        <v>96.772799876808705</v>
      </c>
      <c r="AJ2354">
        <v>123.972606391611</v>
      </c>
      <c r="AK2354">
        <v>0.79623471069562601</v>
      </c>
    </row>
    <row r="2355" spans="1:37" x14ac:dyDescent="0.2">
      <c r="A2355" t="str">
        <f>"20200111153655308"</f>
        <v>20200111153655308</v>
      </c>
      <c r="B2355" t="str">
        <f>"1578728215304826"</f>
        <v>1578728215304826</v>
      </c>
      <c r="C2355" t="s">
        <v>37</v>
      </c>
      <c r="D2355">
        <v>5.5710480000000002</v>
      </c>
      <c r="E2355">
        <v>0.46024379999999998</v>
      </c>
      <c r="F2355" t="s">
        <v>38</v>
      </c>
      <c r="G2355">
        <v>-475.20330000000001</v>
      </c>
      <c r="H2355">
        <v>1.0128709999999901</v>
      </c>
      <c r="I2355">
        <v>282.55939999999998</v>
      </c>
      <c r="J2355">
        <v>-474.69580000000002</v>
      </c>
      <c r="K2355">
        <v>1.110568</v>
      </c>
      <c r="L2355">
        <v>283.15879999999999</v>
      </c>
      <c r="M2355">
        <v>-0.97121579999999996</v>
      </c>
      <c r="N2355">
        <v>0</v>
      </c>
      <c r="O2355">
        <v>-0.23780189999999901</v>
      </c>
      <c r="P2355">
        <v>-0.80444459999999995</v>
      </c>
      <c r="Q2355">
        <v>5.4680260000000001E-2</v>
      </c>
      <c r="R2355">
        <v>-0.59150570000000002</v>
      </c>
      <c r="S2355">
        <v>-2.2415470000000002</v>
      </c>
      <c r="T2355">
        <v>-0.3041006</v>
      </c>
      <c r="U2355">
        <v>-2.0573429999999999</v>
      </c>
      <c r="V2355">
        <v>-0.38408890000000001</v>
      </c>
      <c r="W2355">
        <v>6.2235470000000001E-2</v>
      </c>
      <c r="X2355">
        <v>0.92119619999999902</v>
      </c>
      <c r="Y2355">
        <v>-0.48040690000000003</v>
      </c>
      <c r="Z2355">
        <v>-1.0739600000000001E-3</v>
      </c>
      <c r="AA2355">
        <v>0.87704509999999902</v>
      </c>
      <c r="AB2355">
        <v>22</v>
      </c>
      <c r="AC2355">
        <v>-0.50749999999999296</v>
      </c>
      <c r="AD2355">
        <v>-9.7697000000000103E-2</v>
      </c>
      <c r="AE2355">
        <v>-0.59940000000000204</v>
      </c>
      <c r="AF2355">
        <v>-0.45447379942112998</v>
      </c>
      <c r="AG2355">
        <v>-9.7697000000000103E-2</v>
      </c>
      <c r="AH2355">
        <v>0.62580737777736395</v>
      </c>
      <c r="AI2355">
        <v>97.199351215733103</v>
      </c>
      <c r="AJ2355">
        <v>125.987901093267</v>
      </c>
      <c r="AK2355">
        <v>0.779567836849275</v>
      </c>
    </row>
    <row r="2356" spans="1:37" x14ac:dyDescent="0.2">
      <c r="A2356" t="str">
        <f>"20200111153655330"</f>
        <v>20200111153655330</v>
      </c>
      <c r="B2356" t="str">
        <f>"1578728215325322"</f>
        <v>1578728215325322</v>
      </c>
      <c r="C2356" t="s">
        <v>37</v>
      </c>
      <c r="D2356">
        <v>5.553706</v>
      </c>
      <c r="E2356">
        <v>0.4604434</v>
      </c>
      <c r="F2356" t="s">
        <v>38</v>
      </c>
      <c r="G2356">
        <v>-475.39929999999998</v>
      </c>
      <c r="H2356">
        <v>1.030383</v>
      </c>
      <c r="I2356">
        <v>282.53129999999999</v>
      </c>
      <c r="J2356">
        <v>-474.89760000000001</v>
      </c>
      <c r="K2356">
        <v>1.11069</v>
      </c>
      <c r="L2356">
        <v>283.09859999999998</v>
      </c>
      <c r="M2356">
        <v>-0.96900919999999902</v>
      </c>
      <c r="N2356">
        <v>0</v>
      </c>
      <c r="O2356">
        <v>-0.2466382</v>
      </c>
      <c r="P2356">
        <v>-0.79871709999999996</v>
      </c>
      <c r="Q2356">
        <v>5.4676000000000002E-2</v>
      </c>
      <c r="R2356">
        <v>-0.59921800000000003</v>
      </c>
      <c r="S2356">
        <v>-2.262238</v>
      </c>
      <c r="T2356">
        <v>-0.25784780000000002</v>
      </c>
      <c r="U2356">
        <v>-2.019012</v>
      </c>
      <c r="V2356">
        <v>-0.38457929999999901</v>
      </c>
      <c r="W2356">
        <v>6.2133149999999998E-2</v>
      </c>
      <c r="X2356">
        <v>0.92099850000000005</v>
      </c>
      <c r="Y2356">
        <v>-0.460510999999999</v>
      </c>
      <c r="Z2356">
        <v>8.6931699999999998E-4</v>
      </c>
      <c r="AA2356">
        <v>0.88765360000000004</v>
      </c>
      <c r="AB2356">
        <v>22</v>
      </c>
      <c r="AC2356">
        <v>-0.50169999999997095</v>
      </c>
      <c r="AD2356">
        <v>-8.0306999999999906E-2</v>
      </c>
      <c r="AE2356">
        <v>-0.56729999999998804</v>
      </c>
      <c r="AF2356">
        <v>-0.42128394783813</v>
      </c>
      <c r="AG2356">
        <v>-8.0306999999999906E-2</v>
      </c>
      <c r="AH2356">
        <v>0.61916712540904195</v>
      </c>
      <c r="AI2356">
        <v>96.120642183905801</v>
      </c>
      <c r="AJ2356">
        <v>124.231537648314</v>
      </c>
      <c r="AK2356">
        <v>0.75319141534033496</v>
      </c>
    </row>
    <row r="2357" spans="1:37" x14ac:dyDescent="0.2">
      <c r="A2357" t="str">
        <f>"20200111153655352"</f>
        <v>20200111153655352</v>
      </c>
      <c r="B2357" t="str">
        <f>"1578728215344842"</f>
        <v>1578728215344842</v>
      </c>
      <c r="C2357" t="s">
        <v>37</v>
      </c>
      <c r="D2357">
        <v>5.5800409999999996</v>
      </c>
      <c r="E2357">
        <v>0.46025539999999998</v>
      </c>
      <c r="F2357" t="s">
        <v>38</v>
      </c>
      <c r="G2357">
        <v>-475.58229999999998</v>
      </c>
      <c r="H2357">
        <v>1.0320929999999999</v>
      </c>
      <c r="I2357">
        <v>282.47660000000002</v>
      </c>
      <c r="J2357">
        <v>-475.11</v>
      </c>
      <c r="K2357">
        <v>1.1108279999999999</v>
      </c>
      <c r="L2357">
        <v>283.03300000000002</v>
      </c>
      <c r="M2357">
        <v>-0.96652610000000005</v>
      </c>
      <c r="N2357">
        <v>0</v>
      </c>
      <c r="O2357">
        <v>-0.25619439999999999</v>
      </c>
      <c r="P2357">
        <v>-0.79222389999999998</v>
      </c>
      <c r="Q2357">
        <v>5.519288E-2</v>
      </c>
      <c r="R2357">
        <v>-0.60772939999999998</v>
      </c>
      <c r="S2357">
        <v>-2.2438349999999998</v>
      </c>
      <c r="T2357">
        <v>-0.2575868</v>
      </c>
      <c r="U2357">
        <v>-2.0391539999999999</v>
      </c>
      <c r="V2357">
        <v>-0.38537739999999998</v>
      </c>
      <c r="W2357">
        <v>6.2537190000000006E-2</v>
      </c>
      <c r="X2357">
        <v>0.9206375</v>
      </c>
      <c r="Y2357">
        <v>-0.4597695</v>
      </c>
      <c r="Z2357">
        <v>1.7666589999999901E-3</v>
      </c>
      <c r="AA2357">
        <v>0.88803650000000001</v>
      </c>
      <c r="AB2357">
        <v>22</v>
      </c>
      <c r="AC2357">
        <v>-0.47229999999996097</v>
      </c>
      <c r="AD2357">
        <v>-7.8735000000000194E-2</v>
      </c>
      <c r="AE2357">
        <v>-0.55639999999999601</v>
      </c>
      <c r="AF2357">
        <v>-0.41201920119143398</v>
      </c>
      <c r="AG2357">
        <v>-7.8735000000000194E-2</v>
      </c>
      <c r="AH2357">
        <v>0.59220196219607302</v>
      </c>
      <c r="AI2357">
        <v>96.228451552190293</v>
      </c>
      <c r="AJ2357">
        <v>124.82791969000201</v>
      </c>
      <c r="AK2357">
        <v>0.725714948450359</v>
      </c>
    </row>
    <row r="2358" spans="1:37" x14ac:dyDescent="0.2">
      <c r="A2358" t="str">
        <f>"20200111153655375"</f>
        <v>20200111153655375</v>
      </c>
      <c r="B2358" t="str">
        <f>"1578728215365338"</f>
        <v>1578728215365338</v>
      </c>
      <c r="C2358" t="s">
        <v>37</v>
      </c>
      <c r="D2358">
        <v>5.5929219999999997</v>
      </c>
      <c r="E2358">
        <v>0.45990379999999997</v>
      </c>
      <c r="F2358" t="s">
        <v>38</v>
      </c>
      <c r="G2358">
        <v>-475.77730000000003</v>
      </c>
      <c r="H2358">
        <v>1.034098</v>
      </c>
      <c r="I2358">
        <v>282.41300000000001</v>
      </c>
      <c r="J2358">
        <v>-475.3098</v>
      </c>
      <c r="K2358">
        <v>1.110967</v>
      </c>
      <c r="L2358">
        <v>282.96879999999999</v>
      </c>
      <c r="M2358">
        <v>-0.96403159999999899</v>
      </c>
      <c r="N2358">
        <v>0</v>
      </c>
      <c r="O2358">
        <v>-0.26542470000000001</v>
      </c>
      <c r="P2358">
        <v>-0.7856805</v>
      </c>
      <c r="Q2358">
        <v>5.6469859999999997E-2</v>
      </c>
      <c r="R2358">
        <v>-0.61604950000000003</v>
      </c>
      <c r="S2358">
        <v>-2.2209469999999998</v>
      </c>
      <c r="T2358">
        <v>-0.255361</v>
      </c>
      <c r="U2358">
        <v>-2.064362</v>
      </c>
      <c r="V2358">
        <v>-0.38634619999999997</v>
      </c>
      <c r="W2358">
        <v>6.3696920000000004E-2</v>
      </c>
      <c r="X2358">
        <v>0.92015179999999996</v>
      </c>
      <c r="Y2358">
        <v>-0.461286799999999</v>
      </c>
      <c r="Z2358">
        <v>2.505083E-3</v>
      </c>
      <c r="AA2358">
        <v>0.88724760000000003</v>
      </c>
      <c r="AB2358">
        <v>22</v>
      </c>
      <c r="AC2358">
        <v>-0.467500000000029</v>
      </c>
      <c r="AD2358">
        <v>-7.6869000000000007E-2</v>
      </c>
      <c r="AE2358">
        <v>-0.55579999999997598</v>
      </c>
      <c r="AF2358">
        <v>-0.40720085163444403</v>
      </c>
      <c r="AG2358">
        <v>-7.6869000000000007E-2</v>
      </c>
      <c r="AH2358">
        <v>0.59163782999462999</v>
      </c>
      <c r="AI2358">
        <v>96.108899718159904</v>
      </c>
      <c r="AJ2358">
        <v>124.53809443675701</v>
      </c>
      <c r="AK2358">
        <v>0.72232727943334096</v>
      </c>
    </row>
    <row r="2359" spans="1:37" x14ac:dyDescent="0.2">
      <c r="A2359" t="str">
        <f>"20200111153655396"</f>
        <v>20200111153655396</v>
      </c>
      <c r="B2359" t="str">
        <f>"1578728215384858"</f>
        <v>1578728215384858</v>
      </c>
      <c r="C2359" t="s">
        <v>37</v>
      </c>
      <c r="D2359">
        <v>5.5893350000000002</v>
      </c>
      <c r="E2359">
        <v>0.4598122</v>
      </c>
      <c r="F2359" t="s">
        <v>38</v>
      </c>
      <c r="G2359">
        <v>-475.97120000000001</v>
      </c>
      <c r="H2359">
        <v>1.035752</v>
      </c>
      <c r="I2359">
        <v>282.33980000000003</v>
      </c>
      <c r="J2359">
        <v>-475.51119999999997</v>
      </c>
      <c r="K2359">
        <v>1.111113</v>
      </c>
      <c r="L2359">
        <v>282.90159999999997</v>
      </c>
      <c r="M2359">
        <v>-0.96135300000000001</v>
      </c>
      <c r="N2359">
        <v>0</v>
      </c>
      <c r="O2359">
        <v>-0.27496709999999902</v>
      </c>
      <c r="P2359">
        <v>-0.77963419999999894</v>
      </c>
      <c r="Q2359">
        <v>5.7214870000000001E-2</v>
      </c>
      <c r="R2359">
        <v>-0.62361630000000001</v>
      </c>
      <c r="S2359">
        <v>-2.19754</v>
      </c>
      <c r="T2359">
        <v>-0.2499343</v>
      </c>
      <c r="U2359">
        <v>-2.08999599999999</v>
      </c>
      <c r="V2359">
        <v>-0.38616919999999999</v>
      </c>
      <c r="W2359">
        <v>6.4344100000000001E-2</v>
      </c>
      <c r="X2359">
        <v>0.92018109999999997</v>
      </c>
      <c r="Y2359">
        <v>-0.46270119999999998</v>
      </c>
      <c r="Z2359">
        <v>3.2238009999999901E-3</v>
      </c>
      <c r="AA2359">
        <v>0.88650849999999903</v>
      </c>
      <c r="AB2359">
        <v>22</v>
      </c>
      <c r="AC2359">
        <v>-0.46000000000003599</v>
      </c>
      <c r="AD2359">
        <v>-7.5360999999999997E-2</v>
      </c>
      <c r="AE2359">
        <v>-0.56179999999994801</v>
      </c>
      <c r="AF2359">
        <v>-0.40923493532556099</v>
      </c>
      <c r="AG2359">
        <v>-7.5360999999999997E-2</v>
      </c>
      <c r="AH2359">
        <v>0.59039679883288798</v>
      </c>
      <c r="AI2359">
        <v>95.988820075633896</v>
      </c>
      <c r="AJ2359">
        <v>124.72785628197001</v>
      </c>
      <c r="AK2359">
        <v>0.72230249389299395</v>
      </c>
    </row>
    <row r="2360" spans="1:37" x14ac:dyDescent="0.2">
      <c r="A2360" t="str">
        <f>"20200111153655420"</f>
        <v>20200111153655420</v>
      </c>
      <c r="B2360" t="str">
        <f>"1578728215415114"</f>
        <v>1578728215415114</v>
      </c>
      <c r="C2360" t="s">
        <v>37</v>
      </c>
      <c r="D2360">
        <v>5.5955360000000001</v>
      </c>
      <c r="E2360">
        <v>0.4595651</v>
      </c>
      <c r="F2360" t="s">
        <v>38</v>
      </c>
      <c r="G2360">
        <v>-476.17270000000002</v>
      </c>
      <c r="H2360">
        <v>1.0370059999999901</v>
      </c>
      <c r="I2360">
        <v>282.25979999999998</v>
      </c>
      <c r="J2360">
        <v>-475.72059999999999</v>
      </c>
      <c r="K2360">
        <v>1.1112610000000001</v>
      </c>
      <c r="L2360">
        <v>282.82920000000001</v>
      </c>
      <c r="M2360">
        <v>-0.95838609999999902</v>
      </c>
      <c r="N2360">
        <v>0</v>
      </c>
      <c r="O2360">
        <v>-0.285134</v>
      </c>
      <c r="P2360">
        <v>-0.77258769999999999</v>
      </c>
      <c r="Q2360">
        <v>5.8380939999999999E-2</v>
      </c>
      <c r="R2360">
        <v>-0.63221859999999996</v>
      </c>
      <c r="S2360">
        <v>-2.176453</v>
      </c>
      <c r="T2360">
        <v>-0.24381410000000001</v>
      </c>
      <c r="U2360">
        <v>-2.1120299999999999</v>
      </c>
      <c r="V2360">
        <v>-0.38668709999999901</v>
      </c>
      <c r="W2360">
        <v>6.5395209999999995E-2</v>
      </c>
      <c r="X2360">
        <v>0.91988950000000003</v>
      </c>
      <c r="Y2360">
        <v>-0.46228829999999999</v>
      </c>
      <c r="Z2360">
        <v>4.0385459999999996E-3</v>
      </c>
      <c r="AA2360">
        <v>0.88672050000000002</v>
      </c>
      <c r="AB2360">
        <v>22</v>
      </c>
      <c r="AC2360">
        <v>-0.45210000000002898</v>
      </c>
      <c r="AD2360">
        <v>-7.4255000000000099E-2</v>
      </c>
      <c r="AE2360">
        <v>-0.56940000000002999</v>
      </c>
      <c r="AF2360">
        <v>-0.41253350937730598</v>
      </c>
      <c r="AG2360">
        <v>-7.4255000000000099E-2</v>
      </c>
      <c r="AH2360">
        <v>0.58955019649127804</v>
      </c>
      <c r="AI2360">
        <v>95.891858145761503</v>
      </c>
      <c r="AJ2360">
        <v>124.98212902247</v>
      </c>
      <c r="AK2360">
        <v>0.72337205887915002</v>
      </c>
    </row>
    <row r="2361" spans="1:37" x14ac:dyDescent="0.2">
      <c r="A2361" t="str">
        <f>"20200111153655435"</f>
        <v>20200111153655435</v>
      </c>
      <c r="B2361" t="str">
        <f>"1578728215424874"</f>
        <v>1578728215424874</v>
      </c>
      <c r="C2361" t="s">
        <v>37</v>
      </c>
      <c r="D2361">
        <v>5.7732900000000003</v>
      </c>
      <c r="E2361">
        <v>0.4595825</v>
      </c>
      <c r="F2361" t="s">
        <v>38</v>
      </c>
      <c r="G2361">
        <v>-476.4461</v>
      </c>
      <c r="H2361">
        <v>1.0309969999999999</v>
      </c>
      <c r="I2361">
        <v>282.10849999999999</v>
      </c>
      <c r="J2361">
        <v>-475.86399999999998</v>
      </c>
      <c r="K2361">
        <v>1.1113569999999999</v>
      </c>
      <c r="L2361">
        <v>282.77780000000001</v>
      </c>
      <c r="M2361">
        <v>-0.95623250000000004</v>
      </c>
      <c r="N2361">
        <v>0</v>
      </c>
      <c r="O2361">
        <v>-0.29227370000000003</v>
      </c>
      <c r="P2361">
        <v>-0.76757159999999902</v>
      </c>
      <c r="Q2361">
        <v>5.9013499999999899E-2</v>
      </c>
      <c r="R2361">
        <v>-0.63824069999999899</v>
      </c>
      <c r="S2361">
        <v>-2.1511840000000002</v>
      </c>
      <c r="T2361">
        <v>-0.23796619999999999</v>
      </c>
      <c r="U2361">
        <v>-2.1383969999999999</v>
      </c>
      <c r="V2361">
        <v>-0.38705970000000001</v>
      </c>
      <c r="W2361">
        <v>6.5954280000000004E-2</v>
      </c>
      <c r="X2361">
        <v>0.91969279999999998</v>
      </c>
      <c r="Y2361">
        <v>-0.46638019999999902</v>
      </c>
      <c r="Z2361">
        <v>4.3585059999999998E-3</v>
      </c>
      <c r="AA2361">
        <v>0.88457359999999896</v>
      </c>
      <c r="AB2361">
        <v>22</v>
      </c>
      <c r="AC2361">
        <v>-0.58209999999996798</v>
      </c>
      <c r="AD2361">
        <v>-8.0359999999999904E-2</v>
      </c>
      <c r="AE2361">
        <v>-0.66930000000002099</v>
      </c>
      <c r="AF2361">
        <v>-0.46609433033870701</v>
      </c>
      <c r="AG2361">
        <v>-8.0359999999999904E-2</v>
      </c>
      <c r="AH2361">
        <v>0.74619086042413696</v>
      </c>
      <c r="AI2361">
        <v>95.218865776855097</v>
      </c>
      <c r="AJ2361">
        <v>121.990198723756</v>
      </c>
      <c r="AK2361">
        <v>0.88346049971371199</v>
      </c>
    </row>
    <row r="2362" spans="1:37" x14ac:dyDescent="0.2">
      <c r="A2362" t="str">
        <f>"20200111153655453"</f>
        <v>20200111153655453</v>
      </c>
      <c r="B2362" t="str">
        <f>"1578728215445370"</f>
        <v>1578728215445370</v>
      </c>
      <c r="C2362" t="s">
        <v>37</v>
      </c>
      <c r="D2362">
        <v>5.6107879999999897</v>
      </c>
      <c r="E2362">
        <v>0.45951789999999998</v>
      </c>
      <c r="F2362" t="s">
        <v>38</v>
      </c>
      <c r="G2362">
        <v>-476.50650000000002</v>
      </c>
      <c r="H2362">
        <v>1.0404089999999999</v>
      </c>
      <c r="I2362">
        <v>282.12950000000001</v>
      </c>
      <c r="J2362">
        <v>-476.02269999999999</v>
      </c>
      <c r="K2362">
        <v>1.1114459999999999</v>
      </c>
      <c r="L2362">
        <v>282.71940000000001</v>
      </c>
      <c r="M2362">
        <v>-0.95374879999999995</v>
      </c>
      <c r="N2362">
        <v>0</v>
      </c>
      <c r="O2362">
        <v>-0.3002784</v>
      </c>
      <c r="P2362">
        <v>-0.761351</v>
      </c>
      <c r="Q2362">
        <v>5.9583539999999997E-2</v>
      </c>
      <c r="R2362">
        <v>-0.64559659999999996</v>
      </c>
      <c r="S2362">
        <v>-2.1344599999999998</v>
      </c>
      <c r="T2362">
        <v>-0.2356848</v>
      </c>
      <c r="U2362">
        <v>-2.155151</v>
      </c>
      <c r="V2362">
        <v>-0.388237099999999</v>
      </c>
      <c r="W2362">
        <v>6.6439129999999999E-2</v>
      </c>
      <c r="X2362">
        <v>0.91916139999999902</v>
      </c>
      <c r="Y2362">
        <v>-0.4659026</v>
      </c>
      <c r="Z2362">
        <v>5.0067180000000003E-3</v>
      </c>
      <c r="AA2362">
        <v>0.88482179999999999</v>
      </c>
      <c r="AB2362">
        <v>22</v>
      </c>
      <c r="AC2362">
        <v>-0.48380000000002998</v>
      </c>
      <c r="AD2362">
        <v>-7.1037000000000003E-2</v>
      </c>
      <c r="AE2362">
        <v>-0.58989999999999998</v>
      </c>
      <c r="AF2362">
        <v>-0.41379510169516698</v>
      </c>
      <c r="AG2362">
        <v>-7.1037000000000003E-2</v>
      </c>
      <c r="AH2362">
        <v>0.63313134765706203</v>
      </c>
      <c r="AI2362">
        <v>95.365449660145401</v>
      </c>
      <c r="AJ2362">
        <v>123.167391266294</v>
      </c>
      <c r="AK2362">
        <v>0.75968937398252601</v>
      </c>
    </row>
    <row r="2363" spans="1:37" x14ac:dyDescent="0.2">
      <c r="A2363" t="str">
        <f>"20200111153655475"</f>
        <v>20200111153655475</v>
      </c>
      <c r="B2363" t="str">
        <f>"1578728215464890"</f>
        <v>1578728215464890</v>
      </c>
      <c r="C2363" t="s">
        <v>37</v>
      </c>
      <c r="D2363">
        <v>5.6445509999999999</v>
      </c>
      <c r="E2363">
        <v>0.45956629999999998</v>
      </c>
      <c r="F2363" t="s">
        <v>38</v>
      </c>
      <c r="G2363">
        <v>-476.64769999999999</v>
      </c>
      <c r="H2363">
        <v>1.0421199999999999</v>
      </c>
      <c r="I2363">
        <v>282.07549999999998</v>
      </c>
      <c r="J2363">
        <v>-476.22280000000001</v>
      </c>
      <c r="K2363">
        <v>1.11154</v>
      </c>
      <c r="L2363">
        <v>282.64339999999999</v>
      </c>
      <c r="M2363">
        <v>-0.95045309999999905</v>
      </c>
      <c r="N2363">
        <v>0</v>
      </c>
      <c r="O2363">
        <v>-0.31055149999999998</v>
      </c>
      <c r="P2363">
        <v>-0.75385590000000002</v>
      </c>
      <c r="Q2363">
        <v>5.9833089999999998E-2</v>
      </c>
      <c r="R2363">
        <v>-0.65431019999999995</v>
      </c>
      <c r="S2363">
        <v>-2.1131289999999998</v>
      </c>
      <c r="T2363">
        <v>-0.23436499999999999</v>
      </c>
      <c r="U2363">
        <v>-2.1764830000000002</v>
      </c>
      <c r="V2363">
        <v>-0.38891799999999999</v>
      </c>
      <c r="W2363">
        <v>6.6609920000000003E-2</v>
      </c>
      <c r="X2363">
        <v>0.91886119999999905</v>
      </c>
      <c r="Y2363">
        <v>-0.4651901</v>
      </c>
      <c r="Z2363">
        <v>5.8649389999999996E-3</v>
      </c>
      <c r="AA2363">
        <v>0.88519139999999996</v>
      </c>
      <c r="AB2363">
        <v>22</v>
      </c>
      <c r="AC2363">
        <v>-0.42489999999997902</v>
      </c>
      <c r="AD2363">
        <v>-6.9419999999999801E-2</v>
      </c>
      <c r="AE2363">
        <v>-0.56790000000000795</v>
      </c>
      <c r="AF2363">
        <v>-0.40397904141139102</v>
      </c>
      <c r="AG2363">
        <v>-6.9419999999999801E-2</v>
      </c>
      <c r="AH2363">
        <v>0.57476067425142996</v>
      </c>
      <c r="AI2363">
        <v>95.643318646101804</v>
      </c>
      <c r="AJ2363">
        <v>125.102033379226</v>
      </c>
      <c r="AK2363">
        <v>0.70595186448200897</v>
      </c>
    </row>
    <row r="2364" spans="1:37" x14ac:dyDescent="0.2">
      <c r="A2364" t="str">
        <f>"20200111153655498"</f>
        <v>20200111153655498</v>
      </c>
      <c r="B2364" t="str">
        <f>"1578728215485387"</f>
        <v>1578728215485387</v>
      </c>
      <c r="C2364" t="s">
        <v>37</v>
      </c>
      <c r="D2364">
        <v>5.5993849999999998</v>
      </c>
      <c r="E2364">
        <v>0.4597425</v>
      </c>
      <c r="F2364" t="s">
        <v>38</v>
      </c>
      <c r="G2364">
        <v>-476.84620000000001</v>
      </c>
      <c r="H2364">
        <v>1.041512</v>
      </c>
      <c r="I2364">
        <v>281.98649999999998</v>
      </c>
      <c r="J2364">
        <v>-476.41910000000001</v>
      </c>
      <c r="K2364">
        <v>1.1116139999999901</v>
      </c>
      <c r="L2364">
        <v>282.56630000000001</v>
      </c>
      <c r="M2364">
        <v>-0.94703850000000001</v>
      </c>
      <c r="N2364">
        <v>0</v>
      </c>
      <c r="O2364">
        <v>-0.32081140000000002</v>
      </c>
      <c r="P2364">
        <v>-0.74637039999999999</v>
      </c>
      <c r="Q2364">
        <v>5.9653129999999999E-2</v>
      </c>
      <c r="R2364">
        <v>-0.66285190000000005</v>
      </c>
      <c r="S2364">
        <v>-2.0880130000000001</v>
      </c>
      <c r="T2364">
        <v>-0.23455860000000001</v>
      </c>
      <c r="U2364">
        <v>-2.2007750000000001</v>
      </c>
      <c r="V2364">
        <v>-0.38945180000000001</v>
      </c>
      <c r="W2364">
        <v>6.636823E-2</v>
      </c>
      <c r="X2364">
        <v>0.91865259999999904</v>
      </c>
      <c r="Y2364">
        <v>-0.46583779999999902</v>
      </c>
      <c r="Z2364">
        <v>6.6982530000000004E-3</v>
      </c>
      <c r="AA2364">
        <v>0.88484479999999999</v>
      </c>
      <c r="AB2364">
        <v>22</v>
      </c>
      <c r="AC2364">
        <v>-0.42709999999999498</v>
      </c>
      <c r="AD2364">
        <v>-7.0101999999999803E-2</v>
      </c>
      <c r="AE2364">
        <v>-0.57980000000003395</v>
      </c>
      <c r="AF2364">
        <v>-0.40824649687679998</v>
      </c>
      <c r="AG2364">
        <v>-7.0101999999999803E-2</v>
      </c>
      <c r="AH2364">
        <v>0.58500139454905398</v>
      </c>
      <c r="AI2364">
        <v>95.612393899194004</v>
      </c>
      <c r="AJ2364">
        <v>124.909477168059</v>
      </c>
      <c r="AK2364">
        <v>0.71680270942604396</v>
      </c>
    </row>
    <row r="2365" spans="1:37" x14ac:dyDescent="0.2">
      <c r="A2365" t="str">
        <f>"20200111153655523"</f>
        <v>20200111153655523</v>
      </c>
      <c r="B2365" t="str">
        <f>"1578728215515642"</f>
        <v>1578728215515642</v>
      </c>
      <c r="C2365" t="s">
        <v>37</v>
      </c>
      <c r="D2365">
        <v>5.6640800000000002</v>
      </c>
      <c r="E2365">
        <v>0.45995159999999902</v>
      </c>
      <c r="F2365" t="s">
        <v>38</v>
      </c>
      <c r="G2365">
        <v>-477.04059999999998</v>
      </c>
      <c r="H2365">
        <v>1.040532</v>
      </c>
      <c r="I2365">
        <v>281.89679999999998</v>
      </c>
      <c r="J2365">
        <v>-476.63310000000001</v>
      </c>
      <c r="K2365">
        <v>1.1116900000000001</v>
      </c>
      <c r="L2365">
        <v>282.47899999999998</v>
      </c>
      <c r="M2365">
        <v>-0.94310139999999998</v>
      </c>
      <c r="N2365">
        <v>0</v>
      </c>
      <c r="O2365">
        <v>-0.33220569999999999</v>
      </c>
      <c r="P2365">
        <v>-0.7383229</v>
      </c>
      <c r="Q2365">
        <v>5.8198350000000003E-2</v>
      </c>
      <c r="R2365">
        <v>-0.67193199999999997</v>
      </c>
      <c r="S2365">
        <v>-2.063812</v>
      </c>
      <c r="T2365">
        <v>-0.23606359999999901</v>
      </c>
      <c r="U2365">
        <v>-2.223328</v>
      </c>
      <c r="V2365">
        <v>-0.38956479999999999</v>
      </c>
      <c r="W2365">
        <v>6.4865619999999999E-2</v>
      </c>
      <c r="X2365">
        <v>0.91871199999999997</v>
      </c>
      <c r="Y2365">
        <v>-0.46484579999999998</v>
      </c>
      <c r="Z2365">
        <v>7.7458010000000001E-3</v>
      </c>
      <c r="AA2365">
        <v>0.88535779999999997</v>
      </c>
      <c r="AB2365">
        <v>22</v>
      </c>
      <c r="AC2365">
        <v>-0.40749999999997</v>
      </c>
      <c r="AD2365">
        <v>-7.1157999999999999E-2</v>
      </c>
      <c r="AE2365">
        <v>-0.58220000000005701</v>
      </c>
      <c r="AF2365">
        <v>-0.40963385585013301</v>
      </c>
      <c r="AG2365">
        <v>-7.1157999999999999E-2</v>
      </c>
      <c r="AH2365">
        <v>0.57204594756359695</v>
      </c>
      <c r="AI2365">
        <v>95.775021059689905</v>
      </c>
      <c r="AJ2365">
        <v>125.605905071818</v>
      </c>
      <c r="AK2365">
        <v>0.70717743384993703</v>
      </c>
    </row>
    <row r="2366" spans="1:37" x14ac:dyDescent="0.2">
      <c r="A2366" t="str">
        <f>"20200111153655538"</f>
        <v>20200111153655538</v>
      </c>
      <c r="B2366" t="str">
        <f>"1578728215535162"</f>
        <v>1578728215535162</v>
      </c>
      <c r="C2366" t="s">
        <v>37</v>
      </c>
      <c r="D2366">
        <v>5.6551269999999896</v>
      </c>
      <c r="E2366">
        <v>0.43452170000000001</v>
      </c>
      <c r="F2366" t="s">
        <v>38</v>
      </c>
      <c r="G2366">
        <v>-477.30439999999999</v>
      </c>
      <c r="H2366">
        <v>1.03206</v>
      </c>
      <c r="I2366">
        <v>281.73820000000001</v>
      </c>
      <c r="J2366">
        <v>-476.77499999999998</v>
      </c>
      <c r="K2366">
        <v>1.111737</v>
      </c>
      <c r="L2366">
        <v>282.41950000000003</v>
      </c>
      <c r="M2366">
        <v>-0.94036969999999998</v>
      </c>
      <c r="N2366">
        <v>0</v>
      </c>
      <c r="O2366">
        <v>-0.33986070000000002</v>
      </c>
      <c r="P2366">
        <v>-0.732940699999999</v>
      </c>
      <c r="Q2366">
        <v>5.7864180000000001E-2</v>
      </c>
      <c r="R2366">
        <v>-0.67782719999999996</v>
      </c>
      <c r="S2366">
        <v>-2.036743</v>
      </c>
      <c r="T2366">
        <v>-0.24160209999999999</v>
      </c>
      <c r="U2366">
        <v>-2.2476500000000001</v>
      </c>
      <c r="V2366">
        <v>-0.38945340000000001</v>
      </c>
      <c r="W2366">
        <v>6.4506359999999999E-2</v>
      </c>
      <c r="X2366">
        <v>0.91878459999999995</v>
      </c>
      <c r="Y2366">
        <v>-0.46825829999999902</v>
      </c>
      <c r="Z2366">
        <v>8.4370969999999993E-3</v>
      </c>
      <c r="AA2366">
        <v>0.88355139999999999</v>
      </c>
      <c r="AB2366">
        <v>22</v>
      </c>
      <c r="AC2366">
        <v>-0.52940000000000897</v>
      </c>
      <c r="AD2366">
        <v>-7.9676999999999998E-2</v>
      </c>
      <c r="AE2366">
        <v>-0.681300000000021</v>
      </c>
      <c r="AF2366">
        <v>-0.45690120977300303</v>
      </c>
      <c r="AG2366">
        <v>-7.9676999999999998E-2</v>
      </c>
      <c r="AH2366">
        <v>0.72328353630584896</v>
      </c>
      <c r="AI2366">
        <v>95.320830255300805</v>
      </c>
      <c r="AJ2366">
        <v>122.28077197230699</v>
      </c>
      <c r="AK2366">
        <v>0.85921255444280398</v>
      </c>
    </row>
    <row r="2367" spans="1:37" x14ac:dyDescent="0.2">
      <c r="A2367" t="str">
        <f>"20200111153655553"</f>
        <v>20200111153655553</v>
      </c>
      <c r="B2367" t="str">
        <f>"1578728215544922"</f>
        <v>1578728215544922</v>
      </c>
      <c r="C2367" t="s">
        <v>37</v>
      </c>
      <c r="D2367">
        <v>5.4448980000000002</v>
      </c>
      <c r="E2367">
        <v>0.37952259999999999</v>
      </c>
      <c r="F2367" t="s">
        <v>38</v>
      </c>
      <c r="G2367">
        <v>-477.3057</v>
      </c>
      <c r="H2367">
        <v>1.026991</v>
      </c>
      <c r="I2367">
        <v>281.74040000000002</v>
      </c>
      <c r="J2367">
        <v>-476.91030000000001</v>
      </c>
      <c r="K2367">
        <v>1.1117779999999999</v>
      </c>
      <c r="L2367">
        <v>282.36110000000002</v>
      </c>
      <c r="M2367">
        <v>-0.93767140000000004</v>
      </c>
      <c r="N2367">
        <v>0</v>
      </c>
      <c r="O2367">
        <v>-0.34723530000000002</v>
      </c>
      <c r="P2367">
        <v>-0.72760809999999998</v>
      </c>
      <c r="Q2367">
        <v>5.744432E-2</v>
      </c>
      <c r="R2367">
        <v>-0.68358390000000002</v>
      </c>
      <c r="S2367">
        <v>-1.88565099999999</v>
      </c>
      <c r="T2367">
        <v>-0.30112</v>
      </c>
      <c r="U2367">
        <v>-2.412598</v>
      </c>
      <c r="V2367">
        <v>-0.3894688</v>
      </c>
      <c r="W2367">
        <v>6.4066199999999907E-2</v>
      </c>
      <c r="X2367">
        <v>0.91880879999999998</v>
      </c>
      <c r="Y2367">
        <v>-0.52417840000000004</v>
      </c>
      <c r="Z2367">
        <v>8.0241859999999905E-3</v>
      </c>
      <c r="AA2367">
        <v>0.85157070000000001</v>
      </c>
      <c r="AB2367">
        <v>22</v>
      </c>
      <c r="AC2367">
        <v>-0.39539999999999498</v>
      </c>
      <c r="AD2367">
        <v>-8.4787000000000098E-2</v>
      </c>
      <c r="AE2367">
        <v>-0.62069999999999903</v>
      </c>
      <c r="AF2367">
        <v>-0.43893426147836501</v>
      </c>
      <c r="AG2367">
        <v>-8.4787000000000098E-2</v>
      </c>
      <c r="AH2367">
        <v>0.57866221957973896</v>
      </c>
      <c r="AI2367">
        <v>96.658462303905495</v>
      </c>
      <c r="AJ2367">
        <v>127.18150930327501</v>
      </c>
      <c r="AK2367">
        <v>0.73123326349223705</v>
      </c>
    </row>
    <row r="2368" spans="1:37" x14ac:dyDescent="0.2">
      <c r="A2368" t="str">
        <f>"20200111153655576"</f>
        <v>20200111153655576</v>
      </c>
      <c r="B2368" t="str">
        <f>"1578728215565419"</f>
        <v>1578728215565419</v>
      </c>
      <c r="C2368" t="s">
        <v>37</v>
      </c>
      <c r="D2368">
        <v>5.5709359999999997</v>
      </c>
      <c r="E2368">
        <v>0.36409910000000001</v>
      </c>
      <c r="F2368" t="s">
        <v>44</v>
      </c>
      <c r="G2368">
        <v>-481.93369999999999</v>
      </c>
      <c r="H2368" s="1">
        <v>6.9499899999999999E-7</v>
      </c>
      <c r="I2368">
        <v>273.56259999999997</v>
      </c>
      <c r="J2368">
        <v>-477.1046</v>
      </c>
      <c r="K2368">
        <v>1.1118379999999899</v>
      </c>
      <c r="L2368">
        <v>282.27510000000001</v>
      </c>
      <c r="M2368">
        <v>-0.93364720000000001</v>
      </c>
      <c r="N2368">
        <v>0</v>
      </c>
      <c r="O2368">
        <v>-0.35791329999999999</v>
      </c>
      <c r="P2368">
        <v>-0.71936429999999996</v>
      </c>
      <c r="Q2368">
        <v>5.7809300000000001E-2</v>
      </c>
      <c r="R2368">
        <v>-0.69222320000000004</v>
      </c>
      <c r="S2368">
        <v>-1.568878</v>
      </c>
      <c r="T2368">
        <v>-0.34722629999999999</v>
      </c>
      <c r="U2368">
        <v>-2.7478940000000001</v>
      </c>
      <c r="V2368">
        <v>-0.38998059999999901</v>
      </c>
      <c r="W2368">
        <v>6.4393099999999995E-2</v>
      </c>
      <c r="X2368">
        <v>0.91856879999999996</v>
      </c>
      <c r="Y2368">
        <v>-0.63187609999999905</v>
      </c>
      <c r="Z2368">
        <v>2.7975700000000001E-3</v>
      </c>
      <c r="AA2368">
        <v>0.77506439999999999</v>
      </c>
      <c r="AB2368">
        <v>22</v>
      </c>
      <c r="AC2368">
        <v>-4.82909999999998</v>
      </c>
      <c r="AD2368">
        <v>-1.111837305001</v>
      </c>
      <c r="AE2368">
        <v>-8.7125000000000306</v>
      </c>
      <c r="AF2368">
        <v>-6.3278139350728004</v>
      </c>
      <c r="AG2368">
        <v>-1.111837305001</v>
      </c>
      <c r="AH2368">
        <v>7.5339043628256999</v>
      </c>
      <c r="AI2368">
        <v>96.447413593529006</v>
      </c>
      <c r="AJ2368">
        <v>130.027290736879</v>
      </c>
      <c r="AK2368">
        <v>9.9013699222833598</v>
      </c>
    </row>
    <row r="2369" spans="1:37" x14ac:dyDescent="0.2">
      <c r="A2369" t="str">
        <f>"20200111153655591"</f>
        <v>20200111153655591</v>
      </c>
      <c r="B2369" t="str">
        <f>"1578728215584938"</f>
        <v>1578728215584938</v>
      </c>
      <c r="C2369" t="s">
        <v>37</v>
      </c>
      <c r="D2369">
        <v>5.422822</v>
      </c>
      <c r="E2369">
        <v>0.35928189999999999</v>
      </c>
      <c r="F2369" t="s">
        <v>44</v>
      </c>
      <c r="G2369">
        <v>-482.39599999999899</v>
      </c>
      <c r="H2369" s="1">
        <v>3.8924719999999998E-7</v>
      </c>
      <c r="I2369">
        <v>271.82650000000001</v>
      </c>
      <c r="J2369">
        <v>-477.23480000000001</v>
      </c>
      <c r="K2369">
        <v>1.1118709999999901</v>
      </c>
      <c r="L2369">
        <v>282.2158</v>
      </c>
      <c r="M2369">
        <v>-0.93083919999999998</v>
      </c>
      <c r="N2369">
        <v>0</v>
      </c>
      <c r="O2369">
        <v>-0.36515349999999902</v>
      </c>
      <c r="P2369">
        <v>-0.714009</v>
      </c>
      <c r="Q2369">
        <v>5.8239760000000002E-2</v>
      </c>
      <c r="R2369">
        <v>-0.6977101</v>
      </c>
      <c r="S2369">
        <v>-1.4463809999999999</v>
      </c>
      <c r="T2369">
        <v>-0.30391849999999998</v>
      </c>
      <c r="U2369">
        <v>-2.8561099999999899</v>
      </c>
      <c r="V2369">
        <v>-0.38990399999999997</v>
      </c>
      <c r="W2369">
        <v>6.4810900000000005E-2</v>
      </c>
      <c r="X2369">
        <v>0.9185719</v>
      </c>
      <c r="Y2369">
        <v>-0.6642844</v>
      </c>
      <c r="Z2369">
        <v>1.0712709999999999E-3</v>
      </c>
      <c r="AA2369">
        <v>0.74747919999999901</v>
      </c>
      <c r="AB2369">
        <v>22</v>
      </c>
      <c r="AC2369">
        <v>-5.1611999999999503</v>
      </c>
      <c r="AD2369">
        <v>-1.11187061075279</v>
      </c>
      <c r="AE2369">
        <v>-10.389299999999899</v>
      </c>
      <c r="AF2369">
        <v>-7.7160391341987502</v>
      </c>
      <c r="AG2369">
        <v>-1.11187061075279</v>
      </c>
      <c r="AH2369">
        <v>8.5205296158103003</v>
      </c>
      <c r="AI2369">
        <v>95.524795866310299</v>
      </c>
      <c r="AJ2369">
        <v>132.16342503830899</v>
      </c>
      <c r="AK2369">
        <v>11.5487203234576</v>
      </c>
    </row>
    <row r="2370" spans="1:37" x14ac:dyDescent="0.2">
      <c r="A2370" t="str">
        <f>"20200111153655606"</f>
        <v>20200111153655606</v>
      </c>
      <c r="B2370" t="str">
        <f>"1578728215594699"</f>
        <v>1578728215594699</v>
      </c>
      <c r="C2370" t="s">
        <v>37</v>
      </c>
      <c r="D2370">
        <v>5.4213620000000002</v>
      </c>
      <c r="E2370">
        <v>0.35800900000000002</v>
      </c>
      <c r="F2370" t="s">
        <v>44</v>
      </c>
      <c r="G2370">
        <v>-482.20830000000001</v>
      </c>
      <c r="H2370" s="1">
        <v>4.0655829999999998E-7</v>
      </c>
      <c r="I2370">
        <v>271.9248</v>
      </c>
      <c r="J2370">
        <v>-477.36520000000002</v>
      </c>
      <c r="K2370">
        <v>1.111904</v>
      </c>
      <c r="L2370">
        <v>282.15519999999998</v>
      </c>
      <c r="M2370">
        <v>-0.92794509999999897</v>
      </c>
      <c r="N2370">
        <v>0</v>
      </c>
      <c r="O2370">
        <v>-0.37244579999999999</v>
      </c>
      <c r="P2370">
        <v>-0.70857969999999904</v>
      </c>
      <c r="Q2370">
        <v>5.873681E-2</v>
      </c>
      <c r="R2370">
        <v>-0.70318199999999997</v>
      </c>
      <c r="S2370">
        <v>-1.3988039999999999</v>
      </c>
      <c r="T2370">
        <v>-0.31272050000000001</v>
      </c>
      <c r="U2370">
        <v>-2.894409</v>
      </c>
      <c r="V2370">
        <v>-0.38979079999999999</v>
      </c>
      <c r="W2370">
        <v>6.5298149999999999E-2</v>
      </c>
      <c r="X2370">
        <v>0.91858549999999894</v>
      </c>
      <c r="Y2370">
        <v>-0.67220170000000001</v>
      </c>
      <c r="Z2370">
        <v>1.3626809999999999E-3</v>
      </c>
      <c r="AA2370">
        <v>0.74036689999999905</v>
      </c>
      <c r="AB2370">
        <v>22</v>
      </c>
      <c r="AC2370">
        <v>-4.84309999999999</v>
      </c>
      <c r="AD2370">
        <v>-1.1119035934417001</v>
      </c>
      <c r="AE2370">
        <v>-10.2303999999999</v>
      </c>
      <c r="AF2370">
        <v>-7.6167324450756198</v>
      </c>
      <c r="AG2370">
        <v>-1.1119035934417001</v>
      </c>
      <c r="AH2370">
        <v>8.2258596047848798</v>
      </c>
      <c r="AI2370">
        <v>95.664214745003804</v>
      </c>
      <c r="AJ2370">
        <v>132.79813601395301</v>
      </c>
      <c r="AK2370">
        <v>11.2656872395166</v>
      </c>
    </row>
    <row r="2371" spans="1:37" x14ac:dyDescent="0.2">
      <c r="A2371" t="str">
        <f>"20200111153655621"</f>
        <v>20200111153655621</v>
      </c>
      <c r="B2371" t="str">
        <f>"1578728215615195"</f>
        <v>1578728215615195</v>
      </c>
      <c r="C2371" t="s">
        <v>37</v>
      </c>
      <c r="D2371">
        <v>5.4215269999999904</v>
      </c>
      <c r="E2371">
        <v>0.35733589999999998</v>
      </c>
      <c r="F2371" t="s">
        <v>44</v>
      </c>
      <c r="G2371">
        <v>-482.2389</v>
      </c>
      <c r="H2371" s="1">
        <v>3.8263959999999902E-7</v>
      </c>
      <c r="I2371">
        <v>271.78899999999999</v>
      </c>
      <c r="J2371">
        <v>-477.488</v>
      </c>
      <c r="K2371">
        <v>1.111936</v>
      </c>
      <c r="L2371">
        <v>282.09719999999999</v>
      </c>
      <c r="M2371">
        <v>-0.92514319999999906</v>
      </c>
      <c r="N2371">
        <v>0</v>
      </c>
      <c r="O2371">
        <v>-0.37935180000000002</v>
      </c>
      <c r="P2371">
        <v>-0.70388399999999995</v>
      </c>
      <c r="Q2371">
        <v>5.9563419999999999E-2</v>
      </c>
      <c r="R2371">
        <v>-0.70781329999999998</v>
      </c>
      <c r="S2371">
        <v>-1.369354</v>
      </c>
      <c r="T2371">
        <v>-0.3124113</v>
      </c>
      <c r="U2371">
        <v>-2.912598</v>
      </c>
      <c r="V2371">
        <v>-0.389011</v>
      </c>
      <c r="W2371">
        <v>6.613223E-2</v>
      </c>
      <c r="X2371">
        <v>0.91885629999999996</v>
      </c>
      <c r="Y2371">
        <v>-0.67462180000000005</v>
      </c>
      <c r="Z2371">
        <v>1.9649120000000001E-3</v>
      </c>
      <c r="AA2371">
        <v>0.73816090000000001</v>
      </c>
      <c r="AB2371">
        <v>22</v>
      </c>
      <c r="AC2371">
        <v>-4.7508999999999402</v>
      </c>
      <c r="AD2371">
        <v>-1.1119356173604</v>
      </c>
      <c r="AE2371">
        <v>-10.308199999999999</v>
      </c>
      <c r="AF2371">
        <v>-7.6615519591096</v>
      </c>
      <c r="AG2371">
        <v>-1.1119356173604</v>
      </c>
      <c r="AH2371">
        <v>8.2275759274069404</v>
      </c>
      <c r="AI2371">
        <v>95.648480891678702</v>
      </c>
      <c r="AJ2371">
        <v>132.95979510752201</v>
      </c>
      <c r="AK2371">
        <v>11.297291041685</v>
      </c>
    </row>
    <row r="2372" spans="1:37" x14ac:dyDescent="0.2">
      <c r="A2372" t="str">
        <f>"20200111153655644"</f>
        <v>20200111153655644</v>
      </c>
      <c r="B2372" t="str">
        <f>"1578728215634714"</f>
        <v>1578728215634714</v>
      </c>
      <c r="C2372" t="s">
        <v>37</v>
      </c>
      <c r="D2372">
        <v>5.3612099999999998</v>
      </c>
      <c r="E2372">
        <v>0.35746529999999999</v>
      </c>
      <c r="F2372" t="s">
        <v>44</v>
      </c>
      <c r="G2372">
        <v>-482.24450000000002</v>
      </c>
      <c r="H2372" s="1">
        <v>3.7819799999999998E-7</v>
      </c>
      <c r="I2372">
        <v>271.7638</v>
      </c>
      <c r="J2372">
        <v>-477.68360000000001</v>
      </c>
      <c r="K2372">
        <v>1.1119709999999901</v>
      </c>
      <c r="L2372">
        <v>282.0018</v>
      </c>
      <c r="M2372">
        <v>-0.92051170000000004</v>
      </c>
      <c r="N2372">
        <v>0</v>
      </c>
      <c r="O2372">
        <v>-0.39045550000000001</v>
      </c>
      <c r="P2372">
        <v>-0.69639259999999903</v>
      </c>
      <c r="Q2372">
        <v>5.9932850000000003E-2</v>
      </c>
      <c r="R2372">
        <v>-0.71515430000000002</v>
      </c>
      <c r="S2372">
        <v>-1.3466799999999901</v>
      </c>
      <c r="T2372">
        <v>-0.31481890000000001</v>
      </c>
      <c r="U2372">
        <v>-2.925659</v>
      </c>
      <c r="V2372">
        <v>-0.3876115</v>
      </c>
      <c r="W2372">
        <v>6.6524769999999997E-2</v>
      </c>
      <c r="X2372">
        <v>0.91941930000000005</v>
      </c>
      <c r="Y2372">
        <v>-0.6717554</v>
      </c>
      <c r="Z2372">
        <v>3.4370939999999999E-3</v>
      </c>
      <c r="AA2372">
        <v>0.74076500000000001</v>
      </c>
      <c r="AB2372">
        <v>22</v>
      </c>
      <c r="AC2372">
        <v>-4.5609000000000002</v>
      </c>
      <c r="AD2372">
        <v>-1.11197062180199</v>
      </c>
      <c r="AE2372">
        <v>-10.238</v>
      </c>
      <c r="AF2372">
        <v>-7.56963620912647</v>
      </c>
      <c r="AG2372">
        <v>-1.11197062180199</v>
      </c>
      <c r="AH2372">
        <v>8.1167815193664605</v>
      </c>
      <c r="AI2372">
        <v>95.721320725933097</v>
      </c>
      <c r="AJ2372">
        <v>133.00232191521701</v>
      </c>
      <c r="AK2372">
        <v>11.1542822823971</v>
      </c>
    </row>
    <row r="2373" spans="1:37" x14ac:dyDescent="0.2">
      <c r="A2373" t="str">
        <f>"20200111153655664"</f>
        <v>20200111153655664</v>
      </c>
      <c r="B2373" t="str">
        <f>"1578728215655210"</f>
        <v>1578728215655210</v>
      </c>
      <c r="C2373" t="s">
        <v>37</v>
      </c>
      <c r="D2373">
        <v>5.3373679999999997</v>
      </c>
      <c r="E2373">
        <v>0.35791149999999999</v>
      </c>
      <c r="F2373" t="s">
        <v>44</v>
      </c>
      <c r="G2373">
        <v>-482.25209999999998</v>
      </c>
      <c r="H2373" s="1">
        <v>3.8650500000000001E-7</v>
      </c>
      <c r="I2373">
        <v>271.8109</v>
      </c>
      <c r="J2373">
        <v>-477.86360000000002</v>
      </c>
      <c r="K2373">
        <v>1.1119870000000001</v>
      </c>
      <c r="L2373">
        <v>281.91129999999998</v>
      </c>
      <c r="M2373">
        <v>-0.91607459999999996</v>
      </c>
      <c r="N2373">
        <v>0</v>
      </c>
      <c r="O2373">
        <v>-0.400754099999999</v>
      </c>
      <c r="P2373">
        <v>-0.68939549999999905</v>
      </c>
      <c r="Q2373">
        <v>6.0489109999999999E-2</v>
      </c>
      <c r="R2373">
        <v>-0.72185529999999998</v>
      </c>
      <c r="S2373">
        <v>-1.3175049999999999</v>
      </c>
      <c r="T2373">
        <v>-0.32067839999999997</v>
      </c>
      <c r="U2373">
        <v>-2.938904</v>
      </c>
      <c r="V2373">
        <v>-0.38622279999999998</v>
      </c>
      <c r="W2373">
        <v>6.7109479999999999E-2</v>
      </c>
      <c r="X2373">
        <v>0.91996100000000003</v>
      </c>
      <c r="Y2373">
        <v>-0.67081919999999995</v>
      </c>
      <c r="Z2373">
        <v>4.7599749999999996E-3</v>
      </c>
      <c r="AA2373">
        <v>0.74160579999999998</v>
      </c>
      <c r="AB2373">
        <v>22</v>
      </c>
      <c r="AC2373">
        <v>-4.3884999999999597</v>
      </c>
      <c r="AD2373">
        <v>-1.1119866134950001</v>
      </c>
      <c r="AE2373">
        <v>-10.100399999999899</v>
      </c>
      <c r="AF2373">
        <v>-7.4191292341292003</v>
      </c>
      <c r="AG2373">
        <v>-1.1119866134950001</v>
      </c>
      <c r="AH2373">
        <v>7.9873537149306602</v>
      </c>
      <c r="AI2373">
        <v>95.824236536028494</v>
      </c>
      <c r="AJ2373">
        <v>132.887764884098</v>
      </c>
      <c r="AK2373">
        <v>10.958002198791499</v>
      </c>
    </row>
    <row r="2374" spans="1:37" x14ac:dyDescent="0.2">
      <c r="A2374" t="str">
        <f>"20200111153655678"</f>
        <v>20200111153655678</v>
      </c>
      <c r="B2374" t="str">
        <f>"1578728215674730"</f>
        <v>1578728215674730</v>
      </c>
      <c r="C2374" t="s">
        <v>37</v>
      </c>
      <c r="D2374">
        <v>5.3205809999999998</v>
      </c>
      <c r="E2374">
        <v>0.3584408</v>
      </c>
      <c r="F2374" t="s">
        <v>44</v>
      </c>
      <c r="G2374">
        <v>-482.28289999999998</v>
      </c>
      <c r="H2374" s="1">
        <v>3.8796409999999898E-7</v>
      </c>
      <c r="I2374">
        <v>271.81920000000002</v>
      </c>
      <c r="J2374">
        <v>-477.97770000000003</v>
      </c>
      <c r="K2374">
        <v>1.112001</v>
      </c>
      <c r="L2374">
        <v>281.85289999999998</v>
      </c>
      <c r="M2374">
        <v>-0.91318269999999901</v>
      </c>
      <c r="N2374">
        <v>0</v>
      </c>
      <c r="O2374">
        <v>-0.40730040000000001</v>
      </c>
      <c r="P2374">
        <v>-0.68501049999999997</v>
      </c>
      <c r="Q2374">
        <v>5.99815E-2</v>
      </c>
      <c r="R2374">
        <v>-0.72606009999999999</v>
      </c>
      <c r="S2374">
        <v>-1.291595</v>
      </c>
      <c r="T2374">
        <v>-0.32499729999999999</v>
      </c>
      <c r="U2374">
        <v>-2.9495849999999999</v>
      </c>
      <c r="V2374">
        <v>-0.38524140000000001</v>
      </c>
      <c r="W2374">
        <v>6.6625619999999997E-2</v>
      </c>
      <c r="X2374">
        <v>0.92040750000000005</v>
      </c>
      <c r="Y2374">
        <v>-0.67195000000000005</v>
      </c>
      <c r="Z2374">
        <v>5.5155639999999997E-3</v>
      </c>
      <c r="AA2374">
        <v>0.74057600000000001</v>
      </c>
      <c r="AB2374">
        <v>22</v>
      </c>
      <c r="AC2374">
        <v>-4.3051999999999504</v>
      </c>
      <c r="AD2374">
        <v>-1.1120006120358901</v>
      </c>
      <c r="AE2374">
        <v>-10.0336999999999</v>
      </c>
      <c r="AF2374">
        <v>-7.3337743686892098</v>
      </c>
      <c r="AG2374">
        <v>-1.1120006120358901</v>
      </c>
      <c r="AH2374">
        <v>7.9366554426417499</v>
      </c>
      <c r="AI2374">
        <v>95.875262092766505</v>
      </c>
      <c r="AJ2374">
        <v>132.73911990705099</v>
      </c>
      <c r="AK2374">
        <v>10.863300210673801</v>
      </c>
    </row>
    <row r="2375" spans="1:37" x14ac:dyDescent="0.2">
      <c r="A2375" t="str">
        <f>"20200111153655690"</f>
        <v>20200111153655690</v>
      </c>
      <c r="B2375" t="str">
        <f>"1578728215685466"</f>
        <v>1578728215685466</v>
      </c>
      <c r="C2375" t="s">
        <v>37</v>
      </c>
      <c r="D2375">
        <v>5.3180370000000003</v>
      </c>
      <c r="E2375">
        <v>0.35873169999999999</v>
      </c>
      <c r="F2375" t="s">
        <v>44</v>
      </c>
      <c r="G2375">
        <v>-482.24810000000002</v>
      </c>
      <c r="H2375" s="1">
        <v>4.1481660000000001E-7</v>
      </c>
      <c r="I2375">
        <v>271.9717</v>
      </c>
      <c r="J2375">
        <v>-478.0745</v>
      </c>
      <c r="K2375">
        <v>1.1120049999999999</v>
      </c>
      <c r="L2375">
        <v>281.80200000000002</v>
      </c>
      <c r="M2375">
        <v>-0.91066440000000004</v>
      </c>
      <c r="N2375">
        <v>0</v>
      </c>
      <c r="O2375">
        <v>-0.41290009999999999</v>
      </c>
      <c r="P2375">
        <v>-0.68124219999999902</v>
      </c>
      <c r="Q2375">
        <v>6.0361650000000003E-2</v>
      </c>
      <c r="R2375">
        <v>-0.72956569999999898</v>
      </c>
      <c r="S2375">
        <v>-1.2769170000000001</v>
      </c>
      <c r="T2375">
        <v>-0.33250190000000002</v>
      </c>
      <c r="U2375">
        <v>-2.95459</v>
      </c>
      <c r="V2375">
        <v>-0.38433339999999999</v>
      </c>
      <c r="W2375">
        <v>6.7028599999999994E-2</v>
      </c>
      <c r="X2375">
        <v>0.92075779999999996</v>
      </c>
      <c r="Y2375">
        <v>-0.67092940000000001</v>
      </c>
      <c r="Z2375">
        <v>6.3958649999999997E-3</v>
      </c>
      <c r="AA2375">
        <v>0.74149359999999997</v>
      </c>
      <c r="AB2375">
        <v>22</v>
      </c>
      <c r="AC2375">
        <v>-4.17360000000002</v>
      </c>
      <c r="AD2375">
        <v>-1.1120045851834</v>
      </c>
      <c r="AE2375">
        <v>-9.8303000000000207</v>
      </c>
      <c r="AF2375">
        <v>-7.1520201591579902</v>
      </c>
      <c r="AG2375">
        <v>-1.1120045851834</v>
      </c>
      <c r="AH2375">
        <v>7.7761738854966902</v>
      </c>
      <c r="AI2375">
        <v>96.008437955626505</v>
      </c>
      <c r="AJ2375">
        <v>132.60583512346699</v>
      </c>
      <c r="AK2375">
        <v>10.623409379853101</v>
      </c>
    </row>
    <row r="2376" spans="1:37" x14ac:dyDescent="0.2">
      <c r="A2376" t="str">
        <f>"20200111153655704"</f>
        <v>20200111153655704</v>
      </c>
      <c r="B2376" t="str">
        <f>"1578728215695227"</f>
        <v>1578728215695227</v>
      </c>
      <c r="C2376" t="s">
        <v>37</v>
      </c>
      <c r="D2376">
        <v>5.2916720000000002</v>
      </c>
      <c r="E2376">
        <v>0.35899009999999998</v>
      </c>
      <c r="F2376" t="s">
        <v>44</v>
      </c>
      <c r="G2376">
        <v>-482.27440000000001</v>
      </c>
      <c r="H2376" s="1">
        <v>4.1401850000000001E-7</v>
      </c>
      <c r="I2376">
        <v>271.96719999999999</v>
      </c>
      <c r="J2376">
        <v>-478.18799999999999</v>
      </c>
      <c r="K2376">
        <v>1.1120110000000001</v>
      </c>
      <c r="L2376">
        <v>281.74180000000001</v>
      </c>
      <c r="M2376">
        <v>-0.90765640000000003</v>
      </c>
      <c r="N2376">
        <v>0</v>
      </c>
      <c r="O2376">
        <v>-0.41947040000000002</v>
      </c>
      <c r="P2376">
        <v>-0.67659829999999999</v>
      </c>
      <c r="Q2376">
        <v>6.0515099999999898E-2</v>
      </c>
      <c r="R2376">
        <v>-0.7338614</v>
      </c>
      <c r="S2376">
        <v>-1.263855</v>
      </c>
      <c r="T2376">
        <v>-0.3346325</v>
      </c>
      <c r="U2376">
        <v>-2.9595639999999999</v>
      </c>
      <c r="V2376">
        <v>-0.38351380000000002</v>
      </c>
      <c r="W2376">
        <v>6.7202719999999994E-2</v>
      </c>
      <c r="X2376">
        <v>0.92108679999999998</v>
      </c>
      <c r="Y2376">
        <v>-0.66880980000000001</v>
      </c>
      <c r="Z2376">
        <v>7.393546E-3</v>
      </c>
      <c r="AA2376">
        <v>0.74339679999999997</v>
      </c>
      <c r="AB2376">
        <v>22</v>
      </c>
      <c r="AC2376">
        <v>-4.0863999999999603</v>
      </c>
      <c r="AD2376">
        <v>-1.1120105859814999</v>
      </c>
      <c r="AE2376">
        <v>-9.7746000000000102</v>
      </c>
      <c r="AF2376">
        <v>-7.0805792561691696</v>
      </c>
      <c r="AG2376">
        <v>-1.1120105859814999</v>
      </c>
      <c r="AH2376">
        <v>7.7248954775332903</v>
      </c>
      <c r="AI2376">
        <v>96.057466746362607</v>
      </c>
      <c r="AJ2376">
        <v>132.50812979596</v>
      </c>
      <c r="AK2376">
        <v>10.537797696152699</v>
      </c>
    </row>
    <row r="2377" spans="1:37" x14ac:dyDescent="0.2">
      <c r="A2377" t="str">
        <f>"20200111153655721"</f>
        <v>20200111153655721</v>
      </c>
      <c r="B2377" t="str">
        <f>"1578728215714745"</f>
        <v>1578728215714745</v>
      </c>
      <c r="C2377" t="s">
        <v>37</v>
      </c>
      <c r="D2377">
        <v>5.3111379999999997</v>
      </c>
      <c r="E2377">
        <v>0.35946899999999998</v>
      </c>
      <c r="F2377" t="s">
        <v>44</v>
      </c>
      <c r="G2377">
        <v>-482.30290000000002</v>
      </c>
      <c r="H2377" s="1">
        <v>4.1131209999999898E-7</v>
      </c>
      <c r="I2377">
        <v>271.95179999999999</v>
      </c>
      <c r="J2377">
        <v>-478.33300000000003</v>
      </c>
      <c r="K2377">
        <v>1.112015</v>
      </c>
      <c r="L2377">
        <v>281.66309999999999</v>
      </c>
      <c r="M2377">
        <v>-0.90370790000000001</v>
      </c>
      <c r="N2377">
        <v>0</v>
      </c>
      <c r="O2377">
        <v>-0.42791069999999998</v>
      </c>
      <c r="P2377">
        <v>-0.67067900000000003</v>
      </c>
      <c r="Q2377">
        <v>5.954139E-2</v>
      </c>
      <c r="R2377">
        <v>-0.73935459999999997</v>
      </c>
      <c r="S2377">
        <v>-1.246796</v>
      </c>
      <c r="T2377">
        <v>-0.336926</v>
      </c>
      <c r="U2377">
        <v>-2.96624799999999</v>
      </c>
      <c r="V2377">
        <v>-0.3823879</v>
      </c>
      <c r="W2377">
        <v>6.6258780000000003E-2</v>
      </c>
      <c r="X2377">
        <v>0.92162319999999998</v>
      </c>
      <c r="Y2377">
        <v>-0.6661435</v>
      </c>
      <c r="Z2377">
        <v>8.678224E-3</v>
      </c>
      <c r="AA2377">
        <v>0.74577309999999997</v>
      </c>
      <c r="AB2377">
        <v>22</v>
      </c>
      <c r="AC2377">
        <v>-3.9698999999999902</v>
      </c>
      <c r="AD2377">
        <v>-1.11201458868789</v>
      </c>
      <c r="AE2377">
        <v>-9.7112999999999907</v>
      </c>
      <c r="AF2377">
        <v>-6.9995034954750199</v>
      </c>
      <c r="AG2377">
        <v>-1.11201458868789</v>
      </c>
      <c r="AH2377">
        <v>7.6579574937271202</v>
      </c>
      <c r="AI2377">
        <v>96.117820153530403</v>
      </c>
      <c r="AJ2377">
        <v>132.42784322253499</v>
      </c>
      <c r="AK2377">
        <v>10.4342675164265</v>
      </c>
    </row>
    <row r="2378" spans="1:37" x14ac:dyDescent="0.2">
      <c r="A2378" t="str">
        <f>"20200111153655736"</f>
        <v>20200111153655736</v>
      </c>
      <c r="B2378" t="str">
        <f>"1578728215725481"</f>
        <v>1578728215725481</v>
      </c>
      <c r="C2378" t="s">
        <v>37</v>
      </c>
      <c r="D2378">
        <v>5.3485909999999999</v>
      </c>
      <c r="E2378">
        <v>0.35962280000000002</v>
      </c>
      <c r="F2378" t="s">
        <v>44</v>
      </c>
      <c r="G2378">
        <v>-482.32299999999998</v>
      </c>
      <c r="H2378" s="1">
        <v>4.167313E-7</v>
      </c>
      <c r="I2378">
        <v>271.98259999999999</v>
      </c>
      <c r="J2378">
        <v>-478.45679999999999</v>
      </c>
      <c r="K2378">
        <v>1.112025</v>
      </c>
      <c r="L2378">
        <v>281.59449999999998</v>
      </c>
      <c r="M2378">
        <v>-0.90024269999999995</v>
      </c>
      <c r="N2378">
        <v>0</v>
      </c>
      <c r="O2378">
        <v>-0.43515349999999903</v>
      </c>
      <c r="P2378">
        <v>-0.6652941</v>
      </c>
      <c r="Q2378">
        <v>5.9198279999999999E-2</v>
      </c>
      <c r="R2378">
        <v>-0.74423149999999905</v>
      </c>
      <c r="S2378">
        <v>-1.225525</v>
      </c>
      <c r="T2378">
        <v>-0.34155570000000002</v>
      </c>
      <c r="U2378">
        <v>-2.9733890000000001</v>
      </c>
      <c r="V2378">
        <v>-0.38169769999999997</v>
      </c>
      <c r="W2378">
        <v>6.5934789999999993E-2</v>
      </c>
      <c r="X2378">
        <v>0.92193250000000004</v>
      </c>
      <c r="Y2378">
        <v>-0.66534569999999904</v>
      </c>
      <c r="Z2378">
        <v>9.7663890000000003E-3</v>
      </c>
      <c r="AA2378">
        <v>0.74647149999999995</v>
      </c>
      <c r="AB2378">
        <v>21</v>
      </c>
      <c r="AC2378">
        <v>-3.86620000000004</v>
      </c>
      <c r="AD2378">
        <v>-1.1120245832686999</v>
      </c>
      <c r="AE2378">
        <v>-9.6118999999999897</v>
      </c>
      <c r="AF2378">
        <v>-6.89196426465789</v>
      </c>
      <c r="AG2378">
        <v>-1.1120245832686999</v>
      </c>
      <c r="AH2378">
        <v>7.57666469586629</v>
      </c>
      <c r="AI2378">
        <v>96.196423365047593</v>
      </c>
      <c r="AJ2378">
        <v>132.29060720833499</v>
      </c>
      <c r="AK2378">
        <v>10.3025054240559</v>
      </c>
    </row>
    <row r="2379" spans="1:37" x14ac:dyDescent="0.2">
      <c r="A2379" t="str">
        <f>"20200111153655754"</f>
        <v>20200111153655754</v>
      </c>
      <c r="B2379" t="str">
        <f>"1578728215745003"</f>
        <v>1578728215745003</v>
      </c>
      <c r="C2379" t="s">
        <v>37</v>
      </c>
      <c r="D2379">
        <v>5.3160400000000001</v>
      </c>
      <c r="E2379">
        <v>0.36000290000000001</v>
      </c>
      <c r="F2379" t="s">
        <v>44</v>
      </c>
      <c r="G2379">
        <v>-482.36649999999997</v>
      </c>
      <c r="H2379" s="1">
        <v>4.0509840000000001E-7</v>
      </c>
      <c r="I2379">
        <v>271.91649999999998</v>
      </c>
      <c r="J2379">
        <v>-478.60449999999997</v>
      </c>
      <c r="K2379">
        <v>1.112033</v>
      </c>
      <c r="L2379">
        <v>281.51080000000002</v>
      </c>
      <c r="M2379">
        <v>-0.89599490000000004</v>
      </c>
      <c r="N2379">
        <v>0</v>
      </c>
      <c r="O2379">
        <v>-0.44383319999999998</v>
      </c>
      <c r="P2379">
        <v>-0.65812309999999996</v>
      </c>
      <c r="Q2379">
        <v>5.8801890000000002E-2</v>
      </c>
      <c r="R2379">
        <v>-0.75061060000000002</v>
      </c>
      <c r="S2379">
        <v>-1.2044680000000001</v>
      </c>
      <c r="T2379">
        <v>-0.3425781</v>
      </c>
      <c r="U2379">
        <v>-2.9814759999999998</v>
      </c>
      <c r="V2379">
        <v>-0.38165519999999997</v>
      </c>
      <c r="W2379">
        <v>6.5543190000000001E-2</v>
      </c>
      <c r="X2379">
        <v>0.92197790000000002</v>
      </c>
      <c r="Y2379">
        <v>-0.66340600000000005</v>
      </c>
      <c r="Z2379">
        <v>1.1031920000000001E-2</v>
      </c>
      <c r="AA2379">
        <v>0.74817840000000002</v>
      </c>
      <c r="AB2379">
        <v>21</v>
      </c>
      <c r="AC2379">
        <v>-3.762</v>
      </c>
      <c r="AD2379">
        <v>-1.1120325949015999</v>
      </c>
      <c r="AE2379">
        <v>-9.5943000000000307</v>
      </c>
      <c r="AF2379">
        <v>-6.8477203139406804</v>
      </c>
      <c r="AG2379">
        <v>-1.1120325949015999</v>
      </c>
      <c r="AH2379">
        <v>7.5419669843197799</v>
      </c>
      <c r="AI2379">
        <v>96.229922804838694</v>
      </c>
      <c r="AJ2379">
        <v>132.23784240587199</v>
      </c>
      <c r="AK2379">
        <v>10.247397522427301</v>
      </c>
    </row>
    <row r="2380" spans="1:37" x14ac:dyDescent="0.2">
      <c r="A2380" t="str">
        <f>"20200111153655769"</f>
        <v>20200111153655769</v>
      </c>
      <c r="B2380" t="str">
        <f>"1578728215765498"</f>
        <v>1578728215765498</v>
      </c>
      <c r="C2380" t="s">
        <v>37</v>
      </c>
      <c r="D2380">
        <v>5.2960260000000003</v>
      </c>
      <c r="E2380">
        <v>0.36020659999999999</v>
      </c>
      <c r="F2380" t="s">
        <v>44</v>
      </c>
      <c r="G2380">
        <v>-482.41559999999998</v>
      </c>
      <c r="H2380" s="1">
        <v>3.9100920000000001E-7</v>
      </c>
      <c r="I2380">
        <v>271.8365</v>
      </c>
      <c r="J2380">
        <v>-478.71850000000001</v>
      </c>
      <c r="K2380">
        <v>1.1120399999999999</v>
      </c>
      <c r="L2380">
        <v>281.44490000000002</v>
      </c>
      <c r="M2380">
        <v>-0.89263119999999996</v>
      </c>
      <c r="N2380">
        <v>0</v>
      </c>
      <c r="O2380">
        <v>-0.45055990000000001</v>
      </c>
      <c r="P2380">
        <v>-0.65216149999999995</v>
      </c>
      <c r="Q2380">
        <v>5.8898140000000002E-2</v>
      </c>
      <c r="R2380">
        <v>-0.75578900000000004</v>
      </c>
      <c r="S2380">
        <v>-1.178131</v>
      </c>
      <c r="T2380">
        <v>-0.34376420000000002</v>
      </c>
      <c r="U2380">
        <v>-2.990631</v>
      </c>
      <c r="V2380">
        <v>-0.38201439999999998</v>
      </c>
      <c r="W2380">
        <v>6.5632640000000006E-2</v>
      </c>
      <c r="X2380">
        <v>0.92182280000000005</v>
      </c>
      <c r="Y2380">
        <v>-0.66427569999999903</v>
      </c>
      <c r="Z2380">
        <v>1.1864039999999999E-2</v>
      </c>
      <c r="AA2380">
        <v>0.74739350000000004</v>
      </c>
      <c r="AB2380">
        <v>21</v>
      </c>
      <c r="AC2380">
        <v>-3.6970999999999701</v>
      </c>
      <c r="AD2380">
        <v>-1.1120396089908</v>
      </c>
      <c r="AE2380">
        <v>-9.6084000000000103</v>
      </c>
      <c r="AF2380">
        <v>-6.8319902774563799</v>
      </c>
      <c r="AG2380">
        <v>-1.1120396089908</v>
      </c>
      <c r="AH2380">
        <v>7.5420928786053203</v>
      </c>
      <c r="AI2380">
        <v>96.236323388600596</v>
      </c>
      <c r="AJ2380">
        <v>132.17179650298701</v>
      </c>
      <c r="AK2380">
        <v>10.236986286633901</v>
      </c>
    </row>
    <row r="2381" spans="1:37" x14ac:dyDescent="0.2">
      <c r="A2381" t="str">
        <f>"20200111153655783"</f>
        <v>20200111153655783</v>
      </c>
      <c r="B2381" t="str">
        <f>"1578728215775259"</f>
        <v>1578728215775259</v>
      </c>
      <c r="C2381" t="s">
        <v>37</v>
      </c>
      <c r="D2381">
        <v>5.2801099999999996</v>
      </c>
      <c r="E2381">
        <v>0.36033939999999998</v>
      </c>
      <c r="F2381" t="s">
        <v>44</v>
      </c>
      <c r="G2381">
        <v>-482.4554</v>
      </c>
      <c r="H2381" s="1">
        <v>3.7541969999999998E-7</v>
      </c>
      <c r="I2381">
        <v>271.74799999999999</v>
      </c>
      <c r="J2381">
        <v>-478.83</v>
      </c>
      <c r="K2381">
        <v>1.1120459999999901</v>
      </c>
      <c r="L2381">
        <v>281.37939999999998</v>
      </c>
      <c r="M2381">
        <v>-0.88926819999999895</v>
      </c>
      <c r="N2381">
        <v>0</v>
      </c>
      <c r="O2381">
        <v>-0.45716099999999998</v>
      </c>
      <c r="P2381">
        <v>-0.64625589999999999</v>
      </c>
      <c r="Q2381">
        <v>5.9282370000000001E-2</v>
      </c>
      <c r="R2381">
        <v>-0.76081480000000001</v>
      </c>
      <c r="S2381">
        <v>-1.1557010000000001</v>
      </c>
      <c r="T2381">
        <v>-0.34391470000000002</v>
      </c>
      <c r="U2381">
        <v>-2.998901</v>
      </c>
      <c r="V2381">
        <v>-0.38234459999999998</v>
      </c>
      <c r="W2381">
        <v>6.6009960000000006E-2</v>
      </c>
      <c r="X2381">
        <v>0.92165900000000001</v>
      </c>
      <c r="Y2381">
        <v>-0.6643232</v>
      </c>
      <c r="Z2381">
        <v>1.270777E-2</v>
      </c>
      <c r="AA2381">
        <v>0.74733729999999998</v>
      </c>
      <c r="AB2381">
        <v>21</v>
      </c>
      <c r="AC2381">
        <v>-3.6254000000000102</v>
      </c>
      <c r="AD2381">
        <v>-1.1120456245803001</v>
      </c>
      <c r="AE2381">
        <v>-9.6313999999999798</v>
      </c>
      <c r="AF2381">
        <v>-6.8284835134921096</v>
      </c>
      <c r="AG2381">
        <v>-1.1120456245803001</v>
      </c>
      <c r="AH2381">
        <v>7.5397989395397804</v>
      </c>
      <c r="AI2381">
        <v>96.238822859102001</v>
      </c>
      <c r="AJ2381">
        <v>132.16583204188601</v>
      </c>
      <c r="AK2381">
        <v>10.232956592005401</v>
      </c>
    </row>
    <row r="2382" spans="1:37" x14ac:dyDescent="0.2">
      <c r="A2382" t="str">
        <f>"20200111153655796"</f>
        <v>20200111153655796</v>
      </c>
      <c r="B2382" t="str">
        <f>"1578728215785018"</f>
        <v>1578728215785018</v>
      </c>
      <c r="C2382" t="s">
        <v>37</v>
      </c>
      <c r="D2382">
        <v>5.2796919999999998</v>
      </c>
      <c r="E2382">
        <v>0.36047459999999998</v>
      </c>
      <c r="F2382" t="s">
        <v>44</v>
      </c>
      <c r="G2382">
        <v>-482.50400000000002</v>
      </c>
      <c r="H2382" s="1">
        <v>3.5437229999999999E-7</v>
      </c>
      <c r="I2382">
        <v>271.62849999999997</v>
      </c>
      <c r="J2382">
        <v>-478.94659999999999</v>
      </c>
      <c r="K2382">
        <v>1.112058</v>
      </c>
      <c r="L2382">
        <v>281.30970000000002</v>
      </c>
      <c r="M2382">
        <v>-0.88567569999999995</v>
      </c>
      <c r="N2382">
        <v>0</v>
      </c>
      <c r="O2382">
        <v>-0.46408250000000001</v>
      </c>
      <c r="P2382">
        <v>-0.64006219999999903</v>
      </c>
      <c r="Q2382">
        <v>5.9212510000000003E-2</v>
      </c>
      <c r="R2382">
        <v>-0.76603859999999901</v>
      </c>
      <c r="S2382">
        <v>-1.133148</v>
      </c>
      <c r="T2382">
        <v>-0.3429836</v>
      </c>
      <c r="U2382">
        <v>-3.0074160000000001</v>
      </c>
      <c r="V2382">
        <v>-0.38264009999999998</v>
      </c>
      <c r="W2382">
        <v>6.5934779999999998E-2</v>
      </c>
      <c r="X2382">
        <v>0.92154179999999997</v>
      </c>
      <c r="Y2382">
        <v>-0.66413639999999996</v>
      </c>
      <c r="Z2382">
        <v>1.3568810000000001E-2</v>
      </c>
      <c r="AA2382">
        <v>0.74748829999999999</v>
      </c>
      <c r="AB2382">
        <v>21</v>
      </c>
      <c r="AC2382">
        <v>-3.5574000000000199</v>
      </c>
      <c r="AD2382">
        <v>-1.1120576456277</v>
      </c>
      <c r="AE2382">
        <v>-9.6812000000000396</v>
      </c>
      <c r="AF2382">
        <v>-6.8446212070261998</v>
      </c>
      <c r="AG2382">
        <v>-1.1120576456277</v>
      </c>
      <c r="AH2382">
        <v>7.5565213038719303</v>
      </c>
      <c r="AI2382">
        <v>96.224788006901605</v>
      </c>
      <c r="AJ2382">
        <v>132.16996796537799</v>
      </c>
      <c r="AK2382">
        <v>10.2560482589905</v>
      </c>
    </row>
    <row r="2383" spans="1:37" x14ac:dyDescent="0.2">
      <c r="A2383" t="str">
        <f>"20200111153655811"</f>
        <v>20200111153655811</v>
      </c>
      <c r="B2383" t="str">
        <f>"1578728215805514"</f>
        <v>1578728215805514</v>
      </c>
      <c r="C2383" t="s">
        <v>37</v>
      </c>
      <c r="D2383">
        <v>5.2539660000000001</v>
      </c>
      <c r="E2383">
        <v>0.36075289999999999</v>
      </c>
      <c r="F2383" t="s">
        <v>44</v>
      </c>
      <c r="G2383">
        <v>-482.55520000000001</v>
      </c>
      <c r="H2383" s="1">
        <v>3.313874E-7</v>
      </c>
      <c r="I2383">
        <v>271.49799999999999</v>
      </c>
      <c r="J2383">
        <v>-479.05950000000001</v>
      </c>
      <c r="K2383">
        <v>1.112055</v>
      </c>
      <c r="L2383">
        <v>281.2407</v>
      </c>
      <c r="M2383">
        <v>-0.88208539999999902</v>
      </c>
      <c r="N2383">
        <v>0</v>
      </c>
      <c r="O2383">
        <v>-0.47087329999999999</v>
      </c>
      <c r="P2383">
        <v>-0.63422199999999995</v>
      </c>
      <c r="Q2383">
        <v>5.8649529999999998E-2</v>
      </c>
      <c r="R2383">
        <v>-0.77092329999999998</v>
      </c>
      <c r="S2383">
        <v>-1.109192</v>
      </c>
      <c r="T2383">
        <v>-0.34181620000000001</v>
      </c>
      <c r="U2383">
        <v>-3.0158390000000002</v>
      </c>
      <c r="V2383">
        <v>-0.38259549999999998</v>
      </c>
      <c r="W2383">
        <v>6.5257700000000002E-2</v>
      </c>
      <c r="X2383">
        <v>0.92160839999999999</v>
      </c>
      <c r="Y2383">
        <v>-0.66433359999999997</v>
      </c>
      <c r="Z2383">
        <v>1.4375260000000001E-2</v>
      </c>
      <c r="AA2383">
        <v>0.74729789999999996</v>
      </c>
      <c r="AB2383">
        <v>21</v>
      </c>
      <c r="AC2383">
        <v>-3.4956999999999998</v>
      </c>
      <c r="AD2383">
        <v>-1.1120546686126001</v>
      </c>
      <c r="AE2383">
        <v>-9.7427000000000099</v>
      </c>
      <c r="AF2383">
        <v>-6.8692806004762996</v>
      </c>
      <c r="AG2383">
        <v>-1.1120546686126001</v>
      </c>
      <c r="AH2383">
        <v>7.58432249053471</v>
      </c>
      <c r="AI2383">
        <v>96.202343025026593</v>
      </c>
      <c r="AJ2383">
        <v>132.16779903571</v>
      </c>
      <c r="AK2383">
        <v>10.292989322567699</v>
      </c>
    </row>
    <row r="2384" spans="1:37" x14ac:dyDescent="0.2">
      <c r="A2384" t="str">
        <f>"20200111153655825"</f>
        <v>20200111153655825</v>
      </c>
      <c r="B2384" t="str">
        <f>"1578728215815274"</f>
        <v>1578728215815274</v>
      </c>
      <c r="C2384" t="s">
        <v>37</v>
      </c>
      <c r="D2384">
        <v>5.2171519999999996</v>
      </c>
      <c r="E2384">
        <v>0.36084729999999998</v>
      </c>
      <c r="F2384" t="s">
        <v>44</v>
      </c>
      <c r="G2384">
        <v>-482.61470000000003</v>
      </c>
      <c r="H2384" s="1">
        <v>3.053983E-7</v>
      </c>
      <c r="I2384">
        <v>271.35039999999998</v>
      </c>
      <c r="J2384">
        <v>-479.16730000000001</v>
      </c>
      <c r="K2384">
        <v>1.11206</v>
      </c>
      <c r="L2384">
        <v>281.1739</v>
      </c>
      <c r="M2384">
        <v>-0.87858740000000002</v>
      </c>
      <c r="N2384">
        <v>0</v>
      </c>
      <c r="O2384">
        <v>-0.47737200000000002</v>
      </c>
      <c r="P2384">
        <v>-0.62866820000000001</v>
      </c>
      <c r="Q2384">
        <v>5.8390860000000003E-2</v>
      </c>
      <c r="R2384">
        <v>-0.77547849999999996</v>
      </c>
      <c r="S2384">
        <v>-1.0867610000000001</v>
      </c>
      <c r="T2384">
        <v>-0.33993509999999999</v>
      </c>
      <c r="U2384">
        <v>-3.023285</v>
      </c>
      <c r="V2384">
        <v>-0.38242969999999998</v>
      </c>
      <c r="W2384">
        <v>6.4858949999999999E-2</v>
      </c>
      <c r="X2384">
        <v>0.92170540000000001</v>
      </c>
      <c r="Y2384">
        <v>-0.66434969999999904</v>
      </c>
      <c r="Z2384">
        <v>1.5123910000000001E-2</v>
      </c>
      <c r="AA2384">
        <v>0.74726890000000001</v>
      </c>
      <c r="AB2384">
        <v>21</v>
      </c>
      <c r="AC2384">
        <v>-3.4474000000000098</v>
      </c>
      <c r="AD2384">
        <v>-1.1120596946017001</v>
      </c>
      <c r="AE2384">
        <v>-9.8235000000000205</v>
      </c>
      <c r="AF2384">
        <v>-6.9070016303908703</v>
      </c>
      <c r="AG2384">
        <v>-1.1120596946017001</v>
      </c>
      <c r="AH2384">
        <v>7.6319977935552004</v>
      </c>
      <c r="AI2384">
        <v>96.166102559825703</v>
      </c>
      <c r="AJ2384">
        <v>132.14527525686401</v>
      </c>
      <c r="AK2384">
        <v>10.3532960262619</v>
      </c>
    </row>
    <row r="2385" spans="1:37" x14ac:dyDescent="0.2">
      <c r="A2385" t="str">
        <f>"20200111153655839"</f>
        <v>20200111153655839</v>
      </c>
      <c r="B2385" t="str">
        <f>"1578728215834794"</f>
        <v>1578728215834794</v>
      </c>
      <c r="C2385" t="s">
        <v>37</v>
      </c>
      <c r="D2385">
        <v>5.1696330000000001</v>
      </c>
      <c r="E2385">
        <v>0.36121059999999999</v>
      </c>
      <c r="F2385" t="s">
        <v>44</v>
      </c>
      <c r="G2385">
        <v>-482.6549</v>
      </c>
      <c r="H2385" s="1">
        <v>2.8733249999999998E-7</v>
      </c>
      <c r="I2385">
        <v>271.24779999999998</v>
      </c>
      <c r="J2385">
        <v>-479.28739999999999</v>
      </c>
      <c r="K2385">
        <v>1.1120729999999901</v>
      </c>
      <c r="L2385">
        <v>281.09829999999999</v>
      </c>
      <c r="M2385">
        <v>-0.87461999999999995</v>
      </c>
      <c r="N2385">
        <v>0</v>
      </c>
      <c r="O2385">
        <v>-0.4846067</v>
      </c>
      <c r="P2385">
        <v>-0.62233169999999904</v>
      </c>
      <c r="Q2385">
        <v>5.8432020000000001E-2</v>
      </c>
      <c r="R2385">
        <v>-0.78056939999999997</v>
      </c>
      <c r="S2385">
        <v>-1.0649109999999999</v>
      </c>
      <c r="T2385">
        <v>-0.33955689999999999</v>
      </c>
      <c r="U2385">
        <v>-3.0308229999999998</v>
      </c>
      <c r="V2385">
        <v>-0.38233329999999999</v>
      </c>
      <c r="W2385">
        <v>6.4724770000000001E-2</v>
      </c>
      <c r="X2385">
        <v>0.92175479999999999</v>
      </c>
      <c r="Y2385">
        <v>-0.66359360000000001</v>
      </c>
      <c r="Z2385">
        <v>1.6082369999999999E-2</v>
      </c>
      <c r="AA2385">
        <v>0.74792040000000004</v>
      </c>
      <c r="AB2385">
        <v>21</v>
      </c>
      <c r="AC2385">
        <v>-3.3675000000000002</v>
      </c>
      <c r="AD2385">
        <v>-1.1120727126674901</v>
      </c>
      <c r="AE2385">
        <v>-9.8505000000000091</v>
      </c>
      <c r="AF2385">
        <v>-6.9054144109655304</v>
      </c>
      <c r="AG2385">
        <v>-1.1120727126674901</v>
      </c>
      <c r="AH2385">
        <v>7.6325585632351496</v>
      </c>
      <c r="AI2385">
        <v>96.166560080224997</v>
      </c>
      <c r="AJ2385">
        <v>132.13662963054</v>
      </c>
      <c r="AK2385">
        <v>10.3526520334957</v>
      </c>
    </row>
    <row r="2386" spans="1:37" x14ac:dyDescent="0.2">
      <c r="A2386" t="str">
        <f>"20200111153655855"</f>
        <v>20200111153655855</v>
      </c>
      <c r="B2386" t="str">
        <f>"1578728215845531"</f>
        <v>1578728215845531</v>
      </c>
      <c r="C2386" t="s">
        <v>37</v>
      </c>
      <c r="D2386">
        <v>5.2268099999999897</v>
      </c>
      <c r="E2386">
        <v>0.36141000000000001</v>
      </c>
      <c r="F2386" t="s">
        <v>44</v>
      </c>
      <c r="G2386">
        <v>-482.69260000000003</v>
      </c>
      <c r="H2386" s="1">
        <v>2.744293E-7</v>
      </c>
      <c r="I2386">
        <v>271.1746</v>
      </c>
      <c r="J2386">
        <v>-479.40809999999999</v>
      </c>
      <c r="K2386">
        <v>1.112085</v>
      </c>
      <c r="L2386">
        <v>281.02050000000003</v>
      </c>
      <c r="M2386">
        <v>-0.87055769999999899</v>
      </c>
      <c r="N2386">
        <v>0</v>
      </c>
      <c r="O2386">
        <v>-0.491868999999999</v>
      </c>
      <c r="P2386">
        <v>-0.61612579999999995</v>
      </c>
      <c r="Q2386">
        <v>5.883215E-2</v>
      </c>
      <c r="R2386">
        <v>-0.78544729999999996</v>
      </c>
      <c r="S2386">
        <v>-1.0423579999999999</v>
      </c>
      <c r="T2386">
        <v>-0.34041309999999902</v>
      </c>
      <c r="U2386">
        <v>-3.0377200000000002</v>
      </c>
      <c r="V2386">
        <v>-0.38195069999999998</v>
      </c>
      <c r="W2386">
        <v>6.5049770000000007E-2</v>
      </c>
      <c r="X2386">
        <v>0.92189059999999901</v>
      </c>
      <c r="Y2386">
        <v>-0.66288249999999904</v>
      </c>
      <c r="Z2386">
        <v>1.7106909999999999E-2</v>
      </c>
      <c r="AA2386">
        <v>0.74852790000000002</v>
      </c>
      <c r="AB2386">
        <v>21</v>
      </c>
      <c r="AC2386">
        <v>-3.2845000000000302</v>
      </c>
      <c r="AD2386">
        <v>-1.1120847255707</v>
      </c>
      <c r="AE2386">
        <v>-9.8459000000000199</v>
      </c>
      <c r="AF2386">
        <v>-6.8776011825502099</v>
      </c>
      <c r="AG2386">
        <v>-1.1120847255707</v>
      </c>
      <c r="AH2386">
        <v>7.6155613286065797</v>
      </c>
      <c r="AI2386">
        <v>96.185266449759098</v>
      </c>
      <c r="AJ2386">
        <v>132.08514148784201</v>
      </c>
      <c r="AK2386">
        <v>10.3215747254395</v>
      </c>
    </row>
    <row r="2387" spans="1:37" x14ac:dyDescent="0.2">
      <c r="A2387" t="str">
        <f>"20200111153655871"</f>
        <v>20200111153655871</v>
      </c>
      <c r="B2387" t="str">
        <f>"1578728215865050"</f>
        <v>1578728215865050</v>
      </c>
      <c r="C2387" t="s">
        <v>37</v>
      </c>
      <c r="D2387">
        <v>4.5935889999999997</v>
      </c>
      <c r="E2387">
        <v>0.3616473</v>
      </c>
      <c r="F2387" t="s">
        <v>44</v>
      </c>
      <c r="G2387">
        <v>-482.74299999999999</v>
      </c>
      <c r="H2387" s="1">
        <v>2.5436499999999999E-7</v>
      </c>
      <c r="I2387">
        <v>271.06060000000002</v>
      </c>
      <c r="J2387">
        <v>-479.53660000000002</v>
      </c>
      <c r="K2387">
        <v>1.1120920000000001</v>
      </c>
      <c r="L2387">
        <v>280.93610000000001</v>
      </c>
      <c r="M2387">
        <v>-0.86611719999999903</v>
      </c>
      <c r="N2387">
        <v>0</v>
      </c>
      <c r="O2387">
        <v>-0.49964759999999903</v>
      </c>
      <c r="P2387">
        <v>-0.60944830000000005</v>
      </c>
      <c r="Q2387">
        <v>5.8994610000000003E-2</v>
      </c>
      <c r="R2387">
        <v>-0.79062769999999905</v>
      </c>
      <c r="S2387">
        <v>-1.0196229999999999</v>
      </c>
      <c r="T2387">
        <v>-0.34001329999999902</v>
      </c>
      <c r="U2387">
        <v>-3.045166</v>
      </c>
      <c r="V2387">
        <v>-0.38149559999999999</v>
      </c>
      <c r="W2387">
        <v>6.5194420000000003E-2</v>
      </c>
      <c r="X2387">
        <v>0.92206880000000002</v>
      </c>
      <c r="Y2387">
        <v>-0.66178939999999997</v>
      </c>
      <c r="Z2387">
        <v>1.8162580000000001E-2</v>
      </c>
      <c r="AA2387">
        <v>0.74946979999999996</v>
      </c>
      <c r="AB2387">
        <v>21</v>
      </c>
      <c r="AC2387">
        <v>-3.2064000000000301</v>
      </c>
      <c r="AD2387">
        <v>-1.1120917456349999</v>
      </c>
      <c r="AE2387">
        <v>-9.8754999999999793</v>
      </c>
      <c r="AF2387">
        <v>-6.87309456078368</v>
      </c>
      <c r="AG2387">
        <v>-1.1120917456349999</v>
      </c>
      <c r="AH2387">
        <v>7.62466380033674</v>
      </c>
      <c r="AI2387">
        <v>96.183069564606896</v>
      </c>
      <c r="AJ2387">
        <v>132.032421745205</v>
      </c>
      <c r="AK2387">
        <v>10.3252929721315</v>
      </c>
    </row>
    <row r="2388" spans="1:37" x14ac:dyDescent="0.2">
      <c r="A2388" t="str">
        <f>"20200111153655886"</f>
        <v>20200111153655886</v>
      </c>
      <c r="B2388" t="str">
        <f>"1578728215874810"</f>
        <v>1578728215874810</v>
      </c>
      <c r="C2388" t="s">
        <v>37</v>
      </c>
      <c r="D2388">
        <v>5.2372719999999999</v>
      </c>
      <c r="E2388">
        <v>0.40282040000000002</v>
      </c>
      <c r="F2388" t="s">
        <v>44</v>
      </c>
      <c r="G2388">
        <v>-482.8</v>
      </c>
      <c r="H2388" s="1">
        <v>2.31222299999999E-7</v>
      </c>
      <c r="I2388">
        <v>270.92919999999998</v>
      </c>
      <c r="J2388">
        <v>-479.6497</v>
      </c>
      <c r="K2388">
        <v>1.112098</v>
      </c>
      <c r="L2388">
        <v>280.86059999999998</v>
      </c>
      <c r="M2388">
        <v>-0.86209880000000005</v>
      </c>
      <c r="N2388">
        <v>0</v>
      </c>
      <c r="O2388">
        <v>-0.50654969999999999</v>
      </c>
      <c r="P2388">
        <v>-0.60361339999999997</v>
      </c>
      <c r="Q2388">
        <v>5.9375160000000003E-2</v>
      </c>
      <c r="R2388">
        <v>-0.79506319999999997</v>
      </c>
      <c r="S2388">
        <v>-0.99545289999999997</v>
      </c>
      <c r="T2388">
        <v>-0.33922479999999999</v>
      </c>
      <c r="U2388">
        <v>-3.0524290000000001</v>
      </c>
      <c r="V2388">
        <v>-0.3808974</v>
      </c>
      <c r="W2388">
        <v>6.558601E-2</v>
      </c>
      <c r="X2388">
        <v>0.9222882</v>
      </c>
      <c r="Y2388">
        <v>-0.66172089999999995</v>
      </c>
      <c r="Z2388">
        <v>1.9015819999999999E-2</v>
      </c>
      <c r="AA2388">
        <v>0.74950909999999904</v>
      </c>
      <c r="AB2388">
        <v>21</v>
      </c>
      <c r="AC2388">
        <v>-3.1503000000000099</v>
      </c>
      <c r="AD2388">
        <v>-1.1120977687776901</v>
      </c>
      <c r="AE2388">
        <v>-9.9313999999999893</v>
      </c>
      <c r="AF2388">
        <v>-6.88826095349064</v>
      </c>
      <c r="AG2388">
        <v>-1.1120977687776901</v>
      </c>
      <c r="AH2388">
        <v>7.6600960420998803</v>
      </c>
      <c r="AI2388">
        <v>96.161376097675898</v>
      </c>
      <c r="AJ2388">
        <v>131.96312974348899</v>
      </c>
      <c r="AK2388">
        <v>10.361562227043599</v>
      </c>
    </row>
    <row r="2389" spans="1:37" x14ac:dyDescent="0.2">
      <c r="A2389" t="str">
        <f>"20200111153655901"</f>
        <v>20200111153655901</v>
      </c>
      <c r="B2389" t="str">
        <f>"1578728215895306"</f>
        <v>1578728215895306</v>
      </c>
      <c r="C2389" t="s">
        <v>37</v>
      </c>
      <c r="D2389">
        <v>5.1310839999999898</v>
      </c>
      <c r="E2389">
        <v>0.40405229999999998</v>
      </c>
      <c r="F2389" t="s">
        <v>38</v>
      </c>
      <c r="G2389">
        <v>-480.04790000000003</v>
      </c>
      <c r="H2389">
        <v>1.0174259999999999</v>
      </c>
      <c r="I2389">
        <v>279.93520000000001</v>
      </c>
      <c r="J2389">
        <v>-479.76389999999998</v>
      </c>
      <c r="K2389">
        <v>1.1121080000000001</v>
      </c>
      <c r="L2389">
        <v>280.78320000000002</v>
      </c>
      <c r="M2389">
        <v>-0.85793819999999998</v>
      </c>
      <c r="N2389">
        <v>0</v>
      </c>
      <c r="O2389">
        <v>-0.51356539999999995</v>
      </c>
      <c r="P2389">
        <v>-0.59870979999999996</v>
      </c>
      <c r="Q2389">
        <v>5.9666240000000002E-2</v>
      </c>
      <c r="R2389">
        <v>-0.79874089999999998</v>
      </c>
      <c r="S2389">
        <v>-1.2310490000000001</v>
      </c>
      <c r="T2389">
        <v>-0.2926938</v>
      </c>
      <c r="U2389">
        <v>-2.860474</v>
      </c>
      <c r="V2389">
        <v>-0.37903290000000001</v>
      </c>
      <c r="W2389">
        <v>6.591669E-2</v>
      </c>
      <c r="X2389">
        <v>0.92303250000000003</v>
      </c>
      <c r="Y2389">
        <v>-0.58466300000000004</v>
      </c>
      <c r="Z2389">
        <v>2.218461E-2</v>
      </c>
      <c r="AA2389">
        <v>0.8109729</v>
      </c>
      <c r="AB2389">
        <v>21</v>
      </c>
      <c r="AC2389">
        <v>-0.28400000000004799</v>
      </c>
      <c r="AD2389">
        <v>-9.4682000000000099E-2</v>
      </c>
      <c r="AE2389">
        <v>-0.84800000000001297</v>
      </c>
      <c r="AF2389">
        <v>-0.57528654098087895</v>
      </c>
      <c r="AG2389">
        <v>-9.4682000000000099E-2</v>
      </c>
      <c r="AH2389">
        <v>0.67169416506231805</v>
      </c>
      <c r="AI2389">
        <v>96.110829069788593</v>
      </c>
      <c r="AJ2389">
        <v>130.579094696754</v>
      </c>
      <c r="AK2389">
        <v>0.88943371688760997</v>
      </c>
    </row>
    <row r="2390" spans="1:37" x14ac:dyDescent="0.2">
      <c r="A2390" t="str">
        <f>"20200111153655915"</f>
        <v>20200111153655915</v>
      </c>
      <c r="B2390" t="str">
        <f>"1578728215905066"</f>
        <v>1578728215905066</v>
      </c>
      <c r="C2390" t="s">
        <v>37</v>
      </c>
      <c r="D2390">
        <v>5.2983549999999999</v>
      </c>
      <c r="E2390">
        <v>0.40492020000000001</v>
      </c>
      <c r="F2390" t="s">
        <v>38</v>
      </c>
      <c r="G2390">
        <v>-480.17869999999999</v>
      </c>
      <c r="H2390">
        <v>1.0198179999999999</v>
      </c>
      <c r="I2390">
        <v>279.80970000000002</v>
      </c>
      <c r="J2390">
        <v>-479.88099999999997</v>
      </c>
      <c r="K2390">
        <v>1.1121219999999901</v>
      </c>
      <c r="L2390">
        <v>280.70209999999997</v>
      </c>
      <c r="M2390">
        <v>-0.85354669999999899</v>
      </c>
      <c r="N2390">
        <v>0</v>
      </c>
      <c r="O2390">
        <v>-0.52083159999999995</v>
      </c>
      <c r="P2390">
        <v>-0.59257019999999905</v>
      </c>
      <c r="Q2390">
        <v>6.0350010000000003E-2</v>
      </c>
      <c r="R2390">
        <v>-0.8032551</v>
      </c>
      <c r="S2390">
        <v>-1.21936</v>
      </c>
      <c r="T2390">
        <v>-0.27128609999999997</v>
      </c>
      <c r="U2390">
        <v>-2.8621829999999999</v>
      </c>
      <c r="V2390">
        <v>-0.37824000000000002</v>
      </c>
      <c r="W2390">
        <v>6.6587080000000007E-2</v>
      </c>
      <c r="X2390">
        <v>0.92330959999999995</v>
      </c>
      <c r="Y2390">
        <v>-0.58083339999999894</v>
      </c>
      <c r="Z2390">
        <v>2.1537629999999999E-2</v>
      </c>
      <c r="AA2390">
        <v>0.81373759999999995</v>
      </c>
      <c r="AB2390">
        <v>21</v>
      </c>
      <c r="AC2390">
        <v>-0.29770000000002</v>
      </c>
      <c r="AD2390">
        <v>-9.2303999999999706E-2</v>
      </c>
      <c r="AE2390">
        <v>-0.89239999999995201</v>
      </c>
      <c r="AF2390">
        <v>-0.60092670705321105</v>
      </c>
      <c r="AG2390">
        <v>-9.2303999999999706E-2</v>
      </c>
      <c r="AH2390">
        <v>0.71210465161206604</v>
      </c>
      <c r="AI2390">
        <v>95.657403450320302</v>
      </c>
      <c r="AJ2390">
        <v>130.160154502046</v>
      </c>
      <c r="AK2390">
        <v>0.936336462236389</v>
      </c>
    </row>
    <row r="2391" spans="1:37" x14ac:dyDescent="0.2">
      <c r="A2391" t="str">
        <f>"20200111153655931"</f>
        <v>20200111153655931</v>
      </c>
      <c r="B2391" t="str">
        <f>"1578728215925562"</f>
        <v>1578728215925562</v>
      </c>
      <c r="C2391" t="s">
        <v>37</v>
      </c>
      <c r="D2391">
        <v>5.1650140000000002</v>
      </c>
      <c r="E2391">
        <v>0.40572999999999998</v>
      </c>
      <c r="F2391" t="s">
        <v>38</v>
      </c>
      <c r="G2391">
        <v>-480.23140000000001</v>
      </c>
      <c r="H2391">
        <v>1.035085</v>
      </c>
      <c r="I2391">
        <v>279.86649999999997</v>
      </c>
      <c r="J2391">
        <v>-479.99119999999999</v>
      </c>
      <c r="K2391">
        <v>1.112152</v>
      </c>
      <c r="L2391">
        <v>280.62419999999997</v>
      </c>
      <c r="M2391">
        <v>-0.84932669999999999</v>
      </c>
      <c r="N2391">
        <v>0</v>
      </c>
      <c r="O2391">
        <v>-0.52768559999999998</v>
      </c>
      <c r="P2391">
        <v>-0.58662740000000002</v>
      </c>
      <c r="Q2391">
        <v>6.0461300000000003E-2</v>
      </c>
      <c r="R2391">
        <v>-0.80759720000000002</v>
      </c>
      <c r="S2391">
        <v>-1.2024840000000001</v>
      </c>
      <c r="T2391">
        <v>-0.26432</v>
      </c>
      <c r="U2391">
        <v>-2.8676149999999998</v>
      </c>
      <c r="V2391">
        <v>-0.37761929999999999</v>
      </c>
      <c r="W2391">
        <v>6.6668909999999998E-2</v>
      </c>
      <c r="X2391">
        <v>0.92355779999999998</v>
      </c>
      <c r="Y2391">
        <v>-0.57893839999999996</v>
      </c>
      <c r="Z2391">
        <v>2.17854E-2</v>
      </c>
      <c r="AA2391">
        <v>0.81508019999999903</v>
      </c>
      <c r="AB2391">
        <v>21</v>
      </c>
      <c r="AC2391">
        <v>-0.24020000000001501</v>
      </c>
      <c r="AD2391">
        <v>-7.7066999999999997E-2</v>
      </c>
      <c r="AE2391">
        <v>-0.75769999999999904</v>
      </c>
      <c r="AF2391">
        <v>-0.51202111053392096</v>
      </c>
      <c r="AG2391">
        <v>-7.7066999999999997E-2</v>
      </c>
      <c r="AH2391">
        <v>0.59826958068507796</v>
      </c>
      <c r="AI2391">
        <v>95.589617999665407</v>
      </c>
      <c r="AJ2391">
        <v>130.55812788637499</v>
      </c>
      <c r="AK2391">
        <v>0.79122148055679697</v>
      </c>
    </row>
    <row r="2392" spans="1:37" x14ac:dyDescent="0.2">
      <c r="A2392" t="str">
        <f>"20200111153655946"</f>
        <v>20200111153655946</v>
      </c>
      <c r="B2392" t="str">
        <f>"1578728215935322"</f>
        <v>1578728215935322</v>
      </c>
      <c r="C2392" t="s">
        <v>37</v>
      </c>
      <c r="D2392">
        <v>5.1806219999999996</v>
      </c>
      <c r="E2392">
        <v>0.40538619999999997</v>
      </c>
      <c r="F2392" t="s">
        <v>38</v>
      </c>
      <c r="G2392">
        <v>-480.35739999999998</v>
      </c>
      <c r="H2392">
        <v>1.0360670000000001</v>
      </c>
      <c r="I2392">
        <v>279.73669999999998</v>
      </c>
      <c r="J2392">
        <v>-480.10730000000001</v>
      </c>
      <c r="K2392">
        <v>1.1121889999999901</v>
      </c>
      <c r="L2392">
        <v>280.541</v>
      </c>
      <c r="M2392">
        <v>-0.8447983</v>
      </c>
      <c r="N2392">
        <v>0</v>
      </c>
      <c r="O2392">
        <v>-0.53490599999999999</v>
      </c>
      <c r="P2392">
        <v>-0.58021990000000001</v>
      </c>
      <c r="Q2392">
        <v>6.0368749999999999E-2</v>
      </c>
      <c r="R2392">
        <v>-0.81221960000000004</v>
      </c>
      <c r="S2392">
        <v>-1.184906</v>
      </c>
      <c r="T2392">
        <v>-0.246188299999999</v>
      </c>
      <c r="U2392">
        <v>-2.8724669999999999</v>
      </c>
      <c r="V2392">
        <v>-0.37706319999999999</v>
      </c>
      <c r="W2392">
        <v>6.6538079999999999E-2</v>
      </c>
      <c r="X2392">
        <v>0.92379439999999902</v>
      </c>
      <c r="Y2392">
        <v>-0.57679150000000001</v>
      </c>
      <c r="Z2392">
        <v>2.1093230000000001E-2</v>
      </c>
      <c r="AA2392">
        <v>0.81661909999999904</v>
      </c>
      <c r="AB2392">
        <v>21</v>
      </c>
      <c r="AC2392">
        <v>-0.25009999999997401</v>
      </c>
      <c r="AD2392">
        <v>-7.6121999999999801E-2</v>
      </c>
      <c r="AE2392">
        <v>-0.80430000000001201</v>
      </c>
      <c r="AF2392">
        <v>-0.54132215896511304</v>
      </c>
      <c r="AG2392">
        <v>-7.6121999999999801E-2</v>
      </c>
      <c r="AH2392">
        <v>0.63637265528676601</v>
      </c>
      <c r="AI2392">
        <v>95.206042090618595</v>
      </c>
      <c r="AJ2392">
        <v>130.385720244098</v>
      </c>
      <c r="AK2392">
        <v>0.83892454670690197</v>
      </c>
    </row>
    <row r="2393" spans="1:37" x14ac:dyDescent="0.2">
      <c r="A2393" t="str">
        <f>"20200111153655968"</f>
        <v>20200111153655968</v>
      </c>
      <c r="B2393" t="str">
        <f>"1578728215965578"</f>
        <v>1578728215965578</v>
      </c>
      <c r="C2393" t="s">
        <v>37</v>
      </c>
      <c r="D2393">
        <v>5.2629489999999999</v>
      </c>
      <c r="E2393">
        <v>0.40649859999999999</v>
      </c>
      <c r="F2393" t="s">
        <v>38</v>
      </c>
      <c r="G2393">
        <v>-480.48289999999997</v>
      </c>
      <c r="H2393">
        <v>1.0326090000000001</v>
      </c>
      <c r="I2393">
        <v>279.6071</v>
      </c>
      <c r="J2393">
        <v>-480.27370000000002</v>
      </c>
      <c r="K2393">
        <v>1.1122459999999901</v>
      </c>
      <c r="L2393">
        <v>280.41879999999998</v>
      </c>
      <c r="M2393">
        <v>-0.83813359999999903</v>
      </c>
      <c r="N2393">
        <v>0</v>
      </c>
      <c r="O2393">
        <v>-0.54528980000000005</v>
      </c>
      <c r="P2393">
        <v>-0.57157309999999995</v>
      </c>
      <c r="Q2393">
        <v>6.0263539999999997E-2</v>
      </c>
      <c r="R2393">
        <v>-0.81833520000000004</v>
      </c>
      <c r="S2393">
        <v>-1.158844</v>
      </c>
      <c r="T2393">
        <v>-0.24560789999999899</v>
      </c>
      <c r="U2393">
        <v>-2.883972</v>
      </c>
      <c r="V2393">
        <v>-0.37547469999999999</v>
      </c>
      <c r="W2393">
        <v>6.6397730000000002E-2</v>
      </c>
      <c r="X2393">
        <v>0.92445119999999903</v>
      </c>
      <c r="Y2393">
        <v>-0.57421959999999905</v>
      </c>
      <c r="Z2393">
        <v>2.2137779999999999E-2</v>
      </c>
      <c r="AA2393">
        <v>0.81840199999999996</v>
      </c>
      <c r="AB2393">
        <v>21</v>
      </c>
      <c r="AC2393">
        <v>-0.20919999999995201</v>
      </c>
      <c r="AD2393">
        <v>-7.9636999999999694E-2</v>
      </c>
      <c r="AE2393">
        <v>-0.811699999999973</v>
      </c>
      <c r="AF2393">
        <v>-0.56122674528430105</v>
      </c>
      <c r="AG2393">
        <v>-7.9636999999999694E-2</v>
      </c>
      <c r="AH2393">
        <v>0.61247992480555102</v>
      </c>
      <c r="AI2393">
        <v>95.475882956685396</v>
      </c>
      <c r="AJ2393">
        <v>132.49960828458799</v>
      </c>
      <c r="AK2393">
        <v>0.83453530163871603</v>
      </c>
    </row>
    <row r="2394" spans="1:37" x14ac:dyDescent="0.2">
      <c r="A2394" t="str">
        <f>"20200111153655989"</f>
        <v>20200111153655989</v>
      </c>
      <c r="B2394" t="str">
        <f>"1578728215985097"</f>
        <v>1578728215985097</v>
      </c>
      <c r="C2394" t="s">
        <v>37</v>
      </c>
      <c r="D2394">
        <v>5.3058290000000001</v>
      </c>
      <c r="E2394">
        <v>0.4076708</v>
      </c>
      <c r="F2394" t="s">
        <v>38</v>
      </c>
      <c r="G2394">
        <v>-480.63330000000002</v>
      </c>
      <c r="H2394">
        <v>1.033064</v>
      </c>
      <c r="I2394">
        <v>279.50240000000002</v>
      </c>
      <c r="J2394">
        <v>-480.43430000000001</v>
      </c>
      <c r="K2394">
        <v>1.112309</v>
      </c>
      <c r="L2394">
        <v>280.29770000000002</v>
      </c>
      <c r="M2394">
        <v>-0.83149150000000005</v>
      </c>
      <c r="N2394">
        <v>0</v>
      </c>
      <c r="O2394">
        <v>-0.55536580000000002</v>
      </c>
      <c r="P2394">
        <v>-0.56393199999999999</v>
      </c>
      <c r="Q2394">
        <v>6.0746929999999998E-2</v>
      </c>
      <c r="R2394">
        <v>-0.82358419999999899</v>
      </c>
      <c r="S2394">
        <v>-1.135529</v>
      </c>
      <c r="T2394">
        <v>-0.24994920000000001</v>
      </c>
      <c r="U2394">
        <v>-2.8912960000000001</v>
      </c>
      <c r="V2394">
        <v>-0.37290519999999999</v>
      </c>
      <c r="W2394">
        <v>6.688492E-2</v>
      </c>
      <c r="X2394">
        <v>0.92545560000000004</v>
      </c>
      <c r="Y2394">
        <v>-0.57077330000000004</v>
      </c>
      <c r="Z2394">
        <v>2.3671689999999999E-2</v>
      </c>
      <c r="AA2394">
        <v>0.82076640000000001</v>
      </c>
      <c r="AB2394">
        <v>21</v>
      </c>
      <c r="AC2394">
        <v>-0.199000000000012</v>
      </c>
      <c r="AD2394">
        <v>-7.9244999999999996E-2</v>
      </c>
      <c r="AE2394">
        <v>-0.79529999999999701</v>
      </c>
      <c r="AF2394">
        <v>-0.54572099898913395</v>
      </c>
      <c r="AG2394">
        <v>-7.9244999999999996E-2</v>
      </c>
      <c r="AH2394">
        <v>0.601586234902587</v>
      </c>
      <c r="AI2394">
        <v>95.572411538418507</v>
      </c>
      <c r="AJ2394">
        <v>132.212328092912</v>
      </c>
      <c r="AK2394">
        <v>0.81608650079937595</v>
      </c>
    </row>
    <row r="2395" spans="1:37" x14ac:dyDescent="0.2">
      <c r="A2395" t="str">
        <f>"20200111153656012"</f>
        <v>20200111153656012</v>
      </c>
      <c r="B2395" t="str">
        <f>"1578728216005594"</f>
        <v>1578728216005594</v>
      </c>
      <c r="C2395" t="s">
        <v>37</v>
      </c>
      <c r="D2395">
        <v>5.3628099999999996</v>
      </c>
      <c r="E2395">
        <v>0.40881220000000001</v>
      </c>
      <c r="F2395" t="s">
        <v>38</v>
      </c>
      <c r="G2395">
        <v>-480.78199999999998</v>
      </c>
      <c r="H2395">
        <v>1.033965</v>
      </c>
      <c r="I2395">
        <v>279.3956</v>
      </c>
      <c r="J2395">
        <v>-480.6044</v>
      </c>
      <c r="K2395">
        <v>1.112365</v>
      </c>
      <c r="L2395">
        <v>280.166</v>
      </c>
      <c r="M2395">
        <v>-0.824202199999999</v>
      </c>
      <c r="N2395">
        <v>0</v>
      </c>
      <c r="O2395">
        <v>-0.56612750000000001</v>
      </c>
      <c r="P2395">
        <v>-0.55576349999999997</v>
      </c>
      <c r="Q2395">
        <v>6.1645779999999997E-2</v>
      </c>
      <c r="R2395">
        <v>-0.82905189999999995</v>
      </c>
      <c r="S2395">
        <v>-1.1157840000000001</v>
      </c>
      <c r="T2395">
        <v>-0.25146649999999998</v>
      </c>
      <c r="U2395">
        <v>-2.8971559999999998</v>
      </c>
      <c r="V2395">
        <v>-0.36998799999999998</v>
      </c>
      <c r="W2395">
        <v>6.7809789999999995E-2</v>
      </c>
      <c r="X2395">
        <v>0.92655859999999901</v>
      </c>
      <c r="Y2395">
        <v>-0.56554450000000001</v>
      </c>
      <c r="Z2395">
        <v>2.5113779999999999E-2</v>
      </c>
      <c r="AA2395">
        <v>0.82433529999999999</v>
      </c>
      <c r="AB2395">
        <v>21</v>
      </c>
      <c r="AC2395">
        <v>-0.17759999999998399</v>
      </c>
      <c r="AD2395">
        <v>-7.8399999999999997E-2</v>
      </c>
      <c r="AE2395">
        <v>-0.77039999999999498</v>
      </c>
      <c r="AF2395">
        <v>-0.52926741567048596</v>
      </c>
      <c r="AG2395">
        <v>-7.8399999999999997E-2</v>
      </c>
      <c r="AH2395">
        <v>0.57690534949261496</v>
      </c>
      <c r="AI2395">
        <v>95.718510878958597</v>
      </c>
      <c r="AJ2395">
        <v>132.53404971739499</v>
      </c>
      <c r="AK2395">
        <v>0.78682294041525802</v>
      </c>
    </row>
    <row r="2396" spans="1:37" x14ac:dyDescent="0.2">
      <c r="A2396" t="str">
        <f>"20200111153656026"</f>
        <v>20200111153656026</v>
      </c>
      <c r="B2396" t="str">
        <f>"1578728216015353"</f>
        <v>1578728216015353</v>
      </c>
      <c r="C2396" t="s">
        <v>37</v>
      </c>
      <c r="D2396">
        <v>5.3078839999999996</v>
      </c>
      <c r="E2396">
        <v>0.4095027</v>
      </c>
      <c r="F2396" t="s">
        <v>38</v>
      </c>
      <c r="G2396">
        <v>-480.9341</v>
      </c>
      <c r="H2396">
        <v>1.0362610000000001</v>
      </c>
      <c r="I2396">
        <v>279.29129999999998</v>
      </c>
      <c r="J2396">
        <v>-480.7029</v>
      </c>
      <c r="K2396">
        <v>1.1123829999999999</v>
      </c>
      <c r="L2396">
        <v>280.087999999999</v>
      </c>
      <c r="M2396">
        <v>-0.81985769999999902</v>
      </c>
      <c r="N2396">
        <v>0</v>
      </c>
      <c r="O2396">
        <v>-0.5724011</v>
      </c>
      <c r="P2396">
        <v>-0.55071190000000003</v>
      </c>
      <c r="Q2396">
        <v>6.2080929999999999E-2</v>
      </c>
      <c r="R2396">
        <v>-0.832383599999999</v>
      </c>
      <c r="S2396">
        <v>-1.094849</v>
      </c>
      <c r="T2396">
        <v>-0.252637</v>
      </c>
      <c r="U2396">
        <v>-2.9034419999999899</v>
      </c>
      <c r="V2396">
        <v>-0.36853279999999999</v>
      </c>
      <c r="W2396">
        <v>6.8262210000000004E-2</v>
      </c>
      <c r="X2396">
        <v>0.92710509999999902</v>
      </c>
      <c r="Y2396">
        <v>-0.56505229999999995</v>
      </c>
      <c r="Z2396">
        <v>2.5883440000000001E-2</v>
      </c>
      <c r="AA2396">
        <v>0.82464899999999997</v>
      </c>
      <c r="AB2396">
        <v>21</v>
      </c>
      <c r="AC2396">
        <v>-0.23120000000000099</v>
      </c>
      <c r="AD2396">
        <v>-7.6121999999999801E-2</v>
      </c>
      <c r="AE2396">
        <v>-0.79669999999998697</v>
      </c>
      <c r="AF2396">
        <v>-0.51654175217092202</v>
      </c>
      <c r="AG2396">
        <v>-7.6121999999999801E-2</v>
      </c>
      <c r="AH2396">
        <v>0.64025352484698705</v>
      </c>
      <c r="AI2396">
        <v>95.286727733644398</v>
      </c>
      <c r="AJ2396">
        <v>128.89578754917599</v>
      </c>
      <c r="AK2396">
        <v>0.82615647228524303</v>
      </c>
    </row>
    <row r="2397" spans="1:37" x14ac:dyDescent="0.2">
      <c r="A2397" t="str">
        <f>"20200111153656046"</f>
        <v>20200111153656046</v>
      </c>
      <c r="B2397" t="str">
        <f>"1578728216034874"</f>
        <v>1578728216034874</v>
      </c>
      <c r="C2397" t="s">
        <v>37</v>
      </c>
      <c r="D2397">
        <v>5.3808619999999996</v>
      </c>
      <c r="E2397">
        <v>0.41060740000000001</v>
      </c>
      <c r="F2397" t="s">
        <v>38</v>
      </c>
      <c r="G2397">
        <v>-481.05070000000001</v>
      </c>
      <c r="H2397">
        <v>1.030735</v>
      </c>
      <c r="I2397">
        <v>279.15370000000001</v>
      </c>
      <c r="J2397">
        <v>-480.84519999999998</v>
      </c>
      <c r="K2397">
        <v>1.1124000000000001</v>
      </c>
      <c r="L2397">
        <v>279.97309999999999</v>
      </c>
      <c r="M2397">
        <v>-0.81342740000000002</v>
      </c>
      <c r="N2397">
        <v>0</v>
      </c>
      <c r="O2397">
        <v>-0.58150239999999997</v>
      </c>
      <c r="P2397">
        <v>-0.5437147</v>
      </c>
      <c r="Q2397">
        <v>6.230757E-2</v>
      </c>
      <c r="R2397">
        <v>-0.83695399999999998</v>
      </c>
      <c r="S2397">
        <v>-1.082031</v>
      </c>
      <c r="T2397">
        <v>-0.2540094</v>
      </c>
      <c r="U2397">
        <v>-2.9072269999999998</v>
      </c>
      <c r="V2397">
        <v>-0.3659618</v>
      </c>
      <c r="W2397">
        <v>6.8536219999999995E-2</v>
      </c>
      <c r="X2397">
        <v>0.92810280000000001</v>
      </c>
      <c r="Y2397">
        <v>-0.55941669999999999</v>
      </c>
      <c r="Z2397">
        <v>2.718491E-2</v>
      </c>
      <c r="AA2397">
        <v>0.82844069999999903</v>
      </c>
      <c r="AB2397">
        <v>21</v>
      </c>
      <c r="AC2397">
        <v>-0.20550000000002899</v>
      </c>
      <c r="AD2397">
        <v>-8.1665000000000099E-2</v>
      </c>
      <c r="AE2397">
        <v>-0.81939999999997304</v>
      </c>
      <c r="AF2397">
        <v>-0.54201066881305304</v>
      </c>
      <c r="AG2397">
        <v>-8.1665000000000099E-2</v>
      </c>
      <c r="AH2397">
        <v>0.63774397049630105</v>
      </c>
      <c r="AI2397">
        <v>95.572936716444403</v>
      </c>
      <c r="AJ2397">
        <v>130.36079635185101</v>
      </c>
      <c r="AK2397">
        <v>0.84092931286557004</v>
      </c>
    </row>
    <row r="2398" spans="1:37" x14ac:dyDescent="0.2">
      <c r="A2398" t="str">
        <f>"20200111153656067"</f>
        <v>20200111153656067</v>
      </c>
      <c r="B2398" t="str">
        <f>"1578728216054901"</f>
        <v>1578728216054901</v>
      </c>
      <c r="C2398" t="s">
        <v>37</v>
      </c>
      <c r="D2398">
        <v>5.3559029999999996</v>
      </c>
      <c r="E2398">
        <v>0.41163729999999998</v>
      </c>
      <c r="F2398" t="s">
        <v>38</v>
      </c>
      <c r="G2398">
        <v>-481.18819999999999</v>
      </c>
      <c r="H2398">
        <v>1.0297339999999999</v>
      </c>
      <c r="I2398">
        <v>279.03550000000001</v>
      </c>
      <c r="J2398">
        <v>-481.00420000000003</v>
      </c>
      <c r="K2398">
        <v>1.112398</v>
      </c>
      <c r="L2398">
        <v>279.8415</v>
      </c>
      <c r="M2398">
        <v>-0.80602750000000001</v>
      </c>
      <c r="N2398">
        <v>0</v>
      </c>
      <c r="O2398">
        <v>-0.59171719999999906</v>
      </c>
      <c r="P2398">
        <v>-0.53481829999999997</v>
      </c>
      <c r="Q2398">
        <v>6.1500939999999997E-2</v>
      </c>
      <c r="R2398">
        <v>-0.84272630000000004</v>
      </c>
      <c r="S2398">
        <v>-1.065186</v>
      </c>
      <c r="T2398">
        <v>-0.25667220000000002</v>
      </c>
      <c r="U2398">
        <v>-2.9114990000000001</v>
      </c>
      <c r="V2398">
        <v>-0.36411789999999999</v>
      </c>
      <c r="W2398">
        <v>6.7767439999999998E-2</v>
      </c>
      <c r="X2398">
        <v>0.92888409999999999</v>
      </c>
      <c r="Y2398">
        <v>-0.55359449999999999</v>
      </c>
      <c r="Z2398">
        <v>2.8769490000000002E-2</v>
      </c>
      <c r="AA2398">
        <v>0.83228930000000001</v>
      </c>
      <c r="AB2398">
        <v>21</v>
      </c>
      <c r="AC2398">
        <v>-0.18399999999996899</v>
      </c>
      <c r="AD2398">
        <v>-8.2664000000000001E-2</v>
      </c>
      <c r="AE2398">
        <v>-0.80599999999998295</v>
      </c>
      <c r="AF2398">
        <v>-0.53548013555948204</v>
      </c>
      <c r="AG2398">
        <v>-8.2664000000000001E-2</v>
      </c>
      <c r="AH2398">
        <v>0.61910306486340005</v>
      </c>
      <c r="AI2398">
        <v>95.766639412540499</v>
      </c>
      <c r="AJ2398">
        <v>130.857475282466</v>
      </c>
      <c r="AK2398">
        <v>0.82271557503067705</v>
      </c>
    </row>
    <row r="2399" spans="1:37" x14ac:dyDescent="0.2">
      <c r="A2399" t="str">
        <f>"20200111153656081"</f>
        <v>20200111153656081</v>
      </c>
      <c r="B2399" t="str">
        <f>"1578728216075396"</f>
        <v>1578728216075396</v>
      </c>
      <c r="C2399" t="s">
        <v>37</v>
      </c>
      <c r="D2399">
        <v>5.3941119999999998</v>
      </c>
      <c r="E2399">
        <v>0.42224309999999998</v>
      </c>
      <c r="F2399" t="s">
        <v>38</v>
      </c>
      <c r="G2399">
        <v>-481.33210000000003</v>
      </c>
      <c r="H2399">
        <v>1.029914</v>
      </c>
      <c r="I2399">
        <v>278.92259999999999</v>
      </c>
      <c r="J2399">
        <v>-481.10129999999998</v>
      </c>
      <c r="K2399">
        <v>1.1123940000000001</v>
      </c>
      <c r="L2399">
        <v>279.75959999999998</v>
      </c>
      <c r="M2399">
        <v>-0.80140199999999995</v>
      </c>
      <c r="N2399">
        <v>0</v>
      </c>
      <c r="O2399">
        <v>-0.59796669999999996</v>
      </c>
      <c r="P2399">
        <v>-0.5290743</v>
      </c>
      <c r="Q2399">
        <v>6.0707799999999999E-2</v>
      </c>
      <c r="R2399">
        <v>-0.84640130000000002</v>
      </c>
      <c r="S2399">
        <v>-1.041199</v>
      </c>
      <c r="T2399">
        <v>-0.2618991</v>
      </c>
      <c r="U2399">
        <v>-2.9181819999999998</v>
      </c>
      <c r="V2399">
        <v>-0.36324339999999999</v>
      </c>
      <c r="W2399">
        <v>6.6995769999999996E-2</v>
      </c>
      <c r="X2399">
        <v>0.92928239999999995</v>
      </c>
      <c r="Y2399">
        <v>-0.55379419999999902</v>
      </c>
      <c r="Z2399">
        <v>3.000566E-2</v>
      </c>
      <c r="AA2399">
        <v>0.83211270000000004</v>
      </c>
      <c r="AB2399">
        <v>21</v>
      </c>
      <c r="AC2399">
        <v>-0.230800000000044</v>
      </c>
      <c r="AD2399">
        <v>-8.2480000000000095E-2</v>
      </c>
      <c r="AE2399">
        <v>-0.83699999999998898</v>
      </c>
      <c r="AF2399">
        <v>-0.528048224196486</v>
      </c>
      <c r="AG2399">
        <v>-8.2480000000000095E-2</v>
      </c>
      <c r="AH2399">
        <v>0.67939590729048804</v>
      </c>
      <c r="AI2399">
        <v>95.475316333012699</v>
      </c>
      <c r="AJ2399">
        <v>127.85549358502701</v>
      </c>
      <c r="AK2399">
        <v>0.86441695744595903</v>
      </c>
    </row>
    <row r="2400" spans="1:37" x14ac:dyDescent="0.2">
      <c r="A2400" t="str">
        <f>"20200111153656101"</f>
        <v>20200111153656101</v>
      </c>
      <c r="B2400" t="str">
        <f>"1578728216094916"</f>
        <v>1578728216094916</v>
      </c>
      <c r="C2400" t="s">
        <v>37</v>
      </c>
      <c r="D2400">
        <v>5.4425509999999999</v>
      </c>
      <c r="E2400">
        <v>0.42178179999999998</v>
      </c>
      <c r="F2400" t="s">
        <v>38</v>
      </c>
      <c r="G2400">
        <v>-481.4658</v>
      </c>
      <c r="H2400">
        <v>1.014618</v>
      </c>
      <c r="I2400">
        <v>278.80040000000002</v>
      </c>
      <c r="J2400">
        <v>-481.24790000000002</v>
      </c>
      <c r="K2400">
        <v>1.112328</v>
      </c>
      <c r="L2400">
        <v>279.63319999999999</v>
      </c>
      <c r="M2400">
        <v>-0.79435299999999998</v>
      </c>
      <c r="N2400">
        <v>0</v>
      </c>
      <c r="O2400">
        <v>-0.60729699999999998</v>
      </c>
      <c r="P2400">
        <v>-0.52020719999999998</v>
      </c>
      <c r="Q2400">
        <v>5.9782509999999997E-2</v>
      </c>
      <c r="R2400">
        <v>-0.85194530000000002</v>
      </c>
      <c r="S2400">
        <v>-1.0950930000000001</v>
      </c>
      <c r="T2400">
        <v>-0.29372329999999902</v>
      </c>
      <c r="U2400">
        <v>-2.8809200000000001</v>
      </c>
      <c r="V2400">
        <v>-0.36210170000000003</v>
      </c>
      <c r="W2400">
        <v>6.627545E-2</v>
      </c>
      <c r="X2400">
        <v>0.92977949999999998</v>
      </c>
      <c r="Y2400">
        <v>-0.52676429999999996</v>
      </c>
      <c r="Z2400">
        <v>3.6212040000000001E-2</v>
      </c>
      <c r="AA2400">
        <v>0.84923959999999998</v>
      </c>
      <c r="AB2400">
        <v>21</v>
      </c>
      <c r="AC2400">
        <v>-0.21789999999998599</v>
      </c>
      <c r="AD2400">
        <v>-9.7709999999999894E-2</v>
      </c>
      <c r="AE2400">
        <v>-0.83279999999996301</v>
      </c>
      <c r="AF2400">
        <v>-0.52252637249261402</v>
      </c>
      <c r="AG2400">
        <v>-9.7709999999999894E-2</v>
      </c>
      <c r="AH2400">
        <v>0.67027660202561601</v>
      </c>
      <c r="AI2400">
        <v>96.558414803507802</v>
      </c>
      <c r="AJ2400">
        <v>127.938848281182</v>
      </c>
      <c r="AK2400">
        <v>0.85548335885234905</v>
      </c>
    </row>
    <row r="2401" spans="1:37" x14ac:dyDescent="0.2">
      <c r="A2401" t="str">
        <f>"20200111153656116"</f>
        <v>20200111153656116</v>
      </c>
      <c r="B2401" t="str">
        <f>"1578728216105652"</f>
        <v>1578728216105652</v>
      </c>
      <c r="C2401" t="s">
        <v>37</v>
      </c>
      <c r="D2401">
        <v>5.4445610000000002</v>
      </c>
      <c r="E2401">
        <v>0.42198580000000002</v>
      </c>
      <c r="F2401" t="s">
        <v>38</v>
      </c>
      <c r="G2401">
        <v>-481.59809999999999</v>
      </c>
      <c r="H2401">
        <v>1.0130889999999999</v>
      </c>
      <c r="I2401">
        <v>278.67989999999998</v>
      </c>
      <c r="J2401">
        <v>-481.34649999999999</v>
      </c>
      <c r="K2401">
        <v>1.112109</v>
      </c>
      <c r="L2401">
        <v>279.54680000000002</v>
      </c>
      <c r="M2401">
        <v>-0.78995470000000001</v>
      </c>
      <c r="N2401">
        <v>0</v>
      </c>
      <c r="O2401">
        <v>-0.61299209999999904</v>
      </c>
      <c r="P2401">
        <v>-0.51442909999999997</v>
      </c>
      <c r="Q2401">
        <v>5.857217E-2</v>
      </c>
      <c r="R2401">
        <v>-0.85553040000000002</v>
      </c>
      <c r="S2401">
        <v>-1.061798</v>
      </c>
      <c r="T2401">
        <v>-0.30109570000000002</v>
      </c>
      <c r="U2401">
        <v>-2.8941349999999999</v>
      </c>
      <c r="V2401">
        <v>-0.3616953</v>
      </c>
      <c r="W2401">
        <v>6.6028509999999999E-2</v>
      </c>
      <c r="X2401">
        <v>0.92995519999999998</v>
      </c>
      <c r="Y2401">
        <v>-0.53051159999999997</v>
      </c>
      <c r="Z2401">
        <v>3.7598769999999997E-2</v>
      </c>
      <c r="AA2401">
        <v>0.84684340000000002</v>
      </c>
      <c r="AB2401">
        <v>21</v>
      </c>
      <c r="AC2401">
        <v>-0.25159999999999599</v>
      </c>
      <c r="AD2401">
        <v>-9.9020000000000094E-2</v>
      </c>
      <c r="AE2401">
        <v>-0.86690000000004297</v>
      </c>
      <c r="AF2401">
        <v>-0.52432981241223997</v>
      </c>
      <c r="AG2401">
        <v>-9.9020000000000094E-2</v>
      </c>
      <c r="AH2401">
        <v>0.72155031742628495</v>
      </c>
      <c r="AI2401">
        <v>96.334834748371506</v>
      </c>
      <c r="AJ2401">
        <v>126.00482380342</v>
      </c>
      <c r="AK2401">
        <v>0.89741939647091895</v>
      </c>
    </row>
    <row r="2402" spans="1:37" x14ac:dyDescent="0.2">
      <c r="A2402" t="str">
        <f>"20200111153656132"</f>
        <v>20200111153656132</v>
      </c>
      <c r="B2402" t="str">
        <f>"1578728216125173"</f>
        <v>1578728216125173</v>
      </c>
      <c r="C2402" t="s">
        <v>37</v>
      </c>
      <c r="D2402">
        <v>5.4593600000000002</v>
      </c>
      <c r="E2402">
        <v>0.42246</v>
      </c>
      <c r="F2402" t="s">
        <v>38</v>
      </c>
      <c r="G2402">
        <v>-481.6447</v>
      </c>
      <c r="H2402">
        <v>1.025658</v>
      </c>
      <c r="I2402">
        <v>278.71890000000002</v>
      </c>
      <c r="J2402">
        <v>-481.44699999999898</v>
      </c>
      <c r="K2402">
        <v>1.111777</v>
      </c>
      <c r="L2402">
        <v>279.4579</v>
      </c>
      <c r="M2402">
        <v>-0.78566289999999905</v>
      </c>
      <c r="N2402">
        <v>0</v>
      </c>
      <c r="O2402">
        <v>-0.61846040000000002</v>
      </c>
      <c r="P2402">
        <v>-0.50865569999999904</v>
      </c>
      <c r="Q2402">
        <v>5.7104740000000001E-2</v>
      </c>
      <c r="R2402">
        <v>-0.85907440000000002</v>
      </c>
      <c r="S2402">
        <v>-1.043274</v>
      </c>
      <c r="T2402">
        <v>-0.302639099999999</v>
      </c>
      <c r="U2402">
        <v>-2.899994</v>
      </c>
      <c r="V2402">
        <v>-0.3614697</v>
      </c>
      <c r="W2402">
        <v>6.5932879999999999E-2</v>
      </c>
      <c r="X2402">
        <v>0.93004969999999998</v>
      </c>
      <c r="Y2402">
        <v>-0.52996719999999997</v>
      </c>
      <c r="Z2402">
        <v>3.8482460000000003E-2</v>
      </c>
      <c r="AA2402">
        <v>0.84714449999999997</v>
      </c>
      <c r="AB2402">
        <v>21</v>
      </c>
      <c r="AC2402">
        <v>-0.197700000000054</v>
      </c>
      <c r="AD2402">
        <v>-8.6119000000000001E-2</v>
      </c>
      <c r="AE2402">
        <v>-0.73899999999997501</v>
      </c>
      <c r="AF2402">
        <v>-0.45265378879531099</v>
      </c>
      <c r="AG2402">
        <v>-8.6119000000000001E-2</v>
      </c>
      <c r="AH2402">
        <v>0.60477694751015698</v>
      </c>
      <c r="AI2402">
        <v>96.503775459302105</v>
      </c>
      <c r="AJ2402">
        <v>126.81353300818201</v>
      </c>
      <c r="AK2402">
        <v>0.76030723455156901</v>
      </c>
    </row>
    <row r="2403" spans="1:37" x14ac:dyDescent="0.2">
      <c r="A2403" t="str">
        <f>"20200111153656147"</f>
        <v>20200111153656147</v>
      </c>
      <c r="B2403" t="str">
        <f>"1578728216134933"</f>
        <v>1578728216134933</v>
      </c>
      <c r="C2403" t="s">
        <v>37</v>
      </c>
      <c r="D2403">
        <v>5.4493470000000004</v>
      </c>
      <c r="E2403">
        <v>0.42300519999999903</v>
      </c>
      <c r="F2403" t="s">
        <v>38</v>
      </c>
      <c r="G2403">
        <v>-481.75619999999998</v>
      </c>
      <c r="H2403">
        <v>1.018877</v>
      </c>
      <c r="I2403">
        <v>278.58370000000002</v>
      </c>
      <c r="J2403">
        <v>-481.54919999999998</v>
      </c>
      <c r="K2403">
        <v>1.111429</v>
      </c>
      <c r="L2403">
        <v>279.36689999999999</v>
      </c>
      <c r="M2403">
        <v>-0.78144760000000002</v>
      </c>
      <c r="N2403">
        <v>0</v>
      </c>
      <c r="O2403">
        <v>-0.62374989999999997</v>
      </c>
      <c r="P2403">
        <v>-0.50325299999999995</v>
      </c>
      <c r="Q2403">
        <v>5.5673109999999998E-2</v>
      </c>
      <c r="R2403">
        <v>-0.862344</v>
      </c>
      <c r="S2403">
        <v>-1.0272829999999999</v>
      </c>
      <c r="T2403">
        <v>-0.30867790000000001</v>
      </c>
      <c r="U2403">
        <v>-2.904388</v>
      </c>
      <c r="V2403">
        <v>-0.36098659999999999</v>
      </c>
      <c r="W2403">
        <v>6.6068000000000002E-2</v>
      </c>
      <c r="X2403">
        <v>0.93022780000000005</v>
      </c>
      <c r="Y2403">
        <v>-0.52879419999999899</v>
      </c>
      <c r="Z2403">
        <v>3.9967780000000001E-2</v>
      </c>
      <c r="AA2403">
        <v>0.84780849999999996</v>
      </c>
      <c r="AB2403">
        <v>21</v>
      </c>
      <c r="AC2403">
        <v>-0.206999999999993</v>
      </c>
      <c r="AD2403">
        <v>-9.2551999999999898E-2</v>
      </c>
      <c r="AE2403">
        <v>-0.78319999999996504</v>
      </c>
      <c r="AF2403">
        <v>-0.47675713308592699</v>
      </c>
      <c r="AG2403">
        <v>-9.2551999999999898E-2</v>
      </c>
      <c r="AH2403">
        <v>0.64199050692663095</v>
      </c>
      <c r="AI2403">
        <v>96.602028018545496</v>
      </c>
      <c r="AJ2403">
        <v>126.59844146709</v>
      </c>
      <c r="AK2403">
        <v>0.80499381838385897</v>
      </c>
    </row>
    <row r="2404" spans="1:37" x14ac:dyDescent="0.2">
      <c r="A2404" t="str">
        <f>"20200111153656169"</f>
        <v>20200111153656169</v>
      </c>
      <c r="B2404" t="str">
        <f>"1578728216165698"</f>
        <v>1578728216165698</v>
      </c>
      <c r="C2404" t="s">
        <v>37</v>
      </c>
      <c r="D2404">
        <v>5.518313</v>
      </c>
      <c r="E2404">
        <v>0.4238594</v>
      </c>
      <c r="F2404" t="s">
        <v>38</v>
      </c>
      <c r="G2404">
        <v>-481.86779999999999</v>
      </c>
      <c r="H2404">
        <v>1.0126409999999999</v>
      </c>
      <c r="I2404">
        <v>278.45249999999999</v>
      </c>
      <c r="J2404">
        <v>-481.69799999999998</v>
      </c>
      <c r="K2404">
        <v>1.111046</v>
      </c>
      <c r="L2404">
        <v>279.23289999999997</v>
      </c>
      <c r="M2404">
        <v>-0.77554460000000003</v>
      </c>
      <c r="N2404">
        <v>0</v>
      </c>
      <c r="O2404">
        <v>-0.63102539999999996</v>
      </c>
      <c r="P2404">
        <v>-0.49688139999999997</v>
      </c>
      <c r="Q2404">
        <v>5.3041079999999997E-2</v>
      </c>
      <c r="R2404">
        <v>-0.86619650000000004</v>
      </c>
      <c r="S2404">
        <v>-1.012726</v>
      </c>
      <c r="T2404">
        <v>-0.314085</v>
      </c>
      <c r="U2404">
        <v>-2.9081730000000001</v>
      </c>
      <c r="V2404">
        <v>-0.35912240000000001</v>
      </c>
      <c r="W2404">
        <v>6.5769679999999997E-2</v>
      </c>
      <c r="X2404">
        <v>0.93097019999999997</v>
      </c>
      <c r="Y2404">
        <v>-0.52499309999999999</v>
      </c>
      <c r="Z2404">
        <v>4.1780789999999998E-2</v>
      </c>
      <c r="AA2404">
        <v>0.85008039999999996</v>
      </c>
      <c r="AB2404">
        <v>20</v>
      </c>
      <c r="AC2404">
        <v>-0.16979999999995199</v>
      </c>
      <c r="AD2404">
        <v>-9.8405000000000006E-2</v>
      </c>
      <c r="AE2404">
        <v>-0.78039999999998599</v>
      </c>
      <c r="AF2404">
        <v>-0.490721141587459</v>
      </c>
      <c r="AG2404">
        <v>-9.8405000000000006E-2</v>
      </c>
      <c r="AH2404">
        <v>0.614909864346461</v>
      </c>
      <c r="AI2404">
        <v>97.129717116796698</v>
      </c>
      <c r="AJ2404">
        <v>128.591180412932</v>
      </c>
      <c r="AK2404">
        <v>0.79284609105202897</v>
      </c>
    </row>
    <row r="2405" spans="1:37" x14ac:dyDescent="0.2">
      <c r="A2405" t="str">
        <f>"20200111153656203"</f>
        <v>20200111153656203</v>
      </c>
      <c r="B2405" t="str">
        <f>"1578728216194977"</f>
        <v>1578728216194977</v>
      </c>
      <c r="C2405" t="s">
        <v>37</v>
      </c>
      <c r="D2405">
        <v>5.5368599999999999</v>
      </c>
      <c r="E2405">
        <v>0.42530639999999997</v>
      </c>
      <c r="F2405" t="s">
        <v>38</v>
      </c>
      <c r="G2405">
        <v>-482.0025</v>
      </c>
      <c r="H2405">
        <v>1.01301</v>
      </c>
      <c r="I2405">
        <v>278.34339999999997</v>
      </c>
      <c r="J2405">
        <v>-481.91329999999999</v>
      </c>
      <c r="K2405">
        <v>1.111108</v>
      </c>
      <c r="L2405">
        <v>279.03519999999997</v>
      </c>
      <c r="M2405">
        <v>-0.76607169999999902</v>
      </c>
      <c r="N2405">
        <v>0</v>
      </c>
      <c r="O2405">
        <v>-0.64242790000000005</v>
      </c>
      <c r="P2405">
        <v>-0.48582969999999998</v>
      </c>
      <c r="Q2405">
        <v>5.0809409999999999E-2</v>
      </c>
      <c r="R2405">
        <v>-0.87257580000000001</v>
      </c>
      <c r="S2405">
        <v>-0.99691770000000002</v>
      </c>
      <c r="T2405">
        <v>-0.3208743</v>
      </c>
      <c r="U2405">
        <v>-2.9111940000000001</v>
      </c>
      <c r="V2405">
        <v>-0.35721190000000003</v>
      </c>
      <c r="W2405">
        <v>6.5769670000000002E-2</v>
      </c>
      <c r="X2405">
        <v>0.93170489999999995</v>
      </c>
      <c r="Y2405">
        <v>-0.51680729999999997</v>
      </c>
      <c r="Z2405">
        <v>4.4583730000000002E-2</v>
      </c>
      <c r="AA2405">
        <v>0.85494009999999998</v>
      </c>
      <c r="AB2405">
        <v>20</v>
      </c>
      <c r="AC2405">
        <v>-8.9200000000005206E-2</v>
      </c>
      <c r="AD2405">
        <v>-9.8098000000000005E-2</v>
      </c>
      <c r="AE2405">
        <v>-0.69179999999999997</v>
      </c>
      <c r="AF2405">
        <v>-0.46359395529724601</v>
      </c>
      <c r="AG2405">
        <v>-9.8098000000000005E-2</v>
      </c>
      <c r="AH2405">
        <v>0.50292583911718303</v>
      </c>
      <c r="AI2405">
        <v>98.161618471062994</v>
      </c>
      <c r="AJ2405">
        <v>132.66967194182001</v>
      </c>
      <c r="AK2405">
        <v>0.69099708584325303</v>
      </c>
    </row>
    <row r="2406" spans="1:37" x14ac:dyDescent="0.2">
      <c r="A2406" t="str">
        <f>"20200111153656226"</f>
        <v>20200111153656226</v>
      </c>
      <c r="B2406" t="str">
        <f>"1578728216215474"</f>
        <v>1578728216215474</v>
      </c>
      <c r="C2406" t="s">
        <v>37</v>
      </c>
      <c r="D2406">
        <v>5.6062099999999999</v>
      </c>
      <c r="E2406">
        <v>0.42605969999999999</v>
      </c>
      <c r="F2406" t="s">
        <v>38</v>
      </c>
      <c r="G2406">
        <v>-482.22559999999999</v>
      </c>
      <c r="H2406">
        <v>1.0049090000000001</v>
      </c>
      <c r="I2406">
        <v>278.09519999999998</v>
      </c>
      <c r="J2406">
        <v>-482.0566</v>
      </c>
      <c r="K2406">
        <v>1.111648</v>
      </c>
      <c r="L2406">
        <v>278.89879999999999</v>
      </c>
      <c r="M2406">
        <v>-0.75823249999999998</v>
      </c>
      <c r="N2406">
        <v>0</v>
      </c>
      <c r="O2406">
        <v>-0.65166520000000006</v>
      </c>
      <c r="P2406">
        <v>-0.47419529999999899</v>
      </c>
      <c r="Q2406">
        <v>5.4125340000000001E-2</v>
      </c>
      <c r="R2406">
        <v>-0.87875460000000005</v>
      </c>
      <c r="S2406">
        <v>-0.96926880000000004</v>
      </c>
      <c r="T2406">
        <v>-0.329634599999999</v>
      </c>
      <c r="U2406">
        <v>-2.91760299999999</v>
      </c>
      <c r="V2406">
        <v>-0.35831689999999999</v>
      </c>
      <c r="W2406">
        <v>6.8279329999999999E-2</v>
      </c>
      <c r="X2406">
        <v>0.93109989999999998</v>
      </c>
      <c r="Y2406">
        <v>-0.51432100000000003</v>
      </c>
      <c r="Z2406">
        <v>4.7175960000000003E-2</v>
      </c>
      <c r="AA2406">
        <v>0.85629920000000004</v>
      </c>
      <c r="AB2406">
        <v>20</v>
      </c>
      <c r="AC2406">
        <v>-0.168999999999982</v>
      </c>
      <c r="AD2406">
        <v>-0.106738999999999</v>
      </c>
      <c r="AE2406">
        <v>-0.80360000000001697</v>
      </c>
      <c r="AF2406">
        <v>-0.49099249950385998</v>
      </c>
      <c r="AG2406">
        <v>-0.106738999999999</v>
      </c>
      <c r="AH2406">
        <v>0.64112295210328796</v>
      </c>
      <c r="AI2406">
        <v>97.529641492372505</v>
      </c>
      <c r="AJ2406">
        <v>127.446049555947</v>
      </c>
      <c r="AK2406">
        <v>0.81455846223809003</v>
      </c>
    </row>
    <row r="2407" spans="1:37" x14ac:dyDescent="0.2">
      <c r="A2407" t="str">
        <f>"20200111153656247"</f>
        <v>20200111153656247</v>
      </c>
      <c r="B2407" t="str">
        <f>"1578728216234994"</f>
        <v>1578728216234994</v>
      </c>
      <c r="C2407" t="s">
        <v>37</v>
      </c>
      <c r="D2407">
        <v>5.6019119999999996</v>
      </c>
      <c r="E2407">
        <v>0.42665340000000002</v>
      </c>
      <c r="F2407" t="s">
        <v>38</v>
      </c>
      <c r="G2407">
        <v>-482.35109999999997</v>
      </c>
      <c r="H2407">
        <v>1.0103869999999999</v>
      </c>
      <c r="I2407">
        <v>277.97910000000002</v>
      </c>
      <c r="J2407">
        <v>-482.18380000000002</v>
      </c>
      <c r="K2407">
        <v>1.112223</v>
      </c>
      <c r="L2407">
        <v>278.77359999999999</v>
      </c>
      <c r="M2407">
        <v>-0.75122299999999997</v>
      </c>
      <c r="N2407">
        <v>0</v>
      </c>
      <c r="O2407">
        <v>-0.65975550000000005</v>
      </c>
      <c r="P2407">
        <v>-0.46446470000000001</v>
      </c>
      <c r="Q2407">
        <v>5.5979370000000001E-2</v>
      </c>
      <c r="R2407">
        <v>-0.88382079999999996</v>
      </c>
      <c r="S2407">
        <v>-0.93725590000000003</v>
      </c>
      <c r="T2407">
        <v>-0.32233259999999903</v>
      </c>
      <c r="U2407">
        <v>-2.9280400000000002</v>
      </c>
      <c r="V2407">
        <v>-0.35871069999999999</v>
      </c>
      <c r="W2407">
        <v>6.8652779999999997E-2</v>
      </c>
      <c r="X2407">
        <v>0.93092070000000005</v>
      </c>
      <c r="Y2407">
        <v>-0.51453509999999902</v>
      </c>
      <c r="Z2407">
        <v>4.7174059999999997E-2</v>
      </c>
      <c r="AA2407">
        <v>0.85617080000000001</v>
      </c>
      <c r="AB2407">
        <v>20</v>
      </c>
      <c r="AC2407">
        <v>-0.16729999999995401</v>
      </c>
      <c r="AD2407">
        <v>-0.101835999999999</v>
      </c>
      <c r="AE2407">
        <v>-0.79449999999997001</v>
      </c>
      <c r="AF2407">
        <v>-0.47902779238404603</v>
      </c>
      <c r="AG2407">
        <v>-0.101835999999999</v>
      </c>
      <c r="AH2407">
        <v>0.63991416689346403</v>
      </c>
      <c r="AI2407">
        <v>97.260301441974406</v>
      </c>
      <c r="AJ2407">
        <v>126.817840246814</v>
      </c>
      <c r="AK2407">
        <v>0.80580911993057602</v>
      </c>
    </row>
    <row r="2408" spans="1:37" x14ac:dyDescent="0.2">
      <c r="A2408" t="str">
        <f>"20200111153656269"</f>
        <v>20200111153656269</v>
      </c>
      <c r="B2408" t="str">
        <f>"1578728216255489"</f>
        <v>1578728216255489</v>
      </c>
      <c r="C2408" t="s">
        <v>37</v>
      </c>
      <c r="D2408">
        <v>5.579809</v>
      </c>
      <c r="E2408">
        <v>0.43408400000000003</v>
      </c>
      <c r="F2408" t="s">
        <v>38</v>
      </c>
      <c r="G2408">
        <v>-482.46809999999999</v>
      </c>
      <c r="H2408">
        <v>1.0127379999999999</v>
      </c>
      <c r="I2408">
        <v>277.85559999999998</v>
      </c>
      <c r="J2408">
        <v>-482.31849999999997</v>
      </c>
      <c r="K2408">
        <v>1.112601</v>
      </c>
      <c r="L2408">
        <v>278.63639999999998</v>
      </c>
      <c r="M2408">
        <v>-0.74408149999999995</v>
      </c>
      <c r="N2408">
        <v>0</v>
      </c>
      <c r="O2408">
        <v>-0.66781610000000002</v>
      </c>
      <c r="P2408">
        <v>-0.45565470000000002</v>
      </c>
      <c r="Q2408">
        <v>5.5231879999999997E-2</v>
      </c>
      <c r="R2408">
        <v>-0.8884417</v>
      </c>
      <c r="S2408">
        <v>-0.90966800000000003</v>
      </c>
      <c r="T2408">
        <v>-0.3182817</v>
      </c>
      <c r="U2408">
        <v>-2.9364619999999899</v>
      </c>
      <c r="V2408">
        <v>-0.35805329999999902</v>
      </c>
      <c r="W2408">
        <v>6.6846849999999999E-2</v>
      </c>
      <c r="X2408">
        <v>0.93130519999999894</v>
      </c>
      <c r="Y2408">
        <v>-0.51335350000000002</v>
      </c>
      <c r="Z2408">
        <v>4.7679760000000002E-2</v>
      </c>
      <c r="AA2408">
        <v>0.85685169999999999</v>
      </c>
      <c r="AB2408">
        <v>20</v>
      </c>
      <c r="AC2408">
        <v>-0.14960000000001999</v>
      </c>
      <c r="AD2408">
        <v>-9.9862999999999993E-2</v>
      </c>
      <c r="AE2408">
        <v>-0.78079999999999905</v>
      </c>
      <c r="AF2408">
        <v>-0.47368703188012401</v>
      </c>
      <c r="AG2408">
        <v>-9.9862999999999993E-2</v>
      </c>
      <c r="AH2408">
        <v>0.62303008367201296</v>
      </c>
      <c r="AI2408">
        <v>97.271391536499394</v>
      </c>
      <c r="AJ2408">
        <v>127.24556818263</v>
      </c>
      <c r="AK2408">
        <v>0.78899842084807603</v>
      </c>
    </row>
    <row r="2409" spans="1:37" x14ac:dyDescent="0.2">
      <c r="A2409" t="str">
        <f>"20200111153656292"</f>
        <v>20200111153656292</v>
      </c>
      <c r="B2409" t="str">
        <f>"1578728216284769"</f>
        <v>1578728216284769</v>
      </c>
      <c r="C2409" t="s">
        <v>37</v>
      </c>
      <c r="D2409">
        <v>5.502891</v>
      </c>
      <c r="E2409">
        <v>0.38832539999999999</v>
      </c>
      <c r="F2409" t="s">
        <v>38</v>
      </c>
      <c r="G2409">
        <v>-482.6035</v>
      </c>
      <c r="H2409">
        <v>1.0087629999999901</v>
      </c>
      <c r="I2409">
        <v>277.74590000000001</v>
      </c>
      <c r="J2409">
        <v>-482.45909999999998</v>
      </c>
      <c r="K2409">
        <v>1.112501</v>
      </c>
      <c r="L2409">
        <v>278.48880000000003</v>
      </c>
      <c r="M2409">
        <v>-0.73645459999999996</v>
      </c>
      <c r="N2409">
        <v>0</v>
      </c>
      <c r="O2409">
        <v>-0.67622689999999996</v>
      </c>
      <c r="P2409">
        <v>-0.44525509999999902</v>
      </c>
      <c r="Q2409">
        <v>5.3837370000000002E-2</v>
      </c>
      <c r="R2409">
        <v>-0.89378400000000002</v>
      </c>
      <c r="S2409">
        <v>-0.93408199999999997</v>
      </c>
      <c r="T2409">
        <v>-0.34033089999999999</v>
      </c>
      <c r="U2409">
        <v>-2.9187620000000001</v>
      </c>
      <c r="V2409">
        <v>-0.35838140000000002</v>
      </c>
      <c r="W2409">
        <v>6.5127309999999994E-2</v>
      </c>
      <c r="X2409">
        <v>0.93130079999999904</v>
      </c>
      <c r="Y2409">
        <v>-0.495616</v>
      </c>
      <c r="Z2409">
        <v>5.316924E-2</v>
      </c>
      <c r="AA2409">
        <v>0.86691280000000004</v>
      </c>
      <c r="AB2409">
        <v>20</v>
      </c>
      <c r="AC2409">
        <v>-0.14440000000001799</v>
      </c>
      <c r="AD2409">
        <v>-0.103738</v>
      </c>
      <c r="AE2409">
        <v>-0.74290000000001999</v>
      </c>
      <c r="AF2409">
        <v>-0.44125322571366998</v>
      </c>
      <c r="AG2409">
        <v>-0.103738</v>
      </c>
      <c r="AH2409">
        <v>0.59759181145362406</v>
      </c>
      <c r="AI2409">
        <v>97.949906396518898</v>
      </c>
      <c r="AJ2409">
        <v>126.441628420684</v>
      </c>
      <c r="AK2409">
        <v>0.75005463465213096</v>
      </c>
    </row>
    <row r="2410" spans="1:37" x14ac:dyDescent="0.2">
      <c r="A2410" t="str">
        <f>"20200111153656315"</f>
        <v>20200111153656315</v>
      </c>
      <c r="B2410" t="str">
        <f>"1578728216305265"</f>
        <v>1578728216305265</v>
      </c>
      <c r="C2410" t="s">
        <v>37</v>
      </c>
      <c r="D2410">
        <v>5.6085959999999897</v>
      </c>
      <c r="E2410">
        <v>0.380361</v>
      </c>
      <c r="F2410" t="s">
        <v>38</v>
      </c>
      <c r="G2410">
        <v>-482.63040000000001</v>
      </c>
      <c r="H2410">
        <v>1.023004</v>
      </c>
      <c r="I2410">
        <v>277.55939999999998</v>
      </c>
      <c r="J2410">
        <v>-482.59</v>
      </c>
      <c r="K2410">
        <v>1.111947</v>
      </c>
      <c r="L2410">
        <v>278.34870000000001</v>
      </c>
      <c r="M2410">
        <v>-0.72863829999999996</v>
      </c>
      <c r="N2410">
        <v>0</v>
      </c>
      <c r="O2410">
        <v>-0.68465100000000001</v>
      </c>
      <c r="P2410">
        <v>-0.43297089999999999</v>
      </c>
      <c r="Q2410">
        <v>5.3331980000000001E-2</v>
      </c>
      <c r="R2410">
        <v>-0.89982890000000004</v>
      </c>
      <c r="S2410">
        <v>-0.56945800000000002</v>
      </c>
      <c r="T2410">
        <v>-0.29760490000000001</v>
      </c>
      <c r="U2410">
        <v>-3.0907900000000001</v>
      </c>
      <c r="V2410">
        <v>-0.36036869999999999</v>
      </c>
      <c r="W2410">
        <v>6.4677180000000001E-2</v>
      </c>
      <c r="X2410">
        <v>0.93056510000000003</v>
      </c>
      <c r="Y2410">
        <v>-0.59244549999999996</v>
      </c>
      <c r="Z2410">
        <v>4.2059729999999997E-2</v>
      </c>
      <c r="AA2410">
        <v>0.8045118</v>
      </c>
      <c r="AB2410">
        <v>20</v>
      </c>
      <c r="AC2410">
        <v>-4.0400000000033701E-2</v>
      </c>
      <c r="AD2410">
        <v>-8.8942999999999994E-2</v>
      </c>
      <c r="AE2410">
        <v>-0.78930000000002498</v>
      </c>
      <c r="AF2410">
        <v>-0.54069926927078704</v>
      </c>
      <c r="AG2410">
        <v>-8.8942999999999994E-2</v>
      </c>
      <c r="AH2410">
        <v>0.56280086244136596</v>
      </c>
      <c r="AI2410">
        <v>96.501600055701502</v>
      </c>
      <c r="AJ2410">
        <v>133.85259757918701</v>
      </c>
      <c r="AK2410">
        <v>0.78550071152336198</v>
      </c>
    </row>
    <row r="2411" spans="1:37" x14ac:dyDescent="0.2">
      <c r="A2411" t="str">
        <f>"20200111153656337"</f>
        <v>20200111153656337</v>
      </c>
      <c r="B2411" t="str">
        <f>"1578728216324786"</f>
        <v>1578728216324786</v>
      </c>
      <c r="C2411" t="s">
        <v>37</v>
      </c>
      <c r="D2411">
        <v>5.5565569999999997</v>
      </c>
      <c r="E2411">
        <v>0.37807570000000001</v>
      </c>
      <c r="F2411" t="s">
        <v>38</v>
      </c>
      <c r="G2411">
        <v>-482.72910000000002</v>
      </c>
      <c r="H2411">
        <v>1.0262789999999999</v>
      </c>
      <c r="I2411">
        <v>277.42610000000002</v>
      </c>
      <c r="J2411">
        <v>-482.72019999999998</v>
      </c>
      <c r="K2411">
        <v>1.1112299999999999</v>
      </c>
      <c r="L2411">
        <v>278.2072</v>
      </c>
      <c r="M2411">
        <v>-0.72028610000000004</v>
      </c>
      <c r="N2411">
        <v>0</v>
      </c>
      <c r="O2411">
        <v>-0.69344380000000005</v>
      </c>
      <c r="P2411">
        <v>-0.4206839</v>
      </c>
      <c r="Q2411">
        <v>5.2323990000000001E-2</v>
      </c>
      <c r="R2411">
        <v>-0.90569719999999998</v>
      </c>
      <c r="S2411">
        <v>-0.47070309999999999</v>
      </c>
      <c r="T2411">
        <v>-0.29001679999999902</v>
      </c>
      <c r="U2411">
        <v>-3.1246640000000001</v>
      </c>
      <c r="V2411">
        <v>-0.36166939999999997</v>
      </c>
      <c r="W2411">
        <v>6.3800190000000007E-2</v>
      </c>
      <c r="X2411">
        <v>0.93012090000000003</v>
      </c>
      <c r="Y2411">
        <v>-0.60883549999999997</v>
      </c>
      <c r="Z2411">
        <v>4.1076599999999998E-2</v>
      </c>
      <c r="AA2411">
        <v>0.7922323</v>
      </c>
      <c r="AB2411">
        <v>20</v>
      </c>
      <c r="AC2411">
        <v>-8.9000000000396505E-3</v>
      </c>
      <c r="AD2411">
        <v>-8.4950999999999693E-2</v>
      </c>
      <c r="AE2411">
        <v>-0.78109999999998003</v>
      </c>
      <c r="AF2411">
        <v>-0.55002880391322195</v>
      </c>
      <c r="AG2411">
        <v>-8.4950999999999693E-2</v>
      </c>
      <c r="AH2411">
        <v>0.54174113902663801</v>
      </c>
      <c r="AI2411">
        <v>96.279408939013294</v>
      </c>
      <c r="AJ2411">
        <v>135.434925968193</v>
      </c>
      <c r="AK2411">
        <v>0.77667999797155096</v>
      </c>
    </row>
    <row r="2412" spans="1:37" x14ac:dyDescent="0.2">
      <c r="A2412" t="str">
        <f>"20200111153656358"</f>
        <v>20200111153656358</v>
      </c>
      <c r="B2412" t="str">
        <f>"1578728216355044"</f>
        <v>1578728216355044</v>
      </c>
      <c r="C2412" t="s">
        <v>37</v>
      </c>
      <c r="D2412">
        <v>5.5785599999999897</v>
      </c>
      <c r="E2412">
        <v>0.37847419999999998</v>
      </c>
      <c r="F2412" t="s">
        <v>38</v>
      </c>
      <c r="G2412">
        <v>-482.83879999999999</v>
      </c>
      <c r="H2412">
        <v>1.0279290000000001</v>
      </c>
      <c r="I2412">
        <v>277.30079999999998</v>
      </c>
      <c r="J2412">
        <v>-482.84640000000002</v>
      </c>
      <c r="K2412">
        <v>1.110681</v>
      </c>
      <c r="L2412">
        <v>278.06810000000002</v>
      </c>
      <c r="M2412">
        <v>-0.71220930000000005</v>
      </c>
      <c r="N2412">
        <v>0</v>
      </c>
      <c r="O2412">
        <v>-0.70174729999999996</v>
      </c>
      <c r="P2412">
        <v>-0.4109411</v>
      </c>
      <c r="Q2412">
        <v>5.1690640000000003E-2</v>
      </c>
      <c r="R2412">
        <v>-0.91019559999999999</v>
      </c>
      <c r="S2412">
        <v>-0.4102478</v>
      </c>
      <c r="T2412">
        <v>-0.28835759999999899</v>
      </c>
      <c r="U2412">
        <v>-3.1384889999999999</v>
      </c>
      <c r="V2412">
        <v>-0.3608093</v>
      </c>
      <c r="W2412">
        <v>6.3220100000000001E-2</v>
      </c>
      <c r="X2412">
        <v>0.93049439999999894</v>
      </c>
      <c r="Y2412">
        <v>-0.61510909999999996</v>
      </c>
      <c r="Z2412">
        <v>4.1490649999999997E-2</v>
      </c>
      <c r="AA2412">
        <v>0.78734959999999998</v>
      </c>
      <c r="AB2412">
        <v>20</v>
      </c>
      <c r="AC2412">
        <v>7.6000000000249202E-3</v>
      </c>
      <c r="AD2412">
        <v>-8.2751999999999895E-2</v>
      </c>
      <c r="AE2412">
        <v>-0.76730000000003395</v>
      </c>
      <c r="AF2412">
        <v>-0.54555182039216799</v>
      </c>
      <c r="AG2412">
        <v>-8.2751999999999895E-2</v>
      </c>
      <c r="AH2412">
        <v>0.52699122171647705</v>
      </c>
      <c r="AI2412">
        <v>96.226187299569403</v>
      </c>
      <c r="AJ2412">
        <v>135.99141739759199</v>
      </c>
      <c r="AK2412">
        <v>0.76301666430257897</v>
      </c>
    </row>
    <row r="2413" spans="1:37" x14ac:dyDescent="0.2">
      <c r="A2413" t="str">
        <f>"20200111153656382"</f>
        <v>20200111153656382</v>
      </c>
      <c r="B2413" t="str">
        <f>"1578728216375537"</f>
        <v>1578728216375537</v>
      </c>
      <c r="C2413" t="s">
        <v>37</v>
      </c>
      <c r="D2413">
        <v>5.5813969999999999</v>
      </c>
      <c r="E2413">
        <v>0.37937019999999999</v>
      </c>
      <c r="F2413" t="s">
        <v>38</v>
      </c>
      <c r="G2413">
        <v>-482.9538</v>
      </c>
      <c r="H2413">
        <v>1.0296000000000001</v>
      </c>
      <c r="I2413">
        <v>277.17860000000002</v>
      </c>
      <c r="J2413">
        <v>-482.97680000000003</v>
      </c>
      <c r="K2413">
        <v>1.1103540000000001</v>
      </c>
      <c r="L2413">
        <v>277.92180000000002</v>
      </c>
      <c r="M2413">
        <v>-0.7043201</v>
      </c>
      <c r="N2413">
        <v>0</v>
      </c>
      <c r="O2413">
        <v>-0.70967469999999999</v>
      </c>
      <c r="P2413">
        <v>-0.40194390000000002</v>
      </c>
      <c r="Q2413">
        <v>5.253393E-2</v>
      </c>
      <c r="R2413">
        <v>-0.91415609999999903</v>
      </c>
      <c r="S2413">
        <v>-0.3789978</v>
      </c>
      <c r="T2413">
        <v>-0.28627459999999999</v>
      </c>
      <c r="U2413">
        <v>-3.1411439999999899</v>
      </c>
      <c r="V2413">
        <v>-0.35950569999999998</v>
      </c>
      <c r="W2413">
        <v>6.3959600000000005E-2</v>
      </c>
      <c r="X2413">
        <v>0.93094840000000001</v>
      </c>
      <c r="Y2413">
        <v>-0.61410339999999997</v>
      </c>
      <c r="Z2413">
        <v>4.2212680000000002E-2</v>
      </c>
      <c r="AA2413">
        <v>0.78809580000000001</v>
      </c>
      <c r="AB2413">
        <v>20</v>
      </c>
      <c r="AC2413">
        <v>2.3000000000024501E-2</v>
      </c>
      <c r="AD2413">
        <v>-8.0753999999999895E-2</v>
      </c>
      <c r="AE2413">
        <v>-0.74320000000000097</v>
      </c>
      <c r="AF2413">
        <v>-0.53355947763172795</v>
      </c>
      <c r="AG2413">
        <v>-8.0753999999999895E-2</v>
      </c>
      <c r="AH2413">
        <v>0.50534570848958604</v>
      </c>
      <c r="AI2413">
        <v>96.270854408393404</v>
      </c>
      <c r="AJ2413">
        <v>136.555611319268</v>
      </c>
      <c r="AK2413">
        <v>0.73931130775572795</v>
      </c>
    </row>
    <row r="2414" spans="1:37" x14ac:dyDescent="0.2">
      <c r="A2414" t="str">
        <f>"20200111153656404"</f>
        <v>20200111153656404</v>
      </c>
      <c r="B2414" t="str">
        <f>"1578728216395057"</f>
        <v>1578728216395057</v>
      </c>
      <c r="C2414" t="s">
        <v>37</v>
      </c>
      <c r="D2414">
        <v>5.6452739999999997</v>
      </c>
      <c r="E2414">
        <v>0.380689</v>
      </c>
      <c r="F2414" t="s">
        <v>39</v>
      </c>
      <c r="G2414">
        <v>-484.37209999999999</v>
      </c>
      <c r="H2414" s="1">
        <v>-3.5526599999999899E-6</v>
      </c>
      <c r="I2414">
        <v>265.58710000000002</v>
      </c>
      <c r="J2414">
        <v>-483.10489999999999</v>
      </c>
      <c r="K2414">
        <v>1.110214</v>
      </c>
      <c r="L2414">
        <v>277.77550000000002</v>
      </c>
      <c r="M2414">
        <v>-0.69697089999999995</v>
      </c>
      <c r="N2414">
        <v>0</v>
      </c>
      <c r="O2414">
        <v>-0.71690259999999995</v>
      </c>
      <c r="P2414">
        <v>-0.39335149999999902</v>
      </c>
      <c r="Q2414">
        <v>5.2792529999999997E-2</v>
      </c>
      <c r="R2414">
        <v>-0.9178714</v>
      </c>
      <c r="S2414">
        <v>-0.3553772</v>
      </c>
      <c r="T2414">
        <v>-0.28281089999999998</v>
      </c>
      <c r="U2414">
        <v>-3.1416930000000001</v>
      </c>
      <c r="V2414">
        <v>-0.35861029999999999</v>
      </c>
      <c r="W2414">
        <v>6.3992439999999998E-2</v>
      </c>
      <c r="X2414">
        <v>0.93129139999999999</v>
      </c>
      <c r="Y2414">
        <v>-0.61184629999999995</v>
      </c>
      <c r="Z2414">
        <v>4.270115E-2</v>
      </c>
      <c r="AA2414">
        <v>0.78982319999999995</v>
      </c>
      <c r="AB2414">
        <v>20</v>
      </c>
      <c r="AC2414">
        <v>-1.2672000000000001</v>
      </c>
      <c r="AD2414">
        <v>-1.11021755266</v>
      </c>
      <c r="AE2414">
        <v>-12.1884</v>
      </c>
      <c r="AF2414">
        <v>-7.5257978711348796</v>
      </c>
      <c r="AG2414">
        <v>-1.11021755266</v>
      </c>
      <c r="AH2414">
        <v>9.5441141138975691</v>
      </c>
      <c r="AI2414">
        <v>95.219106590825703</v>
      </c>
      <c r="AJ2414">
        <v>128.256756075608</v>
      </c>
      <c r="AK2414">
        <v>12.204930595071399</v>
      </c>
    </row>
    <row r="2415" spans="1:37" x14ac:dyDescent="0.2">
      <c r="A2415" t="str">
        <f>"20200111153656427"</f>
        <v>20200111153656427</v>
      </c>
      <c r="B2415" t="str">
        <f>"1578728216415554"</f>
        <v>1578728216415554</v>
      </c>
      <c r="C2415" t="s">
        <v>37</v>
      </c>
      <c r="D2415">
        <v>5.673851</v>
      </c>
      <c r="E2415">
        <v>0.3822702</v>
      </c>
      <c r="F2415" t="s">
        <v>39</v>
      </c>
      <c r="G2415">
        <v>-484.42419999999998</v>
      </c>
      <c r="H2415" s="1">
        <v>-3.4680789999999999E-6</v>
      </c>
      <c r="I2415">
        <v>265.41149999999999</v>
      </c>
      <c r="J2415">
        <v>-483.2269</v>
      </c>
      <c r="K2415">
        <v>1.1101529999999999</v>
      </c>
      <c r="L2415">
        <v>277.6336</v>
      </c>
      <c r="M2415">
        <v>-0.6901081</v>
      </c>
      <c r="N2415">
        <v>0</v>
      </c>
      <c r="O2415">
        <v>-0.72351880000000002</v>
      </c>
      <c r="P2415">
        <v>-0.38615079999999902</v>
      </c>
      <c r="Q2415">
        <v>5.2881360000000002E-2</v>
      </c>
      <c r="R2415">
        <v>-0.92091880000000004</v>
      </c>
      <c r="S2415">
        <v>-0.33517459999999999</v>
      </c>
      <c r="T2415">
        <v>-0.28204170000000001</v>
      </c>
      <c r="U2415">
        <v>-3.1409910000000001</v>
      </c>
      <c r="V2415">
        <v>-0.3570102</v>
      </c>
      <c r="W2415">
        <v>6.3837309999999994E-2</v>
      </c>
      <c r="X2415">
        <v>0.93191659999999898</v>
      </c>
      <c r="Y2415">
        <v>-0.60931630000000003</v>
      </c>
      <c r="Z2415">
        <v>4.3530489999999998E-2</v>
      </c>
      <c r="AA2415">
        <v>0.79173149999999903</v>
      </c>
      <c r="AB2415">
        <v>20</v>
      </c>
      <c r="AC2415">
        <v>-1.19729999999998</v>
      </c>
      <c r="AD2415">
        <v>-1.1101564680789999</v>
      </c>
      <c r="AE2415">
        <v>-12.222099999999999</v>
      </c>
      <c r="AF2415">
        <v>-7.5079729843153098</v>
      </c>
      <c r="AG2415">
        <v>-1.1101564680789999</v>
      </c>
      <c r="AH2415">
        <v>9.5921108951963099</v>
      </c>
      <c r="AI2415">
        <v>95.207431624496607</v>
      </c>
      <c r="AJ2415">
        <v>128.05113040892201</v>
      </c>
      <c r="AK2415">
        <v>12.231545165782199</v>
      </c>
    </row>
    <row r="2416" spans="1:37" x14ac:dyDescent="0.2">
      <c r="A2416" t="str">
        <f>"20200111153656449"</f>
        <v>20200111153656449</v>
      </c>
      <c r="B2416" t="str">
        <f>"1578728216445720"</f>
        <v>1578728216445720</v>
      </c>
      <c r="C2416" t="s">
        <v>37</v>
      </c>
      <c r="D2416">
        <v>5.6645339999999997</v>
      </c>
      <c r="E2416">
        <v>0.39680959999999899</v>
      </c>
      <c r="F2416" t="s">
        <v>39</v>
      </c>
      <c r="G2416">
        <v>-484.5025</v>
      </c>
      <c r="H2416" s="1">
        <v>-3.359425E-6</v>
      </c>
      <c r="I2416">
        <v>265.19060000000002</v>
      </c>
      <c r="J2416">
        <v>-483.3519</v>
      </c>
      <c r="K2416">
        <v>1.110104</v>
      </c>
      <c r="L2416">
        <v>277.48540000000003</v>
      </c>
      <c r="M2416">
        <v>-0.68305859999999996</v>
      </c>
      <c r="N2416">
        <v>0</v>
      </c>
      <c r="O2416">
        <v>-0.73018490000000003</v>
      </c>
      <c r="P2416">
        <v>-0.37943379999999999</v>
      </c>
      <c r="Q2416">
        <v>5.2961479999999998E-2</v>
      </c>
      <c r="R2416">
        <v>-0.92370209999999997</v>
      </c>
      <c r="S2416">
        <v>-0.32177729999999999</v>
      </c>
      <c r="T2416">
        <v>-0.28003729999999999</v>
      </c>
      <c r="U2416">
        <v>-3.138763</v>
      </c>
      <c r="V2416">
        <v>-0.35473860000000002</v>
      </c>
      <c r="W2416">
        <v>6.3708829999999994E-2</v>
      </c>
      <c r="X2416">
        <v>0.93279239999999997</v>
      </c>
      <c r="Y2416">
        <v>-0.60491530000000004</v>
      </c>
      <c r="Z2416">
        <v>4.4259239999999998E-2</v>
      </c>
      <c r="AA2416">
        <v>0.79505890000000001</v>
      </c>
      <c r="AB2416">
        <v>20</v>
      </c>
      <c r="AC2416">
        <v>-1.1505999999999901</v>
      </c>
      <c r="AD2416">
        <v>-1.1101073594249999</v>
      </c>
      <c r="AE2416">
        <v>-12.2948</v>
      </c>
      <c r="AF2416">
        <v>-7.4983058009212398</v>
      </c>
      <c r="AG2416">
        <v>-1.1101073594249999</v>
      </c>
      <c r="AH2416">
        <v>9.6863966503466798</v>
      </c>
      <c r="AI2416">
        <v>95.178257469689001</v>
      </c>
      <c r="AJ2416">
        <v>127.743698655589</v>
      </c>
      <c r="AK2416">
        <v>12.2997239115935</v>
      </c>
    </row>
    <row r="2417" spans="1:37" x14ac:dyDescent="0.2">
      <c r="A2417" t="str">
        <f>"20200111153656471"</f>
        <v>20200111153656471</v>
      </c>
      <c r="B2417" t="str">
        <f>"1578728216465239"</f>
        <v>1578728216465239</v>
      </c>
      <c r="C2417" t="s">
        <v>37</v>
      </c>
      <c r="D2417">
        <v>5.6497710000000003</v>
      </c>
      <c r="E2417">
        <v>0.39869199999999999</v>
      </c>
      <c r="F2417" t="s">
        <v>38</v>
      </c>
      <c r="G2417">
        <v>-483.47730000000001</v>
      </c>
      <c r="H2417">
        <v>1.0263119999999999</v>
      </c>
      <c r="I2417">
        <v>276.5274</v>
      </c>
      <c r="J2417">
        <v>-483.46960000000001</v>
      </c>
      <c r="K2417">
        <v>1.110052</v>
      </c>
      <c r="L2417">
        <v>277.3433</v>
      </c>
      <c r="M2417">
        <v>-0.67634510000000003</v>
      </c>
      <c r="N2417">
        <v>0</v>
      </c>
      <c r="O2417">
        <v>-0.73641309999999904</v>
      </c>
      <c r="P2417">
        <v>-0.37316329999999998</v>
      </c>
      <c r="Q2417">
        <v>5.3960210000000002E-2</v>
      </c>
      <c r="R2417">
        <v>-0.92619530000000005</v>
      </c>
      <c r="S2417">
        <v>-0.40515139999999999</v>
      </c>
      <c r="T2417">
        <v>-0.270843</v>
      </c>
      <c r="U2417">
        <v>-3.0968930000000001</v>
      </c>
      <c r="V2417">
        <v>-0.35247600000000001</v>
      </c>
      <c r="W2417">
        <v>6.4567269999999996E-2</v>
      </c>
      <c r="X2417">
        <v>0.93359080000000005</v>
      </c>
      <c r="Y2417">
        <v>-0.57507419999999998</v>
      </c>
      <c r="Z2417">
        <v>4.5178669999999997E-2</v>
      </c>
      <c r="AA2417">
        <v>0.81685280000000005</v>
      </c>
      <c r="AB2417">
        <v>20</v>
      </c>
      <c r="AC2417">
        <v>-7.6999999999998103E-3</v>
      </c>
      <c r="AD2417">
        <v>-8.3739999999999898E-2</v>
      </c>
      <c r="AE2417">
        <v>-0.81589999999999896</v>
      </c>
      <c r="AF2417">
        <v>-0.54053522829462497</v>
      </c>
      <c r="AG2417">
        <v>-8.3739999999999898E-2</v>
      </c>
      <c r="AH2417">
        <v>0.59980622318740995</v>
      </c>
      <c r="AI2417">
        <v>95.921066476523393</v>
      </c>
      <c r="AJ2417">
        <v>132.02464147728401</v>
      </c>
      <c r="AK2417">
        <v>0.81176241967823803</v>
      </c>
    </row>
    <row r="2418" spans="1:37" x14ac:dyDescent="0.2">
      <c r="A2418" t="str">
        <f>"20200111153656494"</f>
        <v>20200111153656494</v>
      </c>
      <c r="B2418" t="str">
        <f>"1578728216484759"</f>
        <v>1578728216484759</v>
      </c>
      <c r="C2418" t="s">
        <v>37</v>
      </c>
      <c r="D2418">
        <v>5.663278</v>
      </c>
      <c r="E2418">
        <v>0.4005126</v>
      </c>
      <c r="F2418" t="s">
        <v>38</v>
      </c>
      <c r="G2418">
        <v>-483.59109999999998</v>
      </c>
      <c r="H2418">
        <v>1.0283500000000001</v>
      </c>
      <c r="I2418">
        <v>276.40199999999999</v>
      </c>
      <c r="J2418">
        <v>-483.59500000000003</v>
      </c>
      <c r="K2418">
        <v>1.109982</v>
      </c>
      <c r="L2418">
        <v>277.1893</v>
      </c>
      <c r="M2418">
        <v>-0.66912119999999997</v>
      </c>
      <c r="N2418">
        <v>0</v>
      </c>
      <c r="O2418">
        <v>-0.74298799999999998</v>
      </c>
      <c r="P2418">
        <v>-0.36615690000000001</v>
      </c>
      <c r="Q2418">
        <v>5.5219629999999999E-2</v>
      </c>
      <c r="R2418">
        <v>-0.92891349999999995</v>
      </c>
      <c r="S2418">
        <v>-0.39813229999999999</v>
      </c>
      <c r="T2418">
        <v>-0.26843629999999902</v>
      </c>
      <c r="U2418">
        <v>-3.0943299999999998</v>
      </c>
      <c r="V2418">
        <v>-0.35035369999999999</v>
      </c>
      <c r="W2418">
        <v>6.5715910000000002E-2</v>
      </c>
      <c r="X2418">
        <v>0.93430919999999895</v>
      </c>
      <c r="Y2418">
        <v>-0.56881959999999998</v>
      </c>
      <c r="Z2418">
        <v>4.5828140000000003E-2</v>
      </c>
      <c r="AA2418">
        <v>0.82118459999999904</v>
      </c>
      <c r="AB2418">
        <v>20</v>
      </c>
      <c r="AC2418">
        <v>3.9000000000442001E-3</v>
      </c>
      <c r="AD2418">
        <v>-8.1631999999999899E-2</v>
      </c>
      <c r="AE2418">
        <v>-0.78730000000001599</v>
      </c>
      <c r="AF2418">
        <v>-0.52412720324077</v>
      </c>
      <c r="AG2418">
        <v>-8.1631999999999899E-2</v>
      </c>
      <c r="AH2418">
        <v>0.57622173313866698</v>
      </c>
      <c r="AI2418">
        <v>95.9827250177092</v>
      </c>
      <c r="AJ2418">
        <v>132.28943289459801</v>
      </c>
      <c r="AK2418">
        <v>0.78320150302608604</v>
      </c>
    </row>
    <row r="2419" spans="1:37" x14ac:dyDescent="0.2">
      <c r="A2419" t="str">
        <f>"20200111153656515"</f>
        <v>20200111153656515</v>
      </c>
      <c r="B2419" t="str">
        <f>"1578728216505255"</f>
        <v>1578728216505255</v>
      </c>
      <c r="C2419" t="s">
        <v>37</v>
      </c>
      <c r="D2419">
        <v>5.6731790000000002</v>
      </c>
      <c r="E2419">
        <v>0.40969689999999997</v>
      </c>
      <c r="F2419" t="s">
        <v>38</v>
      </c>
      <c r="G2419">
        <v>-483.709</v>
      </c>
      <c r="H2419">
        <v>1.0319320000000001</v>
      </c>
      <c r="I2419">
        <v>276.27870000000001</v>
      </c>
      <c r="J2419">
        <v>-483.71039999999999</v>
      </c>
      <c r="K2419">
        <v>1.1099110000000001</v>
      </c>
      <c r="L2419">
        <v>277.04500000000002</v>
      </c>
      <c r="M2419">
        <v>-0.66241139999999998</v>
      </c>
      <c r="N2419">
        <v>0</v>
      </c>
      <c r="O2419">
        <v>-0.74898050000000005</v>
      </c>
      <c r="P2419">
        <v>-0.35974309999999998</v>
      </c>
      <c r="Q2419">
        <v>5.6498470000000002E-2</v>
      </c>
      <c r="R2419">
        <v>-0.93133929999999998</v>
      </c>
      <c r="S2419">
        <v>-0.38781739999999998</v>
      </c>
      <c r="T2419">
        <v>-0.2651617</v>
      </c>
      <c r="U2419">
        <v>-3.0924990000000001</v>
      </c>
      <c r="V2419">
        <v>-0.34833599999999998</v>
      </c>
      <c r="W2419">
        <v>6.6912990000000006E-2</v>
      </c>
      <c r="X2419">
        <v>0.93497839999999999</v>
      </c>
      <c r="Y2419">
        <v>-0.56406020000000001</v>
      </c>
      <c r="Z2419">
        <v>4.6180260000000001E-2</v>
      </c>
      <c r="AA2419">
        <v>0.82444130000000004</v>
      </c>
      <c r="AB2419">
        <v>20</v>
      </c>
      <c r="AC2419">
        <v>1.39999999998963E-3</v>
      </c>
      <c r="AD2419">
        <v>-7.7979000000000007E-2</v>
      </c>
      <c r="AE2419">
        <v>-0.76630000000000098</v>
      </c>
      <c r="AF2419">
        <v>-0.50350148080622104</v>
      </c>
      <c r="AG2419">
        <v>-7.7979000000000007E-2</v>
      </c>
      <c r="AH2419">
        <v>0.56721141167465705</v>
      </c>
      <c r="AI2419">
        <v>95.870181078336998</v>
      </c>
      <c r="AJ2419">
        <v>131.594781574206</v>
      </c>
      <c r="AK2419">
        <v>0.76244557258142398</v>
      </c>
    </row>
    <row r="2420" spans="1:37" x14ac:dyDescent="0.2">
      <c r="A2420" t="str">
        <f>"20200111153656538"</f>
        <v>20200111153656538</v>
      </c>
      <c r="B2420" t="str">
        <f>"1578728216535511"</f>
        <v>1578728216535511</v>
      </c>
      <c r="C2420" t="s">
        <v>37</v>
      </c>
      <c r="D2420">
        <v>5.7607949999999999</v>
      </c>
      <c r="E2420">
        <v>0.41176199999999902</v>
      </c>
      <c r="F2420" t="s">
        <v>38</v>
      </c>
      <c r="G2420">
        <v>-483.83530000000002</v>
      </c>
      <c r="H2420">
        <v>1.0441479999999901</v>
      </c>
      <c r="I2420">
        <v>276.15960000000001</v>
      </c>
      <c r="J2420">
        <v>-483.82979999999998</v>
      </c>
      <c r="K2420">
        <v>1.109839</v>
      </c>
      <c r="L2420">
        <v>276.8931</v>
      </c>
      <c r="M2420">
        <v>-0.65539759999999903</v>
      </c>
      <c r="N2420">
        <v>0</v>
      </c>
      <c r="O2420">
        <v>-0.7551293</v>
      </c>
      <c r="P2420">
        <v>-0.35291289999999997</v>
      </c>
      <c r="Q2420">
        <v>5.6562109999999999E-2</v>
      </c>
      <c r="R2420">
        <v>-0.93394509999999897</v>
      </c>
      <c r="S2420">
        <v>-0.43261719999999998</v>
      </c>
      <c r="T2420">
        <v>-0.22783929999999999</v>
      </c>
      <c r="U2420">
        <v>-3.067841</v>
      </c>
      <c r="V2420">
        <v>-0.34644259999999999</v>
      </c>
      <c r="W2420">
        <v>6.6900150000000005E-2</v>
      </c>
      <c r="X2420">
        <v>0.93568259999999903</v>
      </c>
      <c r="Y2420">
        <v>-0.54358289999999998</v>
      </c>
      <c r="Z2420">
        <v>4.1201979999999999E-2</v>
      </c>
      <c r="AA2420">
        <v>0.83834359999999997</v>
      </c>
      <c r="AB2420">
        <v>19</v>
      </c>
      <c r="AC2420">
        <v>-5.5000000000404699E-3</v>
      </c>
      <c r="AD2420">
        <v>-6.5691000000000097E-2</v>
      </c>
      <c r="AE2420">
        <v>-0.73349999999999205</v>
      </c>
      <c r="AF2420">
        <v>-0.47284431046019898</v>
      </c>
      <c r="AG2420">
        <v>-6.5691000000000097E-2</v>
      </c>
      <c r="AH2420">
        <v>0.55312102939070795</v>
      </c>
      <c r="AI2420">
        <v>95.158338381599293</v>
      </c>
      <c r="AJ2420">
        <v>130.52600383780299</v>
      </c>
      <c r="AK2420">
        <v>0.73064349895815595</v>
      </c>
    </row>
    <row r="2421" spans="1:37" x14ac:dyDescent="0.2">
      <c r="A2421" t="str">
        <f>"20200111153656560"</f>
        <v>20200111153656560</v>
      </c>
      <c r="B2421" t="str">
        <f>"1578728216555032"</f>
        <v>1578728216555032</v>
      </c>
      <c r="C2421" t="s">
        <v>37</v>
      </c>
      <c r="D2421">
        <v>5.786238</v>
      </c>
      <c r="E2421">
        <v>0.41373880000000002</v>
      </c>
      <c r="F2421" t="s">
        <v>38</v>
      </c>
      <c r="G2421">
        <v>-483.94929999999999</v>
      </c>
      <c r="H2421">
        <v>1.0416540000000001</v>
      </c>
      <c r="I2421">
        <v>276.03339999999997</v>
      </c>
      <c r="J2421">
        <v>-483.94540000000001</v>
      </c>
      <c r="K2421">
        <v>1.1097870000000001</v>
      </c>
      <c r="L2421">
        <v>276.74329999999998</v>
      </c>
      <c r="M2421">
        <v>-0.64851440000000005</v>
      </c>
      <c r="N2421">
        <v>0</v>
      </c>
      <c r="O2421">
        <v>-0.76105239999999996</v>
      </c>
      <c r="P2421">
        <v>-0.3459064</v>
      </c>
      <c r="Q2421">
        <v>5.7273339999999999E-2</v>
      </c>
      <c r="R2421">
        <v>-0.93651989999999996</v>
      </c>
      <c r="S2421">
        <v>-0.4260254</v>
      </c>
      <c r="T2421">
        <v>-0.24315229999999899</v>
      </c>
      <c r="U2421">
        <v>-3.0659480000000001</v>
      </c>
      <c r="V2421">
        <v>-0.34492040000000002</v>
      </c>
      <c r="W2421">
        <v>6.7542420000000006E-2</v>
      </c>
      <c r="X2421">
        <v>0.93619869999999905</v>
      </c>
      <c r="Y2421">
        <v>-0.53765309999999999</v>
      </c>
      <c r="Z2421">
        <v>4.4814359999999998E-2</v>
      </c>
      <c r="AA2421">
        <v>0.84197440000000001</v>
      </c>
      <c r="AB2421">
        <v>19</v>
      </c>
      <c r="AC2421">
        <v>-3.8999999999873498E-3</v>
      </c>
      <c r="AD2421">
        <v>-6.8132999999999999E-2</v>
      </c>
      <c r="AE2421">
        <v>-0.70990000000000397</v>
      </c>
      <c r="AF2421">
        <v>-0.45328924003514798</v>
      </c>
      <c r="AG2421">
        <v>-6.8132999999999999E-2</v>
      </c>
      <c r="AH2421">
        <v>0.537907605050163</v>
      </c>
      <c r="AI2421">
        <v>95.532300705882193</v>
      </c>
      <c r="AJ2421">
        <v>130.12049666033499</v>
      </c>
      <c r="AK2421">
        <v>0.70672330681211004</v>
      </c>
    </row>
    <row r="2422" spans="1:37" x14ac:dyDescent="0.2">
      <c r="A2422" t="str">
        <f>"20200111153656584"</f>
        <v>20200111153656584</v>
      </c>
      <c r="B2422" t="str">
        <f>"1578728216575527"</f>
        <v>1578728216575527</v>
      </c>
      <c r="C2422" t="s">
        <v>37</v>
      </c>
      <c r="D2422">
        <v>5.7972570000000001</v>
      </c>
      <c r="E2422">
        <v>0.41585729999999999</v>
      </c>
      <c r="F2422" t="s">
        <v>38</v>
      </c>
      <c r="G2422">
        <v>-484.08370000000002</v>
      </c>
      <c r="H2422">
        <v>1.0261100000000001</v>
      </c>
      <c r="I2422">
        <v>275.73039999999997</v>
      </c>
      <c r="J2422">
        <v>-484.0675</v>
      </c>
      <c r="K2422">
        <v>1.1097440000000001</v>
      </c>
      <c r="L2422">
        <v>276.58199999999999</v>
      </c>
      <c r="M2422">
        <v>-0.64112590000000003</v>
      </c>
      <c r="N2422">
        <v>0</v>
      </c>
      <c r="O2422">
        <v>-0.76728969999999996</v>
      </c>
      <c r="P2422">
        <v>-0.33892870000000003</v>
      </c>
      <c r="Q2422">
        <v>5.737896E-2</v>
      </c>
      <c r="R2422">
        <v>-0.93906100000000003</v>
      </c>
      <c r="S2422">
        <v>-0.4183655</v>
      </c>
      <c r="T2422">
        <v>-0.25313219999999997</v>
      </c>
      <c r="U2422">
        <v>-3.0643009999999999</v>
      </c>
      <c r="V2422">
        <v>-0.34281719999999999</v>
      </c>
      <c r="W2422">
        <v>6.7592860000000005E-2</v>
      </c>
      <c r="X2422">
        <v>0.93696729999999995</v>
      </c>
      <c r="Y2422">
        <v>-0.53150220000000004</v>
      </c>
      <c r="Z2422">
        <v>4.757459E-2</v>
      </c>
      <c r="AA2422">
        <v>0.84571989999999997</v>
      </c>
      <c r="AB2422">
        <v>19</v>
      </c>
      <c r="AC2422">
        <v>-1.62000000000261E-2</v>
      </c>
      <c r="AD2422">
        <v>-8.3633999999999903E-2</v>
      </c>
      <c r="AE2422">
        <v>-0.85160000000001901</v>
      </c>
      <c r="AF2422">
        <v>-0.52851690699668297</v>
      </c>
      <c r="AG2422">
        <v>-8.3633999999999903E-2</v>
      </c>
      <c r="AH2422">
        <v>0.65754492665119602</v>
      </c>
      <c r="AI2422">
        <v>95.661632285878994</v>
      </c>
      <c r="AJ2422">
        <v>128.79138366978901</v>
      </c>
      <c r="AK2422">
        <v>0.84775591858863897</v>
      </c>
    </row>
    <row r="2423" spans="1:37" x14ac:dyDescent="0.2">
      <c r="A2423" t="str">
        <f>"20200111153656605"</f>
        <v>20200111153656605</v>
      </c>
      <c r="B2423" t="str">
        <f>"1578728216595046"</f>
        <v>1578728216595046</v>
      </c>
      <c r="C2423" t="s">
        <v>37</v>
      </c>
      <c r="D2423">
        <v>5.776135</v>
      </c>
      <c r="E2423">
        <v>0.42789929999999898</v>
      </c>
      <c r="F2423" t="s">
        <v>38</v>
      </c>
      <c r="G2423">
        <v>-484.19900000000001</v>
      </c>
      <c r="H2423">
        <v>1.027852</v>
      </c>
      <c r="I2423">
        <v>275.60480000000001</v>
      </c>
      <c r="J2423">
        <v>-484.17829999999998</v>
      </c>
      <c r="K2423">
        <v>1.1097189999999999</v>
      </c>
      <c r="L2423">
        <v>276.43299999999999</v>
      </c>
      <c r="M2423">
        <v>-0.63430580000000003</v>
      </c>
      <c r="N2423">
        <v>0</v>
      </c>
      <c r="O2423">
        <v>-0.77293940000000005</v>
      </c>
      <c r="P2423">
        <v>-0.33249129999999999</v>
      </c>
      <c r="Q2423">
        <v>5.682893E-2</v>
      </c>
      <c r="R2423">
        <v>-0.94139300000000004</v>
      </c>
      <c r="S2423">
        <v>-0.41165159999999901</v>
      </c>
      <c r="T2423">
        <v>-0.25656590000000001</v>
      </c>
      <c r="U2423">
        <v>-3.0618289999999999</v>
      </c>
      <c r="V2423">
        <v>-0.34093950000000001</v>
      </c>
      <c r="W2423">
        <v>6.6992910000000003E-2</v>
      </c>
      <c r="X2423">
        <v>0.937695099999999</v>
      </c>
      <c r="Y2423">
        <v>-0.52572980000000002</v>
      </c>
      <c r="Z2423">
        <v>4.9091030000000001E-2</v>
      </c>
      <c r="AA2423">
        <v>0.84923389999999999</v>
      </c>
      <c r="AB2423">
        <v>19</v>
      </c>
      <c r="AC2423">
        <v>-2.07000000000334E-2</v>
      </c>
      <c r="AD2423">
        <v>-8.1867000000000106E-2</v>
      </c>
      <c r="AE2423">
        <v>-0.82819999999998095</v>
      </c>
      <c r="AF2423">
        <v>-0.50446234842582605</v>
      </c>
      <c r="AG2423">
        <v>-8.1867000000000106E-2</v>
      </c>
      <c r="AH2423">
        <v>0.64703236003156295</v>
      </c>
      <c r="AI2423">
        <v>95.698306697214406</v>
      </c>
      <c r="AJ2423">
        <v>127.941957320028</v>
      </c>
      <c r="AK2423">
        <v>0.82452128025680105</v>
      </c>
    </row>
    <row r="2424" spans="1:37" x14ac:dyDescent="0.2">
      <c r="A2424" t="str">
        <f>"20200111153656628"</f>
        <v>20200111153656628</v>
      </c>
      <c r="B2424" t="str">
        <f>"1578728216625304"</f>
        <v>1578728216625304</v>
      </c>
      <c r="C2424" t="s">
        <v>37</v>
      </c>
      <c r="D2424">
        <v>5.7735969999999996</v>
      </c>
      <c r="E2424">
        <v>0.42817699999999997</v>
      </c>
      <c r="F2424" t="s">
        <v>38</v>
      </c>
      <c r="G2424">
        <v>-484.32859999999999</v>
      </c>
      <c r="H2424">
        <v>1.0250790000000001</v>
      </c>
      <c r="I2424">
        <v>275.4862</v>
      </c>
      <c r="J2424">
        <v>-484.28789999999998</v>
      </c>
      <c r="K2424">
        <v>1.1097059999999901</v>
      </c>
      <c r="L2424">
        <v>276.28300000000002</v>
      </c>
      <c r="M2424">
        <v>-0.62746210000000002</v>
      </c>
      <c r="N2424">
        <v>0</v>
      </c>
      <c r="O2424">
        <v>-0.77850710000000001</v>
      </c>
      <c r="P2424">
        <v>-0.3261116</v>
      </c>
      <c r="Q2424">
        <v>5.6072860000000002E-2</v>
      </c>
      <c r="R2424">
        <v>-0.94366669999999997</v>
      </c>
      <c r="S2424">
        <v>-0.48156739999999998</v>
      </c>
      <c r="T2424">
        <v>-0.2712039</v>
      </c>
      <c r="U2424">
        <v>-3.0330509999999999</v>
      </c>
      <c r="V2424">
        <v>-0.33902719999999997</v>
      </c>
      <c r="W2424">
        <v>6.6187430000000005E-2</v>
      </c>
      <c r="X2424">
        <v>0.93844539999999999</v>
      </c>
      <c r="Y2424">
        <v>-0.497776</v>
      </c>
      <c r="Z2424">
        <v>5.3809349999999999E-2</v>
      </c>
      <c r="AA2424">
        <v>0.86563480000000004</v>
      </c>
      <c r="AB2424">
        <v>19</v>
      </c>
      <c r="AC2424">
        <v>-4.0700000000015203E-2</v>
      </c>
      <c r="AD2424">
        <v>-8.4626999999999702E-2</v>
      </c>
      <c r="AE2424">
        <v>-0.79680000000001805</v>
      </c>
      <c r="AF2424">
        <v>-0.46311712625420798</v>
      </c>
      <c r="AG2424">
        <v>-8.4626999999999702E-2</v>
      </c>
      <c r="AH2424">
        <v>0.63873621401978797</v>
      </c>
      <c r="AI2424">
        <v>96.122347999358993</v>
      </c>
      <c r="AJ2424">
        <v>125.94407393418101</v>
      </c>
      <c r="AK2424">
        <v>0.79348796642374397</v>
      </c>
    </row>
    <row r="2425" spans="1:37" x14ac:dyDescent="0.2">
      <c r="A2425" t="str">
        <f>"20200111153656649"</f>
        <v>20200111153656649</v>
      </c>
      <c r="B2425" t="str">
        <f>"1578728216644825"</f>
        <v>1578728216644825</v>
      </c>
      <c r="C2425" t="s">
        <v>37</v>
      </c>
      <c r="D2425">
        <v>5.7519839999999904</v>
      </c>
      <c r="E2425">
        <v>0.42844599999999999</v>
      </c>
      <c r="F2425" t="s">
        <v>38</v>
      </c>
      <c r="G2425">
        <v>-484.43009999999998</v>
      </c>
      <c r="H2425">
        <v>1.0240610000000001</v>
      </c>
      <c r="I2425">
        <v>275.3528</v>
      </c>
      <c r="J2425">
        <v>-484.39499999999998</v>
      </c>
      <c r="K2425">
        <v>1.1096919999999999</v>
      </c>
      <c r="L2425">
        <v>276.13369999999998</v>
      </c>
      <c r="M2425">
        <v>-0.62067629999999996</v>
      </c>
      <c r="N2425">
        <v>0</v>
      </c>
      <c r="O2425">
        <v>-0.78392930000000005</v>
      </c>
      <c r="P2425">
        <v>-0.31952179999999902</v>
      </c>
      <c r="Q2425">
        <v>5.5563389999999997E-2</v>
      </c>
      <c r="R2425">
        <v>-0.94594840000000002</v>
      </c>
      <c r="S2425">
        <v>-0.46304319999999999</v>
      </c>
      <c r="T2425">
        <v>-0.27941240000000001</v>
      </c>
      <c r="U2425">
        <v>-3.0356749999999999</v>
      </c>
      <c r="V2425">
        <v>-0.33742909999999998</v>
      </c>
      <c r="W2425">
        <v>6.5630259999999996E-2</v>
      </c>
      <c r="X2425">
        <v>0.93906029999999996</v>
      </c>
      <c r="Y2425">
        <v>-0.49552879999999899</v>
      </c>
      <c r="Z2425">
        <v>5.6164150000000003E-2</v>
      </c>
      <c r="AA2425">
        <v>0.86677380000000004</v>
      </c>
      <c r="AB2425">
        <v>19</v>
      </c>
      <c r="AC2425">
        <v>-3.5099999999999902E-2</v>
      </c>
      <c r="AD2425">
        <v>-8.5630999999999693E-2</v>
      </c>
      <c r="AE2425">
        <v>-0.78089999999997395</v>
      </c>
      <c r="AF2425">
        <v>-0.45179779615875498</v>
      </c>
      <c r="AG2425">
        <v>-8.5630999999999693E-2</v>
      </c>
      <c r="AH2425">
        <v>0.62650623129252803</v>
      </c>
      <c r="AI2425">
        <v>96.326024320653104</v>
      </c>
      <c r="AJ2425">
        <v>125.796826523034</v>
      </c>
      <c r="AK2425">
        <v>0.77715119161156498</v>
      </c>
    </row>
    <row r="2426" spans="1:37" x14ac:dyDescent="0.2">
      <c r="A2426" t="str">
        <f>"20200111153656672"</f>
        <v>20200111153656672</v>
      </c>
      <c r="B2426" t="str">
        <f>"1578728216665321"</f>
        <v>1578728216665321</v>
      </c>
      <c r="C2426" t="s">
        <v>37</v>
      </c>
      <c r="D2426">
        <v>5.7878590000000001</v>
      </c>
      <c r="E2426">
        <v>0.4283863</v>
      </c>
      <c r="F2426" t="s">
        <v>38</v>
      </c>
      <c r="G2426">
        <v>-484.52910000000003</v>
      </c>
      <c r="H2426">
        <v>1.023452</v>
      </c>
      <c r="I2426">
        <v>275.21800000000002</v>
      </c>
      <c r="J2426">
        <v>-484.5068</v>
      </c>
      <c r="K2426">
        <v>1.1096699999999999</v>
      </c>
      <c r="L2426">
        <v>275.97500000000002</v>
      </c>
      <c r="M2426">
        <v>-0.61350019999999905</v>
      </c>
      <c r="N2426">
        <v>0</v>
      </c>
      <c r="O2426">
        <v>-0.78955969999999998</v>
      </c>
      <c r="P2426">
        <v>-0.31244549999999999</v>
      </c>
      <c r="Q2426">
        <v>5.4550580000000001E-2</v>
      </c>
      <c r="R2426">
        <v>-0.94836830000000005</v>
      </c>
      <c r="S2426">
        <v>-0.444671599999999</v>
      </c>
      <c r="T2426">
        <v>-0.28613</v>
      </c>
      <c r="U2426">
        <v>-3.0380250000000002</v>
      </c>
      <c r="V2426">
        <v>-0.3358989</v>
      </c>
      <c r="W2426">
        <v>6.4577250000000003E-2</v>
      </c>
      <c r="X2426">
        <v>0.93968169999999995</v>
      </c>
      <c r="Y2426">
        <v>-0.49284549999999999</v>
      </c>
      <c r="Z2426">
        <v>5.830432E-2</v>
      </c>
      <c r="AA2426">
        <v>0.86816119999999997</v>
      </c>
      <c r="AB2426">
        <v>19</v>
      </c>
      <c r="AC2426">
        <v>-2.2300000000029699E-2</v>
      </c>
      <c r="AD2426">
        <v>-8.62180000000001E-2</v>
      </c>
      <c r="AE2426">
        <v>-0.757000000000005</v>
      </c>
      <c r="AF2426">
        <v>-0.44114255721857198</v>
      </c>
      <c r="AG2426">
        <v>-8.62180000000001E-2</v>
      </c>
      <c r="AH2426">
        <v>0.60361955171622095</v>
      </c>
      <c r="AI2426">
        <v>96.578315946374403</v>
      </c>
      <c r="AJ2426">
        <v>126.160410570724</v>
      </c>
      <c r="AK2426">
        <v>0.75259342445136501</v>
      </c>
    </row>
    <row r="2427" spans="1:37" x14ac:dyDescent="0.2">
      <c r="A2427" t="str">
        <f>"20200111153656694"</f>
        <v>20200111153656694</v>
      </c>
      <c r="B2427" t="str">
        <f>"1578728216684841"</f>
        <v>1578728216684841</v>
      </c>
      <c r="C2427" t="s">
        <v>37</v>
      </c>
      <c r="D2427">
        <v>5.7516559999999997</v>
      </c>
      <c r="E2427">
        <v>0.4286278</v>
      </c>
      <c r="F2427" t="s">
        <v>38</v>
      </c>
      <c r="G2427">
        <v>-484.63060000000002</v>
      </c>
      <c r="H2427">
        <v>1.0234510000000001</v>
      </c>
      <c r="I2427">
        <v>275.08440000000002</v>
      </c>
      <c r="J2427">
        <v>-484.61279999999999</v>
      </c>
      <c r="K2427">
        <v>1.109639</v>
      </c>
      <c r="L2427">
        <v>275.8218</v>
      </c>
      <c r="M2427">
        <v>-0.60660539999999996</v>
      </c>
      <c r="N2427">
        <v>0</v>
      </c>
      <c r="O2427">
        <v>-0.79487030000000003</v>
      </c>
      <c r="P2427">
        <v>-0.30479129999999999</v>
      </c>
      <c r="Q2427">
        <v>5.4128059999999999E-2</v>
      </c>
      <c r="R2427">
        <v>-0.95087980000000005</v>
      </c>
      <c r="S2427">
        <v>-0.42156979999999999</v>
      </c>
      <c r="T2427">
        <v>-0.29430990000000001</v>
      </c>
      <c r="U2427">
        <v>-3.0413509999999899</v>
      </c>
      <c r="V2427">
        <v>-0.33529929999999902</v>
      </c>
      <c r="W2427">
        <v>6.4118540000000002E-2</v>
      </c>
      <c r="X2427">
        <v>0.93992719999999896</v>
      </c>
      <c r="Y2427">
        <v>-0.49188519999999902</v>
      </c>
      <c r="Z2427">
        <v>6.067123E-2</v>
      </c>
      <c r="AA2427">
        <v>0.86854359999999997</v>
      </c>
      <c r="AB2427">
        <v>19</v>
      </c>
      <c r="AC2427">
        <v>-1.7800000000022399E-2</v>
      </c>
      <c r="AD2427">
        <v>-8.6187999999999904E-2</v>
      </c>
      <c r="AE2427">
        <v>-0.73739999999997896</v>
      </c>
      <c r="AF2427">
        <v>-0.427372851284539</v>
      </c>
      <c r="AG2427">
        <v>-8.6187999999999904E-2</v>
      </c>
      <c r="AH2427">
        <v>0.58895680696387598</v>
      </c>
      <c r="AI2427">
        <v>96.754770580074705</v>
      </c>
      <c r="AJ2427">
        <v>125.966282512693</v>
      </c>
      <c r="AK2427">
        <v>0.73276602393135104</v>
      </c>
    </row>
    <row r="2428" spans="1:37" x14ac:dyDescent="0.2">
      <c r="A2428" t="str">
        <f>"20200111153656716"</f>
        <v>20200111153656716</v>
      </c>
      <c r="B2428" t="str">
        <f>"1578728216705337"</f>
        <v>1578728216705337</v>
      </c>
      <c r="C2428" t="s">
        <v>37</v>
      </c>
      <c r="D2428">
        <v>5.7851610000000004</v>
      </c>
      <c r="E2428">
        <v>0.42904779999999998</v>
      </c>
      <c r="F2428" t="s">
        <v>38</v>
      </c>
      <c r="G2428">
        <v>-484.72739999999999</v>
      </c>
      <c r="H2428">
        <v>1.0241629999999999</v>
      </c>
      <c r="I2428">
        <v>274.94830000000002</v>
      </c>
      <c r="J2428">
        <v>-484.71429999999998</v>
      </c>
      <c r="K2428">
        <v>1.10959599999999</v>
      </c>
      <c r="L2428">
        <v>275.67250000000001</v>
      </c>
      <c r="M2428">
        <v>-0.59992369999999995</v>
      </c>
      <c r="N2428">
        <v>0</v>
      </c>
      <c r="O2428">
        <v>-0.79992619999999903</v>
      </c>
      <c r="P2428">
        <v>-0.298452</v>
      </c>
      <c r="Q2428">
        <v>5.4009550000000003E-2</v>
      </c>
      <c r="R2428">
        <v>-0.95289550000000001</v>
      </c>
      <c r="S2428">
        <v>-0.39904790000000001</v>
      </c>
      <c r="T2428">
        <v>-0.29787559999999902</v>
      </c>
      <c r="U2428">
        <v>-3.0440669999999899</v>
      </c>
      <c r="V2428">
        <v>-0.33367669999999999</v>
      </c>
      <c r="W2428">
        <v>6.3998150000000004E-2</v>
      </c>
      <c r="X2428">
        <v>0.94051269999999998</v>
      </c>
      <c r="Y2428">
        <v>-0.49101590000000001</v>
      </c>
      <c r="Z2428">
        <v>6.2094829999999997E-2</v>
      </c>
      <c r="AA2428">
        <v>0.86893480000000001</v>
      </c>
      <c r="AB2428">
        <v>19</v>
      </c>
      <c r="AC2428">
        <v>-1.3100000000008501E-2</v>
      </c>
      <c r="AD2428">
        <v>-8.5432999999999801E-2</v>
      </c>
      <c r="AE2428">
        <v>-0.72419999999999596</v>
      </c>
      <c r="AF2428">
        <v>-0.41821195722479698</v>
      </c>
      <c r="AG2428">
        <v>-8.5432999999999801E-2</v>
      </c>
      <c r="AH2428">
        <v>0.57916965074431903</v>
      </c>
      <c r="AI2428">
        <v>96.819638272783394</v>
      </c>
      <c r="AJ2428">
        <v>125.832631188517</v>
      </c>
      <c r="AK2428">
        <v>0.71947030723866101</v>
      </c>
    </row>
    <row r="2429" spans="1:37" x14ac:dyDescent="0.2">
      <c r="A2429" t="str">
        <f>"20200111153656728"</f>
        <v>20200111153656728</v>
      </c>
      <c r="B2429" t="str">
        <f>"1578728216724855"</f>
        <v>1578728216724855</v>
      </c>
      <c r="C2429" t="s">
        <v>37</v>
      </c>
      <c r="D2429">
        <v>5.7542919999999897</v>
      </c>
      <c r="E2429">
        <v>0.42949379999999998</v>
      </c>
      <c r="F2429" t="s">
        <v>38</v>
      </c>
      <c r="G2429">
        <v>-484.82240000000002</v>
      </c>
      <c r="H2429">
        <v>1.024742</v>
      </c>
      <c r="I2429">
        <v>274.81130000000002</v>
      </c>
      <c r="J2429">
        <v>-484.77170000000001</v>
      </c>
      <c r="K2429">
        <v>1.1095709999999901</v>
      </c>
      <c r="L2429">
        <v>275.58670000000001</v>
      </c>
      <c r="M2429">
        <v>-0.59610269999999899</v>
      </c>
      <c r="N2429">
        <v>0</v>
      </c>
      <c r="O2429">
        <v>-0.8027784</v>
      </c>
      <c r="P2429">
        <v>-0.29478789999999999</v>
      </c>
      <c r="Q2429">
        <v>5.4037490000000001E-2</v>
      </c>
      <c r="R2429">
        <v>-0.95403379999999904</v>
      </c>
      <c r="S2429">
        <v>-0.38165279999999902</v>
      </c>
      <c r="T2429">
        <v>-0.30001259999999902</v>
      </c>
      <c r="U2429">
        <v>-3.045776</v>
      </c>
      <c r="V2429">
        <v>-0.33280009999999999</v>
      </c>
      <c r="W2429">
        <v>6.4030980000000001E-2</v>
      </c>
      <c r="X2429">
        <v>0.94082099999999902</v>
      </c>
      <c r="Y2429">
        <v>-0.49181079999999999</v>
      </c>
      <c r="Z2429">
        <v>6.2893279999999996E-2</v>
      </c>
      <c r="AA2429">
        <v>0.86842759999999997</v>
      </c>
      <c r="AB2429">
        <v>19</v>
      </c>
      <c r="AC2429">
        <v>-5.0700000000006101E-2</v>
      </c>
      <c r="AD2429">
        <v>-8.4828999999999793E-2</v>
      </c>
      <c r="AE2429">
        <v>-0.77539999999998999</v>
      </c>
      <c r="AF2429">
        <v>-0.416596322910114</v>
      </c>
      <c r="AG2429">
        <v>-8.4828999999999793E-2</v>
      </c>
      <c r="AH2429">
        <v>0.64507711188332795</v>
      </c>
      <c r="AI2429">
        <v>96.303802081785605</v>
      </c>
      <c r="AJ2429">
        <v>122.854720448957</v>
      </c>
      <c r="AK2429">
        <v>0.77257552108448602</v>
      </c>
    </row>
    <row r="2430" spans="1:37" x14ac:dyDescent="0.2">
      <c r="A2430" t="str">
        <f>"20200111153656741"</f>
        <v>20200111153656741</v>
      </c>
      <c r="B2430" t="str">
        <f>"1578728216735593"</f>
        <v>1578728216735593</v>
      </c>
      <c r="C2430" t="s">
        <v>37</v>
      </c>
      <c r="D2430">
        <v>5.773879</v>
      </c>
      <c r="E2430">
        <v>0.4296198</v>
      </c>
      <c r="F2430" t="s">
        <v>38</v>
      </c>
      <c r="G2430">
        <v>-484.88560000000001</v>
      </c>
      <c r="H2430">
        <v>1.018275</v>
      </c>
      <c r="I2430">
        <v>274.65989999999999</v>
      </c>
      <c r="J2430">
        <v>-484.83420000000001</v>
      </c>
      <c r="K2430">
        <v>1.10954</v>
      </c>
      <c r="L2430">
        <v>275.49259999999998</v>
      </c>
      <c r="M2430">
        <v>-0.59192369999999905</v>
      </c>
      <c r="N2430">
        <v>0</v>
      </c>
      <c r="O2430">
        <v>-0.80586530000000001</v>
      </c>
      <c r="P2430">
        <v>-0.2906301</v>
      </c>
      <c r="Q2430">
        <v>5.4275160000000003E-2</v>
      </c>
      <c r="R2430">
        <v>-0.95529519999999901</v>
      </c>
      <c r="S2430">
        <v>-0.3734131</v>
      </c>
      <c r="T2430">
        <v>-0.29998979999999997</v>
      </c>
      <c r="U2430">
        <v>-3.0461429999999998</v>
      </c>
      <c r="V2430">
        <v>-0.33199800000000002</v>
      </c>
      <c r="W2430">
        <v>6.4274150000000002E-2</v>
      </c>
      <c r="X2430">
        <v>0.94108780000000003</v>
      </c>
      <c r="Y2430">
        <v>-0.48961850000000001</v>
      </c>
      <c r="Z2430">
        <v>6.3385899999999995E-2</v>
      </c>
      <c r="AA2430">
        <v>0.86962980000000001</v>
      </c>
      <c r="AB2430">
        <v>19</v>
      </c>
      <c r="AC2430">
        <v>-5.1400000000000903E-2</v>
      </c>
      <c r="AD2430">
        <v>-9.1264999999999902E-2</v>
      </c>
      <c r="AE2430">
        <v>-0.83269999999998801</v>
      </c>
      <c r="AF2430">
        <v>-0.44618084689424897</v>
      </c>
      <c r="AG2430">
        <v>-9.1264999999999902E-2</v>
      </c>
      <c r="AH2430">
        <v>0.69324571904957599</v>
      </c>
      <c r="AI2430">
        <v>96.317046424604897</v>
      </c>
      <c r="AJ2430">
        <v>122.765794383775</v>
      </c>
      <c r="AK2430">
        <v>0.829455408892385</v>
      </c>
    </row>
    <row r="2431" spans="1:37" x14ac:dyDescent="0.2">
      <c r="A2431" t="str">
        <f>"20200111153656753"</f>
        <v>20200111153656753</v>
      </c>
      <c r="B2431" t="str">
        <f>"1578728216745351"</f>
        <v>1578728216745351</v>
      </c>
      <c r="C2431" t="s">
        <v>37</v>
      </c>
      <c r="D2431">
        <v>5.7398210000000001</v>
      </c>
      <c r="E2431">
        <v>0.42988359999999898</v>
      </c>
      <c r="F2431" t="s">
        <v>38</v>
      </c>
      <c r="G2431">
        <v>-484.95069999999998</v>
      </c>
      <c r="H2431">
        <v>1.0127170000000001</v>
      </c>
      <c r="I2431">
        <v>274.50979999999998</v>
      </c>
      <c r="J2431">
        <v>-484.892</v>
      </c>
      <c r="K2431">
        <v>1.1095079999999999</v>
      </c>
      <c r="L2431">
        <v>275.40449999999998</v>
      </c>
      <c r="M2431">
        <v>-0.58803799999999995</v>
      </c>
      <c r="N2431">
        <v>0</v>
      </c>
      <c r="O2431">
        <v>-0.80870559999999903</v>
      </c>
      <c r="P2431">
        <v>-0.28678169999999997</v>
      </c>
      <c r="Q2431">
        <v>5.4809990000000003E-2</v>
      </c>
      <c r="R2431">
        <v>-0.95642719999999903</v>
      </c>
      <c r="S2431">
        <v>-0.36105349999999897</v>
      </c>
      <c r="T2431">
        <v>-0.30019079999999998</v>
      </c>
      <c r="U2431">
        <v>-3.0475460000000001</v>
      </c>
      <c r="V2431">
        <v>-0.33123900000000001</v>
      </c>
      <c r="W2431">
        <v>6.4818039999999993E-2</v>
      </c>
      <c r="X2431">
        <v>0.94131790000000004</v>
      </c>
      <c r="Y2431">
        <v>-0.48895070000000002</v>
      </c>
      <c r="Z2431">
        <v>6.3828129999999997E-2</v>
      </c>
      <c r="AA2431">
        <v>0.86997309999999906</v>
      </c>
      <c r="AB2431">
        <v>19</v>
      </c>
      <c r="AC2431">
        <v>-5.8699999999987498E-2</v>
      </c>
      <c r="AD2431">
        <v>-9.6790999999999794E-2</v>
      </c>
      <c r="AE2431">
        <v>-0.89470000000000005</v>
      </c>
      <c r="AF2431">
        <v>-0.47318188294742303</v>
      </c>
      <c r="AG2431">
        <v>-9.6790999999999794E-2</v>
      </c>
      <c r="AH2431">
        <v>0.74941190058527396</v>
      </c>
      <c r="AI2431">
        <v>96.232488731366303</v>
      </c>
      <c r="AJ2431">
        <v>122.26848980747</v>
      </c>
      <c r="AK2431">
        <v>0.89156479785234999</v>
      </c>
    </row>
    <row r="2432" spans="1:37" x14ac:dyDescent="0.2">
      <c r="A2432" t="str">
        <f>"20200111153656767"</f>
        <v>20200111153656767</v>
      </c>
      <c r="B2432" t="str">
        <f>"1578728216755111"</f>
        <v>1578728216755111</v>
      </c>
      <c r="C2432" t="s">
        <v>37</v>
      </c>
      <c r="D2432">
        <v>5.7620110000000002</v>
      </c>
      <c r="E2432">
        <v>0.43013639999999997</v>
      </c>
      <c r="F2432" t="s">
        <v>38</v>
      </c>
      <c r="G2432">
        <v>-484.99299999999999</v>
      </c>
      <c r="H2432">
        <v>1.0237799999999999</v>
      </c>
      <c r="I2432">
        <v>274.5283</v>
      </c>
      <c r="J2432">
        <v>-484.9529</v>
      </c>
      <c r="K2432">
        <v>1.1094709999999901</v>
      </c>
      <c r="L2432">
        <v>275.3107</v>
      </c>
      <c r="M2432">
        <v>-0.58391990000000005</v>
      </c>
      <c r="N2432">
        <v>0</v>
      </c>
      <c r="O2432">
        <v>-0.81168459999999998</v>
      </c>
      <c r="P2432">
        <v>-0.28288849999999999</v>
      </c>
      <c r="Q2432">
        <v>5.4771489999999999E-2</v>
      </c>
      <c r="R2432">
        <v>-0.95758759999999998</v>
      </c>
      <c r="S2432">
        <v>-0.35101320000000003</v>
      </c>
      <c r="T2432">
        <v>-0.29824529999999999</v>
      </c>
      <c r="U2432">
        <v>-3.0485530000000001</v>
      </c>
      <c r="V2432">
        <v>-0.3302775</v>
      </c>
      <c r="W2432">
        <v>6.4793770000000001E-2</v>
      </c>
      <c r="X2432">
        <v>0.94165739999999998</v>
      </c>
      <c r="Y2432">
        <v>-0.4873808</v>
      </c>
      <c r="Z2432">
        <v>6.3867179999999996E-2</v>
      </c>
      <c r="AA2432">
        <v>0.87085069999999998</v>
      </c>
      <c r="AB2432">
        <v>19</v>
      </c>
      <c r="AC2432">
        <v>-4.0100000000052198E-2</v>
      </c>
      <c r="AD2432">
        <v>-8.5690999999999906E-2</v>
      </c>
      <c r="AE2432">
        <v>-0.78239999999999499</v>
      </c>
      <c r="AF2432">
        <v>-0.41933710138272301</v>
      </c>
      <c r="AG2432">
        <v>-8.5690999999999906E-2</v>
      </c>
      <c r="AH2432">
        <v>0.65075930999304599</v>
      </c>
      <c r="AI2432">
        <v>96.316261059319103</v>
      </c>
      <c r="AJ2432">
        <v>122.796973139399</v>
      </c>
      <c r="AK2432">
        <v>0.77889295260625502</v>
      </c>
    </row>
    <row r="2433" spans="1:37" x14ac:dyDescent="0.2">
      <c r="A2433" t="str">
        <f>"20200111153656784"</f>
        <v>20200111153656784</v>
      </c>
      <c r="B2433" t="str">
        <f>"1578728216775607"</f>
        <v>1578728216775607</v>
      </c>
      <c r="C2433" t="s">
        <v>37</v>
      </c>
      <c r="D2433">
        <v>5.7760099999999897</v>
      </c>
      <c r="E2433">
        <v>0.43059249999999999</v>
      </c>
      <c r="F2433" t="s">
        <v>38</v>
      </c>
      <c r="G2433">
        <v>-485.05699999999899</v>
      </c>
      <c r="H2433">
        <v>1.0182519999999999</v>
      </c>
      <c r="I2433">
        <v>274.37779999999998</v>
      </c>
      <c r="J2433">
        <v>-485.02839999999998</v>
      </c>
      <c r="K2433">
        <v>1.109432</v>
      </c>
      <c r="L2433">
        <v>275.19319999999999</v>
      </c>
      <c r="M2433">
        <v>-0.5787814</v>
      </c>
      <c r="N2433">
        <v>0</v>
      </c>
      <c r="O2433">
        <v>-0.81535729999999995</v>
      </c>
      <c r="P2433">
        <v>-0.27881050000000002</v>
      </c>
      <c r="Q2433">
        <v>5.5511369999999997E-2</v>
      </c>
      <c r="R2433">
        <v>-0.95874090000000001</v>
      </c>
      <c r="S2433">
        <v>-0.34060669999999998</v>
      </c>
      <c r="T2433">
        <v>-0.29813990000000001</v>
      </c>
      <c r="U2433">
        <v>-3.0492249999999999</v>
      </c>
      <c r="V2433">
        <v>-0.32831149999999998</v>
      </c>
      <c r="W2433">
        <v>6.5563659999999996E-2</v>
      </c>
      <c r="X2433">
        <v>0.94229130000000005</v>
      </c>
      <c r="Y2433">
        <v>-0.4848268</v>
      </c>
      <c r="Z2433">
        <v>6.4426460000000005E-2</v>
      </c>
      <c r="AA2433">
        <v>0.87223399999999995</v>
      </c>
      <c r="AB2433">
        <v>19</v>
      </c>
      <c r="AC2433">
        <v>-2.8599999999983E-2</v>
      </c>
      <c r="AD2433">
        <v>-9.1179999999999997E-2</v>
      </c>
      <c r="AE2433">
        <v>-0.815400000000011</v>
      </c>
      <c r="AF2433">
        <v>-0.44313081602926402</v>
      </c>
      <c r="AG2433">
        <v>-9.1179999999999997E-2</v>
      </c>
      <c r="AH2433">
        <v>0.67305943130192103</v>
      </c>
      <c r="AI2433">
        <v>96.455525627369198</v>
      </c>
      <c r="AJ2433">
        <v>123.360223373127</v>
      </c>
      <c r="AK2433">
        <v>0.81097947605301801</v>
      </c>
    </row>
    <row r="2434" spans="1:37" x14ac:dyDescent="0.2">
      <c r="A2434" t="str">
        <f>"20200111153656796"</f>
        <v>20200111153656796</v>
      </c>
      <c r="B2434" t="str">
        <f>"1578728216785367"</f>
        <v>1578728216785367</v>
      </c>
      <c r="C2434" t="s">
        <v>37</v>
      </c>
      <c r="D2434">
        <v>5.7338789999999999</v>
      </c>
      <c r="E2434">
        <v>0.43059249999999999</v>
      </c>
      <c r="F2434" t="s">
        <v>38</v>
      </c>
      <c r="G2434">
        <v>-485.13290000000001</v>
      </c>
      <c r="H2434">
        <v>1.0161899999999999</v>
      </c>
      <c r="I2434">
        <v>274.23259999999999</v>
      </c>
      <c r="J2434">
        <v>-485.0829</v>
      </c>
      <c r="K2434">
        <v>1.1094040000000001</v>
      </c>
      <c r="L2434">
        <v>275.10739999999998</v>
      </c>
      <c r="M2434">
        <v>-0.57505050000000002</v>
      </c>
      <c r="N2434">
        <v>0</v>
      </c>
      <c r="O2434">
        <v>-0.81799299999999997</v>
      </c>
      <c r="P2434">
        <v>-0.27543879999999998</v>
      </c>
      <c r="Q2434">
        <v>5.5998050000000001E-2</v>
      </c>
      <c r="R2434">
        <v>-0.95968629999999999</v>
      </c>
      <c r="S2434">
        <v>-0.33087159999999999</v>
      </c>
      <c r="T2434">
        <v>-0.29594019999999999</v>
      </c>
      <c r="U2434">
        <v>-3.0500180000000001</v>
      </c>
      <c r="V2434">
        <v>-0.32730159999999903</v>
      </c>
      <c r="W2434">
        <v>6.6067050000000002E-2</v>
      </c>
      <c r="X2434">
        <v>0.94260750000000004</v>
      </c>
      <c r="Y2434">
        <v>-0.48360979999999998</v>
      </c>
      <c r="Z2434">
        <v>6.4346920000000002E-2</v>
      </c>
      <c r="AA2434">
        <v>0.8729152</v>
      </c>
      <c r="AB2434">
        <v>19</v>
      </c>
      <c r="AC2434">
        <v>-5.0000000000011299E-2</v>
      </c>
      <c r="AD2434">
        <v>-9.3214000000000102E-2</v>
      </c>
      <c r="AE2434">
        <v>-0.87479999999999303</v>
      </c>
      <c r="AF2434">
        <v>-0.457029592927572</v>
      </c>
      <c r="AG2434">
        <v>-9.3214000000000102E-2</v>
      </c>
      <c r="AH2434">
        <v>0.73607872920838002</v>
      </c>
      <c r="AI2434">
        <v>96.140543589835502</v>
      </c>
      <c r="AJ2434">
        <v>121.83605091514301</v>
      </c>
      <c r="AK2434">
        <v>0.87142228236404695</v>
      </c>
    </row>
    <row r="2435" spans="1:37" x14ac:dyDescent="0.2">
      <c r="A2435" t="str">
        <f>"20200111153656816"</f>
        <v>20200111153656816</v>
      </c>
      <c r="B2435" t="str">
        <f>"1578728216804887"</f>
        <v>1578728216804887</v>
      </c>
      <c r="C2435" t="s">
        <v>37</v>
      </c>
      <c r="D2435">
        <v>5.9126859999999999</v>
      </c>
      <c r="E2435">
        <v>0.437032799999999</v>
      </c>
      <c r="F2435" t="s">
        <v>38</v>
      </c>
      <c r="G2435">
        <v>-485.17430000000002</v>
      </c>
      <c r="H2435">
        <v>1.025471</v>
      </c>
      <c r="I2435">
        <v>274.23820000000001</v>
      </c>
      <c r="J2435">
        <v>-485.17309999999998</v>
      </c>
      <c r="K2435">
        <v>1.109362</v>
      </c>
      <c r="L2435">
        <v>274.96350000000001</v>
      </c>
      <c r="M2435">
        <v>-0.56883600000000001</v>
      </c>
      <c r="N2435">
        <v>0</v>
      </c>
      <c r="O2435">
        <v>-0.82232759999999905</v>
      </c>
      <c r="P2435">
        <v>-0.27037870000000003</v>
      </c>
      <c r="Q2435">
        <v>5.7225829999999998E-2</v>
      </c>
      <c r="R2435">
        <v>-0.96105219999999902</v>
      </c>
      <c r="S2435">
        <v>-0.32037349999999998</v>
      </c>
      <c r="T2435">
        <v>-0.29456079999999901</v>
      </c>
      <c r="U2435">
        <v>-3.0513309999999998</v>
      </c>
      <c r="V2435">
        <v>-0.32508609999999999</v>
      </c>
      <c r="W2435">
        <v>6.732929E-2</v>
      </c>
      <c r="X2435">
        <v>0.94328459999999903</v>
      </c>
      <c r="Y2435">
        <v>-0.47999150000000002</v>
      </c>
      <c r="Z2435">
        <v>6.4731839999999999E-2</v>
      </c>
      <c r="AA2435">
        <v>0.87488169999999899</v>
      </c>
      <c r="AB2435">
        <v>19</v>
      </c>
      <c r="AC2435">
        <v>-1.20000000003983E-3</v>
      </c>
      <c r="AD2435">
        <v>-8.3891000000000104E-2</v>
      </c>
      <c r="AE2435">
        <v>-0.72530000000000405</v>
      </c>
      <c r="AF2435">
        <v>-0.40619757585126798</v>
      </c>
      <c r="AG2435">
        <v>-8.3891000000000104E-2</v>
      </c>
      <c r="AH2435">
        <v>0.58929377842551001</v>
      </c>
      <c r="AI2435">
        <v>96.685195970910101</v>
      </c>
      <c r="AJ2435">
        <v>124.578322647817</v>
      </c>
      <c r="AK2435">
        <v>0.72062565025085001</v>
      </c>
    </row>
    <row r="2436" spans="1:37" x14ac:dyDescent="0.2">
      <c r="A2436" t="str">
        <f>"20200111153656829"</f>
        <v>20200111153656829</v>
      </c>
      <c r="B2436" t="str">
        <f>"1578728216825383"</f>
        <v>1578728216825383</v>
      </c>
      <c r="C2436" t="s">
        <v>37</v>
      </c>
      <c r="D2436">
        <v>5.7584419999999996</v>
      </c>
      <c r="E2436">
        <v>0.44542939999999998</v>
      </c>
      <c r="F2436" t="s">
        <v>38</v>
      </c>
      <c r="G2436">
        <v>-485.28109999999998</v>
      </c>
      <c r="H2436">
        <v>1.0160629999999999</v>
      </c>
      <c r="I2436">
        <v>274.03699999999998</v>
      </c>
      <c r="J2436">
        <v>-485.22859999999997</v>
      </c>
      <c r="K2436">
        <v>1.1093389999999901</v>
      </c>
      <c r="L2436">
        <v>274.87349999999998</v>
      </c>
      <c r="M2436">
        <v>-0.56498040000000005</v>
      </c>
      <c r="N2436">
        <v>0</v>
      </c>
      <c r="O2436">
        <v>-0.82498179999999999</v>
      </c>
      <c r="P2436">
        <v>-0.26698519999999998</v>
      </c>
      <c r="Q2436">
        <v>5.8055379999999997E-2</v>
      </c>
      <c r="R2436">
        <v>-0.96195049999999904</v>
      </c>
      <c r="S2436">
        <v>-0.354278599999999</v>
      </c>
      <c r="T2436">
        <v>-0.30616009999999999</v>
      </c>
      <c r="U2436">
        <v>-3.0401310000000001</v>
      </c>
      <c r="V2436">
        <v>-0.32397340000000002</v>
      </c>
      <c r="W2436">
        <v>6.8171350000000006E-2</v>
      </c>
      <c r="X2436">
        <v>0.94360689999999903</v>
      </c>
      <c r="Y2436">
        <v>-0.46588079999999998</v>
      </c>
      <c r="Z2436">
        <v>6.8261550000000004E-2</v>
      </c>
      <c r="AA2436">
        <v>0.88221059999999996</v>
      </c>
      <c r="AB2436">
        <v>19</v>
      </c>
      <c r="AC2436">
        <v>-5.2500000000008998E-2</v>
      </c>
      <c r="AD2436">
        <v>-9.3275999999999901E-2</v>
      </c>
      <c r="AE2436">
        <v>-0.83649999999994396</v>
      </c>
      <c r="AF2436">
        <v>-0.42408560763314102</v>
      </c>
      <c r="AG2436">
        <v>-9.3275999999999901E-2</v>
      </c>
      <c r="AH2436">
        <v>0.71102537468083804</v>
      </c>
      <c r="AI2436">
        <v>96.428225556248194</v>
      </c>
      <c r="AJ2436">
        <v>120.813637890797</v>
      </c>
      <c r="AK2436">
        <v>0.83313030086391404</v>
      </c>
    </row>
    <row r="2437" spans="1:37" x14ac:dyDescent="0.2">
      <c r="A2437" t="str">
        <f>"20200111153656841"</f>
        <v>20200111153656841</v>
      </c>
      <c r="B2437" t="str">
        <f>"1578728216835143"</f>
        <v>1578728216835143</v>
      </c>
      <c r="C2437" t="s">
        <v>37</v>
      </c>
      <c r="D2437">
        <v>5.7470780000000001</v>
      </c>
      <c r="E2437">
        <v>0.44574320000000001</v>
      </c>
      <c r="F2437" t="s">
        <v>38</v>
      </c>
      <c r="G2437">
        <v>-485.35950000000003</v>
      </c>
      <c r="H2437">
        <v>1.028627</v>
      </c>
      <c r="I2437">
        <v>273.90069999999997</v>
      </c>
      <c r="J2437">
        <v>-485.2824</v>
      </c>
      <c r="K2437">
        <v>1.1093120000000001</v>
      </c>
      <c r="L2437">
        <v>274.786</v>
      </c>
      <c r="M2437">
        <v>-0.56123420000000002</v>
      </c>
      <c r="N2437">
        <v>0</v>
      </c>
      <c r="O2437">
        <v>-0.82753529999999997</v>
      </c>
      <c r="P2437">
        <v>-0.26366119999999998</v>
      </c>
      <c r="Q2437">
        <v>5.915016E-2</v>
      </c>
      <c r="R2437">
        <v>-0.9628004</v>
      </c>
      <c r="S2437">
        <v>-0.40542600000000001</v>
      </c>
      <c r="T2437">
        <v>-0.25056239999999902</v>
      </c>
      <c r="U2437">
        <v>-3.0212400000000001</v>
      </c>
      <c r="V2437">
        <v>-0.32292280000000001</v>
      </c>
      <c r="W2437">
        <v>6.9274520000000006E-2</v>
      </c>
      <c r="X2437">
        <v>0.94388660000000002</v>
      </c>
      <c r="Y2437">
        <v>-0.44637919999999998</v>
      </c>
      <c r="Z2437">
        <v>5.699017E-2</v>
      </c>
      <c r="AA2437">
        <v>0.89302729999999997</v>
      </c>
      <c r="AB2437">
        <v>19</v>
      </c>
      <c r="AC2437">
        <v>-7.7100000000029895E-2</v>
      </c>
      <c r="AD2437">
        <v>-8.0685000000000104E-2</v>
      </c>
      <c r="AE2437">
        <v>-0.88530000000002895</v>
      </c>
      <c r="AF2437">
        <v>-0.42956012966930701</v>
      </c>
      <c r="AG2437">
        <v>-8.0685000000000104E-2</v>
      </c>
      <c r="AH2437">
        <v>0.76962179444592504</v>
      </c>
      <c r="AI2437">
        <v>95.230473182360996</v>
      </c>
      <c r="AJ2437">
        <v>119.16782790497</v>
      </c>
      <c r="AK2437">
        <v>0.885070438277473</v>
      </c>
    </row>
    <row r="2438" spans="1:37" x14ac:dyDescent="0.2">
      <c r="A2438" t="str">
        <f>"20200111153656853"</f>
        <v>20200111153656853</v>
      </c>
      <c r="B2438" t="str">
        <f>"1578728216844904"</f>
        <v>1578728216844904</v>
      </c>
      <c r="C2438" t="s">
        <v>37</v>
      </c>
      <c r="D2438">
        <v>5.7237419999999997</v>
      </c>
      <c r="E2438">
        <v>0.44608209999999998</v>
      </c>
      <c r="F2438" t="s">
        <v>38</v>
      </c>
      <c r="G2438">
        <v>-485.41019999999997</v>
      </c>
      <c r="H2438">
        <v>1.0275969999999901</v>
      </c>
      <c r="I2438">
        <v>273.81619999999998</v>
      </c>
      <c r="J2438">
        <v>-485.33949999999999</v>
      </c>
      <c r="K2438">
        <v>1.1092869999999999</v>
      </c>
      <c r="L2438">
        <v>274.6918</v>
      </c>
      <c r="M2438">
        <v>-0.55722769999999899</v>
      </c>
      <c r="N2438">
        <v>0</v>
      </c>
      <c r="O2438">
        <v>-0.83023910000000001</v>
      </c>
      <c r="P2438">
        <v>-0.2602758</v>
      </c>
      <c r="Q2438">
        <v>5.952263E-2</v>
      </c>
      <c r="R2438">
        <v>-0.963697899999999</v>
      </c>
      <c r="S2438">
        <v>-0.39788820000000003</v>
      </c>
      <c r="T2438">
        <v>-0.25465199999999999</v>
      </c>
      <c r="U2438">
        <v>-3.0225520000000001</v>
      </c>
      <c r="V2438">
        <v>-0.3216619</v>
      </c>
      <c r="W2438">
        <v>6.9647459999999994E-2</v>
      </c>
      <c r="X2438">
        <v>0.94428959999999995</v>
      </c>
      <c r="Y2438">
        <v>-0.4443008</v>
      </c>
      <c r="Z2438">
        <v>5.8269050000000003E-2</v>
      </c>
      <c r="AA2438">
        <v>0.89398069999999896</v>
      </c>
      <c r="AB2438">
        <v>19</v>
      </c>
      <c r="AC2438">
        <v>-7.0699999999987995E-2</v>
      </c>
      <c r="AD2438">
        <v>-8.1690000000000207E-2</v>
      </c>
      <c r="AE2438">
        <v>-0.87560000000001903</v>
      </c>
      <c r="AF2438">
        <v>-0.42557340757707501</v>
      </c>
      <c r="AG2438">
        <v>-8.1690000000000207E-2</v>
      </c>
      <c r="AH2438">
        <v>0.75985904220136002</v>
      </c>
      <c r="AI2438">
        <v>95.358526215236296</v>
      </c>
      <c r="AJ2438">
        <v>119.251830891474</v>
      </c>
      <c r="AK2438">
        <v>0.87474095899982396</v>
      </c>
    </row>
    <row r="2439" spans="1:37" x14ac:dyDescent="0.2">
      <c r="A2439" t="str">
        <f>"20200111153656867"</f>
        <v>20200111153656867</v>
      </c>
      <c r="B2439" t="str">
        <f>"1578728216855639"</f>
        <v>1578728216855639</v>
      </c>
      <c r="C2439" t="s">
        <v>37</v>
      </c>
      <c r="D2439">
        <v>5.7731529999999998</v>
      </c>
      <c r="E2439">
        <v>0.44592019999999999</v>
      </c>
      <c r="F2439" t="s">
        <v>39</v>
      </c>
      <c r="G2439">
        <v>-487.0333</v>
      </c>
      <c r="H2439" s="1">
        <v>-1.4451679999999999E-6</v>
      </c>
      <c r="I2439">
        <v>261.5752</v>
      </c>
      <c r="J2439">
        <v>-485.3929</v>
      </c>
      <c r="K2439">
        <v>1.109259</v>
      </c>
      <c r="L2439">
        <v>274.60270000000003</v>
      </c>
      <c r="M2439">
        <v>-0.55345269999999902</v>
      </c>
      <c r="N2439">
        <v>0</v>
      </c>
      <c r="O2439">
        <v>-0.83276090000000003</v>
      </c>
      <c r="P2439">
        <v>-0.25689010000000001</v>
      </c>
      <c r="Q2439">
        <v>6.0341099999999898E-2</v>
      </c>
      <c r="R2439">
        <v>-0.96455499999999905</v>
      </c>
      <c r="S2439">
        <v>-0.39041140000000002</v>
      </c>
      <c r="T2439">
        <v>-0.25568800000000003</v>
      </c>
      <c r="U2439">
        <v>-3.0233460000000001</v>
      </c>
      <c r="V2439">
        <v>-0.32066549999999999</v>
      </c>
      <c r="W2439">
        <v>7.0458469999999995E-2</v>
      </c>
      <c r="X2439">
        <v>0.94456830000000003</v>
      </c>
      <c r="Y2439">
        <v>-0.44244159999999999</v>
      </c>
      <c r="Z2439">
        <v>5.8843109999999997E-2</v>
      </c>
      <c r="AA2439">
        <v>0.89486469999999996</v>
      </c>
      <c r="AB2439">
        <v>19</v>
      </c>
      <c r="AC2439">
        <v>-1.6403999999999901</v>
      </c>
      <c r="AD2439">
        <v>-1.1092604451679999</v>
      </c>
      <c r="AE2439">
        <v>-13.0275</v>
      </c>
      <c r="AF2439">
        <v>-5.8032095359934699</v>
      </c>
      <c r="AG2439">
        <v>-1.1092604451679999</v>
      </c>
      <c r="AH2439">
        <v>11.6745281158276</v>
      </c>
      <c r="AI2439">
        <v>94.863209226205299</v>
      </c>
      <c r="AJ2439">
        <v>116.431190101247</v>
      </c>
      <c r="AK2439">
        <v>13.084429921899901</v>
      </c>
    </row>
    <row r="2440" spans="1:37" x14ac:dyDescent="0.2">
      <c r="A2440" t="str">
        <f>"20200111153656880"</f>
        <v>20200111153656880</v>
      </c>
      <c r="B2440" t="str">
        <f>"1578728216875160"</f>
        <v>1578728216875160</v>
      </c>
      <c r="C2440" t="s">
        <v>37</v>
      </c>
      <c r="D2440">
        <v>5.7323360000000001</v>
      </c>
      <c r="E2440">
        <v>0.446530599999999</v>
      </c>
      <c r="F2440" t="s">
        <v>38</v>
      </c>
      <c r="G2440">
        <v>-485.51609999999999</v>
      </c>
      <c r="H2440">
        <v>1.026664</v>
      </c>
      <c r="I2440">
        <v>273.6191</v>
      </c>
      <c r="J2440">
        <v>-485.44740000000002</v>
      </c>
      <c r="K2440">
        <v>1.109232</v>
      </c>
      <c r="L2440">
        <v>274.51119999999997</v>
      </c>
      <c r="M2440">
        <v>-0.54958209999999996</v>
      </c>
      <c r="N2440">
        <v>0</v>
      </c>
      <c r="O2440">
        <v>-0.83532119999999999</v>
      </c>
      <c r="P2440">
        <v>-0.25350389999999901</v>
      </c>
      <c r="Q2440">
        <v>6.0962540000000003E-2</v>
      </c>
      <c r="R2440">
        <v>-0.96541160000000004</v>
      </c>
      <c r="S2440">
        <v>-0.37869259999999999</v>
      </c>
      <c r="T2440">
        <v>-0.25404209999999999</v>
      </c>
      <c r="U2440">
        <v>-3.0252379999999999</v>
      </c>
      <c r="V2440">
        <v>-0.319575</v>
      </c>
      <c r="W2440">
        <v>7.1068709999999993E-2</v>
      </c>
      <c r="X2440">
        <v>0.94489210000000001</v>
      </c>
      <c r="Y2440">
        <v>-0.4417624</v>
      </c>
      <c r="Z2440">
        <v>5.8764490000000003E-2</v>
      </c>
      <c r="AA2440">
        <v>0.89520540000000004</v>
      </c>
      <c r="AB2440">
        <v>19</v>
      </c>
      <c r="AC2440">
        <v>-6.8699999999978403E-2</v>
      </c>
      <c r="AD2440">
        <v>-8.2567999999999905E-2</v>
      </c>
      <c r="AE2440">
        <v>-0.89209999999997003</v>
      </c>
      <c r="AF2440">
        <v>-0.42928277781468199</v>
      </c>
      <c r="AG2440">
        <v>-8.2567999999999905E-2</v>
      </c>
      <c r="AH2440">
        <v>0.77641204307201095</v>
      </c>
      <c r="AI2440">
        <v>95.317045969364997</v>
      </c>
      <c r="AJ2440">
        <v>118.938463522809</v>
      </c>
      <c r="AK2440">
        <v>0.89102011120936198</v>
      </c>
    </row>
    <row r="2441" spans="1:37" x14ac:dyDescent="0.2">
      <c r="A2441" t="str">
        <f>"20200111153656894"</f>
        <v>20200111153656894</v>
      </c>
      <c r="B2441" t="str">
        <f>"1578728216884919"</f>
        <v>1578728216884919</v>
      </c>
      <c r="C2441" t="s">
        <v>37</v>
      </c>
      <c r="D2441">
        <v>5.7272019999999904</v>
      </c>
      <c r="E2441">
        <v>0.44681539999999997</v>
      </c>
      <c r="F2441" t="s">
        <v>38</v>
      </c>
      <c r="G2441">
        <v>-485.5686</v>
      </c>
      <c r="H2441">
        <v>1.0268079999999999</v>
      </c>
      <c r="I2441">
        <v>273.52800000000002</v>
      </c>
      <c r="J2441">
        <v>-485.51260000000002</v>
      </c>
      <c r="K2441">
        <v>1.1092</v>
      </c>
      <c r="L2441">
        <v>274.39999999999998</v>
      </c>
      <c r="M2441">
        <v>-0.5449098</v>
      </c>
      <c r="N2441">
        <v>0</v>
      </c>
      <c r="O2441">
        <v>-0.83837779999999995</v>
      </c>
      <c r="P2441">
        <v>-0.24985360000000001</v>
      </c>
      <c r="Q2441">
        <v>6.2082749999999999E-2</v>
      </c>
      <c r="R2441">
        <v>-0.96629129999999996</v>
      </c>
      <c r="S2441">
        <v>-0.37271120000000002</v>
      </c>
      <c r="T2441">
        <v>-0.25362629999999903</v>
      </c>
      <c r="U2441">
        <v>-3.0256349999999999</v>
      </c>
      <c r="V2441">
        <v>-0.31783489999999998</v>
      </c>
      <c r="W2441">
        <v>7.2166430000000004E-2</v>
      </c>
      <c r="X2441">
        <v>0.9453956</v>
      </c>
      <c r="Y2441">
        <v>-0.43851210000000002</v>
      </c>
      <c r="Z2441">
        <v>5.9104919999999998E-2</v>
      </c>
      <c r="AA2441">
        <v>0.89677969999999896</v>
      </c>
      <c r="AB2441">
        <v>19</v>
      </c>
      <c r="AC2441">
        <v>-5.5999999999983098E-2</v>
      </c>
      <c r="AD2441">
        <v>-8.2392000000000007E-2</v>
      </c>
      <c r="AE2441">
        <v>-0.87199999999995703</v>
      </c>
      <c r="AF2441">
        <v>-0.42448010975900402</v>
      </c>
      <c r="AG2441">
        <v>-8.2392000000000007E-2</v>
      </c>
      <c r="AH2441">
        <v>0.75494284413812696</v>
      </c>
      <c r="AI2441">
        <v>95.434213879640694</v>
      </c>
      <c r="AJ2441">
        <v>119.34764950149901</v>
      </c>
      <c r="AK2441">
        <v>0.870006036278129</v>
      </c>
    </row>
    <row r="2442" spans="1:37" x14ac:dyDescent="0.2">
      <c r="A2442" t="str">
        <f>"20200111153656908"</f>
        <v>20200111153656908</v>
      </c>
      <c r="B2442" t="str">
        <f>"1578728216905415"</f>
        <v>1578728216905415</v>
      </c>
      <c r="C2442" t="s">
        <v>37</v>
      </c>
      <c r="D2442">
        <v>5.7190659999999998</v>
      </c>
      <c r="E2442">
        <v>0.44703100000000001</v>
      </c>
      <c r="F2442" t="s">
        <v>39</v>
      </c>
      <c r="G2442">
        <v>-487.11040000000003</v>
      </c>
      <c r="H2442" s="1">
        <v>-1.26576E-6</v>
      </c>
      <c r="I2442">
        <v>261.10820000000001</v>
      </c>
      <c r="J2442">
        <v>-485.56790000000001</v>
      </c>
      <c r="K2442">
        <v>1.1091690000000001</v>
      </c>
      <c r="L2442">
        <v>274.3048</v>
      </c>
      <c r="M2442">
        <v>-0.54091979999999995</v>
      </c>
      <c r="N2442">
        <v>0</v>
      </c>
      <c r="O2442">
        <v>-0.84095880000000001</v>
      </c>
      <c r="P2442">
        <v>-0.24595039999999899</v>
      </c>
      <c r="Q2442">
        <v>6.2401400000000003E-2</v>
      </c>
      <c r="R2442">
        <v>-0.96727169999999896</v>
      </c>
      <c r="S2442">
        <v>-0.363830599999999</v>
      </c>
      <c r="T2442">
        <v>-0.2525867</v>
      </c>
      <c r="U2442">
        <v>-3.02679399999999</v>
      </c>
      <c r="V2442">
        <v>-0.31714589999999998</v>
      </c>
      <c r="W2442">
        <v>7.2444649999999999E-2</v>
      </c>
      <c r="X2442">
        <v>0.94560580000000005</v>
      </c>
      <c r="Y2442">
        <v>-0.43687700000000002</v>
      </c>
      <c r="Z2442">
        <v>5.9194249999999997E-2</v>
      </c>
      <c r="AA2442">
        <v>0.89757140000000002</v>
      </c>
      <c r="AB2442">
        <v>19</v>
      </c>
      <c r="AC2442">
        <v>-1.54250000000001</v>
      </c>
      <c r="AD2442">
        <v>-1.10917026576</v>
      </c>
      <c r="AE2442">
        <v>-13.196599999999901</v>
      </c>
      <c r="AF2442">
        <v>-5.8012603713803799</v>
      </c>
      <c r="AG2442">
        <v>-1.10917026576</v>
      </c>
      <c r="AH2442">
        <v>11.850734286795801</v>
      </c>
      <c r="AI2442">
        <v>94.805166231218195</v>
      </c>
      <c r="AJ2442">
        <v>116.083019396732</v>
      </c>
      <c r="AK2442">
        <v>13.241026535402399</v>
      </c>
    </row>
    <row r="2443" spans="1:37" x14ac:dyDescent="0.2">
      <c r="A2443" t="str">
        <f>"20200111153656922"</f>
        <v>20200111153656922</v>
      </c>
      <c r="B2443" t="str">
        <f>"1578728216915176"</f>
        <v>1578728216915176</v>
      </c>
      <c r="C2443" t="s">
        <v>37</v>
      </c>
      <c r="D2443">
        <v>5.7413629999999998</v>
      </c>
      <c r="E2443">
        <v>0.44731320000000002</v>
      </c>
      <c r="F2443" t="s">
        <v>39</v>
      </c>
      <c r="G2443">
        <v>-487.11709999999999</v>
      </c>
      <c r="H2443" s="1">
        <v>-1.238989E-6</v>
      </c>
      <c r="I2443">
        <v>261.03480000000002</v>
      </c>
      <c r="J2443">
        <v>-485.6259</v>
      </c>
      <c r="K2443">
        <v>1.1091340000000001</v>
      </c>
      <c r="L2443">
        <v>274.20420000000001</v>
      </c>
      <c r="M2443">
        <v>-0.5367113</v>
      </c>
      <c r="N2443">
        <v>0</v>
      </c>
      <c r="O2443">
        <v>-0.84365249999999903</v>
      </c>
      <c r="P2443">
        <v>-0.24163479999999901</v>
      </c>
      <c r="Q2443">
        <v>6.2881899999999893E-2</v>
      </c>
      <c r="R2443">
        <v>-0.96832790000000002</v>
      </c>
      <c r="S2443">
        <v>-0.353485099999999</v>
      </c>
      <c r="T2443">
        <v>-0.25309120000000002</v>
      </c>
      <c r="U2443">
        <v>-3.0279539999999998</v>
      </c>
      <c r="V2443">
        <v>-0.31662009999999902</v>
      </c>
      <c r="W2443">
        <v>7.2871720000000001E-2</v>
      </c>
      <c r="X2443">
        <v>0.94574910000000001</v>
      </c>
      <c r="Y2443">
        <v>-0.43545010000000001</v>
      </c>
      <c r="Z2443">
        <v>5.9652660000000003E-2</v>
      </c>
      <c r="AA2443">
        <v>0.89823419999999898</v>
      </c>
      <c r="AB2443">
        <v>19</v>
      </c>
      <c r="AC2443">
        <v>-1.4911999999999901</v>
      </c>
      <c r="AD2443">
        <v>-1.1091352389889999</v>
      </c>
      <c r="AE2443">
        <v>-13.1693999999999</v>
      </c>
      <c r="AF2443">
        <v>-5.7702564441580604</v>
      </c>
      <c r="AG2443">
        <v>-1.1091352389889999</v>
      </c>
      <c r="AH2443">
        <v>11.8290388123397</v>
      </c>
      <c r="AI2443">
        <v>94.817044448794206</v>
      </c>
      <c r="AJ2443">
        <v>116.003320838379</v>
      </c>
      <c r="AK2443">
        <v>13.2080354191512</v>
      </c>
    </row>
    <row r="2444" spans="1:37" x14ac:dyDescent="0.2">
      <c r="A2444" t="str">
        <f>"20200111153656933"</f>
        <v>20200111153656933</v>
      </c>
      <c r="B2444" t="str">
        <f>"1578728216924935"</f>
        <v>1578728216924935</v>
      </c>
      <c r="C2444" t="s">
        <v>37</v>
      </c>
      <c r="D2444">
        <v>5.703938</v>
      </c>
      <c r="E2444">
        <v>0.44766869999999997</v>
      </c>
      <c r="F2444" t="s">
        <v>38</v>
      </c>
      <c r="G2444">
        <v>-485.73860000000002</v>
      </c>
      <c r="H2444">
        <v>1.026124</v>
      </c>
      <c r="I2444">
        <v>273.2079</v>
      </c>
      <c r="J2444">
        <v>-485.67720000000003</v>
      </c>
      <c r="K2444">
        <v>1.1090990000000001</v>
      </c>
      <c r="L2444">
        <v>274.1139</v>
      </c>
      <c r="M2444">
        <v>-0.53295109999999901</v>
      </c>
      <c r="N2444">
        <v>0</v>
      </c>
      <c r="O2444">
        <v>-0.84603419999999896</v>
      </c>
      <c r="P2444">
        <v>-0.2382706</v>
      </c>
      <c r="Q2444">
        <v>6.302845E-2</v>
      </c>
      <c r="R2444">
        <v>-0.96915149999999906</v>
      </c>
      <c r="S2444">
        <v>-0.3418274</v>
      </c>
      <c r="T2444">
        <v>-0.252355</v>
      </c>
      <c r="U2444">
        <v>-3.029236</v>
      </c>
      <c r="V2444">
        <v>-0.31568659999999998</v>
      </c>
      <c r="W2444">
        <v>7.2964929999999997E-2</v>
      </c>
      <c r="X2444">
        <v>0.94605399999999995</v>
      </c>
      <c r="Y2444">
        <v>-0.43490000000000001</v>
      </c>
      <c r="Z2444">
        <v>5.9762639999999999E-2</v>
      </c>
      <c r="AA2444">
        <v>0.89849349999999994</v>
      </c>
      <c r="AB2444">
        <v>19</v>
      </c>
      <c r="AC2444">
        <v>-6.1399999999991899E-2</v>
      </c>
      <c r="AD2444">
        <v>-8.2974999999999993E-2</v>
      </c>
      <c r="AE2444">
        <v>-0.90600000000000502</v>
      </c>
      <c r="AF2444">
        <v>-0.427379674133823</v>
      </c>
      <c r="AG2444">
        <v>-8.2974999999999993E-2</v>
      </c>
      <c r="AH2444">
        <v>0.79268746880382701</v>
      </c>
      <c r="AI2444">
        <v>95.264209856287493</v>
      </c>
      <c r="AJ2444">
        <v>118.331451250616</v>
      </c>
      <c r="AK2444">
        <v>0.90437362836736401</v>
      </c>
    </row>
    <row r="2445" spans="1:37" x14ac:dyDescent="0.2">
      <c r="A2445" t="str">
        <f>"20200111153656951"</f>
        <v>20200111153656951</v>
      </c>
      <c r="B2445" t="str">
        <f>"1578728216944961"</f>
        <v>1578728216944961</v>
      </c>
      <c r="C2445" t="s">
        <v>37</v>
      </c>
      <c r="D2445">
        <v>5.7422620000000002</v>
      </c>
      <c r="E2445">
        <v>0.44809670000000001</v>
      </c>
      <c r="F2445" t="s">
        <v>39</v>
      </c>
      <c r="G2445">
        <v>-487.14870000000002</v>
      </c>
      <c r="H2445" s="1">
        <v>-1.1445879999999999E-6</v>
      </c>
      <c r="I2445">
        <v>260.78219999999999</v>
      </c>
      <c r="J2445">
        <v>-485.74849999999998</v>
      </c>
      <c r="K2445">
        <v>1.109054</v>
      </c>
      <c r="L2445">
        <v>273.98700000000002</v>
      </c>
      <c r="M2445">
        <v>-0.52768139999999997</v>
      </c>
      <c r="N2445">
        <v>0</v>
      </c>
      <c r="O2445">
        <v>-0.84933309999999995</v>
      </c>
      <c r="P2445">
        <v>-0.2342485</v>
      </c>
      <c r="Q2445">
        <v>6.3278769999999998E-2</v>
      </c>
      <c r="R2445">
        <v>-0.97011559999999897</v>
      </c>
      <c r="S2445">
        <v>-0.33441159999999998</v>
      </c>
      <c r="T2445">
        <v>-0.25204589999999999</v>
      </c>
      <c r="U2445">
        <v>-3.0296630000000002</v>
      </c>
      <c r="V2445">
        <v>-0.31371509999999903</v>
      </c>
      <c r="W2445">
        <v>7.3138980000000006E-2</v>
      </c>
      <c r="X2445">
        <v>0.94669609999999904</v>
      </c>
      <c r="Y2445">
        <v>-0.43148909999999902</v>
      </c>
      <c r="Z2445">
        <v>6.0154979999999997E-2</v>
      </c>
      <c r="AA2445">
        <v>0.90011030000000003</v>
      </c>
      <c r="AB2445">
        <v>19</v>
      </c>
      <c r="AC2445">
        <v>-1.4002000000000401</v>
      </c>
      <c r="AD2445">
        <v>-1.1090551445879999</v>
      </c>
      <c r="AE2445">
        <v>-13.204800000000001</v>
      </c>
      <c r="AF2445">
        <v>-5.7391927669596701</v>
      </c>
      <c r="AG2445">
        <v>-1.1090551445879999</v>
      </c>
      <c r="AH2445">
        <v>11.8724245980452</v>
      </c>
      <c r="AI2445">
        <v>94.807442820230406</v>
      </c>
      <c r="AJ2445">
        <v>115.799368121547</v>
      </c>
      <c r="AK2445">
        <v>13.2333972496229</v>
      </c>
    </row>
    <row r="2446" spans="1:37" x14ac:dyDescent="0.2">
      <c r="A2446" t="str">
        <f>"20200111153656966"</f>
        <v>20200111153656966</v>
      </c>
      <c r="B2446" t="str">
        <f>"1578728216955698"</f>
        <v>1578728216955698</v>
      </c>
      <c r="C2446" t="s">
        <v>37</v>
      </c>
      <c r="D2446">
        <v>5.7674799999999999</v>
      </c>
      <c r="E2446">
        <v>0.44809670000000001</v>
      </c>
      <c r="F2446" t="s">
        <v>39</v>
      </c>
      <c r="G2446">
        <v>-487.18259999999998</v>
      </c>
      <c r="H2446" s="1">
        <v>-1.068498E-6</v>
      </c>
      <c r="I2446">
        <v>260.58510000000001</v>
      </c>
      <c r="J2446">
        <v>-485.80689999999998</v>
      </c>
      <c r="K2446">
        <v>1.1090229999999901</v>
      </c>
      <c r="L2446">
        <v>273.88189999999997</v>
      </c>
      <c r="M2446">
        <v>-0.5233331</v>
      </c>
      <c r="N2446">
        <v>0</v>
      </c>
      <c r="O2446">
        <v>-0.85202060000000002</v>
      </c>
      <c r="P2446">
        <v>-0.2302361</v>
      </c>
      <c r="Q2446">
        <v>6.3464709999999994E-2</v>
      </c>
      <c r="R2446">
        <v>-0.97106320000000002</v>
      </c>
      <c r="S2446">
        <v>-0.32427979999999901</v>
      </c>
      <c r="T2446">
        <v>-0.25078600000000001</v>
      </c>
      <c r="U2446">
        <v>-3.0305179999999998</v>
      </c>
      <c r="V2446">
        <v>-0.31277929999999998</v>
      </c>
      <c r="W2446">
        <v>7.3246450000000005E-2</v>
      </c>
      <c r="X2446">
        <v>0.94699739999999999</v>
      </c>
      <c r="Y2446">
        <v>-0.42988029999999999</v>
      </c>
      <c r="Z2446">
        <v>6.020201E-2</v>
      </c>
      <c r="AA2446">
        <v>0.90087659999999903</v>
      </c>
      <c r="AB2446">
        <v>19</v>
      </c>
      <c r="AC2446">
        <v>-1.3756999999999899</v>
      </c>
      <c r="AD2446">
        <v>-1.1090240684979999</v>
      </c>
      <c r="AE2446">
        <v>-13.2967999999999</v>
      </c>
      <c r="AF2446">
        <v>-5.7475026462852004</v>
      </c>
      <c r="AG2446">
        <v>-1.1090240684979999</v>
      </c>
      <c r="AH2446">
        <v>11.9678298077378</v>
      </c>
      <c r="AI2446">
        <v>94.775031531744006</v>
      </c>
      <c r="AJ2446">
        <v>115.65246113750101</v>
      </c>
      <c r="AK2446">
        <v>13.3226375526973</v>
      </c>
    </row>
    <row r="2447" spans="1:37" x14ac:dyDescent="0.2">
      <c r="A2447" t="str">
        <f>"20200111153656980"</f>
        <v>20200111153656980</v>
      </c>
      <c r="B2447" t="str">
        <f>"1578728216975218"</f>
        <v>1578728216975218</v>
      </c>
      <c r="C2447" t="s">
        <v>37</v>
      </c>
      <c r="D2447">
        <v>6.0102370000000001</v>
      </c>
      <c r="E2447">
        <v>0.47274119999999997</v>
      </c>
      <c r="F2447" t="s">
        <v>39</v>
      </c>
      <c r="G2447">
        <v>-487.18720000000002</v>
      </c>
      <c r="H2447" s="1">
        <v>-1.018775E-6</v>
      </c>
      <c r="I2447">
        <v>260.4425</v>
      </c>
      <c r="J2447">
        <v>-485.85989999999998</v>
      </c>
      <c r="K2447">
        <v>1.1089929999999999</v>
      </c>
      <c r="L2447">
        <v>273.78559999999999</v>
      </c>
      <c r="M2447">
        <v>-0.51935149999999997</v>
      </c>
      <c r="N2447">
        <v>0</v>
      </c>
      <c r="O2447">
        <v>-0.85445519999999997</v>
      </c>
      <c r="P2447">
        <v>-0.2267216</v>
      </c>
      <c r="Q2447">
        <v>6.3804029999999998E-2</v>
      </c>
      <c r="R2447">
        <v>-0.97186729999999999</v>
      </c>
      <c r="S2447">
        <v>-0.31140139999999999</v>
      </c>
      <c r="T2447">
        <v>-0.25019580000000002</v>
      </c>
      <c r="U2447">
        <v>-3.0319210000000001</v>
      </c>
      <c r="V2447">
        <v>-0.31177280000000002</v>
      </c>
      <c r="W2447">
        <v>7.3513250000000002E-2</v>
      </c>
      <c r="X2447">
        <v>0.947308499999999</v>
      </c>
      <c r="Y2447">
        <v>-0.42949680000000001</v>
      </c>
      <c r="Z2447">
        <v>6.0342010000000001E-2</v>
      </c>
      <c r="AA2447">
        <v>0.90105020000000002</v>
      </c>
      <c r="AB2447">
        <v>19</v>
      </c>
      <c r="AC2447">
        <v>-1.3273000000000299</v>
      </c>
      <c r="AD2447">
        <v>-1.108994018775</v>
      </c>
      <c r="AE2447">
        <v>-13.3430999999999</v>
      </c>
      <c r="AF2447">
        <v>-5.7567857002638299</v>
      </c>
      <c r="AG2447">
        <v>-1.108994018775</v>
      </c>
      <c r="AH2447">
        <v>12.0093603170768</v>
      </c>
      <c r="AI2447">
        <v>94.760106585938402</v>
      </c>
      <c r="AJ2447">
        <v>115.611113155065</v>
      </c>
      <c r="AK2447">
        <v>13.363950933680499</v>
      </c>
    </row>
    <row r="2448" spans="1:37" x14ac:dyDescent="0.2">
      <c r="A2448" t="str">
        <f>"20200111153656995"</f>
        <v>20200111153656995</v>
      </c>
      <c r="B2448" t="str">
        <f>"1578728216984978"</f>
        <v>1578728216984978</v>
      </c>
      <c r="C2448" t="s">
        <v>37</v>
      </c>
      <c r="D2448">
        <v>5.6615719999999996</v>
      </c>
      <c r="E2448">
        <v>0.47781679999999999</v>
      </c>
      <c r="F2448" t="s">
        <v>39</v>
      </c>
      <c r="G2448">
        <v>-488.6764</v>
      </c>
      <c r="H2448" s="1">
        <v>-3.2246179999999899E-6</v>
      </c>
      <c r="I2448">
        <v>256.60210000000001</v>
      </c>
      <c r="J2448">
        <v>-485.92570000000001</v>
      </c>
      <c r="K2448">
        <v>1.108954</v>
      </c>
      <c r="L2448">
        <v>273.66419999999999</v>
      </c>
      <c r="M2448">
        <v>-0.51435779999999998</v>
      </c>
      <c r="N2448">
        <v>0</v>
      </c>
      <c r="O2448">
        <v>-0.85747269999999898</v>
      </c>
      <c r="P2448">
        <v>-0.22336639999999899</v>
      </c>
      <c r="Q2448">
        <v>6.3754190000000002E-2</v>
      </c>
      <c r="R2448">
        <v>-0.9726475</v>
      </c>
      <c r="S2448">
        <v>-0.4893188</v>
      </c>
      <c r="T2448">
        <v>-0.19267239999999999</v>
      </c>
      <c r="U2448">
        <v>-2.985382</v>
      </c>
      <c r="V2448">
        <v>-0.30950870000000003</v>
      </c>
      <c r="W2448">
        <v>7.3383879999999999E-2</v>
      </c>
      <c r="X2448">
        <v>0.94806080000000004</v>
      </c>
      <c r="Y2448">
        <v>-0.36910270000000001</v>
      </c>
      <c r="Z2448">
        <v>4.8260770000000001E-2</v>
      </c>
      <c r="AA2448">
        <v>0.92813469999999998</v>
      </c>
      <c r="AB2448">
        <v>19</v>
      </c>
      <c r="AC2448">
        <v>-2.7506999999999899</v>
      </c>
      <c r="AD2448">
        <v>-1.1089572246179999</v>
      </c>
      <c r="AE2448">
        <v>-17.062099999999901</v>
      </c>
      <c r="AF2448">
        <v>-6.3916241094298698</v>
      </c>
      <c r="AG2448">
        <v>-1.1089572246179999</v>
      </c>
      <c r="AH2448">
        <v>15.980747273558</v>
      </c>
      <c r="AI2448">
        <v>93.686530065922895</v>
      </c>
      <c r="AJ2448">
        <v>111.799323800222</v>
      </c>
      <c r="AK2448">
        <v>17.247229583431899</v>
      </c>
    </row>
    <row r="2449" spans="1:37" x14ac:dyDescent="0.2">
      <c r="A2449" t="str">
        <f>"20200111153657018"</f>
        <v>20200111153657018</v>
      </c>
      <c r="B2449" t="str">
        <f>"1578728217015233"</f>
        <v>1578728217015233</v>
      </c>
      <c r="C2449" t="s">
        <v>37</v>
      </c>
      <c r="D2449">
        <v>5.7728570000000001</v>
      </c>
      <c r="E2449">
        <v>0.48309719999999901</v>
      </c>
      <c r="F2449" t="s">
        <v>39</v>
      </c>
      <c r="G2449">
        <v>-488.8263</v>
      </c>
      <c r="H2449" s="1">
        <v>-3.3653120000000001E-6</v>
      </c>
      <c r="I2449">
        <v>256.99209999999999</v>
      </c>
      <c r="J2449">
        <v>-486.01190000000003</v>
      </c>
      <c r="K2449">
        <v>1.1089169999999999</v>
      </c>
      <c r="L2449">
        <v>273.50279999999998</v>
      </c>
      <c r="M2449">
        <v>-0.50773420000000002</v>
      </c>
      <c r="N2449">
        <v>0</v>
      </c>
      <c r="O2449">
        <v>-0.86141380000000001</v>
      </c>
      <c r="P2449">
        <v>-0.21910089999999999</v>
      </c>
      <c r="Q2449">
        <v>6.2972399999999998E-2</v>
      </c>
      <c r="R2449">
        <v>-0.97366819999999898</v>
      </c>
      <c r="S2449">
        <v>-0.51818850000000005</v>
      </c>
      <c r="T2449">
        <v>-0.19810829999999999</v>
      </c>
      <c r="U2449">
        <v>-2.9783629999999999</v>
      </c>
      <c r="V2449">
        <v>-0.30636639999999998</v>
      </c>
      <c r="W2449">
        <v>7.2501250000000003E-2</v>
      </c>
      <c r="X2449">
        <v>0.94914869999999996</v>
      </c>
      <c r="Y2449">
        <v>-0.35280830000000002</v>
      </c>
      <c r="Z2449">
        <v>5.0292339999999998E-2</v>
      </c>
      <c r="AA2449">
        <v>0.93434309999999998</v>
      </c>
      <c r="AB2449">
        <v>19</v>
      </c>
      <c r="AC2449">
        <v>-2.8143999999999698</v>
      </c>
      <c r="AD2449">
        <v>-1.1089203653119999</v>
      </c>
      <c r="AE2449">
        <v>-16.5106999999999</v>
      </c>
      <c r="AF2449">
        <v>-5.9331886007097197</v>
      </c>
      <c r="AG2449">
        <v>-1.1089203653119999</v>
      </c>
      <c r="AH2449">
        <v>15.5845437438915</v>
      </c>
      <c r="AI2449">
        <v>93.804508868626598</v>
      </c>
      <c r="AJ2449">
        <v>110.84231985689399</v>
      </c>
      <c r="AK2449">
        <v>16.712583135274599</v>
      </c>
    </row>
    <row r="2450" spans="1:37" x14ac:dyDescent="0.2">
      <c r="A2450" t="str">
        <f>"20200111153657031"</f>
        <v>20200111153657031</v>
      </c>
      <c r="B2450" t="str">
        <f>"1578728217024994"</f>
        <v>1578728217024994</v>
      </c>
      <c r="C2450" t="s">
        <v>37</v>
      </c>
      <c r="D2450">
        <v>5.7652080000000003</v>
      </c>
      <c r="E2450">
        <v>0.48398269999999999</v>
      </c>
      <c r="F2450" t="s">
        <v>39</v>
      </c>
      <c r="G2450">
        <v>-489.22460000000001</v>
      </c>
      <c r="H2450" s="1">
        <v>-2.87707E-6</v>
      </c>
      <c r="I2450">
        <v>256.01870000000002</v>
      </c>
      <c r="J2450">
        <v>-486.06599999999997</v>
      </c>
      <c r="K2450">
        <v>1.108903</v>
      </c>
      <c r="L2450">
        <v>273.39999999999998</v>
      </c>
      <c r="M2450">
        <v>-0.50352949999999996</v>
      </c>
      <c r="N2450">
        <v>0</v>
      </c>
      <c r="O2450">
        <v>-0.86387969999999903</v>
      </c>
      <c r="P2450">
        <v>-0.21606329999999899</v>
      </c>
      <c r="Q2450">
        <v>6.2622330000000004E-2</v>
      </c>
      <c r="R2450">
        <v>-0.97436929999999999</v>
      </c>
      <c r="S2450">
        <v>-0.54583740000000003</v>
      </c>
      <c r="T2450">
        <v>-0.1884035</v>
      </c>
      <c r="U2450">
        <v>-2.97052</v>
      </c>
      <c r="V2450">
        <v>-0.30470370000000002</v>
      </c>
      <c r="W2450">
        <v>7.2086040000000004E-2</v>
      </c>
      <c r="X2450">
        <v>0.94971539999999999</v>
      </c>
      <c r="Y2450">
        <v>-0.33935359999999998</v>
      </c>
      <c r="Z2450">
        <v>4.831564E-2</v>
      </c>
      <c r="AA2450">
        <v>0.93941719999999895</v>
      </c>
      <c r="AB2450">
        <v>19</v>
      </c>
      <c r="AC2450">
        <v>-3.1586000000000301</v>
      </c>
      <c r="AD2450">
        <v>-1.10890587707</v>
      </c>
      <c r="AE2450">
        <v>-17.3812999999999</v>
      </c>
      <c r="AF2450">
        <v>-6.00021679132945</v>
      </c>
      <c r="AG2450">
        <v>-1.10890587707</v>
      </c>
      <c r="AH2450">
        <v>16.542033036236401</v>
      </c>
      <c r="AI2450">
        <v>93.605901431487396</v>
      </c>
      <c r="AJ2450">
        <v>109.936998162075</v>
      </c>
      <c r="AK2450">
        <v>17.631537957849499</v>
      </c>
    </row>
    <row r="2451" spans="1:37" x14ac:dyDescent="0.2">
      <c r="A2451" t="str">
        <f>"20200111153657045"</f>
        <v>20200111153657045</v>
      </c>
      <c r="B2451" t="str">
        <f>"1578728217035730"</f>
        <v>1578728217035730</v>
      </c>
      <c r="C2451" t="s">
        <v>37</v>
      </c>
      <c r="D2451">
        <v>5.7792959999999898</v>
      </c>
      <c r="E2451">
        <v>0.484788</v>
      </c>
      <c r="F2451" t="s">
        <v>39</v>
      </c>
      <c r="G2451">
        <v>-489.33980000000003</v>
      </c>
      <c r="H2451" s="1">
        <v>-2.6258969999999998E-6</v>
      </c>
      <c r="I2451">
        <v>255.48079999999999</v>
      </c>
      <c r="J2451">
        <v>-486.11880000000002</v>
      </c>
      <c r="K2451">
        <v>1.108887</v>
      </c>
      <c r="L2451">
        <v>273.29829999999998</v>
      </c>
      <c r="M2451">
        <v>-0.49938349999999998</v>
      </c>
      <c r="N2451">
        <v>0</v>
      </c>
      <c r="O2451">
        <v>-0.86628430000000001</v>
      </c>
      <c r="P2451">
        <v>-0.21338960000000001</v>
      </c>
      <c r="Q2451">
        <v>6.2465220000000002E-2</v>
      </c>
      <c r="R2451">
        <v>-0.9749681</v>
      </c>
      <c r="S2451">
        <v>-0.54269409999999996</v>
      </c>
      <c r="T2451">
        <v>-0.18381800000000001</v>
      </c>
      <c r="U2451">
        <v>-2.970367</v>
      </c>
      <c r="V2451">
        <v>-0.30275540000000001</v>
      </c>
      <c r="W2451">
        <v>7.1872989999999998E-2</v>
      </c>
      <c r="X2451">
        <v>0.95035439999999904</v>
      </c>
      <c r="Y2451">
        <v>-0.33578799999999998</v>
      </c>
      <c r="Z2451">
        <v>4.7404059999999998E-2</v>
      </c>
      <c r="AA2451">
        <v>0.94074400000000002</v>
      </c>
      <c r="AB2451">
        <v>19</v>
      </c>
      <c r="AC2451">
        <v>-3.2210000000000001</v>
      </c>
      <c r="AD2451">
        <v>-1.108889625897</v>
      </c>
      <c r="AE2451">
        <v>-17.8174999999999</v>
      </c>
      <c r="AF2451">
        <v>-6.0851519140792503</v>
      </c>
      <c r="AG2451">
        <v>-1.108889625897</v>
      </c>
      <c r="AH2451">
        <v>16.981271103764598</v>
      </c>
      <c r="AI2451">
        <v>93.517717232461194</v>
      </c>
      <c r="AJ2451">
        <v>109.71488187760799</v>
      </c>
      <c r="AK2451">
        <v>18.072694273942499</v>
      </c>
    </row>
    <row r="2452" spans="1:37" x14ac:dyDescent="0.2">
      <c r="A2452" t="str">
        <f>"20200111153657057"</f>
        <v>20200111153657057</v>
      </c>
      <c r="B2452" t="str">
        <f>"1578728217045490"</f>
        <v>1578728217045490</v>
      </c>
      <c r="C2452" t="s">
        <v>37</v>
      </c>
      <c r="D2452">
        <v>5.7774039999999998</v>
      </c>
      <c r="E2452">
        <v>0.48505209999999999</v>
      </c>
      <c r="F2452" t="s">
        <v>39</v>
      </c>
      <c r="G2452">
        <v>-489.45</v>
      </c>
      <c r="H2452" s="1">
        <v>-2.39391099999999E-6</v>
      </c>
      <c r="I2452">
        <v>254.98560000000001</v>
      </c>
      <c r="J2452">
        <v>-486.16579999999999</v>
      </c>
      <c r="K2452">
        <v>1.1088719999999901</v>
      </c>
      <c r="L2452">
        <v>273.2072</v>
      </c>
      <c r="M2452">
        <v>-0.49567699999999998</v>
      </c>
      <c r="N2452">
        <v>0</v>
      </c>
      <c r="O2452">
        <v>-0.86841179999999996</v>
      </c>
      <c r="P2452">
        <v>-0.2113737</v>
      </c>
      <c r="Q2452">
        <v>6.2205959999999998E-2</v>
      </c>
      <c r="R2452">
        <v>-0.97542419999999996</v>
      </c>
      <c r="S2452">
        <v>-0.54031370000000001</v>
      </c>
      <c r="T2452">
        <v>-0.1798611</v>
      </c>
      <c r="U2452">
        <v>-2.9703059999999999</v>
      </c>
      <c r="V2452">
        <v>-0.30065979999999998</v>
      </c>
      <c r="W2452">
        <v>7.1572380000000005E-2</v>
      </c>
      <c r="X2452">
        <v>0.9510421</v>
      </c>
      <c r="Y2452">
        <v>-0.33247969999999999</v>
      </c>
      <c r="Z2452">
        <v>4.661216E-2</v>
      </c>
      <c r="AA2452">
        <v>0.94195779999999996</v>
      </c>
      <c r="AB2452">
        <v>19</v>
      </c>
      <c r="AC2452">
        <v>-3.28419999999999</v>
      </c>
      <c r="AD2452">
        <v>-1.108874393911</v>
      </c>
      <c r="AE2452">
        <v>-18.221599999999899</v>
      </c>
      <c r="AF2452">
        <v>-6.1584116717672002</v>
      </c>
      <c r="AG2452">
        <v>-1.108874393911</v>
      </c>
      <c r="AH2452">
        <v>17.390819563174102</v>
      </c>
      <c r="AI2452">
        <v>93.439611054185406</v>
      </c>
      <c r="AJ2452">
        <v>109.499998456968</v>
      </c>
      <c r="AK2452">
        <v>18.482322414115298</v>
      </c>
    </row>
    <row r="2453" spans="1:37" x14ac:dyDescent="0.2">
      <c r="A2453" t="str">
        <f>"20200111153657075"</f>
        <v>20200111153657075</v>
      </c>
      <c r="B2453" t="str">
        <f>"1578728217065012"</f>
        <v>1578728217065012</v>
      </c>
      <c r="C2453" t="s">
        <v>37</v>
      </c>
      <c r="D2453">
        <v>5.8448440000000002</v>
      </c>
      <c r="E2453">
        <v>0.48616870000000001</v>
      </c>
      <c r="F2453" t="s">
        <v>39</v>
      </c>
      <c r="G2453">
        <v>-489.51080000000002</v>
      </c>
      <c r="H2453" s="1">
        <v>-2.2529000000000001E-6</v>
      </c>
      <c r="I2453">
        <v>254.68209999999999</v>
      </c>
      <c r="J2453">
        <v>-486.23360000000002</v>
      </c>
      <c r="K2453">
        <v>1.1088530000000001</v>
      </c>
      <c r="L2453">
        <v>273.07400000000001</v>
      </c>
      <c r="M2453">
        <v>-0.4902822</v>
      </c>
      <c r="N2453">
        <v>0</v>
      </c>
      <c r="O2453">
        <v>-0.87147050000000004</v>
      </c>
      <c r="P2453">
        <v>-0.20926529999999999</v>
      </c>
      <c r="Q2453">
        <v>6.2371860000000001E-2</v>
      </c>
      <c r="R2453">
        <v>-0.97586819999999896</v>
      </c>
      <c r="S2453">
        <v>-0.53640750000000004</v>
      </c>
      <c r="T2453">
        <v>-0.1778198</v>
      </c>
      <c r="U2453">
        <v>-2.9707029999999999</v>
      </c>
      <c r="V2453">
        <v>-0.29680459999999997</v>
      </c>
      <c r="W2453">
        <v>7.1697469999999999E-2</v>
      </c>
      <c r="X2453">
        <v>0.9522429</v>
      </c>
      <c r="Y2453">
        <v>-0.32784649999999999</v>
      </c>
      <c r="Z2453">
        <v>4.6396239999999998E-2</v>
      </c>
      <c r="AA2453">
        <v>0.94359110000000002</v>
      </c>
      <c r="AB2453">
        <v>19</v>
      </c>
      <c r="AC2453">
        <v>-3.2771999999999899</v>
      </c>
      <c r="AD2453">
        <v>-1.1088552529</v>
      </c>
      <c r="AE2453">
        <v>-18.3919</v>
      </c>
      <c r="AF2453">
        <v>-6.1401067810395498</v>
      </c>
      <c r="AG2453">
        <v>-1.1088552529</v>
      </c>
      <c r="AH2453">
        <v>17.574268944634198</v>
      </c>
      <c r="AI2453">
        <v>93.408772756933104</v>
      </c>
      <c r="AJ2453">
        <v>109.258418706654</v>
      </c>
      <c r="AK2453">
        <v>18.649005340574799</v>
      </c>
    </row>
    <row r="2454" spans="1:37" x14ac:dyDescent="0.2">
      <c r="A2454" t="str">
        <f>"20200111153657089"</f>
        <v>20200111153657089</v>
      </c>
      <c r="B2454" t="str">
        <f>"1578728217085506"</f>
        <v>1578728217085506</v>
      </c>
      <c r="C2454" t="s">
        <v>37</v>
      </c>
      <c r="D2454">
        <v>5.7377370000000001</v>
      </c>
      <c r="E2454">
        <v>0.48704969999999997</v>
      </c>
      <c r="F2454" t="s">
        <v>39</v>
      </c>
      <c r="G2454">
        <v>-489.62900000000002</v>
      </c>
      <c r="H2454" s="1">
        <v>-2.08813799999999E-6</v>
      </c>
      <c r="I2454">
        <v>254.34690000000001</v>
      </c>
      <c r="J2454">
        <v>-486.28530000000001</v>
      </c>
      <c r="K2454">
        <v>1.1088370000000001</v>
      </c>
      <c r="L2454">
        <v>272.9708</v>
      </c>
      <c r="M2454">
        <v>-0.4861279</v>
      </c>
      <c r="N2454">
        <v>0</v>
      </c>
      <c r="O2454">
        <v>-0.87379569999999995</v>
      </c>
      <c r="P2454">
        <v>-0.20623859999999999</v>
      </c>
      <c r="Q2454">
        <v>6.2510709999999997E-2</v>
      </c>
      <c r="R2454">
        <v>-0.97650319999999902</v>
      </c>
      <c r="S2454">
        <v>-0.53848269999999998</v>
      </c>
      <c r="T2454">
        <v>-0.17585219999999999</v>
      </c>
      <c r="U2454">
        <v>-2.96991</v>
      </c>
      <c r="V2454">
        <v>-0.29521520000000001</v>
      </c>
      <c r="W2454">
        <v>7.179307E-2</v>
      </c>
      <c r="X2454">
        <v>0.95272959999999995</v>
      </c>
      <c r="Y2454">
        <v>-0.32265939999999999</v>
      </c>
      <c r="Z2454">
        <v>4.614625E-2</v>
      </c>
      <c r="AA2454">
        <v>0.94538960000000005</v>
      </c>
      <c r="AB2454">
        <v>19</v>
      </c>
      <c r="AC2454">
        <v>-3.3437000000000099</v>
      </c>
      <c r="AD2454">
        <v>-1.1088390881379999</v>
      </c>
      <c r="AE2454">
        <v>-18.6238999999999</v>
      </c>
      <c r="AF2454">
        <v>-6.1113922321364003</v>
      </c>
      <c r="AG2454">
        <v>-1.1088390881379999</v>
      </c>
      <c r="AH2454">
        <v>17.839126294459199</v>
      </c>
      <c r="AI2454">
        <v>93.365274691327997</v>
      </c>
      <c r="AJ2454">
        <v>108.91061931703101</v>
      </c>
      <c r="AK2454">
        <v>18.889496184071898</v>
      </c>
    </row>
    <row r="2455" spans="1:37" x14ac:dyDescent="0.2">
      <c r="A2455" t="str">
        <f>"20200111153657102"</f>
        <v>20200111153657102</v>
      </c>
      <c r="B2455" t="str">
        <f>"1578728217095266"</f>
        <v>1578728217095266</v>
      </c>
      <c r="C2455" t="s">
        <v>37</v>
      </c>
      <c r="D2455">
        <v>5.7765009999999997</v>
      </c>
      <c r="E2455">
        <v>0.48735990000000001</v>
      </c>
      <c r="F2455" t="s">
        <v>39</v>
      </c>
      <c r="G2455">
        <v>-489.71620000000001</v>
      </c>
      <c r="H2455" s="1">
        <v>-1.9098349999999998E-6</v>
      </c>
      <c r="I2455">
        <v>253.96729999999999</v>
      </c>
      <c r="J2455">
        <v>-486.33460000000002</v>
      </c>
      <c r="K2455">
        <v>1.1088149999999899</v>
      </c>
      <c r="L2455">
        <v>272.87169999999998</v>
      </c>
      <c r="M2455">
        <v>-0.4821531</v>
      </c>
      <c r="N2455">
        <v>0</v>
      </c>
      <c r="O2455">
        <v>-0.87599660000000001</v>
      </c>
      <c r="P2455">
        <v>-0.20373459999999999</v>
      </c>
      <c r="Q2455">
        <v>6.2397609999999999E-2</v>
      </c>
      <c r="R2455">
        <v>-0.97703639999999903</v>
      </c>
      <c r="S2455">
        <v>-0.53619380000000005</v>
      </c>
      <c r="T2455">
        <v>-0.17329739999999999</v>
      </c>
      <c r="U2455">
        <v>-2.9700009999999999</v>
      </c>
      <c r="V2455">
        <v>-0.29332599999999998</v>
      </c>
      <c r="W2455">
        <v>7.1648489999999995E-2</v>
      </c>
      <c r="X2455">
        <v>0.95332380000000005</v>
      </c>
      <c r="Y2455">
        <v>-0.31906329999999999</v>
      </c>
      <c r="Z2455">
        <v>4.5700339999999999E-2</v>
      </c>
      <c r="AA2455">
        <v>0.94663090000000005</v>
      </c>
      <c r="AB2455">
        <v>19</v>
      </c>
      <c r="AC2455">
        <v>-3.3815999999999899</v>
      </c>
      <c r="AD2455">
        <v>-1.10881690983499</v>
      </c>
      <c r="AE2455">
        <v>-18.9043999999999</v>
      </c>
      <c r="AF2455">
        <v>-6.1325884556181096</v>
      </c>
      <c r="AG2455">
        <v>-1.10881690983499</v>
      </c>
      <c r="AH2455">
        <v>18.131635564106201</v>
      </c>
      <c r="AI2455">
        <v>93.315434601281893</v>
      </c>
      <c r="AJ2455">
        <v>108.686867660865</v>
      </c>
      <c r="AK2455">
        <v>19.1727495246529</v>
      </c>
    </row>
    <row r="2456" spans="1:37" x14ac:dyDescent="0.2">
      <c r="A2456" t="str">
        <f>"20200111153657119"</f>
        <v>20200111153657119</v>
      </c>
      <c r="B2456" t="str">
        <f>"1578728217115761"</f>
        <v>1578728217115761</v>
      </c>
      <c r="C2456" t="s">
        <v>37</v>
      </c>
      <c r="D2456">
        <v>5.8334239999999999</v>
      </c>
      <c r="E2456">
        <v>0.48783649999999901</v>
      </c>
      <c r="F2456" t="s">
        <v>39</v>
      </c>
      <c r="G2456">
        <v>-489.72480000000002</v>
      </c>
      <c r="H2456" s="1">
        <v>-1.873826E-6</v>
      </c>
      <c r="I2456">
        <v>253.8869</v>
      </c>
      <c r="J2456">
        <v>-486.39789999999999</v>
      </c>
      <c r="K2456">
        <v>1.108784</v>
      </c>
      <c r="L2456">
        <v>272.74270000000001</v>
      </c>
      <c r="M2456">
        <v>-0.477018099999999</v>
      </c>
      <c r="N2456">
        <v>0</v>
      </c>
      <c r="O2456">
        <v>-0.87880419999999904</v>
      </c>
      <c r="P2456">
        <v>-0.2013665</v>
      </c>
      <c r="Q2456">
        <v>6.2779749999999995E-2</v>
      </c>
      <c r="R2456">
        <v>-0.97750219999999899</v>
      </c>
      <c r="S2456">
        <v>-0.53054809999999997</v>
      </c>
      <c r="T2456">
        <v>-0.173521799999999</v>
      </c>
      <c r="U2456">
        <v>-2.9709779999999899</v>
      </c>
      <c r="V2456">
        <v>-0.29003770000000001</v>
      </c>
      <c r="W2456">
        <v>7.2011859999999997E-2</v>
      </c>
      <c r="X2456">
        <v>0.95430210000000004</v>
      </c>
      <c r="Y2456">
        <v>-0.31531369999999997</v>
      </c>
      <c r="Z2456">
        <v>4.602477E-2</v>
      </c>
      <c r="AA2456">
        <v>0.94787080000000001</v>
      </c>
      <c r="AB2456">
        <v>19</v>
      </c>
      <c r="AC2456">
        <v>-3.3269000000000202</v>
      </c>
      <c r="AD2456">
        <v>-1.1087858738259999</v>
      </c>
      <c r="AE2456">
        <v>-18.855799999999999</v>
      </c>
      <c r="AF2456">
        <v>-6.0510486607078704</v>
      </c>
      <c r="AG2456">
        <v>-1.1087858738259999</v>
      </c>
      <c r="AH2456">
        <v>18.098280810866399</v>
      </c>
      <c r="AI2456">
        <v>93.325327494457795</v>
      </c>
      <c r="AJ2456">
        <v>108.487040884737</v>
      </c>
      <c r="AK2456">
        <v>19.1152390599025</v>
      </c>
    </row>
    <row r="2457" spans="1:37" x14ac:dyDescent="0.2">
      <c r="A2457" t="str">
        <f>"20200111153657134"</f>
        <v>20200111153657134</v>
      </c>
      <c r="B2457" t="str">
        <f>"1578728217125522"</f>
        <v>1578728217125522</v>
      </c>
      <c r="C2457" t="s">
        <v>37</v>
      </c>
      <c r="D2457">
        <v>5.841253</v>
      </c>
      <c r="E2457">
        <v>0.48805609999999999</v>
      </c>
      <c r="F2457" t="s">
        <v>39</v>
      </c>
      <c r="G2457">
        <v>-489.79300000000001</v>
      </c>
      <c r="H2457" s="1">
        <v>-1.7411369999999999E-6</v>
      </c>
      <c r="I2457">
        <v>253.60579999999999</v>
      </c>
      <c r="J2457">
        <v>-486.4547</v>
      </c>
      <c r="K2457">
        <v>1.1087469999999999</v>
      </c>
      <c r="L2457">
        <v>272.625</v>
      </c>
      <c r="M2457">
        <v>-0.4723794</v>
      </c>
      <c r="N2457">
        <v>0</v>
      </c>
      <c r="O2457">
        <v>-0.88130750000000002</v>
      </c>
      <c r="P2457">
        <v>-0.1979726</v>
      </c>
      <c r="Q2457">
        <v>6.2677199999999905E-2</v>
      </c>
      <c r="R2457">
        <v>-0.97820180000000001</v>
      </c>
      <c r="S2457">
        <v>-0.52719119999999997</v>
      </c>
      <c r="T2457">
        <v>-0.17217089999999999</v>
      </c>
      <c r="U2457">
        <v>-2.9715579999999999</v>
      </c>
      <c r="V2457">
        <v>-0.2883134</v>
      </c>
      <c r="W2457">
        <v>7.188725E-2</v>
      </c>
      <c r="X2457">
        <v>0.95483379999999995</v>
      </c>
      <c r="Y2457">
        <v>-0.31137759999999998</v>
      </c>
      <c r="Z2457">
        <v>4.5910189999999997E-2</v>
      </c>
      <c r="AA2457">
        <v>0.94917669999999998</v>
      </c>
      <c r="AB2457">
        <v>19</v>
      </c>
      <c r="AC2457">
        <v>-3.3382999999999998</v>
      </c>
      <c r="AD2457">
        <v>-1.1087487411369901</v>
      </c>
      <c r="AE2457">
        <v>-19.019200000000001</v>
      </c>
      <c r="AF2457">
        <v>-6.0228206043185901</v>
      </c>
      <c r="AG2457">
        <v>-1.1087487411369901</v>
      </c>
      <c r="AH2457">
        <v>18.279860654507502</v>
      </c>
      <c r="AI2457">
        <v>93.297040821196106</v>
      </c>
      <c r="AJ2457">
        <v>108.235939053425</v>
      </c>
      <c r="AK2457">
        <v>19.278407541884398</v>
      </c>
    </row>
    <row r="2458" spans="1:37" x14ac:dyDescent="0.2">
      <c r="A2458" t="str">
        <f>"20200111153657147"</f>
        <v>20200111153657147</v>
      </c>
      <c r="B2458" t="str">
        <f>"1578728217145042"</f>
        <v>1578728217145042</v>
      </c>
      <c r="C2458" t="s">
        <v>37</v>
      </c>
      <c r="D2458">
        <v>5.853675</v>
      </c>
      <c r="E2458">
        <v>0.48846329999999999</v>
      </c>
      <c r="F2458" t="s">
        <v>39</v>
      </c>
      <c r="G2458">
        <v>-489.79070000000002</v>
      </c>
      <c r="H2458" s="1">
        <v>-1.7016539999999999E-6</v>
      </c>
      <c r="I2458">
        <v>253.5128</v>
      </c>
      <c r="J2458">
        <v>-486.50029999999998</v>
      </c>
      <c r="K2458">
        <v>1.1087149999999999</v>
      </c>
      <c r="L2458">
        <v>272.52949999999998</v>
      </c>
      <c r="M2458">
        <v>-0.46864269999999902</v>
      </c>
      <c r="N2458">
        <v>0</v>
      </c>
      <c r="O2458">
        <v>-0.88330090000000006</v>
      </c>
      <c r="P2458">
        <v>-0.19574249999999899</v>
      </c>
      <c r="Q2458">
        <v>6.3163250000000004E-2</v>
      </c>
      <c r="R2458">
        <v>-0.97861909999999896</v>
      </c>
      <c r="S2458">
        <v>-0.51892090000000002</v>
      </c>
      <c r="T2458">
        <v>-0.17246600000000001</v>
      </c>
      <c r="U2458">
        <v>-2.9729000000000001</v>
      </c>
      <c r="V2458">
        <v>-0.2864275</v>
      </c>
      <c r="W2458">
        <v>7.2365699999999894E-2</v>
      </c>
      <c r="X2458">
        <v>0.95536509999999997</v>
      </c>
      <c r="Y2458">
        <v>-0.30998900000000001</v>
      </c>
      <c r="Z2458">
        <v>4.6158020000000001E-2</v>
      </c>
      <c r="AA2458">
        <v>0.94961899999999999</v>
      </c>
      <c r="AB2458">
        <v>19</v>
      </c>
      <c r="AC2458">
        <v>-3.2904000000000302</v>
      </c>
      <c r="AD2458">
        <v>-1.1087167016539901</v>
      </c>
      <c r="AE2458">
        <v>-19.016699999999901</v>
      </c>
      <c r="AF2458">
        <v>-5.9863284920837998</v>
      </c>
      <c r="AG2458">
        <v>-1.1087167016539901</v>
      </c>
      <c r="AH2458">
        <v>18.280566028753299</v>
      </c>
      <c r="AI2458">
        <v>93.298778717363305</v>
      </c>
      <c r="AJ2458">
        <v>108.132045082434</v>
      </c>
      <c r="AK2458">
        <v>19.267705516518301</v>
      </c>
    </row>
    <row r="2459" spans="1:37" x14ac:dyDescent="0.2">
      <c r="A2459" t="str">
        <f>"20200111153657165"</f>
        <v>20200111153657165</v>
      </c>
      <c r="B2459" t="str">
        <f>"1578728217155778"</f>
        <v>1578728217155778</v>
      </c>
      <c r="C2459" t="s">
        <v>37</v>
      </c>
      <c r="D2459">
        <v>5.8536830000000002</v>
      </c>
      <c r="E2459">
        <v>0.48872709999999903</v>
      </c>
      <c r="F2459" t="s">
        <v>39</v>
      </c>
      <c r="G2459">
        <v>-489.71339999999998</v>
      </c>
      <c r="H2459" s="1">
        <v>-1.9159230000000002E-6</v>
      </c>
      <c r="I2459">
        <v>253.9803</v>
      </c>
      <c r="J2459">
        <v>-486.56290000000001</v>
      </c>
      <c r="K2459">
        <v>1.108671</v>
      </c>
      <c r="L2459">
        <v>272.3972</v>
      </c>
      <c r="M2459">
        <v>-0.46351249999999999</v>
      </c>
      <c r="N2459">
        <v>0</v>
      </c>
      <c r="O2459">
        <v>-0.88600469999999898</v>
      </c>
      <c r="P2459">
        <v>-0.19374069999999999</v>
      </c>
      <c r="Q2459">
        <v>6.3422259999999994E-2</v>
      </c>
      <c r="R2459">
        <v>-0.97900089999999995</v>
      </c>
      <c r="S2459">
        <v>-0.51516720000000005</v>
      </c>
      <c r="T2459">
        <v>-0.17776339999999999</v>
      </c>
      <c r="U2459">
        <v>-2.97403</v>
      </c>
      <c r="V2459">
        <v>-0.2828215</v>
      </c>
      <c r="W2459">
        <v>7.2635829999999998E-2</v>
      </c>
      <c r="X2459">
        <v>0.95641830000000005</v>
      </c>
      <c r="Y2459">
        <v>-0.30571029999999999</v>
      </c>
      <c r="Z2459">
        <v>4.7833529999999999E-2</v>
      </c>
      <c r="AA2459">
        <v>0.9509223</v>
      </c>
      <c r="AB2459">
        <v>19</v>
      </c>
      <c r="AC2459">
        <v>-3.1504999999999601</v>
      </c>
      <c r="AD2459">
        <v>-1.108672915923</v>
      </c>
      <c r="AE2459">
        <v>-18.416899999999998</v>
      </c>
      <c r="AF2459">
        <v>-5.7253835503141799</v>
      </c>
      <c r="AG2459">
        <v>-1.108672915923</v>
      </c>
      <c r="AH2459">
        <v>17.716727974472299</v>
      </c>
      <c r="AI2459">
        <v>93.407690594185496</v>
      </c>
      <c r="AJ2459">
        <v>107.908891408271</v>
      </c>
      <c r="AK2459">
        <v>18.6518530595262</v>
      </c>
    </row>
    <row r="2460" spans="1:37" x14ac:dyDescent="0.2">
      <c r="A2460" t="str">
        <f>"20200111153657181"</f>
        <v>20200111153657181</v>
      </c>
      <c r="B2460" t="str">
        <f>"1578728217175299"</f>
        <v>1578728217175299</v>
      </c>
      <c r="C2460" t="s">
        <v>37</v>
      </c>
      <c r="D2460">
        <v>5.8477949999999996</v>
      </c>
      <c r="E2460">
        <v>0.489371</v>
      </c>
      <c r="F2460" t="s">
        <v>39</v>
      </c>
      <c r="G2460">
        <v>-489.7088</v>
      </c>
      <c r="H2460" s="1">
        <v>-1.9646569999999999E-6</v>
      </c>
      <c r="I2460">
        <v>254.09200000000001</v>
      </c>
      <c r="J2460">
        <v>-486.61880000000002</v>
      </c>
      <c r="K2460">
        <v>1.108619</v>
      </c>
      <c r="L2460">
        <v>272.27780000000001</v>
      </c>
      <c r="M2460">
        <v>-0.45893869999999998</v>
      </c>
      <c r="N2460">
        <v>0</v>
      </c>
      <c r="O2460">
        <v>-0.88838329999999999</v>
      </c>
      <c r="P2460">
        <v>-0.19057479999999999</v>
      </c>
      <c r="Q2460">
        <v>6.3866430000000002E-2</v>
      </c>
      <c r="R2460">
        <v>-0.97959300000000005</v>
      </c>
      <c r="S2460">
        <v>-0.51126099999999997</v>
      </c>
      <c r="T2460">
        <v>-0.18017529999999901</v>
      </c>
      <c r="U2460">
        <v>-2.9748540000000001</v>
      </c>
      <c r="V2460">
        <v>-0.28096159999999998</v>
      </c>
      <c r="W2460">
        <v>7.3081919999999995E-2</v>
      </c>
      <c r="X2460">
        <v>0.95693240000000002</v>
      </c>
      <c r="Y2460">
        <v>-0.30206349999999998</v>
      </c>
      <c r="Z2460">
        <v>4.8715950000000001E-2</v>
      </c>
      <c r="AA2460">
        <v>0.95204219999999895</v>
      </c>
      <c r="AB2460">
        <v>19</v>
      </c>
      <c r="AC2460">
        <v>-3.0899999999999701</v>
      </c>
      <c r="AD2460">
        <v>-1.108620964657</v>
      </c>
      <c r="AE2460">
        <v>-18.1858</v>
      </c>
      <c r="AF2460">
        <v>-5.5813247920623796</v>
      </c>
      <c r="AG2460">
        <v>-1.108620964657</v>
      </c>
      <c r="AH2460">
        <v>17.512150300197401</v>
      </c>
      <c r="AI2460">
        <v>93.451699376782003</v>
      </c>
      <c r="AJ2460">
        <v>107.677681790351</v>
      </c>
      <c r="AK2460">
        <v>18.413463417143198</v>
      </c>
    </row>
    <row r="2461" spans="1:37" x14ac:dyDescent="0.2">
      <c r="A2461" t="str">
        <f>"20200111153657196"</f>
        <v>20200111153657196</v>
      </c>
      <c r="B2461" t="str">
        <f>"1578728217185059"</f>
        <v>1578728217185059</v>
      </c>
      <c r="C2461" t="s">
        <v>37</v>
      </c>
      <c r="D2461">
        <v>5.8337979999999998</v>
      </c>
      <c r="E2461">
        <v>0.48961919999999998</v>
      </c>
      <c r="F2461" t="s">
        <v>39</v>
      </c>
      <c r="G2461">
        <v>-489.77460000000002</v>
      </c>
      <c r="H2461" s="1">
        <v>-1.8091739999999899E-6</v>
      </c>
      <c r="I2461">
        <v>253.7568</v>
      </c>
      <c r="J2461">
        <v>-486.67669999999998</v>
      </c>
      <c r="K2461">
        <v>1.10856</v>
      </c>
      <c r="L2461">
        <v>272.15210000000002</v>
      </c>
      <c r="M2461">
        <v>-0.4542042</v>
      </c>
      <c r="N2461">
        <v>0</v>
      </c>
      <c r="O2461">
        <v>-0.89081390000000005</v>
      </c>
      <c r="P2461">
        <v>-0.18855569999999999</v>
      </c>
      <c r="Q2461">
        <v>6.4200859999999998E-2</v>
      </c>
      <c r="R2461">
        <v>-0.97996209999999995</v>
      </c>
      <c r="S2461">
        <v>-0.50698849999999995</v>
      </c>
      <c r="T2461">
        <v>-0.1781034</v>
      </c>
      <c r="U2461">
        <v>-2.9754640000000001</v>
      </c>
      <c r="V2461">
        <v>-0.27781800000000001</v>
      </c>
      <c r="W2461">
        <v>7.3441909999999999E-2</v>
      </c>
      <c r="X2461">
        <v>0.95782230000000002</v>
      </c>
      <c r="Y2461">
        <v>-0.29834549999999999</v>
      </c>
      <c r="Z2461">
        <v>4.8398990000000003E-2</v>
      </c>
      <c r="AA2461">
        <v>0.95322999999999902</v>
      </c>
      <c r="AB2461">
        <v>19</v>
      </c>
      <c r="AC2461">
        <v>-3.0979000000000299</v>
      </c>
      <c r="AD2461">
        <v>-1.1085618091739999</v>
      </c>
      <c r="AE2461">
        <v>-18.395299999999999</v>
      </c>
      <c r="AF2461">
        <v>-5.5762947057120797</v>
      </c>
      <c r="AG2461">
        <v>-1.1085618091739999</v>
      </c>
      <c r="AH2461">
        <v>17.7325724012941</v>
      </c>
      <c r="AI2461">
        <v>93.412870644279906</v>
      </c>
      <c r="AJ2461">
        <v>107.456599522956</v>
      </c>
      <c r="AK2461">
        <v>18.621710337583099</v>
      </c>
    </row>
    <row r="2462" spans="1:37" x14ac:dyDescent="0.2">
      <c r="A2462" t="str">
        <f>"20200111153657220"</f>
        <v>20200111153657220</v>
      </c>
      <c r="B2462" t="str">
        <f>"1578728217215314"</f>
        <v>1578728217215314</v>
      </c>
      <c r="C2462" t="s">
        <v>37</v>
      </c>
      <c r="D2462">
        <v>6.0167599999999997</v>
      </c>
      <c r="E2462">
        <v>0.49025829999999998</v>
      </c>
      <c r="F2462" t="s">
        <v>39</v>
      </c>
      <c r="G2462">
        <v>-489.82159999999999</v>
      </c>
      <c r="H2462" s="1">
        <v>-1.7034610000000001E-6</v>
      </c>
      <c r="I2462">
        <v>253.52979999999999</v>
      </c>
      <c r="J2462">
        <v>-486.75470000000001</v>
      </c>
      <c r="K2462">
        <v>1.1084689999999999</v>
      </c>
      <c r="L2462">
        <v>271.98050000000001</v>
      </c>
      <c r="M2462">
        <v>-0.44785989999999998</v>
      </c>
      <c r="N2462">
        <v>0</v>
      </c>
      <c r="O2462">
        <v>-0.89402139999999997</v>
      </c>
      <c r="P2462">
        <v>-0.18467729999999999</v>
      </c>
      <c r="Q2462">
        <v>6.4455600000000002E-2</v>
      </c>
      <c r="R2462">
        <v>-0.98068359999999899</v>
      </c>
      <c r="S2462">
        <v>-0.50262450000000003</v>
      </c>
      <c r="T2462">
        <v>-0.17717289999999999</v>
      </c>
      <c r="U2462">
        <v>-2.9762569999999999</v>
      </c>
      <c r="V2462">
        <v>-0.27477119999999999</v>
      </c>
      <c r="W2462">
        <v>7.3726280000000005E-2</v>
      </c>
      <c r="X2462">
        <v>0.9586789</v>
      </c>
      <c r="Y2462">
        <v>-0.29295640000000001</v>
      </c>
      <c r="Z2462">
        <v>4.846632E-2</v>
      </c>
      <c r="AA2462">
        <v>0.95489659999999998</v>
      </c>
      <c r="AB2462">
        <v>19</v>
      </c>
      <c r="AC2462">
        <v>-3.0668999999999702</v>
      </c>
      <c r="AD2462">
        <v>-1.108470703461</v>
      </c>
      <c r="AE2462">
        <v>-18.450700000000001</v>
      </c>
      <c r="AF2462">
        <v>-5.50253466650266</v>
      </c>
      <c r="AG2462">
        <v>-1.108470703461</v>
      </c>
      <c r="AH2462">
        <v>17.807632913528</v>
      </c>
      <c r="AI2462">
        <v>93.4035109400062</v>
      </c>
      <c r="AJ2462">
        <v>107.17107880937</v>
      </c>
      <c r="AK2462">
        <v>18.671325208443601</v>
      </c>
    </row>
    <row r="2463" spans="1:37" x14ac:dyDescent="0.2">
      <c r="A2463" t="str">
        <f>"20200111153657234"</f>
        <v>20200111153657234</v>
      </c>
      <c r="B2463" t="str">
        <f>"1578728217225075"</f>
        <v>1578728217225075</v>
      </c>
      <c r="C2463" t="s">
        <v>37</v>
      </c>
      <c r="D2463">
        <v>5.859108</v>
      </c>
      <c r="E2463">
        <v>0.49045539999999999</v>
      </c>
      <c r="F2463" t="s">
        <v>39</v>
      </c>
      <c r="G2463">
        <v>-489.85070000000002</v>
      </c>
      <c r="H2463" s="1">
        <v>-1.6292119999999999E-6</v>
      </c>
      <c r="I2463">
        <v>253.36879999999999</v>
      </c>
      <c r="J2463">
        <v>-486.8109</v>
      </c>
      <c r="K2463">
        <v>1.1083909999999999</v>
      </c>
      <c r="L2463">
        <v>271.85489999999999</v>
      </c>
      <c r="M2463">
        <v>-0.44334229999999902</v>
      </c>
      <c r="N2463">
        <v>0</v>
      </c>
      <c r="O2463">
        <v>-0.89627080000000003</v>
      </c>
      <c r="P2463">
        <v>-0.18130879999999999</v>
      </c>
      <c r="Q2463">
        <v>6.4910860000000001E-2</v>
      </c>
      <c r="R2463">
        <v>-0.98128189999999904</v>
      </c>
      <c r="S2463">
        <v>-0.49530029999999903</v>
      </c>
      <c r="T2463">
        <v>-0.17733189999999999</v>
      </c>
      <c r="U2463">
        <v>-2.9774780000000001</v>
      </c>
      <c r="V2463">
        <v>-0.27319870000000002</v>
      </c>
      <c r="W2463">
        <v>7.4209440000000002E-2</v>
      </c>
      <c r="X2463">
        <v>0.95909089999999997</v>
      </c>
      <c r="Y2463">
        <v>-0.29048079999999998</v>
      </c>
      <c r="Z2463">
        <v>4.8715679999999997E-2</v>
      </c>
      <c r="AA2463">
        <v>0.95563999999999905</v>
      </c>
      <c r="AB2463">
        <v>19</v>
      </c>
      <c r="AC2463">
        <v>-3.0398000000000098</v>
      </c>
      <c r="AD2463">
        <v>-1.1083926292120001</v>
      </c>
      <c r="AE2463">
        <v>-18.4861</v>
      </c>
      <c r="AF2463">
        <v>-5.4525006868091204</v>
      </c>
      <c r="AG2463">
        <v>-1.1083926292120001</v>
      </c>
      <c r="AH2463">
        <v>17.855035311155</v>
      </c>
      <c r="AI2463">
        <v>93.397702894513699</v>
      </c>
      <c r="AJ2463">
        <v>106.981417713399</v>
      </c>
      <c r="AK2463">
        <v>18.701887175435999</v>
      </c>
    </row>
    <row r="2464" spans="1:37" x14ac:dyDescent="0.2">
      <c r="A2464" t="str">
        <f>"20200111153657249"</f>
        <v>20200111153657249</v>
      </c>
      <c r="B2464" t="str">
        <f>"1578728217245570"</f>
        <v>1578728217245570</v>
      </c>
      <c r="C2464" t="s">
        <v>37</v>
      </c>
      <c r="D2464">
        <v>6.0803699999999896</v>
      </c>
      <c r="E2464">
        <v>0.49096689999999998</v>
      </c>
      <c r="F2464" t="s">
        <v>39</v>
      </c>
      <c r="G2464">
        <v>-489.88409999999999</v>
      </c>
      <c r="H2464" s="1">
        <v>-1.4950789999999999E-6</v>
      </c>
      <c r="I2464">
        <v>253.06989999999999</v>
      </c>
      <c r="J2464">
        <v>-486.85739999999998</v>
      </c>
      <c r="K2464">
        <v>1.1083289999999999</v>
      </c>
      <c r="L2464">
        <v>271.75</v>
      </c>
      <c r="M2464">
        <v>-0.43962770000000001</v>
      </c>
      <c r="N2464">
        <v>0</v>
      </c>
      <c r="O2464">
        <v>-0.89809930000000004</v>
      </c>
      <c r="P2464">
        <v>-0.1788004</v>
      </c>
      <c r="Q2464">
        <v>6.5709000000000004E-2</v>
      </c>
      <c r="R2464">
        <v>-0.98168909999999998</v>
      </c>
      <c r="S2464">
        <v>-0.48733519999999902</v>
      </c>
      <c r="T2464">
        <v>-0.17576459999999999</v>
      </c>
      <c r="U2464">
        <v>-2.9788509999999899</v>
      </c>
      <c r="V2464">
        <v>-0.27164840000000001</v>
      </c>
      <c r="W2464">
        <v>7.5036329999999998E-2</v>
      </c>
      <c r="X2464">
        <v>0.95946690000000001</v>
      </c>
      <c r="Y2464">
        <v>-0.28907480000000002</v>
      </c>
      <c r="Z2464">
        <v>4.8442930000000002E-2</v>
      </c>
      <c r="AA2464">
        <v>0.95607999999999904</v>
      </c>
      <c r="AB2464">
        <v>19</v>
      </c>
      <c r="AC2464">
        <v>-3.0266999999999999</v>
      </c>
      <c r="AD2464">
        <v>-1.1083304950790001</v>
      </c>
      <c r="AE2464">
        <v>-18.680099999999999</v>
      </c>
      <c r="AF2464">
        <v>-5.4756282010647803</v>
      </c>
      <c r="AG2464">
        <v>-1.1083304950790001</v>
      </c>
      <c r="AH2464">
        <v>18.046615618463999</v>
      </c>
      <c r="AI2464">
        <v>93.363360536297904</v>
      </c>
      <c r="AJ2464">
        <v>106.878625979533</v>
      </c>
      <c r="AK2464">
        <v>18.8915652068114</v>
      </c>
    </row>
    <row r="2465" spans="1:37" x14ac:dyDescent="0.2">
      <c r="A2465" t="str">
        <f>"20200111153657265"</f>
        <v>20200111153657265</v>
      </c>
      <c r="B2465" t="str">
        <f>"1578728217255330"</f>
        <v>1578728217255330</v>
      </c>
      <c r="C2465" t="s">
        <v>37</v>
      </c>
      <c r="D2465">
        <v>5.8856630000000001</v>
      </c>
      <c r="E2465">
        <v>0.49114780000000002</v>
      </c>
      <c r="F2465" t="s">
        <v>39</v>
      </c>
      <c r="G2465">
        <v>-489.94779999999997</v>
      </c>
      <c r="H2465" s="1">
        <v>-1.327448E-6</v>
      </c>
      <c r="I2465">
        <v>252.7055</v>
      </c>
      <c r="J2465">
        <v>-486.91059999999999</v>
      </c>
      <c r="K2465">
        <v>1.1082540000000001</v>
      </c>
      <c r="L2465">
        <v>271.62900000000002</v>
      </c>
      <c r="M2465">
        <v>-0.43541570000000002</v>
      </c>
      <c r="N2465">
        <v>0</v>
      </c>
      <c r="O2465">
        <v>-0.90014930000000004</v>
      </c>
      <c r="P2465">
        <v>-0.17706529999999901</v>
      </c>
      <c r="Q2465">
        <v>6.747156E-2</v>
      </c>
      <c r="R2465">
        <v>-0.98188390000000003</v>
      </c>
      <c r="S2465">
        <v>-0.48348999999999998</v>
      </c>
      <c r="T2465">
        <v>-0.17339740000000001</v>
      </c>
      <c r="U2465">
        <v>-2.979492</v>
      </c>
      <c r="V2465">
        <v>-0.26879309999999901</v>
      </c>
      <c r="W2465">
        <v>7.6847830000000006E-2</v>
      </c>
      <c r="X2465">
        <v>0.96012739999999996</v>
      </c>
      <c r="Y2465">
        <v>-0.2858195</v>
      </c>
      <c r="Z2465">
        <v>4.7988799999999998E-2</v>
      </c>
      <c r="AA2465">
        <v>0.95708110000000002</v>
      </c>
      <c r="AB2465">
        <v>19</v>
      </c>
      <c r="AC2465">
        <v>-3.0371999999999799</v>
      </c>
      <c r="AD2465">
        <v>-1.108255327448</v>
      </c>
      <c r="AE2465">
        <v>-18.923500000000001</v>
      </c>
      <c r="AF2465">
        <v>-5.4877037208672599</v>
      </c>
      <c r="AG2465">
        <v>-1.108255327448</v>
      </c>
      <c r="AH2465">
        <v>18.296566621144301</v>
      </c>
      <c r="AI2465">
        <v>93.320483251036606</v>
      </c>
      <c r="AJ2465">
        <v>106.69560626015701</v>
      </c>
      <c r="AK2465">
        <v>19.1339350924166</v>
      </c>
    </row>
    <row r="2466" spans="1:37" x14ac:dyDescent="0.2">
      <c r="A2466" t="str">
        <f>"20200111153657286"</f>
        <v>20200111153657286</v>
      </c>
      <c r="B2466" t="str">
        <f>"1578728217275831"</f>
        <v>1578728217275831</v>
      </c>
      <c r="C2466" t="s">
        <v>37</v>
      </c>
      <c r="D2466">
        <v>5.7692670000000001</v>
      </c>
      <c r="E2466">
        <v>0.49145489999999997</v>
      </c>
      <c r="F2466" t="s">
        <v>39</v>
      </c>
      <c r="G2466">
        <v>-490.06819999999999</v>
      </c>
      <c r="H2466" s="1">
        <v>-1.056937E-6</v>
      </c>
      <c r="I2466">
        <v>252.01050000000001</v>
      </c>
      <c r="J2466">
        <v>-486.98289999999997</v>
      </c>
      <c r="K2466">
        <v>1.1081459999999901</v>
      </c>
      <c r="L2466">
        <v>271.4622</v>
      </c>
      <c r="M2466">
        <v>-0.42976399999999998</v>
      </c>
      <c r="N2466">
        <v>0</v>
      </c>
      <c r="O2466">
        <v>-0.90286180000000005</v>
      </c>
      <c r="P2466">
        <v>-0.17339879999999999</v>
      </c>
      <c r="Q2466">
        <v>6.8434309999999998E-2</v>
      </c>
      <c r="R2466">
        <v>-0.98247119999999999</v>
      </c>
      <c r="S2466">
        <v>-0.47970580000000002</v>
      </c>
      <c r="T2466">
        <v>-0.16836409999999999</v>
      </c>
      <c r="U2466">
        <v>-2.9804080000000002</v>
      </c>
      <c r="V2466">
        <v>-0.2663122</v>
      </c>
      <c r="W2466">
        <v>7.786854E-2</v>
      </c>
      <c r="X2466">
        <v>0.96073629999999999</v>
      </c>
      <c r="Y2466">
        <v>-0.2810301</v>
      </c>
      <c r="Z2466">
        <v>4.6853150000000003E-2</v>
      </c>
      <c r="AA2466">
        <v>0.95855460000000003</v>
      </c>
      <c r="AB2466">
        <v>19</v>
      </c>
      <c r="AC2466">
        <v>-3.0853000000000099</v>
      </c>
      <c r="AD2466">
        <v>-1.10814705693699</v>
      </c>
      <c r="AE2466">
        <v>-19.451699999999899</v>
      </c>
      <c r="AF2466">
        <v>-5.5568487099904296</v>
      </c>
      <c r="AG2466">
        <v>-1.10814705693699</v>
      </c>
      <c r="AH2466">
        <v>18.829890477964199</v>
      </c>
      <c r="AI2466">
        <v>93.230570195792794</v>
      </c>
      <c r="AJ2466">
        <v>106.44174430458401</v>
      </c>
      <c r="AK2466">
        <v>19.663960254680301</v>
      </c>
    </row>
    <row r="2467" spans="1:37" x14ac:dyDescent="0.2">
      <c r="A2467" t="str">
        <f>"20200111153657300"</f>
        <v>20200111153657300</v>
      </c>
      <c r="B2467" t="str">
        <f>"1578728217295346"</f>
        <v>1578728217295346</v>
      </c>
      <c r="C2467" t="s">
        <v>37</v>
      </c>
      <c r="D2467">
        <v>6.0832990000000002</v>
      </c>
      <c r="E2467">
        <v>0.49182389999999998</v>
      </c>
      <c r="F2467" t="s">
        <v>39</v>
      </c>
      <c r="G2467">
        <v>-490.13189999999997</v>
      </c>
      <c r="H2467" s="1">
        <v>-8.6897609999999998E-7</v>
      </c>
      <c r="I2467">
        <v>251.53290000000001</v>
      </c>
      <c r="J2467">
        <v>-487.02620000000002</v>
      </c>
      <c r="K2467">
        <v>1.1080859999999999</v>
      </c>
      <c r="L2467">
        <v>271.36149999999998</v>
      </c>
      <c r="M2467">
        <v>-0.42641889999999999</v>
      </c>
      <c r="N2467">
        <v>0</v>
      </c>
      <c r="O2467">
        <v>-0.90444669999999905</v>
      </c>
      <c r="P2467">
        <v>-0.17096259999999999</v>
      </c>
      <c r="Q2467">
        <v>6.9091710000000001E-2</v>
      </c>
      <c r="R2467">
        <v>-0.98285219999999995</v>
      </c>
      <c r="S2467">
        <v>-0.47116089999999999</v>
      </c>
      <c r="T2467">
        <v>-0.16580400000000001</v>
      </c>
      <c r="U2467">
        <v>-2.98187299999999</v>
      </c>
      <c r="V2467">
        <v>-0.26510879999999998</v>
      </c>
      <c r="W2467">
        <v>7.8558779999999995E-2</v>
      </c>
      <c r="X2467">
        <v>0.96101299999999901</v>
      </c>
      <c r="Y2467">
        <v>-0.28022550000000002</v>
      </c>
      <c r="Z2467">
        <v>4.6264319999999998E-2</v>
      </c>
      <c r="AA2467">
        <v>0.95881870000000002</v>
      </c>
      <c r="AB2467">
        <v>19</v>
      </c>
      <c r="AC2467">
        <v>-3.1056999999999499</v>
      </c>
      <c r="AD2467">
        <v>-1.1080868689761001</v>
      </c>
      <c r="AE2467">
        <v>-19.828599999999899</v>
      </c>
      <c r="AF2467">
        <v>-5.62959378212574</v>
      </c>
      <c r="AG2467">
        <v>-1.1080868689761001</v>
      </c>
      <c r="AH2467">
        <v>19.201090956858401</v>
      </c>
      <c r="AI2467">
        <v>93.169713548296201</v>
      </c>
      <c r="AJ2467">
        <v>106.34068074092001</v>
      </c>
      <c r="AK2467">
        <v>20.040011891076698</v>
      </c>
    </row>
    <row r="2468" spans="1:37" x14ac:dyDescent="0.2">
      <c r="A2468" t="str">
        <f>"20200111153657312"</f>
        <v>20200111153657312</v>
      </c>
      <c r="B2468" t="str">
        <f>"1578728217305106"</f>
        <v>1578728217305106</v>
      </c>
      <c r="C2468" t="s">
        <v>37</v>
      </c>
      <c r="D2468">
        <v>5.8119160000000001</v>
      </c>
      <c r="E2468">
        <v>0.49206739999999999</v>
      </c>
      <c r="F2468" t="s">
        <v>39</v>
      </c>
      <c r="G2468">
        <v>-490.1748</v>
      </c>
      <c r="H2468" s="1">
        <v>-7.5704600000000001E-7</v>
      </c>
      <c r="I2468">
        <v>251.24539999999999</v>
      </c>
      <c r="J2468">
        <v>-487.07229999999998</v>
      </c>
      <c r="K2468">
        <v>1.108015</v>
      </c>
      <c r="L2468">
        <v>271.25290000000001</v>
      </c>
      <c r="M2468">
        <v>-0.42291869999999998</v>
      </c>
      <c r="N2468">
        <v>0</v>
      </c>
      <c r="O2468">
        <v>-0.90608919999999904</v>
      </c>
      <c r="P2468">
        <v>-0.1683289</v>
      </c>
      <c r="Q2468">
        <v>6.9928480000000001E-2</v>
      </c>
      <c r="R2468">
        <v>-0.98324739999999999</v>
      </c>
      <c r="S2468">
        <v>-0.46685789999999999</v>
      </c>
      <c r="T2468">
        <v>-0.16430229999999901</v>
      </c>
      <c r="U2468">
        <v>-2.9827270000000001</v>
      </c>
      <c r="V2468">
        <v>-0.26393329999999998</v>
      </c>
      <c r="W2468">
        <v>7.9427730000000002E-2</v>
      </c>
      <c r="X2468">
        <v>0.96126499999999904</v>
      </c>
      <c r="Y2468">
        <v>-0.27790290000000001</v>
      </c>
      <c r="Z2468">
        <v>4.5988540000000001E-2</v>
      </c>
      <c r="AA2468">
        <v>0.95950769999999996</v>
      </c>
      <c r="AB2468">
        <v>19</v>
      </c>
      <c r="AC2468">
        <v>-3.10250000000002</v>
      </c>
      <c r="AD2468">
        <v>-1.1080157570460001</v>
      </c>
      <c r="AE2468">
        <v>-20.0075</v>
      </c>
      <c r="AF2468">
        <v>-5.6339325086007701</v>
      </c>
      <c r="AG2468">
        <v>-1.1080157570460001</v>
      </c>
      <c r="AH2468">
        <v>19.384012894421598</v>
      </c>
      <c r="AI2468">
        <v>93.141804905259804</v>
      </c>
      <c r="AJ2468">
        <v>106.20642214118401</v>
      </c>
      <c r="AK2468">
        <v>20.216548922119099</v>
      </c>
    </row>
    <row r="2469" spans="1:37" x14ac:dyDescent="0.2">
      <c r="A2469" t="str">
        <f>"20200111153657326"</f>
        <v>20200111153657326</v>
      </c>
      <c r="B2469" t="str">
        <f>"1578728217314866"</f>
        <v>1578728217314866</v>
      </c>
      <c r="C2469" t="s">
        <v>37</v>
      </c>
      <c r="D2469">
        <v>5.8577719999999998</v>
      </c>
      <c r="E2469">
        <v>0.49226449999999999</v>
      </c>
      <c r="F2469" t="s">
        <v>39</v>
      </c>
      <c r="G2469">
        <v>-490.22129999999999</v>
      </c>
      <c r="H2469" s="1">
        <v>-6.0482149999999997E-7</v>
      </c>
      <c r="I2469">
        <v>250.86170000000001</v>
      </c>
      <c r="J2469">
        <v>-487.11439999999999</v>
      </c>
      <c r="K2469">
        <v>1.107955</v>
      </c>
      <c r="L2469">
        <v>271.1533</v>
      </c>
      <c r="M2469">
        <v>-0.41975269999999998</v>
      </c>
      <c r="N2469">
        <v>0</v>
      </c>
      <c r="O2469">
        <v>-0.90756079999999995</v>
      </c>
      <c r="P2469">
        <v>-0.166074</v>
      </c>
      <c r="Q2469">
        <v>7.0819110000000005E-2</v>
      </c>
      <c r="R2469">
        <v>-0.98356749999999904</v>
      </c>
      <c r="S2469">
        <v>-0.4607849</v>
      </c>
      <c r="T2469">
        <v>-0.16213169999999999</v>
      </c>
      <c r="U2469">
        <v>-2.983765</v>
      </c>
      <c r="V2469">
        <v>-0.26274789999999998</v>
      </c>
      <c r="W2469">
        <v>8.0348390000000006E-2</v>
      </c>
      <c r="X2469">
        <v>0.96151319999999996</v>
      </c>
      <c r="Y2469">
        <v>-0.27650279999999999</v>
      </c>
      <c r="Z2469">
        <v>4.5500859999999997E-2</v>
      </c>
      <c r="AA2469">
        <v>0.959935399999999</v>
      </c>
      <c r="AB2469">
        <v>19</v>
      </c>
      <c r="AC2469">
        <v>-3.1068999999999898</v>
      </c>
      <c r="AD2469">
        <v>-1.1079556048215</v>
      </c>
      <c r="AE2469">
        <v>-20.291599999999899</v>
      </c>
      <c r="AF2469">
        <v>-5.6816043473111799</v>
      </c>
      <c r="AG2469">
        <v>-1.1079556048215</v>
      </c>
      <c r="AH2469">
        <v>19.664098894628999</v>
      </c>
      <c r="AI2469">
        <v>93.098392416773393</v>
      </c>
      <c r="AJ2469">
        <v>106.115743541694</v>
      </c>
      <c r="AK2469">
        <v>20.498414058638598</v>
      </c>
    </row>
    <row r="2470" spans="1:37" x14ac:dyDescent="0.2">
      <c r="A2470" t="str">
        <f>"20200111153657344"</f>
        <v>20200111153657344</v>
      </c>
      <c r="B2470" t="str">
        <f>"1578728217335361"</f>
        <v>1578728217335361</v>
      </c>
      <c r="C2470" t="s">
        <v>37</v>
      </c>
      <c r="D2470">
        <v>5.7146349999999897</v>
      </c>
      <c r="E2470">
        <v>0.49270540000000002</v>
      </c>
      <c r="F2470" t="s">
        <v>39</v>
      </c>
      <c r="G2470">
        <v>-490.2713</v>
      </c>
      <c r="H2470" s="1">
        <v>-4.5867269999999901E-7</v>
      </c>
      <c r="I2470">
        <v>250.49</v>
      </c>
      <c r="J2470">
        <v>-487.17270000000002</v>
      </c>
      <c r="K2470">
        <v>1.1078749999999999</v>
      </c>
      <c r="L2470">
        <v>271.0136</v>
      </c>
      <c r="M2470">
        <v>-0.41540899999999997</v>
      </c>
      <c r="N2470">
        <v>0</v>
      </c>
      <c r="O2470">
        <v>-0.90955730000000001</v>
      </c>
      <c r="P2470">
        <v>-0.16383819999999999</v>
      </c>
      <c r="Q2470">
        <v>7.1739800000000006E-2</v>
      </c>
      <c r="R2470">
        <v>-0.98387539999999996</v>
      </c>
      <c r="S2470">
        <v>-0.4559937</v>
      </c>
      <c r="T2470">
        <v>-0.16003399999999901</v>
      </c>
      <c r="U2470">
        <v>-2.9846189999999999</v>
      </c>
      <c r="V2470">
        <v>-0.26029479999999999</v>
      </c>
      <c r="W2470">
        <v>8.1319379999999997E-2</v>
      </c>
      <c r="X2470">
        <v>0.96209869999999897</v>
      </c>
      <c r="Y2470">
        <v>-0.2734509</v>
      </c>
      <c r="Z2470">
        <v>4.508558E-2</v>
      </c>
      <c r="AA2470">
        <v>0.96082880000000004</v>
      </c>
      <c r="AB2470">
        <v>19</v>
      </c>
      <c r="AC2470">
        <v>-3.09859999999997</v>
      </c>
      <c r="AD2470">
        <v>-1.1078754586727</v>
      </c>
      <c r="AE2470">
        <v>-20.523599999999899</v>
      </c>
      <c r="AF2470">
        <v>-5.69152104847615</v>
      </c>
      <c r="AG2470">
        <v>-1.1078754586727</v>
      </c>
      <c r="AH2470">
        <v>19.899289978454799</v>
      </c>
      <c r="AI2470">
        <v>93.063988771059599</v>
      </c>
      <c r="AJ2470">
        <v>105.961392146257</v>
      </c>
      <c r="AK2470">
        <v>20.726855562863499</v>
      </c>
    </row>
    <row r="2471" spans="1:37" x14ac:dyDescent="0.2">
      <c r="A2471" t="str">
        <f>"20200111153657357"</f>
        <v>20200111153657357</v>
      </c>
      <c r="B2471" t="str">
        <f>"1578728217345122"</f>
        <v>1578728217345122</v>
      </c>
      <c r="C2471" t="s">
        <v>37</v>
      </c>
      <c r="D2471">
        <v>5.9214229999999999</v>
      </c>
      <c r="E2471">
        <v>0.49274380000000001</v>
      </c>
      <c r="F2471" t="s">
        <v>39</v>
      </c>
      <c r="G2471">
        <v>-490.3501</v>
      </c>
      <c r="H2471" s="1">
        <v>-2.9610769999999999E-7</v>
      </c>
      <c r="I2471">
        <v>250.06219999999999</v>
      </c>
      <c r="J2471">
        <v>-487.2167</v>
      </c>
      <c r="K2471">
        <v>1.1078110000000001</v>
      </c>
      <c r="L2471">
        <v>270.9074</v>
      </c>
      <c r="M2471">
        <v>-0.41217949999999998</v>
      </c>
      <c r="N2471">
        <v>0</v>
      </c>
      <c r="O2471">
        <v>-0.91102559999999999</v>
      </c>
      <c r="P2471">
        <v>-0.16121549999999901</v>
      </c>
      <c r="Q2471">
        <v>7.2227260000000001E-2</v>
      </c>
      <c r="R2471">
        <v>-0.98427279999999995</v>
      </c>
      <c r="S2471">
        <v>-0.45272829999999997</v>
      </c>
      <c r="T2471">
        <v>-0.15785729999999901</v>
      </c>
      <c r="U2471">
        <v>-2.9852910000000001</v>
      </c>
      <c r="V2471">
        <v>-0.25942019999999999</v>
      </c>
      <c r="W2471">
        <v>8.1835969999999994E-2</v>
      </c>
      <c r="X2471">
        <v>0.96229100000000001</v>
      </c>
      <c r="Y2471">
        <v>-0.27109349999999999</v>
      </c>
      <c r="Z2471">
        <v>4.4598359999999997E-2</v>
      </c>
      <c r="AA2471">
        <v>0.96151929999999997</v>
      </c>
      <c r="AB2471">
        <v>19</v>
      </c>
      <c r="AC2471">
        <v>-3.1333999999999902</v>
      </c>
      <c r="AD2471">
        <v>-1.1078112961077</v>
      </c>
      <c r="AE2471">
        <v>-20.845199999999998</v>
      </c>
      <c r="AF2471">
        <v>-5.7219556005512402</v>
      </c>
      <c r="AG2471">
        <v>-1.1078112961077</v>
      </c>
      <c r="AH2471">
        <v>20.227590623250801</v>
      </c>
      <c r="AI2471">
        <v>93.016662518535</v>
      </c>
      <c r="AJ2471">
        <v>105.795081010232</v>
      </c>
      <c r="AK2471">
        <v>21.050497480684101</v>
      </c>
    </row>
    <row r="2472" spans="1:37" x14ac:dyDescent="0.2">
      <c r="A2472" t="str">
        <f>"20200111153657371"</f>
        <v>20200111153657371</v>
      </c>
      <c r="B2472" t="str">
        <f>"1578728217365618"</f>
        <v>1578728217365618</v>
      </c>
      <c r="C2472" t="s">
        <v>37</v>
      </c>
      <c r="D2472">
        <v>5.616155</v>
      </c>
      <c r="E2472">
        <v>0.47736859999999998</v>
      </c>
      <c r="F2472" t="s">
        <v>39</v>
      </c>
      <c r="G2472">
        <v>-490.38069999999999</v>
      </c>
      <c r="H2472" s="1">
        <v>-1.312434E-7</v>
      </c>
      <c r="I2472">
        <v>249.65889999999999</v>
      </c>
      <c r="J2472">
        <v>-487.26010000000002</v>
      </c>
      <c r="K2472">
        <v>1.107748</v>
      </c>
      <c r="L2472">
        <v>270.80160000000001</v>
      </c>
      <c r="M2472">
        <v>-0.40904659999999998</v>
      </c>
      <c r="N2472">
        <v>0</v>
      </c>
      <c r="O2472">
        <v>-0.9124369</v>
      </c>
      <c r="P2472">
        <v>-0.15849099999999999</v>
      </c>
      <c r="Q2472">
        <v>7.2372290000000006E-2</v>
      </c>
      <c r="R2472">
        <v>-0.98470460000000004</v>
      </c>
      <c r="S2472">
        <v>-0.44470209999999999</v>
      </c>
      <c r="T2472">
        <v>-0.15570639999999999</v>
      </c>
      <c r="U2472">
        <v>-2.986542</v>
      </c>
      <c r="V2472">
        <v>-0.2587604</v>
      </c>
      <c r="W2472">
        <v>8.2007549999999999E-2</v>
      </c>
      <c r="X2472">
        <v>0.96245409999999998</v>
      </c>
      <c r="Y2472">
        <v>-0.27036890000000002</v>
      </c>
      <c r="Z2472">
        <v>4.4094550000000003E-2</v>
      </c>
      <c r="AA2472">
        <v>0.96174649999999995</v>
      </c>
      <c r="AB2472">
        <v>19</v>
      </c>
      <c r="AC2472">
        <v>-3.1205999999999601</v>
      </c>
      <c r="AD2472">
        <v>-1.1077481312433901</v>
      </c>
      <c r="AE2472">
        <v>-21.142700000000001</v>
      </c>
      <c r="AF2472">
        <v>-5.7858601969277501</v>
      </c>
      <c r="AG2472">
        <v>-1.1077481312433901</v>
      </c>
      <c r="AH2472">
        <v>20.514174915794602</v>
      </c>
      <c r="AI2472">
        <v>92.975076389332997</v>
      </c>
      <c r="AJ2472">
        <v>105.75068432971599</v>
      </c>
      <c r="AK2472">
        <v>21.343257872604301</v>
      </c>
    </row>
    <row r="2473" spans="1:37" x14ac:dyDescent="0.2">
      <c r="A2473" t="str">
        <f>"20200111153657387"</f>
        <v>20200111153657387</v>
      </c>
      <c r="B2473" t="str">
        <f>"1578728217385138"</f>
        <v>1578728217385138</v>
      </c>
      <c r="C2473" t="s">
        <v>37</v>
      </c>
      <c r="D2473">
        <v>5.6866019999999997</v>
      </c>
      <c r="E2473">
        <v>0.47614440000000002</v>
      </c>
      <c r="F2473" t="s">
        <v>39</v>
      </c>
      <c r="G2473">
        <v>-489.76280000000003</v>
      </c>
      <c r="H2473" s="1">
        <v>-3.1388919999999999E-6</v>
      </c>
      <c r="I2473">
        <v>246.85149999999999</v>
      </c>
      <c r="J2473">
        <v>-487.3116</v>
      </c>
      <c r="K2473">
        <v>1.1076790000000001</v>
      </c>
      <c r="L2473">
        <v>270.67509999999999</v>
      </c>
      <c r="M2473">
        <v>-0.40536759999999999</v>
      </c>
      <c r="N2473">
        <v>0</v>
      </c>
      <c r="O2473">
        <v>-0.91407749999999999</v>
      </c>
      <c r="P2473">
        <v>-0.155836999999999</v>
      </c>
      <c r="Q2473">
        <v>7.3363070000000002E-2</v>
      </c>
      <c r="R2473">
        <v>-0.9850546</v>
      </c>
      <c r="S2473">
        <v>-0.31414789999999998</v>
      </c>
      <c r="T2473">
        <v>-0.13904810000000001</v>
      </c>
      <c r="U2473">
        <v>-3.0062869999999999</v>
      </c>
      <c r="V2473">
        <v>-0.25743709999999997</v>
      </c>
      <c r="W2473">
        <v>8.3035429999999993E-2</v>
      </c>
      <c r="X2473">
        <v>0.96272080000000004</v>
      </c>
      <c r="Y2473">
        <v>-0.3082684</v>
      </c>
      <c r="Z2473">
        <v>3.906714E-2</v>
      </c>
      <c r="AA2473">
        <v>0.95049689999999998</v>
      </c>
      <c r="AB2473">
        <v>19</v>
      </c>
      <c r="AC2473">
        <v>-2.45120000000002</v>
      </c>
      <c r="AD2473">
        <v>-1.107682138892</v>
      </c>
      <c r="AE2473">
        <v>-23.823599999999999</v>
      </c>
      <c r="AF2473">
        <v>-7.4014131436208803</v>
      </c>
      <c r="AG2473">
        <v>-1.107682138892</v>
      </c>
      <c r="AH2473">
        <v>22.7232329127363</v>
      </c>
      <c r="AI2473">
        <v>92.653756191393896</v>
      </c>
      <c r="AJ2473">
        <v>108.04146951733</v>
      </c>
      <c r="AK2473">
        <v>23.923904159853301</v>
      </c>
    </row>
    <row r="2474" spans="1:37" x14ac:dyDescent="0.2">
      <c r="A2474" t="str">
        <f>"20200111153657401"</f>
        <v>20200111153657401</v>
      </c>
      <c r="B2474" t="str">
        <f>"1578728217394898"</f>
        <v>1578728217394898</v>
      </c>
      <c r="C2474" t="s">
        <v>37</v>
      </c>
      <c r="D2474">
        <v>5.6173529999999996</v>
      </c>
      <c r="E2474">
        <v>0.47652060000000002</v>
      </c>
      <c r="F2474" t="s">
        <v>39</v>
      </c>
      <c r="G2474">
        <v>-489.62459999999999</v>
      </c>
      <c r="H2474" s="1">
        <v>-3.3208319999999899E-6</v>
      </c>
      <c r="I2474">
        <v>247.21850000000001</v>
      </c>
      <c r="J2474">
        <v>-487.35640000000001</v>
      </c>
      <c r="K2474">
        <v>1.107618</v>
      </c>
      <c r="L2474">
        <v>270.56420000000003</v>
      </c>
      <c r="M2474">
        <v>-0.40220729999999999</v>
      </c>
      <c r="N2474">
        <v>0</v>
      </c>
      <c r="O2474">
        <v>-0.91547279999999998</v>
      </c>
      <c r="P2474">
        <v>-0.15278639999999999</v>
      </c>
      <c r="Q2474">
        <v>7.3445739999999995E-2</v>
      </c>
      <c r="R2474">
        <v>-0.98552659999999903</v>
      </c>
      <c r="S2474">
        <v>-0.2967224</v>
      </c>
      <c r="T2474">
        <v>-0.14210020000000001</v>
      </c>
      <c r="U2474">
        <v>-3.0091549999999998</v>
      </c>
      <c r="V2474">
        <v>-0.25707619999999998</v>
      </c>
      <c r="W2474">
        <v>8.3143759999999997E-2</v>
      </c>
      <c r="X2474">
        <v>0.96280779999999999</v>
      </c>
      <c r="Y2474">
        <v>-0.31052570000000002</v>
      </c>
      <c r="Z2474">
        <v>3.9974379999999997E-2</v>
      </c>
      <c r="AA2474">
        <v>0.94972409999999996</v>
      </c>
      <c r="AB2474">
        <v>19</v>
      </c>
      <c r="AC2474">
        <v>-2.2681999999999798</v>
      </c>
      <c r="AD2474">
        <v>-1.1076213208319901</v>
      </c>
      <c r="AE2474">
        <v>-23.345700000000001</v>
      </c>
      <c r="AF2474">
        <v>-7.2975703348946199</v>
      </c>
      <c r="AG2474">
        <v>-1.1076213208319901</v>
      </c>
      <c r="AH2474">
        <v>22.2366013539169</v>
      </c>
      <c r="AI2474">
        <v>92.709632006740705</v>
      </c>
      <c r="AJ2474">
        <v>108.16871422160899</v>
      </c>
      <c r="AK2474">
        <v>23.4296350282311</v>
      </c>
    </row>
    <row r="2475" spans="1:37" x14ac:dyDescent="0.2">
      <c r="A2475" t="str">
        <f>"20200111153657415"</f>
        <v>20200111153657415</v>
      </c>
      <c r="B2475" t="str">
        <f>"1578728217405634"</f>
        <v>1578728217405634</v>
      </c>
      <c r="C2475" t="s">
        <v>37</v>
      </c>
      <c r="D2475">
        <v>5.6309680000000002</v>
      </c>
      <c r="E2475">
        <v>0.47639619999999999</v>
      </c>
      <c r="F2475" t="s">
        <v>39</v>
      </c>
      <c r="G2475">
        <v>-489.5949</v>
      </c>
      <c r="H2475" s="1">
        <v>-3.3709709999999998E-6</v>
      </c>
      <c r="I2475">
        <v>247.32310000000001</v>
      </c>
      <c r="J2475">
        <v>-487.40339999999998</v>
      </c>
      <c r="K2475">
        <v>1.107553</v>
      </c>
      <c r="L2475">
        <v>270.44670000000002</v>
      </c>
      <c r="M2475">
        <v>-0.39894590000000002</v>
      </c>
      <c r="N2475">
        <v>0</v>
      </c>
      <c r="O2475">
        <v>-0.91689889999999996</v>
      </c>
      <c r="P2475">
        <v>-0.14981629999999899</v>
      </c>
      <c r="Q2475">
        <v>7.3508599999999993E-2</v>
      </c>
      <c r="R2475">
        <v>-0.985977399999999</v>
      </c>
      <c r="S2475">
        <v>-0.28988649999999999</v>
      </c>
      <c r="T2475">
        <v>-0.14344170000000001</v>
      </c>
      <c r="U2475">
        <v>-3.009827</v>
      </c>
      <c r="V2475">
        <v>-0.25653429999999999</v>
      </c>
      <c r="W2475">
        <v>8.3234039999999995E-2</v>
      </c>
      <c r="X2475">
        <v>0.96294460000000004</v>
      </c>
      <c r="Y2475">
        <v>-0.30930079999999999</v>
      </c>
      <c r="Z2475">
        <v>4.0455520000000002E-2</v>
      </c>
      <c r="AA2475">
        <v>0.95010329999999998</v>
      </c>
      <c r="AB2475">
        <v>19</v>
      </c>
      <c r="AC2475">
        <v>-2.1915000000000102</v>
      </c>
      <c r="AD2475">
        <v>-1.1075563709709999</v>
      </c>
      <c r="AE2475">
        <v>-23.1236</v>
      </c>
      <c r="AF2475">
        <v>-7.1998111169045602</v>
      </c>
      <c r="AG2475">
        <v>-1.1075563709709999</v>
      </c>
      <c r="AH2475">
        <v>22.027738171720799</v>
      </c>
      <c r="AI2475">
        <v>92.736196835703595</v>
      </c>
      <c r="AJ2475">
        <v>108.100085749714</v>
      </c>
      <c r="AK2475">
        <v>23.2009743372098</v>
      </c>
    </row>
    <row r="2476" spans="1:37" x14ac:dyDescent="0.2">
      <c r="A2476" t="str">
        <f>"20200111153657433"</f>
        <v>20200111153657433</v>
      </c>
      <c r="B2476" t="str">
        <f>"1578728217425158"</f>
        <v>1578728217425158</v>
      </c>
      <c r="C2476" t="s">
        <v>37</v>
      </c>
      <c r="D2476">
        <v>5.8562339999999997</v>
      </c>
      <c r="E2476">
        <v>0.47719040000000001</v>
      </c>
      <c r="F2476" t="s">
        <v>39</v>
      </c>
      <c r="G2476">
        <v>-489.661</v>
      </c>
      <c r="H2476" s="1">
        <v>-2.844873E-6</v>
      </c>
      <c r="I2476">
        <v>246.1241</v>
      </c>
      <c r="J2476">
        <v>-487.45839999999998</v>
      </c>
      <c r="K2476">
        <v>1.1074870000000001</v>
      </c>
      <c r="L2476">
        <v>270.3082</v>
      </c>
      <c r="M2476">
        <v>-0.39517829999999998</v>
      </c>
      <c r="N2476">
        <v>0</v>
      </c>
      <c r="O2476">
        <v>-0.91852929999999999</v>
      </c>
      <c r="P2476">
        <v>-0.14720449999999999</v>
      </c>
      <c r="Q2476">
        <v>7.3954950000000005E-2</v>
      </c>
      <c r="R2476">
        <v>-0.98633769999999998</v>
      </c>
      <c r="S2476">
        <v>-0.27941890000000003</v>
      </c>
      <c r="T2476">
        <v>-0.1370817</v>
      </c>
      <c r="U2476">
        <v>-3.0104060000000001</v>
      </c>
      <c r="V2476">
        <v>-0.25510529999999998</v>
      </c>
      <c r="W2476">
        <v>8.3716830000000006E-2</v>
      </c>
      <c r="X2476">
        <v>0.96328230000000004</v>
      </c>
      <c r="Y2476">
        <v>-0.30868259999999997</v>
      </c>
      <c r="Z2476">
        <v>3.8777390000000002E-2</v>
      </c>
      <c r="AA2476">
        <v>0.95037430000000001</v>
      </c>
      <c r="AB2476">
        <v>19</v>
      </c>
      <c r="AC2476">
        <v>-2.2026000000000101</v>
      </c>
      <c r="AD2476">
        <v>-1.107489844873</v>
      </c>
      <c r="AE2476">
        <v>-24.184100000000001</v>
      </c>
      <c r="AF2476">
        <v>-7.5187610196805998</v>
      </c>
      <c r="AG2476">
        <v>-1.107489844873</v>
      </c>
      <c r="AH2476">
        <v>23.037902175281801</v>
      </c>
      <c r="AI2476">
        <v>92.616609589161996</v>
      </c>
      <c r="AJ2476">
        <v>108.07486150917801</v>
      </c>
      <c r="AK2476">
        <v>24.259085672494301</v>
      </c>
    </row>
    <row r="2477" spans="1:37" x14ac:dyDescent="0.2">
      <c r="A2477" t="str">
        <f>"20200111153657467"</f>
        <v>20200111153657467</v>
      </c>
      <c r="B2477" t="str">
        <f>"1578728217455409"</f>
        <v>1578728217455409</v>
      </c>
      <c r="C2477" t="s">
        <v>37</v>
      </c>
      <c r="D2477">
        <v>5.5785</v>
      </c>
      <c r="E2477">
        <v>0.47758809999999902</v>
      </c>
      <c r="F2477" t="s">
        <v>39</v>
      </c>
      <c r="G2477">
        <v>-489.7704</v>
      </c>
      <c r="H2477" s="1">
        <v>-2.418754E-6</v>
      </c>
      <c r="I2477">
        <v>245.17599999999999</v>
      </c>
      <c r="J2477">
        <v>-487.56169999999997</v>
      </c>
      <c r="K2477">
        <v>1.107372</v>
      </c>
      <c r="L2477">
        <v>270.04450000000003</v>
      </c>
      <c r="M2477">
        <v>-0.38824999999999998</v>
      </c>
      <c r="N2477">
        <v>0</v>
      </c>
      <c r="O2477">
        <v>-0.92147969999999901</v>
      </c>
      <c r="P2477">
        <v>-0.14153840000000001</v>
      </c>
      <c r="Q2477">
        <v>7.8097520000000004E-2</v>
      </c>
      <c r="R2477">
        <v>-0.98684749999999999</v>
      </c>
      <c r="S2477">
        <v>-0.27691650000000001</v>
      </c>
      <c r="T2477">
        <v>-0.13264909999999999</v>
      </c>
      <c r="U2477">
        <v>-3.0101930000000001</v>
      </c>
      <c r="V2477">
        <v>-0.25325609999999998</v>
      </c>
      <c r="W2477">
        <v>8.7912240000000003E-2</v>
      </c>
      <c r="X2477">
        <v>0.96339649999999999</v>
      </c>
      <c r="Y2477">
        <v>-0.30228670000000002</v>
      </c>
      <c r="Z2477">
        <v>3.7767189999999999E-2</v>
      </c>
      <c r="AA2477">
        <v>0.9524686</v>
      </c>
      <c r="AB2477">
        <v>19</v>
      </c>
      <c r="AC2477">
        <v>-2.2087000000000199</v>
      </c>
      <c r="AD2477">
        <v>-1.107374418754</v>
      </c>
      <c r="AE2477">
        <v>-24.868500000000001</v>
      </c>
      <c r="AF2477">
        <v>-7.6054828080474204</v>
      </c>
      <c r="AG2477">
        <v>-1.107374418754</v>
      </c>
      <c r="AH2477">
        <v>23.728294113503701</v>
      </c>
      <c r="AI2477">
        <v>92.544656973066296</v>
      </c>
      <c r="AJ2477">
        <v>107.771890882148</v>
      </c>
      <c r="AK2477">
        <v>24.941964405069498</v>
      </c>
    </row>
    <row r="2478" spans="1:37" x14ac:dyDescent="0.2">
      <c r="A2478" t="str">
        <f>"20200111153657481"</f>
        <v>20200111153657481</v>
      </c>
      <c r="B2478" t="str">
        <f>"1578728217474930"</f>
        <v>1578728217474930</v>
      </c>
      <c r="C2478" t="s">
        <v>37</v>
      </c>
      <c r="D2478">
        <v>5.8731059999999999</v>
      </c>
      <c r="E2478">
        <v>0.47810130000000001</v>
      </c>
      <c r="F2478" t="s">
        <v>39</v>
      </c>
      <c r="G2478">
        <v>-490.03309999999999</v>
      </c>
      <c r="H2478" s="1">
        <v>-9.082736E-7</v>
      </c>
      <c r="I2478">
        <v>241.6858</v>
      </c>
      <c r="J2478">
        <v>-487.60759999999999</v>
      </c>
      <c r="K2478">
        <v>1.1073249999999999</v>
      </c>
      <c r="L2478">
        <v>269.92579999999998</v>
      </c>
      <c r="M2478">
        <v>-0.38522610000000002</v>
      </c>
      <c r="N2478">
        <v>0</v>
      </c>
      <c r="O2478">
        <v>-0.92274799999999901</v>
      </c>
      <c r="P2478">
        <v>-0.1389273</v>
      </c>
      <c r="Q2478">
        <v>7.9381419999999994E-2</v>
      </c>
      <c r="R2478">
        <v>-0.98711599999999999</v>
      </c>
      <c r="S2478">
        <v>-0.2624512</v>
      </c>
      <c r="T2478">
        <v>-0.1176006</v>
      </c>
      <c r="U2478">
        <v>-3.0116269999999998</v>
      </c>
      <c r="V2478">
        <v>-0.25260189999999999</v>
      </c>
      <c r="W2478">
        <v>8.9216970000000007E-2</v>
      </c>
      <c r="X2478">
        <v>0.96344830000000004</v>
      </c>
      <c r="Y2478">
        <v>-0.3037279</v>
      </c>
      <c r="Z2478">
        <v>3.354352E-2</v>
      </c>
      <c r="AA2478">
        <v>0.95216819999999902</v>
      </c>
      <c r="AB2478">
        <v>19</v>
      </c>
      <c r="AC2478">
        <v>-2.4254999999999902</v>
      </c>
      <c r="AD2478">
        <v>-1.1073259082736</v>
      </c>
      <c r="AE2478">
        <v>-28.239999999999899</v>
      </c>
      <c r="AF2478">
        <v>-8.6280829220575495</v>
      </c>
      <c r="AG2478">
        <v>-1.1073259082736</v>
      </c>
      <c r="AH2478">
        <v>26.953480238761401</v>
      </c>
      <c r="AI2478">
        <v>92.240671938356897</v>
      </c>
      <c r="AJ2478">
        <v>107.75039695895001</v>
      </c>
      <c r="AK2478">
        <v>28.322430731812801</v>
      </c>
    </row>
    <row r="2479" spans="1:37" x14ac:dyDescent="0.2">
      <c r="A2479" t="str">
        <f>"20200111153657498"</f>
        <v>20200111153657498</v>
      </c>
      <c r="B2479" t="str">
        <f>"1578728217495426"</f>
        <v>1578728217495426</v>
      </c>
      <c r="C2479" t="s">
        <v>37</v>
      </c>
      <c r="D2479">
        <v>5.6379010000000003</v>
      </c>
      <c r="E2479">
        <v>0.47843770000000002</v>
      </c>
      <c r="F2479" t="s">
        <v>39</v>
      </c>
      <c r="G2479">
        <v>-490.08109999999999</v>
      </c>
      <c r="H2479" s="1">
        <v>-6.7365439999999997E-7</v>
      </c>
      <c r="I2479">
        <v>241.10910000000001</v>
      </c>
      <c r="J2479">
        <v>-487.65940000000001</v>
      </c>
      <c r="K2479">
        <v>1.1072839999999999</v>
      </c>
      <c r="L2479">
        <v>269.79059999999998</v>
      </c>
      <c r="M2479">
        <v>-0.38185639999999998</v>
      </c>
      <c r="N2479">
        <v>0</v>
      </c>
      <c r="O2479">
        <v>-0.92414779999999996</v>
      </c>
      <c r="P2479">
        <v>-0.1365519</v>
      </c>
      <c r="Q2479">
        <v>8.1035460000000004E-2</v>
      </c>
      <c r="R2479">
        <v>-0.98731329999999995</v>
      </c>
      <c r="S2479">
        <v>-0.25854490000000002</v>
      </c>
      <c r="T2479">
        <v>-0.115742899999999</v>
      </c>
      <c r="U2479">
        <v>-3.012054</v>
      </c>
      <c r="V2479">
        <v>-0.25135049999999998</v>
      </c>
      <c r="W2479">
        <v>9.0896690000000002E-2</v>
      </c>
      <c r="X2479">
        <v>0.96361859999999999</v>
      </c>
      <c r="Y2479">
        <v>-0.30148659999999999</v>
      </c>
      <c r="Z2479">
        <v>3.310461E-2</v>
      </c>
      <c r="AA2479">
        <v>0.95289550000000001</v>
      </c>
      <c r="AB2479">
        <v>19</v>
      </c>
      <c r="AC2479">
        <v>-2.42169999999998</v>
      </c>
      <c r="AD2479">
        <v>-1.1072846736544</v>
      </c>
      <c r="AE2479">
        <v>-28.6814999999999</v>
      </c>
      <c r="AF2479">
        <v>-8.7019226648614207</v>
      </c>
      <c r="AG2479">
        <v>-1.1072846736544</v>
      </c>
      <c r="AH2479">
        <v>27.392022361405001</v>
      </c>
      <c r="AI2479">
        <v>92.206302113327595</v>
      </c>
      <c r="AJ2479">
        <v>107.624059120505</v>
      </c>
      <c r="AK2479">
        <v>28.762343897211299</v>
      </c>
    </row>
    <row r="2480" spans="1:37" x14ac:dyDescent="0.2">
      <c r="A2480" t="str">
        <f>"20200111153657512"</f>
        <v>20200111153657512</v>
      </c>
      <c r="B2480" t="str">
        <f>"1578728217505186"</f>
        <v>1578728217505186</v>
      </c>
      <c r="C2480" t="s">
        <v>37</v>
      </c>
      <c r="D2480">
        <v>5.7031330000000002</v>
      </c>
      <c r="E2480">
        <v>0.47861009999999998</v>
      </c>
      <c r="F2480" t="s">
        <v>39</v>
      </c>
      <c r="G2480">
        <v>-490.10730000000001</v>
      </c>
      <c r="H2480" s="1">
        <v>-5.0406879999999997E-7</v>
      </c>
      <c r="I2480">
        <v>240.69749999999999</v>
      </c>
      <c r="J2480">
        <v>-487.7022</v>
      </c>
      <c r="K2480">
        <v>1.1072500000000001</v>
      </c>
      <c r="L2480">
        <v>269.67779999999999</v>
      </c>
      <c r="M2480">
        <v>-0.37910700000000003</v>
      </c>
      <c r="N2480">
        <v>0</v>
      </c>
      <c r="O2480">
        <v>-0.92527929999999903</v>
      </c>
      <c r="P2480">
        <v>-0.1343442</v>
      </c>
      <c r="Q2480">
        <v>8.1429970000000004E-2</v>
      </c>
      <c r="R2480">
        <v>-0.98758369999999995</v>
      </c>
      <c r="S2480">
        <v>-0.2535095</v>
      </c>
      <c r="T2480">
        <v>-0.1146716</v>
      </c>
      <c r="U2480">
        <v>-3.0129090000000001</v>
      </c>
      <c r="V2480">
        <v>-0.25062049999999902</v>
      </c>
      <c r="W2480">
        <v>9.1307440000000004E-2</v>
      </c>
      <c r="X2480">
        <v>0.96376989999999996</v>
      </c>
      <c r="Y2480">
        <v>-0.30025499999999999</v>
      </c>
      <c r="Z2480">
        <v>3.2862450000000001E-2</v>
      </c>
      <c r="AA2480">
        <v>0.95329269999999999</v>
      </c>
      <c r="AB2480">
        <v>19</v>
      </c>
      <c r="AC2480">
        <v>-2.4051</v>
      </c>
      <c r="AD2480">
        <v>-1.1072505040688001</v>
      </c>
      <c r="AE2480">
        <v>-28.9803</v>
      </c>
      <c r="AF2480">
        <v>-8.7491571693529107</v>
      </c>
      <c r="AG2480">
        <v>-1.1072505040688001</v>
      </c>
      <c r="AH2480">
        <v>27.688406556223601</v>
      </c>
      <c r="AI2480">
        <v>92.183705137847795</v>
      </c>
      <c r="AJ2480">
        <v>107.535822537093</v>
      </c>
      <c r="AK2480">
        <v>29.058933436647798</v>
      </c>
    </row>
    <row r="2481" spans="1:37" x14ac:dyDescent="0.2">
      <c r="A2481" t="str">
        <f>"20200111153657526"</f>
        <v>20200111153657526</v>
      </c>
      <c r="B2481" t="str">
        <f>"1578728217514945"</f>
        <v>1578728217514945</v>
      </c>
      <c r="C2481" t="s">
        <v>37</v>
      </c>
      <c r="D2481">
        <v>5.6800660000000001</v>
      </c>
      <c r="E2481">
        <v>0.47807680000000002</v>
      </c>
      <c r="F2481" t="s">
        <v>39</v>
      </c>
      <c r="G2481">
        <v>-490.06189999999998</v>
      </c>
      <c r="H2481" s="1">
        <v>-6.4585779999999995E-7</v>
      </c>
      <c r="I2481">
        <v>241.05619999999999</v>
      </c>
      <c r="J2481">
        <v>-487.74220000000003</v>
      </c>
      <c r="K2481">
        <v>1.107216</v>
      </c>
      <c r="L2481">
        <v>269.57190000000003</v>
      </c>
      <c r="M2481">
        <v>-0.37656209999999901</v>
      </c>
      <c r="N2481">
        <v>0</v>
      </c>
      <c r="O2481">
        <v>-0.92631799999999997</v>
      </c>
      <c r="P2481">
        <v>-0.132239299999999</v>
      </c>
      <c r="Q2481">
        <v>8.182362E-2</v>
      </c>
      <c r="R2481">
        <v>-0.98783500000000002</v>
      </c>
      <c r="S2481">
        <v>-0.24844359999999999</v>
      </c>
      <c r="T2481">
        <v>-0.1165795</v>
      </c>
      <c r="U2481">
        <v>-3.0134889999999999</v>
      </c>
      <c r="V2481">
        <v>-0.25000670000000003</v>
      </c>
      <c r="W2481">
        <v>9.1714840000000006E-2</v>
      </c>
      <c r="X2481">
        <v>0.96389059999999904</v>
      </c>
      <c r="Y2481">
        <v>-0.29924109999999998</v>
      </c>
      <c r="Z2481">
        <v>3.3469680000000002E-2</v>
      </c>
      <c r="AA2481">
        <v>0.9535903</v>
      </c>
      <c r="AB2481">
        <v>19</v>
      </c>
      <c r="AC2481">
        <v>-2.3196999999999499</v>
      </c>
      <c r="AD2481">
        <v>-1.1072166458578001</v>
      </c>
      <c r="AE2481">
        <v>-28.515699999999999</v>
      </c>
      <c r="AF2481">
        <v>-8.5768900681094706</v>
      </c>
      <c r="AG2481">
        <v>-1.1072166458578001</v>
      </c>
      <c r="AH2481">
        <v>27.2491605609769</v>
      </c>
      <c r="AI2481">
        <v>92.219584071097003</v>
      </c>
      <c r="AJ2481">
        <v>107.471810171786</v>
      </c>
      <c r="AK2481">
        <v>28.5885593064638</v>
      </c>
    </row>
    <row r="2482" spans="1:37" x14ac:dyDescent="0.2">
      <c r="A2482" t="str">
        <f>"20200111153657540"</f>
        <v>20200111153657540</v>
      </c>
      <c r="B2482" t="str">
        <f>"1578728217535442"</f>
        <v>1578728217535442</v>
      </c>
      <c r="C2482" t="s">
        <v>37</v>
      </c>
      <c r="D2482">
        <v>5.6654559999999998</v>
      </c>
      <c r="E2482">
        <v>0.43505379999999899</v>
      </c>
      <c r="F2482" t="s">
        <v>39</v>
      </c>
      <c r="G2482">
        <v>-490.01799999999997</v>
      </c>
      <c r="H2482" s="1">
        <v>-4.5896479999999902E-7</v>
      </c>
      <c r="I2482">
        <v>240.64779999999999</v>
      </c>
      <c r="J2482">
        <v>-487.78230000000002</v>
      </c>
      <c r="K2482">
        <v>1.1071799999999901</v>
      </c>
      <c r="L2482">
        <v>269.46499999999997</v>
      </c>
      <c r="M2482">
        <v>-0.37402679999999999</v>
      </c>
      <c r="N2482">
        <v>0</v>
      </c>
      <c r="O2482">
        <v>-0.92734470000000002</v>
      </c>
      <c r="P2482">
        <v>-0.129695899999999</v>
      </c>
      <c r="Q2482">
        <v>8.1871760000000002E-2</v>
      </c>
      <c r="R2482">
        <v>-0.98816849999999901</v>
      </c>
      <c r="S2482">
        <v>-0.23721309999999901</v>
      </c>
      <c r="T2482">
        <v>-0.1154057</v>
      </c>
      <c r="U2482">
        <v>-3.0147710000000001</v>
      </c>
      <c r="V2482">
        <v>-0.24984219999999999</v>
      </c>
      <c r="W2482">
        <v>9.1772759999999995E-2</v>
      </c>
      <c r="X2482">
        <v>0.96392770000000005</v>
      </c>
      <c r="Y2482">
        <v>-0.30019269999999998</v>
      </c>
      <c r="Z2482">
        <v>3.3175690000000001E-2</v>
      </c>
      <c r="AA2482">
        <v>0.95330149999999902</v>
      </c>
      <c r="AB2482">
        <v>19</v>
      </c>
      <c r="AC2482">
        <v>-2.2357</v>
      </c>
      <c r="AD2482">
        <v>-1.10718045896479</v>
      </c>
      <c r="AE2482">
        <v>-28.8171999999999</v>
      </c>
      <c r="AF2482">
        <v>-8.6929760777503997</v>
      </c>
      <c r="AG2482">
        <v>-1.10718045896479</v>
      </c>
      <c r="AH2482">
        <v>27.521177767868199</v>
      </c>
      <c r="AI2482">
        <v>92.196898815164801</v>
      </c>
      <c r="AJ2482">
        <v>107.529501827118</v>
      </c>
      <c r="AK2482">
        <v>28.882674865525399</v>
      </c>
    </row>
    <row r="2483" spans="1:37" x14ac:dyDescent="0.2">
      <c r="A2483" t="str">
        <f>"20200111153657554"</f>
        <v>20200111153657554</v>
      </c>
      <c r="B2483" t="str">
        <f>"1578728217545202"</f>
        <v>1578728217545202</v>
      </c>
      <c r="C2483" t="s">
        <v>37</v>
      </c>
      <c r="D2483">
        <v>5.8176360000000003</v>
      </c>
      <c r="E2483">
        <v>0.42500759999999999</v>
      </c>
      <c r="F2483" t="s">
        <v>39</v>
      </c>
      <c r="G2483">
        <v>-487.10489999999999</v>
      </c>
      <c r="H2483" s="1">
        <v>-1.009231E-6</v>
      </c>
      <c r="I2483">
        <v>250.3501</v>
      </c>
      <c r="J2483">
        <v>-487.82920000000001</v>
      </c>
      <c r="K2483">
        <v>1.107135</v>
      </c>
      <c r="L2483">
        <v>269.33859999999999</v>
      </c>
      <c r="M2483">
        <v>-0.37110729999999997</v>
      </c>
      <c r="N2483">
        <v>0</v>
      </c>
      <c r="O2483">
        <v>-0.92851709999999998</v>
      </c>
      <c r="P2483">
        <v>-0.12746060000000001</v>
      </c>
      <c r="Q2483">
        <v>8.1907690000000005E-2</v>
      </c>
      <c r="R2483">
        <v>-0.988456</v>
      </c>
      <c r="S2483">
        <v>0.1086121</v>
      </c>
      <c r="T2483">
        <v>-0.17752370000000001</v>
      </c>
      <c r="U2483">
        <v>-3.0648499999999999</v>
      </c>
      <c r="V2483">
        <v>-0.248977799999999</v>
      </c>
      <c r="W2483">
        <v>9.1820250000000006E-2</v>
      </c>
      <c r="X2483">
        <v>0.96414679999999997</v>
      </c>
      <c r="Y2483">
        <v>-0.40371269999999998</v>
      </c>
      <c r="Z2483">
        <v>4.9143390000000002E-2</v>
      </c>
      <c r="AA2483">
        <v>0.91356499999999996</v>
      </c>
      <c r="AB2483">
        <v>19</v>
      </c>
      <c r="AC2483">
        <v>0.72430000000002703</v>
      </c>
      <c r="AD2483">
        <v>-1.1071360092310001</v>
      </c>
      <c r="AE2483">
        <v>-18.988499999999899</v>
      </c>
      <c r="AF2483">
        <v>-7.69370134854878</v>
      </c>
      <c r="AG2483">
        <v>-1.1071360092310001</v>
      </c>
      <c r="AH2483">
        <v>17.304786290642699</v>
      </c>
      <c r="AI2483">
        <v>93.345761403063406</v>
      </c>
      <c r="AJ2483">
        <v>113.969912743346</v>
      </c>
      <c r="AK2483">
        <v>18.970356326342699</v>
      </c>
    </row>
    <row r="2484" spans="1:37" x14ac:dyDescent="0.2">
      <c r="A2484" t="str">
        <f>"20200111153657568"</f>
        <v>20200111153657568</v>
      </c>
      <c r="B2484" t="str">
        <f>"1578728217565697"</f>
        <v>1578728217565697</v>
      </c>
      <c r="C2484" t="s">
        <v>37</v>
      </c>
      <c r="D2484">
        <v>5.7395550000000002</v>
      </c>
      <c r="E2484">
        <v>0.41693469999999999</v>
      </c>
      <c r="F2484" t="s">
        <v>39</v>
      </c>
      <c r="G2484">
        <v>-486.63560000000001</v>
      </c>
      <c r="H2484" s="1">
        <v>-1.2071389999999899E-6</v>
      </c>
      <c r="I2484">
        <v>250.56469999999999</v>
      </c>
      <c r="J2484">
        <v>-487.8682</v>
      </c>
      <c r="K2484">
        <v>1.107097</v>
      </c>
      <c r="L2484">
        <v>269.23309999999998</v>
      </c>
      <c r="M2484">
        <v>-0.36871140000000002</v>
      </c>
      <c r="N2484">
        <v>0</v>
      </c>
      <c r="O2484">
        <v>-0.92947139999999995</v>
      </c>
      <c r="P2484">
        <v>-0.124903</v>
      </c>
      <c r="Q2484">
        <v>8.2104529999999995E-2</v>
      </c>
      <c r="R2484">
        <v>-0.98876609999999998</v>
      </c>
      <c r="S2484">
        <v>0.19552610000000001</v>
      </c>
      <c r="T2484">
        <v>-0.1813545</v>
      </c>
      <c r="U2484">
        <v>-3.075256</v>
      </c>
      <c r="V2484">
        <v>-0.24897230000000001</v>
      </c>
      <c r="W2484">
        <v>9.2016819999999999E-2</v>
      </c>
      <c r="X2484">
        <v>0.96412949999999997</v>
      </c>
      <c r="Y2484">
        <v>-0.42685849999999997</v>
      </c>
      <c r="Z2484">
        <v>4.9758610000000002E-2</v>
      </c>
      <c r="AA2484">
        <v>0.90294839999999998</v>
      </c>
      <c r="AB2484">
        <v>19</v>
      </c>
      <c r="AC2484">
        <v>1.2325999999999899</v>
      </c>
      <c r="AD2484">
        <v>-1.1070982071390001</v>
      </c>
      <c r="AE2484">
        <v>-18.668399999999899</v>
      </c>
      <c r="AF2484">
        <v>-8.0014416288914791</v>
      </c>
      <c r="AG2484">
        <v>-1.1070982071390001</v>
      </c>
      <c r="AH2484">
        <v>16.839444049604399</v>
      </c>
      <c r="AI2484">
        <v>93.398329526029102</v>
      </c>
      <c r="AJ2484">
        <v>115.415228987219</v>
      </c>
      <c r="AK2484">
        <v>18.676605967909801</v>
      </c>
    </row>
    <row r="2485" spans="1:37" x14ac:dyDescent="0.2">
      <c r="A2485" t="str">
        <f>"20200111153657583"</f>
        <v>20200111153657583</v>
      </c>
      <c r="B2485" t="str">
        <f>"1578728217575458"</f>
        <v>1578728217575458</v>
      </c>
      <c r="C2485" t="s">
        <v>37</v>
      </c>
      <c r="D2485">
        <v>5.6933470000000002</v>
      </c>
      <c r="E2485">
        <v>0.41608119999999998</v>
      </c>
      <c r="F2485" t="s">
        <v>38</v>
      </c>
      <c r="G2485">
        <v>-487.7842</v>
      </c>
      <c r="H2485">
        <v>1.0391809999999999</v>
      </c>
      <c r="I2485">
        <v>268.26190000000003</v>
      </c>
      <c r="J2485">
        <v>-487.91160000000002</v>
      </c>
      <c r="K2485">
        <v>1.107051</v>
      </c>
      <c r="L2485">
        <v>269.11470000000003</v>
      </c>
      <c r="M2485">
        <v>-0.36606349999999999</v>
      </c>
      <c r="N2485">
        <v>0</v>
      </c>
      <c r="O2485">
        <v>-0.93051799999999996</v>
      </c>
      <c r="P2485">
        <v>-0.1224729</v>
      </c>
      <c r="Q2485">
        <v>8.2407709999999995E-2</v>
      </c>
      <c r="R2485">
        <v>-0.9890447</v>
      </c>
      <c r="S2485">
        <v>0.2661133</v>
      </c>
      <c r="T2485">
        <v>-0.21581439999999999</v>
      </c>
      <c r="U2485">
        <v>-3.0856319999999999</v>
      </c>
      <c r="V2485">
        <v>-0.2485791</v>
      </c>
      <c r="W2485">
        <v>9.232071E-2</v>
      </c>
      <c r="X2485">
        <v>0.96420189999999995</v>
      </c>
      <c r="Y2485">
        <v>-0.44448679999999902</v>
      </c>
      <c r="Z2485">
        <v>5.8726699999999903E-2</v>
      </c>
      <c r="AA2485">
        <v>0.89385829999999999</v>
      </c>
      <c r="AB2485">
        <v>19</v>
      </c>
      <c r="AC2485">
        <v>0.127400000000022</v>
      </c>
      <c r="AD2485">
        <v>-6.7870000000000097E-2</v>
      </c>
      <c r="AE2485">
        <v>-0.852800000000002</v>
      </c>
      <c r="AF2485">
        <v>-0.42810344721268601</v>
      </c>
      <c r="AG2485">
        <v>-6.7870000000000097E-2</v>
      </c>
      <c r="AH2485">
        <v>0.74235993857488802</v>
      </c>
      <c r="AI2485">
        <v>94.528320860782202</v>
      </c>
      <c r="AJ2485">
        <v>119.97114943332799</v>
      </c>
      <c r="AK2485">
        <v>0.85963781723252297</v>
      </c>
    </row>
    <row r="2486" spans="1:37" x14ac:dyDescent="0.2">
      <c r="A2486" t="str">
        <f>"20200111153657600"</f>
        <v>20200111153657600</v>
      </c>
      <c r="B2486" t="str">
        <f>"1578728217594978"</f>
        <v>1578728217594978</v>
      </c>
      <c r="C2486" t="s">
        <v>37</v>
      </c>
      <c r="D2486">
        <v>5.6701160000000002</v>
      </c>
      <c r="E2486">
        <v>0.41579349999999998</v>
      </c>
      <c r="F2486" t="s">
        <v>38</v>
      </c>
      <c r="G2486">
        <v>-487.82459999999998</v>
      </c>
      <c r="H2486">
        <v>1.038124</v>
      </c>
      <c r="I2486">
        <v>268.154</v>
      </c>
      <c r="J2486">
        <v>-487.96159999999998</v>
      </c>
      <c r="K2486">
        <v>1.106989</v>
      </c>
      <c r="L2486">
        <v>268.97719999999998</v>
      </c>
      <c r="M2486">
        <v>-0.36306270000000002</v>
      </c>
      <c r="N2486">
        <v>0</v>
      </c>
      <c r="O2486">
        <v>-0.93169310000000005</v>
      </c>
      <c r="P2486">
        <v>-0.1196353</v>
      </c>
      <c r="Q2486">
        <v>8.2979189999999994E-2</v>
      </c>
      <c r="R2486">
        <v>-0.989344</v>
      </c>
      <c r="S2486">
        <v>0.28021239999999997</v>
      </c>
      <c r="T2486">
        <v>-0.2213714</v>
      </c>
      <c r="U2486">
        <v>-3.0863339999999999</v>
      </c>
      <c r="V2486">
        <v>-0.24821009999999999</v>
      </c>
      <c r="W2486">
        <v>9.28895E-2</v>
      </c>
      <c r="X2486">
        <v>0.9642423</v>
      </c>
      <c r="Y2486">
        <v>-0.44562269999999998</v>
      </c>
      <c r="Z2486">
        <v>6.0310299999999997E-2</v>
      </c>
      <c r="AA2486">
        <v>0.89318699999999995</v>
      </c>
      <c r="AB2486">
        <v>19</v>
      </c>
      <c r="AC2486">
        <v>0.13700000000000001</v>
      </c>
      <c r="AD2486">
        <v>-6.8864999999999899E-2</v>
      </c>
      <c r="AE2486">
        <v>-0.82319999999998505</v>
      </c>
      <c r="AF2486">
        <v>-0.42365868544352703</v>
      </c>
      <c r="AG2486">
        <v>-6.8864999999999899E-2</v>
      </c>
      <c r="AH2486">
        <v>0.71242669155545002</v>
      </c>
      <c r="AI2486">
        <v>94.749352130261997</v>
      </c>
      <c r="AJ2486">
        <v>120.738673867053</v>
      </c>
      <c r="AK2486">
        <v>0.83173364776073699</v>
      </c>
    </row>
    <row r="2487" spans="1:37" x14ac:dyDescent="0.2">
      <c r="A2487" t="str">
        <f>"20200111153657624"</f>
        <v>20200111153657624</v>
      </c>
      <c r="B2487" t="str">
        <f>"1578728217615474"</f>
        <v>1578728217615474</v>
      </c>
      <c r="C2487" t="s">
        <v>37</v>
      </c>
      <c r="D2487">
        <v>5.6490359999999997</v>
      </c>
      <c r="E2487">
        <v>0.41642410000000002</v>
      </c>
      <c r="F2487" t="s">
        <v>38</v>
      </c>
      <c r="G2487">
        <v>-487.86880000000002</v>
      </c>
      <c r="H2487">
        <v>1.034883</v>
      </c>
      <c r="I2487">
        <v>267.99149999999997</v>
      </c>
      <c r="J2487">
        <v>-488.02809999999999</v>
      </c>
      <c r="K2487">
        <v>1.106908</v>
      </c>
      <c r="L2487">
        <v>268.79259999999999</v>
      </c>
      <c r="M2487">
        <v>-0.35916979999999998</v>
      </c>
      <c r="N2487">
        <v>0</v>
      </c>
      <c r="O2487">
        <v>-0.93320170000000002</v>
      </c>
      <c r="P2487">
        <v>-0.1157868</v>
      </c>
      <c r="Q2487">
        <v>8.3135849999999997E-2</v>
      </c>
      <c r="R2487">
        <v>-0.98978920000000004</v>
      </c>
      <c r="S2487">
        <v>0.29083249999999999</v>
      </c>
      <c r="T2487">
        <v>-0.22574929999999899</v>
      </c>
      <c r="U2487">
        <v>-3.086395</v>
      </c>
      <c r="V2487">
        <v>-0.24791269999999899</v>
      </c>
      <c r="W2487">
        <v>9.3042860000000005E-2</v>
      </c>
      <c r="X2487">
        <v>0.964304099999999</v>
      </c>
      <c r="Y2487">
        <v>-0.44492169999999998</v>
      </c>
      <c r="Z2487">
        <v>6.1663059999999999E-2</v>
      </c>
      <c r="AA2487">
        <v>0.89344409999999896</v>
      </c>
      <c r="AB2487">
        <v>19</v>
      </c>
      <c r="AC2487">
        <v>0.15929999999997299</v>
      </c>
      <c r="AD2487">
        <v>-7.2025000000000006E-2</v>
      </c>
      <c r="AE2487">
        <v>-0.80110000000001902</v>
      </c>
      <c r="AF2487">
        <v>-0.43305131731097801</v>
      </c>
      <c r="AG2487">
        <v>-7.2025000000000006E-2</v>
      </c>
      <c r="AH2487">
        <v>0.68509037917510296</v>
      </c>
      <c r="AI2487">
        <v>95.078351651665898</v>
      </c>
      <c r="AJ2487">
        <v>122.29732048639001</v>
      </c>
      <c r="AK2487">
        <v>0.81367676118226495</v>
      </c>
    </row>
    <row r="2488" spans="1:37" x14ac:dyDescent="0.2">
      <c r="A2488" t="str">
        <f>"20200111153657645"</f>
        <v>20200111153657645</v>
      </c>
      <c r="B2488" t="str">
        <f>"1578728217634994"</f>
        <v>1578728217634994</v>
      </c>
      <c r="C2488" t="s">
        <v>37</v>
      </c>
      <c r="D2488">
        <v>5.6925099999999897</v>
      </c>
      <c r="E2488">
        <v>0.41671059999999999</v>
      </c>
      <c r="F2488" t="s">
        <v>38</v>
      </c>
      <c r="G2488">
        <v>-487.93540000000002</v>
      </c>
      <c r="H2488">
        <v>1.035601</v>
      </c>
      <c r="I2488">
        <v>267.83210000000003</v>
      </c>
      <c r="J2488">
        <v>-488.09289999999999</v>
      </c>
      <c r="K2488">
        <v>1.106827</v>
      </c>
      <c r="L2488">
        <v>268.61079999999998</v>
      </c>
      <c r="M2488">
        <v>-0.35546119999999998</v>
      </c>
      <c r="N2488">
        <v>0</v>
      </c>
      <c r="O2488">
        <v>-0.93462109999999998</v>
      </c>
      <c r="P2488">
        <v>-0.1119585</v>
      </c>
      <c r="Q2488">
        <v>8.3351549999999996E-2</v>
      </c>
      <c r="R2488">
        <v>-0.99021130000000002</v>
      </c>
      <c r="S2488">
        <v>0.29803469999999999</v>
      </c>
      <c r="T2488">
        <v>-0.22900670000000001</v>
      </c>
      <c r="U2488">
        <v>-3.0850219999999999</v>
      </c>
      <c r="V2488">
        <v>-0.2477905</v>
      </c>
      <c r="W2488">
        <v>9.3255550000000006E-2</v>
      </c>
      <c r="X2488">
        <v>0.96431489999999997</v>
      </c>
      <c r="Y2488">
        <v>-0.44346190000000002</v>
      </c>
      <c r="Z2488">
        <v>6.2752970000000005E-2</v>
      </c>
      <c r="AA2488">
        <v>0.89409380000000005</v>
      </c>
      <c r="AB2488">
        <v>19</v>
      </c>
      <c r="AC2488">
        <v>0.15749999999997</v>
      </c>
      <c r="AD2488">
        <v>-7.1225999999999998E-2</v>
      </c>
      <c r="AE2488">
        <v>-0.77869999999995798</v>
      </c>
      <c r="AF2488">
        <v>-0.42064720343826301</v>
      </c>
      <c r="AG2488">
        <v>-7.1225999999999998E-2</v>
      </c>
      <c r="AH2488">
        <v>0.66649127014229304</v>
      </c>
      <c r="AI2488">
        <v>95.163963155269698</v>
      </c>
      <c r="AJ2488">
        <v>122.25753345090099</v>
      </c>
      <c r="AK2488">
        <v>0.79134557938508698</v>
      </c>
    </row>
    <row r="2489" spans="1:37" x14ac:dyDescent="0.2">
      <c r="A2489" t="str">
        <f>"20200111153657660"</f>
        <v>20200111153657660</v>
      </c>
      <c r="B2489" t="str">
        <f>"1578728217655490"</f>
        <v>1578728217655490</v>
      </c>
      <c r="C2489" t="s">
        <v>37</v>
      </c>
      <c r="D2489">
        <v>5.680428</v>
      </c>
      <c r="E2489">
        <v>0.41720740000000001</v>
      </c>
      <c r="F2489" t="s">
        <v>38</v>
      </c>
      <c r="G2489">
        <v>-487.99770000000001</v>
      </c>
      <c r="H2489">
        <v>1.035674</v>
      </c>
      <c r="I2489">
        <v>267.65539999999999</v>
      </c>
      <c r="J2489">
        <v>-488.13299999999998</v>
      </c>
      <c r="K2489">
        <v>1.1067799999999901</v>
      </c>
      <c r="L2489">
        <v>268.49770000000001</v>
      </c>
      <c r="M2489">
        <v>-0.35320359999999901</v>
      </c>
      <c r="N2489">
        <v>0</v>
      </c>
      <c r="O2489">
        <v>-0.935477</v>
      </c>
      <c r="P2489">
        <v>-0.10975979999999901</v>
      </c>
      <c r="Q2489">
        <v>8.317658E-2</v>
      </c>
      <c r="R2489">
        <v>-0.99047209999999997</v>
      </c>
      <c r="S2489">
        <v>0.30749509999999902</v>
      </c>
      <c r="T2489">
        <v>-0.229627</v>
      </c>
      <c r="U2489">
        <v>-3.083771</v>
      </c>
      <c r="V2489">
        <v>-0.2475974</v>
      </c>
      <c r="W2489">
        <v>9.3077989999999999E-2</v>
      </c>
      <c r="X2489">
        <v>0.96438169999999901</v>
      </c>
      <c r="Y2489">
        <v>-0.44404769999999999</v>
      </c>
      <c r="Z2489">
        <v>6.3021640000000004E-2</v>
      </c>
      <c r="AA2489">
        <v>0.89378400000000002</v>
      </c>
      <c r="AB2489">
        <v>19</v>
      </c>
      <c r="AC2489">
        <v>0.13530000000002901</v>
      </c>
      <c r="AD2489">
        <v>-7.1105999999999794E-2</v>
      </c>
      <c r="AE2489">
        <v>-0.84230000000002203</v>
      </c>
      <c r="AF2489">
        <v>-0.42117497498370299</v>
      </c>
      <c r="AG2489">
        <v>-7.1105999999999794E-2</v>
      </c>
      <c r="AH2489">
        <v>0.73510496121663205</v>
      </c>
      <c r="AI2489">
        <v>94.797558627737203</v>
      </c>
      <c r="AJ2489">
        <v>119.81035183344299</v>
      </c>
      <c r="AK2489">
        <v>0.85019040619959296</v>
      </c>
    </row>
    <row r="2490" spans="1:37" x14ac:dyDescent="0.2">
      <c r="A2490" t="str">
        <f>"20200111153657677"</f>
        <v>20200111153657677</v>
      </c>
      <c r="B2490" t="str">
        <f>"1578728217675010"</f>
        <v>1578728217675010</v>
      </c>
      <c r="C2490" t="s">
        <v>37</v>
      </c>
      <c r="D2490">
        <v>5.6716610000000003</v>
      </c>
      <c r="E2490">
        <v>0.4175566</v>
      </c>
      <c r="F2490" t="s">
        <v>38</v>
      </c>
      <c r="G2490">
        <v>-488.03339999999997</v>
      </c>
      <c r="H2490">
        <v>1.0321929999999999</v>
      </c>
      <c r="I2490">
        <v>267.50729999999999</v>
      </c>
      <c r="J2490">
        <v>-488.1866</v>
      </c>
      <c r="K2490">
        <v>1.1067129999999901</v>
      </c>
      <c r="L2490">
        <v>268.34530000000001</v>
      </c>
      <c r="M2490">
        <v>-0.35026360000000001</v>
      </c>
      <c r="N2490">
        <v>0</v>
      </c>
      <c r="O2490">
        <v>-0.93658229999999998</v>
      </c>
      <c r="P2490">
        <v>-0.1062303</v>
      </c>
      <c r="Q2490">
        <v>8.3192699999999994E-2</v>
      </c>
      <c r="R2490">
        <v>-0.9908555</v>
      </c>
      <c r="S2490">
        <v>0.31018069999999998</v>
      </c>
      <c r="T2490">
        <v>-0.23217280000000001</v>
      </c>
      <c r="U2490">
        <v>-3.0827330000000002</v>
      </c>
      <c r="V2490">
        <v>-0.24799179999999901</v>
      </c>
      <c r="W2490">
        <v>9.308131E-2</v>
      </c>
      <c r="X2490">
        <v>0.96427999999999903</v>
      </c>
      <c r="Y2490">
        <v>-0.44202730000000001</v>
      </c>
      <c r="Z2490">
        <v>6.3897239999999994E-2</v>
      </c>
      <c r="AA2490">
        <v>0.89472289999999999</v>
      </c>
      <c r="AB2490">
        <v>19</v>
      </c>
      <c r="AC2490">
        <v>0.15320000000002601</v>
      </c>
      <c r="AD2490">
        <v>-7.4519999999999698E-2</v>
      </c>
      <c r="AE2490">
        <v>-0.83800000000002195</v>
      </c>
      <c r="AF2490">
        <v>-0.43371467246484802</v>
      </c>
      <c r="AG2490">
        <v>-7.4519999999999698E-2</v>
      </c>
      <c r="AH2490">
        <v>0.72568971000049598</v>
      </c>
      <c r="AI2490">
        <v>95.037351581596496</v>
      </c>
      <c r="AJ2490">
        <v>120.86501182994201</v>
      </c>
      <c r="AK2490">
        <v>0.84869735637145305</v>
      </c>
    </row>
    <row r="2491" spans="1:37" x14ac:dyDescent="0.2">
      <c r="A2491" t="str">
        <f>"20200111153657695"</f>
        <v>20200111153657695</v>
      </c>
      <c r="B2491" t="str">
        <f>"1578728217685746"</f>
        <v>1578728217685746</v>
      </c>
      <c r="C2491" t="s">
        <v>37</v>
      </c>
      <c r="D2491">
        <v>5.712345</v>
      </c>
      <c r="E2491">
        <v>0.41787819999999998</v>
      </c>
      <c r="F2491" t="s">
        <v>39</v>
      </c>
      <c r="G2491">
        <v>-486.68939999999998</v>
      </c>
      <c r="H2491" s="1">
        <v>-2.384683E-6</v>
      </c>
      <c r="I2491">
        <v>253.82259999999999</v>
      </c>
      <c r="J2491">
        <v>-488.2346</v>
      </c>
      <c r="K2491">
        <v>1.1066549999999999</v>
      </c>
      <c r="L2491">
        <v>268.20740000000001</v>
      </c>
      <c r="M2491">
        <v>-0.34769119999999998</v>
      </c>
      <c r="N2491">
        <v>0</v>
      </c>
      <c r="O2491">
        <v>-0.93754079999999995</v>
      </c>
      <c r="P2491">
        <v>-0.1028201</v>
      </c>
      <c r="Q2491">
        <v>8.3320710000000006E-2</v>
      </c>
      <c r="R2491">
        <v>-0.99120439999999999</v>
      </c>
      <c r="S2491">
        <v>0.31768800000000003</v>
      </c>
      <c r="T2491">
        <v>-0.23482689999999901</v>
      </c>
      <c r="U2491">
        <v>-3.0814819999999998</v>
      </c>
      <c r="V2491">
        <v>-0.24864849999999999</v>
      </c>
      <c r="W2491">
        <v>9.3191940000000001E-2</v>
      </c>
      <c r="X2491">
        <v>0.96410019999999996</v>
      </c>
      <c r="Y2491">
        <v>-0.44175199999999998</v>
      </c>
      <c r="Z2491">
        <v>6.475554E-2</v>
      </c>
      <c r="AA2491">
        <v>0.89479709999999901</v>
      </c>
      <c r="AB2491">
        <v>19</v>
      </c>
      <c r="AC2491">
        <v>1.5452000000000199</v>
      </c>
      <c r="AD2491">
        <v>-1.1066573846829999</v>
      </c>
      <c r="AE2491">
        <v>-14.3848</v>
      </c>
      <c r="AF2491">
        <v>-6.41304626117123</v>
      </c>
      <c r="AG2491">
        <v>-1.1066573846829999</v>
      </c>
      <c r="AH2491">
        <v>12.8745835427633</v>
      </c>
      <c r="AI2491">
        <v>94.399665078225397</v>
      </c>
      <c r="AJ2491">
        <v>116.478666304269</v>
      </c>
      <c r="AK2491">
        <v>14.4259056670486</v>
      </c>
    </row>
    <row r="2492" spans="1:37" x14ac:dyDescent="0.2">
      <c r="A2492" t="str">
        <f>"20200111153657714"</f>
        <v>20200111153657714</v>
      </c>
      <c r="B2492" t="str">
        <f>"1578728217705267"</f>
        <v>1578728217705267</v>
      </c>
      <c r="C2492" t="s">
        <v>37</v>
      </c>
      <c r="D2492">
        <v>5.6813960000000003</v>
      </c>
      <c r="E2492">
        <v>0.41855890000000001</v>
      </c>
      <c r="F2492" t="s">
        <v>39</v>
      </c>
      <c r="G2492">
        <v>-486.7054</v>
      </c>
      <c r="H2492" s="1">
        <v>-2.33513299999999E-6</v>
      </c>
      <c r="I2492">
        <v>253.71369999999999</v>
      </c>
      <c r="J2492">
        <v>-488.28460000000001</v>
      </c>
      <c r="K2492">
        <v>1.1065929999999999</v>
      </c>
      <c r="L2492">
        <v>268.06310000000002</v>
      </c>
      <c r="M2492">
        <v>-0.34508259999999902</v>
      </c>
      <c r="N2492">
        <v>0</v>
      </c>
      <c r="O2492">
        <v>-0.93850449999999996</v>
      </c>
      <c r="P2492">
        <v>-9.7504850000000004E-2</v>
      </c>
      <c r="Q2492">
        <v>8.3444859999999996E-2</v>
      </c>
      <c r="R2492">
        <v>-0.99173060000000002</v>
      </c>
      <c r="S2492">
        <v>0.32498169999999998</v>
      </c>
      <c r="T2492">
        <v>-0.23517779999999999</v>
      </c>
      <c r="U2492">
        <v>-3.0800779999999999</v>
      </c>
      <c r="V2492">
        <v>-0.25112289999999998</v>
      </c>
      <c r="W2492">
        <v>9.3286880000000003E-2</v>
      </c>
      <c r="X2492">
        <v>0.96344949999999996</v>
      </c>
      <c r="Y2492">
        <v>-0.44139390000000001</v>
      </c>
      <c r="Z2492">
        <v>6.4989400000000003E-2</v>
      </c>
      <c r="AA2492">
        <v>0.89495689999999894</v>
      </c>
      <c r="AB2492">
        <v>19</v>
      </c>
      <c r="AC2492">
        <v>1.5792000000000099</v>
      </c>
      <c r="AD2492">
        <v>-1.106595335133</v>
      </c>
      <c r="AE2492">
        <v>-14.349399999999999</v>
      </c>
      <c r="AF2492">
        <v>-6.3966374906421501</v>
      </c>
      <c r="AG2492">
        <v>-1.106595335133</v>
      </c>
      <c r="AH2492">
        <v>12.847353574728499</v>
      </c>
      <c r="AI2492">
        <v>94.409095276810106</v>
      </c>
      <c r="AJ2492">
        <v>116.468499528395</v>
      </c>
      <c r="AK2492">
        <v>14.3943050647301</v>
      </c>
    </row>
    <row r="2493" spans="1:37" x14ac:dyDescent="0.2">
      <c r="A2493" t="str">
        <f>"20200111153657736"</f>
        <v>20200111153657736</v>
      </c>
      <c r="B2493" t="str">
        <f>"1578728217724785"</f>
        <v>1578728217724785</v>
      </c>
      <c r="C2493" t="s">
        <v>37</v>
      </c>
      <c r="D2493">
        <v>5.7163129999999898</v>
      </c>
      <c r="E2493">
        <v>0.41913699999999998</v>
      </c>
      <c r="F2493" t="s">
        <v>39</v>
      </c>
      <c r="G2493">
        <v>-486.70510000000002</v>
      </c>
      <c r="H2493" s="1">
        <v>-2.2871410000000002E-6</v>
      </c>
      <c r="I2493">
        <v>253.6018</v>
      </c>
      <c r="J2493">
        <v>-488.34800000000001</v>
      </c>
      <c r="K2493">
        <v>1.1065129999999901</v>
      </c>
      <c r="L2493">
        <v>267.87880000000001</v>
      </c>
      <c r="M2493">
        <v>-0.34185919999999997</v>
      </c>
      <c r="N2493">
        <v>0</v>
      </c>
      <c r="O2493">
        <v>-0.93968430000000003</v>
      </c>
      <c r="P2493">
        <v>-9.0761040000000001E-2</v>
      </c>
      <c r="Q2493">
        <v>8.3105970000000001E-2</v>
      </c>
      <c r="R2493">
        <v>-0.99239929999999998</v>
      </c>
      <c r="S2493">
        <v>0.33618159999999903</v>
      </c>
      <c r="T2493">
        <v>-0.23552429999999999</v>
      </c>
      <c r="U2493">
        <v>-3.0779109999999998</v>
      </c>
      <c r="V2493">
        <v>-0.25435960000000002</v>
      </c>
      <c r="W2493">
        <v>9.2914209999999997E-2</v>
      </c>
      <c r="X2493">
        <v>0.962636099999999</v>
      </c>
      <c r="Y2493">
        <v>-0.44159779999999998</v>
      </c>
      <c r="Z2493">
        <v>6.524771E-2</v>
      </c>
      <c r="AA2493">
        <v>0.89483749999999995</v>
      </c>
      <c r="AB2493">
        <v>19</v>
      </c>
      <c r="AC2493">
        <v>1.64289999999999</v>
      </c>
      <c r="AD2493">
        <v>-1.10651528714099</v>
      </c>
      <c r="AE2493">
        <v>-14.276999999999999</v>
      </c>
      <c r="AF2493">
        <v>-6.3870707020443396</v>
      </c>
      <c r="AG2493">
        <v>-1.10651528714099</v>
      </c>
      <c r="AH2493">
        <v>12.7792812603002</v>
      </c>
      <c r="AI2493">
        <v>94.428813427905894</v>
      </c>
      <c r="AJ2493">
        <v>116.555832638079</v>
      </c>
      <c r="AK2493">
        <v>14.3293083490952</v>
      </c>
    </row>
    <row r="2494" spans="1:37" x14ac:dyDescent="0.2">
      <c r="A2494" t="str">
        <f>"20200111153657752"</f>
        <v>20200111153657752</v>
      </c>
      <c r="B2494" t="str">
        <f>"1578728217745283"</f>
        <v>1578728217745283</v>
      </c>
      <c r="C2494" t="s">
        <v>37</v>
      </c>
      <c r="D2494">
        <v>5.7199749999999998</v>
      </c>
      <c r="E2494">
        <v>0.41963050000000002</v>
      </c>
      <c r="F2494" t="s">
        <v>39</v>
      </c>
      <c r="G2494">
        <v>-486.71660000000003</v>
      </c>
      <c r="H2494" s="1">
        <v>-2.292443E-6</v>
      </c>
      <c r="I2494">
        <v>253.6189</v>
      </c>
      <c r="J2494">
        <v>-488.39280000000002</v>
      </c>
      <c r="K2494">
        <v>1.1064609999999999</v>
      </c>
      <c r="L2494">
        <v>267.7475</v>
      </c>
      <c r="M2494">
        <v>-0.33963300000000002</v>
      </c>
      <c r="N2494">
        <v>0</v>
      </c>
      <c r="O2494">
        <v>-0.94049159999999898</v>
      </c>
      <c r="P2494">
        <v>-8.6949680000000001E-2</v>
      </c>
      <c r="Q2494">
        <v>8.2636360000000006E-2</v>
      </c>
      <c r="R2494">
        <v>-0.99277959999999998</v>
      </c>
      <c r="S2494">
        <v>0.35180659999999903</v>
      </c>
      <c r="T2494">
        <v>-0.23861650000000001</v>
      </c>
      <c r="U2494">
        <v>-3.0751040000000001</v>
      </c>
      <c r="V2494">
        <v>-0.25577919999999998</v>
      </c>
      <c r="W2494">
        <v>9.2427060000000005E-2</v>
      </c>
      <c r="X2494">
        <v>0.96230669999999996</v>
      </c>
      <c r="Y2494">
        <v>-0.44404149999999998</v>
      </c>
      <c r="Z2494">
        <v>6.618599E-2</v>
      </c>
      <c r="AA2494">
        <v>0.89355839999999997</v>
      </c>
      <c r="AB2494">
        <v>19</v>
      </c>
      <c r="AC2494">
        <v>1.6761999999999899</v>
      </c>
      <c r="AD2494">
        <v>-1.106463292443</v>
      </c>
      <c r="AE2494">
        <v>-14.1286</v>
      </c>
      <c r="AF2494">
        <v>-6.3370632062891801</v>
      </c>
      <c r="AG2494">
        <v>-1.106463292443</v>
      </c>
      <c r="AH2494">
        <v>12.6428686295804</v>
      </c>
      <c r="AI2494">
        <v>94.473632445599705</v>
      </c>
      <c r="AJ2494">
        <v>116.62168558114899</v>
      </c>
      <c r="AK2494">
        <v>14.1853712775823</v>
      </c>
    </row>
    <row r="2495" spans="1:37" x14ac:dyDescent="0.2">
      <c r="A2495" t="str">
        <f>"20200111153657767"</f>
        <v>20200111153657767</v>
      </c>
      <c r="B2495" t="str">
        <f>"1578728217755042"</f>
        <v>1578728217755042</v>
      </c>
      <c r="C2495" t="s">
        <v>37</v>
      </c>
      <c r="D2495">
        <v>5.7008260000000002</v>
      </c>
      <c r="E2495">
        <v>0.41985549999999999</v>
      </c>
      <c r="F2495" t="s">
        <v>38</v>
      </c>
      <c r="G2495">
        <v>-488.27749999999997</v>
      </c>
      <c r="H2495">
        <v>1.028985</v>
      </c>
      <c r="I2495">
        <v>266.76080000000002</v>
      </c>
      <c r="J2495">
        <v>-488.43579999999997</v>
      </c>
      <c r="K2495">
        <v>1.106403</v>
      </c>
      <c r="L2495">
        <v>267.6207</v>
      </c>
      <c r="M2495">
        <v>-0.33752209999999899</v>
      </c>
      <c r="N2495">
        <v>0</v>
      </c>
      <c r="O2495">
        <v>-0.94125149999999902</v>
      </c>
      <c r="P2495">
        <v>-8.1774579999999999E-2</v>
      </c>
      <c r="Q2495">
        <v>8.0650739999999999E-2</v>
      </c>
      <c r="R2495">
        <v>-0.99338230000000005</v>
      </c>
      <c r="S2495">
        <v>0.35974119999999998</v>
      </c>
      <c r="T2495">
        <v>-0.241287</v>
      </c>
      <c r="U2495">
        <v>-3.0734249999999999</v>
      </c>
      <c r="V2495">
        <v>-0.25867699999999999</v>
      </c>
      <c r="W2495">
        <v>9.0412770000000003E-2</v>
      </c>
      <c r="X2495">
        <v>0.96172329999999995</v>
      </c>
      <c r="Y2495">
        <v>-0.44435519999999901</v>
      </c>
      <c r="Z2495">
        <v>6.7031149999999998E-2</v>
      </c>
      <c r="AA2495">
        <v>0.89333940000000001</v>
      </c>
      <c r="AB2495">
        <v>19</v>
      </c>
      <c r="AC2495">
        <v>0.158299999999996</v>
      </c>
      <c r="AD2495">
        <v>-7.7417999999999904E-2</v>
      </c>
      <c r="AE2495">
        <v>-0.85989999999998101</v>
      </c>
      <c r="AF2495">
        <v>-0.43584568652765598</v>
      </c>
      <c r="AG2495">
        <v>-7.7417999999999904E-2</v>
      </c>
      <c r="AH2495">
        <v>0.75011855884297596</v>
      </c>
      <c r="AI2495">
        <v>95.099437491110507</v>
      </c>
      <c r="AJ2495">
        <v>120.158118397321</v>
      </c>
      <c r="AK2495">
        <v>0.87099532806406499</v>
      </c>
    </row>
    <row r="2496" spans="1:37" x14ac:dyDescent="0.2">
      <c r="A2496" t="str">
        <f>"20200111153657790"</f>
        <v>20200111153657790</v>
      </c>
      <c r="B2496" t="str">
        <f>"1578728217785298"</f>
        <v>1578728217785298</v>
      </c>
      <c r="C2496" t="s">
        <v>37</v>
      </c>
      <c r="D2496">
        <v>5.6649640000000003</v>
      </c>
      <c r="E2496">
        <v>0.42062050000000001</v>
      </c>
      <c r="F2496" t="s">
        <v>38</v>
      </c>
      <c r="G2496">
        <v>-488.32</v>
      </c>
      <c r="H2496">
        <v>1.030516</v>
      </c>
      <c r="I2496">
        <v>266.67410000000001</v>
      </c>
      <c r="J2496">
        <v>-488.49709999999999</v>
      </c>
      <c r="K2496">
        <v>1.1063459999999901</v>
      </c>
      <c r="L2496">
        <v>267.43860000000001</v>
      </c>
      <c r="M2496">
        <v>-0.3345574</v>
      </c>
      <c r="N2496">
        <v>0</v>
      </c>
      <c r="O2496">
        <v>-0.94230999999999998</v>
      </c>
      <c r="P2496">
        <v>-7.7114119999999994E-2</v>
      </c>
      <c r="Q2496">
        <v>7.7785690000000005E-2</v>
      </c>
      <c r="R2496">
        <v>-0.99398330000000001</v>
      </c>
      <c r="S2496">
        <v>0.37527470000000002</v>
      </c>
      <c r="T2496">
        <v>-0.24623390000000001</v>
      </c>
      <c r="U2496">
        <v>-3.07089199999999</v>
      </c>
      <c r="V2496">
        <v>-0.2602197</v>
      </c>
      <c r="W2496">
        <v>8.7512759999999995E-2</v>
      </c>
      <c r="X2496">
        <v>0.96157539999999997</v>
      </c>
      <c r="Y2496">
        <v>-0.446059699999999</v>
      </c>
      <c r="Z2496">
        <v>6.8523990000000007E-2</v>
      </c>
      <c r="AA2496">
        <v>0.89237619999999895</v>
      </c>
      <c r="AB2496">
        <v>19</v>
      </c>
      <c r="AC2496">
        <v>0.17709999999999501</v>
      </c>
      <c r="AD2496">
        <v>-7.58299999999998E-2</v>
      </c>
      <c r="AE2496">
        <v>-0.76449999999999796</v>
      </c>
      <c r="AF2496">
        <v>-0.418768076511363</v>
      </c>
      <c r="AG2496">
        <v>-7.58299999999998E-2</v>
      </c>
      <c r="AH2496">
        <v>0.65506997578872295</v>
      </c>
      <c r="AI2496">
        <v>95.570575519587294</v>
      </c>
      <c r="AJ2496">
        <v>122.58965375288101</v>
      </c>
      <c r="AK2496">
        <v>0.78117447729996004</v>
      </c>
    </row>
    <row r="2497" spans="1:37" x14ac:dyDescent="0.2">
      <c r="A2497" t="str">
        <f>"20200111153657802"</f>
        <v>20200111153657802</v>
      </c>
      <c r="B2497" t="str">
        <f>"1578728217795058"</f>
        <v>1578728217795058</v>
      </c>
      <c r="C2497" t="s">
        <v>37</v>
      </c>
      <c r="D2497">
        <v>5.7073859999999996</v>
      </c>
      <c r="E2497">
        <v>0.42086579999999901</v>
      </c>
      <c r="F2497" t="s">
        <v>38</v>
      </c>
      <c r="G2497">
        <v>-488.3768</v>
      </c>
      <c r="H2497">
        <v>1.0264690000000001</v>
      </c>
      <c r="I2497">
        <v>266.47820000000002</v>
      </c>
      <c r="J2497">
        <v>-488.53440000000001</v>
      </c>
      <c r="K2497">
        <v>1.1063160000000001</v>
      </c>
      <c r="L2497">
        <v>267.32709999999997</v>
      </c>
      <c r="M2497">
        <v>-0.33277139999999999</v>
      </c>
      <c r="N2497">
        <v>0</v>
      </c>
      <c r="O2497">
        <v>-0.94294239999999996</v>
      </c>
      <c r="P2497">
        <v>-7.5074639999999998E-2</v>
      </c>
      <c r="Q2497">
        <v>7.647632E-2</v>
      </c>
      <c r="R2497">
        <v>-0.99424089999999998</v>
      </c>
      <c r="S2497">
        <v>0.38470460000000001</v>
      </c>
      <c r="T2497">
        <v>-0.25514680000000001</v>
      </c>
      <c r="U2497">
        <v>-3.0679630000000002</v>
      </c>
      <c r="V2497">
        <v>-0.26039679999999998</v>
      </c>
      <c r="W2497">
        <v>8.6179820000000004E-2</v>
      </c>
      <c r="X2497">
        <v>0.96164780000000005</v>
      </c>
      <c r="Y2497">
        <v>-0.44714019999999999</v>
      </c>
      <c r="Z2497">
        <v>7.1097140000000003E-2</v>
      </c>
      <c r="AA2497">
        <v>0.89163379999999903</v>
      </c>
      <c r="AB2497">
        <v>19</v>
      </c>
      <c r="AC2497">
        <v>0.15760000000000199</v>
      </c>
      <c r="AD2497">
        <v>-7.9847000000000001E-2</v>
      </c>
      <c r="AE2497">
        <v>-0.84889999999995702</v>
      </c>
      <c r="AF2497">
        <v>-0.42746796710088802</v>
      </c>
      <c r="AG2497">
        <v>-7.9847000000000001E-2</v>
      </c>
      <c r="AH2497">
        <v>0.74172147950587597</v>
      </c>
      <c r="AI2497">
        <v>95.328565191464904</v>
      </c>
      <c r="AJ2497">
        <v>119.955652258196</v>
      </c>
      <c r="AK2497">
        <v>0.85979948794283001</v>
      </c>
    </row>
    <row r="2498" spans="1:37" x14ac:dyDescent="0.2">
      <c r="A2498" t="str">
        <f>"20200111153657815"</f>
        <v>20200111153657815</v>
      </c>
      <c r="B2498" t="str">
        <f>"1578728217804818"</f>
        <v>1578728217804818</v>
      </c>
      <c r="C2498" t="s">
        <v>37</v>
      </c>
      <c r="D2498">
        <v>5.690131</v>
      </c>
      <c r="E2498">
        <v>0.42120249999999998</v>
      </c>
      <c r="F2498" t="s">
        <v>38</v>
      </c>
      <c r="G2498">
        <v>-488.41219999999998</v>
      </c>
      <c r="H2498">
        <v>1.0250589999999999</v>
      </c>
      <c r="I2498">
        <v>266.36590000000001</v>
      </c>
      <c r="J2498">
        <v>-488.57040000000001</v>
      </c>
      <c r="K2498">
        <v>1.1062969999999901</v>
      </c>
      <c r="L2498">
        <v>267.21870000000001</v>
      </c>
      <c r="M2498">
        <v>-0.33105790000000002</v>
      </c>
      <c r="N2498">
        <v>0</v>
      </c>
      <c r="O2498">
        <v>-0.94354590000000005</v>
      </c>
      <c r="P2498">
        <v>-7.2704749999999999E-2</v>
      </c>
      <c r="Q2498">
        <v>7.5373750000000003E-2</v>
      </c>
      <c r="R2498">
        <v>-0.99450139999999998</v>
      </c>
      <c r="S2498">
        <v>0.38961790000000002</v>
      </c>
      <c r="T2498">
        <v>-0.25925310000000001</v>
      </c>
      <c r="U2498">
        <v>-3.0667419999999899</v>
      </c>
      <c r="V2498">
        <v>-0.26096469999999999</v>
      </c>
      <c r="W2498">
        <v>8.5046269999999993E-2</v>
      </c>
      <c r="X2498">
        <v>0.96159479999999997</v>
      </c>
      <c r="Y2498">
        <v>-0.44695219999999902</v>
      </c>
      <c r="Z2498">
        <v>7.2334599999999999E-2</v>
      </c>
      <c r="AA2498">
        <v>0.89162849999999905</v>
      </c>
      <c r="AB2498">
        <v>20</v>
      </c>
      <c r="AC2498">
        <v>0.15820000000002199</v>
      </c>
      <c r="AD2498">
        <v>-8.1237999999999894E-2</v>
      </c>
      <c r="AE2498">
        <v>-0.852800000000002</v>
      </c>
      <c r="AF2498">
        <v>-0.42786789506564599</v>
      </c>
      <c r="AG2498">
        <v>-8.1237999999999894E-2</v>
      </c>
      <c r="AH2498">
        <v>0.74578589257988404</v>
      </c>
      <c r="AI2498">
        <v>95.397512560915899</v>
      </c>
      <c r="AJ2498">
        <v>119.843501865105</v>
      </c>
      <c r="AK2498">
        <v>0.86363600309568</v>
      </c>
    </row>
    <row r="2499" spans="1:37" x14ac:dyDescent="0.2">
      <c r="A2499" t="str">
        <f>"20200111153657829"</f>
        <v>20200111153657829</v>
      </c>
      <c r="B2499" t="str">
        <f>"1578728217825313"</f>
        <v>1578728217825313</v>
      </c>
      <c r="C2499" t="s">
        <v>37</v>
      </c>
      <c r="D2499">
        <v>5.615958</v>
      </c>
      <c r="E2499">
        <v>0.42140459999999902</v>
      </c>
      <c r="F2499" t="s">
        <v>39</v>
      </c>
      <c r="G2499">
        <v>-486.90679999999998</v>
      </c>
      <c r="H2499" s="1">
        <v>-2.5496370000000001E-6</v>
      </c>
      <c r="I2499">
        <v>254.297</v>
      </c>
      <c r="J2499">
        <v>-488.6046</v>
      </c>
      <c r="K2499">
        <v>1.1062829999999999</v>
      </c>
      <c r="L2499">
        <v>267.11559999999997</v>
      </c>
      <c r="M2499">
        <v>-0.32944380000000001</v>
      </c>
      <c r="N2499">
        <v>0</v>
      </c>
      <c r="O2499">
        <v>-0.94411129999999999</v>
      </c>
      <c r="P2499">
        <v>-7.027912E-2</v>
      </c>
      <c r="Q2499">
        <v>7.4874350000000006E-2</v>
      </c>
      <c r="R2499">
        <v>-0.99471339999999997</v>
      </c>
      <c r="S2499">
        <v>0.39465329999999998</v>
      </c>
      <c r="T2499">
        <v>-0.26244109999999998</v>
      </c>
      <c r="U2499">
        <v>-3.0653380000000001</v>
      </c>
      <c r="V2499">
        <v>-0.261675299999999</v>
      </c>
      <c r="W2499">
        <v>8.4514119999999998E-2</v>
      </c>
      <c r="X2499">
        <v>0.96144859999999899</v>
      </c>
      <c r="Y2499">
        <v>-0.44690390000000002</v>
      </c>
      <c r="Z2499">
        <v>7.3316329999999999E-2</v>
      </c>
      <c r="AA2499">
        <v>0.89157260000000005</v>
      </c>
      <c r="AB2499">
        <v>20</v>
      </c>
      <c r="AC2499">
        <v>1.69780000000002</v>
      </c>
      <c r="AD2499">
        <v>-1.1062855496369901</v>
      </c>
      <c r="AE2499">
        <v>-12.818599999999901</v>
      </c>
      <c r="AF2499">
        <v>-5.7839345081701499</v>
      </c>
      <c r="AG2499">
        <v>-1.1062855496369901</v>
      </c>
      <c r="AH2499">
        <v>11.459668954430899</v>
      </c>
      <c r="AI2499">
        <v>94.925707260718497</v>
      </c>
      <c r="AJ2499">
        <v>116.781032736122</v>
      </c>
      <c r="AK2499">
        <v>12.884167751829599</v>
      </c>
    </row>
    <row r="2500" spans="1:37" x14ac:dyDescent="0.2">
      <c r="A2500" t="str">
        <f>"20200111153657845"</f>
        <v>20200111153657845</v>
      </c>
      <c r="B2500" t="str">
        <f>"1578728217835073"</f>
        <v>1578728217835073</v>
      </c>
      <c r="C2500" t="s">
        <v>37</v>
      </c>
      <c r="D2500">
        <v>5.5254129999999897</v>
      </c>
      <c r="E2500">
        <v>0.38083879999999998</v>
      </c>
      <c r="F2500" t="s">
        <v>38</v>
      </c>
      <c r="G2500">
        <v>-488.47989999999999</v>
      </c>
      <c r="H2500">
        <v>1.024278</v>
      </c>
      <c r="I2500">
        <v>266.15980000000002</v>
      </c>
      <c r="J2500">
        <v>-488.6515</v>
      </c>
      <c r="K2500">
        <v>1.106271</v>
      </c>
      <c r="L2500">
        <v>266.97250000000003</v>
      </c>
      <c r="M2500">
        <v>-0.32722429999999902</v>
      </c>
      <c r="N2500">
        <v>0</v>
      </c>
      <c r="O2500">
        <v>-0.94488309999999998</v>
      </c>
      <c r="P2500">
        <v>-6.6415689999999999E-2</v>
      </c>
      <c r="Q2500">
        <v>7.5045139999999996E-2</v>
      </c>
      <c r="R2500">
        <v>-0.99496589999999996</v>
      </c>
      <c r="S2500">
        <v>0.40054319999999999</v>
      </c>
      <c r="T2500">
        <v>-0.26283289999999998</v>
      </c>
      <c r="U2500">
        <v>-3.0640259999999899</v>
      </c>
      <c r="V2500">
        <v>-0.2631462</v>
      </c>
      <c r="W2500">
        <v>8.4633369999999999E-2</v>
      </c>
      <c r="X2500">
        <v>0.96103660000000002</v>
      </c>
      <c r="Y2500">
        <v>-0.44653399999999999</v>
      </c>
      <c r="Z2500">
        <v>7.3553499999999994E-2</v>
      </c>
      <c r="AA2500">
        <v>0.89173840000000004</v>
      </c>
      <c r="AB2500">
        <v>20</v>
      </c>
      <c r="AC2500">
        <v>0.17160000000001199</v>
      </c>
      <c r="AD2500">
        <v>-8.1992999999999899E-2</v>
      </c>
      <c r="AE2500">
        <v>-0.81270000000000597</v>
      </c>
      <c r="AF2500">
        <v>-0.42397155635216999</v>
      </c>
      <c r="AG2500">
        <v>-8.1992999999999899E-2</v>
      </c>
      <c r="AH2500">
        <v>0.70492855722698899</v>
      </c>
      <c r="AI2500">
        <v>95.692157050448301</v>
      </c>
      <c r="AJ2500">
        <v>121.024343816849</v>
      </c>
      <c r="AK2500">
        <v>0.826679504668409</v>
      </c>
    </row>
    <row r="2501" spans="1:37" x14ac:dyDescent="0.2">
      <c r="A2501" t="str">
        <f>"20200111153657860"</f>
        <v>20200111153657860</v>
      </c>
      <c r="B2501" t="str">
        <f>"1578728217855570"</f>
        <v>1578728217855570</v>
      </c>
      <c r="C2501" t="s">
        <v>37</v>
      </c>
      <c r="D2501">
        <v>5.5465519999999904</v>
      </c>
      <c r="E2501">
        <v>0.3701159</v>
      </c>
      <c r="F2501" t="s">
        <v>38</v>
      </c>
      <c r="G2501">
        <v>-488.42489999999998</v>
      </c>
      <c r="H2501">
        <v>1.036043</v>
      </c>
      <c r="I2501">
        <v>266.02499999999998</v>
      </c>
      <c r="J2501">
        <v>-488.69069999999999</v>
      </c>
      <c r="K2501">
        <v>1.1062639999999999</v>
      </c>
      <c r="L2501">
        <v>266.85239999999999</v>
      </c>
      <c r="M2501">
        <v>-0.32537250000000001</v>
      </c>
      <c r="N2501">
        <v>0</v>
      </c>
      <c r="O2501">
        <v>-0.9455228</v>
      </c>
      <c r="P2501">
        <v>-6.3666559999999997E-2</v>
      </c>
      <c r="Q2501">
        <v>7.5206259999999997E-2</v>
      </c>
      <c r="R2501">
        <v>-0.995133499999999</v>
      </c>
      <c r="S2501">
        <v>0.73675539999999995</v>
      </c>
      <c r="T2501">
        <v>-0.22841880000000001</v>
      </c>
      <c r="U2501">
        <v>-3.0815429999999999</v>
      </c>
      <c r="V2501">
        <v>-0.26391559999999997</v>
      </c>
      <c r="W2501">
        <v>8.4752629999999995E-2</v>
      </c>
      <c r="X2501">
        <v>0.96081499999999997</v>
      </c>
      <c r="Y2501">
        <v>-0.53582609999999997</v>
      </c>
      <c r="Z2501">
        <v>6.1197149999999999E-2</v>
      </c>
      <c r="AA2501">
        <v>0.84210769999999902</v>
      </c>
      <c r="AB2501">
        <v>20</v>
      </c>
      <c r="AC2501">
        <v>0.26580000000001203</v>
      </c>
      <c r="AD2501">
        <v>-7.0220999999999797E-2</v>
      </c>
      <c r="AE2501">
        <v>-0.82740000000001102</v>
      </c>
      <c r="AF2501">
        <v>-0.51718750395135005</v>
      </c>
      <c r="AG2501">
        <v>-7.0220999999999797E-2</v>
      </c>
      <c r="AH2501">
        <v>0.69136911837246695</v>
      </c>
      <c r="AI2501">
        <v>94.649631325106597</v>
      </c>
      <c r="AJ2501">
        <v>126.79879502771399</v>
      </c>
      <c r="AK2501">
        <v>0.86625929196953</v>
      </c>
    </row>
    <row r="2502" spans="1:37" x14ac:dyDescent="0.2">
      <c r="A2502" t="str">
        <f>"20200111153657873"</f>
        <v>20200111153657873</v>
      </c>
      <c r="B2502" t="str">
        <f>"1578728217865330"</f>
        <v>1578728217865330</v>
      </c>
      <c r="C2502" t="s">
        <v>37</v>
      </c>
      <c r="D2502">
        <v>5.5344930000000003</v>
      </c>
      <c r="E2502">
        <v>0.36934309999999998</v>
      </c>
      <c r="F2502" t="s">
        <v>38</v>
      </c>
      <c r="G2502">
        <v>-488.42189999999999</v>
      </c>
      <c r="H2502">
        <v>1.0298259999999999</v>
      </c>
      <c r="I2502">
        <v>265.8535</v>
      </c>
      <c r="J2502">
        <v>-488.72669999999999</v>
      </c>
      <c r="K2502">
        <v>1.1062559999999999</v>
      </c>
      <c r="L2502">
        <v>266.7414</v>
      </c>
      <c r="M2502">
        <v>-0.32367399999999902</v>
      </c>
      <c r="N2502">
        <v>0</v>
      </c>
      <c r="O2502">
        <v>-0.94610609999999995</v>
      </c>
      <c r="P2502">
        <v>-6.0875140000000001E-2</v>
      </c>
      <c r="Q2502">
        <v>7.5469700000000001E-2</v>
      </c>
      <c r="R2502">
        <v>-0.99528850000000002</v>
      </c>
      <c r="S2502">
        <v>0.83065800000000001</v>
      </c>
      <c r="T2502">
        <v>-0.23612379999999999</v>
      </c>
      <c r="U2502">
        <v>-3.085693</v>
      </c>
      <c r="V2502">
        <v>-0.26487959999999999</v>
      </c>
      <c r="W2502">
        <v>8.4971669999999999E-2</v>
      </c>
      <c r="X2502">
        <v>0.96053040000000001</v>
      </c>
      <c r="Y2502">
        <v>-0.55790550000000005</v>
      </c>
      <c r="Z2502">
        <v>6.2452229999999997E-2</v>
      </c>
      <c r="AA2502">
        <v>0.82755129999999999</v>
      </c>
      <c r="AB2502">
        <v>20</v>
      </c>
      <c r="AC2502">
        <v>0.30480000000000002</v>
      </c>
      <c r="AD2502">
        <v>-7.6429999999999707E-2</v>
      </c>
      <c r="AE2502">
        <v>-0.88790000000000102</v>
      </c>
      <c r="AF2502">
        <v>-0.572005795903752</v>
      </c>
      <c r="AG2502">
        <v>-7.6429999999999707E-2</v>
      </c>
      <c r="AH2502">
        <v>0.73655337517147801</v>
      </c>
      <c r="AI2502">
        <v>94.685240128378993</v>
      </c>
      <c r="AJ2502">
        <v>127.83283789170299</v>
      </c>
      <c r="AK2502">
        <v>0.935704574063835</v>
      </c>
    </row>
    <row r="2503" spans="1:37" x14ac:dyDescent="0.2">
      <c r="A2503" t="str">
        <f>"20200111153657889"</f>
        <v>20200111153657889</v>
      </c>
      <c r="B2503" t="str">
        <f>"1578728217884850"</f>
        <v>1578728217884850</v>
      </c>
      <c r="C2503" t="s">
        <v>37</v>
      </c>
      <c r="D2503">
        <v>5.4686690000000002</v>
      </c>
      <c r="E2503">
        <v>0.3692223</v>
      </c>
      <c r="F2503" t="s">
        <v>38</v>
      </c>
      <c r="G2503">
        <v>-488.48520000000002</v>
      </c>
      <c r="H2503">
        <v>1.038732</v>
      </c>
      <c r="I2503">
        <v>265.86099999999999</v>
      </c>
      <c r="J2503">
        <v>-488.76839999999999</v>
      </c>
      <c r="K2503">
        <v>1.1062449999999999</v>
      </c>
      <c r="L2503">
        <v>266.61180000000002</v>
      </c>
      <c r="M2503">
        <v>-0.3216927</v>
      </c>
      <c r="N2503">
        <v>0</v>
      </c>
      <c r="O2503">
        <v>-0.94678209999999996</v>
      </c>
      <c r="P2503">
        <v>-5.686401E-2</v>
      </c>
      <c r="Q2503">
        <v>7.5533820000000002E-2</v>
      </c>
      <c r="R2503">
        <v>-0.99552039999999997</v>
      </c>
      <c r="S2503">
        <v>0.84591669999999997</v>
      </c>
      <c r="T2503">
        <v>-0.2365091</v>
      </c>
      <c r="U2503">
        <v>-3.083923</v>
      </c>
      <c r="V2503">
        <v>-0.26673930000000001</v>
      </c>
      <c r="W2503">
        <v>8.4978330000000005E-2</v>
      </c>
      <c r="X2503">
        <v>0.96001499999999995</v>
      </c>
      <c r="Y2503">
        <v>-0.56009690000000001</v>
      </c>
      <c r="Z2503">
        <v>6.2568929999999995E-2</v>
      </c>
      <c r="AA2503">
        <v>0.82606089999999999</v>
      </c>
      <c r="AB2503">
        <v>20</v>
      </c>
      <c r="AC2503">
        <v>0.28319999999996498</v>
      </c>
      <c r="AD2503">
        <v>-6.7513000000000101E-2</v>
      </c>
      <c r="AE2503">
        <v>-0.750800000000026</v>
      </c>
      <c r="AF2503">
        <v>-0.50610294639894005</v>
      </c>
      <c r="AG2503">
        <v>-6.7513000000000101E-2</v>
      </c>
      <c r="AH2503">
        <v>0.61542064168563404</v>
      </c>
      <c r="AI2503">
        <v>94.843141786371703</v>
      </c>
      <c r="AJ2503">
        <v>129.43282436310199</v>
      </c>
      <c r="AK2503">
        <v>0.79965040094746798</v>
      </c>
    </row>
    <row r="2504" spans="1:37" x14ac:dyDescent="0.2">
      <c r="A2504" t="str">
        <f>"20200111153657914"</f>
        <v>20200111153657914</v>
      </c>
      <c r="B2504" t="str">
        <f>"1578728217905345"</f>
        <v>1578728217905345</v>
      </c>
      <c r="C2504" t="s">
        <v>37</v>
      </c>
      <c r="D2504">
        <v>5.48536</v>
      </c>
      <c r="E2504">
        <v>0.36959199999999998</v>
      </c>
      <c r="F2504" t="s">
        <v>38</v>
      </c>
      <c r="G2504">
        <v>-488.51199999999898</v>
      </c>
      <c r="H2504">
        <v>1.03596</v>
      </c>
      <c r="I2504">
        <v>265.6927</v>
      </c>
      <c r="J2504">
        <v>-488.83249999999998</v>
      </c>
      <c r="K2504">
        <v>1.1062399999999999</v>
      </c>
      <c r="L2504">
        <v>266.41140000000001</v>
      </c>
      <c r="M2504">
        <v>-0.31863340000000001</v>
      </c>
      <c r="N2504">
        <v>0</v>
      </c>
      <c r="O2504">
        <v>-0.94781680000000001</v>
      </c>
      <c r="P2504">
        <v>-5.221145E-2</v>
      </c>
      <c r="Q2504">
        <v>7.4824940000000006E-2</v>
      </c>
      <c r="R2504">
        <v>-0.99582879999999996</v>
      </c>
      <c r="S2504">
        <v>0.85964969999999996</v>
      </c>
      <c r="T2504">
        <v>-0.2355517</v>
      </c>
      <c r="U2504">
        <v>-3.0804749999999999</v>
      </c>
      <c r="V2504">
        <v>-0.2681405</v>
      </c>
      <c r="W2504">
        <v>8.4187709999999999E-2</v>
      </c>
      <c r="X2504">
        <v>0.9596943</v>
      </c>
      <c r="Y2504">
        <v>-0.56108239999999998</v>
      </c>
      <c r="Z2504">
        <v>6.243986E-2</v>
      </c>
      <c r="AA2504">
        <v>0.82540159999999996</v>
      </c>
      <c r="AB2504">
        <v>20</v>
      </c>
      <c r="AC2504">
        <v>0.32050000000003798</v>
      </c>
      <c r="AD2504">
        <v>-7.0279999999999898E-2</v>
      </c>
      <c r="AE2504">
        <v>-0.718700000000012</v>
      </c>
      <c r="AF2504">
        <v>-0.52859186245380596</v>
      </c>
      <c r="AG2504">
        <v>-7.0279999999999898E-2</v>
      </c>
      <c r="AH2504">
        <v>0.57452499687476799</v>
      </c>
      <c r="AI2504">
        <v>95.144019629887694</v>
      </c>
      <c r="AJ2504">
        <v>132.61561499630699</v>
      </c>
      <c r="AK2504">
        <v>0.78385432797576304</v>
      </c>
    </row>
    <row r="2505" spans="1:37" x14ac:dyDescent="0.2">
      <c r="A2505" t="str">
        <f>"20200111153657926"</f>
        <v>20200111153657926</v>
      </c>
      <c r="B2505" t="str">
        <f>"1578728217915106"</f>
        <v>1578728217915106</v>
      </c>
      <c r="C2505" t="s">
        <v>37</v>
      </c>
      <c r="D2505">
        <v>5.5053010000000002</v>
      </c>
      <c r="E2505">
        <v>0.36987120000000001</v>
      </c>
      <c r="F2505" t="s">
        <v>38</v>
      </c>
      <c r="G2505">
        <v>-488.58269999999999</v>
      </c>
      <c r="H2505">
        <v>1.0376700000000001</v>
      </c>
      <c r="I2505">
        <v>265.52910000000003</v>
      </c>
      <c r="J2505">
        <v>-488.86770000000001</v>
      </c>
      <c r="K2505">
        <v>1.106241</v>
      </c>
      <c r="L2505">
        <v>266.30020000000002</v>
      </c>
      <c r="M2505">
        <v>-0.31693640000000001</v>
      </c>
      <c r="N2505">
        <v>0</v>
      </c>
      <c r="O2505">
        <v>-0.94838609999999901</v>
      </c>
      <c r="P2505">
        <v>-4.9877369999999997E-2</v>
      </c>
      <c r="Q2505">
        <v>7.4576119999999996E-2</v>
      </c>
      <c r="R2505">
        <v>-0.99596689999999999</v>
      </c>
      <c r="S2505">
        <v>0.87091059999999998</v>
      </c>
      <c r="T2505">
        <v>-0.23906129999999901</v>
      </c>
      <c r="U2505">
        <v>-3.0761720000000001</v>
      </c>
      <c r="V2505">
        <v>-0.26867839999999998</v>
      </c>
      <c r="W2505">
        <v>8.3893590000000004E-2</v>
      </c>
      <c r="X2505">
        <v>0.95956960000000002</v>
      </c>
      <c r="Y2505">
        <v>-0.56267919999999905</v>
      </c>
      <c r="Z2505">
        <v>6.3442879999999993E-2</v>
      </c>
      <c r="AA2505">
        <v>0.82423729999999995</v>
      </c>
      <c r="AB2505">
        <v>20</v>
      </c>
      <c r="AC2505">
        <v>0.28500000000002501</v>
      </c>
      <c r="AD2505">
        <v>-6.8570999999999896E-2</v>
      </c>
      <c r="AE2505">
        <v>-0.77109999999998902</v>
      </c>
      <c r="AF2505">
        <v>-0.51115300600751901</v>
      </c>
      <c r="AG2505">
        <v>-6.8570999999999896E-2</v>
      </c>
      <c r="AH2505">
        <v>0.63658156519699705</v>
      </c>
      <c r="AI2505">
        <v>94.801097179986201</v>
      </c>
      <c r="AJ2505">
        <v>128.76326095625399</v>
      </c>
      <c r="AK2505">
        <v>0.81927740524207204</v>
      </c>
    </row>
    <row r="2506" spans="1:37" x14ac:dyDescent="0.2">
      <c r="A2506" t="str">
        <f>"20200111153657940"</f>
        <v>20200111153657940</v>
      </c>
      <c r="B2506" t="str">
        <f>"1578728217935601"</f>
        <v>1578728217935601</v>
      </c>
      <c r="C2506" t="s">
        <v>37</v>
      </c>
      <c r="D2506">
        <v>5.5136029999999998</v>
      </c>
      <c r="E2506">
        <v>0.37030400000000002</v>
      </c>
      <c r="F2506" t="s">
        <v>38</v>
      </c>
      <c r="G2506">
        <v>-488.59969999999998</v>
      </c>
      <c r="H2506">
        <v>1.0330349999999999</v>
      </c>
      <c r="I2506">
        <v>265.35930000000002</v>
      </c>
      <c r="J2506">
        <v>-488.90100000000001</v>
      </c>
      <c r="K2506">
        <v>1.1062430000000001</v>
      </c>
      <c r="L2506">
        <v>266.19490000000002</v>
      </c>
      <c r="M2506">
        <v>-0.31532859999999902</v>
      </c>
      <c r="N2506">
        <v>0</v>
      </c>
      <c r="O2506">
        <v>-0.94892240000000005</v>
      </c>
      <c r="P2506">
        <v>-4.7853949999999999E-2</v>
      </c>
      <c r="Q2506">
        <v>7.4421539999999994E-2</v>
      </c>
      <c r="R2506">
        <v>-0.99607800000000002</v>
      </c>
      <c r="S2506">
        <v>0.87597659999999999</v>
      </c>
      <c r="T2506">
        <v>-0.23911450000000001</v>
      </c>
      <c r="U2506">
        <v>-3.0738829999999999</v>
      </c>
      <c r="V2506">
        <v>-0.26900639999999998</v>
      </c>
      <c r="W2506">
        <v>8.3697339999999995E-2</v>
      </c>
      <c r="X2506">
        <v>0.95949479999999998</v>
      </c>
      <c r="Y2506">
        <v>-0.5626951</v>
      </c>
      <c r="Z2506">
        <v>6.3549679999999997E-2</v>
      </c>
      <c r="AA2506">
        <v>0.82421819999999901</v>
      </c>
      <c r="AB2506">
        <v>20</v>
      </c>
      <c r="AC2506">
        <v>0.30130000000002599</v>
      </c>
      <c r="AD2506">
        <v>-7.3208000000000106E-2</v>
      </c>
      <c r="AE2506">
        <v>-0.83559999999999901</v>
      </c>
      <c r="AF2506">
        <v>-0.545723385040492</v>
      </c>
      <c r="AG2506">
        <v>-7.3208000000000106E-2</v>
      </c>
      <c r="AH2506">
        <v>0.69324198262983205</v>
      </c>
      <c r="AI2506">
        <v>94.743363645872606</v>
      </c>
      <c r="AJ2506">
        <v>128.209989404981</v>
      </c>
      <c r="AK2506">
        <v>0.88530100571759995</v>
      </c>
    </row>
    <row r="2507" spans="1:37" x14ac:dyDescent="0.2">
      <c r="A2507" t="str">
        <f>"20200111153657956"</f>
        <v>20200111153657956</v>
      </c>
      <c r="B2507" t="str">
        <f>"1578728217945362"</f>
        <v>1578728217945362</v>
      </c>
      <c r="C2507" t="s">
        <v>37</v>
      </c>
      <c r="D2507">
        <v>5.4933449999999997</v>
      </c>
      <c r="E2507">
        <v>0.37064639999999999</v>
      </c>
      <c r="F2507" t="s">
        <v>38</v>
      </c>
      <c r="G2507">
        <v>-488.61340000000001</v>
      </c>
      <c r="H2507">
        <v>1.0275030000000001</v>
      </c>
      <c r="I2507">
        <v>265.18880000000001</v>
      </c>
      <c r="J2507">
        <v>-488.94549999999998</v>
      </c>
      <c r="K2507">
        <v>1.1062590000000001</v>
      </c>
      <c r="L2507">
        <v>266.05239999999998</v>
      </c>
      <c r="M2507">
        <v>-0.31315589999999999</v>
      </c>
      <c r="N2507">
        <v>0</v>
      </c>
      <c r="O2507">
        <v>-0.94964199999999999</v>
      </c>
      <c r="P2507">
        <v>-4.5019789999999997E-2</v>
      </c>
      <c r="Q2507">
        <v>7.5144269999999999E-2</v>
      </c>
      <c r="R2507">
        <v>-0.99615589999999998</v>
      </c>
      <c r="S2507">
        <v>0.87869259999999905</v>
      </c>
      <c r="T2507">
        <v>-0.24038589999999899</v>
      </c>
      <c r="U2507">
        <v>-3.0719910000000001</v>
      </c>
      <c r="V2507">
        <v>-0.26952890000000002</v>
      </c>
      <c r="W2507">
        <v>8.4358760000000005E-2</v>
      </c>
      <c r="X2507">
        <v>0.95929030000000004</v>
      </c>
      <c r="Y2507">
        <v>-0.5616025</v>
      </c>
      <c r="Z2507">
        <v>6.4028119999999994E-2</v>
      </c>
      <c r="AA2507">
        <v>0.8249261</v>
      </c>
      <c r="AB2507">
        <v>20</v>
      </c>
      <c r="AC2507">
        <v>0.33209999999996798</v>
      </c>
      <c r="AD2507">
        <v>-7.8756000000000007E-2</v>
      </c>
      <c r="AE2507">
        <v>-0.86359999999996195</v>
      </c>
      <c r="AF2507">
        <v>-0.58163675407753601</v>
      </c>
      <c r="AG2507">
        <v>-7.8756000000000007E-2</v>
      </c>
      <c r="AH2507">
        <v>0.71100110000445005</v>
      </c>
      <c r="AI2507">
        <v>94.900266065005894</v>
      </c>
      <c r="AJ2507">
        <v>129.28499371393599</v>
      </c>
      <c r="AK2507">
        <v>0.92196875513077503</v>
      </c>
    </row>
    <row r="2508" spans="1:37" x14ac:dyDescent="0.2">
      <c r="A2508" t="str">
        <f>"20200111153657969"</f>
        <v>20200111153657969</v>
      </c>
      <c r="B2508" t="str">
        <f>"1578728217964882"</f>
        <v>1578728217964882</v>
      </c>
      <c r="C2508" t="s">
        <v>37</v>
      </c>
      <c r="D2508">
        <v>5.5123550000000003</v>
      </c>
      <c r="E2508">
        <v>0.37112629999999902</v>
      </c>
      <c r="F2508" t="s">
        <v>38</v>
      </c>
      <c r="G2508">
        <v>-488.69959999999998</v>
      </c>
      <c r="H2508">
        <v>1.0398590000000001</v>
      </c>
      <c r="I2508">
        <v>265.19810000000001</v>
      </c>
      <c r="J2508">
        <v>-488.97899999999998</v>
      </c>
      <c r="K2508">
        <v>1.106271</v>
      </c>
      <c r="L2508">
        <v>265.94439999999997</v>
      </c>
      <c r="M2508">
        <v>-0.31150670000000003</v>
      </c>
      <c r="N2508">
        <v>0</v>
      </c>
      <c r="O2508">
        <v>-0.95018479999999905</v>
      </c>
      <c r="P2508">
        <v>-4.3723709999999999E-2</v>
      </c>
      <c r="Q2508">
        <v>7.615574E-2</v>
      </c>
      <c r="R2508">
        <v>-0.99613680000000004</v>
      </c>
      <c r="S2508">
        <v>0.88436890000000001</v>
      </c>
      <c r="T2508">
        <v>-0.23850289999999999</v>
      </c>
      <c r="U2508">
        <v>-3.06955</v>
      </c>
      <c r="V2508">
        <v>-0.26909299999999903</v>
      </c>
      <c r="W2508">
        <v>8.5328470000000003E-2</v>
      </c>
      <c r="X2508">
        <v>0.95932689999999998</v>
      </c>
      <c r="Y2508">
        <v>-0.5617588</v>
      </c>
      <c r="Z2508">
        <v>6.3620430000000006E-2</v>
      </c>
      <c r="AA2508">
        <v>0.82485129999999995</v>
      </c>
      <c r="AB2508">
        <v>20</v>
      </c>
      <c r="AC2508">
        <v>0.27940000000006598</v>
      </c>
      <c r="AD2508">
        <v>-6.6411999999999902E-2</v>
      </c>
      <c r="AE2508">
        <v>-0.74629999999996199</v>
      </c>
      <c r="AF2508">
        <v>-0.49455219030649999</v>
      </c>
      <c r="AG2508">
        <v>-6.6411999999999902E-2</v>
      </c>
      <c r="AH2508">
        <v>0.61783179722239701</v>
      </c>
      <c r="AI2508">
        <v>94.796918123713397</v>
      </c>
      <c r="AJ2508">
        <v>128.676019539744</v>
      </c>
      <c r="AK2508">
        <v>0.794171613909748</v>
      </c>
    </row>
    <row r="2509" spans="1:37" x14ac:dyDescent="0.2">
      <c r="A2509" t="str">
        <f>"20200111153657984"</f>
        <v>20200111153657984</v>
      </c>
      <c r="B2509" t="str">
        <f>"1578728217975618"</f>
        <v>1578728217975618</v>
      </c>
      <c r="C2509" t="s">
        <v>37</v>
      </c>
      <c r="D2509">
        <v>5.5168569999999999</v>
      </c>
      <c r="E2509">
        <v>0.37145840000000002</v>
      </c>
      <c r="F2509" t="s">
        <v>38</v>
      </c>
      <c r="G2509">
        <v>-488.71480000000003</v>
      </c>
      <c r="H2509">
        <v>1.0356969999999901</v>
      </c>
      <c r="I2509">
        <v>265.02730000000003</v>
      </c>
      <c r="J2509">
        <v>-489.01850000000002</v>
      </c>
      <c r="K2509">
        <v>1.1062860000000001</v>
      </c>
      <c r="L2509">
        <v>265.81670000000003</v>
      </c>
      <c r="M2509">
        <v>-0.30955509999999897</v>
      </c>
      <c r="N2509">
        <v>0</v>
      </c>
      <c r="O2509">
        <v>-0.95082310000000003</v>
      </c>
      <c r="P2509">
        <v>-4.169581E-2</v>
      </c>
      <c r="Q2509">
        <v>7.6425560000000003E-2</v>
      </c>
      <c r="R2509">
        <v>-0.99620339999999996</v>
      </c>
      <c r="S2509">
        <v>0.88442989999999999</v>
      </c>
      <c r="T2509">
        <v>-0.23614289999999999</v>
      </c>
      <c r="U2509">
        <v>-3.0685419999999999</v>
      </c>
      <c r="V2509">
        <v>-0.26907379999999997</v>
      </c>
      <c r="W2509">
        <v>8.5546549999999999E-2</v>
      </c>
      <c r="X2509">
        <v>0.95931279999999997</v>
      </c>
      <c r="Y2509">
        <v>-0.56015859999999995</v>
      </c>
      <c r="Z2509">
        <v>6.312835E-2</v>
      </c>
      <c r="AA2509">
        <v>0.825976499999999</v>
      </c>
      <c r="AB2509">
        <v>20</v>
      </c>
      <c r="AC2509">
        <v>0.30369999999999198</v>
      </c>
      <c r="AD2509">
        <v>-7.0589000000000193E-2</v>
      </c>
      <c r="AE2509">
        <v>-0.78939999999999999</v>
      </c>
      <c r="AF2509">
        <v>-0.52946952070294795</v>
      </c>
      <c r="AG2509">
        <v>-7.0589000000000193E-2</v>
      </c>
      <c r="AH2509">
        <v>0.65206259128253596</v>
      </c>
      <c r="AI2509">
        <v>94.803796425385201</v>
      </c>
      <c r="AJ2509">
        <v>129.07631768524399</v>
      </c>
      <c r="AK2509">
        <v>0.842915418784415</v>
      </c>
    </row>
    <row r="2510" spans="1:37" x14ac:dyDescent="0.2">
      <c r="A2510" t="str">
        <f>"20200111153658002"</f>
        <v>20200111153658002</v>
      </c>
      <c r="B2510" t="str">
        <f>"1578728217995137"</f>
        <v>1578728217995137</v>
      </c>
      <c r="C2510" t="s">
        <v>37</v>
      </c>
      <c r="D2510">
        <v>5.5241610000000003</v>
      </c>
      <c r="E2510">
        <v>0.37190089999999998</v>
      </c>
      <c r="F2510" t="s">
        <v>38</v>
      </c>
      <c r="G2510">
        <v>-488.74099999999999</v>
      </c>
      <c r="H2510">
        <v>1.032362</v>
      </c>
      <c r="I2510">
        <v>264.85759999999999</v>
      </c>
      <c r="J2510">
        <v>-489.0643</v>
      </c>
      <c r="K2510">
        <v>1.106295</v>
      </c>
      <c r="L2510">
        <v>265.66680000000002</v>
      </c>
      <c r="M2510">
        <v>-0.30726179999999997</v>
      </c>
      <c r="N2510">
        <v>0</v>
      </c>
      <c r="O2510">
        <v>-0.9515671</v>
      </c>
      <c r="P2510">
        <v>-3.9852650000000003E-2</v>
      </c>
      <c r="Q2510">
        <v>7.6973840000000002E-2</v>
      </c>
      <c r="R2510">
        <v>-0.99623660000000003</v>
      </c>
      <c r="S2510">
        <v>0.88787839999999996</v>
      </c>
      <c r="T2510">
        <v>-0.23633889999999999</v>
      </c>
      <c r="U2510">
        <v>-3.0667110000000002</v>
      </c>
      <c r="V2510">
        <v>-0.26852749999999997</v>
      </c>
      <c r="W2510">
        <v>8.6041580000000006E-2</v>
      </c>
      <c r="X2510">
        <v>0.95942159999999999</v>
      </c>
      <c r="Y2510">
        <v>-0.55914809999999904</v>
      </c>
      <c r="Z2510">
        <v>6.3318100000000002E-2</v>
      </c>
      <c r="AA2510">
        <v>0.8266464</v>
      </c>
      <c r="AB2510">
        <v>20</v>
      </c>
      <c r="AC2510">
        <v>0.32330000000001702</v>
      </c>
      <c r="AD2510">
        <v>-7.3932999999999999E-2</v>
      </c>
      <c r="AE2510">
        <v>-0.809200000000032</v>
      </c>
      <c r="AF2510">
        <v>-0.55233254051477598</v>
      </c>
      <c r="AG2510">
        <v>-7.3932999999999999E-2</v>
      </c>
      <c r="AH2510">
        <v>0.66591368751771896</v>
      </c>
      <c r="AI2510">
        <v>94.884360028033598</v>
      </c>
      <c r="AJ2510">
        <v>129.67352171914601</v>
      </c>
      <c r="AK2510">
        <v>0.86831927482001303</v>
      </c>
    </row>
    <row r="2511" spans="1:37" x14ac:dyDescent="0.2">
      <c r="A2511" t="str">
        <f>"20200111153658014"</f>
        <v>20200111153658014</v>
      </c>
      <c r="B2511" t="str">
        <f>"1578728218004898"</f>
        <v>1578728218004898</v>
      </c>
      <c r="C2511" t="s">
        <v>37</v>
      </c>
      <c r="D2511">
        <v>5.4907029999999999</v>
      </c>
      <c r="E2511">
        <v>0.37209399999999998</v>
      </c>
      <c r="F2511" t="s">
        <v>38</v>
      </c>
      <c r="G2511">
        <v>-488.78070000000002</v>
      </c>
      <c r="H2511">
        <v>1.030864</v>
      </c>
      <c r="I2511">
        <v>264.68900000000002</v>
      </c>
      <c r="J2511">
        <v>-489.09739999999999</v>
      </c>
      <c r="K2511">
        <v>1.106298</v>
      </c>
      <c r="L2511">
        <v>265.55799999999999</v>
      </c>
      <c r="M2511">
        <v>-0.30559359999999902</v>
      </c>
      <c r="N2511">
        <v>0</v>
      </c>
      <c r="O2511">
        <v>-0.95210439999999996</v>
      </c>
      <c r="P2511">
        <v>-3.8368069999999997E-2</v>
      </c>
      <c r="Q2511">
        <v>7.6434829999999995E-2</v>
      </c>
      <c r="R2511">
        <v>-0.99633619999999901</v>
      </c>
      <c r="S2511">
        <v>0.88885499999999995</v>
      </c>
      <c r="T2511">
        <v>-0.2364743</v>
      </c>
      <c r="U2511">
        <v>-3.0651549999999999</v>
      </c>
      <c r="V2511">
        <v>-0.26828829999999998</v>
      </c>
      <c r="W2511">
        <v>8.5467199999999993E-2</v>
      </c>
      <c r="X2511">
        <v>0.95953980000000005</v>
      </c>
      <c r="Y2511">
        <v>-0.55804819999999999</v>
      </c>
      <c r="Z2511">
        <v>6.3472009999999995E-2</v>
      </c>
      <c r="AA2511">
        <v>0.82737749999999999</v>
      </c>
      <c r="AB2511">
        <v>20</v>
      </c>
      <c r="AC2511">
        <v>0.31669999999996801</v>
      </c>
      <c r="AD2511">
        <v>-7.5434000000000001E-2</v>
      </c>
      <c r="AE2511">
        <v>-0.86899999999997102</v>
      </c>
      <c r="AF2511">
        <v>-0.56337600220945705</v>
      </c>
      <c r="AG2511">
        <v>-7.5434000000000001E-2</v>
      </c>
      <c r="AH2511">
        <v>0.72580944154702898</v>
      </c>
      <c r="AI2511">
        <v>94.693493678489403</v>
      </c>
      <c r="AJ2511">
        <v>127.81874808898201</v>
      </c>
      <c r="AK2511">
        <v>0.92189053236288399</v>
      </c>
    </row>
    <row r="2512" spans="1:37" x14ac:dyDescent="0.2">
      <c r="A2512" t="str">
        <f>"20200111153658028"</f>
        <v>20200111153658028</v>
      </c>
      <c r="B2512" t="str">
        <f>"1578728218025394"</f>
        <v>1578728218025394</v>
      </c>
      <c r="C2512" t="s">
        <v>37</v>
      </c>
      <c r="D2512">
        <v>5.4790010000000002</v>
      </c>
      <c r="E2512">
        <v>0.3724152</v>
      </c>
      <c r="F2512" t="s">
        <v>38</v>
      </c>
      <c r="G2512">
        <v>-488.84629999999999</v>
      </c>
      <c r="H2512">
        <v>1.0390239999999999</v>
      </c>
      <c r="I2512">
        <v>264.69549999999998</v>
      </c>
      <c r="J2512">
        <v>-489.13010000000003</v>
      </c>
      <c r="K2512">
        <v>1.106301</v>
      </c>
      <c r="L2512">
        <v>265.44959999999998</v>
      </c>
      <c r="M2512">
        <v>-0.30392940000000002</v>
      </c>
      <c r="N2512">
        <v>0</v>
      </c>
      <c r="O2512">
        <v>-0.95263739999999997</v>
      </c>
      <c r="P2512">
        <v>-3.6740559999999998E-2</v>
      </c>
      <c r="Q2512">
        <v>7.5454690000000005E-2</v>
      </c>
      <c r="R2512">
        <v>-0.99647220000000003</v>
      </c>
      <c r="S2512">
        <v>0.89163210000000004</v>
      </c>
      <c r="T2512">
        <v>-0.2389771</v>
      </c>
      <c r="U2512">
        <v>-3.0637209999999899</v>
      </c>
      <c r="V2512">
        <v>-0.26819939999999998</v>
      </c>
      <c r="W2512">
        <v>8.4454260000000003E-2</v>
      </c>
      <c r="X2512">
        <v>0.95965440000000002</v>
      </c>
      <c r="Y2512">
        <v>-0.55737890000000001</v>
      </c>
      <c r="Z2512">
        <v>6.4239790000000005E-2</v>
      </c>
      <c r="AA2512">
        <v>0.82776930000000004</v>
      </c>
      <c r="AB2512">
        <v>20</v>
      </c>
      <c r="AC2512">
        <v>0.28380000000004202</v>
      </c>
      <c r="AD2512">
        <v>-6.7277000000000003E-2</v>
      </c>
      <c r="AE2512">
        <v>-0.754099999999994</v>
      </c>
      <c r="AF2512">
        <v>-0.49611998037912602</v>
      </c>
      <c r="AG2512">
        <v>-6.7277000000000003E-2</v>
      </c>
      <c r="AH2512">
        <v>0.62778628621693</v>
      </c>
      <c r="AI2512">
        <v>94.806112729684997</v>
      </c>
      <c r="AJ2512">
        <v>128.31822085244599</v>
      </c>
      <c r="AK2512">
        <v>0.80297998158262296</v>
      </c>
    </row>
    <row r="2513" spans="1:37" x14ac:dyDescent="0.2">
      <c r="A2513" t="str">
        <f>"20200111153658045"</f>
        <v>20200111153658045</v>
      </c>
      <c r="B2513" t="str">
        <f>"1578728218035157"</f>
        <v>1578728218035157</v>
      </c>
      <c r="C2513" t="s">
        <v>37</v>
      </c>
      <c r="D2513">
        <v>5.5221929999999997</v>
      </c>
      <c r="E2513">
        <v>0.37260090000000001</v>
      </c>
      <c r="F2513" t="s">
        <v>38</v>
      </c>
      <c r="G2513">
        <v>-488.86</v>
      </c>
      <c r="H2513">
        <v>1.033352</v>
      </c>
      <c r="I2513">
        <v>264.52390000000003</v>
      </c>
      <c r="J2513">
        <v>-489.17520000000002</v>
      </c>
      <c r="K2513">
        <v>1.1062989999999999</v>
      </c>
      <c r="L2513">
        <v>265.29899999999998</v>
      </c>
      <c r="M2513">
        <v>-0.30161129999999903</v>
      </c>
      <c r="N2513">
        <v>0</v>
      </c>
      <c r="O2513">
        <v>-0.9533741</v>
      </c>
      <c r="P2513">
        <v>-3.4138479999999999E-2</v>
      </c>
      <c r="Q2513">
        <v>7.3420040000000006E-2</v>
      </c>
      <c r="R2513">
        <v>-0.99671679999999996</v>
      </c>
      <c r="S2513">
        <v>0.89367680000000005</v>
      </c>
      <c r="T2513">
        <v>-0.2412435</v>
      </c>
      <c r="U2513">
        <v>-3.0618289999999999</v>
      </c>
      <c r="V2513">
        <v>-0.26841149999999903</v>
      </c>
      <c r="W2513">
        <v>8.2374420000000004E-2</v>
      </c>
      <c r="X2513">
        <v>0.95977590000000002</v>
      </c>
      <c r="Y2513">
        <v>-0.55599180000000004</v>
      </c>
      <c r="Z2513">
        <v>6.5000210000000003E-2</v>
      </c>
      <c r="AA2513">
        <v>0.82864230000000005</v>
      </c>
      <c r="AB2513">
        <v>20</v>
      </c>
      <c r="AC2513">
        <v>0.31520000000000398</v>
      </c>
      <c r="AD2513">
        <v>-7.2946999999999804E-2</v>
      </c>
      <c r="AE2513">
        <v>-0.775100000000009</v>
      </c>
      <c r="AF2513">
        <v>-0.53028106881292802</v>
      </c>
      <c r="AG2513">
        <v>-7.2946999999999804E-2</v>
      </c>
      <c r="AH2513">
        <v>0.63907012247040995</v>
      </c>
      <c r="AI2513">
        <v>95.020134861211901</v>
      </c>
      <c r="AJ2513">
        <v>129.68486174969399</v>
      </c>
      <c r="AK2513">
        <v>0.83362455469157504</v>
      </c>
    </row>
    <row r="2514" spans="1:37" x14ac:dyDescent="0.2">
      <c r="A2514" t="str">
        <f>"20200111153658059"</f>
        <v>20200111153658059</v>
      </c>
      <c r="B2514" t="str">
        <f>"1578728218055650"</f>
        <v>1578728218055650</v>
      </c>
      <c r="C2514" t="s">
        <v>37</v>
      </c>
      <c r="D2514">
        <v>5.5211480000000002</v>
      </c>
      <c r="E2514">
        <v>0.37298029999999999</v>
      </c>
      <c r="F2514" t="s">
        <v>38</v>
      </c>
      <c r="G2514">
        <v>-488.8974</v>
      </c>
      <c r="H2514">
        <v>1.0290779999999999</v>
      </c>
      <c r="I2514">
        <v>264.35430000000002</v>
      </c>
      <c r="J2514">
        <v>-489.20830000000001</v>
      </c>
      <c r="K2514">
        <v>1.1062969999999901</v>
      </c>
      <c r="L2514">
        <v>265.18790000000001</v>
      </c>
      <c r="M2514">
        <v>-0.29990050000000001</v>
      </c>
      <c r="N2514">
        <v>0</v>
      </c>
      <c r="O2514">
        <v>-0.95391399999999904</v>
      </c>
      <c r="P2514">
        <v>-3.2140830000000002E-2</v>
      </c>
      <c r="Q2514">
        <v>7.2347560000000005E-2</v>
      </c>
      <c r="R2514">
        <v>-0.99686160000000001</v>
      </c>
      <c r="S2514">
        <v>0.89965819999999996</v>
      </c>
      <c r="T2514">
        <v>-0.25007410000000002</v>
      </c>
      <c r="U2514">
        <v>-3.0591430000000002</v>
      </c>
      <c r="V2514">
        <v>-0.26863369999999998</v>
      </c>
      <c r="W2514">
        <v>8.126854E-2</v>
      </c>
      <c r="X2514">
        <v>0.95980799999999999</v>
      </c>
      <c r="Y2514">
        <v>-0.55613630000000003</v>
      </c>
      <c r="Z2514">
        <v>6.7464570000000001E-2</v>
      </c>
      <c r="AA2514">
        <v>0.82834839999999998</v>
      </c>
      <c r="AB2514">
        <v>20</v>
      </c>
      <c r="AC2514">
        <v>0.31090000000000301</v>
      </c>
      <c r="AD2514">
        <v>-7.7218999999999705E-2</v>
      </c>
      <c r="AE2514">
        <v>-0.83359999999998902</v>
      </c>
      <c r="AF2514">
        <v>-0.54251160335667103</v>
      </c>
      <c r="AG2514">
        <v>-7.7218999999999705E-2</v>
      </c>
      <c r="AH2514">
        <v>0.69673294395496299</v>
      </c>
      <c r="AI2514">
        <v>94.997630948570205</v>
      </c>
      <c r="AJ2514">
        <v>127.906133965122</v>
      </c>
      <c r="AK2514">
        <v>0.88640758623207605</v>
      </c>
    </row>
    <row r="2515" spans="1:37" x14ac:dyDescent="0.2">
      <c r="A2515" t="str">
        <f>"20200111153658073"</f>
        <v>20200111153658073</v>
      </c>
      <c r="B2515" t="str">
        <f>"1578728218065410"</f>
        <v>1578728218065410</v>
      </c>
      <c r="C2515" t="s">
        <v>37</v>
      </c>
      <c r="D2515">
        <v>5.5310559999999898</v>
      </c>
      <c r="E2515">
        <v>0.37316670000000002</v>
      </c>
      <c r="F2515" t="s">
        <v>38</v>
      </c>
      <c r="G2515">
        <v>-488.96420000000001</v>
      </c>
      <c r="H2515">
        <v>1.0375509999999999</v>
      </c>
      <c r="I2515">
        <v>264.36059999999998</v>
      </c>
      <c r="J2515">
        <v>-489.241999999999</v>
      </c>
      <c r="K2515">
        <v>1.106298</v>
      </c>
      <c r="L2515">
        <v>265.07339999999999</v>
      </c>
      <c r="M2515">
        <v>-0.29813509999999999</v>
      </c>
      <c r="N2515">
        <v>0</v>
      </c>
      <c r="O2515">
        <v>-0.95446749999999903</v>
      </c>
      <c r="P2515">
        <v>-2.9798729999999999E-2</v>
      </c>
      <c r="Q2515">
        <v>7.1574199999999893E-2</v>
      </c>
      <c r="R2515">
        <v>-0.99699009999999999</v>
      </c>
      <c r="S2515">
        <v>0.90191650000000001</v>
      </c>
      <c r="T2515">
        <v>-0.25401679999999999</v>
      </c>
      <c r="U2515">
        <v>-3.0569759999999899</v>
      </c>
      <c r="V2515">
        <v>-0.26912779999999997</v>
      </c>
      <c r="W2515">
        <v>8.0458660000000001E-2</v>
      </c>
      <c r="X2515">
        <v>0.95973779999999997</v>
      </c>
      <c r="Y2515">
        <v>-0.55529580000000001</v>
      </c>
      <c r="Z2515">
        <v>6.8651899999999905E-2</v>
      </c>
      <c r="AA2515">
        <v>0.82881450000000001</v>
      </c>
      <c r="AB2515">
        <v>20</v>
      </c>
      <c r="AC2515">
        <v>0.27779999999995603</v>
      </c>
      <c r="AD2515">
        <v>-6.8746999999999794E-2</v>
      </c>
      <c r="AE2515">
        <v>-0.71280000000001498</v>
      </c>
      <c r="AF2515">
        <v>-0.47386079855317997</v>
      </c>
      <c r="AG2515">
        <v>-6.8746999999999794E-2</v>
      </c>
      <c r="AH2515">
        <v>0.59276774456327197</v>
      </c>
      <c r="AI2515">
        <v>95.176216201773997</v>
      </c>
      <c r="AJ2515">
        <v>128.638973734063</v>
      </c>
      <c r="AK2515">
        <v>0.76199987231566302</v>
      </c>
    </row>
    <row r="2516" spans="1:37" x14ac:dyDescent="0.2">
      <c r="A2516" t="str">
        <f>"20200111153658085"</f>
        <v>20200111153658085</v>
      </c>
      <c r="B2516" t="str">
        <f>"1578728218075170"</f>
        <v>1578728218075170</v>
      </c>
      <c r="C2516" t="s">
        <v>37</v>
      </c>
      <c r="D2516">
        <v>5.5295360000000002</v>
      </c>
      <c r="E2516">
        <v>0.37333660000000002</v>
      </c>
      <c r="F2516" t="s">
        <v>38</v>
      </c>
      <c r="G2516">
        <v>-488.97919999999999</v>
      </c>
      <c r="H2516">
        <v>1.0318780000000001</v>
      </c>
      <c r="I2516">
        <v>264.18849999999998</v>
      </c>
      <c r="J2516">
        <v>-489.27519999999998</v>
      </c>
      <c r="K2516">
        <v>1.1062969999999901</v>
      </c>
      <c r="L2516">
        <v>264.96030000000002</v>
      </c>
      <c r="M2516">
        <v>-0.29638959999999998</v>
      </c>
      <c r="N2516">
        <v>0</v>
      </c>
      <c r="O2516">
        <v>-0.95501139999999995</v>
      </c>
      <c r="P2516">
        <v>-2.815078E-2</v>
      </c>
      <c r="Q2516">
        <v>7.0910550000000003E-2</v>
      </c>
      <c r="R2516">
        <v>-0.99708580000000002</v>
      </c>
      <c r="S2516">
        <v>0.90744020000000003</v>
      </c>
      <c r="T2516">
        <v>-0.2568433</v>
      </c>
      <c r="U2516">
        <v>-3.0546570000000002</v>
      </c>
      <c r="V2516">
        <v>-0.26897219999999999</v>
      </c>
      <c r="W2516">
        <v>7.976519E-2</v>
      </c>
      <c r="X2516">
        <v>0.95983929999999995</v>
      </c>
      <c r="Y2516">
        <v>-0.55530619999999997</v>
      </c>
      <c r="Z2516">
        <v>6.951106E-2</v>
      </c>
      <c r="AA2516">
        <v>0.82873589999999997</v>
      </c>
      <c r="AB2516">
        <v>20</v>
      </c>
      <c r="AC2516">
        <v>0.29599999999999199</v>
      </c>
      <c r="AD2516">
        <v>-7.4418999999999694E-2</v>
      </c>
      <c r="AE2516">
        <v>-0.77180000000004101</v>
      </c>
      <c r="AF2516">
        <v>-0.50735191570782201</v>
      </c>
      <c r="AG2516">
        <v>-7.4418999999999694E-2</v>
      </c>
      <c r="AH2516">
        <v>0.64416001239401599</v>
      </c>
      <c r="AI2516">
        <v>95.185864561550801</v>
      </c>
      <c r="AJ2516">
        <v>128.22459904910201</v>
      </c>
      <c r="AK2516">
        <v>0.82333849387773494</v>
      </c>
    </row>
    <row r="2517" spans="1:37" x14ac:dyDescent="0.2">
      <c r="A2517" t="str">
        <f>"20200111153658102"</f>
        <v>20200111153658102</v>
      </c>
      <c r="B2517" t="str">
        <f>"1578728218095666"</f>
        <v>1578728218095666</v>
      </c>
      <c r="C2517" t="s">
        <v>37</v>
      </c>
      <c r="D2517">
        <v>5.5495369999999999</v>
      </c>
      <c r="E2517">
        <v>0.37355079999999902</v>
      </c>
      <c r="F2517" t="s">
        <v>38</v>
      </c>
      <c r="G2517">
        <v>-488.99329999999998</v>
      </c>
      <c r="H2517">
        <v>1.0263789999999999</v>
      </c>
      <c r="I2517">
        <v>264.01609999999999</v>
      </c>
      <c r="J2517">
        <v>-489.31610000000001</v>
      </c>
      <c r="K2517">
        <v>1.1062909999999999</v>
      </c>
      <c r="L2517">
        <v>264.81970000000001</v>
      </c>
      <c r="M2517">
        <v>-0.2942227</v>
      </c>
      <c r="N2517">
        <v>0</v>
      </c>
      <c r="O2517">
        <v>-0.95568159999999902</v>
      </c>
      <c r="P2517">
        <v>-2.7555E-2</v>
      </c>
      <c r="Q2517">
        <v>6.9586220000000004E-2</v>
      </c>
      <c r="R2517">
        <v>-0.99719530000000001</v>
      </c>
      <c r="S2517">
        <v>0.91146849999999902</v>
      </c>
      <c r="T2517">
        <v>-0.25841769999999997</v>
      </c>
      <c r="U2517">
        <v>-3.0528869999999899</v>
      </c>
      <c r="V2517">
        <v>-0.26739039999999997</v>
      </c>
      <c r="W2517">
        <v>7.8415699999999894E-2</v>
      </c>
      <c r="X2517">
        <v>0.96039229999999998</v>
      </c>
      <c r="Y2517">
        <v>-0.55454490000000001</v>
      </c>
      <c r="Z2517">
        <v>7.0065359999999993E-2</v>
      </c>
      <c r="AA2517">
        <v>0.82919880000000001</v>
      </c>
      <c r="AB2517">
        <v>20</v>
      </c>
      <c r="AC2517">
        <v>0.32280000000002901</v>
      </c>
      <c r="AD2517">
        <v>-7.9911999999999705E-2</v>
      </c>
      <c r="AE2517">
        <v>-0.80360000000001697</v>
      </c>
      <c r="AF2517">
        <v>-0.540359086950289</v>
      </c>
      <c r="AG2517">
        <v>-7.9911999999999705E-2</v>
      </c>
      <c r="AH2517">
        <v>0.66736369048931998</v>
      </c>
      <c r="AI2517">
        <v>95.316736417342895</v>
      </c>
      <c r="AJ2517">
        <v>128.996817497161</v>
      </c>
      <c r="AK2517">
        <v>0.86240835221910705</v>
      </c>
    </row>
    <row r="2518" spans="1:37" x14ac:dyDescent="0.2">
      <c r="A2518" t="str">
        <f>"20200111153658115"</f>
        <v>20200111153658115</v>
      </c>
      <c r="B2518" t="str">
        <f>"1578728218105425"</f>
        <v>1578728218105425</v>
      </c>
      <c r="C2518" t="s">
        <v>37</v>
      </c>
      <c r="D2518">
        <v>5.5290850000000002</v>
      </c>
      <c r="E2518">
        <v>0.37365949999999998</v>
      </c>
      <c r="F2518" t="s">
        <v>38</v>
      </c>
      <c r="G2518">
        <v>-489.02539999999999</v>
      </c>
      <c r="H2518">
        <v>1.022335</v>
      </c>
      <c r="I2518">
        <v>263.8451</v>
      </c>
      <c r="J2518">
        <v>-489.34930000000003</v>
      </c>
      <c r="K2518">
        <v>1.1062920000000001</v>
      </c>
      <c r="L2518">
        <v>264.7047</v>
      </c>
      <c r="M2518">
        <v>-0.29244880000000001</v>
      </c>
      <c r="N2518">
        <v>0</v>
      </c>
      <c r="O2518">
        <v>-0.95622600000000002</v>
      </c>
      <c r="P2518">
        <v>-2.71574999999999E-2</v>
      </c>
      <c r="Q2518">
        <v>6.9158529999999996E-2</v>
      </c>
      <c r="R2518">
        <v>-0.99723589999999995</v>
      </c>
      <c r="S2518">
        <v>0.9107056</v>
      </c>
      <c r="T2518">
        <v>-0.262853</v>
      </c>
      <c r="U2518">
        <v>-3.051971</v>
      </c>
      <c r="V2518">
        <v>-0.26599719999999999</v>
      </c>
      <c r="W2518">
        <v>7.7971219999999994E-2</v>
      </c>
      <c r="X2518">
        <v>0.96081530000000004</v>
      </c>
      <c r="Y2518">
        <v>-0.55284899999999904</v>
      </c>
      <c r="Z2518">
        <v>7.1399829999999997E-2</v>
      </c>
      <c r="AA2518">
        <v>0.83021690000000004</v>
      </c>
      <c r="AB2518">
        <v>20</v>
      </c>
      <c r="AC2518">
        <v>0.32390000000003699</v>
      </c>
      <c r="AD2518">
        <v>-8.3957000000000004E-2</v>
      </c>
      <c r="AE2518">
        <v>-0.85960000000000003</v>
      </c>
      <c r="AF2518">
        <v>-0.55649161468129105</v>
      </c>
      <c r="AG2518">
        <v>-8.3957000000000004E-2</v>
      </c>
      <c r="AH2518">
        <v>0.72126111317568797</v>
      </c>
      <c r="AI2518">
        <v>95.265522429733394</v>
      </c>
      <c r="AJ2518">
        <v>127.652111684689</v>
      </c>
      <c r="AK2518">
        <v>0.91484932553892395</v>
      </c>
    </row>
    <row r="2519" spans="1:37" x14ac:dyDescent="0.2">
      <c r="A2519" t="str">
        <f>"20200111153658135"</f>
        <v>20200111153658135</v>
      </c>
      <c r="B2519" t="str">
        <f>"1578728218124945"</f>
        <v>1578728218124945</v>
      </c>
      <c r="C2519" t="s">
        <v>37</v>
      </c>
      <c r="D2519">
        <v>5.5345610000000001</v>
      </c>
      <c r="E2519">
        <v>0.37385069999999998</v>
      </c>
      <c r="F2519" t="s">
        <v>38</v>
      </c>
      <c r="G2519">
        <v>-489.09469999999999</v>
      </c>
      <c r="H2519">
        <v>1.0322639999999901</v>
      </c>
      <c r="I2519">
        <v>263.851</v>
      </c>
      <c r="J2519">
        <v>-489.3981</v>
      </c>
      <c r="K2519">
        <v>1.106287</v>
      </c>
      <c r="L2519">
        <v>264.53410000000002</v>
      </c>
      <c r="M2519">
        <v>-0.28981999999999902</v>
      </c>
      <c r="N2519">
        <v>0</v>
      </c>
      <c r="O2519">
        <v>-0.95702659999999995</v>
      </c>
      <c r="P2519">
        <v>-2.6161819999999999E-2</v>
      </c>
      <c r="Q2519">
        <v>6.7737899999999907E-2</v>
      </c>
      <c r="R2519">
        <v>-0.99736039999999904</v>
      </c>
      <c r="S2519">
        <v>0.91104130000000005</v>
      </c>
      <c r="T2519">
        <v>-0.26456819999999998</v>
      </c>
      <c r="U2519">
        <v>-3.051453</v>
      </c>
      <c r="V2519">
        <v>-0.26433809999999902</v>
      </c>
      <c r="W2519">
        <v>7.6527399999999995E-2</v>
      </c>
      <c r="X2519">
        <v>0.9613891</v>
      </c>
      <c r="Y2519">
        <v>-0.55066850000000001</v>
      </c>
      <c r="Z2519">
        <v>7.203756E-2</v>
      </c>
      <c r="AA2519">
        <v>0.83160979999999995</v>
      </c>
      <c r="AB2519">
        <v>20</v>
      </c>
      <c r="AC2519">
        <v>0.30340000000001</v>
      </c>
      <c r="AD2519">
        <v>-7.4023000000000103E-2</v>
      </c>
      <c r="AE2519">
        <v>-0.68310000000002402</v>
      </c>
      <c r="AF2519">
        <v>-0.48362016001767799</v>
      </c>
      <c r="AG2519">
        <v>-7.4023000000000103E-2</v>
      </c>
      <c r="AH2519">
        <v>0.56034725127160001</v>
      </c>
      <c r="AI2519">
        <v>95.710919036218897</v>
      </c>
      <c r="AJ2519">
        <v>130.79656549081301</v>
      </c>
      <c r="AK2519">
        <v>0.74387963119859801</v>
      </c>
    </row>
    <row r="2520" spans="1:37" x14ac:dyDescent="0.2">
      <c r="A2520" t="str">
        <f>"20200111153658150"</f>
        <v>20200111153658150</v>
      </c>
      <c r="B2520" t="str">
        <f>"1578728218145442"</f>
        <v>1578728218145442</v>
      </c>
      <c r="C2520" t="s">
        <v>37</v>
      </c>
      <c r="D2520">
        <v>5.5362010000000001</v>
      </c>
      <c r="E2520">
        <v>0.37395409999999901</v>
      </c>
      <c r="F2520" t="s">
        <v>38</v>
      </c>
      <c r="G2520">
        <v>-489.1431</v>
      </c>
      <c r="H2520">
        <v>1.0310459999999999</v>
      </c>
      <c r="I2520">
        <v>263.68079999999998</v>
      </c>
      <c r="J2520">
        <v>-489.43290000000002</v>
      </c>
      <c r="K2520">
        <v>1.106287</v>
      </c>
      <c r="L2520">
        <v>264.41140000000001</v>
      </c>
      <c r="M2520">
        <v>-0.28793059999999998</v>
      </c>
      <c r="N2520">
        <v>0</v>
      </c>
      <c r="O2520">
        <v>-0.95759689999999997</v>
      </c>
      <c r="P2520">
        <v>-2.4287960000000001E-2</v>
      </c>
      <c r="Q2520">
        <v>6.7098480000000002E-2</v>
      </c>
      <c r="R2520">
        <v>-0.99745079999999997</v>
      </c>
      <c r="S2520">
        <v>0.91201779999999999</v>
      </c>
      <c r="T2520">
        <v>-0.2689819</v>
      </c>
      <c r="U2520">
        <v>-3.0501399999999999</v>
      </c>
      <c r="V2520">
        <v>-0.26425700000000002</v>
      </c>
      <c r="W2520">
        <v>7.5866039999999996E-2</v>
      </c>
      <c r="X2520">
        <v>0.96146369999999903</v>
      </c>
      <c r="Y2520">
        <v>-0.54933350000000003</v>
      </c>
      <c r="Z2520">
        <v>7.3370030000000003E-2</v>
      </c>
      <c r="AA2520">
        <v>0.8323758</v>
      </c>
      <c r="AB2520">
        <v>20</v>
      </c>
      <c r="AC2520">
        <v>0.28980000000001299</v>
      </c>
      <c r="AD2520">
        <v>-7.5241000000000099E-2</v>
      </c>
      <c r="AE2520">
        <v>-0.730600000000038</v>
      </c>
      <c r="AF2520">
        <v>-0.48346853896862002</v>
      </c>
      <c r="AG2520">
        <v>-7.5241000000000099E-2</v>
      </c>
      <c r="AH2520">
        <v>0.61061437490956605</v>
      </c>
      <c r="AI2520">
        <v>95.518020554573695</v>
      </c>
      <c r="AJ2520">
        <v>128.37126289101499</v>
      </c>
      <c r="AK2520">
        <v>0.78246594245350498</v>
      </c>
    </row>
    <row r="2521" spans="1:37" x14ac:dyDescent="0.2">
      <c r="A2521" t="str">
        <f>"20200111153658163"</f>
        <v>20200111153658163</v>
      </c>
      <c r="B2521" t="str">
        <f>"1578728218155202"</f>
        <v>1578728218155202</v>
      </c>
      <c r="C2521" t="s">
        <v>37</v>
      </c>
      <c r="D2521">
        <v>5.540044</v>
      </c>
      <c r="E2521">
        <v>0.37406469999999897</v>
      </c>
      <c r="F2521" t="s">
        <v>38</v>
      </c>
      <c r="G2521">
        <v>-489.16120000000001</v>
      </c>
      <c r="H2521">
        <v>1.02607</v>
      </c>
      <c r="I2521">
        <v>263.50790000000001</v>
      </c>
      <c r="J2521">
        <v>-489.4676</v>
      </c>
      <c r="K2521">
        <v>1.1062860000000001</v>
      </c>
      <c r="L2521">
        <v>264.2885</v>
      </c>
      <c r="M2521">
        <v>-0.28603840000000003</v>
      </c>
      <c r="N2521">
        <v>0</v>
      </c>
      <c r="O2521">
        <v>-0.95816399999999902</v>
      </c>
      <c r="P2521">
        <v>-2.2039449999999999E-2</v>
      </c>
      <c r="Q2521">
        <v>6.6521479999999994E-2</v>
      </c>
      <c r="R2521">
        <v>-0.99754140000000002</v>
      </c>
      <c r="S2521">
        <v>0.91690059999999995</v>
      </c>
      <c r="T2521">
        <v>-0.27061370000000001</v>
      </c>
      <c r="U2521">
        <v>-3.0482179999999999</v>
      </c>
      <c r="V2521">
        <v>-0.26453499999999902</v>
      </c>
      <c r="W2521">
        <v>7.5265990000000005E-2</v>
      </c>
      <c r="X2521">
        <v>0.96143449999999997</v>
      </c>
      <c r="Y2521">
        <v>-0.54903900000000005</v>
      </c>
      <c r="Z2521">
        <v>7.3922630000000003E-2</v>
      </c>
      <c r="AA2521">
        <v>0.83252119999999996</v>
      </c>
      <c r="AB2521">
        <v>20</v>
      </c>
      <c r="AC2521">
        <v>0.30639999999999601</v>
      </c>
      <c r="AD2521">
        <v>-8.0215999999999996E-2</v>
      </c>
      <c r="AE2521">
        <v>-0.78059999999999197</v>
      </c>
      <c r="AF2521">
        <v>-0.51220306692307405</v>
      </c>
      <c r="AG2521">
        <v>-8.0215999999999996E-2</v>
      </c>
      <c r="AH2521">
        <v>0.65434748327969705</v>
      </c>
      <c r="AI2521">
        <v>95.513801327640493</v>
      </c>
      <c r="AJ2521">
        <v>128.05274584695599</v>
      </c>
      <c r="AK2521">
        <v>0.83483963567614405</v>
      </c>
    </row>
    <row r="2522" spans="1:37" x14ac:dyDescent="0.2">
      <c r="A2522" t="str">
        <f>"20200111153658181"</f>
        <v>20200111153658181</v>
      </c>
      <c r="B2522" t="str">
        <f>"1578728218175698"</f>
        <v>1578728218175698</v>
      </c>
      <c r="C2522" t="s">
        <v>37</v>
      </c>
      <c r="D2522">
        <v>5.5515419999999898</v>
      </c>
      <c r="E2522">
        <v>0.37421679999999902</v>
      </c>
      <c r="F2522" t="s">
        <v>38</v>
      </c>
      <c r="G2522">
        <v>-489.17849999999999</v>
      </c>
      <c r="H2522">
        <v>1.02108</v>
      </c>
      <c r="I2522">
        <v>263.33460000000002</v>
      </c>
      <c r="J2522">
        <v>-489.50650000000002</v>
      </c>
      <c r="K2522">
        <v>1.10629</v>
      </c>
      <c r="L2522">
        <v>264.149</v>
      </c>
      <c r="M2522">
        <v>-0.28389219999999998</v>
      </c>
      <c r="N2522">
        <v>0</v>
      </c>
      <c r="O2522">
        <v>-0.95880219999999905</v>
      </c>
      <c r="P2522">
        <v>-1.9155289999999998E-2</v>
      </c>
      <c r="Q2522">
        <v>6.5571229999999994E-2</v>
      </c>
      <c r="R2522">
        <v>-0.99766409999999905</v>
      </c>
      <c r="S2522">
        <v>0.92297359999999995</v>
      </c>
      <c r="T2522">
        <v>-0.27206469999999999</v>
      </c>
      <c r="U2522">
        <v>-3.0459290000000001</v>
      </c>
      <c r="V2522">
        <v>-0.265177</v>
      </c>
      <c r="W2522">
        <v>7.4288839999999995E-2</v>
      </c>
      <c r="X2522">
        <v>0.96133359999999901</v>
      </c>
      <c r="Y2522">
        <v>-0.54885130000000004</v>
      </c>
      <c r="Z2522">
        <v>7.4438099999999993E-2</v>
      </c>
      <c r="AA2522">
        <v>0.83259910000000004</v>
      </c>
      <c r="AB2522">
        <v>20</v>
      </c>
      <c r="AC2522">
        <v>0.32800000000003099</v>
      </c>
      <c r="AD2522">
        <v>-8.5209999999999994E-2</v>
      </c>
      <c r="AE2522">
        <v>-0.81439999999997703</v>
      </c>
      <c r="AF2522">
        <v>-0.54062484301833202</v>
      </c>
      <c r="AG2522">
        <v>-8.5209999999999994E-2</v>
      </c>
      <c r="AH2522">
        <v>0.68134960112026299</v>
      </c>
      <c r="AI2522">
        <v>95.595275637161706</v>
      </c>
      <c r="AJ2522">
        <v>128.43065516520201</v>
      </c>
      <c r="AK2522">
        <v>0.87394121308892203</v>
      </c>
    </row>
    <row r="2523" spans="1:37" x14ac:dyDescent="0.2">
      <c r="A2523" t="str">
        <f>"20200111153658194"</f>
        <v>20200111153658194</v>
      </c>
      <c r="B2523" t="str">
        <f>"1578728218185457"</f>
        <v>1578728218185457</v>
      </c>
      <c r="C2523" t="s">
        <v>37</v>
      </c>
      <c r="D2523">
        <v>5.5652999999999997</v>
      </c>
      <c r="E2523">
        <v>0.37431729999999902</v>
      </c>
      <c r="F2523" t="s">
        <v>38</v>
      </c>
      <c r="G2523">
        <v>-489.20479999999998</v>
      </c>
      <c r="H2523">
        <v>1.017377</v>
      </c>
      <c r="I2523">
        <v>263.16180000000003</v>
      </c>
      <c r="J2523">
        <v>-489.53969999999998</v>
      </c>
      <c r="K2523">
        <v>1.10629</v>
      </c>
      <c r="L2523">
        <v>264.0292</v>
      </c>
      <c r="M2523">
        <v>-0.28204889999999999</v>
      </c>
      <c r="N2523">
        <v>0</v>
      </c>
      <c r="O2523">
        <v>-0.95934649999999999</v>
      </c>
      <c r="P2523">
        <v>-1.6728239999999998E-2</v>
      </c>
      <c r="Q2523">
        <v>6.5826789999999996E-2</v>
      </c>
      <c r="R2523">
        <v>-0.99769129999999995</v>
      </c>
      <c r="S2523">
        <v>0.93060299999999996</v>
      </c>
      <c r="T2523">
        <v>-0.27398719999999999</v>
      </c>
      <c r="U2523">
        <v>-3.0428769999999998</v>
      </c>
      <c r="V2523">
        <v>-0.26566509999999999</v>
      </c>
      <c r="W2523">
        <v>7.4522320000000003E-2</v>
      </c>
      <c r="X2523">
        <v>0.96118079999999995</v>
      </c>
      <c r="Y2523">
        <v>-0.549373</v>
      </c>
      <c r="Z2523">
        <v>7.5062130000000005E-2</v>
      </c>
      <c r="AA2523">
        <v>0.83219889999999996</v>
      </c>
      <c r="AB2523">
        <v>20</v>
      </c>
      <c r="AC2523">
        <v>0.33490000000000397</v>
      </c>
      <c r="AD2523">
        <v>-8.8913000000000006E-2</v>
      </c>
      <c r="AE2523">
        <v>-0.86739999999997497</v>
      </c>
      <c r="AF2523">
        <v>-0.56083504483427105</v>
      </c>
      <c r="AG2523">
        <v>-8.8913000000000006E-2</v>
      </c>
      <c r="AH2523">
        <v>0.73103217015648703</v>
      </c>
      <c r="AI2523">
        <v>95.511955618001593</v>
      </c>
      <c r="AJ2523">
        <v>127.49478691346999</v>
      </c>
      <c r="AK2523">
        <v>0.925661656809313</v>
      </c>
    </row>
    <row r="2524" spans="1:37" x14ac:dyDescent="0.2">
      <c r="A2524" t="str">
        <f>"20200111153658208"</f>
        <v>20200111153658208</v>
      </c>
      <c r="B2524" t="str">
        <f>"1578728218204978"</f>
        <v>1578728218204978</v>
      </c>
      <c r="C2524" t="s">
        <v>37</v>
      </c>
      <c r="D2524">
        <v>5.5712989999999998</v>
      </c>
      <c r="E2524">
        <v>0.37440879999999999</v>
      </c>
      <c r="F2524" t="s">
        <v>38</v>
      </c>
      <c r="G2524">
        <v>-489.27409999999998</v>
      </c>
      <c r="H2524">
        <v>1.028872</v>
      </c>
      <c r="I2524">
        <v>263.1669</v>
      </c>
      <c r="J2524">
        <v>-489.57229999999998</v>
      </c>
      <c r="K2524">
        <v>1.106287</v>
      </c>
      <c r="L2524">
        <v>263.91059999999999</v>
      </c>
      <c r="M2524">
        <v>-0.28022649999999999</v>
      </c>
      <c r="N2524">
        <v>0</v>
      </c>
      <c r="O2524">
        <v>-0.95988050000000003</v>
      </c>
      <c r="P2524">
        <v>-1.414899E-2</v>
      </c>
      <c r="Q2524">
        <v>6.6005300000000003E-2</v>
      </c>
      <c r="R2524">
        <v>-0.99771900000000002</v>
      </c>
      <c r="S2524">
        <v>0.93734740000000005</v>
      </c>
      <c r="T2524">
        <v>-0.27294179999999901</v>
      </c>
      <c r="U2524">
        <v>-3.0406490000000002</v>
      </c>
      <c r="V2524">
        <v>-0.26632280000000003</v>
      </c>
      <c r="W2524">
        <v>7.4679709999999996E-2</v>
      </c>
      <c r="X2524">
        <v>0.96098660000000002</v>
      </c>
      <c r="Y2524">
        <v>-0.54965030000000004</v>
      </c>
      <c r="Z2524">
        <v>7.4869179999999994E-2</v>
      </c>
      <c r="AA2524">
        <v>0.83203320000000003</v>
      </c>
      <c r="AB2524">
        <v>20</v>
      </c>
      <c r="AC2524">
        <v>0.29820000000000801</v>
      </c>
      <c r="AD2524">
        <v>-7.7414999999999998E-2</v>
      </c>
      <c r="AE2524">
        <v>-0.74369999999998904</v>
      </c>
      <c r="AF2524">
        <v>-0.49009125489702798</v>
      </c>
      <c r="AG2524">
        <v>-7.7414999999999998E-2</v>
      </c>
      <c r="AH2524">
        <v>0.624502278483825</v>
      </c>
      <c r="AI2524">
        <v>95.569805912941305</v>
      </c>
      <c r="AJ2524">
        <v>128.123793348779</v>
      </c>
      <c r="AK2524">
        <v>0.79761244735963899</v>
      </c>
    </row>
    <row r="2525" spans="1:37" x14ac:dyDescent="0.2">
      <c r="A2525" t="str">
        <f>"20200111153658226"</f>
        <v>20200111153658226</v>
      </c>
      <c r="B2525" t="str">
        <f>"1578728218215716"</f>
        <v>1578728218215716</v>
      </c>
      <c r="C2525" t="s">
        <v>37</v>
      </c>
      <c r="D2525">
        <v>5.5639329999999996</v>
      </c>
      <c r="E2525">
        <v>0.37444290000000002</v>
      </c>
      <c r="F2525" t="s">
        <v>38</v>
      </c>
      <c r="G2525">
        <v>-489.28699999999998</v>
      </c>
      <c r="H2525">
        <v>1.0241169999999999</v>
      </c>
      <c r="I2525">
        <v>262.99270000000001</v>
      </c>
      <c r="J2525">
        <v>-489.61439999999999</v>
      </c>
      <c r="K2525">
        <v>1.10629</v>
      </c>
      <c r="L2525">
        <v>263.75580000000002</v>
      </c>
      <c r="M2525">
        <v>-0.27784579999999998</v>
      </c>
      <c r="N2525">
        <v>0</v>
      </c>
      <c r="O2525">
        <v>-0.96057239999999999</v>
      </c>
      <c r="P2525">
        <v>-9.9970819999999991E-3</v>
      </c>
      <c r="Q2525">
        <v>6.6517560000000003E-2</v>
      </c>
      <c r="R2525">
        <v>-0.99773539999999905</v>
      </c>
      <c r="S2525">
        <v>0.94418329999999995</v>
      </c>
      <c r="T2525">
        <v>-0.27197830000000001</v>
      </c>
      <c r="U2525">
        <v>-3.0382389999999999</v>
      </c>
      <c r="V2525">
        <v>-0.26793309999999998</v>
      </c>
      <c r="W2525">
        <v>7.5159009999999998E-2</v>
      </c>
      <c r="X2525">
        <v>0.96050139999999995</v>
      </c>
      <c r="Y2525">
        <v>-0.54947979999999996</v>
      </c>
      <c r="Z2525">
        <v>7.4735529999999994E-2</v>
      </c>
      <c r="AA2525">
        <v>0.83215779999999995</v>
      </c>
      <c r="AB2525">
        <v>20</v>
      </c>
      <c r="AC2525">
        <v>0.32740000000001102</v>
      </c>
      <c r="AD2525">
        <v>-8.2172999999999996E-2</v>
      </c>
      <c r="AE2525">
        <v>-0.76310000000000799</v>
      </c>
      <c r="AF2525">
        <v>-0.52143605819832795</v>
      </c>
      <c r="AG2525">
        <v>-8.2172999999999996E-2</v>
      </c>
      <c r="AH2525">
        <v>0.63585204522694905</v>
      </c>
      <c r="AI2525">
        <v>95.706551427229996</v>
      </c>
      <c r="AJ2525">
        <v>129.35376665703501</v>
      </c>
      <c r="AK2525">
        <v>0.82641139158273003</v>
      </c>
    </row>
    <row r="2526" spans="1:37" x14ac:dyDescent="0.2">
      <c r="A2526" t="str">
        <f>"20200111153658247"</f>
        <v>20200111153658247</v>
      </c>
      <c r="B2526" t="str">
        <f>"1578728218235233"</f>
        <v>1578728218235233</v>
      </c>
      <c r="C2526" t="s">
        <v>37</v>
      </c>
      <c r="D2526">
        <v>5.5677300000000001</v>
      </c>
      <c r="E2526">
        <v>0.37461119999999998</v>
      </c>
      <c r="F2526" t="s">
        <v>38</v>
      </c>
      <c r="G2526">
        <v>-489.31939999999997</v>
      </c>
      <c r="H2526">
        <v>1.02315</v>
      </c>
      <c r="I2526">
        <v>262.81959999999998</v>
      </c>
      <c r="J2526">
        <v>-489.66370000000001</v>
      </c>
      <c r="K2526">
        <v>1.106285</v>
      </c>
      <c r="L2526">
        <v>263.57350000000002</v>
      </c>
      <c r="M2526">
        <v>-0.27504319999999999</v>
      </c>
      <c r="N2526">
        <v>0</v>
      </c>
      <c r="O2526">
        <v>-0.96137909999999904</v>
      </c>
      <c r="P2526">
        <v>-5.5669140000000001E-3</v>
      </c>
      <c r="Q2526">
        <v>6.6575319999999993E-2</v>
      </c>
      <c r="R2526">
        <v>-0.99776609999999999</v>
      </c>
      <c r="S2526">
        <v>0.95706179999999996</v>
      </c>
      <c r="T2526">
        <v>-0.26938990000000002</v>
      </c>
      <c r="U2526">
        <v>-3.0343629999999999</v>
      </c>
      <c r="V2526">
        <v>-0.26939790000000002</v>
      </c>
      <c r="W2526">
        <v>7.5177560000000004E-2</v>
      </c>
      <c r="X2526">
        <v>0.9600902</v>
      </c>
      <c r="Y2526">
        <v>-0.55057789999999995</v>
      </c>
      <c r="Z2526">
        <v>7.4147930000000001E-2</v>
      </c>
      <c r="AA2526">
        <v>0.83148419999999901</v>
      </c>
      <c r="AB2526">
        <v>20</v>
      </c>
      <c r="AC2526">
        <v>0.34430000000003202</v>
      </c>
      <c r="AD2526">
        <v>-8.3134999999999903E-2</v>
      </c>
      <c r="AE2526">
        <v>-0.75390000000004398</v>
      </c>
      <c r="AF2526">
        <v>-0.53302212207367905</v>
      </c>
      <c r="AG2526">
        <v>-8.3134999999999903E-2</v>
      </c>
      <c r="AH2526">
        <v>0.62384142068404502</v>
      </c>
      <c r="AI2526">
        <v>95.785298369675601</v>
      </c>
      <c r="AJ2526">
        <v>130.511214742015</v>
      </c>
      <c r="AK2526">
        <v>0.82474367472931698</v>
      </c>
    </row>
    <row r="2527" spans="1:37" x14ac:dyDescent="0.2">
      <c r="A2527" t="str">
        <f>"20200111153658261"</f>
        <v>20200111153658261</v>
      </c>
      <c r="B2527" t="str">
        <f>"1578728218255730"</f>
        <v>1578728218255730</v>
      </c>
      <c r="C2527" t="s">
        <v>37</v>
      </c>
      <c r="D2527">
        <v>5.5550499999999996</v>
      </c>
      <c r="E2527">
        <v>0.37476989999999999</v>
      </c>
      <c r="F2527" t="s">
        <v>38</v>
      </c>
      <c r="G2527">
        <v>-489.36750000000001</v>
      </c>
      <c r="H2527">
        <v>1.024027</v>
      </c>
      <c r="I2527">
        <v>262.64710000000002</v>
      </c>
      <c r="J2527">
        <v>-489.69420000000002</v>
      </c>
      <c r="K2527">
        <v>1.106285</v>
      </c>
      <c r="L2527">
        <v>263.45940000000002</v>
      </c>
      <c r="M2527">
        <v>-0.27328819999999998</v>
      </c>
      <c r="N2527">
        <v>0</v>
      </c>
      <c r="O2527">
        <v>-0.96187939999999905</v>
      </c>
      <c r="P2527">
        <v>-3.1566529999999902E-3</v>
      </c>
      <c r="Q2527">
        <v>6.672749E-2</v>
      </c>
      <c r="R2527">
        <v>-0.99776599999999904</v>
      </c>
      <c r="S2527">
        <v>0.96875</v>
      </c>
      <c r="T2527">
        <v>-0.26906920000000001</v>
      </c>
      <c r="U2527">
        <v>-3.03009</v>
      </c>
      <c r="V2527">
        <v>-0.26996350000000002</v>
      </c>
      <c r="W2527">
        <v>7.5304510000000005E-2</v>
      </c>
      <c r="X2527">
        <v>0.95992129999999998</v>
      </c>
      <c r="Y2527">
        <v>-0.55230469999999998</v>
      </c>
      <c r="Z2527">
        <v>7.4133080000000004E-2</v>
      </c>
      <c r="AA2527">
        <v>0.83033959999999996</v>
      </c>
      <c r="AB2527">
        <v>20</v>
      </c>
      <c r="AC2527">
        <v>0.32670000000001598</v>
      </c>
      <c r="AD2527">
        <v>-8.2257999999999901E-2</v>
      </c>
      <c r="AE2527">
        <v>-0.81229999999999303</v>
      </c>
      <c r="AF2527">
        <v>-0.53157310441280803</v>
      </c>
      <c r="AG2527">
        <v>-8.2257999999999901E-2</v>
      </c>
      <c r="AH2527">
        <v>0.68603101244672204</v>
      </c>
      <c r="AI2527">
        <v>95.414367388683004</v>
      </c>
      <c r="AJ2527">
        <v>127.77041757053</v>
      </c>
      <c r="AK2527">
        <v>0.87176538927497305</v>
      </c>
    </row>
    <row r="2528" spans="1:37" x14ac:dyDescent="0.2">
      <c r="A2528" t="str">
        <f>"20200111153658274"</f>
        <v>20200111153658274</v>
      </c>
      <c r="B2528" t="str">
        <f>"1578728218265489"</f>
        <v>1578728218265489</v>
      </c>
      <c r="C2528" t="s">
        <v>37</v>
      </c>
      <c r="D2528">
        <v>5.5786939999999996</v>
      </c>
      <c r="E2528">
        <v>0.374859</v>
      </c>
      <c r="F2528" t="s">
        <v>38</v>
      </c>
      <c r="G2528">
        <v>-489.37650000000002</v>
      </c>
      <c r="H2528">
        <v>1.0186189999999999</v>
      </c>
      <c r="I2528">
        <v>262.47179999999997</v>
      </c>
      <c r="J2528">
        <v>-489.72669999999999</v>
      </c>
      <c r="K2528">
        <v>1.1062860000000001</v>
      </c>
      <c r="L2528">
        <v>263.33659999999998</v>
      </c>
      <c r="M2528">
        <v>-0.27140009999999998</v>
      </c>
      <c r="N2528">
        <v>0</v>
      </c>
      <c r="O2528">
        <v>-0.96241429999999994</v>
      </c>
      <c r="P2528">
        <v>-8.8347679999999996E-4</v>
      </c>
      <c r="Q2528">
        <v>6.6820470000000007E-2</v>
      </c>
      <c r="R2528">
        <v>-0.99776450000000005</v>
      </c>
      <c r="S2528">
        <v>0.97473140000000003</v>
      </c>
      <c r="T2528">
        <v>-0.26871529999999999</v>
      </c>
      <c r="U2528">
        <v>-3.0278019999999999</v>
      </c>
      <c r="V2528">
        <v>-0.27026609999999901</v>
      </c>
      <c r="W2528">
        <v>7.5371090000000002E-2</v>
      </c>
      <c r="X2528">
        <v>0.95983090000000004</v>
      </c>
      <c r="Y2528">
        <v>-0.5523401</v>
      </c>
      <c r="Z2528">
        <v>7.4136640000000004E-2</v>
      </c>
      <c r="AA2528">
        <v>0.83031569999999899</v>
      </c>
      <c r="AB2528">
        <v>20</v>
      </c>
      <c r="AC2528">
        <v>0.35019999999997198</v>
      </c>
      <c r="AD2528">
        <v>-8.7667000000000106E-2</v>
      </c>
      <c r="AE2528">
        <v>-0.86480000000000201</v>
      </c>
      <c r="AF2528">
        <v>-0.56676927999312998</v>
      </c>
      <c r="AG2528">
        <v>-8.7667000000000106E-2</v>
      </c>
      <c r="AH2528">
        <v>0.73083640109298798</v>
      </c>
      <c r="AI2528">
        <v>95.4149110605603</v>
      </c>
      <c r="AJ2528">
        <v>127.793854557687</v>
      </c>
      <c r="AK2528">
        <v>0.92899664412498395</v>
      </c>
    </row>
    <row r="2529" spans="1:37" x14ac:dyDescent="0.2">
      <c r="A2529" t="str">
        <f>"20200111153658292"</f>
        <v>20200111153658292</v>
      </c>
      <c r="B2529" t="str">
        <f>"1578728218285012"</f>
        <v>1578728218285012</v>
      </c>
      <c r="C2529" t="s">
        <v>37</v>
      </c>
      <c r="D2529">
        <v>5.866377</v>
      </c>
      <c r="E2529">
        <v>0.37637340000000002</v>
      </c>
      <c r="F2529" t="s">
        <v>38</v>
      </c>
      <c r="G2529">
        <v>-489.44819999999999</v>
      </c>
      <c r="H2529">
        <v>1.0298510000000001</v>
      </c>
      <c r="I2529">
        <v>262.47629999999998</v>
      </c>
      <c r="J2529">
        <v>-489.76889999999997</v>
      </c>
      <c r="K2529">
        <v>1.106284</v>
      </c>
      <c r="L2529">
        <v>263.17630000000003</v>
      </c>
      <c r="M2529">
        <v>-0.26893529999999999</v>
      </c>
      <c r="N2529">
        <v>0</v>
      </c>
      <c r="O2529">
        <v>-0.96310599999999902</v>
      </c>
      <c r="P2529">
        <v>2.102367E-3</v>
      </c>
      <c r="Q2529">
        <v>6.6718799999999995E-2</v>
      </c>
      <c r="R2529">
        <v>-0.99776969999999998</v>
      </c>
      <c r="S2529">
        <v>0.98052980000000001</v>
      </c>
      <c r="T2529">
        <v>-0.26874880000000001</v>
      </c>
      <c r="U2529">
        <v>-3.0255429999999999</v>
      </c>
      <c r="V2529">
        <v>-0.27068340000000002</v>
      </c>
      <c r="W2529">
        <v>7.5236510000000006E-2</v>
      </c>
      <c r="X2529">
        <v>0.95972389999999996</v>
      </c>
      <c r="Y2529">
        <v>-0.55182710000000001</v>
      </c>
      <c r="Z2529">
        <v>7.4282580000000001E-2</v>
      </c>
      <c r="AA2529">
        <v>0.83064369999999998</v>
      </c>
      <c r="AB2529">
        <v>20</v>
      </c>
      <c r="AC2529">
        <v>0.32069999999998799</v>
      </c>
      <c r="AD2529">
        <v>-7.6432999999999904E-2</v>
      </c>
      <c r="AE2529">
        <v>-0.70000000000004503</v>
      </c>
      <c r="AF2529">
        <v>-0.49229666740752998</v>
      </c>
      <c r="AG2529">
        <v>-7.6432999999999904E-2</v>
      </c>
      <c r="AH2529">
        <v>0.58221897623735197</v>
      </c>
      <c r="AI2529">
        <v>95.724556368075994</v>
      </c>
      <c r="AJ2529">
        <v>130.21627114524901</v>
      </c>
      <c r="AK2529">
        <v>0.76627472131111696</v>
      </c>
    </row>
    <row r="2530" spans="1:37" x14ac:dyDescent="0.2">
      <c r="A2530" t="str">
        <f>"20200111153658305"</f>
        <v>20200111153658305</v>
      </c>
      <c r="B2530" t="str">
        <f>"1578728218295746"</f>
        <v>1578728218295746</v>
      </c>
      <c r="C2530" t="s">
        <v>37</v>
      </c>
      <c r="D2530">
        <v>5.5875029999999999</v>
      </c>
      <c r="E2530">
        <v>0.37637340000000002</v>
      </c>
      <c r="F2530" t="s">
        <v>38</v>
      </c>
      <c r="G2530">
        <v>-489.4864</v>
      </c>
      <c r="H2530">
        <v>1.028017</v>
      </c>
      <c r="I2530">
        <v>262.3023</v>
      </c>
      <c r="J2530">
        <v>-489.79809999999998</v>
      </c>
      <c r="K2530">
        <v>1.10629</v>
      </c>
      <c r="L2530">
        <v>263.0643</v>
      </c>
      <c r="M2530">
        <v>-0.26721440000000002</v>
      </c>
      <c r="N2530">
        <v>0</v>
      </c>
      <c r="O2530">
        <v>-0.96358519999999903</v>
      </c>
      <c r="P2530">
        <v>3.875744E-3</v>
      </c>
      <c r="Q2530">
        <v>6.6651730000000006E-2</v>
      </c>
      <c r="R2530">
        <v>-0.99776880000000001</v>
      </c>
      <c r="S2530">
        <v>0.97695919999999903</v>
      </c>
      <c r="T2530">
        <v>-0.27069520000000002</v>
      </c>
      <c r="U2530">
        <v>-3.0227360000000001</v>
      </c>
      <c r="V2530">
        <v>-0.27067600000000003</v>
      </c>
      <c r="W2530">
        <v>7.5149969999999996E-2</v>
      </c>
      <c r="X2530">
        <v>0.95973280000000005</v>
      </c>
      <c r="Y2530">
        <v>-0.54965730000000002</v>
      </c>
      <c r="Z2530">
        <v>7.5021630000000006E-2</v>
      </c>
      <c r="AA2530">
        <v>0.83201480000000005</v>
      </c>
      <c r="AB2530">
        <v>20</v>
      </c>
      <c r="AC2530">
        <v>0.311699999999973</v>
      </c>
      <c r="AD2530">
        <v>-7.8272999999999995E-2</v>
      </c>
      <c r="AE2530">
        <v>-0.76200000000000001</v>
      </c>
      <c r="AF2530">
        <v>-0.49947729639175298</v>
      </c>
      <c r="AG2530">
        <v>-7.8272999999999995E-2</v>
      </c>
      <c r="AH2530">
        <v>0.64516211348528996</v>
      </c>
      <c r="AI2530">
        <v>95.4797973366598</v>
      </c>
      <c r="AJ2530">
        <v>127.746636055861</v>
      </c>
      <c r="AK2530">
        <v>0.81965748018097295</v>
      </c>
    </row>
    <row r="2531" spans="1:37" x14ac:dyDescent="0.2">
      <c r="A2531" t="str">
        <f>"20200111153658320"</f>
        <v>20200111153658320</v>
      </c>
      <c r="B2531" t="str">
        <f>"1578728218315266"</f>
        <v>1578728218315266</v>
      </c>
      <c r="C2531" t="s">
        <v>37</v>
      </c>
      <c r="D2531">
        <v>5.869605</v>
      </c>
      <c r="E2531">
        <v>0.46086629999999901</v>
      </c>
      <c r="F2531" t="s">
        <v>38</v>
      </c>
      <c r="G2531">
        <v>-489.49329999999998</v>
      </c>
      <c r="H2531">
        <v>1.021949</v>
      </c>
      <c r="I2531">
        <v>262.12619999999998</v>
      </c>
      <c r="J2531">
        <v>-489.82900000000001</v>
      </c>
      <c r="K2531">
        <v>1.106287</v>
      </c>
      <c r="L2531">
        <v>262.94490000000002</v>
      </c>
      <c r="M2531">
        <v>-0.26537859999999902</v>
      </c>
      <c r="N2531">
        <v>0</v>
      </c>
      <c r="O2531">
        <v>-0.96409290000000003</v>
      </c>
      <c r="P2531">
        <v>6.0489949999999997E-3</v>
      </c>
      <c r="Q2531">
        <v>6.7048040000000003E-2</v>
      </c>
      <c r="R2531">
        <v>-0.99773219999999996</v>
      </c>
      <c r="S2531">
        <v>0.98181149999999995</v>
      </c>
      <c r="T2531">
        <v>-0.27156049999999998</v>
      </c>
      <c r="U2531">
        <v>-3.0209959999999998</v>
      </c>
      <c r="V2531">
        <v>-0.27093429999999902</v>
      </c>
      <c r="W2531">
        <v>7.5525140000000004E-2</v>
      </c>
      <c r="X2531">
        <v>0.95963039999999999</v>
      </c>
      <c r="Y2531">
        <v>-0.54940919999999904</v>
      </c>
      <c r="Z2531">
        <v>7.5357060000000003E-2</v>
      </c>
      <c r="AA2531">
        <v>0.83214840000000001</v>
      </c>
      <c r="AB2531">
        <v>20</v>
      </c>
      <c r="AC2531">
        <v>0.33570000000003097</v>
      </c>
      <c r="AD2531">
        <v>-8.4337999999999996E-2</v>
      </c>
      <c r="AE2531">
        <v>-0.81870000000003496</v>
      </c>
      <c r="AF2531">
        <v>-0.53606829120389199</v>
      </c>
      <c r="AG2531">
        <v>-8.4337999999999996E-2</v>
      </c>
      <c r="AH2531">
        <v>0.69394574857792302</v>
      </c>
      <c r="AI2531">
        <v>95.493748310777804</v>
      </c>
      <c r="AJ2531">
        <v>127.685838047459</v>
      </c>
      <c r="AK2531">
        <v>0.88093292199101902</v>
      </c>
    </row>
    <row r="2532" spans="1:37" x14ac:dyDescent="0.2">
      <c r="A2532" t="str">
        <f>"20200111153658335"</f>
        <v>20200111153658335</v>
      </c>
      <c r="B2532" t="str">
        <f>"1578728218325026"</f>
        <v>1578728218325026</v>
      </c>
      <c r="C2532" t="s">
        <v>37</v>
      </c>
      <c r="D2532">
        <v>5.5231469999999998</v>
      </c>
      <c r="E2532">
        <v>0.46262959999999897</v>
      </c>
      <c r="F2532" t="s">
        <v>39</v>
      </c>
      <c r="G2532">
        <v>-488.41379999999998</v>
      </c>
      <c r="H2532" s="1">
        <v>-4.459336E-6</v>
      </c>
      <c r="I2532">
        <v>249.3717</v>
      </c>
      <c r="J2532">
        <v>-489.86709999999999</v>
      </c>
      <c r="K2532">
        <v>1.1062920000000001</v>
      </c>
      <c r="L2532">
        <v>262.79599999999999</v>
      </c>
      <c r="M2532">
        <v>-0.26308959999999998</v>
      </c>
      <c r="N2532">
        <v>0</v>
      </c>
      <c r="O2532">
        <v>-0.96472009999999897</v>
      </c>
      <c r="P2532">
        <v>8.0671470000000002E-3</v>
      </c>
      <c r="Q2532">
        <v>6.6536429999999994E-2</v>
      </c>
      <c r="R2532">
        <v>-0.99775170000000002</v>
      </c>
      <c r="S2532">
        <v>0.31503300000000001</v>
      </c>
      <c r="T2532">
        <v>-0.24626529999999999</v>
      </c>
      <c r="U2532">
        <v>-3.0214539999999999</v>
      </c>
      <c r="V2532">
        <v>-0.27060469999999998</v>
      </c>
      <c r="W2532">
        <v>7.499401E-2</v>
      </c>
      <c r="X2532">
        <v>0.95976510000000004</v>
      </c>
      <c r="Y2532">
        <v>-0.3614098</v>
      </c>
      <c r="Z2532">
        <v>7.3981199999999997E-2</v>
      </c>
      <c r="AA2532">
        <v>0.92946740000000005</v>
      </c>
      <c r="AB2532">
        <v>20</v>
      </c>
      <c r="AC2532">
        <v>1.45330000000001</v>
      </c>
      <c r="AD2532">
        <v>-1.1062964593359901</v>
      </c>
      <c r="AE2532">
        <v>-13.424299999999899</v>
      </c>
      <c r="AF2532">
        <v>-4.9011654405703702</v>
      </c>
      <c r="AG2532">
        <v>-1.1062964593359901</v>
      </c>
      <c r="AH2532">
        <v>12.4851565152587</v>
      </c>
      <c r="AI2532">
        <v>94.715154585797194</v>
      </c>
      <c r="AJ2532">
        <v>111.43295585466799</v>
      </c>
      <c r="AK2532">
        <v>13.458248316266401</v>
      </c>
    </row>
    <row r="2533" spans="1:37" x14ac:dyDescent="0.2">
      <c r="A2533" t="str">
        <f>"20200111153658350"</f>
        <v>20200111153658350</v>
      </c>
      <c r="B2533" t="str">
        <f>"1578728218345521"</f>
        <v>1578728218345521</v>
      </c>
      <c r="C2533" t="s">
        <v>37</v>
      </c>
      <c r="D2533">
        <v>5.811591</v>
      </c>
      <c r="E2533">
        <v>0.46356989999999998</v>
      </c>
      <c r="F2533" t="s">
        <v>39</v>
      </c>
      <c r="G2533">
        <v>-488.44459999999998</v>
      </c>
      <c r="H2533" s="1">
        <v>-4.2024790000000001E-6</v>
      </c>
      <c r="I2533">
        <v>248.78569999999999</v>
      </c>
      <c r="J2533">
        <v>-489.89699999999999</v>
      </c>
      <c r="K2533">
        <v>1.1062940000000001</v>
      </c>
      <c r="L2533">
        <v>262.6782</v>
      </c>
      <c r="M2533">
        <v>-0.26127860000000003</v>
      </c>
      <c r="N2533">
        <v>0</v>
      </c>
      <c r="O2533">
        <v>-0.96521219999999996</v>
      </c>
      <c r="P2533">
        <v>1.0059129999999999E-2</v>
      </c>
      <c r="Q2533">
        <v>6.6623390000000005E-2</v>
      </c>
      <c r="R2533">
        <v>-0.99772780000000005</v>
      </c>
      <c r="S2533">
        <v>0.30664059999999999</v>
      </c>
      <c r="T2533">
        <v>-0.23848249999999999</v>
      </c>
      <c r="U2533">
        <v>-3.0201720000000001</v>
      </c>
      <c r="V2533">
        <v>-0.27071899999999999</v>
      </c>
      <c r="W2533">
        <v>7.5062950000000003E-2</v>
      </c>
      <c r="X2533">
        <v>0.95972749999999996</v>
      </c>
      <c r="Y2533">
        <v>-0.3571607</v>
      </c>
      <c r="Z2533">
        <v>7.182086E-2</v>
      </c>
      <c r="AA2533">
        <v>0.93127760000000004</v>
      </c>
      <c r="AB2533">
        <v>20</v>
      </c>
      <c r="AC2533">
        <v>1.4524000000000099</v>
      </c>
      <c r="AD2533">
        <v>-1.106298202479</v>
      </c>
      <c r="AE2533">
        <v>-13.8925</v>
      </c>
      <c r="AF2533">
        <v>-5.00056834107348</v>
      </c>
      <c r="AG2533">
        <v>-1.106298202479</v>
      </c>
      <c r="AH2533">
        <v>12.949146208855799</v>
      </c>
      <c r="AI2533">
        <v>94.556723618069199</v>
      </c>
      <c r="AJ2533">
        <v>111.11505173011599</v>
      </c>
      <c r="AK2533">
        <v>13.925155905227101</v>
      </c>
    </row>
    <row r="2534" spans="1:37" x14ac:dyDescent="0.2">
      <c r="A2534" t="str">
        <f>"20200111153658370"</f>
        <v>20200111153658370</v>
      </c>
      <c r="B2534" t="str">
        <f>"1578728218365041"</f>
        <v>1578728218365041</v>
      </c>
      <c r="C2534" t="s">
        <v>37</v>
      </c>
      <c r="D2534">
        <v>5.8728739999999897</v>
      </c>
      <c r="E2534">
        <v>0.46346490000000001</v>
      </c>
      <c r="F2534" t="s">
        <v>39</v>
      </c>
      <c r="G2534">
        <v>-488.34539999999998</v>
      </c>
      <c r="H2534" s="1">
        <v>-3.6102819999999999E-6</v>
      </c>
      <c r="I2534">
        <v>247.36429999999999</v>
      </c>
      <c r="J2534">
        <v>-489.94209999999998</v>
      </c>
      <c r="K2534">
        <v>1.1062989999999999</v>
      </c>
      <c r="L2534">
        <v>262.49880000000002</v>
      </c>
      <c r="M2534">
        <v>-0.25852159999999902</v>
      </c>
      <c r="N2534">
        <v>0</v>
      </c>
      <c r="O2534">
        <v>-0.96595439999999999</v>
      </c>
      <c r="P2534">
        <v>1.268093E-2</v>
      </c>
      <c r="Q2534">
        <v>6.5671370000000007E-2</v>
      </c>
      <c r="R2534">
        <v>-0.99776100000000001</v>
      </c>
      <c r="S2534">
        <v>0.3058167</v>
      </c>
      <c r="T2534">
        <v>-0.21804460000000001</v>
      </c>
      <c r="U2534">
        <v>-3.0182799999999999</v>
      </c>
      <c r="V2534">
        <v>-0.27051409999999998</v>
      </c>
      <c r="W2534">
        <v>7.4088180000000003E-2</v>
      </c>
      <c r="X2534">
        <v>0.95986099999999996</v>
      </c>
      <c r="Y2534">
        <v>-0.35434739999999998</v>
      </c>
      <c r="Z2534">
        <v>6.5859329999999994E-2</v>
      </c>
      <c r="AA2534">
        <v>0.93279179999999995</v>
      </c>
      <c r="AB2534">
        <v>20</v>
      </c>
      <c r="AC2534">
        <v>1.59669999999999</v>
      </c>
      <c r="AD2534">
        <v>-1.1063026102819999</v>
      </c>
      <c r="AE2534">
        <v>-15.134499999999999</v>
      </c>
      <c r="AF2534">
        <v>-5.4265271846369201</v>
      </c>
      <c r="AG2534">
        <v>-1.1063026102819999</v>
      </c>
      <c r="AH2534">
        <v>14.1324732555886</v>
      </c>
      <c r="AI2534">
        <v>94.179675494775495</v>
      </c>
      <c r="AJ2534">
        <v>111.00557913861201</v>
      </c>
      <c r="AK2534">
        <v>15.178863694988699</v>
      </c>
    </row>
    <row r="2535" spans="1:37" x14ac:dyDescent="0.2">
      <c r="A2535" t="str">
        <f>"20200111153658383"</f>
        <v>20200111153658383</v>
      </c>
      <c r="B2535" t="str">
        <f>"1578728218375778"</f>
        <v>1578728218375778</v>
      </c>
      <c r="C2535" t="s">
        <v>37</v>
      </c>
      <c r="D2535">
        <v>5.561483</v>
      </c>
      <c r="E2535">
        <v>0.46364169999999999</v>
      </c>
      <c r="F2535" t="s">
        <v>39</v>
      </c>
      <c r="G2535">
        <v>-488.30399999999997</v>
      </c>
      <c r="H2535" s="1">
        <v>-3.3842999999999999E-6</v>
      </c>
      <c r="I2535">
        <v>246.82040000000001</v>
      </c>
      <c r="J2535">
        <v>-489.97050000000002</v>
      </c>
      <c r="K2535">
        <v>1.106298</v>
      </c>
      <c r="L2535">
        <v>262.38490000000002</v>
      </c>
      <c r="M2535">
        <v>-0.25677060000000002</v>
      </c>
      <c r="N2535">
        <v>0</v>
      </c>
      <c r="O2535">
        <v>-0.96642150000000004</v>
      </c>
      <c r="P2535">
        <v>1.462548E-2</v>
      </c>
      <c r="Q2535">
        <v>6.5066399999999996E-2</v>
      </c>
      <c r="R2535">
        <v>-0.99777369999999899</v>
      </c>
      <c r="S2535">
        <v>0.31518550000000001</v>
      </c>
      <c r="T2535">
        <v>-0.21286649999999999</v>
      </c>
      <c r="U2535">
        <v>-3.016724</v>
      </c>
      <c r="V2535">
        <v>-0.2706538</v>
      </c>
      <c r="W2535">
        <v>7.3467599999999994E-2</v>
      </c>
      <c r="X2535">
        <v>0.95986930000000004</v>
      </c>
      <c r="Y2535">
        <v>-0.35557899999999998</v>
      </c>
      <c r="Z2535">
        <v>6.4358230000000002E-2</v>
      </c>
      <c r="AA2535">
        <v>0.93242780000000003</v>
      </c>
      <c r="AB2535">
        <v>20</v>
      </c>
      <c r="AC2535">
        <v>1.6664999999999801</v>
      </c>
      <c r="AD2535">
        <v>-1.1063013843</v>
      </c>
      <c r="AE2535">
        <v>-15.564500000000001</v>
      </c>
      <c r="AF2535">
        <v>-5.5794543904523</v>
      </c>
      <c r="AG2535">
        <v>-1.1063013843</v>
      </c>
      <c r="AH2535">
        <v>14.542041950921501</v>
      </c>
      <c r="AI2535">
        <v>94.062756520445703</v>
      </c>
      <c r="AJ2535">
        <v>110.99068464865999</v>
      </c>
      <c r="AK2535">
        <v>15.6149030784825</v>
      </c>
    </row>
    <row r="2536" spans="1:37" x14ac:dyDescent="0.2">
      <c r="A2536" t="str">
        <f>"20200111153658396"</f>
        <v>20200111153658396</v>
      </c>
      <c r="B2536" t="str">
        <f>"1578728218385537"</f>
        <v>1578728218385537</v>
      </c>
      <c r="C2536" t="s">
        <v>37</v>
      </c>
      <c r="D2536">
        <v>5.5675379999999999</v>
      </c>
      <c r="E2536">
        <v>0.46371990000000002</v>
      </c>
      <c r="F2536" t="s">
        <v>39</v>
      </c>
      <c r="G2536">
        <v>-488.2878</v>
      </c>
      <c r="H2536" s="1">
        <v>-3.2598110000000002E-6</v>
      </c>
      <c r="I2536">
        <v>246.52350000000001</v>
      </c>
      <c r="J2536">
        <v>-489.99959999999999</v>
      </c>
      <c r="K2536">
        <v>1.1062969999999901</v>
      </c>
      <c r="L2536">
        <v>262.26740000000001</v>
      </c>
      <c r="M2536">
        <v>-0.25496579999999902</v>
      </c>
      <c r="N2536">
        <v>0</v>
      </c>
      <c r="O2536">
        <v>-0.96689939999999996</v>
      </c>
      <c r="P2536">
        <v>1.6605269999999998E-2</v>
      </c>
      <c r="Q2536">
        <v>6.4700480000000005E-2</v>
      </c>
      <c r="R2536">
        <v>-0.99776669999999901</v>
      </c>
      <c r="S2536">
        <v>0.31994629999999902</v>
      </c>
      <c r="T2536">
        <v>-0.2103428</v>
      </c>
      <c r="U2536">
        <v>-3.0157470000000002</v>
      </c>
      <c r="V2536">
        <v>-0.2707717</v>
      </c>
      <c r="W2536">
        <v>7.3086670000000006E-2</v>
      </c>
      <c r="X2536">
        <v>0.95986510000000003</v>
      </c>
      <c r="Y2536">
        <v>-0.3553268</v>
      </c>
      <c r="Z2536">
        <v>6.3667150000000006E-2</v>
      </c>
      <c r="AA2536">
        <v>0.93257139999999905</v>
      </c>
      <c r="AB2536">
        <v>20</v>
      </c>
      <c r="AC2536">
        <v>1.71179999999998</v>
      </c>
      <c r="AD2536">
        <v>-1.1063002598109899</v>
      </c>
      <c r="AE2536">
        <v>-15.743899999999901</v>
      </c>
      <c r="AF2536">
        <v>-5.6420392456593103</v>
      </c>
      <c r="AG2536">
        <v>-1.1063002598109899</v>
      </c>
      <c r="AH2536">
        <v>14.715231598322401</v>
      </c>
      <c r="AI2536">
        <v>94.015444894748796</v>
      </c>
      <c r="AJ2536">
        <v>110.977568643398</v>
      </c>
      <c r="AK2536">
        <v>15.798561583469599</v>
      </c>
    </row>
    <row r="2537" spans="1:37" x14ac:dyDescent="0.2">
      <c r="A2537" t="str">
        <f>"20200111153658416"</f>
        <v>20200111153658416</v>
      </c>
      <c r="B2537" t="str">
        <f>"1578728218405057"</f>
        <v>1578728218405057</v>
      </c>
      <c r="C2537" t="s">
        <v>37</v>
      </c>
      <c r="D2537">
        <v>5.5437830000000003</v>
      </c>
      <c r="E2537">
        <v>0.46385850000000001</v>
      </c>
      <c r="F2537" t="s">
        <v>39</v>
      </c>
      <c r="G2537">
        <v>-488.29070000000002</v>
      </c>
      <c r="H2537" s="1">
        <v>-3.21902899999999E-6</v>
      </c>
      <c r="I2537">
        <v>246.42959999999999</v>
      </c>
      <c r="J2537">
        <v>-490.04250000000002</v>
      </c>
      <c r="K2537">
        <v>1.1062969999999901</v>
      </c>
      <c r="L2537">
        <v>262.09230000000002</v>
      </c>
      <c r="M2537">
        <v>-0.25227660000000002</v>
      </c>
      <c r="N2537">
        <v>0</v>
      </c>
      <c r="O2537">
        <v>-0.96760460000000004</v>
      </c>
      <c r="P2537">
        <v>1.91431E-2</v>
      </c>
      <c r="Q2537">
        <v>6.3442830000000006E-2</v>
      </c>
      <c r="R2537">
        <v>-0.99780199999999997</v>
      </c>
      <c r="S2537">
        <v>0.32531739999999998</v>
      </c>
      <c r="T2537">
        <v>-0.2106006</v>
      </c>
      <c r="U2537">
        <v>-3.0149539999999999</v>
      </c>
      <c r="V2537">
        <v>-0.27056019999999997</v>
      </c>
      <c r="W2537">
        <v>7.1811150000000004E-2</v>
      </c>
      <c r="X2537">
        <v>0.96002099999999901</v>
      </c>
      <c r="Y2537">
        <v>-0.35439540000000003</v>
      </c>
      <c r="Z2537">
        <v>6.3841369999999995E-2</v>
      </c>
      <c r="AA2537">
        <v>0.93291380000000002</v>
      </c>
      <c r="AB2537">
        <v>20</v>
      </c>
      <c r="AC2537">
        <v>1.7518</v>
      </c>
      <c r="AD2537">
        <v>-1.1063002190289899</v>
      </c>
      <c r="AE2537">
        <v>-15.662699999999999</v>
      </c>
      <c r="AF2537">
        <v>-5.6189720659573403</v>
      </c>
      <c r="AG2537">
        <v>-1.1063002190289899</v>
      </c>
      <c r="AH2537">
        <v>14.6419363724882</v>
      </c>
      <c r="AI2537">
        <v>94.035016689275196</v>
      </c>
      <c r="AJ2537">
        <v>110.99474510570199</v>
      </c>
      <c r="AK2537">
        <v>15.722056099271001</v>
      </c>
    </row>
    <row r="2538" spans="1:37" x14ac:dyDescent="0.2">
      <c r="A2538" t="str">
        <f>"20200111153658431"</f>
        <v>20200111153658431</v>
      </c>
      <c r="B2538" t="str">
        <f>"1578728218425553"</f>
        <v>1578728218425553</v>
      </c>
      <c r="C2538" t="s">
        <v>37</v>
      </c>
      <c r="D2538">
        <v>5.57538</v>
      </c>
      <c r="E2538">
        <v>0.46384140000000001</v>
      </c>
      <c r="F2538" t="s">
        <v>39</v>
      </c>
      <c r="G2538">
        <v>-488.30849999999998</v>
      </c>
      <c r="H2538" s="1">
        <v>-3.1589759999999999E-6</v>
      </c>
      <c r="I2538">
        <v>246.297</v>
      </c>
      <c r="J2538">
        <v>-490.07389999999998</v>
      </c>
      <c r="K2538">
        <v>1.106298</v>
      </c>
      <c r="L2538">
        <v>261.9624</v>
      </c>
      <c r="M2538">
        <v>-0.25028040000000001</v>
      </c>
      <c r="N2538">
        <v>0</v>
      </c>
      <c r="O2538">
        <v>-0.96812310000000001</v>
      </c>
      <c r="P2538">
        <v>2.091732E-2</v>
      </c>
      <c r="Q2538">
        <v>6.301466E-2</v>
      </c>
      <c r="R2538">
        <v>-0.99779340000000005</v>
      </c>
      <c r="S2538">
        <v>0.330841099999999</v>
      </c>
      <c r="T2538">
        <v>-0.2110764</v>
      </c>
      <c r="U2538">
        <v>-3.0136720000000001</v>
      </c>
      <c r="V2538">
        <v>-0.27029309999999901</v>
      </c>
      <c r="W2538">
        <v>7.1371690000000002E-2</v>
      </c>
      <c r="X2538">
        <v>0.96012900000000001</v>
      </c>
      <c r="Y2538">
        <v>-0.35419780000000001</v>
      </c>
      <c r="Z2538">
        <v>6.4062339999999995E-2</v>
      </c>
      <c r="AA2538">
        <v>0.93297369999999902</v>
      </c>
      <c r="AB2538">
        <v>20</v>
      </c>
      <c r="AC2538">
        <v>1.7653999999999901</v>
      </c>
      <c r="AD2538">
        <v>-1.1063011589759999</v>
      </c>
      <c r="AE2538">
        <v>-15.6654</v>
      </c>
      <c r="AF2538">
        <v>-5.6025501697196596</v>
      </c>
      <c r="AG2538">
        <v>-1.1063011589759999</v>
      </c>
      <c r="AH2538">
        <v>14.652746690869799</v>
      </c>
      <c r="AI2538">
        <v>94.033938051188301</v>
      </c>
      <c r="AJ2538">
        <v>110.92460196163501</v>
      </c>
      <c r="AK2538">
        <v>15.726266443290699</v>
      </c>
    </row>
    <row r="2539" spans="1:37" x14ac:dyDescent="0.2">
      <c r="A2539" t="str">
        <f>"20200111153658445"</f>
        <v>20200111153658445</v>
      </c>
      <c r="B2539" t="str">
        <f>"1578728218435313"</f>
        <v>1578728218435313</v>
      </c>
      <c r="C2539" t="s">
        <v>37</v>
      </c>
      <c r="D2539">
        <v>5.560473</v>
      </c>
      <c r="E2539">
        <v>0.46393669999999998</v>
      </c>
      <c r="F2539" t="s">
        <v>39</v>
      </c>
      <c r="G2539">
        <v>-488.29669999999999</v>
      </c>
      <c r="H2539" s="1">
        <v>-3.071126E-6</v>
      </c>
      <c r="I2539">
        <v>246.0873</v>
      </c>
      <c r="J2539">
        <v>-490.10379999999998</v>
      </c>
      <c r="K2539">
        <v>1.1062969999999901</v>
      </c>
      <c r="L2539">
        <v>261.83749999999998</v>
      </c>
      <c r="M2539">
        <v>-0.2483619</v>
      </c>
      <c r="N2539">
        <v>0</v>
      </c>
      <c r="O2539">
        <v>-0.96861730000000001</v>
      </c>
      <c r="P2539">
        <v>2.250951E-2</v>
      </c>
      <c r="Q2539">
        <v>6.2565300000000004E-2</v>
      </c>
      <c r="R2539">
        <v>-0.99778719999999999</v>
      </c>
      <c r="S2539">
        <v>0.33728029999999998</v>
      </c>
      <c r="T2539">
        <v>-0.20995659999999999</v>
      </c>
      <c r="U2539">
        <v>-3.0128169999999899</v>
      </c>
      <c r="V2539">
        <v>-0.26992880000000002</v>
      </c>
      <c r="W2539">
        <v>7.0912219999999998E-2</v>
      </c>
      <c r="X2539">
        <v>0.96026549999999999</v>
      </c>
      <c r="Y2539">
        <v>-0.3543462</v>
      </c>
      <c r="Z2539">
        <v>6.3783950000000006E-2</v>
      </c>
      <c r="AA2539">
        <v>0.9329364</v>
      </c>
      <c r="AB2539">
        <v>21</v>
      </c>
      <c r="AC2539">
        <v>1.8070999999999899</v>
      </c>
      <c r="AD2539">
        <v>-1.10630007112599</v>
      </c>
      <c r="AE2539">
        <v>-15.7501999999999</v>
      </c>
      <c r="AF2539">
        <v>-5.6349721494708396</v>
      </c>
      <c r="AG2539">
        <v>-1.10630007112599</v>
      </c>
      <c r="AH2539">
        <v>14.7360599882459</v>
      </c>
      <c r="AI2539">
        <v>94.011150798223397</v>
      </c>
      <c r="AJ2539">
        <v>110.92652439836699</v>
      </c>
      <c r="AK2539">
        <v>15.815444190722699</v>
      </c>
    </row>
    <row r="2540" spans="1:37" x14ac:dyDescent="0.2">
      <c r="A2540" t="str">
        <f>"20200111153658460"</f>
        <v>20200111153658460</v>
      </c>
      <c r="B2540" t="str">
        <f>"1578728218455452"</f>
        <v>1578728218455452</v>
      </c>
      <c r="C2540" t="s">
        <v>37</v>
      </c>
      <c r="D2540">
        <v>5.5708459999999898</v>
      </c>
      <c r="E2540">
        <v>0.46417609999999898</v>
      </c>
      <c r="F2540" t="s">
        <v>39</v>
      </c>
      <c r="G2540">
        <v>-488.30040000000002</v>
      </c>
      <c r="H2540" s="1">
        <v>-2.9991860000000001E-6</v>
      </c>
      <c r="I2540">
        <v>245.9212</v>
      </c>
      <c r="J2540">
        <v>-490.13619999999997</v>
      </c>
      <c r="K2540">
        <v>1.1062959999999999</v>
      </c>
      <c r="L2540">
        <v>261.70190000000002</v>
      </c>
      <c r="M2540">
        <v>-0.24627649999999901</v>
      </c>
      <c r="N2540">
        <v>0</v>
      </c>
      <c r="O2540">
        <v>-0.969149699999999</v>
      </c>
      <c r="P2540">
        <v>2.3718449999999999E-2</v>
      </c>
      <c r="Q2540">
        <v>6.2152869999999999E-2</v>
      </c>
      <c r="R2540">
        <v>-0.99778480000000003</v>
      </c>
      <c r="S2540">
        <v>0.34127809999999997</v>
      </c>
      <c r="T2540">
        <v>-0.20935979999999901</v>
      </c>
      <c r="U2540">
        <v>-3.012054</v>
      </c>
      <c r="V2540">
        <v>-0.26902969999999998</v>
      </c>
      <c r="W2540">
        <v>7.0490810000000001E-2</v>
      </c>
      <c r="X2540">
        <v>0.96054879999999998</v>
      </c>
      <c r="Y2540">
        <v>-0.3535836</v>
      </c>
      <c r="Z2540">
        <v>6.3680070000000005E-2</v>
      </c>
      <c r="AA2540">
        <v>0.93323279999999997</v>
      </c>
      <c r="AB2540">
        <v>21</v>
      </c>
      <c r="AC2540">
        <v>1.8357999999999399</v>
      </c>
      <c r="AD2540">
        <v>-1.1062989991859999</v>
      </c>
      <c r="AE2540">
        <v>-15.7807</v>
      </c>
      <c r="AF2540">
        <v>-5.6385133586495604</v>
      </c>
      <c r="AG2540">
        <v>-1.1062989991859999</v>
      </c>
      <c r="AH2540">
        <v>14.770840057377001</v>
      </c>
      <c r="AI2540">
        <v>94.002611479477096</v>
      </c>
      <c r="AJ2540">
        <v>110.893493177148</v>
      </c>
      <c r="AK2540">
        <v>15.8491150027969</v>
      </c>
    </row>
    <row r="2541" spans="1:37" x14ac:dyDescent="0.2">
      <c r="A2541" t="str">
        <f>"20200111153658483"</f>
        <v>20200111153658483</v>
      </c>
      <c r="B2541" t="str">
        <f>"1578728218474974"</f>
        <v>1578728218474974</v>
      </c>
      <c r="C2541" t="s">
        <v>37</v>
      </c>
      <c r="D2541">
        <v>5.5689539999999997</v>
      </c>
      <c r="E2541">
        <v>0.46439829999999999</v>
      </c>
      <c r="F2541" t="s">
        <v>39</v>
      </c>
      <c r="G2541">
        <v>-488.30459999999999</v>
      </c>
      <c r="H2541" s="1">
        <v>-2.8780849999999998E-6</v>
      </c>
      <c r="I2541">
        <v>245.64060000000001</v>
      </c>
      <c r="J2541">
        <v>-490.1848</v>
      </c>
      <c r="K2541">
        <v>1.1062920000000001</v>
      </c>
      <c r="L2541">
        <v>261.4948</v>
      </c>
      <c r="M2541">
        <v>-0.24309459999999999</v>
      </c>
      <c r="N2541">
        <v>0</v>
      </c>
      <c r="O2541">
        <v>-0.96995290000000001</v>
      </c>
      <c r="P2541">
        <v>2.672859E-2</v>
      </c>
      <c r="Q2541">
        <v>6.1743239999999998E-2</v>
      </c>
      <c r="R2541">
        <v>-0.99773449999999997</v>
      </c>
      <c r="S2541">
        <v>0.34341430000000001</v>
      </c>
      <c r="T2541">
        <v>-0.2074279</v>
      </c>
      <c r="U2541">
        <v>-3.011444</v>
      </c>
      <c r="V2541">
        <v>-0.26878049999999998</v>
      </c>
      <c r="W2541">
        <v>7.0056530000000006E-2</v>
      </c>
      <c r="X2541">
        <v>0.96065040000000002</v>
      </c>
      <c r="Y2541">
        <v>-0.35119210000000001</v>
      </c>
      <c r="Z2541">
        <v>6.3219139999999993E-2</v>
      </c>
      <c r="AA2541">
        <v>0.93416669999999902</v>
      </c>
      <c r="AB2541">
        <v>21</v>
      </c>
      <c r="AC2541">
        <v>1.8802000000000001</v>
      </c>
      <c r="AD2541">
        <v>-1.1062948780849999</v>
      </c>
      <c r="AE2541">
        <v>-15.854199999999899</v>
      </c>
      <c r="AF2541">
        <v>-5.6509159611628599</v>
      </c>
      <c r="AG2541">
        <v>-1.1062948780849999</v>
      </c>
      <c r="AH2541">
        <v>14.8501750664157</v>
      </c>
      <c r="AI2541">
        <v>93.982872873555806</v>
      </c>
      <c r="AJ2541">
        <v>110.833250133525</v>
      </c>
      <c r="AK2541">
        <v>15.9274743465685</v>
      </c>
    </row>
    <row r="2542" spans="1:37" x14ac:dyDescent="0.2">
      <c r="A2542" t="str">
        <f>"20200111153658496"</f>
        <v>20200111153658496</v>
      </c>
      <c r="B2542" t="str">
        <f>"1578728218485708"</f>
        <v>1578728218485708</v>
      </c>
      <c r="C2542" t="s">
        <v>37</v>
      </c>
      <c r="D2542">
        <v>5.6851539999999998</v>
      </c>
      <c r="E2542">
        <v>0.46454269999999998</v>
      </c>
      <c r="F2542" t="s">
        <v>39</v>
      </c>
      <c r="G2542">
        <v>-488.3064</v>
      </c>
      <c r="H2542" s="1">
        <v>-2.7635689999999999E-6</v>
      </c>
      <c r="I2542">
        <v>245.37440000000001</v>
      </c>
      <c r="J2542">
        <v>-490.21190000000001</v>
      </c>
      <c r="K2542">
        <v>1.106293</v>
      </c>
      <c r="L2542">
        <v>261.37810000000002</v>
      </c>
      <c r="M2542">
        <v>-0.2413013</v>
      </c>
      <c r="N2542">
        <v>0</v>
      </c>
      <c r="O2542">
        <v>-0.97040079999999995</v>
      </c>
      <c r="P2542">
        <v>2.8222170000000001E-2</v>
      </c>
      <c r="Q2542">
        <v>6.1434780000000001E-2</v>
      </c>
      <c r="R2542">
        <v>-0.9977123</v>
      </c>
      <c r="S2542">
        <v>0.350769</v>
      </c>
      <c r="T2542">
        <v>-0.2065806</v>
      </c>
      <c r="U2542">
        <v>-3.0101930000000001</v>
      </c>
      <c r="V2542">
        <v>-0.26844659999999998</v>
      </c>
      <c r="W2542">
        <v>6.9735920000000007E-2</v>
      </c>
      <c r="X2542">
        <v>0.96076700000000004</v>
      </c>
      <c r="Y2542">
        <v>-0.3517595</v>
      </c>
      <c r="Z2542">
        <v>6.3017760000000006E-2</v>
      </c>
      <c r="AA2542">
        <v>0.93396679999999999</v>
      </c>
      <c r="AB2542">
        <v>21</v>
      </c>
      <c r="AC2542">
        <v>1.90550000000001</v>
      </c>
      <c r="AD2542">
        <v>-1.1062957635690001</v>
      </c>
      <c r="AE2542">
        <v>-16.003699999999998</v>
      </c>
      <c r="AF2542">
        <v>-5.68430301975412</v>
      </c>
      <c r="AG2542">
        <v>-1.1062957635690001</v>
      </c>
      <c r="AH2542">
        <v>15.0002484866943</v>
      </c>
      <c r="AI2542">
        <v>93.945218198594404</v>
      </c>
      <c r="AJ2542">
        <v>110.75406574115701</v>
      </c>
      <c r="AK2542">
        <v>16.079261357396099</v>
      </c>
    </row>
    <row r="2543" spans="1:37" x14ac:dyDescent="0.2">
      <c r="A2543" t="str">
        <f>"20200111153658515"</f>
        <v>20200111153658515</v>
      </c>
      <c r="B2543" t="str">
        <f>"1578728218505230"</f>
        <v>1578728218505230</v>
      </c>
      <c r="C2543" t="s">
        <v>37</v>
      </c>
      <c r="D2543">
        <v>5.5359569999999998</v>
      </c>
      <c r="E2543">
        <v>0.46477309999999999</v>
      </c>
      <c r="F2543" t="s">
        <v>39</v>
      </c>
      <c r="G2543">
        <v>-488.31810000000002</v>
      </c>
      <c r="H2543" s="1">
        <v>-2.71485999999999E-6</v>
      </c>
      <c r="I2543">
        <v>245.26580000000001</v>
      </c>
      <c r="J2543">
        <v>-490.25229999999999</v>
      </c>
      <c r="K2543">
        <v>1.1062969999999901</v>
      </c>
      <c r="L2543">
        <v>261.20229999999998</v>
      </c>
      <c r="M2543">
        <v>-0.238600799999999</v>
      </c>
      <c r="N2543">
        <v>0</v>
      </c>
      <c r="O2543">
        <v>-0.9710683</v>
      </c>
      <c r="P2543">
        <v>3.0595499999999901E-2</v>
      </c>
      <c r="Q2543">
        <v>6.1573210000000003E-2</v>
      </c>
      <c r="R2543">
        <v>-0.99763359999999901</v>
      </c>
      <c r="S2543">
        <v>0.35372919999999902</v>
      </c>
      <c r="T2543">
        <v>-0.20664199999999999</v>
      </c>
      <c r="U2543">
        <v>-3.0095830000000001</v>
      </c>
      <c r="V2543">
        <v>-0.26805859999999998</v>
      </c>
      <c r="W2543">
        <v>6.9857699999999995E-2</v>
      </c>
      <c r="X2543">
        <v>0.96086649999999996</v>
      </c>
      <c r="Y2543">
        <v>-0.35008279999999897</v>
      </c>
      <c r="Z2543">
        <v>6.3135590000000005E-2</v>
      </c>
      <c r="AA2543">
        <v>0.93458869999999905</v>
      </c>
      <c r="AB2543">
        <v>21</v>
      </c>
      <c r="AC2543">
        <v>1.9341999999999699</v>
      </c>
      <c r="AD2543">
        <v>-1.10629971485999</v>
      </c>
      <c r="AE2543">
        <v>-15.936499999999899</v>
      </c>
      <c r="AF2543">
        <v>-5.6541228391543399</v>
      </c>
      <c r="AG2543">
        <v>-1.10629971485999</v>
      </c>
      <c r="AH2543">
        <v>14.9436804734855</v>
      </c>
      <c r="AI2543">
        <v>93.960884161005694</v>
      </c>
      <c r="AJ2543">
        <v>110.724744709756</v>
      </c>
      <c r="AK2543">
        <v>16.015823120682199</v>
      </c>
    </row>
    <row r="2544" spans="1:37" x14ac:dyDescent="0.2">
      <c r="A2544" t="str">
        <f>"20200111153658529"</f>
        <v>20200111153658529</v>
      </c>
      <c r="B2544" t="str">
        <f>"1578728218525724"</f>
        <v>1578728218525724</v>
      </c>
      <c r="C2544" t="s">
        <v>37</v>
      </c>
      <c r="D2544">
        <v>5.5652819999999998</v>
      </c>
      <c r="E2544">
        <v>0.46490769999999998</v>
      </c>
      <c r="F2544" t="s">
        <v>39</v>
      </c>
      <c r="G2544">
        <v>-488.30450000000002</v>
      </c>
      <c r="H2544" s="1">
        <v>-2.5677049999999999E-6</v>
      </c>
      <c r="I2544">
        <v>244.9171</v>
      </c>
      <c r="J2544">
        <v>-490.28030000000001</v>
      </c>
      <c r="K2544">
        <v>1.1063000000000001</v>
      </c>
      <c r="L2544">
        <v>261.07909999999998</v>
      </c>
      <c r="M2544">
        <v>-0.236708</v>
      </c>
      <c r="N2544">
        <v>0</v>
      </c>
      <c r="O2544">
        <v>-0.97153149999999999</v>
      </c>
      <c r="P2544">
        <v>3.2062140000000003E-2</v>
      </c>
      <c r="Q2544">
        <v>6.1562390000000002E-2</v>
      </c>
      <c r="R2544">
        <v>-0.99758799999999903</v>
      </c>
      <c r="S2544">
        <v>0.3598633</v>
      </c>
      <c r="T2544">
        <v>-0.2043866</v>
      </c>
      <c r="U2544">
        <v>-3.008667</v>
      </c>
      <c r="V2544">
        <v>-0.26759889999999997</v>
      </c>
      <c r="W2544">
        <v>6.9837239999999995E-2</v>
      </c>
      <c r="X2544">
        <v>0.96099619999999997</v>
      </c>
      <c r="Y2544">
        <v>-0.35017500000000001</v>
      </c>
      <c r="Z2544">
        <v>6.2506770000000003E-2</v>
      </c>
      <c r="AA2544">
        <v>0.93459639999999999</v>
      </c>
      <c r="AB2544">
        <v>21</v>
      </c>
      <c r="AC2544">
        <v>1.97579999999999</v>
      </c>
      <c r="AD2544">
        <v>-1.106302567705</v>
      </c>
      <c r="AE2544">
        <v>-16.1619999999999</v>
      </c>
      <c r="AF2544">
        <v>-5.7190996801340201</v>
      </c>
      <c r="AG2544">
        <v>-1.106302567705</v>
      </c>
      <c r="AH2544">
        <v>15.1649254721123</v>
      </c>
      <c r="AI2544">
        <v>93.904877170167794</v>
      </c>
      <c r="AJ2544">
        <v>110.662803239767</v>
      </c>
      <c r="AK2544">
        <v>16.245213790447298</v>
      </c>
    </row>
    <row r="2545" spans="1:37" x14ac:dyDescent="0.2">
      <c r="A2545" t="str">
        <f>"20200111153658550"</f>
        <v>20200111153658550</v>
      </c>
      <c r="B2545" t="str">
        <f>"1578728218545244"</f>
        <v>1578728218545244</v>
      </c>
      <c r="C2545" t="s">
        <v>37</v>
      </c>
      <c r="D2545">
        <v>5.5746849999999997</v>
      </c>
      <c r="E2545">
        <v>0.46506049999999899</v>
      </c>
      <c r="F2545" t="s">
        <v>39</v>
      </c>
      <c r="G2545">
        <v>-488.30239999999998</v>
      </c>
      <c r="H2545" s="1">
        <v>-2.4659719999999998E-6</v>
      </c>
      <c r="I2545">
        <v>244.67910000000001</v>
      </c>
      <c r="J2545">
        <v>-490.32080000000002</v>
      </c>
      <c r="K2545">
        <v>1.1063019999999999</v>
      </c>
      <c r="L2545">
        <v>260.89929999999998</v>
      </c>
      <c r="M2545">
        <v>-0.2339464</v>
      </c>
      <c r="N2545">
        <v>0</v>
      </c>
      <c r="O2545">
        <v>-0.97220030000000002</v>
      </c>
      <c r="P2545">
        <v>3.3664329999999999E-2</v>
      </c>
      <c r="Q2545">
        <v>6.1889350000000003E-2</v>
      </c>
      <c r="R2545">
        <v>-0.99751509999999999</v>
      </c>
      <c r="S2545">
        <v>0.36279299999999998</v>
      </c>
      <c r="T2545">
        <v>-0.20291770000000001</v>
      </c>
      <c r="U2545">
        <v>-3.00808699999999</v>
      </c>
      <c r="V2545">
        <v>-0.26640819999999998</v>
      </c>
      <c r="W2545">
        <v>7.015499E-2</v>
      </c>
      <c r="X2545">
        <v>0.96130380000000004</v>
      </c>
      <c r="Y2545">
        <v>-0.34843489999999999</v>
      </c>
      <c r="Z2545">
        <v>6.2157160000000003E-2</v>
      </c>
      <c r="AA2545">
        <v>0.93526980000000004</v>
      </c>
      <c r="AB2545">
        <v>21</v>
      </c>
      <c r="AC2545">
        <v>2.0184000000000402</v>
      </c>
      <c r="AD2545">
        <v>-1.1063044659720001</v>
      </c>
      <c r="AE2545">
        <v>-16.220199999999899</v>
      </c>
      <c r="AF2545">
        <v>-5.7309680916204702</v>
      </c>
      <c r="AG2545">
        <v>-1.1063044659720001</v>
      </c>
      <c r="AH2545">
        <v>15.228057340027499</v>
      </c>
      <c r="AI2545">
        <v>93.889747905495796</v>
      </c>
      <c r="AJ2545">
        <v>110.623461415406</v>
      </c>
      <c r="AK2545">
        <v>16.3083302391682</v>
      </c>
    </row>
    <row r="2546" spans="1:37" x14ac:dyDescent="0.2">
      <c r="A2546" t="str">
        <f>"20200111153658573"</f>
        <v>20200111153658573</v>
      </c>
      <c r="B2546" t="str">
        <f>"1578728218565740"</f>
        <v>1578728218565740</v>
      </c>
      <c r="C2546" t="s">
        <v>37</v>
      </c>
      <c r="D2546">
        <v>6.0718420000000002</v>
      </c>
      <c r="E2546">
        <v>0.46602129999999897</v>
      </c>
      <c r="F2546" t="s">
        <v>39</v>
      </c>
      <c r="G2546">
        <v>-488.2953</v>
      </c>
      <c r="H2546" s="1">
        <v>-2.310977E-6</v>
      </c>
      <c r="I2546">
        <v>244.31489999999999</v>
      </c>
      <c r="J2546">
        <v>-490.36840000000001</v>
      </c>
      <c r="K2546">
        <v>1.1063099999999999</v>
      </c>
      <c r="L2546">
        <v>260.68470000000002</v>
      </c>
      <c r="M2546">
        <v>-0.230650299999999</v>
      </c>
      <c r="N2546">
        <v>0</v>
      </c>
      <c r="O2546">
        <v>-0.97298779999999996</v>
      </c>
      <c r="P2546">
        <v>3.603286E-2</v>
      </c>
      <c r="Q2546">
        <v>6.207182E-2</v>
      </c>
      <c r="R2546">
        <v>-0.99742129999999996</v>
      </c>
      <c r="S2546">
        <v>0.36730959999999901</v>
      </c>
      <c r="T2546">
        <v>-0.2006251</v>
      </c>
      <c r="U2546">
        <v>-3.0075379999999998</v>
      </c>
      <c r="V2546">
        <v>-0.2654318</v>
      </c>
      <c r="W2546">
        <v>7.0324800000000007E-2</v>
      </c>
      <c r="X2546">
        <v>0.96156140000000001</v>
      </c>
      <c r="Y2546">
        <v>-0.34666799999999998</v>
      </c>
      <c r="Z2546">
        <v>6.1563920000000001E-2</v>
      </c>
      <c r="AA2546">
        <v>0.93596539999999995</v>
      </c>
      <c r="AB2546">
        <v>21</v>
      </c>
      <c r="AC2546">
        <v>2.0731000000000099</v>
      </c>
      <c r="AD2546">
        <v>-1.1063123109769999</v>
      </c>
      <c r="AE2546">
        <v>-16.369800000000001</v>
      </c>
      <c r="AF2546">
        <v>-5.7671509117707602</v>
      </c>
      <c r="AG2546">
        <v>-1.1063123109769999</v>
      </c>
      <c r="AH2546">
        <v>15.381047413363699</v>
      </c>
      <c r="AI2546">
        <v>93.852960633750797</v>
      </c>
      <c r="AJ2546">
        <v>110.553622364151</v>
      </c>
      <c r="AK2546">
        <v>16.463917398380602</v>
      </c>
    </row>
    <row r="2547" spans="1:37" x14ac:dyDescent="0.2">
      <c r="A2547" t="str">
        <f>"20200111153658588"</f>
        <v>20200111153658588</v>
      </c>
      <c r="B2547" t="str">
        <f>"1578728218585260"</f>
        <v>1578728218585260</v>
      </c>
      <c r="C2547" t="s">
        <v>37</v>
      </c>
      <c r="D2547">
        <v>5.8043490000000002</v>
      </c>
      <c r="E2547">
        <v>0.52107380000000003</v>
      </c>
      <c r="F2547" t="s">
        <v>39</v>
      </c>
      <c r="G2547">
        <v>-488.38749999999999</v>
      </c>
      <c r="H2547" s="1">
        <v>-2.345467E-6</v>
      </c>
      <c r="I2547">
        <v>244.43340000000001</v>
      </c>
      <c r="J2547">
        <v>-490.3972</v>
      </c>
      <c r="K2547">
        <v>1.1063149999999999</v>
      </c>
      <c r="L2547">
        <v>260.55309999999997</v>
      </c>
      <c r="M2547">
        <v>-0.22863049999999999</v>
      </c>
      <c r="N2547">
        <v>0</v>
      </c>
      <c r="O2547">
        <v>-0.97346449999999995</v>
      </c>
      <c r="P2547">
        <v>3.7670370000000002E-2</v>
      </c>
      <c r="Q2547">
        <v>6.2003129999999997E-2</v>
      </c>
      <c r="R2547">
        <v>-0.99736519999999995</v>
      </c>
      <c r="S2547">
        <v>0.3665466</v>
      </c>
      <c r="T2547">
        <v>-0.2047204</v>
      </c>
      <c r="U2547">
        <v>-3.007263</v>
      </c>
      <c r="V2547">
        <v>-0.26501639999999999</v>
      </c>
      <c r="W2547">
        <v>7.0248229999999995E-2</v>
      </c>
      <c r="X2547">
        <v>0.96168159999999903</v>
      </c>
      <c r="Y2547">
        <v>-0.34448640000000003</v>
      </c>
      <c r="Z2547">
        <v>6.289749E-2</v>
      </c>
      <c r="AA2547">
        <v>0.93668189999999996</v>
      </c>
      <c r="AB2547">
        <v>21</v>
      </c>
      <c r="AC2547">
        <v>2.0097</v>
      </c>
      <c r="AD2547">
        <v>-1.1063173454669999</v>
      </c>
      <c r="AE2547">
        <v>-16.119699999999899</v>
      </c>
      <c r="AF2547">
        <v>-5.6160463758914396</v>
      </c>
      <c r="AG2547">
        <v>-1.1063173454669999</v>
      </c>
      <c r="AH2547">
        <v>15.162872252468</v>
      </c>
      <c r="AI2547">
        <v>93.914078172460293</v>
      </c>
      <c r="AJ2547">
        <v>110.32369428620299</v>
      </c>
      <c r="AK2547">
        <v>16.207301129728801</v>
      </c>
    </row>
    <row r="2548" spans="1:37" x14ac:dyDescent="0.2">
      <c r="A2548" t="str">
        <f>"20200111153658606"</f>
        <v>20200111153658606</v>
      </c>
      <c r="B2548" t="str">
        <f>"1578728218595019"</f>
        <v>1578728218595019</v>
      </c>
      <c r="C2548" t="s">
        <v>37</v>
      </c>
      <c r="D2548">
        <v>5.8236140000000001</v>
      </c>
      <c r="E2548">
        <v>0.52271319999999999</v>
      </c>
      <c r="F2548" t="s">
        <v>39</v>
      </c>
      <c r="G2548">
        <v>-490.86130000000003</v>
      </c>
      <c r="H2548" s="1">
        <v>-4.346331E-6</v>
      </c>
      <c r="I2548">
        <v>239.30969999999999</v>
      </c>
      <c r="J2548">
        <v>-490.43279999999999</v>
      </c>
      <c r="K2548">
        <v>1.1063179999999999</v>
      </c>
      <c r="L2548">
        <v>260.38830000000002</v>
      </c>
      <c r="M2548">
        <v>-0.22609969999999999</v>
      </c>
      <c r="N2548">
        <v>0</v>
      </c>
      <c r="O2548">
        <v>-0.97405549999999996</v>
      </c>
      <c r="P2548">
        <v>3.9107499999999899E-2</v>
      </c>
      <c r="Q2548">
        <v>6.2183559999999999E-2</v>
      </c>
      <c r="R2548">
        <v>-0.99729840000000003</v>
      </c>
      <c r="S2548">
        <v>-6.5978999999999996E-2</v>
      </c>
      <c r="T2548">
        <v>-0.15728529999999999</v>
      </c>
      <c r="U2548">
        <v>-3.0201720000000001</v>
      </c>
      <c r="V2548">
        <v>-0.26390089999999999</v>
      </c>
      <c r="W2548">
        <v>7.0422780000000004E-2</v>
      </c>
      <c r="X2548">
        <v>0.96197549999999898</v>
      </c>
      <c r="Y2548">
        <v>-0.2048053</v>
      </c>
      <c r="Z2548">
        <v>4.9432990000000003E-2</v>
      </c>
      <c r="AA2548">
        <v>0.97755369999999997</v>
      </c>
      <c r="AB2548">
        <v>21</v>
      </c>
      <c r="AC2548">
        <v>-0.42850000000004201</v>
      </c>
      <c r="AD2548">
        <v>-1.1063223463309999</v>
      </c>
      <c r="AE2548">
        <v>-21.078600000000002</v>
      </c>
      <c r="AF2548">
        <v>-4.3367468521751897</v>
      </c>
      <c r="AG2548">
        <v>-1.1063223463309999</v>
      </c>
      <c r="AH2548">
        <v>20.572938353010102</v>
      </c>
      <c r="AI2548">
        <v>93.012081525008597</v>
      </c>
      <c r="AJ2548">
        <v>101.903596520463</v>
      </c>
      <c r="AK2548">
        <v>21.054147213093199</v>
      </c>
    </row>
    <row r="2549" spans="1:37" x14ac:dyDescent="0.2">
      <c r="A2549" t="str">
        <f>"20200111153658628"</f>
        <v>20200111153658628</v>
      </c>
      <c r="B2549" t="str">
        <f>"1578728218625276"</f>
        <v>1578728218625276</v>
      </c>
      <c r="C2549" t="s">
        <v>37</v>
      </c>
      <c r="D2549">
        <v>5.7488409999999996</v>
      </c>
      <c r="E2549">
        <v>0.52470340000000004</v>
      </c>
      <c r="F2549" t="s">
        <v>39</v>
      </c>
      <c r="G2549">
        <v>-490.94819999999999</v>
      </c>
      <c r="H2549" s="1">
        <v>-4.4287279999999902E-6</v>
      </c>
      <c r="I2549">
        <v>239.50659999999999</v>
      </c>
      <c r="J2549">
        <v>-490.47539999999998</v>
      </c>
      <c r="K2549">
        <v>1.1063209999999899</v>
      </c>
      <c r="L2549">
        <v>260.1891</v>
      </c>
      <c r="M2549">
        <v>-0.22304070000000001</v>
      </c>
      <c r="N2549">
        <v>0</v>
      </c>
      <c r="O2549">
        <v>-0.97476070000000004</v>
      </c>
      <c r="P2549">
        <v>4.064628E-2</v>
      </c>
      <c r="Q2549">
        <v>6.1813189999999997E-2</v>
      </c>
      <c r="R2549">
        <v>-0.99726000000000004</v>
      </c>
      <c r="S2549">
        <v>-7.455444E-2</v>
      </c>
      <c r="T2549">
        <v>-0.16005359999999999</v>
      </c>
      <c r="U2549">
        <v>-3.0209959999999998</v>
      </c>
      <c r="V2549">
        <v>-0.2623685</v>
      </c>
      <c r="W2549">
        <v>7.0049410000000006E-2</v>
      </c>
      <c r="X2549">
        <v>0.96242179999999999</v>
      </c>
      <c r="Y2549">
        <v>-0.19896259999999999</v>
      </c>
      <c r="Z2549">
        <v>5.0373229999999998E-2</v>
      </c>
      <c r="AA2549">
        <v>0.97871160000000001</v>
      </c>
      <c r="AB2549">
        <v>21</v>
      </c>
      <c r="AC2549">
        <v>-0.47280000000000599</v>
      </c>
      <c r="AD2549">
        <v>-1.106325428728</v>
      </c>
      <c r="AE2549">
        <v>-20.682500000000001</v>
      </c>
      <c r="AF2549">
        <v>-4.1405274615314598</v>
      </c>
      <c r="AG2549">
        <v>-1.106325428728</v>
      </c>
      <c r="AH2549">
        <v>20.209105060936199</v>
      </c>
      <c r="AI2549">
        <v>93.069823551931293</v>
      </c>
      <c r="AJ2549">
        <v>101.578761910464</v>
      </c>
      <c r="AK2549">
        <v>20.658553942081799</v>
      </c>
    </row>
    <row r="2550" spans="1:37" x14ac:dyDescent="0.2">
      <c r="A2550" t="str">
        <f>"20200111153658643"</f>
        <v>20200111153658643</v>
      </c>
      <c r="B2550" t="str">
        <f>"1578728218635036"</f>
        <v>1578728218635036</v>
      </c>
      <c r="C2550" t="s">
        <v>37</v>
      </c>
      <c r="D2550">
        <v>5.991206</v>
      </c>
      <c r="E2550">
        <v>0.52389220000000003</v>
      </c>
      <c r="F2550" t="s">
        <v>39</v>
      </c>
      <c r="G2550">
        <v>-491.07339999999999</v>
      </c>
      <c r="H2550" s="1">
        <v>-4.2959169999999996E-6</v>
      </c>
      <c r="I2550">
        <v>239.05099999999999</v>
      </c>
      <c r="J2550">
        <v>-490.50479999999999</v>
      </c>
      <c r="K2550">
        <v>1.106325</v>
      </c>
      <c r="L2550">
        <v>260.04969999999997</v>
      </c>
      <c r="M2550">
        <v>-0.22090109999999999</v>
      </c>
      <c r="N2550">
        <v>0</v>
      </c>
      <c r="O2550">
        <v>-0.9752478</v>
      </c>
      <c r="P2550">
        <v>4.1825170000000002E-2</v>
      </c>
      <c r="Q2550">
        <v>6.1960920000000003E-2</v>
      </c>
      <c r="R2550">
        <v>-0.99720219999999904</v>
      </c>
      <c r="S2550">
        <v>-8.5479739999999999E-2</v>
      </c>
      <c r="T2550">
        <v>-0.158142</v>
      </c>
      <c r="U2550">
        <v>-3.0215450000000001</v>
      </c>
      <c r="V2550">
        <v>-0.26139279999999998</v>
      </c>
      <c r="W2550">
        <v>7.0194950000000006E-2</v>
      </c>
      <c r="X2550">
        <v>0.96267669999999905</v>
      </c>
      <c r="Y2550">
        <v>-0.19327620000000001</v>
      </c>
      <c r="Z2550">
        <v>4.9829949999999998E-2</v>
      </c>
      <c r="AA2550">
        <v>0.97987819999999903</v>
      </c>
      <c r="AB2550">
        <v>21</v>
      </c>
      <c r="AC2550">
        <v>-0.56860000000000299</v>
      </c>
      <c r="AD2550">
        <v>-1.1063292959169999</v>
      </c>
      <c r="AE2550">
        <v>-20.9986999999999</v>
      </c>
      <c r="AF2550">
        <v>-4.07300542310207</v>
      </c>
      <c r="AG2550">
        <v>-1.1063292959169999</v>
      </c>
      <c r="AH2550">
        <v>20.5485170460374</v>
      </c>
      <c r="AI2550">
        <v>93.023118344936904</v>
      </c>
      <c r="AJ2550">
        <v>101.211508749572</v>
      </c>
      <c r="AK2550">
        <v>20.977485323053301</v>
      </c>
    </row>
    <row r="2551" spans="1:37" x14ac:dyDescent="0.2">
      <c r="A2551" t="str">
        <f>"20200111153658662"</f>
        <v>20200111153658662</v>
      </c>
      <c r="B2551" t="str">
        <f>"1578728218655532"</f>
        <v>1578728218655532</v>
      </c>
      <c r="C2551" t="s">
        <v>37</v>
      </c>
      <c r="D2551">
        <v>5.759538</v>
      </c>
      <c r="E2551">
        <v>0.5228062</v>
      </c>
      <c r="F2551" t="s">
        <v>39</v>
      </c>
      <c r="G2551">
        <v>-491.03570000000002</v>
      </c>
      <c r="H2551" s="1">
        <v>-4.1516359999999902E-6</v>
      </c>
      <c r="I2551">
        <v>238.64670000000001</v>
      </c>
      <c r="J2551">
        <v>-490.53890000000001</v>
      </c>
      <c r="K2551">
        <v>1.1063270000000001</v>
      </c>
      <c r="L2551">
        <v>259.88589999999999</v>
      </c>
      <c r="M2551">
        <v>-0.21838679999999999</v>
      </c>
      <c r="N2551">
        <v>0</v>
      </c>
      <c r="O2551">
        <v>-0.97581419999999996</v>
      </c>
      <c r="P2551">
        <v>4.2018380000000001E-2</v>
      </c>
      <c r="Q2551">
        <v>6.1076909999999998E-2</v>
      </c>
      <c r="R2551">
        <v>-0.99724880000000005</v>
      </c>
      <c r="S2551">
        <v>-7.4951169999999998E-2</v>
      </c>
      <c r="T2551">
        <v>-0.156169</v>
      </c>
      <c r="U2551">
        <v>-3.0212400000000001</v>
      </c>
      <c r="V2551">
        <v>-0.25910499999999997</v>
      </c>
      <c r="W2551">
        <v>6.9318270000000001E-2</v>
      </c>
      <c r="X2551">
        <v>0.96335849999999901</v>
      </c>
      <c r="Y2551">
        <v>-0.1941561</v>
      </c>
      <c r="Z2551">
        <v>4.925612E-2</v>
      </c>
      <c r="AA2551">
        <v>0.97973319999999997</v>
      </c>
      <c r="AB2551">
        <v>21</v>
      </c>
      <c r="AC2551">
        <v>-0.49680000000000701</v>
      </c>
      <c r="AD2551">
        <v>-1.1063311516359999</v>
      </c>
      <c r="AE2551">
        <v>-21.239199999999901</v>
      </c>
      <c r="AF2551">
        <v>-4.1425376520755099</v>
      </c>
      <c r="AG2551">
        <v>-1.1063311516359999</v>
      </c>
      <c r="AH2551">
        <v>20.778637900769802</v>
      </c>
      <c r="AI2551">
        <v>92.989046895101296</v>
      </c>
      <c r="AJ2551">
        <v>101.274956677725</v>
      </c>
      <c r="AK2551">
        <v>21.216417695436899</v>
      </c>
    </row>
    <row r="2552" spans="1:37" x14ac:dyDescent="0.2">
      <c r="A2552" t="str">
        <f>"20200111153658676"</f>
        <v>20200111153658676</v>
      </c>
      <c r="B2552" t="str">
        <f>"1578728218665292"</f>
        <v>1578728218665292</v>
      </c>
      <c r="C2552" t="s">
        <v>37</v>
      </c>
      <c r="D2552">
        <v>5.992807</v>
      </c>
      <c r="E2552">
        <v>0.52238899999999999</v>
      </c>
      <c r="F2552" t="s">
        <v>39</v>
      </c>
      <c r="G2552">
        <v>-491.00299999999999</v>
      </c>
      <c r="H2552" s="1">
        <v>-4.189297E-6</v>
      </c>
      <c r="I2552">
        <v>238.77440000000001</v>
      </c>
      <c r="J2552">
        <v>-490.56610000000001</v>
      </c>
      <c r="K2552">
        <v>1.106328</v>
      </c>
      <c r="L2552">
        <v>259.75330000000002</v>
      </c>
      <c r="M2552">
        <v>-0.2163514</v>
      </c>
      <c r="N2552">
        <v>0</v>
      </c>
      <c r="O2552">
        <v>-0.97626729999999995</v>
      </c>
      <c r="P2552">
        <v>4.2988619999999998E-2</v>
      </c>
      <c r="Q2552">
        <v>6.0768559999999999E-2</v>
      </c>
      <c r="R2552">
        <v>-0.99722579999999905</v>
      </c>
      <c r="S2552">
        <v>-6.640625E-2</v>
      </c>
      <c r="T2552">
        <v>-0.1583022</v>
      </c>
      <c r="U2552">
        <v>-3.0207820000000001</v>
      </c>
      <c r="V2552">
        <v>-0.25803589999999998</v>
      </c>
      <c r="W2552">
        <v>6.901003E-2</v>
      </c>
      <c r="X2552">
        <v>0.96366749999999901</v>
      </c>
      <c r="Y2552">
        <v>-0.1948773</v>
      </c>
      <c r="Z2552">
        <v>4.9967900000000003E-2</v>
      </c>
      <c r="AA2552">
        <v>0.97955400000000004</v>
      </c>
      <c r="AB2552">
        <v>21</v>
      </c>
      <c r="AC2552">
        <v>-0.43690000000003598</v>
      </c>
      <c r="AD2552">
        <v>-1.1063321892969999</v>
      </c>
      <c r="AE2552">
        <v>-20.978899999999999</v>
      </c>
      <c r="AF2552">
        <v>-4.1010766945244699</v>
      </c>
      <c r="AG2552">
        <v>-1.1063321892969999</v>
      </c>
      <c r="AH2552">
        <v>20.519466964577301</v>
      </c>
      <c r="AI2552">
        <v>93.026444579177706</v>
      </c>
      <c r="AJ2552">
        <v>101.302369806182</v>
      </c>
      <c r="AK2552">
        <v>20.9545060900472</v>
      </c>
    </row>
    <row r="2553" spans="1:37" x14ac:dyDescent="0.2">
      <c r="A2553" t="str">
        <f>"20200111153658689"</f>
        <v>20200111153658689</v>
      </c>
      <c r="B2553" t="str">
        <f>"1578728218675052"</f>
        <v>1578728218675052</v>
      </c>
      <c r="C2553" t="s">
        <v>37</v>
      </c>
      <c r="D2553">
        <v>5.7967370000000003</v>
      </c>
      <c r="E2553">
        <v>0.52216739999999995</v>
      </c>
      <c r="F2553" t="s">
        <v>39</v>
      </c>
      <c r="G2553">
        <v>-490.98329999999999</v>
      </c>
      <c r="H2553" s="1">
        <v>-4.1885840000000004E-6</v>
      </c>
      <c r="I2553">
        <v>238.7826</v>
      </c>
      <c r="J2553">
        <v>-490.59</v>
      </c>
      <c r="K2553">
        <v>1.1063270000000001</v>
      </c>
      <c r="L2553">
        <v>259.635999999999</v>
      </c>
      <c r="M2553">
        <v>-0.21455109999999999</v>
      </c>
      <c r="N2553">
        <v>0</v>
      </c>
      <c r="O2553">
        <v>-0.97666450000000005</v>
      </c>
      <c r="P2553">
        <v>4.4236339999999999E-2</v>
      </c>
      <c r="Q2553">
        <v>6.0352490000000002E-2</v>
      </c>
      <c r="R2553">
        <v>-0.99719669999999905</v>
      </c>
      <c r="S2553">
        <v>-6.0089110000000001E-2</v>
      </c>
      <c r="T2553">
        <v>-0.15935669999999999</v>
      </c>
      <c r="U2553">
        <v>-3.0206300000000001</v>
      </c>
      <c r="V2553">
        <v>-0.2574689</v>
      </c>
      <c r="W2553">
        <v>6.859237E-2</v>
      </c>
      <c r="X2553">
        <v>0.96384899999999996</v>
      </c>
      <c r="Y2553">
        <v>-0.19511589999999901</v>
      </c>
      <c r="Z2553">
        <v>5.0333429999999998E-2</v>
      </c>
      <c r="AA2553">
        <v>0.97948780000000002</v>
      </c>
      <c r="AB2553">
        <v>21</v>
      </c>
      <c r="AC2553">
        <v>-0.39330000000000997</v>
      </c>
      <c r="AD2553">
        <v>-1.1063311885839999</v>
      </c>
      <c r="AE2553">
        <v>-20.853399999999901</v>
      </c>
      <c r="AF2553">
        <v>-4.0787147116600799</v>
      </c>
      <c r="AG2553">
        <v>-1.1063311885839999</v>
      </c>
      <c r="AH2553">
        <v>20.394739959136999</v>
      </c>
      <c r="AI2553">
        <v>93.044842252315902</v>
      </c>
      <c r="AJ2553">
        <v>101.309302315381</v>
      </c>
      <c r="AK2553">
        <v>20.827993191826401</v>
      </c>
    </row>
    <row r="2554" spans="1:37" x14ac:dyDescent="0.2">
      <c r="A2554" t="str">
        <f>"20200111153658706"</f>
        <v>20200111153658706</v>
      </c>
      <c r="B2554" t="str">
        <f>"1578728218695547"</f>
        <v>1578728218695547</v>
      </c>
      <c r="C2554" t="s">
        <v>37</v>
      </c>
      <c r="D2554">
        <v>5.741962</v>
      </c>
      <c r="E2554">
        <v>0.52184209999999998</v>
      </c>
      <c r="F2554" t="s">
        <v>39</v>
      </c>
      <c r="G2554">
        <v>-490.96379999999999</v>
      </c>
      <c r="H2554" s="1">
        <v>-4.1794339999999998E-6</v>
      </c>
      <c r="I2554">
        <v>238.76589999999999</v>
      </c>
      <c r="J2554">
        <v>-490.62209999999999</v>
      </c>
      <c r="K2554">
        <v>1.1063270000000001</v>
      </c>
      <c r="L2554">
        <v>259.47669999999999</v>
      </c>
      <c r="M2554">
        <v>-0.21210619999999999</v>
      </c>
      <c r="N2554">
        <v>0</v>
      </c>
      <c r="O2554">
        <v>-0.97719849999999997</v>
      </c>
      <c r="P2554">
        <v>4.5016199999999999E-2</v>
      </c>
      <c r="Q2554">
        <v>5.915455E-2</v>
      </c>
      <c r="R2554">
        <v>-0.997233499999999</v>
      </c>
      <c r="S2554">
        <v>-5.4107669999999997E-2</v>
      </c>
      <c r="T2554">
        <v>-0.1601195</v>
      </c>
      <c r="U2554">
        <v>-3.0205380000000002</v>
      </c>
      <c r="V2554">
        <v>-0.25581969999999998</v>
      </c>
      <c r="W2554">
        <v>6.7399230000000004E-2</v>
      </c>
      <c r="X2554">
        <v>0.96437220000000001</v>
      </c>
      <c r="Y2554">
        <v>-0.19459989999999999</v>
      </c>
      <c r="Z2554">
        <v>5.0621050000000001E-2</v>
      </c>
      <c r="AA2554">
        <v>0.97957559999999999</v>
      </c>
      <c r="AB2554">
        <v>21</v>
      </c>
      <c r="AC2554">
        <v>-0.341700000000003</v>
      </c>
      <c r="AD2554">
        <v>-1.1063311794340001</v>
      </c>
      <c r="AE2554">
        <v>-20.710799999999999</v>
      </c>
      <c r="AF2554">
        <v>-4.0476245312470001</v>
      </c>
      <c r="AG2554">
        <v>-1.1063311794340001</v>
      </c>
      <c r="AH2554">
        <v>20.254215092828801</v>
      </c>
      <c r="AI2554">
        <v>93.066014093890701</v>
      </c>
      <c r="AJ2554">
        <v>101.301177820841</v>
      </c>
      <c r="AK2554">
        <v>20.684304727283301</v>
      </c>
    </row>
    <row r="2555" spans="1:37" x14ac:dyDescent="0.2">
      <c r="A2555" t="str">
        <f>"20200111153658719"</f>
        <v>20200111153658719</v>
      </c>
      <c r="B2555" t="str">
        <f>"1578728218715069"</f>
        <v>1578728218715069</v>
      </c>
      <c r="C2555" t="s">
        <v>37</v>
      </c>
      <c r="D2555">
        <v>5.775671</v>
      </c>
      <c r="E2555">
        <v>0.52166179999999995</v>
      </c>
      <c r="F2555" t="s">
        <v>39</v>
      </c>
      <c r="G2555">
        <v>-490.95310000000001</v>
      </c>
      <c r="H2555" s="1">
        <v>-4.3479849999999902E-6</v>
      </c>
      <c r="I2555">
        <v>239.26669999999999</v>
      </c>
      <c r="J2555">
        <v>-490.64729999999997</v>
      </c>
      <c r="K2555">
        <v>1.106328</v>
      </c>
      <c r="L2555">
        <v>259.35019999999997</v>
      </c>
      <c r="M2555">
        <v>-0.21016560000000001</v>
      </c>
      <c r="N2555">
        <v>0</v>
      </c>
      <c r="O2555">
        <v>-0.97761769999999903</v>
      </c>
      <c r="P2555">
        <v>4.6263060000000002E-2</v>
      </c>
      <c r="Q2555">
        <v>5.889954E-2</v>
      </c>
      <c r="R2555">
        <v>-0.99719139999999995</v>
      </c>
      <c r="S2555">
        <v>-4.9468989999999997E-2</v>
      </c>
      <c r="T2555">
        <v>-0.1653404</v>
      </c>
      <c r="U2555">
        <v>-3.0203549999999999</v>
      </c>
      <c r="V2555">
        <v>-0.25511299999999998</v>
      </c>
      <c r="W2555">
        <v>6.7143729999999999E-2</v>
      </c>
      <c r="X2555">
        <v>0.96457709999999997</v>
      </c>
      <c r="Y2555">
        <v>-0.19415669999999999</v>
      </c>
      <c r="Z2555">
        <v>5.2307279999999998E-2</v>
      </c>
      <c r="AA2555">
        <v>0.97957499999999997</v>
      </c>
      <c r="AB2555">
        <v>21</v>
      </c>
      <c r="AC2555">
        <v>-0.30580000000003299</v>
      </c>
      <c r="AD2555">
        <v>-1.106332347985</v>
      </c>
      <c r="AE2555">
        <v>-20.083499999999901</v>
      </c>
      <c r="AF2555">
        <v>-3.9102268047696298</v>
      </c>
      <c r="AG2555">
        <v>-1.106332347985</v>
      </c>
      <c r="AH2555">
        <v>19.6395968588918</v>
      </c>
      <c r="AI2555">
        <v>93.162225298233906</v>
      </c>
      <c r="AJ2555">
        <v>101.260293509934</v>
      </c>
      <c r="AK2555">
        <v>20.055612922788701</v>
      </c>
    </row>
    <row r="2556" spans="1:37" x14ac:dyDescent="0.2">
      <c r="A2556" t="str">
        <f>"20200111153658734"</f>
        <v>20200111153658734</v>
      </c>
      <c r="B2556" t="str">
        <f>"1578728218725803"</f>
        <v>1578728218725803</v>
      </c>
      <c r="C2556" t="s">
        <v>37</v>
      </c>
      <c r="D2556">
        <v>5.7457349999999998</v>
      </c>
      <c r="E2556">
        <v>0.52130149999999997</v>
      </c>
      <c r="F2556" t="s">
        <v>39</v>
      </c>
      <c r="G2556">
        <v>-490.94420000000002</v>
      </c>
      <c r="H2556" s="1">
        <v>-4.3590629999999999E-6</v>
      </c>
      <c r="I2556">
        <v>239.3039</v>
      </c>
      <c r="J2556">
        <v>-490.6746</v>
      </c>
      <c r="K2556">
        <v>1.106325</v>
      </c>
      <c r="L2556">
        <v>259.21140000000003</v>
      </c>
      <c r="M2556">
        <v>-0.20803669999999999</v>
      </c>
      <c r="N2556">
        <v>0</v>
      </c>
      <c r="O2556">
        <v>-0.97807289999999902</v>
      </c>
      <c r="P2556">
        <v>4.7426019999999999E-2</v>
      </c>
      <c r="Q2556">
        <v>5.8623689999999999E-2</v>
      </c>
      <c r="R2556">
        <v>-0.99715290000000001</v>
      </c>
      <c r="S2556">
        <v>-4.4738769999999997E-2</v>
      </c>
      <c r="T2556">
        <v>-0.1666898</v>
      </c>
      <c r="U2556">
        <v>-3.0203549999999999</v>
      </c>
      <c r="V2556">
        <v>-0.25414029999999999</v>
      </c>
      <c r="W2556">
        <v>6.6868739999999996E-2</v>
      </c>
      <c r="X2556">
        <v>0.96485299999999996</v>
      </c>
      <c r="Y2556">
        <v>-0.193555</v>
      </c>
      <c r="Z2556">
        <v>5.277428E-2</v>
      </c>
      <c r="AA2556">
        <v>0.97966900000000001</v>
      </c>
      <c r="AB2556">
        <v>21</v>
      </c>
      <c r="AC2556">
        <v>-0.26960000000002499</v>
      </c>
      <c r="AD2556">
        <v>-1.1063293590629999</v>
      </c>
      <c r="AE2556">
        <v>-19.907499999999999</v>
      </c>
      <c r="AF2556">
        <v>-3.8660469186641402</v>
      </c>
      <c r="AG2556">
        <v>-1.1063293590629999</v>
      </c>
      <c r="AH2556">
        <v>19.467878263351999</v>
      </c>
      <c r="AI2556">
        <v>93.190364619474906</v>
      </c>
      <c r="AJ2556">
        <v>101.232007842256</v>
      </c>
      <c r="AK2556">
        <v>19.878847237823699</v>
      </c>
    </row>
    <row r="2557" spans="1:37" x14ac:dyDescent="0.2">
      <c r="A2557" t="str">
        <f>"20200111153658750"</f>
        <v>20200111153658750</v>
      </c>
      <c r="B2557" t="str">
        <f>"1578728218745324"</f>
        <v>1578728218745324</v>
      </c>
      <c r="C2557" t="s">
        <v>37</v>
      </c>
      <c r="D2557">
        <v>5.8007839999999904</v>
      </c>
      <c r="E2557">
        <v>0.52086549999999998</v>
      </c>
      <c r="F2557" t="s">
        <v>39</v>
      </c>
      <c r="G2557">
        <v>-490.92680000000001</v>
      </c>
      <c r="H2557" s="1">
        <v>-4.3671519999999998E-6</v>
      </c>
      <c r="I2557">
        <v>239.33680000000001</v>
      </c>
      <c r="J2557">
        <v>-490.70179999999999</v>
      </c>
      <c r="K2557">
        <v>1.1063259999999999</v>
      </c>
      <c r="L2557">
        <v>259.07159999999999</v>
      </c>
      <c r="M2557">
        <v>-0.20589179999999899</v>
      </c>
      <c r="N2557">
        <v>0</v>
      </c>
      <c r="O2557">
        <v>-0.97852680000000003</v>
      </c>
      <c r="P2557">
        <v>4.8082479999999997E-2</v>
      </c>
      <c r="Q2557">
        <v>5.842783E-2</v>
      </c>
      <c r="R2557">
        <v>-0.99713339999999995</v>
      </c>
      <c r="S2557">
        <v>-3.8330080000000002E-2</v>
      </c>
      <c r="T2557">
        <v>-0.16812569999999999</v>
      </c>
      <c r="U2557">
        <v>-3.0202939999999998</v>
      </c>
      <c r="V2557">
        <v>-0.25266079999999902</v>
      </c>
      <c r="W2557">
        <v>6.6678909999999994E-2</v>
      </c>
      <c r="X2557">
        <v>0.96525459999999996</v>
      </c>
      <c r="Y2557">
        <v>-0.193482399999999</v>
      </c>
      <c r="Z2557">
        <v>5.3267410000000001E-2</v>
      </c>
      <c r="AA2557">
        <v>0.97965659999999899</v>
      </c>
      <c r="AB2557">
        <v>21</v>
      </c>
      <c r="AC2557">
        <v>-0.22500000000002199</v>
      </c>
      <c r="AD2557">
        <v>-1.1063303671519999</v>
      </c>
      <c r="AE2557">
        <v>-19.7347999999999</v>
      </c>
      <c r="AF2557">
        <v>-3.8312065450009198</v>
      </c>
      <c r="AG2557">
        <v>-1.1063303671519999</v>
      </c>
      <c r="AH2557">
        <v>19.297625987423601</v>
      </c>
      <c r="AI2557">
        <v>93.218488221680403</v>
      </c>
      <c r="AJ2557">
        <v>101.229063807605</v>
      </c>
      <c r="AK2557">
        <v>19.7053413881167</v>
      </c>
    </row>
    <row r="2558" spans="1:37" x14ac:dyDescent="0.2">
      <c r="A2558" t="str">
        <f>"20200111153658764"</f>
        <v>20200111153658764</v>
      </c>
      <c r="B2558" t="str">
        <f>"1578728218755084"</f>
        <v>1578728218755084</v>
      </c>
      <c r="C2558" t="s">
        <v>37</v>
      </c>
      <c r="D2558">
        <v>5.7959889999999996</v>
      </c>
      <c r="E2558">
        <v>0.52079209999999998</v>
      </c>
      <c r="F2558" t="s">
        <v>39</v>
      </c>
      <c r="G2558">
        <v>-490.91559999999998</v>
      </c>
      <c r="H2558" s="1">
        <v>-4.3858030000000003E-6</v>
      </c>
      <c r="I2558">
        <v>239.3974</v>
      </c>
      <c r="J2558">
        <v>-490.7276</v>
      </c>
      <c r="K2558">
        <v>1.10633</v>
      </c>
      <c r="L2558">
        <v>258.93729999999999</v>
      </c>
      <c r="M2558">
        <v>-0.20383189999999901</v>
      </c>
      <c r="N2558">
        <v>0</v>
      </c>
      <c r="O2558">
        <v>-0.97895779999999999</v>
      </c>
      <c r="P2558">
        <v>4.941537E-2</v>
      </c>
      <c r="Q2558">
        <v>5.8613829999999999E-2</v>
      </c>
      <c r="R2558">
        <v>-0.99705719999999998</v>
      </c>
      <c r="S2558">
        <v>-3.2836909999999997E-2</v>
      </c>
      <c r="T2558">
        <v>-0.1698335</v>
      </c>
      <c r="U2558">
        <v>-3.020203</v>
      </c>
      <c r="V2558">
        <v>-0.2519189</v>
      </c>
      <c r="W2558">
        <v>6.686541E-2</v>
      </c>
      <c r="X2558">
        <v>0.96543559999999995</v>
      </c>
      <c r="Y2558">
        <v>-0.19319900000000001</v>
      </c>
      <c r="Z2558">
        <v>5.384676E-2</v>
      </c>
      <c r="AA2558">
        <v>0.97968089999999997</v>
      </c>
      <c r="AB2558">
        <v>21</v>
      </c>
      <c r="AC2558">
        <v>-0.18799999999998801</v>
      </c>
      <c r="AD2558">
        <v>-1.1063343858029999</v>
      </c>
      <c r="AE2558">
        <v>-19.5398999999999</v>
      </c>
      <c r="AF2558">
        <v>-3.7868512468265001</v>
      </c>
      <c r="AG2558">
        <v>-1.1063343858029999</v>
      </c>
      <c r="AH2558">
        <v>19.106715106076301</v>
      </c>
      <c r="AI2558">
        <v>93.2507990347885</v>
      </c>
      <c r="AJ2558">
        <v>101.210444826897</v>
      </c>
      <c r="AK2558">
        <v>19.509761153934399</v>
      </c>
    </row>
    <row r="2559" spans="1:37" x14ac:dyDescent="0.2">
      <c r="A2559" t="str">
        <f>"20200111153658778"</f>
        <v>20200111153658778</v>
      </c>
      <c r="B2559" t="str">
        <f>"1578728218765820"</f>
        <v>1578728218765820</v>
      </c>
      <c r="C2559" t="s">
        <v>37</v>
      </c>
      <c r="D2559">
        <v>5.7771140000000001</v>
      </c>
      <c r="E2559">
        <v>0.52088559999999995</v>
      </c>
      <c r="F2559" t="s">
        <v>39</v>
      </c>
      <c r="G2559">
        <v>-490.91469999999998</v>
      </c>
      <c r="H2559" s="1">
        <v>-4.327084E-6</v>
      </c>
      <c r="I2559">
        <v>239.22540000000001</v>
      </c>
      <c r="J2559">
        <v>-490.75220000000002</v>
      </c>
      <c r="K2559">
        <v>1.106333</v>
      </c>
      <c r="L2559">
        <v>258.80860000000001</v>
      </c>
      <c r="M2559">
        <v>-0.20185719999999999</v>
      </c>
      <c r="N2559">
        <v>0</v>
      </c>
      <c r="O2559">
        <v>-0.97936699999999999</v>
      </c>
      <c r="P2559">
        <v>5.086048E-2</v>
      </c>
      <c r="Q2559">
        <v>5.8602290000000001E-2</v>
      </c>
      <c r="R2559">
        <v>-0.99698529999999996</v>
      </c>
      <c r="S2559">
        <v>-2.8656009999999999E-2</v>
      </c>
      <c r="T2559">
        <v>-0.16951140000000001</v>
      </c>
      <c r="U2559">
        <v>-3.020248</v>
      </c>
      <c r="V2559">
        <v>-0.25137120000000002</v>
      </c>
      <c r="W2559">
        <v>6.6853029999999994E-2</v>
      </c>
      <c r="X2559">
        <v>0.96557919999999997</v>
      </c>
      <c r="Y2559">
        <v>-0.19257639999999901</v>
      </c>
      <c r="Z2559">
        <v>5.3782209999999997E-2</v>
      </c>
      <c r="AA2559">
        <v>0.97980699999999998</v>
      </c>
      <c r="AB2559">
        <v>21</v>
      </c>
      <c r="AC2559">
        <v>-0.16249999999996501</v>
      </c>
      <c r="AD2559">
        <v>-1.106337327084</v>
      </c>
      <c r="AE2559">
        <v>-19.583200000000001</v>
      </c>
      <c r="AF2559">
        <v>-3.7819713203318499</v>
      </c>
      <c r="AG2559">
        <v>-1.106337327084</v>
      </c>
      <c r="AH2559">
        <v>19.151723832454</v>
      </c>
      <c r="AI2559">
        <v>93.243628222218902</v>
      </c>
      <c r="AJ2559">
        <v>101.170713446013</v>
      </c>
      <c r="AK2559">
        <v>19.552897869719899</v>
      </c>
    </row>
    <row r="2560" spans="1:37" x14ac:dyDescent="0.2">
      <c r="A2560" t="str">
        <f>"20200111153658796"</f>
        <v>20200111153658796</v>
      </c>
      <c r="B2560" t="str">
        <f>"1578728218785343"</f>
        <v>1578728218785343</v>
      </c>
      <c r="C2560" t="s">
        <v>37</v>
      </c>
      <c r="D2560">
        <v>5.7461729999999998</v>
      </c>
      <c r="E2560">
        <v>0.52064120000000003</v>
      </c>
      <c r="F2560" t="s">
        <v>39</v>
      </c>
      <c r="G2560">
        <v>-490.91469999999998</v>
      </c>
      <c r="H2560" s="1">
        <v>-4.3173610000000004E-6</v>
      </c>
      <c r="I2560">
        <v>239.1968</v>
      </c>
      <c r="J2560">
        <v>-490.78269999999998</v>
      </c>
      <c r="K2560">
        <v>1.1063399999999901</v>
      </c>
      <c r="L2560">
        <v>258.64609999999999</v>
      </c>
      <c r="M2560">
        <v>-0.1993674</v>
      </c>
      <c r="N2560">
        <v>0</v>
      </c>
      <c r="O2560">
        <v>-0.97987690000000005</v>
      </c>
      <c r="P2560">
        <v>5.2299749999999999E-2</v>
      </c>
      <c r="Q2560">
        <v>5.8569740000000002E-2</v>
      </c>
      <c r="R2560">
        <v>-0.99691260000000004</v>
      </c>
      <c r="S2560">
        <v>-2.502441E-2</v>
      </c>
      <c r="T2560">
        <v>-0.1703809</v>
      </c>
      <c r="U2560">
        <v>-3.0203090000000001</v>
      </c>
      <c r="V2560">
        <v>-0.25031120000000001</v>
      </c>
      <c r="W2560">
        <v>6.6823069999999998E-2</v>
      </c>
      <c r="X2560">
        <v>0.96585659999999895</v>
      </c>
      <c r="Y2560">
        <v>-0.1912606</v>
      </c>
      <c r="Z2560">
        <v>5.4106609999999999E-2</v>
      </c>
      <c r="AA2560">
        <v>0.98004690000000005</v>
      </c>
      <c r="AB2560">
        <v>21</v>
      </c>
      <c r="AC2560">
        <v>-0.132000000000005</v>
      </c>
      <c r="AD2560">
        <v>-1.1063443173609999</v>
      </c>
      <c r="AE2560">
        <v>-19.449299999999901</v>
      </c>
      <c r="AF2560">
        <v>-3.7362995037526501</v>
      </c>
      <c r="AG2560">
        <v>-1.1063443173609999</v>
      </c>
      <c r="AH2560">
        <v>19.023579973382901</v>
      </c>
      <c r="AI2560">
        <v>93.2661123643569</v>
      </c>
      <c r="AJ2560">
        <v>101.111662670763</v>
      </c>
      <c r="AK2560">
        <v>19.4185613971271</v>
      </c>
    </row>
    <row r="2561" spans="1:37" x14ac:dyDescent="0.2">
      <c r="A2561" t="str">
        <f>"20200111153658817"</f>
        <v>20200111153658817</v>
      </c>
      <c r="B2561" t="str">
        <f>"1578728218804860"</f>
        <v>1578728218804860</v>
      </c>
      <c r="C2561" t="s">
        <v>37</v>
      </c>
      <c r="D2561">
        <v>5.8153600000000001</v>
      </c>
      <c r="E2561">
        <v>0.52056089999999999</v>
      </c>
      <c r="F2561" t="s">
        <v>39</v>
      </c>
      <c r="G2561">
        <v>-490.90460000000002</v>
      </c>
      <c r="H2561" s="1">
        <v>-4.2939539999999999E-6</v>
      </c>
      <c r="I2561">
        <v>239.13329999999999</v>
      </c>
      <c r="J2561">
        <v>-490.81950000000001</v>
      </c>
      <c r="K2561">
        <v>1.1063379999999901</v>
      </c>
      <c r="L2561">
        <v>258.4477</v>
      </c>
      <c r="M2561">
        <v>-0.19633829999999999</v>
      </c>
      <c r="N2561">
        <v>0</v>
      </c>
      <c r="O2561">
        <v>-0.98048829999999998</v>
      </c>
      <c r="P2561">
        <v>5.3671040000000003E-2</v>
      </c>
      <c r="Q2561">
        <v>5.8204289999999999E-2</v>
      </c>
      <c r="R2561">
        <v>-0.99686090000000005</v>
      </c>
      <c r="S2561">
        <v>-1.8859859999999999E-2</v>
      </c>
      <c r="T2561">
        <v>-0.1712484</v>
      </c>
      <c r="U2561">
        <v>-3.02034</v>
      </c>
      <c r="V2561">
        <v>-0.24865689999999999</v>
      </c>
      <c r="W2561">
        <v>6.6467189999999995E-2</v>
      </c>
      <c r="X2561">
        <v>0.96630839999999996</v>
      </c>
      <c r="Y2561">
        <v>-0.1902276</v>
      </c>
      <c r="Z2561">
        <v>5.4438519999999997E-2</v>
      </c>
      <c r="AA2561">
        <v>0.98022949999999998</v>
      </c>
      <c r="AB2561">
        <v>21</v>
      </c>
      <c r="AC2561">
        <v>-8.5100000000011194E-2</v>
      </c>
      <c r="AD2561">
        <v>-1.10634229395399</v>
      </c>
      <c r="AE2561">
        <v>-19.314399999999999</v>
      </c>
      <c r="AF2561">
        <v>-3.6967620351844501</v>
      </c>
      <c r="AG2561">
        <v>-1.10634229395399</v>
      </c>
      <c r="AH2561">
        <v>18.8931534850995</v>
      </c>
      <c r="AI2561">
        <v>93.289060712598697</v>
      </c>
      <c r="AJ2561">
        <v>101.07100721231301</v>
      </c>
      <c r="AK2561">
        <v>19.283186754986801</v>
      </c>
    </row>
    <row r="2562" spans="1:37" x14ac:dyDescent="0.2">
      <c r="A2562" t="str">
        <f>"20200111153658832"</f>
        <v>20200111153658832</v>
      </c>
      <c r="B2562" t="str">
        <f>"1578728218825357"</f>
        <v>1578728218825357</v>
      </c>
      <c r="C2562" t="s">
        <v>37</v>
      </c>
      <c r="D2562">
        <v>5.8166659999999997</v>
      </c>
      <c r="E2562">
        <v>0.5205495</v>
      </c>
      <c r="F2562" t="s">
        <v>39</v>
      </c>
      <c r="G2562">
        <v>-490.9085</v>
      </c>
      <c r="H2562" s="1">
        <v>-4.3336289999999996E-6</v>
      </c>
      <c r="I2562">
        <v>239.24780000000001</v>
      </c>
      <c r="J2562">
        <v>-490.84390000000002</v>
      </c>
      <c r="K2562">
        <v>1.1063379999999901</v>
      </c>
      <c r="L2562">
        <v>258.31349999999998</v>
      </c>
      <c r="M2562">
        <v>-0.19429920000000001</v>
      </c>
      <c r="N2562">
        <v>0</v>
      </c>
      <c r="O2562">
        <v>-0.98089459999999995</v>
      </c>
      <c r="P2562">
        <v>5.5257180000000003E-2</v>
      </c>
      <c r="Q2562">
        <v>5.801895E-2</v>
      </c>
      <c r="R2562">
        <v>-0.99678539999999904</v>
      </c>
      <c r="S2562">
        <v>-1.400757E-2</v>
      </c>
      <c r="T2562">
        <v>-0.17404040000000001</v>
      </c>
      <c r="U2562">
        <v>-3.0203700000000002</v>
      </c>
      <c r="V2562">
        <v>-0.24818570000000001</v>
      </c>
      <c r="W2562">
        <v>6.6288299999999994E-2</v>
      </c>
      <c r="X2562">
        <v>0.96644180000000002</v>
      </c>
      <c r="Y2562">
        <v>-0.18976129999999999</v>
      </c>
      <c r="Z2562">
        <v>5.5360369999999999E-2</v>
      </c>
      <c r="AA2562">
        <v>0.98026829999999998</v>
      </c>
      <c r="AB2562">
        <v>21</v>
      </c>
      <c r="AC2562">
        <v>-6.4599999999984406E-2</v>
      </c>
      <c r="AD2562">
        <v>-1.1063423336289999</v>
      </c>
      <c r="AE2562">
        <v>-19.0656999999999</v>
      </c>
      <c r="AF2562">
        <v>-3.6290352117234299</v>
      </c>
      <c r="AG2562">
        <v>-1.1063423336289999</v>
      </c>
      <c r="AH2562">
        <v>18.652064640870499</v>
      </c>
      <c r="AI2562">
        <v>93.332167262657904</v>
      </c>
      <c r="AJ2562">
        <v>101.01018529887401</v>
      </c>
      <c r="AK2562">
        <v>19.034006548657</v>
      </c>
    </row>
    <row r="2563" spans="1:37" x14ac:dyDescent="0.2">
      <c r="A2563" t="str">
        <f>"20200111153658845"</f>
        <v>20200111153658845</v>
      </c>
      <c r="B2563" t="str">
        <f>"1578728218835116"</f>
        <v>1578728218835116</v>
      </c>
      <c r="C2563" t="s">
        <v>37</v>
      </c>
      <c r="D2563">
        <v>5.8027110000000004</v>
      </c>
      <c r="E2563">
        <v>0.52056190000000002</v>
      </c>
      <c r="F2563" t="s">
        <v>39</v>
      </c>
      <c r="G2563">
        <v>-490.90109999999999</v>
      </c>
      <c r="H2563" s="1">
        <v>-4.3130050000000004E-6</v>
      </c>
      <c r="I2563">
        <v>239.19110000000001</v>
      </c>
      <c r="J2563">
        <v>-490.86829999999998</v>
      </c>
      <c r="K2563">
        <v>1.1063339999999999</v>
      </c>
      <c r="L2563">
        <v>258.17849999999999</v>
      </c>
      <c r="M2563">
        <v>-0.1922587</v>
      </c>
      <c r="N2563">
        <v>0</v>
      </c>
      <c r="O2563">
        <v>-0.98129650000000002</v>
      </c>
      <c r="P2563">
        <v>5.6334240000000001E-2</v>
      </c>
      <c r="Q2563">
        <v>5.7786030000000002E-2</v>
      </c>
      <c r="R2563">
        <v>-0.99673860000000003</v>
      </c>
      <c r="S2563">
        <v>-9.0332030000000001E-3</v>
      </c>
      <c r="T2563">
        <v>-0.17474500000000001</v>
      </c>
      <c r="U2563">
        <v>-3.0203549999999999</v>
      </c>
      <c r="V2563">
        <v>-0.24721959999999901</v>
      </c>
      <c r="W2563">
        <v>6.6070390000000007E-2</v>
      </c>
      <c r="X2563">
        <v>0.96670429999999996</v>
      </c>
      <c r="Y2563">
        <v>-0.18933369999999999</v>
      </c>
      <c r="Z2563">
        <v>5.5621299999999999E-2</v>
      </c>
      <c r="AA2563">
        <v>0.98033619999999899</v>
      </c>
      <c r="AB2563">
        <v>21</v>
      </c>
      <c r="AC2563">
        <v>-3.2800000000008801E-2</v>
      </c>
      <c r="AD2563">
        <v>-1.106338313005</v>
      </c>
      <c r="AE2563">
        <v>-18.987399999999901</v>
      </c>
      <c r="AF2563">
        <v>-3.6062327058276402</v>
      </c>
      <c r="AG2563">
        <v>-1.106338313005</v>
      </c>
      <c r="AH2563">
        <v>18.576381820589098</v>
      </c>
      <c r="AI2563">
        <v>93.345971908265298</v>
      </c>
      <c r="AJ2563">
        <v>100.98617896447099</v>
      </c>
      <c r="AK2563">
        <v>18.955496836952499</v>
      </c>
    </row>
    <row r="2564" spans="1:37" x14ac:dyDescent="0.2">
      <c r="A2564" t="str">
        <f>"20200111153658865"</f>
        <v>20200111153658865</v>
      </c>
      <c r="B2564" t="str">
        <f>"1578728218855612"</f>
        <v>1578728218855612</v>
      </c>
      <c r="C2564" t="s">
        <v>37</v>
      </c>
      <c r="D2564">
        <v>5.7774169999999998</v>
      </c>
      <c r="E2564">
        <v>0.52055109999999905</v>
      </c>
      <c r="F2564" t="s">
        <v>39</v>
      </c>
      <c r="G2564">
        <v>-490.90600000000001</v>
      </c>
      <c r="H2564" s="1">
        <v>-4.2839580000000001E-6</v>
      </c>
      <c r="I2564">
        <v>239.10310000000001</v>
      </c>
      <c r="J2564">
        <v>-490.89909999999998</v>
      </c>
      <c r="K2564">
        <v>1.1063209999999899</v>
      </c>
      <c r="L2564">
        <v>258.00560000000002</v>
      </c>
      <c r="M2564">
        <v>-0.18966159999999899</v>
      </c>
      <c r="N2564">
        <v>0</v>
      </c>
      <c r="O2564">
        <v>-0.98180149999999999</v>
      </c>
      <c r="P2564">
        <v>5.7707679999999997E-2</v>
      </c>
      <c r="Q2564">
        <v>5.820968E-2</v>
      </c>
      <c r="R2564">
        <v>-0.99663519999999906</v>
      </c>
      <c r="S2564">
        <v>-5.9814450000000002E-3</v>
      </c>
      <c r="T2564">
        <v>-0.17517650000000001</v>
      </c>
      <c r="U2564">
        <v>-3.0203700000000002</v>
      </c>
      <c r="V2564">
        <v>-0.2459886</v>
      </c>
      <c r="W2564">
        <v>6.6520469999999998E-2</v>
      </c>
      <c r="X2564">
        <v>0.96698739999999905</v>
      </c>
      <c r="Y2564">
        <v>-0.187726</v>
      </c>
      <c r="Z2564">
        <v>5.5810720000000001E-2</v>
      </c>
      <c r="AA2564">
        <v>0.98063459999999902</v>
      </c>
      <c r="AB2564">
        <v>21</v>
      </c>
      <c r="AC2564">
        <v>-6.9000000000300999E-3</v>
      </c>
      <c r="AD2564">
        <v>-1.10632528395799</v>
      </c>
      <c r="AE2564">
        <v>-18.9025</v>
      </c>
      <c r="AF2564">
        <v>-3.5662563785462602</v>
      </c>
      <c r="AG2564">
        <v>-1.10632528395799</v>
      </c>
      <c r="AH2564">
        <v>18.497323560513401</v>
      </c>
      <c r="AI2564">
        <v>93.361033063973906</v>
      </c>
      <c r="AJ2564">
        <v>100.912643321953</v>
      </c>
      <c r="AK2564">
        <v>18.870429753817799</v>
      </c>
    </row>
    <row r="2565" spans="1:37" x14ac:dyDescent="0.2">
      <c r="A2565" t="str">
        <f>"20200111153658879"</f>
        <v>20200111153658879</v>
      </c>
      <c r="B2565" t="str">
        <f>"1578728218875131"</f>
        <v>1578728218875131</v>
      </c>
      <c r="C2565" t="s">
        <v>37</v>
      </c>
      <c r="D2565">
        <v>5.7754909999999997</v>
      </c>
      <c r="E2565">
        <v>0.52048149999999904</v>
      </c>
      <c r="F2565" t="s">
        <v>39</v>
      </c>
      <c r="G2565">
        <v>-490.91210000000001</v>
      </c>
      <c r="H2565" s="1">
        <v>-4.1758159999999902E-6</v>
      </c>
      <c r="I2565">
        <v>238.78219999999999</v>
      </c>
      <c r="J2565">
        <v>-490.92320000000001</v>
      </c>
      <c r="K2565">
        <v>1.1063129999999901</v>
      </c>
      <c r="L2565">
        <v>257.86860000000001</v>
      </c>
      <c r="M2565">
        <v>-0.18761729999999999</v>
      </c>
      <c r="N2565">
        <v>0</v>
      </c>
      <c r="O2565">
        <v>-0.98219439999999902</v>
      </c>
      <c r="P2565">
        <v>5.9374780000000002E-2</v>
      </c>
      <c r="Q2565">
        <v>5.81092E-2</v>
      </c>
      <c r="R2565">
        <v>-0.99654319999999896</v>
      </c>
      <c r="S2565">
        <v>-2.0446779999999999E-3</v>
      </c>
      <c r="T2565">
        <v>-0.1738256</v>
      </c>
      <c r="U2565">
        <v>-3.0203700000000002</v>
      </c>
      <c r="V2565">
        <v>-0.24559239999999999</v>
      </c>
      <c r="W2565">
        <v>6.6441020000000003E-2</v>
      </c>
      <c r="X2565">
        <v>0.9670936</v>
      </c>
      <c r="Y2565">
        <v>-0.1869595</v>
      </c>
      <c r="Z2565">
        <v>5.5419740000000002E-2</v>
      </c>
      <c r="AA2565">
        <v>0.98080309999999904</v>
      </c>
      <c r="AB2565">
        <v>21</v>
      </c>
      <c r="AC2565">
        <v>1.1099999999999E-2</v>
      </c>
      <c r="AD2565">
        <v>-1.106317175816</v>
      </c>
      <c r="AE2565">
        <v>-19.086400000000001</v>
      </c>
      <c r="AF2565">
        <v>-3.57998189883422</v>
      </c>
      <c r="AG2565">
        <v>-1.106317175816</v>
      </c>
      <c r="AH2565">
        <v>18.682583436087601</v>
      </c>
      <c r="AI2565">
        <v>93.328479956141805</v>
      </c>
      <c r="AJ2565">
        <v>100.84760027515399</v>
      </c>
      <c r="AK2565">
        <v>19.054635444842798</v>
      </c>
    </row>
    <row r="2566" spans="1:37" x14ac:dyDescent="0.2">
      <c r="A2566" t="str">
        <f>"20200111153658896"</f>
        <v>20200111153658896</v>
      </c>
      <c r="B2566" t="str">
        <f>"1578728218884893"</f>
        <v>1578728218884893</v>
      </c>
      <c r="C2566" t="s">
        <v>37</v>
      </c>
      <c r="D2566">
        <v>5.7875740000000002</v>
      </c>
      <c r="E2566">
        <v>0.5203681</v>
      </c>
      <c r="F2566" t="s">
        <v>39</v>
      </c>
      <c r="G2566">
        <v>-490.90159999999997</v>
      </c>
      <c r="H2566" s="1">
        <v>-4.1268809999999999E-6</v>
      </c>
      <c r="I2566">
        <v>238.6497</v>
      </c>
      <c r="J2566">
        <v>-490.95119999999997</v>
      </c>
      <c r="K2566">
        <v>1.1062969999999901</v>
      </c>
      <c r="L2566">
        <v>257.70740000000001</v>
      </c>
      <c r="M2566">
        <v>-0.18523419999999999</v>
      </c>
      <c r="N2566">
        <v>0</v>
      </c>
      <c r="O2566">
        <v>-0.98264619999999903</v>
      </c>
      <c r="P2566">
        <v>6.0549249999999999E-2</v>
      </c>
      <c r="Q2566">
        <v>5.8032210000000001E-2</v>
      </c>
      <c r="R2566">
        <v>-0.9964771</v>
      </c>
      <c r="S2566">
        <v>3.3874509999999901E-3</v>
      </c>
      <c r="T2566">
        <v>-0.17386699999999999</v>
      </c>
      <c r="U2566">
        <v>-3.0204009999999899</v>
      </c>
      <c r="V2566">
        <v>-0.2443833</v>
      </c>
      <c r="W2566">
        <v>6.6398199999999893E-2</v>
      </c>
      <c r="X2566">
        <v>0.96740280000000001</v>
      </c>
      <c r="Y2566">
        <v>-0.1863406</v>
      </c>
      <c r="Z2566">
        <v>5.5474580000000002E-2</v>
      </c>
      <c r="AA2566">
        <v>0.98091779999999995</v>
      </c>
      <c r="AB2566">
        <v>21</v>
      </c>
      <c r="AC2566">
        <v>4.9599999999998E-2</v>
      </c>
      <c r="AD2566">
        <v>-1.1063011268809999</v>
      </c>
      <c r="AE2566">
        <v>-19.057700000000001</v>
      </c>
      <c r="AF2566">
        <v>-3.56702647355658</v>
      </c>
      <c r="AG2566">
        <v>-1.1063011268809999</v>
      </c>
      <c r="AH2566">
        <v>18.6558094099484</v>
      </c>
      <c r="AI2566">
        <v>93.333455417400501</v>
      </c>
      <c r="AJ2566">
        <v>100.824417639244</v>
      </c>
      <c r="AK2566">
        <v>19.025950824773801</v>
      </c>
    </row>
    <row r="2567" spans="1:37" x14ac:dyDescent="0.2">
      <c r="A2567" t="str">
        <f>"20200111153658918"</f>
        <v>20200111153658918</v>
      </c>
      <c r="B2567" t="str">
        <f>"1578728218905388"</f>
        <v>1578728218905388</v>
      </c>
      <c r="C2567" t="s">
        <v>37</v>
      </c>
      <c r="D2567">
        <v>5.9001900000000003</v>
      </c>
      <c r="E2567">
        <v>0.52031799999999995</v>
      </c>
      <c r="F2567" t="s">
        <v>39</v>
      </c>
      <c r="G2567">
        <v>-490.90190000000001</v>
      </c>
      <c r="H2567" s="1">
        <v>-4.0930800000000001E-6</v>
      </c>
      <c r="I2567">
        <v>238.57079999999999</v>
      </c>
      <c r="J2567">
        <v>-490.98509999999999</v>
      </c>
      <c r="K2567">
        <v>1.1062799999999999</v>
      </c>
      <c r="L2567">
        <v>257.50889999999998</v>
      </c>
      <c r="M2567">
        <v>-0.18233239999999901</v>
      </c>
      <c r="N2567">
        <v>0</v>
      </c>
      <c r="O2567">
        <v>-0.98318850000000002</v>
      </c>
      <c r="P2567">
        <v>6.2103899999999997E-2</v>
      </c>
      <c r="Q2567">
        <v>5.7021969999999998E-2</v>
      </c>
      <c r="R2567">
        <v>-0.99643959999999998</v>
      </c>
      <c r="S2567">
        <v>7.7819819999999998E-3</v>
      </c>
      <c r="T2567">
        <v>-0.1746057</v>
      </c>
      <c r="U2567">
        <v>-3.0202939999999998</v>
      </c>
      <c r="V2567">
        <v>-0.24303910000000001</v>
      </c>
      <c r="W2567">
        <v>6.5441360000000004E-2</v>
      </c>
      <c r="X2567">
        <v>0.96780650000000001</v>
      </c>
      <c r="Y2567">
        <v>-0.18486710000000001</v>
      </c>
      <c r="Z2567">
        <v>5.5766299999999998E-2</v>
      </c>
      <c r="AA2567">
        <v>0.98117999999999905</v>
      </c>
      <c r="AB2567">
        <v>21</v>
      </c>
      <c r="AC2567">
        <v>8.3199999999976598E-2</v>
      </c>
      <c r="AD2567">
        <v>-1.10628409308</v>
      </c>
      <c r="AE2567">
        <v>-18.938099999999899</v>
      </c>
      <c r="AF2567">
        <v>-3.52297730810966</v>
      </c>
      <c r="AG2567">
        <v>-1.10628409308</v>
      </c>
      <c r="AH2567">
        <v>18.5421662086002</v>
      </c>
      <c r="AI2567">
        <v>93.3545287329232</v>
      </c>
      <c r="AJ2567">
        <v>100.757864878232</v>
      </c>
      <c r="AK2567">
        <v>18.906273067831599</v>
      </c>
    </row>
    <row r="2568" spans="1:37" x14ac:dyDescent="0.2">
      <c r="A2568" t="str">
        <f>"20200111153658933"</f>
        <v>20200111153658933</v>
      </c>
      <c r="B2568" t="str">
        <f>"1578728218925885"</f>
        <v>1578728218925885</v>
      </c>
      <c r="C2568" t="s">
        <v>37</v>
      </c>
      <c r="D2568">
        <v>6.0409649999999999</v>
      </c>
      <c r="E2568">
        <v>0.52031450000000001</v>
      </c>
      <c r="F2568" t="s">
        <v>39</v>
      </c>
      <c r="G2568">
        <v>-490.9083</v>
      </c>
      <c r="H2568" s="1">
        <v>-4.2684679999999998E-6</v>
      </c>
      <c r="I2568">
        <v>239.0564</v>
      </c>
      <c r="J2568">
        <v>-491.00990000000002</v>
      </c>
      <c r="K2568">
        <v>1.106268</v>
      </c>
      <c r="L2568">
        <v>257.36110000000002</v>
      </c>
      <c r="M2568">
        <v>-0.18020459999999999</v>
      </c>
      <c r="N2568">
        <v>0</v>
      </c>
      <c r="O2568">
        <v>-0.98358020000000002</v>
      </c>
      <c r="P2568">
        <v>6.327853E-2</v>
      </c>
      <c r="Q2568">
        <v>5.6466509999999998E-2</v>
      </c>
      <c r="R2568">
        <v>-0.99639759999999999</v>
      </c>
      <c r="S2568">
        <v>1.2573239999999999E-2</v>
      </c>
      <c r="T2568">
        <v>-0.1810783</v>
      </c>
      <c r="U2568">
        <v>-3.0203250000000001</v>
      </c>
      <c r="V2568">
        <v>-0.24208649999999901</v>
      </c>
      <c r="W2568">
        <v>6.4945089999999997E-2</v>
      </c>
      <c r="X2568">
        <v>0.96807869999999996</v>
      </c>
      <c r="Y2568">
        <v>-0.1842965</v>
      </c>
      <c r="Z2568">
        <v>5.7863930000000001E-2</v>
      </c>
      <c r="AA2568">
        <v>0.98116589999999904</v>
      </c>
      <c r="AB2568">
        <v>21</v>
      </c>
      <c r="AC2568">
        <v>0.10160000000001899</v>
      </c>
      <c r="AD2568">
        <v>-1.106272268468</v>
      </c>
      <c r="AE2568">
        <v>-18.3047</v>
      </c>
      <c r="AF2568">
        <v>-3.3863181367986201</v>
      </c>
      <c r="AG2568">
        <v>-1.106272268468</v>
      </c>
      <c r="AH2568">
        <v>17.921241098591</v>
      </c>
      <c r="AI2568">
        <v>93.471098487294299</v>
      </c>
      <c r="AJ2568">
        <v>100.700199033017</v>
      </c>
      <c r="AK2568">
        <v>18.271887460506601</v>
      </c>
    </row>
    <row r="2569" spans="1:37" x14ac:dyDescent="0.2">
      <c r="A2569" t="str">
        <f>"20200111153658953"</f>
        <v>20200111153658953</v>
      </c>
      <c r="B2569" t="str">
        <f>"1578728218945403"</f>
        <v>1578728218945403</v>
      </c>
      <c r="C2569" t="s">
        <v>37</v>
      </c>
      <c r="D2569">
        <v>5.9860160000000002</v>
      </c>
      <c r="E2569">
        <v>0.52016439999999997</v>
      </c>
      <c r="F2569" t="s">
        <v>39</v>
      </c>
      <c r="G2569">
        <v>-490.91309999999999</v>
      </c>
      <c r="H2569" s="1">
        <v>-4.271452E-6</v>
      </c>
      <c r="I2569">
        <v>239.06270000000001</v>
      </c>
      <c r="J2569">
        <v>-491.04079999999999</v>
      </c>
      <c r="K2569">
        <v>1.106271</v>
      </c>
      <c r="L2569">
        <v>257.17579999999998</v>
      </c>
      <c r="M2569">
        <v>-0.17756629999999901</v>
      </c>
      <c r="N2569">
        <v>0</v>
      </c>
      <c r="O2569">
        <v>-0.98405889999999996</v>
      </c>
      <c r="P2569">
        <v>6.4385730000000002E-2</v>
      </c>
      <c r="Q2569">
        <v>5.5275860000000003E-2</v>
      </c>
      <c r="R2569">
        <v>-0.99639319999999898</v>
      </c>
      <c r="S2569">
        <v>1.5991209999999999E-2</v>
      </c>
      <c r="T2569">
        <v>-0.1825917</v>
      </c>
      <c r="U2569">
        <v>-3.0201720000000001</v>
      </c>
      <c r="V2569">
        <v>-0.24056839999999999</v>
      </c>
      <c r="W2569">
        <v>6.3871579999999997E-2</v>
      </c>
      <c r="X2569">
        <v>0.96852839999999996</v>
      </c>
      <c r="Y2569">
        <v>-0.18277119999999999</v>
      </c>
      <c r="Z2569">
        <v>5.8400529999999999E-2</v>
      </c>
      <c r="AA2569">
        <v>0.98141939999999905</v>
      </c>
      <c r="AB2569">
        <v>21</v>
      </c>
      <c r="AC2569">
        <v>0.127700000000004</v>
      </c>
      <c r="AD2569">
        <v>-1.1062752714520001</v>
      </c>
      <c r="AE2569">
        <v>-18.1130999999999</v>
      </c>
      <c r="AF2569">
        <v>-3.3296847005761401</v>
      </c>
      <c r="AG2569">
        <v>-1.1062752714520001</v>
      </c>
      <c r="AH2569">
        <v>17.736398622612001</v>
      </c>
      <c r="AI2569">
        <v>93.507971570616405</v>
      </c>
      <c r="AJ2569">
        <v>100.63248066436699</v>
      </c>
      <c r="AK2569">
        <v>18.0801128669506</v>
      </c>
    </row>
    <row r="2570" spans="1:37" x14ac:dyDescent="0.2">
      <c r="A2570" t="str">
        <f>"20200111153658976"</f>
        <v>20200111153658976</v>
      </c>
      <c r="B2570" t="str">
        <f>"1578728218965431"</f>
        <v>1578728218965431</v>
      </c>
      <c r="C2570" t="s">
        <v>37</v>
      </c>
      <c r="D2570">
        <v>5.7952069999999898</v>
      </c>
      <c r="E2570">
        <v>0.52018149999999996</v>
      </c>
      <c r="F2570" t="s">
        <v>39</v>
      </c>
      <c r="G2570">
        <v>-490.91860000000003</v>
      </c>
      <c r="H2570" s="1">
        <v>-4.3227309999999999E-6</v>
      </c>
      <c r="I2570">
        <v>239.2105</v>
      </c>
      <c r="J2570">
        <v>-491.07530000000003</v>
      </c>
      <c r="K2570">
        <v>1.1062879999999999</v>
      </c>
      <c r="L2570">
        <v>256.96480000000003</v>
      </c>
      <c r="M2570">
        <v>-0.1746085</v>
      </c>
      <c r="N2570">
        <v>0</v>
      </c>
      <c r="O2570">
        <v>-0.98458609999999902</v>
      </c>
      <c r="P2570">
        <v>6.5919099999999994E-2</v>
      </c>
      <c r="Q2570">
        <v>5.5974830000000003E-2</v>
      </c>
      <c r="R2570">
        <v>-0.99625379999999997</v>
      </c>
      <c r="S2570">
        <v>2.053833E-2</v>
      </c>
      <c r="T2570">
        <v>-0.18595809999999999</v>
      </c>
      <c r="U2570">
        <v>-3.0198520000000002</v>
      </c>
      <c r="V2570">
        <v>-0.2391411</v>
      </c>
      <c r="W2570">
        <v>6.4771419999999996E-2</v>
      </c>
      <c r="X2570">
        <v>0.96882209999999902</v>
      </c>
      <c r="Y2570">
        <v>-0.18129479999999901</v>
      </c>
      <c r="Z2570">
        <v>5.9536360000000003E-2</v>
      </c>
      <c r="AA2570">
        <v>0.98162499999999997</v>
      </c>
      <c r="AB2570">
        <v>21</v>
      </c>
      <c r="AC2570">
        <v>0.15670000000000001</v>
      </c>
      <c r="AD2570">
        <v>-1.106292322731</v>
      </c>
      <c r="AE2570">
        <v>-17.754300000000001</v>
      </c>
      <c r="AF2570">
        <v>-3.2419160791581101</v>
      </c>
      <c r="AG2570">
        <v>-1.106292322731</v>
      </c>
      <c r="AH2570">
        <v>17.3866649888792</v>
      </c>
      <c r="AI2570">
        <v>93.579228700725295</v>
      </c>
      <c r="AJ2570">
        <v>100.562075872916</v>
      </c>
      <c r="AK2570">
        <v>17.720892246248699</v>
      </c>
    </row>
    <row r="2571" spans="1:37" x14ac:dyDescent="0.2">
      <c r="A2571" t="str">
        <f>"20200111153658996"</f>
        <v>20200111153658996</v>
      </c>
      <c r="B2571" t="str">
        <f>"1578728218984954"</f>
        <v>1578728218984954</v>
      </c>
      <c r="C2571" t="s">
        <v>37</v>
      </c>
      <c r="D2571">
        <v>5.7497579999999999</v>
      </c>
      <c r="E2571">
        <v>0.52033620000000003</v>
      </c>
      <c r="F2571" t="s">
        <v>39</v>
      </c>
      <c r="G2571">
        <v>-490.92610000000002</v>
      </c>
      <c r="H2571" s="1">
        <v>-4.1784469999999999E-6</v>
      </c>
      <c r="I2571">
        <v>238.7826</v>
      </c>
      <c r="J2571">
        <v>-491.10730000000001</v>
      </c>
      <c r="K2571">
        <v>1.106325</v>
      </c>
      <c r="L2571">
        <v>256.76560000000001</v>
      </c>
      <c r="M2571">
        <v>-0.17185980000000001</v>
      </c>
      <c r="N2571">
        <v>0</v>
      </c>
      <c r="O2571">
        <v>-0.98506719999999903</v>
      </c>
      <c r="P2571">
        <v>6.7310800000000004E-2</v>
      </c>
      <c r="Q2571">
        <v>5.6623310000000003E-2</v>
      </c>
      <c r="R2571">
        <v>-0.99612469999999997</v>
      </c>
      <c r="S2571">
        <v>2.478027E-2</v>
      </c>
      <c r="T2571">
        <v>-0.18374960000000001</v>
      </c>
      <c r="U2571">
        <v>-3.0199739999999999</v>
      </c>
      <c r="V2571">
        <v>-0.2377832</v>
      </c>
      <c r="W2571">
        <v>6.5685939999999998E-2</v>
      </c>
      <c r="X2571">
        <v>0.96909469999999998</v>
      </c>
      <c r="Y2571">
        <v>-0.17992929999999999</v>
      </c>
      <c r="Z2571">
        <v>5.8880769999999999E-2</v>
      </c>
      <c r="AA2571">
        <v>0.98191569999999995</v>
      </c>
      <c r="AB2571">
        <v>21</v>
      </c>
      <c r="AC2571">
        <v>0.18119999999998901</v>
      </c>
      <c r="AD2571">
        <v>-1.106329178447</v>
      </c>
      <c r="AE2571">
        <v>-17.983000000000001</v>
      </c>
      <c r="AF2571">
        <v>-3.25689807567406</v>
      </c>
      <c r="AG2571">
        <v>-1.106329178447</v>
      </c>
      <c r="AH2571">
        <v>17.6175944751791</v>
      </c>
      <c r="AI2571">
        <v>93.533557533153399</v>
      </c>
      <c r="AJ2571">
        <v>100.47380652744501</v>
      </c>
      <c r="AK2571">
        <v>17.950236333215098</v>
      </c>
    </row>
    <row r="2572" spans="1:37" x14ac:dyDescent="0.2">
      <c r="A2572" t="str">
        <f>"20200111153659012"</f>
        <v>20200111153659012</v>
      </c>
      <c r="B2572" t="str">
        <f>"1578728219005448"</f>
        <v>1578728219005448</v>
      </c>
      <c r="C2572" t="s">
        <v>37</v>
      </c>
      <c r="D2572">
        <v>5.7779850000000001</v>
      </c>
      <c r="E2572">
        <v>0.52037349999999905</v>
      </c>
      <c r="F2572" t="s">
        <v>39</v>
      </c>
      <c r="G2572">
        <v>-490.93810000000002</v>
      </c>
      <c r="H2572" s="1">
        <v>-4.0304109999999997E-6</v>
      </c>
      <c r="I2572">
        <v>238.4023</v>
      </c>
      <c r="J2572">
        <v>-491.1309</v>
      </c>
      <c r="K2572">
        <v>1.106349</v>
      </c>
      <c r="L2572">
        <v>256.61610000000002</v>
      </c>
      <c r="M2572">
        <v>-0.16982549999999999</v>
      </c>
      <c r="N2572">
        <v>0</v>
      </c>
      <c r="O2572">
        <v>-0.9854174</v>
      </c>
      <c r="P2572">
        <v>6.8836110000000006E-2</v>
      </c>
      <c r="Q2572">
        <v>5.7195530000000001E-2</v>
      </c>
      <c r="R2572">
        <v>-0.99598709999999901</v>
      </c>
      <c r="S2572">
        <v>2.7832030000000001E-2</v>
      </c>
      <c r="T2572">
        <v>-0.181953799999999</v>
      </c>
      <c r="U2572">
        <v>-3.0201419999999999</v>
      </c>
      <c r="V2572">
        <v>-0.23726129999999901</v>
      </c>
      <c r="W2572">
        <v>6.6490489999999999E-2</v>
      </c>
      <c r="X2572">
        <v>0.96916780000000002</v>
      </c>
      <c r="Y2572">
        <v>-0.17889059999999901</v>
      </c>
      <c r="Z2572">
        <v>5.8341410000000003E-2</v>
      </c>
      <c r="AA2572">
        <v>0.9821377</v>
      </c>
      <c r="AB2572">
        <v>21</v>
      </c>
      <c r="AC2572">
        <v>0.19279999999997699</v>
      </c>
      <c r="AD2572">
        <v>-1.1063530304110001</v>
      </c>
      <c r="AE2572">
        <v>-18.213799999999999</v>
      </c>
      <c r="AF2572">
        <v>-3.2712712621263198</v>
      </c>
      <c r="AG2572">
        <v>-1.1063530304110001</v>
      </c>
      <c r="AH2572">
        <v>17.850599802896699</v>
      </c>
      <c r="AI2572">
        <v>93.4886193339199</v>
      </c>
      <c r="AJ2572">
        <v>100.38470060269501</v>
      </c>
      <c r="AK2572">
        <v>18.1815606046755</v>
      </c>
    </row>
    <row r="2573" spans="1:37" x14ac:dyDescent="0.2">
      <c r="A2573" t="str">
        <f>"20200111153659026"</f>
        <v>20200111153659026</v>
      </c>
      <c r="B2573" t="str">
        <f>"1578728219015207"</f>
        <v>1578728219015207</v>
      </c>
      <c r="C2573" t="s">
        <v>37</v>
      </c>
      <c r="D2573">
        <v>5.7598399999999996</v>
      </c>
      <c r="E2573">
        <v>0.52031759999999905</v>
      </c>
      <c r="F2573" t="s">
        <v>39</v>
      </c>
      <c r="G2573">
        <v>-490.935</v>
      </c>
      <c r="H2573" s="1">
        <v>-3.878099E-6</v>
      </c>
      <c r="I2573">
        <v>238.04910000000001</v>
      </c>
      <c r="J2573">
        <v>-491.15159999999997</v>
      </c>
      <c r="K2573">
        <v>1.1063730000000001</v>
      </c>
      <c r="L2573">
        <v>256.48349999999999</v>
      </c>
      <c r="M2573">
        <v>-0.16803460000000001</v>
      </c>
      <c r="N2573">
        <v>0</v>
      </c>
      <c r="O2573">
        <v>-0.98572229999999905</v>
      </c>
      <c r="P2573">
        <v>6.9865350000000007E-2</v>
      </c>
      <c r="Q2573">
        <v>5.7070650000000001E-2</v>
      </c>
      <c r="R2573">
        <v>-0.99592289999999895</v>
      </c>
      <c r="S2573">
        <v>3.1860350000000003E-2</v>
      </c>
      <c r="T2573">
        <v>-0.1799666</v>
      </c>
      <c r="U2573">
        <v>-3.0202179999999998</v>
      </c>
      <c r="V2573">
        <v>-0.23650009999999999</v>
      </c>
      <c r="W2573">
        <v>6.6577559999999994E-2</v>
      </c>
      <c r="X2573">
        <v>0.96934779999999998</v>
      </c>
      <c r="Y2573">
        <v>-0.17841319999999999</v>
      </c>
      <c r="Z2573">
        <v>5.7734529999999999E-2</v>
      </c>
      <c r="AA2573">
        <v>0.98226039999999903</v>
      </c>
      <c r="AB2573">
        <v>21</v>
      </c>
      <c r="AC2573">
        <v>0.21659999999997101</v>
      </c>
      <c r="AD2573">
        <v>-1.106376878099</v>
      </c>
      <c r="AE2573">
        <v>-18.434399999999901</v>
      </c>
      <c r="AF2573">
        <v>-3.2994333701796998</v>
      </c>
      <c r="AG2573">
        <v>-1.106376878099</v>
      </c>
      <c r="AH2573">
        <v>18.070771459617799</v>
      </c>
      <c r="AI2573">
        <v>93.446702061837797</v>
      </c>
      <c r="AJ2573">
        <v>100.347313662817</v>
      </c>
      <c r="AK2573">
        <v>18.402801729801499</v>
      </c>
    </row>
    <row r="2574" spans="1:37" x14ac:dyDescent="0.2">
      <c r="A2574" t="str">
        <f>"20200111153659041"</f>
        <v>20200111153659041</v>
      </c>
      <c r="B2574" t="str">
        <f>"1578728219035704"</f>
        <v>1578728219035704</v>
      </c>
      <c r="C2574" t="s">
        <v>37</v>
      </c>
      <c r="D2574">
        <v>5.9799169999999897</v>
      </c>
      <c r="E2574">
        <v>0.52036380000000004</v>
      </c>
      <c r="F2574" t="s">
        <v>39</v>
      </c>
      <c r="G2574">
        <v>-490.93119999999999</v>
      </c>
      <c r="H2574" s="1">
        <v>-3.838515E-6</v>
      </c>
      <c r="I2574">
        <v>237.95930000000001</v>
      </c>
      <c r="J2574">
        <v>-491.17250000000001</v>
      </c>
      <c r="K2574">
        <v>1.106392</v>
      </c>
      <c r="L2574">
        <v>256.34910000000002</v>
      </c>
      <c r="M2574">
        <v>-0.16622999999999999</v>
      </c>
      <c r="N2574">
        <v>0</v>
      </c>
      <c r="O2574">
        <v>-0.98602599999999996</v>
      </c>
      <c r="P2574">
        <v>7.0659639999999996E-2</v>
      </c>
      <c r="Q2574">
        <v>5.6951019999999998E-2</v>
      </c>
      <c r="R2574">
        <v>-0.99587369999999897</v>
      </c>
      <c r="S2574">
        <v>3.5949710000000003E-2</v>
      </c>
      <c r="T2574">
        <v>-0.1803796</v>
      </c>
      <c r="U2574">
        <v>-3.0201259999999999</v>
      </c>
      <c r="V2574">
        <v>-0.23549679999999901</v>
      </c>
      <c r="W2574">
        <v>6.6672239999999994E-2</v>
      </c>
      <c r="X2574">
        <v>0.96958549999999999</v>
      </c>
      <c r="Y2574">
        <v>-0.1779425</v>
      </c>
      <c r="Z2574">
        <v>5.789772E-2</v>
      </c>
      <c r="AA2574">
        <v>0.98233619999999899</v>
      </c>
      <c r="AB2574">
        <v>21</v>
      </c>
      <c r="AC2574">
        <v>0.241300000000023</v>
      </c>
      <c r="AD2574">
        <v>-1.1063958385149999</v>
      </c>
      <c r="AE2574">
        <v>-18.389800000000001</v>
      </c>
      <c r="AF2574">
        <v>-3.28318082277795</v>
      </c>
      <c r="AG2574">
        <v>-1.1063958385149999</v>
      </c>
      <c r="AH2574">
        <v>18.028552253713102</v>
      </c>
      <c r="AI2574">
        <v>93.455101331907102</v>
      </c>
      <c r="AJ2574">
        <v>100.321034153592</v>
      </c>
      <c r="AK2574">
        <v>18.358433605060199</v>
      </c>
    </row>
    <row r="2575" spans="1:37" x14ac:dyDescent="0.2">
      <c r="A2575" t="str">
        <f>"20200111153659064"</f>
        <v>20200111153659064</v>
      </c>
      <c r="B2575" t="str">
        <f>"1578728219055733"</f>
        <v>1578728219055733</v>
      </c>
      <c r="C2575" t="s">
        <v>37</v>
      </c>
      <c r="D2575">
        <v>6.04047</v>
      </c>
      <c r="E2575">
        <v>0.52047900000000002</v>
      </c>
      <c r="F2575" t="s">
        <v>39</v>
      </c>
      <c r="G2575">
        <v>-490.9402</v>
      </c>
      <c r="H2575" s="1">
        <v>-3.7860389999999999E-6</v>
      </c>
      <c r="I2575">
        <v>237.8313</v>
      </c>
      <c r="J2575">
        <v>-491.20510000000002</v>
      </c>
      <c r="K2575">
        <v>1.1064129999999901</v>
      </c>
      <c r="L2575">
        <v>256.1343</v>
      </c>
      <c r="M2575">
        <v>-0.1633781</v>
      </c>
      <c r="N2575">
        <v>0</v>
      </c>
      <c r="O2575">
        <v>-0.98649920000000002</v>
      </c>
      <c r="P2575">
        <v>7.2613259999999999E-2</v>
      </c>
      <c r="Q2575">
        <v>5.650268E-2</v>
      </c>
      <c r="R2575">
        <v>-0.9957587</v>
      </c>
      <c r="S2575">
        <v>3.7872309999999999E-2</v>
      </c>
      <c r="T2575">
        <v>-0.18043979999999901</v>
      </c>
      <c r="U2575">
        <v>-3.020035</v>
      </c>
      <c r="V2575">
        <v>-0.2345951</v>
      </c>
      <c r="W2575">
        <v>6.6532389999999997E-2</v>
      </c>
      <c r="X2575">
        <v>0.969813699999999</v>
      </c>
      <c r="Y2575">
        <v>-0.17572279999999901</v>
      </c>
      <c r="Z2575">
        <v>5.7972990000000002E-2</v>
      </c>
      <c r="AA2575">
        <v>0.98273120000000003</v>
      </c>
      <c r="AB2575">
        <v>21</v>
      </c>
      <c r="AC2575">
        <v>0.26490000000001102</v>
      </c>
      <c r="AD2575">
        <v>-1.106416786039</v>
      </c>
      <c r="AE2575">
        <v>-18.303000000000001</v>
      </c>
      <c r="AF2575">
        <v>-3.24000222447861</v>
      </c>
      <c r="AG2575">
        <v>-1.106416786039</v>
      </c>
      <c r="AH2575">
        <v>17.948186607292602</v>
      </c>
      <c r="AI2575">
        <v>93.471566524822506</v>
      </c>
      <c r="AJ2575">
        <v>100.23281621356701</v>
      </c>
      <c r="AK2575">
        <v>18.2718136759669</v>
      </c>
    </row>
    <row r="2576" spans="1:37" x14ac:dyDescent="0.2">
      <c r="A2576" t="str">
        <f>"20200111153659078"</f>
        <v>20200111153659078</v>
      </c>
      <c r="B2576" t="str">
        <f>"1578728219065490"</f>
        <v>1578728219065490</v>
      </c>
      <c r="C2576" t="s">
        <v>37</v>
      </c>
      <c r="D2576">
        <v>5.7896739999999998</v>
      </c>
      <c r="E2576">
        <v>0.52050029999999903</v>
      </c>
      <c r="F2576" t="s">
        <v>39</v>
      </c>
      <c r="G2576">
        <v>-490.94589999999999</v>
      </c>
      <c r="H2576" s="1">
        <v>-3.7735329999999998E-6</v>
      </c>
      <c r="I2576">
        <v>237.79859999999999</v>
      </c>
      <c r="J2576">
        <v>-491.22489999999999</v>
      </c>
      <c r="K2576">
        <v>1.1064229999999999</v>
      </c>
      <c r="L2576">
        <v>256.00290000000001</v>
      </c>
      <c r="M2576">
        <v>-0.16165070000000001</v>
      </c>
      <c r="N2576">
        <v>0</v>
      </c>
      <c r="O2576">
        <v>-0.98678169999999898</v>
      </c>
      <c r="P2576">
        <v>7.3942939999999999E-2</v>
      </c>
      <c r="Q2576">
        <v>5.6376969999999998E-2</v>
      </c>
      <c r="R2576">
        <v>-0.995668</v>
      </c>
      <c r="S2576">
        <v>4.2694089999999997E-2</v>
      </c>
      <c r="T2576">
        <v>-0.1822338</v>
      </c>
      <c r="U2576">
        <v>-3.0200040000000001</v>
      </c>
      <c r="V2576">
        <v>-0.23419189999999901</v>
      </c>
      <c r="W2576">
        <v>6.6581849999999998E-2</v>
      </c>
      <c r="X2576">
        <v>0.96990769999999904</v>
      </c>
      <c r="Y2576">
        <v>-0.175568</v>
      </c>
      <c r="Z2576">
        <v>5.8573760000000002E-2</v>
      </c>
      <c r="AA2576">
        <v>0.98272320000000002</v>
      </c>
      <c r="AB2576">
        <v>21</v>
      </c>
      <c r="AC2576">
        <v>0.27899999999999597</v>
      </c>
      <c r="AD2576">
        <v>-1.106426773533</v>
      </c>
      <c r="AE2576">
        <v>-18.2043</v>
      </c>
      <c r="AF2576">
        <v>-3.2064188756783301</v>
      </c>
      <c r="AG2576">
        <v>-1.106426773533</v>
      </c>
      <c r="AH2576">
        <v>17.853806142872099</v>
      </c>
      <c r="AI2576">
        <v>93.490467140321996</v>
      </c>
      <c r="AJ2576">
        <v>100.18138541066</v>
      </c>
      <c r="AK2576">
        <v>18.173158668727801</v>
      </c>
    </row>
    <row r="2577" spans="1:37" x14ac:dyDescent="0.2">
      <c r="A2577" t="str">
        <f>"20200111153659096"</f>
        <v>20200111153659096</v>
      </c>
      <c r="B2577" t="str">
        <f>"1578728219085010"</f>
        <v>1578728219085010</v>
      </c>
      <c r="C2577" t="s">
        <v>37</v>
      </c>
      <c r="D2577">
        <v>5.7593220000000001</v>
      </c>
      <c r="E2577">
        <v>0.52052370000000003</v>
      </c>
      <c r="F2577" t="s">
        <v>39</v>
      </c>
      <c r="G2577">
        <v>-490.94650000000001</v>
      </c>
      <c r="H2577" s="1">
        <v>-3.783292E-6</v>
      </c>
      <c r="I2577">
        <v>237.821</v>
      </c>
      <c r="J2577">
        <v>-491.25049999999999</v>
      </c>
      <c r="K2577">
        <v>1.10643799999999</v>
      </c>
      <c r="L2577">
        <v>255.8295</v>
      </c>
      <c r="M2577">
        <v>-0.15939449999999999</v>
      </c>
      <c r="N2577">
        <v>0</v>
      </c>
      <c r="O2577">
        <v>-0.98714609999999903</v>
      </c>
      <c r="P2577">
        <v>7.5726150000000006E-2</v>
      </c>
      <c r="Q2577">
        <v>5.6166529999999999E-2</v>
      </c>
      <c r="R2577">
        <v>-0.99554560000000003</v>
      </c>
      <c r="S2577">
        <v>4.6234129999999998E-2</v>
      </c>
      <c r="T2577">
        <v>-0.18377829999999901</v>
      </c>
      <c r="U2577">
        <v>-3.020035</v>
      </c>
      <c r="V2577">
        <v>-0.23371120000000001</v>
      </c>
      <c r="W2577">
        <v>6.6591369999999997E-2</v>
      </c>
      <c r="X2577">
        <v>0.97002299999999997</v>
      </c>
      <c r="Y2577">
        <v>-0.17446889999999901</v>
      </c>
      <c r="Z2577">
        <v>5.9106600000000002E-2</v>
      </c>
      <c r="AA2577">
        <v>0.98288709999999901</v>
      </c>
      <c r="AB2577">
        <v>21</v>
      </c>
      <c r="AC2577">
        <v>0.30399999999997301</v>
      </c>
      <c r="AD2577">
        <v>-1.1064417832919899</v>
      </c>
      <c r="AE2577">
        <v>-18.008499999999898</v>
      </c>
      <c r="AF2577">
        <v>-3.1588430141140398</v>
      </c>
      <c r="AG2577">
        <v>-1.1064417832919899</v>
      </c>
      <c r="AH2577">
        <v>17.663113049604501</v>
      </c>
      <c r="AI2577">
        <v>93.528564854371893</v>
      </c>
      <c r="AJ2577">
        <v>100.139495045223</v>
      </c>
      <c r="AK2577">
        <v>17.977432108361299</v>
      </c>
    </row>
    <row r="2578" spans="1:37" x14ac:dyDescent="0.2">
      <c r="A2578" t="str">
        <f>"20200111153659121"</f>
        <v>20200111153659121</v>
      </c>
      <c r="B2578" t="str">
        <f>"1578728219115266"</f>
        <v>1578728219115266</v>
      </c>
      <c r="C2578" t="s">
        <v>37</v>
      </c>
      <c r="D2578">
        <v>5.8047089999999999</v>
      </c>
      <c r="E2578">
        <v>0.52071460000000003</v>
      </c>
      <c r="F2578" t="s">
        <v>39</v>
      </c>
      <c r="G2578">
        <v>-490.94439999999997</v>
      </c>
      <c r="H2578" s="1">
        <v>-3.8502019999999996E-6</v>
      </c>
      <c r="I2578">
        <v>237.97829999999999</v>
      </c>
      <c r="J2578">
        <v>-491.2824</v>
      </c>
      <c r="K2578">
        <v>1.1064419999999999</v>
      </c>
      <c r="L2578">
        <v>255.61060000000001</v>
      </c>
      <c r="M2578">
        <v>-0.15657660000000001</v>
      </c>
      <c r="N2578">
        <v>0</v>
      </c>
      <c r="O2578">
        <v>-0.98759409999999903</v>
      </c>
      <c r="P2578">
        <v>7.8371769999999993E-2</v>
      </c>
      <c r="Q2578">
        <v>5.574018E-2</v>
      </c>
      <c r="R2578">
        <v>-0.99536519999999995</v>
      </c>
      <c r="S2578">
        <v>5.178833E-2</v>
      </c>
      <c r="T2578">
        <v>-0.18718650000000001</v>
      </c>
      <c r="U2578">
        <v>-3.0200499999999999</v>
      </c>
      <c r="V2578">
        <v>-0.23352039999999899</v>
      </c>
      <c r="W2578">
        <v>6.6427230000000004E-2</v>
      </c>
      <c r="X2578">
        <v>0.97008019999999995</v>
      </c>
      <c r="Y2578">
        <v>-0.17346500000000001</v>
      </c>
      <c r="Z2578">
        <v>6.0244649999999997E-2</v>
      </c>
      <c r="AA2578">
        <v>0.98299570000000003</v>
      </c>
      <c r="AB2578">
        <v>21</v>
      </c>
      <c r="AC2578">
        <v>0.33800000000002201</v>
      </c>
      <c r="AD2578">
        <v>-1.106445850202</v>
      </c>
      <c r="AE2578">
        <v>-17.632300000000001</v>
      </c>
      <c r="AF2578">
        <v>-3.0826973357693799</v>
      </c>
      <c r="AG2578">
        <v>-1.106445850202</v>
      </c>
      <c r="AH2578">
        <v>17.2937896548993</v>
      </c>
      <c r="AI2578">
        <v>93.604100120355199</v>
      </c>
      <c r="AJ2578">
        <v>100.107078008142</v>
      </c>
      <c r="AK2578">
        <v>17.601204672160701</v>
      </c>
    </row>
    <row r="2579" spans="1:37" x14ac:dyDescent="0.2">
      <c r="A2579" t="str">
        <f>"20200111153659142"</f>
        <v>20200111153659142</v>
      </c>
      <c r="B2579" t="str">
        <f>"1578728219135762"</f>
        <v>1578728219135762</v>
      </c>
      <c r="C2579" t="s">
        <v>37</v>
      </c>
      <c r="D2579">
        <v>5.9796469999999999</v>
      </c>
      <c r="E2579">
        <v>0.52077320000000005</v>
      </c>
      <c r="F2579" t="s">
        <v>39</v>
      </c>
      <c r="G2579">
        <v>-490.94349999999997</v>
      </c>
      <c r="H2579" s="1">
        <v>-3.8464400000000004E-6</v>
      </c>
      <c r="I2579">
        <v>237.97</v>
      </c>
      <c r="J2579">
        <v>-491.31169999999997</v>
      </c>
      <c r="K2579">
        <v>1.1064369999999999</v>
      </c>
      <c r="L2579">
        <v>255.4049</v>
      </c>
      <c r="M2579">
        <v>-0.15395719999999999</v>
      </c>
      <c r="N2579">
        <v>0</v>
      </c>
      <c r="O2579">
        <v>-0.98800279999999996</v>
      </c>
      <c r="P2579">
        <v>8.1805420000000004E-2</v>
      </c>
      <c r="Q2579">
        <v>5.4987170000000002E-2</v>
      </c>
      <c r="R2579">
        <v>-0.99513039999999997</v>
      </c>
      <c r="S2579">
        <v>5.8013919999999997E-2</v>
      </c>
      <c r="T2579">
        <v>-0.18941959999999999</v>
      </c>
      <c r="U2579">
        <v>-3.0200040000000001</v>
      </c>
      <c r="V2579">
        <v>-0.23429610000000001</v>
      </c>
      <c r="W2579">
        <v>6.5894800000000003E-2</v>
      </c>
      <c r="X2579">
        <v>0.9699295</v>
      </c>
      <c r="Y2579">
        <v>-0.172879</v>
      </c>
      <c r="Z2579">
        <v>6.1002170000000001E-2</v>
      </c>
      <c r="AA2579">
        <v>0.98305219999999904</v>
      </c>
      <c r="AB2579">
        <v>21</v>
      </c>
      <c r="AC2579">
        <v>0.36820000000000103</v>
      </c>
      <c r="AD2579">
        <v>-1.10644084644</v>
      </c>
      <c r="AE2579">
        <v>-17.434899999999999</v>
      </c>
      <c r="AF2579">
        <v>-3.0360144693900502</v>
      </c>
      <c r="AG2579">
        <v>-1.10644084644</v>
      </c>
      <c r="AH2579">
        <v>17.1014680091216</v>
      </c>
      <c r="AI2579">
        <v>93.644960944938106</v>
      </c>
      <c r="AJ2579">
        <v>100.06680600953</v>
      </c>
      <c r="AK2579">
        <v>17.404074329651198</v>
      </c>
    </row>
    <row r="2580" spans="1:37" x14ac:dyDescent="0.2">
      <c r="A2580" t="str">
        <f>"20200111153659155"</f>
        <v>20200111153659155</v>
      </c>
      <c r="B2580" t="str">
        <f>"1578728219145523"</f>
        <v>1578728219145523</v>
      </c>
      <c r="C2580" t="s">
        <v>37</v>
      </c>
      <c r="D2580">
        <v>5.754499</v>
      </c>
      <c r="E2580">
        <v>0.52085379999999903</v>
      </c>
      <c r="F2580" t="s">
        <v>39</v>
      </c>
      <c r="G2580">
        <v>-490.91890000000001</v>
      </c>
      <c r="H2580" s="1">
        <v>-3.8222480000000001E-6</v>
      </c>
      <c r="I2580">
        <v>237.9289</v>
      </c>
      <c r="J2580">
        <v>-491.33</v>
      </c>
      <c r="K2580">
        <v>1.1064339999999999</v>
      </c>
      <c r="L2580">
        <v>255.27520000000001</v>
      </c>
      <c r="M2580">
        <v>-0.1523147</v>
      </c>
      <c r="N2580">
        <v>0</v>
      </c>
      <c r="O2580">
        <v>-0.98825620000000003</v>
      </c>
      <c r="P2580">
        <v>8.4241720000000006E-2</v>
      </c>
      <c r="Q2580">
        <v>5.4193949999999998E-2</v>
      </c>
      <c r="R2580">
        <v>-0.99497069999999999</v>
      </c>
      <c r="S2580">
        <v>6.7871089999999995E-2</v>
      </c>
      <c r="T2580">
        <v>-0.19118089999999999</v>
      </c>
      <c r="U2580">
        <v>-3.0196529999999999</v>
      </c>
      <c r="V2580">
        <v>-0.23506069999999901</v>
      </c>
      <c r="W2580">
        <v>6.5226779999999998E-2</v>
      </c>
      <c r="X2580">
        <v>0.96978960000000003</v>
      </c>
      <c r="Y2580">
        <v>-0.17445069999999999</v>
      </c>
      <c r="Z2580">
        <v>6.158744E-2</v>
      </c>
      <c r="AA2580">
        <v>0.982737999999999</v>
      </c>
      <c r="AB2580">
        <v>21</v>
      </c>
      <c r="AC2580">
        <v>0.41109999999997598</v>
      </c>
      <c r="AD2580">
        <v>-1.106437822248</v>
      </c>
      <c r="AE2580">
        <v>-17.346299999999999</v>
      </c>
      <c r="AF2580">
        <v>-3.03625090574617</v>
      </c>
      <c r="AG2580">
        <v>-1.106437822248</v>
      </c>
      <c r="AH2580">
        <v>17.0120766316033</v>
      </c>
      <c r="AI2580">
        <v>93.663454836523798</v>
      </c>
      <c r="AJ2580">
        <v>100.119384355782</v>
      </c>
      <c r="AK2580">
        <v>17.316286424539399</v>
      </c>
    </row>
    <row r="2581" spans="1:37" x14ac:dyDescent="0.2">
      <c r="A2581" t="str">
        <f>"20200111153659176"</f>
        <v>20200111153659176</v>
      </c>
      <c r="B2581" t="str">
        <f>"1578728219165550"</f>
        <v>1578728219165550</v>
      </c>
      <c r="C2581" t="s">
        <v>37</v>
      </c>
      <c r="D2581">
        <v>5.9773680000000002</v>
      </c>
      <c r="E2581">
        <v>0.52097939999999998</v>
      </c>
      <c r="F2581" t="s">
        <v>39</v>
      </c>
      <c r="G2581">
        <v>-490.90370000000001</v>
      </c>
      <c r="H2581" s="1">
        <v>-3.8598279999999998E-6</v>
      </c>
      <c r="I2581">
        <v>238.02590000000001</v>
      </c>
      <c r="J2581">
        <v>-491.35579999999999</v>
      </c>
      <c r="K2581">
        <v>1.1064399999999901</v>
      </c>
      <c r="L2581">
        <v>255.08940000000001</v>
      </c>
      <c r="M2581">
        <v>-0.14997679999999999</v>
      </c>
      <c r="N2581">
        <v>0</v>
      </c>
      <c r="O2581">
        <v>-0.98861139999999903</v>
      </c>
      <c r="P2581">
        <v>8.7361159999999993E-2</v>
      </c>
      <c r="Q2581">
        <v>5.2861480000000002E-2</v>
      </c>
      <c r="R2581">
        <v>-0.99477320000000002</v>
      </c>
      <c r="S2581">
        <v>7.4615479999999998E-2</v>
      </c>
      <c r="T2581">
        <v>-0.1936754</v>
      </c>
      <c r="U2581">
        <v>-3.0193789999999998</v>
      </c>
      <c r="V2581">
        <v>-0.23581099999999999</v>
      </c>
      <c r="W2581">
        <v>6.4059080000000004E-2</v>
      </c>
      <c r="X2581">
        <v>0.96968529999999997</v>
      </c>
      <c r="Y2581">
        <v>-0.17431669999999999</v>
      </c>
      <c r="Z2581">
        <v>6.2426809999999999E-2</v>
      </c>
      <c r="AA2581">
        <v>0.98270879999999905</v>
      </c>
      <c r="AB2581">
        <v>21</v>
      </c>
      <c r="AC2581">
        <v>0.45209999999997302</v>
      </c>
      <c r="AD2581">
        <v>-1.106443859828</v>
      </c>
      <c r="AE2581">
        <v>-17.063500000000001</v>
      </c>
      <c r="AF2581">
        <v>-2.9937339647479</v>
      </c>
      <c r="AG2581">
        <v>-1.106443859828</v>
      </c>
      <c r="AH2581">
        <v>16.732360643805499</v>
      </c>
      <c r="AI2581">
        <v>93.724261703071306</v>
      </c>
      <c r="AJ2581">
        <v>100.14395862130399</v>
      </c>
      <c r="AK2581">
        <v>17.0340410290984</v>
      </c>
    </row>
    <row r="2582" spans="1:37" x14ac:dyDescent="0.2">
      <c r="A2582" t="str">
        <f>"20200111153659189"</f>
        <v>20200111153659189</v>
      </c>
      <c r="B2582" t="str">
        <f>"1578728219185071"</f>
        <v>1578728219185071</v>
      </c>
      <c r="C2582" t="s">
        <v>37</v>
      </c>
      <c r="D2582">
        <v>5.7658829999999996</v>
      </c>
      <c r="E2582">
        <v>0.52109059999999996</v>
      </c>
      <c r="F2582" t="s">
        <v>39</v>
      </c>
      <c r="G2582">
        <v>-490.88990000000001</v>
      </c>
      <c r="H2582" s="1">
        <v>-3.925992E-6</v>
      </c>
      <c r="I2582">
        <v>238.18879999999999</v>
      </c>
      <c r="J2582">
        <v>-491.37380000000002</v>
      </c>
      <c r="K2582">
        <v>1.1064430000000001</v>
      </c>
      <c r="L2582">
        <v>254.9581</v>
      </c>
      <c r="M2582">
        <v>-0.14833940000000001</v>
      </c>
      <c r="N2582">
        <v>0</v>
      </c>
      <c r="O2582">
        <v>-0.98885730000000005</v>
      </c>
      <c r="P2582">
        <v>8.947869E-2</v>
      </c>
      <c r="Q2582">
        <v>5.2675189999999997E-2</v>
      </c>
      <c r="R2582">
        <v>-0.9945948</v>
      </c>
      <c r="S2582">
        <v>8.3221439999999994E-2</v>
      </c>
      <c r="T2582">
        <v>-0.19764209999999999</v>
      </c>
      <c r="U2582">
        <v>-3.0189360000000001</v>
      </c>
      <c r="V2582">
        <v>-0.2362686</v>
      </c>
      <c r="W2582">
        <v>6.3977220000000001E-2</v>
      </c>
      <c r="X2582">
        <v>0.96957929999999903</v>
      </c>
      <c r="Y2582">
        <v>-0.1754867</v>
      </c>
      <c r="Z2582">
        <v>6.3724260000000005E-2</v>
      </c>
      <c r="AA2582">
        <v>0.98241719999999899</v>
      </c>
      <c r="AB2582">
        <v>21</v>
      </c>
      <c r="AC2582">
        <v>0.48390000000000499</v>
      </c>
      <c r="AD2582">
        <v>-1.106446925992</v>
      </c>
      <c r="AE2582">
        <v>-16.769300000000001</v>
      </c>
      <c r="AF2582">
        <v>-2.9534414149808299</v>
      </c>
      <c r="AG2582">
        <v>-1.106446925992</v>
      </c>
      <c r="AH2582">
        <v>16.440444007838401</v>
      </c>
      <c r="AI2582">
        <v>93.7897325313522</v>
      </c>
      <c r="AJ2582">
        <v>100.184263580731</v>
      </c>
      <c r="AK2582">
        <v>16.7402281993595</v>
      </c>
    </row>
    <row r="2583" spans="1:37" x14ac:dyDescent="0.2">
      <c r="A2583" t="str">
        <f>"20200111153659204"</f>
        <v>20200111153659204</v>
      </c>
      <c r="B2583" t="str">
        <f>"1578728219195807"</f>
        <v>1578728219195807</v>
      </c>
      <c r="C2583" t="s">
        <v>37</v>
      </c>
      <c r="D2583">
        <v>5.798635</v>
      </c>
      <c r="E2583">
        <v>0.52109059999999996</v>
      </c>
      <c r="F2583" t="s">
        <v>39</v>
      </c>
      <c r="G2583">
        <v>-490.88220000000001</v>
      </c>
      <c r="H2583" s="1">
        <v>-3.951531E-6</v>
      </c>
      <c r="I2583">
        <v>238.25309999999999</v>
      </c>
      <c r="J2583">
        <v>-491.39179999999999</v>
      </c>
      <c r="K2583">
        <v>1.1064430000000001</v>
      </c>
      <c r="L2583">
        <v>254.82499999999999</v>
      </c>
      <c r="M2583">
        <v>-0.1466885</v>
      </c>
      <c r="N2583">
        <v>0</v>
      </c>
      <c r="O2583">
        <v>-0.98910219999999904</v>
      </c>
      <c r="P2583">
        <v>9.1193220000000005E-2</v>
      </c>
      <c r="Q2583">
        <v>5.3524679999999998E-2</v>
      </c>
      <c r="R2583">
        <v>-0.99439359999999999</v>
      </c>
      <c r="S2583">
        <v>8.8836670000000006E-2</v>
      </c>
      <c r="T2583">
        <v>-0.19995460000000001</v>
      </c>
      <c r="U2583">
        <v>-3.0189059999999999</v>
      </c>
      <c r="V2583">
        <v>-0.236316</v>
      </c>
      <c r="W2583">
        <v>6.4926999999999999E-2</v>
      </c>
      <c r="X2583">
        <v>0.969504699999999</v>
      </c>
      <c r="Y2583">
        <v>-0.1756682</v>
      </c>
      <c r="Z2583">
        <v>6.4488900000000002E-2</v>
      </c>
      <c r="AA2583">
        <v>0.98233490000000001</v>
      </c>
      <c r="AB2583">
        <v>21</v>
      </c>
      <c r="AC2583">
        <v>0.50959999999997696</v>
      </c>
      <c r="AD2583">
        <v>-1.106446951531</v>
      </c>
      <c r="AE2583">
        <v>-16.571899999999999</v>
      </c>
      <c r="AF2583">
        <v>-2.9221734248308899</v>
      </c>
      <c r="AG2583">
        <v>-1.106446951531</v>
      </c>
      <c r="AH2583">
        <v>16.245500126977301</v>
      </c>
      <c r="AI2583">
        <v>93.834920207191502</v>
      </c>
      <c r="AJ2583">
        <v>100.19708449805501</v>
      </c>
      <c r="AK2583">
        <v>16.543264392403302</v>
      </c>
    </row>
    <row r="2584" spans="1:37" x14ac:dyDescent="0.2">
      <c r="A2584" t="str">
        <f>"20200111153659219"</f>
        <v>20200111153659219</v>
      </c>
      <c r="B2584" t="str">
        <f>"1578728219215327"</f>
        <v>1578728219215327</v>
      </c>
      <c r="C2584" t="s">
        <v>37</v>
      </c>
      <c r="D2584">
        <v>5.8137549999999996</v>
      </c>
      <c r="E2584">
        <v>0.52103359999999999</v>
      </c>
      <c r="F2584" t="s">
        <v>39</v>
      </c>
      <c r="G2584">
        <v>-490.86770000000001</v>
      </c>
      <c r="H2584" s="1">
        <v>-3.7979370000000001E-6</v>
      </c>
      <c r="I2584">
        <v>237.904</v>
      </c>
      <c r="J2584">
        <v>-491.41019999999997</v>
      </c>
      <c r="K2584">
        <v>1.1064579999999999</v>
      </c>
      <c r="L2584">
        <v>254.68719999999999</v>
      </c>
      <c r="M2584">
        <v>-0.1449946</v>
      </c>
      <c r="N2584">
        <v>0</v>
      </c>
      <c r="O2584">
        <v>-0.98935090000000003</v>
      </c>
      <c r="P2584">
        <v>9.3126550000000002E-2</v>
      </c>
      <c r="Q2584">
        <v>5.4797409999999998E-2</v>
      </c>
      <c r="R2584">
        <v>-0.99414550000000002</v>
      </c>
      <c r="S2584">
        <v>9.3505859999999996E-2</v>
      </c>
      <c r="T2584">
        <v>-0.1974059</v>
      </c>
      <c r="U2584">
        <v>-3.0189360000000001</v>
      </c>
      <c r="V2584">
        <v>-0.23653369999999899</v>
      </c>
      <c r="W2584">
        <v>6.6294480000000003E-2</v>
      </c>
      <c r="X2584">
        <v>0.96935899999999997</v>
      </c>
      <c r="Y2584">
        <v>-0.17550189999999999</v>
      </c>
      <c r="Z2584">
        <v>6.3693659999999999E-2</v>
      </c>
      <c r="AA2584">
        <v>0.98241650000000003</v>
      </c>
      <c r="AB2584">
        <v>21</v>
      </c>
      <c r="AC2584">
        <v>0.54249999999996101</v>
      </c>
      <c r="AD2584">
        <v>-1.1064617979369999</v>
      </c>
      <c r="AE2584">
        <v>-16.783199999999901</v>
      </c>
      <c r="AF2584">
        <v>-2.9575946191306799</v>
      </c>
      <c r="AG2584">
        <v>-1.1064617979369999</v>
      </c>
      <c r="AH2584">
        <v>16.4557005857144</v>
      </c>
      <c r="AI2584">
        <v>93.786223518933795</v>
      </c>
      <c r="AJ2584">
        <v>100.189027615923</v>
      </c>
      <c r="AK2584">
        <v>16.755945374943401</v>
      </c>
    </row>
    <row r="2585" spans="1:37" x14ac:dyDescent="0.2">
      <c r="A2585" t="str">
        <f>"20200111153659243"</f>
        <v>20200111153659243</v>
      </c>
      <c r="B2585" t="str">
        <f>"1578728219235823"</f>
        <v>1578728219235823</v>
      </c>
      <c r="C2585" t="s">
        <v>37</v>
      </c>
      <c r="D2585">
        <v>5.5778270000000001</v>
      </c>
      <c r="E2585">
        <v>0.48292879999999899</v>
      </c>
      <c r="F2585" t="s">
        <v>39</v>
      </c>
      <c r="G2585">
        <v>-490.83629999999999</v>
      </c>
      <c r="H2585" s="1">
        <v>-3.566574E-6</v>
      </c>
      <c r="I2585">
        <v>237.38419999999999</v>
      </c>
      <c r="J2585">
        <v>-491.43979999999999</v>
      </c>
      <c r="K2585">
        <v>1.1064670000000001</v>
      </c>
      <c r="L2585">
        <v>254.46209999999999</v>
      </c>
      <c r="M2585">
        <v>-0.14225470000000001</v>
      </c>
      <c r="N2585">
        <v>0</v>
      </c>
      <c r="O2585">
        <v>-0.98974689999999999</v>
      </c>
      <c r="P2585">
        <v>9.6697870000000005E-2</v>
      </c>
      <c r="Q2585">
        <v>5.5757609999999999E-2</v>
      </c>
      <c r="R2585">
        <v>-0.99375100000000005</v>
      </c>
      <c r="S2585">
        <v>0.100128199999999</v>
      </c>
      <c r="T2585">
        <v>-0.19304689999999999</v>
      </c>
      <c r="U2585">
        <v>-3.0189059999999999</v>
      </c>
      <c r="V2585">
        <v>-0.23732689999999901</v>
      </c>
      <c r="W2585">
        <v>6.7385890000000004E-2</v>
      </c>
      <c r="X2585">
        <v>0.9690898</v>
      </c>
      <c r="Y2585">
        <v>-0.17493249999999999</v>
      </c>
      <c r="Z2585">
        <v>6.233267E-2</v>
      </c>
      <c r="AA2585">
        <v>0.98260530000000001</v>
      </c>
      <c r="AB2585">
        <v>21</v>
      </c>
      <c r="AC2585">
        <v>0.60349999999999604</v>
      </c>
      <c r="AD2585">
        <v>-1.106470566574</v>
      </c>
      <c r="AE2585">
        <v>-17.0779</v>
      </c>
      <c r="AF2585">
        <v>-3.0143355602971198</v>
      </c>
      <c r="AG2585">
        <v>-1.106470566574</v>
      </c>
      <c r="AH2585">
        <v>16.7481169129025</v>
      </c>
      <c r="AI2585">
        <v>93.7201725664343</v>
      </c>
      <c r="AJ2585">
        <v>100.202895172925</v>
      </c>
      <c r="AK2585">
        <v>17.053149741705099</v>
      </c>
    </row>
    <row r="2586" spans="1:37" x14ac:dyDescent="0.2">
      <c r="A2586" t="str">
        <f>"20200111153659265"</f>
        <v>20200111153659265</v>
      </c>
      <c r="B2586" t="str">
        <f>"1578728219254873"</f>
        <v>1578728219254873</v>
      </c>
      <c r="C2586" t="s">
        <v>37</v>
      </c>
      <c r="D2586">
        <v>5.7916069999999999</v>
      </c>
      <c r="E2586">
        <v>0.43758959999999902</v>
      </c>
      <c r="F2586" t="s">
        <v>39</v>
      </c>
      <c r="G2586">
        <v>-489.50069999999999</v>
      </c>
      <c r="H2586" s="1">
        <v>-4.093898E-7</v>
      </c>
      <c r="I2586">
        <v>240.38059999999999</v>
      </c>
      <c r="J2586">
        <v>-491.46620000000001</v>
      </c>
      <c r="K2586">
        <v>1.106463</v>
      </c>
      <c r="L2586">
        <v>254.2569</v>
      </c>
      <c r="M2586">
        <v>-0.1397757</v>
      </c>
      <c r="N2586">
        <v>0</v>
      </c>
      <c r="O2586">
        <v>-0.990098699999999</v>
      </c>
      <c r="P2586">
        <v>0.10016019999999901</v>
      </c>
      <c r="Q2586">
        <v>5.6516379999999998E-2</v>
      </c>
      <c r="R2586">
        <v>-0.9933651</v>
      </c>
      <c r="S2586">
        <v>0.41201779999999999</v>
      </c>
      <c r="T2586">
        <v>-0.23509759999999999</v>
      </c>
      <c r="U2586">
        <v>-2.9919889999999998</v>
      </c>
      <c r="V2586">
        <v>-0.23827209999999999</v>
      </c>
      <c r="W2586">
        <v>6.8246039999999994E-2</v>
      </c>
      <c r="X2586">
        <v>0.96879760000000004</v>
      </c>
      <c r="Y2586">
        <v>-0.27316119999999999</v>
      </c>
      <c r="Z2586">
        <v>7.5334010000000007E-2</v>
      </c>
      <c r="AA2586">
        <v>0.95901389999999997</v>
      </c>
      <c r="AB2586">
        <v>21</v>
      </c>
      <c r="AC2586">
        <v>1.96550000000002</v>
      </c>
      <c r="AD2586">
        <v>-1.1064634093898</v>
      </c>
      <c r="AE2586">
        <v>-13.876300000000001</v>
      </c>
      <c r="AF2586">
        <v>-3.8618625158765698</v>
      </c>
      <c r="AG2586">
        <v>-1.1064634093898</v>
      </c>
      <c r="AH2586">
        <v>13.381894152568201</v>
      </c>
      <c r="AI2586">
        <v>94.542133928729797</v>
      </c>
      <c r="AJ2586">
        <v>106.09753861748101</v>
      </c>
      <c r="AK2586">
        <v>13.971876555366199</v>
      </c>
    </row>
    <row r="2587" spans="1:37" x14ac:dyDescent="0.2">
      <c r="A2587" t="str">
        <f>"20200111153659287"</f>
        <v>20200111153659287</v>
      </c>
      <c r="B2587" t="str">
        <f>"1578728219275369"</f>
        <v>1578728219275369</v>
      </c>
      <c r="C2587" t="s">
        <v>37</v>
      </c>
      <c r="D2587">
        <v>5.6347759999999996</v>
      </c>
      <c r="E2587">
        <v>0.43693909999999903</v>
      </c>
      <c r="F2587" t="s">
        <v>39</v>
      </c>
      <c r="G2587">
        <v>-487.78739999999999</v>
      </c>
      <c r="H2587" s="1">
        <v>-8.2748689999999898E-7</v>
      </c>
      <c r="I2587">
        <v>240.34970000000001</v>
      </c>
      <c r="J2587">
        <v>-491.49189999999999</v>
      </c>
      <c r="K2587">
        <v>1.106452</v>
      </c>
      <c r="L2587">
        <v>254.05439999999999</v>
      </c>
      <c r="M2587">
        <v>-0.13734150000000001</v>
      </c>
      <c r="N2587">
        <v>0</v>
      </c>
      <c r="O2587">
        <v>-0.99043819999999905</v>
      </c>
      <c r="P2587">
        <v>0.104258899999999</v>
      </c>
      <c r="Q2587">
        <v>5.6869900000000001E-2</v>
      </c>
      <c r="R2587">
        <v>-0.99292309999999995</v>
      </c>
      <c r="S2587">
        <v>0.78158570000000005</v>
      </c>
      <c r="T2587">
        <v>-0.2350689</v>
      </c>
      <c r="U2587">
        <v>-2.9546049999999999</v>
      </c>
      <c r="V2587">
        <v>-0.23988699999999999</v>
      </c>
      <c r="W2587">
        <v>6.8680850000000002E-2</v>
      </c>
      <c r="X2587">
        <v>0.96836829999999996</v>
      </c>
      <c r="Y2587">
        <v>-0.38537659999999901</v>
      </c>
      <c r="Z2587">
        <v>7.3849010000000007E-2</v>
      </c>
      <c r="AA2587">
        <v>0.91979959999999905</v>
      </c>
      <c r="AB2587">
        <v>21</v>
      </c>
      <c r="AC2587">
        <v>3.7044999999999901</v>
      </c>
      <c r="AD2587">
        <v>-1.1064528274868899</v>
      </c>
      <c r="AE2587">
        <v>-13.7046999999999</v>
      </c>
      <c r="AF2587">
        <v>-5.5182530430138801</v>
      </c>
      <c r="AG2587">
        <v>-1.1064528274868899</v>
      </c>
      <c r="AH2587">
        <v>12.987095903477201</v>
      </c>
      <c r="AI2587">
        <v>94.483477491564202</v>
      </c>
      <c r="AJ2587">
        <v>113.02077333989401</v>
      </c>
      <c r="AK2587">
        <v>14.154151847154299</v>
      </c>
    </row>
    <row r="2588" spans="1:37" x14ac:dyDescent="0.2">
      <c r="A2588" t="str">
        <f>"20200111153659308"</f>
        <v>20200111153659308</v>
      </c>
      <c r="B2588" t="str">
        <f>"1578728219305625"</f>
        <v>1578728219305625</v>
      </c>
      <c r="C2588" t="s">
        <v>37</v>
      </c>
      <c r="D2588">
        <v>5.5826129999999896</v>
      </c>
      <c r="E2588">
        <v>0.43786140000000001</v>
      </c>
      <c r="F2588" t="s">
        <v>39</v>
      </c>
      <c r="G2588">
        <v>-487.81699999999898</v>
      </c>
      <c r="H2588" s="1">
        <v>-8.5837339999999997E-7</v>
      </c>
      <c r="I2588">
        <v>240.46360000000001</v>
      </c>
      <c r="J2588">
        <v>-491.51650000000001</v>
      </c>
      <c r="K2588">
        <v>1.106427</v>
      </c>
      <c r="L2588">
        <v>253.85570000000001</v>
      </c>
      <c r="M2588">
        <v>-0.13496369999999999</v>
      </c>
      <c r="N2588">
        <v>0</v>
      </c>
      <c r="O2588">
        <v>-0.99076399999999998</v>
      </c>
      <c r="P2588">
        <v>0.1080974</v>
      </c>
      <c r="Q2588">
        <v>5.6192319999999997E-2</v>
      </c>
      <c r="R2588">
        <v>-0.99255099999999996</v>
      </c>
      <c r="S2588">
        <v>0.79803469999999999</v>
      </c>
      <c r="T2588">
        <v>-0.2402772</v>
      </c>
      <c r="U2588">
        <v>-2.9513699999999998</v>
      </c>
      <c r="V2588">
        <v>-0.24130979999999999</v>
      </c>
      <c r="W2588">
        <v>6.8073339999999996E-2</v>
      </c>
      <c r="X2588">
        <v>0.96805759999999996</v>
      </c>
      <c r="Y2588">
        <v>-0.38816079999999997</v>
      </c>
      <c r="Z2588">
        <v>7.5493920000000006E-2</v>
      </c>
      <c r="AA2588">
        <v>0.91849429999999999</v>
      </c>
      <c r="AB2588">
        <v>21</v>
      </c>
      <c r="AC2588">
        <v>3.6995000000000502</v>
      </c>
      <c r="AD2588">
        <v>-1.1064278583734</v>
      </c>
      <c r="AE2588">
        <v>-13.392099999999999</v>
      </c>
      <c r="AF2588">
        <v>-5.4387567439524398</v>
      </c>
      <c r="AG2588">
        <v>-1.1064278583734</v>
      </c>
      <c r="AH2588">
        <v>12.6897319758483</v>
      </c>
      <c r="AI2588">
        <v>94.581908779905802</v>
      </c>
      <c r="AJ2588">
        <v>113.19973555313</v>
      </c>
      <c r="AK2588">
        <v>13.850399096940899</v>
      </c>
    </row>
    <row r="2589" spans="1:37" x14ac:dyDescent="0.2">
      <c r="A2589" t="str">
        <f>"20200111153659334"</f>
        <v>20200111153659334</v>
      </c>
      <c r="B2589" t="str">
        <f>"1578728219325145"</f>
        <v>1578728219325145</v>
      </c>
      <c r="C2589" t="s">
        <v>37</v>
      </c>
      <c r="D2589">
        <v>5.5755349999999897</v>
      </c>
      <c r="E2589">
        <v>0.438741299999999</v>
      </c>
      <c r="F2589" t="s">
        <v>39</v>
      </c>
      <c r="G2589">
        <v>-487.95569999999998</v>
      </c>
      <c r="H2589" s="1">
        <v>-9.2112319999999899E-7</v>
      </c>
      <c r="I2589">
        <v>240.75649999999999</v>
      </c>
      <c r="J2589">
        <v>-491.5462</v>
      </c>
      <c r="K2589">
        <v>1.106409</v>
      </c>
      <c r="L2589">
        <v>253.6113</v>
      </c>
      <c r="M2589">
        <v>-0.13205799999999901</v>
      </c>
      <c r="N2589">
        <v>0</v>
      </c>
      <c r="O2589">
        <v>-0.99115429999999904</v>
      </c>
      <c r="P2589">
        <v>0.11234180000000001</v>
      </c>
      <c r="Q2589">
        <v>5.4732019999999999E-2</v>
      </c>
      <c r="R2589">
        <v>-0.99216119999999997</v>
      </c>
      <c r="S2589">
        <v>0.80172730000000003</v>
      </c>
      <c r="T2589">
        <v>-0.24911710000000001</v>
      </c>
      <c r="U2589">
        <v>-2.949341</v>
      </c>
      <c r="V2589">
        <v>-0.242617</v>
      </c>
      <c r="W2589">
        <v>6.6690330000000006E-2</v>
      </c>
      <c r="X2589">
        <v>0.96782710000000005</v>
      </c>
      <c r="Y2589">
        <v>-0.38663039999999999</v>
      </c>
      <c r="Z2589">
        <v>7.8367290000000006E-2</v>
      </c>
      <c r="AA2589">
        <v>0.91889909999999997</v>
      </c>
      <c r="AB2589">
        <v>21</v>
      </c>
      <c r="AC2589">
        <v>3.59050000000002</v>
      </c>
      <c r="AD2589">
        <v>-1.1064099211231999</v>
      </c>
      <c r="AE2589">
        <v>-12.854799999999999</v>
      </c>
      <c r="AF2589">
        <v>-5.2208981564683699</v>
      </c>
      <c r="AG2589">
        <v>-1.1064099211231999</v>
      </c>
      <c r="AH2589">
        <v>12.1842733550746</v>
      </c>
      <c r="AI2589">
        <v>94.771222286195894</v>
      </c>
      <c r="AJ2589">
        <v>113.19488271835</v>
      </c>
      <c r="AK2589">
        <v>13.3018208402067</v>
      </c>
    </row>
    <row r="2590" spans="1:37" x14ac:dyDescent="0.2">
      <c r="A2590" t="str">
        <f>"20200111153659354"</f>
        <v>20200111153659354</v>
      </c>
      <c r="B2590" t="str">
        <f>"1578728219345641"</f>
        <v>1578728219345641</v>
      </c>
      <c r="C2590" t="s">
        <v>37</v>
      </c>
      <c r="D2590">
        <v>5.5316159999999996</v>
      </c>
      <c r="E2590">
        <v>0.43958039999999998</v>
      </c>
      <c r="F2590" t="s">
        <v>39</v>
      </c>
      <c r="G2590">
        <v>-488.06220000000002</v>
      </c>
      <c r="H2590" s="1">
        <v>-9.4053809999999997E-7</v>
      </c>
      <c r="I2590">
        <v>240.89680000000001</v>
      </c>
      <c r="J2590">
        <v>-491.56760000000003</v>
      </c>
      <c r="K2590">
        <v>1.10639</v>
      </c>
      <c r="L2590">
        <v>253.4314</v>
      </c>
      <c r="M2590">
        <v>-0.12993399999999999</v>
      </c>
      <c r="N2590">
        <v>0</v>
      </c>
      <c r="O2590">
        <v>-0.99143440000000005</v>
      </c>
      <c r="P2590">
        <v>0.11617999999999901</v>
      </c>
      <c r="Q2590">
        <v>5.2697309999999997E-2</v>
      </c>
      <c r="R2590">
        <v>-0.99182950000000003</v>
      </c>
      <c r="S2590">
        <v>0.80737300000000001</v>
      </c>
      <c r="T2590">
        <v>-0.25639469999999998</v>
      </c>
      <c r="U2590">
        <v>-2.9464109999999999</v>
      </c>
      <c r="V2590">
        <v>-0.24429529999999999</v>
      </c>
      <c r="W2590">
        <v>6.4701460000000002E-2</v>
      </c>
      <c r="X2590">
        <v>0.96753999999999996</v>
      </c>
      <c r="Y2590">
        <v>-0.38647419999999999</v>
      </c>
      <c r="Z2590">
        <v>8.0736089999999996E-2</v>
      </c>
      <c r="AA2590">
        <v>0.91875969999999996</v>
      </c>
      <c r="AB2590">
        <v>21</v>
      </c>
      <c r="AC2590">
        <v>3.5053999999999998</v>
      </c>
      <c r="AD2590">
        <v>-1.1063909405381001</v>
      </c>
      <c r="AE2590">
        <v>-12.5345999999999</v>
      </c>
      <c r="AF2590">
        <v>-5.0678714267705001</v>
      </c>
      <c r="AG2590">
        <v>-1.1063909405381001</v>
      </c>
      <c r="AH2590">
        <v>11.886916593908101</v>
      </c>
      <c r="AI2590">
        <v>94.893711911381004</v>
      </c>
      <c r="AJ2590">
        <v>113.090504774359</v>
      </c>
      <c r="AK2590">
        <v>12.9694335968118</v>
      </c>
    </row>
    <row r="2591" spans="1:37" x14ac:dyDescent="0.2">
      <c r="A2591" t="str">
        <f>"20200111153659376"</f>
        <v>20200111153659376</v>
      </c>
      <c r="B2591" t="str">
        <f>"1578728219365668"</f>
        <v>1578728219365668</v>
      </c>
      <c r="C2591" t="s">
        <v>37</v>
      </c>
      <c r="D2591">
        <v>5.5348629999999996</v>
      </c>
      <c r="E2591">
        <v>0.44023679999999898</v>
      </c>
      <c r="F2591" t="s">
        <v>39</v>
      </c>
      <c r="G2591">
        <v>-488.16759999999999</v>
      </c>
      <c r="H2591" s="1">
        <v>-9.8007270000000001E-7</v>
      </c>
      <c r="I2591">
        <v>241.09540000000001</v>
      </c>
      <c r="J2591">
        <v>-491.59089999999998</v>
      </c>
      <c r="K2591">
        <v>1.106385</v>
      </c>
      <c r="L2591">
        <v>253.2319</v>
      </c>
      <c r="M2591">
        <v>-0.1275984</v>
      </c>
      <c r="N2591">
        <v>0</v>
      </c>
      <c r="O2591">
        <v>-0.99173679999999997</v>
      </c>
      <c r="P2591">
        <v>0.1204221</v>
      </c>
      <c r="Q2591">
        <v>5.107855E-2</v>
      </c>
      <c r="R2591">
        <v>-0.99140779999999995</v>
      </c>
      <c r="S2591">
        <v>0.81134030000000001</v>
      </c>
      <c r="T2591">
        <v>-0.26401829999999998</v>
      </c>
      <c r="U2591">
        <v>-2.9437410000000002</v>
      </c>
      <c r="V2591">
        <v>-0.24615960000000001</v>
      </c>
      <c r="W2591">
        <v>6.3128260000000005E-2</v>
      </c>
      <c r="X2591">
        <v>0.96717129999999996</v>
      </c>
      <c r="Y2591">
        <v>-0.38561089999999998</v>
      </c>
      <c r="Z2591">
        <v>8.3232120000000007E-2</v>
      </c>
      <c r="AA2591">
        <v>0.91889969999999999</v>
      </c>
      <c r="AB2591">
        <v>21</v>
      </c>
      <c r="AC2591">
        <v>3.4232999999999798</v>
      </c>
      <c r="AD2591">
        <v>-1.1063859800726901</v>
      </c>
      <c r="AE2591">
        <v>-12.1364999999999</v>
      </c>
      <c r="AF2591">
        <v>-4.9062789309551302</v>
      </c>
      <c r="AG2591">
        <v>-1.1063859800726901</v>
      </c>
      <c r="AH2591">
        <v>11.511813242652</v>
      </c>
      <c r="AI2591">
        <v>95.052597870983305</v>
      </c>
      <c r="AJ2591">
        <v>113.08346755255199</v>
      </c>
      <c r="AK2591">
        <v>12.562543811622399</v>
      </c>
    </row>
    <row r="2592" spans="1:37" x14ac:dyDescent="0.2">
      <c r="A2592" t="str">
        <f>"20200111153659397"</f>
        <v>20200111153659397</v>
      </c>
      <c r="B2592" t="str">
        <f>"1578728219394948"</f>
        <v>1578728219394948</v>
      </c>
      <c r="C2592" t="s">
        <v>37</v>
      </c>
      <c r="D2592">
        <v>5.5185589999999998</v>
      </c>
      <c r="E2592">
        <v>0.44101960000000001</v>
      </c>
      <c r="F2592" t="s">
        <v>39</v>
      </c>
      <c r="G2592">
        <v>-488.238</v>
      </c>
      <c r="H2592" s="1">
        <v>-9.889125E-7</v>
      </c>
      <c r="I2592">
        <v>241.1764</v>
      </c>
      <c r="J2592">
        <v>-491.61380000000003</v>
      </c>
      <c r="K2592">
        <v>1.106376</v>
      </c>
      <c r="L2592">
        <v>253.03210000000001</v>
      </c>
      <c r="M2592">
        <v>-0.12528819999999999</v>
      </c>
      <c r="N2592">
        <v>0</v>
      </c>
      <c r="O2592">
        <v>-0.9920312</v>
      </c>
      <c r="P2592">
        <v>0.12525610000000001</v>
      </c>
      <c r="Q2592">
        <v>5.122173E-2</v>
      </c>
      <c r="R2592">
        <v>-0.99080159999999995</v>
      </c>
      <c r="S2592">
        <v>0.81784060000000003</v>
      </c>
      <c r="T2592">
        <v>-0.26986909999999997</v>
      </c>
      <c r="U2592">
        <v>-2.9405669999999899</v>
      </c>
      <c r="V2592">
        <v>-0.24862190000000001</v>
      </c>
      <c r="W2592">
        <v>6.3308610000000001E-2</v>
      </c>
      <c r="X2592">
        <v>0.96652939999999998</v>
      </c>
      <c r="Y2592">
        <v>-0.38555899999999999</v>
      </c>
      <c r="Z2592">
        <v>8.5166049999999993E-2</v>
      </c>
      <c r="AA2592">
        <v>0.91874429999999996</v>
      </c>
      <c r="AB2592">
        <v>21</v>
      </c>
      <c r="AC2592">
        <v>3.3757999999999599</v>
      </c>
      <c r="AD2592">
        <v>-1.1063769889124999</v>
      </c>
      <c r="AE2592">
        <v>-11.855700000000001</v>
      </c>
      <c r="AF2592">
        <v>-4.7960710590115196</v>
      </c>
      <c r="AG2592">
        <v>-1.1063769889124999</v>
      </c>
      <c r="AH2592">
        <v>11.248665589831599</v>
      </c>
      <c r="AI2592">
        <v>95.169800979404897</v>
      </c>
      <c r="AJ2592">
        <v>113.091848435451</v>
      </c>
      <c r="AK2592">
        <v>12.278389356774101</v>
      </c>
    </row>
    <row r="2593" spans="1:37" x14ac:dyDescent="0.2">
      <c r="A2593" t="str">
        <f>"20200111153659421"</f>
        <v>20200111153659421</v>
      </c>
      <c r="B2593" t="str">
        <f>"1578728219415444"</f>
        <v>1578728219415444</v>
      </c>
      <c r="C2593" t="s">
        <v>37</v>
      </c>
      <c r="D2593">
        <v>5.5459110000000003</v>
      </c>
      <c r="E2593">
        <v>0.441606</v>
      </c>
      <c r="F2593" t="s">
        <v>39</v>
      </c>
      <c r="G2593">
        <v>-488.22070000000002</v>
      </c>
      <c r="H2593" s="1">
        <v>-9.1880219999999898E-7</v>
      </c>
      <c r="I2593">
        <v>240.95679999999999</v>
      </c>
      <c r="J2593">
        <v>-491.63720000000001</v>
      </c>
      <c r="K2593">
        <v>1.106368</v>
      </c>
      <c r="L2593">
        <v>252.8237</v>
      </c>
      <c r="M2593">
        <v>-0.12292069999999999</v>
      </c>
      <c r="N2593">
        <v>0</v>
      </c>
      <c r="O2593">
        <v>-0.99232679999999995</v>
      </c>
      <c r="P2593">
        <v>0.12973309999999999</v>
      </c>
      <c r="Q2593">
        <v>5.0882690000000001E-2</v>
      </c>
      <c r="R2593">
        <v>-0.99024279999999998</v>
      </c>
      <c r="S2593">
        <v>0.8254089</v>
      </c>
      <c r="T2593">
        <v>-0.2691364</v>
      </c>
      <c r="U2593">
        <v>-2.937424</v>
      </c>
      <c r="V2593">
        <v>-0.2506816</v>
      </c>
      <c r="W2593">
        <v>6.3010239999999995E-2</v>
      </c>
      <c r="X2593">
        <v>0.96601680000000001</v>
      </c>
      <c r="Y2593">
        <v>-0.38581140000000003</v>
      </c>
      <c r="Z2593">
        <v>8.5030110000000006E-2</v>
      </c>
      <c r="AA2593">
        <v>0.91865090000000005</v>
      </c>
      <c r="AB2593">
        <v>21</v>
      </c>
      <c r="AC2593">
        <v>3.4164999999999801</v>
      </c>
      <c r="AD2593">
        <v>-1.1063689188021999</v>
      </c>
      <c r="AE2593">
        <v>-11.866899999999999</v>
      </c>
      <c r="AF2593">
        <v>-4.8107886337128303</v>
      </c>
      <c r="AG2593">
        <v>-1.1063689188021999</v>
      </c>
      <c r="AH2593">
        <v>11.266461712972401</v>
      </c>
      <c r="AI2593">
        <v>95.160469038740999</v>
      </c>
      <c r="AJ2593">
        <v>113.122522954578</v>
      </c>
      <c r="AK2593">
        <v>12.300443040501699</v>
      </c>
    </row>
    <row r="2594" spans="1:37" x14ac:dyDescent="0.2">
      <c r="A2594" t="str">
        <f>"20200111153659443"</f>
        <v>20200111153659443</v>
      </c>
      <c r="B2594" t="str">
        <f>"1578728219434967"</f>
        <v>1578728219434967</v>
      </c>
      <c r="C2594" t="s">
        <v>37</v>
      </c>
      <c r="D2594">
        <v>5.5033190000000003</v>
      </c>
      <c r="E2594">
        <v>0.44191829999999999</v>
      </c>
      <c r="F2594" t="s">
        <v>39</v>
      </c>
      <c r="G2594">
        <v>-488.21170000000001</v>
      </c>
      <c r="H2594" s="1">
        <v>-8.5701110000000004E-7</v>
      </c>
      <c r="I2594">
        <v>240.76820000000001</v>
      </c>
      <c r="J2594">
        <v>-491.66129999999998</v>
      </c>
      <c r="K2594">
        <v>1.1063609999999999</v>
      </c>
      <c r="L2594">
        <v>252.60480000000001</v>
      </c>
      <c r="M2594">
        <v>-0.1204948</v>
      </c>
      <c r="N2594">
        <v>0</v>
      </c>
      <c r="O2594">
        <v>-0.992623699999999</v>
      </c>
      <c r="P2594">
        <v>0.134187</v>
      </c>
      <c r="Q2594">
        <v>4.9875139999999998E-2</v>
      </c>
      <c r="R2594">
        <v>-0.98970069999999999</v>
      </c>
      <c r="S2594">
        <v>0.83374020000000004</v>
      </c>
      <c r="T2594">
        <v>-0.26927519999999999</v>
      </c>
      <c r="U2594">
        <v>-2.934158</v>
      </c>
      <c r="V2594">
        <v>-0.25266470000000002</v>
      </c>
      <c r="W2594">
        <v>6.2045589999999998E-2</v>
      </c>
      <c r="X2594">
        <v>0.96556249999999999</v>
      </c>
      <c r="Y2594">
        <v>-0.38623639999999998</v>
      </c>
      <c r="Z2594">
        <v>8.5164290000000004E-2</v>
      </c>
      <c r="AA2594">
        <v>0.91845980000000005</v>
      </c>
      <c r="AB2594">
        <v>21</v>
      </c>
      <c r="AC2594">
        <v>3.44959999999997</v>
      </c>
      <c r="AD2594">
        <v>-1.1063618570111</v>
      </c>
      <c r="AE2594">
        <v>-11.836600000000001</v>
      </c>
      <c r="AF2594">
        <v>-4.8120882066508504</v>
      </c>
      <c r="AG2594">
        <v>-1.1063618570111</v>
      </c>
      <c r="AH2594">
        <v>11.244101985422001</v>
      </c>
      <c r="AI2594">
        <v>95.168849818835994</v>
      </c>
      <c r="AJ2594">
        <v>113.16925613467799</v>
      </c>
      <c r="AK2594">
        <v>12.2804747027877</v>
      </c>
    </row>
    <row r="2595" spans="1:37" x14ac:dyDescent="0.2">
      <c r="A2595" t="str">
        <f>"20200111153659465"</f>
        <v>20200111153659465</v>
      </c>
      <c r="B2595" t="str">
        <f>"1578728219454994"</f>
        <v>1578728219454994</v>
      </c>
      <c r="C2595" t="s">
        <v>37</v>
      </c>
      <c r="D2595">
        <v>5.4828999999999999</v>
      </c>
      <c r="E2595">
        <v>0.44215299999999902</v>
      </c>
      <c r="F2595" t="s">
        <v>39</v>
      </c>
      <c r="G2595">
        <v>-488.20710000000003</v>
      </c>
      <c r="H2595" s="1">
        <v>-8.0653999999999997E-7</v>
      </c>
      <c r="I2595">
        <v>240.6163</v>
      </c>
      <c r="J2595">
        <v>-491.68270000000001</v>
      </c>
      <c r="K2595">
        <v>1.106358</v>
      </c>
      <c r="L2595">
        <v>252.40719999999999</v>
      </c>
      <c r="M2595">
        <v>-0.1183491</v>
      </c>
      <c r="N2595">
        <v>0</v>
      </c>
      <c r="O2595">
        <v>-0.99288140000000003</v>
      </c>
      <c r="P2595">
        <v>0.138238</v>
      </c>
      <c r="Q2595">
        <v>4.9608480000000003E-2</v>
      </c>
      <c r="R2595">
        <v>-0.98915599999999904</v>
      </c>
      <c r="S2595">
        <v>0.84432980000000002</v>
      </c>
      <c r="T2595">
        <v>-0.27043040000000002</v>
      </c>
      <c r="U2595">
        <v>-2.9303889999999999</v>
      </c>
      <c r="V2595">
        <v>-0.25452740000000001</v>
      </c>
      <c r="W2595">
        <v>6.1811900000000003E-2</v>
      </c>
      <c r="X2595">
        <v>0.96508809999999901</v>
      </c>
      <c r="Y2595">
        <v>-0.38761129999999999</v>
      </c>
      <c r="Z2595">
        <v>8.5599309999999998E-2</v>
      </c>
      <c r="AA2595">
        <v>0.91783999999999999</v>
      </c>
      <c r="AB2595">
        <v>21</v>
      </c>
      <c r="AC2595">
        <v>3.47559999999998</v>
      </c>
      <c r="AD2595">
        <v>-1.1063588065400001</v>
      </c>
      <c r="AE2595">
        <v>-11.790899999999899</v>
      </c>
      <c r="AF2595">
        <v>-4.8077916565716103</v>
      </c>
      <c r="AG2595">
        <v>-1.1063588065400001</v>
      </c>
      <c r="AH2595">
        <v>11.205874607280199</v>
      </c>
      <c r="AI2595">
        <v>95.184362549247794</v>
      </c>
      <c r="AJ2595">
        <v>113.221368136962</v>
      </c>
      <c r="AK2595">
        <v>12.243795005466801</v>
      </c>
    </row>
    <row r="2596" spans="1:37" x14ac:dyDescent="0.2">
      <c r="A2596" t="str">
        <f>"20200111153659487"</f>
        <v>20200111153659487</v>
      </c>
      <c r="B2596" t="str">
        <f>"1578728219475487"</f>
        <v>1578728219475487</v>
      </c>
      <c r="C2596" t="s">
        <v>37</v>
      </c>
      <c r="D2596">
        <v>5.4582249999999997</v>
      </c>
      <c r="E2596">
        <v>0.44246000000000002</v>
      </c>
      <c r="F2596" t="s">
        <v>39</v>
      </c>
      <c r="G2596">
        <v>-488.18290000000002</v>
      </c>
      <c r="H2596" s="1">
        <v>-7.4606269999999899E-7</v>
      </c>
      <c r="I2596">
        <v>240.4196</v>
      </c>
      <c r="J2596">
        <v>-491.70370000000003</v>
      </c>
      <c r="K2596">
        <v>1.1063540000000001</v>
      </c>
      <c r="L2596">
        <v>252.20949999999999</v>
      </c>
      <c r="M2596">
        <v>-0.1162502</v>
      </c>
      <c r="N2596">
        <v>0</v>
      </c>
      <c r="O2596">
        <v>-0.99312909999999899</v>
      </c>
      <c r="P2596">
        <v>0.1413855</v>
      </c>
      <c r="Q2596">
        <v>5.0860259999999997E-2</v>
      </c>
      <c r="R2596">
        <v>-0.98864739999999995</v>
      </c>
      <c r="S2596">
        <v>0.85455319999999901</v>
      </c>
      <c r="T2596">
        <v>-0.27013979999999999</v>
      </c>
      <c r="U2596">
        <v>-2.9270019999999999</v>
      </c>
      <c r="V2596">
        <v>-0.25555139999999998</v>
      </c>
      <c r="W2596">
        <v>6.3097329999999993E-2</v>
      </c>
      <c r="X2596">
        <v>0.96473430000000004</v>
      </c>
      <c r="Y2596">
        <v>-0.38890399999999897</v>
      </c>
      <c r="Z2596">
        <v>8.5571040000000001E-2</v>
      </c>
      <c r="AA2596">
        <v>0.91729559999999999</v>
      </c>
      <c r="AB2596">
        <v>21</v>
      </c>
      <c r="AC2596">
        <v>3.5207999999999999</v>
      </c>
      <c r="AD2596">
        <v>-1.1063547460626999</v>
      </c>
      <c r="AE2596">
        <v>-11.7898999999999</v>
      </c>
      <c r="AF2596">
        <v>-4.8285882733869503</v>
      </c>
      <c r="AG2596">
        <v>-1.1063547460626999</v>
      </c>
      <c r="AH2596">
        <v>11.2099883744969</v>
      </c>
      <c r="AI2596">
        <v>95.179277418909294</v>
      </c>
      <c r="AJ2596">
        <v>113.303468725527</v>
      </c>
      <c r="AK2596">
        <v>12.2557384475347</v>
      </c>
    </row>
    <row r="2597" spans="1:37" x14ac:dyDescent="0.2">
      <c r="A2597" t="str">
        <f>"20200111153659509"</f>
        <v>20200111153659509</v>
      </c>
      <c r="B2597" t="str">
        <f>"1578728219505744"</f>
        <v>1578728219505744</v>
      </c>
      <c r="C2597" t="s">
        <v>37</v>
      </c>
      <c r="D2597">
        <v>5.4982220000000002</v>
      </c>
      <c r="E2597">
        <v>0.44274719999999901</v>
      </c>
      <c r="F2597" t="s">
        <v>39</v>
      </c>
      <c r="G2597">
        <v>-488.12549999999999</v>
      </c>
      <c r="H2597" s="1">
        <v>-6.3684479999999997E-7</v>
      </c>
      <c r="I2597">
        <v>240.0538</v>
      </c>
      <c r="J2597">
        <v>-491.72489999999999</v>
      </c>
      <c r="K2597">
        <v>1.106333</v>
      </c>
      <c r="L2597">
        <v>252.00579999999999</v>
      </c>
      <c r="M2597">
        <v>-0.1141402</v>
      </c>
      <c r="N2597">
        <v>0</v>
      </c>
      <c r="O2597">
        <v>-0.99337330000000001</v>
      </c>
      <c r="P2597">
        <v>0.144847799999999</v>
      </c>
      <c r="Q2597">
        <v>5.2309670000000003E-2</v>
      </c>
      <c r="R2597">
        <v>-0.98807040000000002</v>
      </c>
      <c r="S2597">
        <v>0.86102289999999904</v>
      </c>
      <c r="T2597">
        <v>-0.26622259999999998</v>
      </c>
      <c r="U2597">
        <v>-2.9250340000000001</v>
      </c>
      <c r="V2597">
        <v>-0.2568724</v>
      </c>
      <c r="W2597">
        <v>6.4574409999999999E-2</v>
      </c>
      <c r="X2597">
        <v>0.96428559999999996</v>
      </c>
      <c r="Y2597">
        <v>-0.38901160000000001</v>
      </c>
      <c r="Z2597">
        <v>8.4399420000000003E-2</v>
      </c>
      <c r="AA2597">
        <v>0.91735859999999902</v>
      </c>
      <c r="AB2597">
        <v>21</v>
      </c>
      <c r="AC2597">
        <v>3.5994000000000002</v>
      </c>
      <c r="AD2597">
        <v>-1.1063336368448</v>
      </c>
      <c r="AE2597">
        <v>-11.9519999999999</v>
      </c>
      <c r="AF2597">
        <v>-4.9016933567829302</v>
      </c>
      <c r="AG2597">
        <v>-1.1063336368448</v>
      </c>
      <c r="AH2597">
        <v>11.373653102528699</v>
      </c>
      <c r="AI2597">
        <v>95.104625233593097</v>
      </c>
      <c r="AJ2597">
        <v>113.31455044685001</v>
      </c>
      <c r="AK2597">
        <v>12.4342493451195</v>
      </c>
    </row>
    <row r="2598" spans="1:37" x14ac:dyDescent="0.2">
      <c r="A2598" t="str">
        <f>"20200111153659533"</f>
        <v>20200111153659533</v>
      </c>
      <c r="B2598" t="str">
        <f>"1578728219525279"</f>
        <v>1578728219525279</v>
      </c>
      <c r="C2598" t="s">
        <v>37</v>
      </c>
      <c r="D2598">
        <v>5.5095150000000004</v>
      </c>
      <c r="E2598">
        <v>0.44293579999999999</v>
      </c>
      <c r="F2598" t="s">
        <v>39</v>
      </c>
      <c r="G2598">
        <v>-488.03890000000001</v>
      </c>
      <c r="H2598" s="1">
        <v>-4.6268609999999997E-6</v>
      </c>
      <c r="I2598">
        <v>239.60720000000001</v>
      </c>
      <c r="J2598">
        <v>-491.74709999999999</v>
      </c>
      <c r="K2598">
        <v>1.1062989999999999</v>
      </c>
      <c r="L2598">
        <v>251.79</v>
      </c>
      <c r="M2598">
        <v>-0.11196059999999999</v>
      </c>
      <c r="N2598">
        <v>0</v>
      </c>
      <c r="O2598">
        <v>-0.99362129999999904</v>
      </c>
      <c r="P2598">
        <v>0.14816319999999999</v>
      </c>
      <c r="Q2598">
        <v>5.2507789999999999E-2</v>
      </c>
      <c r="R2598">
        <v>-0.98756809999999995</v>
      </c>
      <c r="S2598">
        <v>0.86889649999999996</v>
      </c>
      <c r="T2598">
        <v>-0.2607932</v>
      </c>
      <c r="U2598">
        <v>-2.9226679999999998</v>
      </c>
      <c r="V2598">
        <v>-0.257988</v>
      </c>
      <c r="W2598">
        <v>6.4801380000000006E-2</v>
      </c>
      <c r="X2598">
        <v>0.96397250000000001</v>
      </c>
      <c r="Y2598">
        <v>-0.38950570000000001</v>
      </c>
      <c r="Z2598">
        <v>8.2747860000000006E-2</v>
      </c>
      <c r="AA2598">
        <v>0.91729930000000004</v>
      </c>
      <c r="AB2598">
        <v>21</v>
      </c>
      <c r="AC2598">
        <v>3.70819999999997</v>
      </c>
      <c r="AD2598">
        <v>-1.10630362686099</v>
      </c>
      <c r="AE2598">
        <v>-12.182799999999901</v>
      </c>
      <c r="AF2598">
        <v>-5.0111790295598002</v>
      </c>
      <c r="AG2598">
        <v>-1.10630362686099</v>
      </c>
      <c r="AH2598">
        <v>11.603407544932899</v>
      </c>
      <c r="AI2598">
        <v>95.002300436553995</v>
      </c>
      <c r="AJ2598">
        <v>113.358131312418</v>
      </c>
      <c r="AK2598">
        <v>12.6875880148636</v>
      </c>
    </row>
    <row r="2599" spans="1:37" x14ac:dyDescent="0.2">
      <c r="A2599" t="str">
        <f>"20200111153659555"</f>
        <v>20200111153659555</v>
      </c>
      <c r="B2599" t="str">
        <f>"1578728219545759"</f>
        <v>1578728219545759</v>
      </c>
      <c r="C2599" t="s">
        <v>37</v>
      </c>
      <c r="D2599">
        <v>5.5691610000000003</v>
      </c>
      <c r="E2599">
        <v>0.44329829999999998</v>
      </c>
      <c r="F2599" t="s">
        <v>39</v>
      </c>
      <c r="G2599">
        <v>-487.99860000000001</v>
      </c>
      <c r="H2599" s="1">
        <v>-4.5097549999999998E-6</v>
      </c>
      <c r="I2599">
        <v>239.3176</v>
      </c>
      <c r="J2599">
        <v>-491.76729999999998</v>
      </c>
      <c r="K2599">
        <v>1.1062620000000001</v>
      </c>
      <c r="L2599">
        <v>251.58869999999999</v>
      </c>
      <c r="M2599">
        <v>-0.1099686</v>
      </c>
      <c r="N2599">
        <v>0</v>
      </c>
      <c r="O2599">
        <v>-0.99384359999999905</v>
      </c>
      <c r="P2599">
        <v>0.15076249999999999</v>
      </c>
      <c r="Q2599">
        <v>5.0989859999999998E-2</v>
      </c>
      <c r="R2599">
        <v>-0.98725429999999903</v>
      </c>
      <c r="S2599">
        <v>0.87753300000000001</v>
      </c>
      <c r="T2599">
        <v>-0.25899139999999998</v>
      </c>
      <c r="U2599">
        <v>-2.919861</v>
      </c>
      <c r="V2599">
        <v>-0.25859480000000001</v>
      </c>
      <c r="W2599">
        <v>6.3310050000000007E-2</v>
      </c>
      <c r="X2599">
        <v>0.96390900000000002</v>
      </c>
      <c r="Y2599">
        <v>-0.39040449999999999</v>
      </c>
      <c r="Z2599">
        <v>8.2234340000000003E-2</v>
      </c>
      <c r="AA2599">
        <v>0.91696339999999998</v>
      </c>
      <c r="AB2599">
        <v>21</v>
      </c>
      <c r="AC2599">
        <v>3.76869999999996</v>
      </c>
      <c r="AD2599">
        <v>-1.106266509755</v>
      </c>
      <c r="AE2599">
        <v>-12.271099999999899</v>
      </c>
      <c r="AF2599">
        <v>-5.0578332859548096</v>
      </c>
      <c r="AG2599">
        <v>-1.106266509755</v>
      </c>
      <c r="AH2599">
        <v>11.6953266863111</v>
      </c>
      <c r="AI2599">
        <v>94.961946838414605</v>
      </c>
      <c r="AJ2599">
        <v>113.386850139198</v>
      </c>
      <c r="AK2599">
        <v>12.790080900395401</v>
      </c>
    </row>
    <row r="2600" spans="1:37" x14ac:dyDescent="0.2">
      <c r="A2600" t="str">
        <f>"20200111153659577"</f>
        <v>20200111153659577</v>
      </c>
      <c r="B2600" t="str">
        <f>"1578728219565785"</f>
        <v>1578728219565785</v>
      </c>
      <c r="C2600" t="s">
        <v>37</v>
      </c>
      <c r="D2600">
        <v>5.3878599999999999</v>
      </c>
      <c r="E2600">
        <v>0.4415714</v>
      </c>
      <c r="F2600" t="s">
        <v>39</v>
      </c>
      <c r="G2600">
        <v>-488.06569999999999</v>
      </c>
      <c r="H2600" s="1">
        <v>-4.5098569999999997E-6</v>
      </c>
      <c r="I2600">
        <v>239.34559999999999</v>
      </c>
      <c r="J2600">
        <v>-491.78710000000001</v>
      </c>
      <c r="K2600">
        <v>1.1062339999999999</v>
      </c>
      <c r="L2600">
        <v>251.38749999999999</v>
      </c>
      <c r="M2600">
        <v>-0.1080059</v>
      </c>
      <c r="N2600">
        <v>0</v>
      </c>
      <c r="O2600">
        <v>-0.99405880000000002</v>
      </c>
      <c r="P2600">
        <v>0.1539083</v>
      </c>
      <c r="Q2600">
        <v>4.9137769999999997E-2</v>
      </c>
      <c r="R2600">
        <v>-0.98686289999999999</v>
      </c>
      <c r="S2600">
        <v>0.88211059999999997</v>
      </c>
      <c r="T2600">
        <v>-0.26363370000000003</v>
      </c>
      <c r="U2600">
        <v>-2.9176479999999998</v>
      </c>
      <c r="V2600">
        <v>-0.2597661</v>
      </c>
      <c r="W2600">
        <v>6.1475429999999998E-2</v>
      </c>
      <c r="X2600">
        <v>0.96371280000000004</v>
      </c>
      <c r="Y2600">
        <v>-0.39006039999999997</v>
      </c>
      <c r="Z2600">
        <v>8.3773909999999993E-2</v>
      </c>
      <c r="AA2600">
        <v>0.91697050000000002</v>
      </c>
      <c r="AB2600">
        <v>21</v>
      </c>
      <c r="AC2600">
        <v>3.7214000000000098</v>
      </c>
      <c r="AD2600">
        <v>-1.106238509857</v>
      </c>
      <c r="AE2600">
        <v>-12.041899999999901</v>
      </c>
      <c r="AF2600">
        <v>-4.9621151604464</v>
      </c>
      <c r="AG2600">
        <v>-1.106238509857</v>
      </c>
      <c r="AH2600">
        <v>11.4810301730602</v>
      </c>
      <c r="AI2600">
        <v>95.054445604682499</v>
      </c>
      <c r="AJ2600">
        <v>113.37405924417</v>
      </c>
      <c r="AK2600">
        <v>12.556289433624199</v>
      </c>
    </row>
    <row r="2601" spans="1:37" x14ac:dyDescent="0.2">
      <c r="A2601" t="str">
        <f>"20200111153659603"</f>
        <v>20200111153659603</v>
      </c>
      <c r="B2601" t="str">
        <f>"1578728219595066"</f>
        <v>1578728219595066</v>
      </c>
      <c r="C2601" t="s">
        <v>37</v>
      </c>
      <c r="D2601">
        <v>5.4819019999999998</v>
      </c>
      <c r="E2601">
        <v>0.38212649999999998</v>
      </c>
      <c r="F2601" t="s">
        <v>39</v>
      </c>
      <c r="G2601">
        <v>-488.07260000000002</v>
      </c>
      <c r="H2601" s="1">
        <v>-4.5471629999999999E-6</v>
      </c>
      <c r="I2601">
        <v>239.43539999999999</v>
      </c>
      <c r="J2601">
        <v>-491.80990000000003</v>
      </c>
      <c r="K2601">
        <v>1.1062190000000001</v>
      </c>
      <c r="L2601">
        <v>251.15190000000001</v>
      </c>
      <c r="M2601">
        <v>-0.105727399999999</v>
      </c>
      <c r="N2601">
        <v>0</v>
      </c>
      <c r="O2601">
        <v>-0.99430359999999995</v>
      </c>
      <c r="P2601">
        <v>0.1580223</v>
      </c>
      <c r="Q2601">
        <v>4.6052599999999999E-2</v>
      </c>
      <c r="R2601">
        <v>-0.98636139999999894</v>
      </c>
      <c r="S2601">
        <v>0.90505979999999997</v>
      </c>
      <c r="T2601">
        <v>-0.2695419</v>
      </c>
      <c r="U2601">
        <v>-2.9122159999999999</v>
      </c>
      <c r="V2601">
        <v>-0.2615828</v>
      </c>
      <c r="W2601">
        <v>5.840012E-2</v>
      </c>
      <c r="X2601">
        <v>0.96341259999999995</v>
      </c>
      <c r="Y2601">
        <v>-0.39497569999999999</v>
      </c>
      <c r="Z2601">
        <v>8.5630449999999997E-2</v>
      </c>
      <c r="AA2601">
        <v>0.91469210000000001</v>
      </c>
      <c r="AB2601">
        <v>21</v>
      </c>
      <c r="AC2601">
        <v>3.7372999999999998</v>
      </c>
      <c r="AD2601">
        <v>-1.106223547163</v>
      </c>
      <c r="AE2601">
        <v>-11.7165</v>
      </c>
      <c r="AF2601">
        <v>-4.9154456142479503</v>
      </c>
      <c r="AG2601">
        <v>-1.106223547163</v>
      </c>
      <c r="AH2601">
        <v>11.1653080416571</v>
      </c>
      <c r="AI2601">
        <v>95.181320187984994</v>
      </c>
      <c r="AJ2601">
        <v>113.761144755264</v>
      </c>
      <c r="AK2601">
        <v>12.249466918524201</v>
      </c>
    </row>
    <row r="2602" spans="1:37" x14ac:dyDescent="0.2">
      <c r="A2602" t="str">
        <f>"20200111153659623"</f>
        <v>20200111153659623</v>
      </c>
      <c r="B2602" t="str">
        <f>"1578728219615562"</f>
        <v>1578728219615562</v>
      </c>
      <c r="C2602" t="s">
        <v>37</v>
      </c>
      <c r="D2602">
        <v>5.4207039999999997</v>
      </c>
      <c r="E2602">
        <v>0.3835557</v>
      </c>
      <c r="F2602" t="s">
        <v>38</v>
      </c>
      <c r="G2602">
        <v>-491.36709999999999</v>
      </c>
      <c r="H2602">
        <v>1.022313</v>
      </c>
      <c r="I2602">
        <v>250.24770000000001</v>
      </c>
      <c r="J2602">
        <v>-491.82749999999999</v>
      </c>
      <c r="K2602">
        <v>1.1062209999999999</v>
      </c>
      <c r="L2602">
        <v>250.9659</v>
      </c>
      <c r="M2602">
        <v>-0.1039366</v>
      </c>
      <c r="N2602">
        <v>0</v>
      </c>
      <c r="O2602">
        <v>-0.99449219999999905</v>
      </c>
      <c r="P2602">
        <v>0.16195809999999999</v>
      </c>
      <c r="Q2602">
        <v>4.3879000000000001E-2</v>
      </c>
      <c r="R2602">
        <v>-0.98582199999999998</v>
      </c>
      <c r="S2602">
        <v>1.3862920000000001</v>
      </c>
      <c r="T2602">
        <v>-0.26280369999999997</v>
      </c>
      <c r="U2602">
        <v>-2.8316650000000001</v>
      </c>
      <c r="V2602">
        <v>-0.2636985</v>
      </c>
      <c r="W2602">
        <v>5.6223120000000001E-2</v>
      </c>
      <c r="X2602">
        <v>0.96296530000000002</v>
      </c>
      <c r="Y2602">
        <v>-0.52923140000000002</v>
      </c>
      <c r="Z2602">
        <v>8.0142190000000002E-2</v>
      </c>
      <c r="AA2602">
        <v>0.844684199999999</v>
      </c>
      <c r="AB2602">
        <v>21</v>
      </c>
      <c r="AC2602">
        <v>0.46039999999999198</v>
      </c>
      <c r="AD2602">
        <v>-8.3907999999999802E-2</v>
      </c>
      <c r="AE2602">
        <v>-0.71819999999999595</v>
      </c>
      <c r="AF2602">
        <v>-0.52745742561445097</v>
      </c>
      <c r="AG2602">
        <v>-8.3907999999999802E-2</v>
      </c>
      <c r="AH2602">
        <v>0.66006718330034497</v>
      </c>
      <c r="AI2602">
        <v>95.671339994732406</v>
      </c>
      <c r="AJ2602">
        <v>128.62823188752199</v>
      </c>
      <c r="AK2602">
        <v>0.84908219553225495</v>
      </c>
    </row>
    <row r="2603" spans="1:37" x14ac:dyDescent="0.2">
      <c r="A2603" t="str">
        <f>"20200111153659645"</f>
        <v>20200111153659645</v>
      </c>
      <c r="B2603" t="str">
        <f>"1578728219635081"</f>
        <v>1578728219635081</v>
      </c>
      <c r="C2603" t="s">
        <v>37</v>
      </c>
      <c r="D2603">
        <v>5.4272689999999999</v>
      </c>
      <c r="E2603">
        <v>0.38526369999999999</v>
      </c>
      <c r="F2603" t="s">
        <v>38</v>
      </c>
      <c r="G2603">
        <v>-491.38679999999999</v>
      </c>
      <c r="H2603">
        <v>1.0187469999999901</v>
      </c>
      <c r="I2603">
        <v>250.06610000000001</v>
      </c>
      <c r="J2603">
        <v>-491.84640000000002</v>
      </c>
      <c r="K2603">
        <v>1.1062339999999999</v>
      </c>
      <c r="L2603">
        <v>250.76159999999999</v>
      </c>
      <c r="M2603">
        <v>-0.1019679</v>
      </c>
      <c r="N2603">
        <v>0</v>
      </c>
      <c r="O2603">
        <v>-0.99469569999999996</v>
      </c>
      <c r="P2603">
        <v>0.1653821</v>
      </c>
      <c r="Q2603">
        <v>4.3841169999999999E-2</v>
      </c>
      <c r="R2603">
        <v>-0.98525479999999999</v>
      </c>
      <c r="S2603">
        <v>1.3857120000000001</v>
      </c>
      <c r="T2603">
        <v>-0.27484500000000001</v>
      </c>
      <c r="U2603">
        <v>-2.8277130000000001</v>
      </c>
      <c r="V2603">
        <v>-0.26513930000000002</v>
      </c>
      <c r="W2603">
        <v>5.6181229999999999E-2</v>
      </c>
      <c r="X2603">
        <v>0.96257199999999998</v>
      </c>
      <c r="Y2603">
        <v>-0.52773879999999995</v>
      </c>
      <c r="Z2603">
        <v>8.3962439999999999E-2</v>
      </c>
      <c r="AA2603">
        <v>0.84524669999999902</v>
      </c>
      <c r="AB2603">
        <v>21</v>
      </c>
      <c r="AC2603">
        <v>0.45960000000002299</v>
      </c>
      <c r="AD2603">
        <v>-8.7486999999999995E-2</v>
      </c>
      <c r="AE2603">
        <v>-0.69549999999998102</v>
      </c>
      <c r="AF2603">
        <v>-0.52237587283483999</v>
      </c>
      <c r="AG2603">
        <v>-8.7486999999999995E-2</v>
      </c>
      <c r="AH2603">
        <v>0.63797894862776405</v>
      </c>
      <c r="AI2603">
        <v>96.056529564674094</v>
      </c>
      <c r="AJ2603">
        <v>129.31054752136001</v>
      </c>
      <c r="AK2603">
        <v>0.82918494112058505</v>
      </c>
    </row>
    <row r="2604" spans="1:37" x14ac:dyDescent="0.2">
      <c r="A2604" t="str">
        <f>"20200111153659666"</f>
        <v>20200111153659666</v>
      </c>
      <c r="B2604" t="str">
        <f>"1578728219655577"</f>
        <v>1578728219655577</v>
      </c>
      <c r="C2604" t="s">
        <v>37</v>
      </c>
      <c r="D2604">
        <v>5.4432239999999998</v>
      </c>
      <c r="E2604">
        <v>0.38621529999999998</v>
      </c>
      <c r="F2604" t="s">
        <v>38</v>
      </c>
      <c r="G2604">
        <v>-491.4171</v>
      </c>
      <c r="H2604">
        <v>1.0201690000000001</v>
      </c>
      <c r="I2604">
        <v>249.8835</v>
      </c>
      <c r="J2604">
        <v>-491.86360000000002</v>
      </c>
      <c r="K2604">
        <v>1.106255</v>
      </c>
      <c r="L2604">
        <v>250.5727</v>
      </c>
      <c r="M2604">
        <v>-0.1001418</v>
      </c>
      <c r="N2604">
        <v>0</v>
      </c>
      <c r="O2604">
        <v>-0.99488149999999997</v>
      </c>
      <c r="P2604">
        <v>0.1683704</v>
      </c>
      <c r="Q2604">
        <v>4.5808979999999999E-2</v>
      </c>
      <c r="R2604">
        <v>-0.98465930000000002</v>
      </c>
      <c r="S2604">
        <v>1.380981</v>
      </c>
      <c r="T2604">
        <v>-0.27695340000000002</v>
      </c>
      <c r="U2604">
        <v>-2.8254239999999999</v>
      </c>
      <c r="V2604">
        <v>-0.26628970000000002</v>
      </c>
      <c r="W2604">
        <v>5.8141150000000003E-2</v>
      </c>
      <c r="X2604">
        <v>0.96213789999999999</v>
      </c>
      <c r="Y2604">
        <v>-0.52527800000000002</v>
      </c>
      <c r="Z2604">
        <v>8.478774E-2</v>
      </c>
      <c r="AA2604">
        <v>0.846695999999999</v>
      </c>
      <c r="AB2604">
        <v>21</v>
      </c>
      <c r="AC2604">
        <v>0.446500000000014</v>
      </c>
      <c r="AD2604">
        <v>-8.6085999999999802E-2</v>
      </c>
      <c r="AE2604">
        <v>-0.68919999999999904</v>
      </c>
      <c r="AF2604">
        <v>-0.50769982058812502</v>
      </c>
      <c r="AG2604">
        <v>-8.6085999999999802E-2</v>
      </c>
      <c r="AH2604">
        <v>0.63404966107716099</v>
      </c>
      <c r="AI2604">
        <v>96.049758573093499</v>
      </c>
      <c r="AJ2604">
        <v>128.68515056441001</v>
      </c>
      <c r="AK2604">
        <v>0.81681630733799404</v>
      </c>
    </row>
    <row r="2605" spans="1:37" x14ac:dyDescent="0.2">
      <c r="A2605" t="str">
        <f>"20200111153659688"</f>
        <v>20200111153659688</v>
      </c>
      <c r="B2605" t="str">
        <f>"1578728219685833"</f>
        <v>1578728219685833</v>
      </c>
      <c r="C2605" t="s">
        <v>37</v>
      </c>
      <c r="D2605">
        <v>5.4527429999999999</v>
      </c>
      <c r="E2605">
        <v>0.38724029999999998</v>
      </c>
      <c r="F2605" t="s">
        <v>38</v>
      </c>
      <c r="G2605">
        <v>-491.43770000000001</v>
      </c>
      <c r="H2605">
        <v>1.0220100000000001</v>
      </c>
      <c r="I2605">
        <v>249.702</v>
      </c>
      <c r="J2605">
        <v>-491.88119999999998</v>
      </c>
      <c r="K2605">
        <v>1.106276</v>
      </c>
      <c r="L2605">
        <v>250.374</v>
      </c>
      <c r="M2605">
        <v>-9.8205630000000002E-2</v>
      </c>
      <c r="N2605">
        <v>0</v>
      </c>
      <c r="O2605">
        <v>-0.99507420000000002</v>
      </c>
      <c r="P2605">
        <v>0.17116609999999999</v>
      </c>
      <c r="Q2605">
        <v>4.7617890000000003E-2</v>
      </c>
      <c r="R2605">
        <v>-0.98409059999999904</v>
      </c>
      <c r="S2605">
        <v>1.381866</v>
      </c>
      <c r="T2605">
        <v>-0.27313609999999999</v>
      </c>
      <c r="U2605">
        <v>-2.8232119999999998</v>
      </c>
      <c r="V2605">
        <v>-0.26714840000000001</v>
      </c>
      <c r="W2605">
        <v>5.9941889999999998E-2</v>
      </c>
      <c r="X2605">
        <v>0.96178929999999996</v>
      </c>
      <c r="Y2605">
        <v>-0.5241403</v>
      </c>
      <c r="Z2605">
        <v>8.3740699999999904E-2</v>
      </c>
      <c r="AA2605">
        <v>0.84750490000000001</v>
      </c>
      <c r="AB2605">
        <v>20</v>
      </c>
      <c r="AC2605">
        <v>0.44349999999997097</v>
      </c>
      <c r="AD2605">
        <v>-8.4265999999999897E-2</v>
      </c>
      <c r="AE2605">
        <v>-0.67200000000002502</v>
      </c>
      <c r="AF2605">
        <v>-0.501859005910681</v>
      </c>
      <c r="AG2605">
        <v>-8.4265999999999897E-2</v>
      </c>
      <c r="AH2605">
        <v>0.61841914517945296</v>
      </c>
      <c r="AI2605">
        <v>96.039670924732704</v>
      </c>
      <c r="AJ2605">
        <v>129.05999276228599</v>
      </c>
      <c r="AK2605">
        <v>0.80087793058252199</v>
      </c>
    </row>
    <row r="2606" spans="1:37" x14ac:dyDescent="0.2">
      <c r="A2606" t="str">
        <f>"20200111153659712"</f>
        <v>20200111153659712</v>
      </c>
      <c r="B2606" t="str">
        <f>"1578728219705354"</f>
        <v>1578728219705354</v>
      </c>
      <c r="C2606" t="s">
        <v>37</v>
      </c>
      <c r="D2606">
        <v>5.5087279999999996</v>
      </c>
      <c r="E2606">
        <v>0.38791239999999999</v>
      </c>
      <c r="F2606" t="s">
        <v>38</v>
      </c>
      <c r="G2606">
        <v>-491.46339999999998</v>
      </c>
      <c r="H2606">
        <v>1.024173</v>
      </c>
      <c r="I2606">
        <v>249.52010000000001</v>
      </c>
      <c r="J2606">
        <v>-491.8997</v>
      </c>
      <c r="K2606">
        <v>1.106303</v>
      </c>
      <c r="L2606">
        <v>250.1618</v>
      </c>
      <c r="M2606">
        <v>-9.6115400000000004E-2</v>
      </c>
      <c r="N2606">
        <v>0</v>
      </c>
      <c r="O2606">
        <v>-0.99527809999999906</v>
      </c>
      <c r="P2606">
        <v>0.17466019999999999</v>
      </c>
      <c r="Q2606">
        <v>4.9216099999999999E-2</v>
      </c>
      <c r="R2606">
        <v>-0.98339829999999995</v>
      </c>
      <c r="S2606">
        <v>1.380768</v>
      </c>
      <c r="T2606">
        <v>-0.27130159999999998</v>
      </c>
      <c r="U2606">
        <v>-2.8214419999999998</v>
      </c>
      <c r="V2606">
        <v>-0.26854289999999997</v>
      </c>
      <c r="W2606">
        <v>6.1525870000000003E-2</v>
      </c>
      <c r="X2606">
        <v>0.96130079999999996</v>
      </c>
      <c r="Y2606">
        <v>-0.52231320000000003</v>
      </c>
      <c r="Z2606">
        <v>8.331508E-2</v>
      </c>
      <c r="AA2606">
        <v>0.84867399999999904</v>
      </c>
      <c r="AB2606">
        <v>20</v>
      </c>
      <c r="AC2606">
        <v>0.43630000000001701</v>
      </c>
      <c r="AD2606">
        <v>-8.2129999999999995E-2</v>
      </c>
      <c r="AE2606">
        <v>-0.64169999999998595</v>
      </c>
      <c r="AF2606">
        <v>-0.49046816292234502</v>
      </c>
      <c r="AG2606">
        <v>-8.2129999999999995E-2</v>
      </c>
      <c r="AH2606">
        <v>0.59017814158318604</v>
      </c>
      <c r="AI2606">
        <v>96.108927150648697</v>
      </c>
      <c r="AJ2606">
        <v>129.72831143752001</v>
      </c>
      <c r="AK2606">
        <v>0.771760710675921</v>
      </c>
    </row>
    <row r="2607" spans="1:37" x14ac:dyDescent="0.2">
      <c r="A2607" t="str">
        <f>"20200111153659734"</f>
        <v>20200111153659734</v>
      </c>
      <c r="B2607" t="str">
        <f>"1578728219725852"</f>
        <v>1578728219725852</v>
      </c>
      <c r="C2607" t="s">
        <v>37</v>
      </c>
      <c r="D2607">
        <v>5.5159330000000004</v>
      </c>
      <c r="E2607">
        <v>0.38841140000000002</v>
      </c>
      <c r="F2607" t="s">
        <v>38</v>
      </c>
      <c r="G2607">
        <v>-491.49489999999997</v>
      </c>
      <c r="H2607">
        <v>1.027927</v>
      </c>
      <c r="I2607">
        <v>249.33770000000001</v>
      </c>
      <c r="J2607">
        <v>-491.91699999999997</v>
      </c>
      <c r="K2607">
        <v>1.106312</v>
      </c>
      <c r="L2607">
        <v>249.95679999999999</v>
      </c>
      <c r="M2607">
        <v>-9.4074169999999999E-2</v>
      </c>
      <c r="N2607">
        <v>0</v>
      </c>
      <c r="O2607">
        <v>-0.9954731</v>
      </c>
      <c r="P2607">
        <v>0.17790719999999999</v>
      </c>
      <c r="Q2607">
        <v>4.9181009999999997E-2</v>
      </c>
      <c r="R2607">
        <v>-0.98281759999999996</v>
      </c>
      <c r="S2607">
        <v>1.3854679999999999</v>
      </c>
      <c r="T2607">
        <v>-0.26796629999999999</v>
      </c>
      <c r="U2607">
        <v>-2.817993</v>
      </c>
      <c r="V2607">
        <v>-0.26974959999999998</v>
      </c>
      <c r="W2607">
        <v>6.1478270000000002E-2</v>
      </c>
      <c r="X2607">
        <v>0.96096599999999999</v>
      </c>
      <c r="Y2607">
        <v>-0.52215239999999996</v>
      </c>
      <c r="Z2607">
        <v>8.2391400000000004E-2</v>
      </c>
      <c r="AA2607">
        <v>0.84886309999999998</v>
      </c>
      <c r="AB2607">
        <v>20</v>
      </c>
      <c r="AC2607">
        <v>0.42209999999999998</v>
      </c>
      <c r="AD2607">
        <v>-7.8385000000000093E-2</v>
      </c>
      <c r="AE2607">
        <v>-0.619099999999974</v>
      </c>
      <c r="AF2607">
        <v>-0.47329492557296099</v>
      </c>
      <c r="AG2607">
        <v>-7.8385000000000093E-2</v>
      </c>
      <c r="AH2607">
        <v>0.57039944693407896</v>
      </c>
      <c r="AI2607">
        <v>96.036905246339899</v>
      </c>
      <c r="AJ2607">
        <v>129.68454689800299</v>
      </c>
      <c r="AK2607">
        <v>0.74532397241791304</v>
      </c>
    </row>
    <row r="2608" spans="1:37" x14ac:dyDescent="0.2">
      <c r="A2608" t="str">
        <f>"20200111153659747"</f>
        <v>20200111153659747</v>
      </c>
      <c r="B2608" t="str">
        <f>"1578728219735611"</f>
        <v>1578728219735611</v>
      </c>
      <c r="C2608" t="s">
        <v>37</v>
      </c>
      <c r="D2608">
        <v>5.5426449999999896</v>
      </c>
      <c r="E2608">
        <v>0.38871040000000001</v>
      </c>
      <c r="F2608" t="s">
        <v>38</v>
      </c>
      <c r="G2608">
        <v>-491.5215</v>
      </c>
      <c r="H2608">
        <v>1.0298179999999999</v>
      </c>
      <c r="I2608">
        <v>249.15599999999901</v>
      </c>
      <c r="J2608">
        <v>-491.92680000000001</v>
      </c>
      <c r="K2608">
        <v>1.1063160000000001</v>
      </c>
      <c r="L2608">
        <v>249.8391</v>
      </c>
      <c r="M2608">
        <v>-9.2892370000000002E-2</v>
      </c>
      <c r="N2608">
        <v>0</v>
      </c>
      <c r="O2608">
        <v>-0.99558440000000004</v>
      </c>
      <c r="P2608">
        <v>0.1799703</v>
      </c>
      <c r="Q2608">
        <v>4.8752099999999902E-2</v>
      </c>
      <c r="R2608">
        <v>-0.98246339999999999</v>
      </c>
      <c r="S2608">
        <v>1.3901669999999999</v>
      </c>
      <c r="T2608">
        <v>-0.26882420000000001</v>
      </c>
      <c r="U2608">
        <v>-2.81427</v>
      </c>
      <c r="V2608">
        <v>-0.27062819999999999</v>
      </c>
      <c r="W2608">
        <v>6.1040410000000003E-2</v>
      </c>
      <c r="X2608">
        <v>0.96074680000000001</v>
      </c>
      <c r="Y2608">
        <v>-0.52271369999999995</v>
      </c>
      <c r="Z2608">
        <v>8.2721310000000006E-2</v>
      </c>
      <c r="AA2608">
        <v>0.8484855</v>
      </c>
      <c r="AB2608">
        <v>20</v>
      </c>
      <c r="AC2608">
        <v>0.40530000000001098</v>
      </c>
      <c r="AD2608">
        <v>-7.6497999999999899E-2</v>
      </c>
      <c r="AE2608">
        <v>-0.68310000000002402</v>
      </c>
      <c r="AF2608">
        <v>-0.462715814558251</v>
      </c>
      <c r="AG2608">
        <v>-7.6497999999999899E-2</v>
      </c>
      <c r="AH2608">
        <v>0.63658835812964898</v>
      </c>
      <c r="AI2608">
        <v>95.551906780108695</v>
      </c>
      <c r="AJ2608">
        <v>126.01220984986</v>
      </c>
      <c r="AK2608">
        <v>0.79069754442043705</v>
      </c>
    </row>
    <row r="2609" spans="1:37" x14ac:dyDescent="0.2">
      <c r="A2609" t="str">
        <f>"20200111153659761"</f>
        <v>20200111153659761</v>
      </c>
      <c r="B2609" t="str">
        <f>"1578728219755129"</f>
        <v>1578728219755129</v>
      </c>
      <c r="C2609" t="s">
        <v>37</v>
      </c>
      <c r="D2609">
        <v>5.5726519999999997</v>
      </c>
      <c r="E2609">
        <v>0.38925920000000003</v>
      </c>
      <c r="F2609" t="s">
        <v>38</v>
      </c>
      <c r="G2609">
        <v>-491.50119999999998</v>
      </c>
      <c r="H2609">
        <v>1.0236969999999901</v>
      </c>
      <c r="I2609">
        <v>248.98009999999999</v>
      </c>
      <c r="J2609">
        <v>-491.93740000000003</v>
      </c>
      <c r="K2609">
        <v>1.1063160000000001</v>
      </c>
      <c r="L2609">
        <v>249.70869999999999</v>
      </c>
      <c r="M2609">
        <v>-9.1578409999999999E-2</v>
      </c>
      <c r="N2609">
        <v>0</v>
      </c>
      <c r="O2609">
        <v>-0.99570599999999998</v>
      </c>
      <c r="P2609">
        <v>0.181865</v>
      </c>
      <c r="Q2609">
        <v>4.7831400000000003E-2</v>
      </c>
      <c r="R2609">
        <v>-0.98216000000000003</v>
      </c>
      <c r="S2609">
        <v>1.393616</v>
      </c>
      <c r="T2609">
        <v>-0.27042840000000001</v>
      </c>
      <c r="U2609">
        <v>-2.8116759999999998</v>
      </c>
      <c r="V2609">
        <v>-0.27121659999999997</v>
      </c>
      <c r="W2609">
        <v>6.0113229999999997E-2</v>
      </c>
      <c r="X2609">
        <v>0.96063940000000003</v>
      </c>
      <c r="Y2609">
        <v>-0.52271619999999996</v>
      </c>
      <c r="Z2609">
        <v>8.3274539999999994E-2</v>
      </c>
      <c r="AA2609">
        <v>0.84842980000000001</v>
      </c>
      <c r="AB2609">
        <v>20</v>
      </c>
      <c r="AC2609">
        <v>0.436200000000042</v>
      </c>
      <c r="AD2609">
        <v>-8.2619000000000206E-2</v>
      </c>
      <c r="AE2609">
        <v>-0.72860000000000003</v>
      </c>
      <c r="AF2609">
        <v>-0.49639813161518698</v>
      </c>
      <c r="AG2609">
        <v>-8.2619000000000206E-2</v>
      </c>
      <c r="AH2609">
        <v>0.67915897417401705</v>
      </c>
      <c r="AI2609">
        <v>95.609152368620499</v>
      </c>
      <c r="AJ2609">
        <v>126.16311541207899</v>
      </c>
      <c r="AK2609">
        <v>0.84527741980556403</v>
      </c>
    </row>
    <row r="2610" spans="1:37" x14ac:dyDescent="0.2">
      <c r="A2610" t="str">
        <f>"20200111153659777"</f>
        <v>20200111153659777</v>
      </c>
      <c r="B2610" t="str">
        <f>"1578728219775626"</f>
        <v>1578728219775626</v>
      </c>
      <c r="C2610" t="s">
        <v>37</v>
      </c>
      <c r="D2610">
        <v>5.5396289999999997</v>
      </c>
      <c r="E2610">
        <v>0.38971359999999999</v>
      </c>
      <c r="F2610" t="s">
        <v>38</v>
      </c>
      <c r="G2610">
        <v>-491.48809999999997</v>
      </c>
      <c r="H2610">
        <v>1.017798</v>
      </c>
      <c r="I2610">
        <v>248.80359999999999</v>
      </c>
      <c r="J2610">
        <v>-491.94909999999999</v>
      </c>
      <c r="K2610">
        <v>1.106309</v>
      </c>
      <c r="L2610">
        <v>249.56299999999999</v>
      </c>
      <c r="M2610">
        <v>-9.0101689999999998E-2</v>
      </c>
      <c r="N2610">
        <v>0</v>
      </c>
      <c r="O2610">
        <v>-0.99584059999999897</v>
      </c>
      <c r="P2610">
        <v>0.18424279999999901</v>
      </c>
      <c r="Q2610">
        <v>4.613196E-2</v>
      </c>
      <c r="R2610">
        <v>-0.98179780000000005</v>
      </c>
      <c r="S2610">
        <v>1.3944700000000001</v>
      </c>
      <c r="T2610">
        <v>-0.27481640000000002</v>
      </c>
      <c r="U2610">
        <v>-2.8096770000000002</v>
      </c>
      <c r="V2610">
        <v>-0.2721227</v>
      </c>
      <c r="W2610">
        <v>5.8406779999999998E-2</v>
      </c>
      <c r="X2610">
        <v>0.96048840000000002</v>
      </c>
      <c r="Y2610">
        <v>-0.52184640000000004</v>
      </c>
      <c r="Z2610">
        <v>8.4705699999999995E-2</v>
      </c>
      <c r="AA2610">
        <v>0.84882349999999995</v>
      </c>
      <c r="AB2610">
        <v>20</v>
      </c>
      <c r="AC2610">
        <v>0.46100000000001201</v>
      </c>
      <c r="AD2610">
        <v>-8.8511000000000006E-2</v>
      </c>
      <c r="AE2610">
        <v>-0.75939999999999896</v>
      </c>
      <c r="AF2610">
        <v>-0.52236869621376403</v>
      </c>
      <c r="AG2610">
        <v>-8.8511000000000006E-2</v>
      </c>
      <c r="AH2610">
        <v>0.70774441907302799</v>
      </c>
      <c r="AI2610">
        <v>95.745850019689897</v>
      </c>
      <c r="AJ2610">
        <v>126.430119754366</v>
      </c>
      <c r="AK2610">
        <v>0.88408450650041703</v>
      </c>
    </row>
    <row r="2611" spans="1:37" x14ac:dyDescent="0.2">
      <c r="A2611" t="str">
        <f>"20200111153659791"</f>
        <v>20200111153659791</v>
      </c>
      <c r="B2611" t="str">
        <f>"1578728219785386"</f>
        <v>1578728219785386</v>
      </c>
      <c r="C2611" t="s">
        <v>37</v>
      </c>
      <c r="D2611">
        <v>5.5891129999999896</v>
      </c>
      <c r="E2611">
        <v>0.38988809999999902</v>
      </c>
      <c r="F2611" t="s">
        <v>38</v>
      </c>
      <c r="G2611">
        <v>-491.56610000000001</v>
      </c>
      <c r="H2611">
        <v>1.0293680000000001</v>
      </c>
      <c r="I2611">
        <v>248.79409999999999</v>
      </c>
      <c r="J2611">
        <v>-491.9579</v>
      </c>
      <c r="K2611">
        <v>1.1063049999999901</v>
      </c>
      <c r="L2611">
        <v>249.45150000000001</v>
      </c>
      <c r="M2611">
        <v>-8.8966999999999893E-2</v>
      </c>
      <c r="N2611">
        <v>0</v>
      </c>
      <c r="O2611">
        <v>-0.99594280000000002</v>
      </c>
      <c r="P2611">
        <v>0.1859141</v>
      </c>
      <c r="Q2611">
        <v>4.5213199999999898E-2</v>
      </c>
      <c r="R2611">
        <v>-0.9815258</v>
      </c>
      <c r="S2611">
        <v>1.3976440000000001</v>
      </c>
      <c r="T2611">
        <v>-0.28085709999999903</v>
      </c>
      <c r="U2611">
        <v>-2.80651899999999</v>
      </c>
      <c r="V2611">
        <v>-0.27266580000000001</v>
      </c>
      <c r="W2611">
        <v>5.7483739999999998E-2</v>
      </c>
      <c r="X2611">
        <v>0.96038999999999997</v>
      </c>
      <c r="Y2611">
        <v>-0.52195079999999905</v>
      </c>
      <c r="Z2611">
        <v>8.662868E-2</v>
      </c>
      <c r="AA2611">
        <v>0.84856520000000002</v>
      </c>
      <c r="AB2611">
        <v>20</v>
      </c>
      <c r="AC2611">
        <v>0.39179999999998899</v>
      </c>
      <c r="AD2611">
        <v>-7.6936999999999797E-2</v>
      </c>
      <c r="AE2611">
        <v>-0.65740000000002397</v>
      </c>
      <c r="AF2611">
        <v>-0.44424843624035998</v>
      </c>
      <c r="AG2611">
        <v>-7.6936999999999797E-2</v>
      </c>
      <c r="AH2611">
        <v>0.61372942584976697</v>
      </c>
      <c r="AI2611">
        <v>95.798397698847097</v>
      </c>
      <c r="AJ2611">
        <v>125.89892328417901</v>
      </c>
      <c r="AK2611">
        <v>0.76153777531051603</v>
      </c>
    </row>
    <row r="2612" spans="1:37" x14ac:dyDescent="0.2">
      <c r="A2612" t="str">
        <f>"20200111153659812"</f>
        <v>20200111153659812</v>
      </c>
      <c r="B2612" t="str">
        <f>"1578728219805881"</f>
        <v>1578728219805881</v>
      </c>
      <c r="C2612" t="s">
        <v>37</v>
      </c>
      <c r="D2612">
        <v>5.5930849999999896</v>
      </c>
      <c r="E2612">
        <v>0.39024449999999999</v>
      </c>
      <c r="F2612" t="s">
        <v>38</v>
      </c>
      <c r="G2612">
        <v>-491.54219999999998</v>
      </c>
      <c r="H2612">
        <v>1.0219910000000001</v>
      </c>
      <c r="I2612">
        <v>248.6191</v>
      </c>
      <c r="J2612">
        <v>-491.97309999999999</v>
      </c>
      <c r="K2612">
        <v>1.1062920000000001</v>
      </c>
      <c r="L2612">
        <v>249.2534</v>
      </c>
      <c r="M2612">
        <v>-8.6946739999999995E-2</v>
      </c>
      <c r="N2612">
        <v>0</v>
      </c>
      <c r="O2612">
        <v>-0.99612089999999998</v>
      </c>
      <c r="P2612">
        <v>0.18836269999999999</v>
      </c>
      <c r="Q2612">
        <v>4.362336E-2</v>
      </c>
      <c r="R2612">
        <v>-0.98113030000000001</v>
      </c>
      <c r="S2612">
        <v>1.400787</v>
      </c>
      <c r="T2612">
        <v>-0.28402729999999998</v>
      </c>
      <c r="U2612">
        <v>-2.804214</v>
      </c>
      <c r="V2612">
        <v>-0.27311679999999999</v>
      </c>
      <c r="W2612">
        <v>5.5890330000000002E-2</v>
      </c>
      <c r="X2612">
        <v>0.96035590000000004</v>
      </c>
      <c r="Y2612">
        <v>-0.5212213</v>
      </c>
      <c r="Z2612">
        <v>8.7687920000000003E-2</v>
      </c>
      <c r="AA2612">
        <v>0.84890469999999896</v>
      </c>
      <c r="AB2612">
        <v>20</v>
      </c>
      <c r="AC2612">
        <v>0.430900000000008</v>
      </c>
      <c r="AD2612">
        <v>-8.4300999999999904E-2</v>
      </c>
      <c r="AE2612">
        <v>-0.63429999999999598</v>
      </c>
      <c r="AF2612">
        <v>-0.47863845382194697</v>
      </c>
      <c r="AG2612">
        <v>-8.4300999999999904E-2</v>
      </c>
      <c r="AH2612">
        <v>0.58733022606541097</v>
      </c>
      <c r="AI2612">
        <v>96.348882433767201</v>
      </c>
      <c r="AJ2612">
        <v>129.177942522661</v>
      </c>
      <c r="AK2612">
        <v>0.76233734168549705</v>
      </c>
    </row>
    <row r="2613" spans="1:37" x14ac:dyDescent="0.2">
      <c r="A2613" t="str">
        <f>"20200111153659826"</f>
        <v>20200111153659826</v>
      </c>
      <c r="B2613" t="str">
        <f>"1578728219815642"</f>
        <v>1578728219815642</v>
      </c>
      <c r="C2613" t="s">
        <v>37</v>
      </c>
      <c r="D2613">
        <v>5.6139390000000002</v>
      </c>
      <c r="E2613">
        <v>0.39038459999999903</v>
      </c>
      <c r="F2613" t="s">
        <v>38</v>
      </c>
      <c r="G2613">
        <v>-491.56450000000001</v>
      </c>
      <c r="H2613">
        <v>1.021995</v>
      </c>
      <c r="I2613">
        <v>248.43860000000001</v>
      </c>
      <c r="J2613">
        <v>-491.98259999999999</v>
      </c>
      <c r="K2613">
        <v>1.1062879999999999</v>
      </c>
      <c r="L2613">
        <v>249.12809999999999</v>
      </c>
      <c r="M2613">
        <v>-8.5666329999999999E-2</v>
      </c>
      <c r="N2613">
        <v>0</v>
      </c>
      <c r="O2613">
        <v>-0.99623189999999995</v>
      </c>
      <c r="P2613">
        <v>0.18997910000000001</v>
      </c>
      <c r="Q2613">
        <v>4.2835529999999997E-2</v>
      </c>
      <c r="R2613">
        <v>-0.98085339999999999</v>
      </c>
      <c r="S2613">
        <v>1.40484599999999</v>
      </c>
      <c r="T2613">
        <v>-0.289755599999999</v>
      </c>
      <c r="U2613">
        <v>-2.8008730000000002</v>
      </c>
      <c r="V2613">
        <v>-0.2734663</v>
      </c>
      <c r="W2613">
        <v>5.5100469999999999E-2</v>
      </c>
      <c r="X2613">
        <v>0.96030210000000005</v>
      </c>
      <c r="Y2613">
        <v>-0.52144020000000002</v>
      </c>
      <c r="Z2613">
        <v>8.9516860000000004E-2</v>
      </c>
      <c r="AA2613">
        <v>0.84857929999999904</v>
      </c>
      <c r="AB2613">
        <v>20</v>
      </c>
      <c r="AC2613">
        <v>0.41809999999998099</v>
      </c>
      <c r="AD2613">
        <v>-8.4292999999999896E-2</v>
      </c>
      <c r="AE2613">
        <v>-0.68949999999998102</v>
      </c>
      <c r="AF2613">
        <v>-0.47049372208158302</v>
      </c>
      <c r="AG2613">
        <v>-8.4292999999999896E-2</v>
      </c>
      <c r="AH2613">
        <v>0.64410595502509305</v>
      </c>
      <c r="AI2613">
        <v>96.032479032349002</v>
      </c>
      <c r="AJ2613">
        <v>126.146638968472</v>
      </c>
      <c r="AK2613">
        <v>0.80208611362245297</v>
      </c>
    </row>
    <row r="2614" spans="1:37" x14ac:dyDescent="0.2">
      <c r="A2614" t="str">
        <f>"20200111153659846"</f>
        <v>20200111153659846</v>
      </c>
      <c r="B2614" t="str">
        <f>"1578728219835161"</f>
        <v>1578728219835161</v>
      </c>
      <c r="C2614" t="s">
        <v>37</v>
      </c>
      <c r="D2614">
        <v>5.6170339999999896</v>
      </c>
      <c r="E2614">
        <v>0.39061279999999998</v>
      </c>
      <c r="F2614" t="s">
        <v>38</v>
      </c>
      <c r="G2614">
        <v>-491.5478</v>
      </c>
      <c r="H2614">
        <v>1.015733</v>
      </c>
      <c r="I2614">
        <v>248.26320000000001</v>
      </c>
      <c r="J2614">
        <v>-491.99599999999998</v>
      </c>
      <c r="K2614">
        <v>1.106282</v>
      </c>
      <c r="L2614">
        <v>248.94669999999999</v>
      </c>
      <c r="M2614">
        <v>-8.3811150000000001E-2</v>
      </c>
      <c r="N2614">
        <v>0</v>
      </c>
      <c r="O2614">
        <v>-0.99638959999999999</v>
      </c>
      <c r="P2614">
        <v>0.1924256</v>
      </c>
      <c r="Q2614">
        <v>4.233862E-2</v>
      </c>
      <c r="R2614">
        <v>-0.9803982</v>
      </c>
      <c r="S2614">
        <v>1.4079899999999901</v>
      </c>
      <c r="T2614">
        <v>-0.29298209999999902</v>
      </c>
      <c r="U2614">
        <v>-2.79862999999999</v>
      </c>
      <c r="V2614">
        <v>-0.27407409999999999</v>
      </c>
      <c r="W2614">
        <v>5.4601990000000003E-2</v>
      </c>
      <c r="X2614">
        <v>0.96015729999999999</v>
      </c>
      <c r="Y2614">
        <v>-0.52084339999999996</v>
      </c>
      <c r="Z2614">
        <v>9.0588260000000004E-2</v>
      </c>
      <c r="AA2614">
        <v>0.84883209999999998</v>
      </c>
      <c r="AB2614">
        <v>20</v>
      </c>
      <c r="AC2614">
        <v>0.448199999999985</v>
      </c>
      <c r="AD2614">
        <v>-9.0549000000000004E-2</v>
      </c>
      <c r="AE2614">
        <v>-0.68349999999998001</v>
      </c>
      <c r="AF2614">
        <v>-0.49780336719618201</v>
      </c>
      <c r="AG2614">
        <v>-9.0549000000000004E-2</v>
      </c>
      <c r="AH2614">
        <v>0.63572484271412999</v>
      </c>
      <c r="AI2614">
        <v>96.398629674424598</v>
      </c>
      <c r="AJ2614">
        <v>128.06266570383499</v>
      </c>
      <c r="AK2614">
        <v>0.81249823965148504</v>
      </c>
    </row>
    <row r="2615" spans="1:37" x14ac:dyDescent="0.2">
      <c r="A2615" t="str">
        <f>"20200111153659867"</f>
        <v>20200111153659867</v>
      </c>
      <c r="B2615" t="str">
        <f>"1578728219855657"</f>
        <v>1578728219855657</v>
      </c>
      <c r="C2615" t="s">
        <v>37</v>
      </c>
      <c r="D2615">
        <v>5.6529879999999997</v>
      </c>
      <c r="E2615">
        <v>0.39085019999999998</v>
      </c>
      <c r="F2615" t="s">
        <v>38</v>
      </c>
      <c r="G2615">
        <v>-491.55990000000003</v>
      </c>
      <c r="H2615">
        <v>1.015258</v>
      </c>
      <c r="I2615">
        <v>248.08439999999999</v>
      </c>
      <c r="J2615">
        <v>-492.0095</v>
      </c>
      <c r="K2615">
        <v>1.1062829999999999</v>
      </c>
      <c r="L2615">
        <v>248.7585</v>
      </c>
      <c r="M2615">
        <v>-8.1886189999999998E-2</v>
      </c>
      <c r="N2615">
        <v>0</v>
      </c>
      <c r="O2615">
        <v>-0.99654979999999904</v>
      </c>
      <c r="P2615">
        <v>0.19559209999999999</v>
      </c>
      <c r="Q2615">
        <v>4.2391399999999899E-2</v>
      </c>
      <c r="R2615">
        <v>-0.97976890000000005</v>
      </c>
      <c r="S2615">
        <v>1.4129940000000001</v>
      </c>
      <c r="T2615">
        <v>-0.29507349999999999</v>
      </c>
      <c r="U2615">
        <v>-2.7953950000000001</v>
      </c>
      <c r="V2615">
        <v>-0.27532180000000001</v>
      </c>
      <c r="W2615">
        <v>5.464865E-2</v>
      </c>
      <c r="X2615">
        <v>0.95979760000000003</v>
      </c>
      <c r="Y2615">
        <v>-0.52077259999999903</v>
      </c>
      <c r="Z2615">
        <v>9.1313660000000005E-2</v>
      </c>
      <c r="AA2615">
        <v>0.84879769999999899</v>
      </c>
      <c r="AB2615">
        <v>20</v>
      </c>
      <c r="AC2615">
        <v>0.44959999999997502</v>
      </c>
      <c r="AD2615">
        <v>-9.1024999999999898E-2</v>
      </c>
      <c r="AE2615">
        <v>-0.67410000000000903</v>
      </c>
      <c r="AF2615">
        <v>-0.49702203627437003</v>
      </c>
      <c r="AG2615">
        <v>-9.1024999999999898E-2</v>
      </c>
      <c r="AH2615">
        <v>0.62710242729190502</v>
      </c>
      <c r="AI2615">
        <v>96.489819717344105</v>
      </c>
      <c r="AJ2615">
        <v>128.39925799023499</v>
      </c>
      <c r="AK2615">
        <v>0.80534086539968897</v>
      </c>
    </row>
    <row r="2616" spans="1:37" x14ac:dyDescent="0.2">
      <c r="A2616" t="str">
        <f>"20200111153659882"</f>
        <v>20200111153659882</v>
      </c>
      <c r="B2616" t="str">
        <f>"1578728219875178"</f>
        <v>1578728219875178</v>
      </c>
      <c r="C2616" t="s">
        <v>37</v>
      </c>
      <c r="D2616">
        <v>5.6559439999999999</v>
      </c>
      <c r="E2616">
        <v>0.39102700000000001</v>
      </c>
      <c r="F2616" t="s">
        <v>38</v>
      </c>
      <c r="G2616">
        <v>-491.57549999999998</v>
      </c>
      <c r="H2616">
        <v>1.015911</v>
      </c>
      <c r="I2616">
        <v>247.90520000000001</v>
      </c>
      <c r="J2616">
        <v>-492.01839999999999</v>
      </c>
      <c r="K2616">
        <v>1.106284</v>
      </c>
      <c r="L2616">
        <v>248.6319</v>
      </c>
      <c r="M2616">
        <v>-8.0591380000000004E-2</v>
      </c>
      <c r="N2616">
        <v>0</v>
      </c>
      <c r="O2616">
        <v>-0.99665530000000002</v>
      </c>
      <c r="P2616">
        <v>0.19783529999999999</v>
      </c>
      <c r="Q2616">
        <v>4.2775090000000002E-2</v>
      </c>
      <c r="R2616">
        <v>-0.97930159999999999</v>
      </c>
      <c r="S2616">
        <v>1.420258</v>
      </c>
      <c r="T2616">
        <v>-0.29559449999999998</v>
      </c>
      <c r="U2616">
        <v>-2.7911990000000002</v>
      </c>
      <c r="V2616">
        <v>-0.27627279999999999</v>
      </c>
      <c r="W2616">
        <v>5.502717E-2</v>
      </c>
      <c r="X2616">
        <v>0.95950259999999998</v>
      </c>
      <c r="Y2616">
        <v>-0.52192590000000005</v>
      </c>
      <c r="Z2616">
        <v>9.1525280000000001E-2</v>
      </c>
      <c r="AA2616">
        <v>0.84806630000000005</v>
      </c>
      <c r="AB2616">
        <v>20</v>
      </c>
      <c r="AC2616">
        <v>0.44290000000000801</v>
      </c>
      <c r="AD2616">
        <v>-9.0372999999999995E-2</v>
      </c>
      <c r="AE2616">
        <v>-0.72669999999999302</v>
      </c>
      <c r="AF2616">
        <v>-0.49445432780786602</v>
      </c>
      <c r="AG2616">
        <v>-9.0372999999999995E-2</v>
      </c>
      <c r="AH2616">
        <v>0.68095951846278802</v>
      </c>
      <c r="AI2616">
        <v>96.129498127566094</v>
      </c>
      <c r="AJ2616">
        <v>125.98393152782199</v>
      </c>
      <c r="AK2616">
        <v>0.84637948179407096</v>
      </c>
    </row>
    <row r="2617" spans="1:37" x14ac:dyDescent="0.2">
      <c r="A2617" t="str">
        <f>"20200111153659903"</f>
        <v>20200111153659903</v>
      </c>
      <c r="B2617" t="str">
        <f>"1578728219895673"</f>
        <v>1578728219895673</v>
      </c>
      <c r="C2617" t="s">
        <v>37</v>
      </c>
      <c r="D2617">
        <v>5.6601359999999996</v>
      </c>
      <c r="E2617">
        <v>0.39119979999999999</v>
      </c>
      <c r="F2617" t="s">
        <v>38</v>
      </c>
      <c r="G2617">
        <v>-491.55790000000002</v>
      </c>
      <c r="H2617">
        <v>1.010858</v>
      </c>
      <c r="I2617">
        <v>247.73060000000001</v>
      </c>
      <c r="J2617">
        <v>-492.03160000000003</v>
      </c>
      <c r="K2617">
        <v>1.1063000000000001</v>
      </c>
      <c r="L2617">
        <v>248.43879999999999</v>
      </c>
      <c r="M2617">
        <v>-7.8616350000000002E-2</v>
      </c>
      <c r="N2617">
        <v>0</v>
      </c>
      <c r="O2617">
        <v>-0.99681319999999995</v>
      </c>
      <c r="P2617">
        <v>0.20233879999999899</v>
      </c>
      <c r="Q2617">
        <v>4.4661810000000003E-2</v>
      </c>
      <c r="R2617">
        <v>-0.97829679999999997</v>
      </c>
      <c r="S2617">
        <v>1.4245909999999999</v>
      </c>
      <c r="T2617">
        <v>-0.29524679999999998</v>
      </c>
      <c r="U2617">
        <v>-2.7884829999999998</v>
      </c>
      <c r="V2617">
        <v>-0.27878509999999901</v>
      </c>
      <c r="W2617">
        <v>5.6897250000000003E-2</v>
      </c>
      <c r="X2617">
        <v>0.95866659999999904</v>
      </c>
      <c r="Y2617">
        <v>-0.52161979999999997</v>
      </c>
      <c r="Z2617">
        <v>9.1500189999999995E-2</v>
      </c>
      <c r="AA2617">
        <v>0.84825740000000005</v>
      </c>
      <c r="AB2617">
        <v>20</v>
      </c>
      <c r="AC2617">
        <v>0.473700000000008</v>
      </c>
      <c r="AD2617">
        <v>-9.5441999999999999E-2</v>
      </c>
      <c r="AE2617">
        <v>-0.70819999999997596</v>
      </c>
      <c r="AF2617">
        <v>-0.521372545596961</v>
      </c>
      <c r="AG2617">
        <v>-9.5441999999999999E-2</v>
      </c>
      <c r="AH2617">
        <v>0.66047597139148295</v>
      </c>
      <c r="AI2617">
        <v>96.471064006755597</v>
      </c>
      <c r="AJ2617">
        <v>128.287178231995</v>
      </c>
      <c r="AK2617">
        <v>0.84685713993080203</v>
      </c>
    </row>
    <row r="2618" spans="1:37" x14ac:dyDescent="0.2">
      <c r="A2618" t="str">
        <f>"20200111153659924"</f>
        <v>20200111153659924</v>
      </c>
      <c r="B2618" t="str">
        <f>"1578728219915195"</f>
        <v>1578728219915195</v>
      </c>
      <c r="C2618" t="s">
        <v>37</v>
      </c>
      <c r="D2618">
        <v>5.6997010000000001</v>
      </c>
      <c r="E2618">
        <v>0.39131670000000002</v>
      </c>
      <c r="F2618" t="s">
        <v>38</v>
      </c>
      <c r="G2618">
        <v>-491.57389999999998</v>
      </c>
      <c r="H2618">
        <v>1.0136700000000001</v>
      </c>
      <c r="I2618">
        <v>247.55170000000001</v>
      </c>
      <c r="J2618">
        <v>-492.0446</v>
      </c>
      <c r="K2618">
        <v>1.1063190000000001</v>
      </c>
      <c r="L2618">
        <v>248.24459999999999</v>
      </c>
      <c r="M2618">
        <v>-7.6623949999999996E-2</v>
      </c>
      <c r="N2618">
        <v>0</v>
      </c>
      <c r="O2618">
        <v>-0.99696799999999997</v>
      </c>
      <c r="P2618">
        <v>0.20634739999999999</v>
      </c>
      <c r="Q2618">
        <v>4.6831989999999997E-2</v>
      </c>
      <c r="R2618">
        <v>-0.97735729999999998</v>
      </c>
      <c r="S2618">
        <v>1.4360660000000001</v>
      </c>
      <c r="T2618">
        <v>-0.29057430000000001</v>
      </c>
      <c r="U2618">
        <v>-2.7828059999999999</v>
      </c>
      <c r="V2618">
        <v>-0.28079759999999998</v>
      </c>
      <c r="W2618">
        <v>5.9051300000000001E-2</v>
      </c>
      <c r="X2618">
        <v>0.95794869999999899</v>
      </c>
      <c r="Y2618">
        <v>-0.52344269999999904</v>
      </c>
      <c r="Z2618">
        <v>9.0117219999999998E-2</v>
      </c>
      <c r="AA2618">
        <v>0.84728189999999903</v>
      </c>
      <c r="AB2618">
        <v>20</v>
      </c>
      <c r="AC2618">
        <v>0.47070000000002199</v>
      </c>
      <c r="AD2618">
        <v>-9.2648999999999898E-2</v>
      </c>
      <c r="AE2618">
        <v>-0.69289999999997998</v>
      </c>
      <c r="AF2618">
        <v>-0.51609984052105295</v>
      </c>
      <c r="AG2618">
        <v>-9.2648999999999898E-2</v>
      </c>
      <c r="AH2618">
        <v>0.64687877469613198</v>
      </c>
      <c r="AI2618">
        <v>96.388121302976799</v>
      </c>
      <c r="AJ2618">
        <v>128.583945508027</v>
      </c>
      <c r="AK2618">
        <v>0.83270344765662296</v>
      </c>
    </row>
    <row r="2619" spans="1:37" x14ac:dyDescent="0.2">
      <c r="A2619" t="str">
        <f>"20200111153659938"</f>
        <v>20200111153659938</v>
      </c>
      <c r="B2619" t="str">
        <f>"1578728219935690"</f>
        <v>1578728219935690</v>
      </c>
      <c r="C2619" t="s">
        <v>37</v>
      </c>
      <c r="D2619">
        <v>5.6967610000000004</v>
      </c>
      <c r="E2619">
        <v>0.39136690000000002</v>
      </c>
      <c r="F2619" t="s">
        <v>38</v>
      </c>
      <c r="G2619">
        <v>-491.59059999999999</v>
      </c>
      <c r="H2619">
        <v>1.0170170000000001</v>
      </c>
      <c r="I2619">
        <v>247.37289999999999</v>
      </c>
      <c r="J2619">
        <v>-492.05279999999999</v>
      </c>
      <c r="K2619">
        <v>1.1063270000000001</v>
      </c>
      <c r="L2619">
        <v>248.1183</v>
      </c>
      <c r="M2619">
        <v>-7.5324539999999995E-2</v>
      </c>
      <c r="N2619">
        <v>0</v>
      </c>
      <c r="O2619">
        <v>-0.99706700000000004</v>
      </c>
      <c r="P2619">
        <v>0.20845329999999901</v>
      </c>
      <c r="Q2619">
        <v>4.763742E-2</v>
      </c>
      <c r="R2619">
        <v>-0.97687159999999995</v>
      </c>
      <c r="S2619">
        <v>1.4468080000000001</v>
      </c>
      <c r="T2619">
        <v>-0.28454819999999997</v>
      </c>
      <c r="U2619">
        <v>-2.7776179999999999</v>
      </c>
      <c r="V2619">
        <v>-0.28161409999999998</v>
      </c>
      <c r="W2619">
        <v>5.984859E-2</v>
      </c>
      <c r="X2619">
        <v>0.957659499999999</v>
      </c>
      <c r="Y2619">
        <v>-0.52563539999999997</v>
      </c>
      <c r="Z2619">
        <v>8.8287210000000005E-2</v>
      </c>
      <c r="AA2619">
        <v>0.84611619999999998</v>
      </c>
      <c r="AB2619">
        <v>20</v>
      </c>
      <c r="AC2619">
        <v>0.462199999999995</v>
      </c>
      <c r="AD2619">
        <v>-8.931E-2</v>
      </c>
      <c r="AE2619">
        <v>-0.74540000000001705</v>
      </c>
      <c r="AF2619">
        <v>-0.51173264427810905</v>
      </c>
      <c r="AG2619">
        <v>-8.931E-2</v>
      </c>
      <c r="AH2619">
        <v>0.701193181559988</v>
      </c>
      <c r="AI2619">
        <v>95.874130363113295</v>
      </c>
      <c r="AJ2619">
        <v>126.122067142853</v>
      </c>
      <c r="AK2619">
        <v>0.87265024676905101</v>
      </c>
    </row>
    <row r="2620" spans="1:37" x14ac:dyDescent="0.2">
      <c r="A2620" t="str">
        <f>"20200111153659958"</f>
        <v>20200111153659958</v>
      </c>
      <c r="B2620" t="str">
        <f>"1578728219945449"</f>
        <v>1578728219945449</v>
      </c>
      <c r="C2620" t="s">
        <v>37</v>
      </c>
      <c r="D2620">
        <v>5.7312799999999999</v>
      </c>
      <c r="E2620">
        <v>0.3914262</v>
      </c>
      <c r="F2620" t="s">
        <v>38</v>
      </c>
      <c r="G2620">
        <v>-491.65780000000001</v>
      </c>
      <c r="H2620">
        <v>1.029406</v>
      </c>
      <c r="I2620">
        <v>247.36359999999999</v>
      </c>
      <c r="J2620">
        <v>-492.06290000000001</v>
      </c>
      <c r="K2620">
        <v>1.1063459999999901</v>
      </c>
      <c r="L2620">
        <v>247.95949999999999</v>
      </c>
      <c r="M2620">
        <v>-7.3678640000000004E-2</v>
      </c>
      <c r="N2620">
        <v>0</v>
      </c>
      <c r="O2620">
        <v>-0.99719020000000003</v>
      </c>
      <c r="P2620">
        <v>0.2124009</v>
      </c>
      <c r="Q2620">
        <v>4.8761550000000001E-2</v>
      </c>
      <c r="R2620">
        <v>-0.97596550000000004</v>
      </c>
      <c r="S2620">
        <v>1.452393</v>
      </c>
      <c r="T2620">
        <v>-0.28281849999999997</v>
      </c>
      <c r="U2620">
        <v>-2.7748569999999999</v>
      </c>
      <c r="V2620">
        <v>-0.28390529999999897</v>
      </c>
      <c r="W2620">
        <v>6.0952350000000002E-2</v>
      </c>
      <c r="X2620">
        <v>0.95691309999999996</v>
      </c>
      <c r="Y2620">
        <v>-0.52593669999999904</v>
      </c>
      <c r="Z2620">
        <v>8.7803010000000001E-2</v>
      </c>
      <c r="AA2620">
        <v>0.8459795</v>
      </c>
      <c r="AB2620">
        <v>20</v>
      </c>
      <c r="AC2620">
        <v>0.40510000000000401</v>
      </c>
      <c r="AD2620">
        <v>-7.6939999999999703E-2</v>
      </c>
      <c r="AE2620">
        <v>-0.59589999999999999</v>
      </c>
      <c r="AF2620">
        <v>-0.44285855972231902</v>
      </c>
      <c r="AG2620">
        <v>-7.6939999999999703E-2</v>
      </c>
      <c r="AH2620">
        <v>0.55806723518123302</v>
      </c>
      <c r="AI2620">
        <v>96.163820887227402</v>
      </c>
      <c r="AJ2620">
        <v>128.43402930200901</v>
      </c>
      <c r="AK2620">
        <v>0.71657693690360502</v>
      </c>
    </row>
    <row r="2621" spans="1:37" x14ac:dyDescent="0.2">
      <c r="A2621" t="str">
        <f>"20200111153659973"</f>
        <v>20200111153659973</v>
      </c>
      <c r="B2621" t="str">
        <f>"1578728219965946"</f>
        <v>1578728219965946</v>
      </c>
      <c r="C2621" t="s">
        <v>37</v>
      </c>
      <c r="D2621">
        <v>5.7270519999999996</v>
      </c>
      <c r="E2621">
        <v>0.39154109999999998</v>
      </c>
      <c r="F2621" t="s">
        <v>38</v>
      </c>
      <c r="G2621">
        <v>-491.6551</v>
      </c>
      <c r="H2621">
        <v>1.028297</v>
      </c>
      <c r="I2621">
        <v>247.1876</v>
      </c>
      <c r="J2621">
        <v>-492.07199999999898</v>
      </c>
      <c r="K2621">
        <v>1.106358</v>
      </c>
      <c r="L2621">
        <v>247.81049999999999</v>
      </c>
      <c r="M2621">
        <v>-7.2118879999999996E-2</v>
      </c>
      <c r="N2621">
        <v>0</v>
      </c>
      <c r="O2621">
        <v>-0.99730419999999997</v>
      </c>
      <c r="P2621">
        <v>0.2148989</v>
      </c>
      <c r="Q2621">
        <v>4.9533180000000003E-2</v>
      </c>
      <c r="R2621">
        <v>-0.97537949999999995</v>
      </c>
      <c r="S2621">
        <v>1.4631350000000001</v>
      </c>
      <c r="T2621">
        <v>-0.27999659999999998</v>
      </c>
      <c r="U2621">
        <v>-2.7694239999999999</v>
      </c>
      <c r="V2621">
        <v>-0.28485969999999999</v>
      </c>
      <c r="W2621">
        <v>6.1710040000000001E-2</v>
      </c>
      <c r="X2621">
        <v>0.95658080000000001</v>
      </c>
      <c r="Y2621">
        <v>-0.52789280000000005</v>
      </c>
      <c r="Z2621">
        <v>8.6970370000000005E-2</v>
      </c>
      <c r="AA2621">
        <v>0.84484629999999905</v>
      </c>
      <c r="AB2621">
        <v>20</v>
      </c>
      <c r="AC2621">
        <v>0.41689999999994098</v>
      </c>
      <c r="AD2621">
        <v>-7.8060999999999894E-2</v>
      </c>
      <c r="AE2621">
        <v>-0.62289999999998702</v>
      </c>
      <c r="AF2621">
        <v>-0.45579749345442</v>
      </c>
      <c r="AG2621">
        <v>-7.8060999999999894E-2</v>
      </c>
      <c r="AH2621">
        <v>0.58486500291004695</v>
      </c>
      <c r="AI2621">
        <v>96.009666241145695</v>
      </c>
      <c r="AJ2621">
        <v>127.93002978962301</v>
      </c>
      <c r="AK2621">
        <v>0.74559502840972702</v>
      </c>
    </row>
    <row r="2622" spans="1:37" x14ac:dyDescent="0.2">
      <c r="A2622" t="str">
        <f>"20200111153659991"</f>
        <v>20200111153659991</v>
      </c>
      <c r="B2622" t="str">
        <f>"1578728219985465"</f>
        <v>1578728219985465</v>
      </c>
      <c r="C2622" t="s">
        <v>37</v>
      </c>
      <c r="D2622">
        <v>5.7145830000000002</v>
      </c>
      <c r="E2622">
        <v>0.39162520000000001</v>
      </c>
      <c r="F2622" t="s">
        <v>38</v>
      </c>
      <c r="G2622">
        <v>-491.64819999999997</v>
      </c>
      <c r="H2622">
        <v>1.025763</v>
      </c>
      <c r="I2622">
        <v>247.01230000000001</v>
      </c>
      <c r="J2622">
        <v>-492.08109999999999</v>
      </c>
      <c r="K2622">
        <v>1.106387</v>
      </c>
      <c r="L2622">
        <v>247.65889999999999</v>
      </c>
      <c r="M2622">
        <v>-7.0509489999999994E-2</v>
      </c>
      <c r="N2622">
        <v>0</v>
      </c>
      <c r="O2622">
        <v>-0.99741930000000001</v>
      </c>
      <c r="P2622">
        <v>0.21909210000000001</v>
      </c>
      <c r="Q2622">
        <v>5.0694240000000002E-2</v>
      </c>
      <c r="R2622">
        <v>-0.97438649999999905</v>
      </c>
      <c r="S2622">
        <v>1.468933</v>
      </c>
      <c r="T2622">
        <v>-0.27931109999999998</v>
      </c>
      <c r="U2622">
        <v>-2.7662810000000002</v>
      </c>
      <c r="V2622">
        <v>-0.28743279999999999</v>
      </c>
      <c r="W2622">
        <v>6.2842709999999996E-2</v>
      </c>
      <c r="X2622">
        <v>0.95573699999999995</v>
      </c>
      <c r="Y2622">
        <v>-0.52831039999999996</v>
      </c>
      <c r="Z2622">
        <v>8.6810280000000004E-2</v>
      </c>
      <c r="AA2622">
        <v>0.84460179999999996</v>
      </c>
      <c r="AB2622">
        <v>20</v>
      </c>
      <c r="AC2622">
        <v>0.43290000000001699</v>
      </c>
      <c r="AD2622">
        <v>-8.0624000000000001E-2</v>
      </c>
      <c r="AE2622">
        <v>-0.64659999999997797</v>
      </c>
      <c r="AF2622">
        <v>-0.472347130462904</v>
      </c>
      <c r="AG2622">
        <v>-8.0624000000000001E-2</v>
      </c>
      <c r="AH2622">
        <v>0.60793757138264803</v>
      </c>
      <c r="AI2622">
        <v>95.978460755553002</v>
      </c>
      <c r="AJ2622">
        <v>127.846010107116</v>
      </c>
      <c r="AK2622">
        <v>0.77408018430339198</v>
      </c>
    </row>
    <row r="2623" spans="1:37" x14ac:dyDescent="0.2">
      <c r="A2623" t="str">
        <f>"20200111153700005"</f>
        <v>20200111153700005</v>
      </c>
      <c r="B2623" t="str">
        <f>"1578728219995225"</f>
        <v>1578728219995225</v>
      </c>
      <c r="C2623" t="s">
        <v>37</v>
      </c>
      <c r="D2623">
        <v>5.7387800000000002</v>
      </c>
      <c r="E2623">
        <v>0.39159749999999999</v>
      </c>
      <c r="F2623" t="s">
        <v>38</v>
      </c>
      <c r="G2623">
        <v>-491.64089999999999</v>
      </c>
      <c r="H2623">
        <v>1.0236459999999901</v>
      </c>
      <c r="I2623">
        <v>246.8374</v>
      </c>
      <c r="J2623">
        <v>-492.089</v>
      </c>
      <c r="K2623">
        <v>1.106412</v>
      </c>
      <c r="L2623">
        <v>247.52430000000001</v>
      </c>
      <c r="M2623">
        <v>-6.9061059999999994E-2</v>
      </c>
      <c r="N2623">
        <v>0</v>
      </c>
      <c r="O2623">
        <v>-0.99752059999999998</v>
      </c>
      <c r="P2623">
        <v>0.22150900000000001</v>
      </c>
      <c r="Q2623">
        <v>5.1088719999999997E-2</v>
      </c>
      <c r="R2623">
        <v>-0.97381930000000005</v>
      </c>
      <c r="S2623">
        <v>1.4795229999999999</v>
      </c>
      <c r="T2623">
        <v>-0.27805229999999997</v>
      </c>
      <c r="U2623">
        <v>-2.7606660000000001</v>
      </c>
      <c r="V2623">
        <v>-0.28841879999999998</v>
      </c>
      <c r="W2623">
        <v>6.3219139999999993E-2</v>
      </c>
      <c r="X2623">
        <v>0.95541509999999996</v>
      </c>
      <c r="Y2623">
        <v>-0.53032480000000004</v>
      </c>
      <c r="Z2623">
        <v>8.6459049999999996E-2</v>
      </c>
      <c r="AA2623">
        <v>0.84337450000000003</v>
      </c>
      <c r="AB2623">
        <v>20</v>
      </c>
      <c r="AC2623">
        <v>0.44810000000000999</v>
      </c>
      <c r="AD2623">
        <v>-8.2766000000000298E-2</v>
      </c>
      <c r="AE2623">
        <v>-0.68690000000000795</v>
      </c>
      <c r="AF2623">
        <v>-0.48948724391960802</v>
      </c>
      <c r="AG2623">
        <v>-8.2766000000000298E-2</v>
      </c>
      <c r="AH2623">
        <v>0.64771407571096795</v>
      </c>
      <c r="AI2623">
        <v>95.820909656966407</v>
      </c>
      <c r="AJ2623">
        <v>127.07888852320001</v>
      </c>
      <c r="AK2623">
        <v>0.81607689379747095</v>
      </c>
    </row>
    <row r="2624" spans="1:37" x14ac:dyDescent="0.2">
      <c r="A2624" t="str">
        <f>"20200111153700026"</f>
        <v>20200111153700026</v>
      </c>
      <c r="B2624" t="str">
        <f>"1578728220015721"</f>
        <v>1578728220015721</v>
      </c>
      <c r="C2624" t="s">
        <v>37</v>
      </c>
      <c r="D2624">
        <v>5.7162119999999996</v>
      </c>
      <c r="E2624">
        <v>0.39461439999999998</v>
      </c>
      <c r="F2624" t="s">
        <v>38</v>
      </c>
      <c r="G2624">
        <v>-491.625</v>
      </c>
      <c r="H2624">
        <v>1.0197609999999999</v>
      </c>
      <c r="I2624">
        <v>246.66390000000001</v>
      </c>
      <c r="J2624">
        <v>-492.0992</v>
      </c>
      <c r="K2624">
        <v>1.10644599999999</v>
      </c>
      <c r="L2624">
        <v>247.34289999999999</v>
      </c>
      <c r="M2624">
        <v>-6.7073469999999996E-2</v>
      </c>
      <c r="N2624">
        <v>0</v>
      </c>
      <c r="O2624">
        <v>-0.9976564</v>
      </c>
      <c r="P2624">
        <v>0.22599089999999999</v>
      </c>
      <c r="Q2624">
        <v>5.1584270000000002E-2</v>
      </c>
      <c r="R2624">
        <v>-0.97276289999999999</v>
      </c>
      <c r="S2624">
        <v>1.486359</v>
      </c>
      <c r="T2624">
        <v>-0.27771220000000002</v>
      </c>
      <c r="U2624">
        <v>-2.7571110000000001</v>
      </c>
      <c r="V2624">
        <v>-0.29091909999999999</v>
      </c>
      <c r="W2624">
        <v>6.3678849999999995E-2</v>
      </c>
      <c r="X2624">
        <v>0.95462610000000003</v>
      </c>
      <c r="Y2624">
        <v>-0.53071499999999905</v>
      </c>
      <c r="Z2624">
        <v>8.6412219999999998E-2</v>
      </c>
      <c r="AA2624">
        <v>0.84313369999999999</v>
      </c>
      <c r="AB2624">
        <v>20</v>
      </c>
      <c r="AC2624">
        <v>0.47419999999999601</v>
      </c>
      <c r="AD2624">
        <v>-8.6684999999999596E-2</v>
      </c>
      <c r="AE2624">
        <v>-0.67899999999997296</v>
      </c>
      <c r="AF2624">
        <v>-0.51305828561769795</v>
      </c>
      <c r="AG2624">
        <v>-8.6684999999999596E-2</v>
      </c>
      <c r="AH2624">
        <v>0.638664748963921</v>
      </c>
      <c r="AI2624">
        <v>96.040222760226399</v>
      </c>
      <c r="AJ2624">
        <v>128.775943236838</v>
      </c>
      <c r="AK2624">
        <v>0.82379351492659803</v>
      </c>
    </row>
    <row r="2625" spans="1:37" x14ac:dyDescent="0.2">
      <c r="A2625" t="str">
        <f>"20200111153700046"</f>
        <v>20200111153700046</v>
      </c>
      <c r="B2625" t="str">
        <f>"1578728220035244"</f>
        <v>1578728220035244</v>
      </c>
      <c r="C2625" t="s">
        <v>37</v>
      </c>
      <c r="D2625">
        <v>5.7474059999999998</v>
      </c>
      <c r="E2625">
        <v>0.39367419999999997</v>
      </c>
      <c r="F2625" t="s">
        <v>38</v>
      </c>
      <c r="G2625">
        <v>-491.64210000000003</v>
      </c>
      <c r="H2625">
        <v>1.007717</v>
      </c>
      <c r="I2625">
        <v>246.48609999999999</v>
      </c>
      <c r="J2625">
        <v>-492.10890000000001</v>
      </c>
      <c r="K2625">
        <v>1.1064780000000001</v>
      </c>
      <c r="L2625">
        <v>247.16239999999999</v>
      </c>
      <c r="M2625">
        <v>-6.5052699999999894E-2</v>
      </c>
      <c r="N2625">
        <v>0</v>
      </c>
      <c r="O2625">
        <v>-0.99778999999999995</v>
      </c>
      <c r="P2625">
        <v>0.23077639999999999</v>
      </c>
      <c r="Q2625">
        <v>5.2265499999999999E-2</v>
      </c>
      <c r="R2625">
        <v>-0.97160219999999897</v>
      </c>
      <c r="S2625">
        <v>1.4724429999999999</v>
      </c>
      <c r="T2625">
        <v>-0.31787100000000001</v>
      </c>
      <c r="U2625">
        <v>-2.758759</v>
      </c>
      <c r="V2625">
        <v>-0.2936897</v>
      </c>
      <c r="W2625">
        <v>6.431982E-2</v>
      </c>
      <c r="X2625">
        <v>0.95373439999999998</v>
      </c>
      <c r="Y2625">
        <v>-0.52491759999999998</v>
      </c>
      <c r="Z2625">
        <v>9.9044389999999996E-2</v>
      </c>
      <c r="AA2625">
        <v>0.84537079999999998</v>
      </c>
      <c r="AB2625">
        <v>20</v>
      </c>
      <c r="AC2625">
        <v>0.46679999999997701</v>
      </c>
      <c r="AD2625">
        <v>-9.8761000000000099E-2</v>
      </c>
      <c r="AE2625">
        <v>-0.67629999999999701</v>
      </c>
      <c r="AF2625">
        <v>-0.50255142589802804</v>
      </c>
      <c r="AG2625">
        <v>-9.8761000000000099E-2</v>
      </c>
      <c r="AH2625">
        <v>0.635321316333743</v>
      </c>
      <c r="AI2625">
        <v>96.951121282711796</v>
      </c>
      <c r="AJ2625">
        <v>128.344677262396</v>
      </c>
      <c r="AK2625">
        <v>0.81605443800103195</v>
      </c>
    </row>
    <row r="2626" spans="1:37" x14ac:dyDescent="0.2">
      <c r="A2626" t="str">
        <f>"20200111153700068"</f>
        <v>20200111153700068</v>
      </c>
      <c r="B2626" t="str">
        <f>"1578728220065498"</f>
        <v>1578728220065498</v>
      </c>
      <c r="C2626" t="s">
        <v>37</v>
      </c>
      <c r="D2626">
        <v>5.7606529999999996</v>
      </c>
      <c r="E2626">
        <v>0.39395849999999999</v>
      </c>
      <c r="F2626" t="s">
        <v>38</v>
      </c>
      <c r="G2626">
        <v>-491.64609999999999</v>
      </c>
      <c r="H2626">
        <v>1.0091870000000001</v>
      </c>
      <c r="I2626">
        <v>246.31020000000001</v>
      </c>
      <c r="J2626">
        <v>-492.11900000000003</v>
      </c>
      <c r="K2626">
        <v>1.106509</v>
      </c>
      <c r="L2626">
        <v>246.9667</v>
      </c>
      <c r="M2626">
        <v>-6.2807210000000002E-2</v>
      </c>
      <c r="N2626">
        <v>0</v>
      </c>
      <c r="O2626">
        <v>-0.99793369999999904</v>
      </c>
      <c r="P2626">
        <v>0.23497579999999901</v>
      </c>
      <c r="Q2626">
        <v>5.1839169999999997E-2</v>
      </c>
      <c r="R2626">
        <v>-0.97061790000000003</v>
      </c>
      <c r="S2626">
        <v>1.49353</v>
      </c>
      <c r="T2626">
        <v>-0.3139188</v>
      </c>
      <c r="U2626">
        <v>-2.7498320000000001</v>
      </c>
      <c r="V2626">
        <v>-0.29567389999999999</v>
      </c>
      <c r="W2626">
        <v>6.3857299999999895E-2</v>
      </c>
      <c r="X2626">
        <v>0.95315219999999901</v>
      </c>
      <c r="Y2626">
        <v>-0.52921929999999995</v>
      </c>
      <c r="Z2626">
        <v>9.7820069999999995E-2</v>
      </c>
      <c r="AA2626">
        <v>0.84282739999999901</v>
      </c>
      <c r="AB2626">
        <v>20</v>
      </c>
      <c r="AC2626">
        <v>0.47290000000003801</v>
      </c>
      <c r="AD2626">
        <v>-9.7321999999999895E-2</v>
      </c>
      <c r="AE2626">
        <v>-0.65649999999999398</v>
      </c>
      <c r="AF2626">
        <v>-0.50588343410798697</v>
      </c>
      <c r="AG2626">
        <v>-9.7321999999999895E-2</v>
      </c>
      <c r="AH2626">
        <v>0.616578300317279</v>
      </c>
      <c r="AI2626">
        <v>96.957186251182904</v>
      </c>
      <c r="AJ2626">
        <v>129.36781961377699</v>
      </c>
      <c r="AK2626">
        <v>0.80346650273115605</v>
      </c>
    </row>
    <row r="2627" spans="1:37" x14ac:dyDescent="0.2">
      <c r="A2627" t="str">
        <f>"20200111153700083"</f>
        <v>20200111153700083</v>
      </c>
      <c r="B2627" t="str">
        <f>"1578728220075258"</f>
        <v>1578728220075258</v>
      </c>
      <c r="C2627" t="s">
        <v>37</v>
      </c>
      <c r="D2627">
        <v>5.7886519999999999</v>
      </c>
      <c r="E2627">
        <v>0.39414270000000001</v>
      </c>
      <c r="F2627" t="s">
        <v>38</v>
      </c>
      <c r="G2627">
        <v>-491.6626</v>
      </c>
      <c r="H2627">
        <v>1.009199</v>
      </c>
      <c r="I2627">
        <v>246.1327</v>
      </c>
      <c r="J2627">
        <v>-492.12540000000001</v>
      </c>
      <c r="K2627">
        <v>1.106528</v>
      </c>
      <c r="L2627">
        <v>246.83750000000001</v>
      </c>
      <c r="M2627">
        <v>-6.1294429999999997E-2</v>
      </c>
      <c r="N2627">
        <v>0</v>
      </c>
      <c r="O2627">
        <v>-0.99802789999999997</v>
      </c>
      <c r="P2627">
        <v>0.23743710000000001</v>
      </c>
      <c r="Q2627">
        <v>5.132755E-2</v>
      </c>
      <c r="R2627">
        <v>-0.97004619999999997</v>
      </c>
      <c r="S2627">
        <v>1.5027469999999901</v>
      </c>
      <c r="T2627">
        <v>-0.32014150000000002</v>
      </c>
      <c r="U2627">
        <v>-2.7441559999999998</v>
      </c>
      <c r="V2627">
        <v>-0.2966511</v>
      </c>
      <c r="W2627">
        <v>6.3323840000000006E-2</v>
      </c>
      <c r="X2627">
        <v>0.95288419999999896</v>
      </c>
      <c r="Y2627">
        <v>-0.53075090000000003</v>
      </c>
      <c r="Z2627">
        <v>9.9804660000000003E-2</v>
      </c>
      <c r="AA2627">
        <v>0.84163089999999996</v>
      </c>
      <c r="AB2627">
        <v>20</v>
      </c>
      <c r="AC2627">
        <v>0.46280000000001498</v>
      </c>
      <c r="AD2627">
        <v>-9.7328999999999999E-2</v>
      </c>
      <c r="AE2627">
        <v>-0.70480000000000498</v>
      </c>
      <c r="AF2627">
        <v>-0.49849164054907602</v>
      </c>
      <c r="AG2627">
        <v>-9.7328999999999999E-2</v>
      </c>
      <c r="AH2627">
        <v>0.66622755298056302</v>
      </c>
      <c r="AI2627">
        <v>96.671631083547396</v>
      </c>
      <c r="AJ2627">
        <v>126.804948773354</v>
      </c>
      <c r="AK2627">
        <v>0.83775056090030697</v>
      </c>
    </row>
    <row r="2628" spans="1:37" x14ac:dyDescent="0.2">
      <c r="A2628" t="str">
        <f>"20200111153700103"</f>
        <v>20200111153700103</v>
      </c>
      <c r="B2628" t="str">
        <f>"1578728220095753"</f>
        <v>1578728220095753</v>
      </c>
      <c r="C2628" t="s">
        <v>37</v>
      </c>
      <c r="D2628">
        <v>5.794092</v>
      </c>
      <c r="E2628">
        <v>0.39433319999999999</v>
      </c>
      <c r="F2628" t="s">
        <v>38</v>
      </c>
      <c r="G2628">
        <v>-491.6431</v>
      </c>
      <c r="H2628">
        <v>1.002786</v>
      </c>
      <c r="I2628">
        <v>245.96080000000001</v>
      </c>
      <c r="J2628">
        <v>-492.13389999999998</v>
      </c>
      <c r="K2628">
        <v>1.106554</v>
      </c>
      <c r="L2628">
        <v>246.65770000000001</v>
      </c>
      <c r="M2628">
        <v>-5.9138320000000001E-2</v>
      </c>
      <c r="N2628">
        <v>0</v>
      </c>
      <c r="O2628">
        <v>-0.99815810000000005</v>
      </c>
      <c r="P2628">
        <v>0.2413428</v>
      </c>
      <c r="Q2628">
        <v>5.0437000000000003E-2</v>
      </c>
      <c r="R2628">
        <v>-0.9691284</v>
      </c>
      <c r="S2628">
        <v>1.507965</v>
      </c>
      <c r="T2628">
        <v>-0.32429920000000001</v>
      </c>
      <c r="U2628">
        <v>-2.7406769999999998</v>
      </c>
      <c r="V2628">
        <v>-0.29843639999999999</v>
      </c>
      <c r="W2628">
        <v>6.2399660000000003E-2</v>
      </c>
      <c r="X2628">
        <v>0.95238750000000005</v>
      </c>
      <c r="Y2628">
        <v>-0.5305375</v>
      </c>
      <c r="Z2628">
        <v>0.10118249999999999</v>
      </c>
      <c r="AA2628">
        <v>0.84160089999999999</v>
      </c>
      <c r="AB2628">
        <v>20</v>
      </c>
      <c r="AC2628">
        <v>0.49079999999997798</v>
      </c>
      <c r="AD2628">
        <v>-0.103768</v>
      </c>
      <c r="AE2628">
        <v>-0.69689999999999896</v>
      </c>
      <c r="AF2628">
        <v>-0.52340111692534597</v>
      </c>
      <c r="AG2628">
        <v>-0.103768</v>
      </c>
      <c r="AH2628">
        <v>0.656916573907804</v>
      </c>
      <c r="AI2628">
        <v>97.042813283965401</v>
      </c>
      <c r="AJ2628">
        <v>128.54623598357</v>
      </c>
      <c r="AK2628">
        <v>0.84631903682799603</v>
      </c>
    </row>
    <row r="2629" spans="1:37" x14ac:dyDescent="0.2">
      <c r="A2629" t="str">
        <f>"20200111153700124"</f>
        <v>20200111153700124</v>
      </c>
      <c r="B2629" t="str">
        <f>"1578728220115274"</f>
        <v>1578728220115274</v>
      </c>
      <c r="C2629" t="s">
        <v>37</v>
      </c>
      <c r="D2629">
        <v>5.789409</v>
      </c>
      <c r="E2629">
        <v>0.39457309999999901</v>
      </c>
      <c r="F2629" t="s">
        <v>38</v>
      </c>
      <c r="G2629">
        <v>-491.65010000000001</v>
      </c>
      <c r="H2629">
        <v>1.0016799999999999</v>
      </c>
      <c r="I2629">
        <v>245.7851</v>
      </c>
      <c r="J2629">
        <v>-492.14170000000001</v>
      </c>
      <c r="K2629">
        <v>1.106584</v>
      </c>
      <c r="L2629">
        <v>246.48490000000001</v>
      </c>
      <c r="M2629">
        <v>-5.7014860000000001E-2</v>
      </c>
      <c r="N2629">
        <v>0</v>
      </c>
      <c r="O2629">
        <v>-0.99828169999999905</v>
      </c>
      <c r="P2629">
        <v>0.24416079999999901</v>
      </c>
      <c r="Q2629">
        <v>4.9915800000000003E-2</v>
      </c>
      <c r="R2629">
        <v>-0.96844949999999996</v>
      </c>
      <c r="S2629">
        <v>1.5169680000000001</v>
      </c>
      <c r="T2629">
        <v>-0.32866590000000001</v>
      </c>
      <c r="U2629">
        <v>-2.7348789999999998</v>
      </c>
      <c r="V2629">
        <v>-0.299185799999999</v>
      </c>
      <c r="W2629">
        <v>6.1850929999999998E-2</v>
      </c>
      <c r="X2629">
        <v>0.95218819999999904</v>
      </c>
      <c r="Y2629">
        <v>-0.53154069999999998</v>
      </c>
      <c r="Z2629">
        <v>0.102626299999999</v>
      </c>
      <c r="AA2629">
        <v>0.84079269999999995</v>
      </c>
      <c r="AB2629">
        <v>20</v>
      </c>
      <c r="AC2629">
        <v>0.49160000000000498</v>
      </c>
      <c r="AD2629">
        <v>-0.104904</v>
      </c>
      <c r="AE2629">
        <v>-0.69980000000000997</v>
      </c>
      <c r="AF2629">
        <v>-0.52283599397349301</v>
      </c>
      <c r="AG2629">
        <v>-0.104904</v>
      </c>
      <c r="AH2629">
        <v>0.66068933377810302</v>
      </c>
      <c r="AI2629">
        <v>97.097356380745396</v>
      </c>
      <c r="AJ2629">
        <v>128.356303037457</v>
      </c>
      <c r="AK2629">
        <v>0.84904223780587196</v>
      </c>
    </row>
    <row r="2630" spans="1:37" x14ac:dyDescent="0.2">
      <c r="A2630" t="str">
        <f>"20200111153700138"</f>
        <v>20200111153700138</v>
      </c>
      <c r="B2630" t="str">
        <f>"1578728220135769"</f>
        <v>1578728220135769</v>
      </c>
      <c r="C2630" t="s">
        <v>37</v>
      </c>
      <c r="D2630">
        <v>5.8057730000000003</v>
      </c>
      <c r="E2630">
        <v>0.3949935</v>
      </c>
      <c r="F2630" t="s">
        <v>38</v>
      </c>
      <c r="G2630">
        <v>-491.65379999999999</v>
      </c>
      <c r="H2630">
        <v>0.99994289999999997</v>
      </c>
      <c r="I2630">
        <v>245.61009999999999</v>
      </c>
      <c r="J2630">
        <v>-492.14760000000001</v>
      </c>
      <c r="K2630">
        <v>1.106603</v>
      </c>
      <c r="L2630">
        <v>246.34610000000001</v>
      </c>
      <c r="M2630">
        <v>-5.5275699999999997E-2</v>
      </c>
      <c r="N2630">
        <v>0</v>
      </c>
      <c r="O2630">
        <v>-0.99837960000000003</v>
      </c>
      <c r="P2630">
        <v>0.2470089</v>
      </c>
      <c r="Q2630">
        <v>4.9676860000000003E-2</v>
      </c>
      <c r="R2630">
        <v>-0.96773940000000003</v>
      </c>
      <c r="S2630">
        <v>1.52298</v>
      </c>
      <c r="T2630">
        <v>-0.3329028</v>
      </c>
      <c r="U2630">
        <v>-2.7309570000000001</v>
      </c>
      <c r="V2630">
        <v>-0.30033290000000001</v>
      </c>
      <c r="W2630">
        <v>6.1585840000000003E-2</v>
      </c>
      <c r="X2630">
        <v>0.95184419999999903</v>
      </c>
      <c r="Y2630">
        <v>-0.53192299999999904</v>
      </c>
      <c r="Z2630">
        <v>0.1040131</v>
      </c>
      <c r="AA2630">
        <v>0.84038040000000003</v>
      </c>
      <c r="AB2630">
        <v>20</v>
      </c>
      <c r="AC2630">
        <v>0.493800000000021</v>
      </c>
      <c r="AD2630">
        <v>-0.10666009999999999</v>
      </c>
      <c r="AE2630">
        <v>-0.73600000000001797</v>
      </c>
      <c r="AF2630">
        <v>-0.52611220344196197</v>
      </c>
      <c r="AG2630">
        <v>-0.10666009999999999</v>
      </c>
      <c r="AH2630">
        <v>0.69747582810392195</v>
      </c>
      <c r="AI2630">
        <v>96.960534758244194</v>
      </c>
      <c r="AJ2630">
        <v>127.027574356687</v>
      </c>
      <c r="AK2630">
        <v>0.88013803368097798</v>
      </c>
    </row>
    <row r="2631" spans="1:37" x14ac:dyDescent="0.2">
      <c r="A2631" t="str">
        <f>"20200111153700158"</f>
        <v>20200111153700158</v>
      </c>
      <c r="B2631" t="str">
        <f>"1578728220155289"</f>
        <v>1578728220155289</v>
      </c>
      <c r="C2631" t="s">
        <v>37</v>
      </c>
      <c r="D2631">
        <v>5.8019809999999996</v>
      </c>
      <c r="E2631">
        <v>0.39526050000000001</v>
      </c>
      <c r="F2631" t="s">
        <v>38</v>
      </c>
      <c r="G2631">
        <v>-491.72859999999997</v>
      </c>
      <c r="H2631">
        <v>1.014734</v>
      </c>
      <c r="I2631">
        <v>245.59829999999999</v>
      </c>
      <c r="J2631">
        <v>-492.15469999999999</v>
      </c>
      <c r="K2631">
        <v>1.1066290000000001</v>
      </c>
      <c r="L2631">
        <v>246.17099999999999</v>
      </c>
      <c r="M2631">
        <v>-5.3034060000000001E-2</v>
      </c>
      <c r="N2631">
        <v>0</v>
      </c>
      <c r="O2631">
        <v>-0.99850079999999997</v>
      </c>
      <c r="P2631">
        <v>0.25047409999999998</v>
      </c>
      <c r="Q2631">
        <v>4.9530150000000002E-2</v>
      </c>
      <c r="R2631">
        <v>-0.96685560000000004</v>
      </c>
      <c r="S2631">
        <v>1.5278929999999999</v>
      </c>
      <c r="T2631">
        <v>-0.3350089</v>
      </c>
      <c r="U2631">
        <v>-2.7271879999999999</v>
      </c>
      <c r="V2631">
        <v>-0.30161090000000002</v>
      </c>
      <c r="W2631">
        <v>6.1407349999999999E-2</v>
      </c>
      <c r="X2631">
        <v>0.95145149999999901</v>
      </c>
      <c r="Y2631">
        <v>-0.53163439999999995</v>
      </c>
      <c r="Z2631">
        <v>0.1047761</v>
      </c>
      <c r="AA2631">
        <v>0.840468199999999</v>
      </c>
      <c r="AB2631">
        <v>20</v>
      </c>
      <c r="AC2631">
        <v>0.42610000000001902</v>
      </c>
      <c r="AD2631">
        <v>-9.1895000000000004E-2</v>
      </c>
      <c r="AE2631">
        <v>-0.57269999999999699</v>
      </c>
      <c r="AF2631">
        <v>-0.44844359944280798</v>
      </c>
      <c r="AG2631">
        <v>-9.1895000000000004E-2</v>
      </c>
      <c r="AH2631">
        <v>0.54033899284786802</v>
      </c>
      <c r="AI2631">
        <v>97.455898747395693</v>
      </c>
      <c r="AJ2631">
        <v>129.690302036671</v>
      </c>
      <c r="AK2631">
        <v>0.70817552915789905</v>
      </c>
    </row>
    <row r="2632" spans="1:37" x14ac:dyDescent="0.2">
      <c r="A2632" t="str">
        <f>"20200111153700181"</f>
        <v>20200111153700181</v>
      </c>
      <c r="B2632" t="str">
        <f>"1578728220175785"</f>
        <v>1578728220175785</v>
      </c>
      <c r="C2632" t="s">
        <v>37</v>
      </c>
      <c r="D2632">
        <v>5.8042730000000002</v>
      </c>
      <c r="E2632">
        <v>0.3956112</v>
      </c>
      <c r="F2632" t="s">
        <v>38</v>
      </c>
      <c r="G2632">
        <v>-491.73320000000001</v>
      </c>
      <c r="H2632">
        <v>1.014146</v>
      </c>
      <c r="I2632">
        <v>245.42310000000001</v>
      </c>
      <c r="J2632">
        <v>-492.16210000000001</v>
      </c>
      <c r="K2632">
        <v>1.106657</v>
      </c>
      <c r="L2632">
        <v>245.9734</v>
      </c>
      <c r="M2632">
        <v>-5.0441220000000002E-2</v>
      </c>
      <c r="N2632">
        <v>0</v>
      </c>
      <c r="O2632">
        <v>-0.9986351</v>
      </c>
      <c r="P2632">
        <v>0.25452849999999999</v>
      </c>
      <c r="Q2632">
        <v>4.9188540000000003E-2</v>
      </c>
      <c r="R2632">
        <v>-0.96581349999999999</v>
      </c>
      <c r="S2632">
        <v>1.5355529999999999</v>
      </c>
      <c r="T2632">
        <v>-0.33662249999999999</v>
      </c>
      <c r="U2632">
        <v>-2.722305</v>
      </c>
      <c r="V2632">
        <v>-0.30313790000000002</v>
      </c>
      <c r="W2632">
        <v>6.1028039999999999E-2</v>
      </c>
      <c r="X2632">
        <v>0.95099059999999902</v>
      </c>
      <c r="Y2632">
        <v>-0.53184799999999999</v>
      </c>
      <c r="Z2632">
        <v>0.10538549999999999</v>
      </c>
      <c r="AA2632">
        <v>0.84025689999999997</v>
      </c>
      <c r="AB2632">
        <v>20</v>
      </c>
      <c r="AC2632">
        <v>0.42889999999999801</v>
      </c>
      <c r="AD2632">
        <v>-9.2510999999999996E-2</v>
      </c>
      <c r="AE2632">
        <v>-0.55029999999999202</v>
      </c>
      <c r="AF2632">
        <v>-0.44823377380648199</v>
      </c>
      <c r="AG2632">
        <v>-9.2510999999999996E-2</v>
      </c>
      <c r="AH2632">
        <v>0.51884126246803797</v>
      </c>
      <c r="AI2632">
        <v>97.684250352455905</v>
      </c>
      <c r="AJ2632">
        <v>130.82416520226701</v>
      </c>
      <c r="AK2632">
        <v>0.69185840801512799</v>
      </c>
    </row>
    <row r="2633" spans="1:37" x14ac:dyDescent="0.2">
      <c r="A2633" t="str">
        <f>"20200111153700204"</f>
        <v>20200111153700204</v>
      </c>
      <c r="B2633" t="str">
        <f>"1578728220195305"</f>
        <v>1578728220195305</v>
      </c>
      <c r="C2633" t="s">
        <v>37</v>
      </c>
      <c r="D2633">
        <v>5.7873789999999996</v>
      </c>
      <c r="E2633">
        <v>0.3959821</v>
      </c>
      <c r="F2633" t="s">
        <v>38</v>
      </c>
      <c r="G2633">
        <v>-491.65839999999997</v>
      </c>
      <c r="H2633">
        <v>0.99619849999999999</v>
      </c>
      <c r="I2633">
        <v>245.0874</v>
      </c>
      <c r="J2633">
        <v>-492.16910000000001</v>
      </c>
      <c r="K2633">
        <v>1.1066860000000001</v>
      </c>
      <c r="L2633">
        <v>245.76929999999999</v>
      </c>
      <c r="M2633">
        <v>-4.7691600000000001E-2</v>
      </c>
      <c r="N2633">
        <v>0</v>
      </c>
      <c r="O2633">
        <v>-0.99877050000000001</v>
      </c>
      <c r="P2633">
        <v>0.25939879999999998</v>
      </c>
      <c r="Q2633">
        <v>4.9037530000000003E-2</v>
      </c>
      <c r="R2633">
        <v>-0.96452479999999996</v>
      </c>
      <c r="S2633">
        <v>1.544403</v>
      </c>
      <c r="T2633">
        <v>-0.33864610000000001</v>
      </c>
      <c r="U2633">
        <v>-2.7163849999999998</v>
      </c>
      <c r="V2633">
        <v>-0.30532419999999999</v>
      </c>
      <c r="W2633">
        <v>6.0834319999999997E-2</v>
      </c>
      <c r="X2633">
        <v>0.95030329999999996</v>
      </c>
      <c r="Y2633">
        <v>-0.53233759999999997</v>
      </c>
      <c r="Z2633">
        <v>0.1061366</v>
      </c>
      <c r="AA2633">
        <v>0.83985219999999905</v>
      </c>
      <c r="AB2633">
        <v>20</v>
      </c>
      <c r="AC2633">
        <v>0.51070000000004201</v>
      </c>
      <c r="AD2633">
        <v>-0.110487499999999</v>
      </c>
      <c r="AE2633">
        <v>-0.68189999999998396</v>
      </c>
      <c r="AF2633">
        <v>-0.53366674602745801</v>
      </c>
      <c r="AG2633">
        <v>-0.110487499999999</v>
      </c>
      <c r="AH2633">
        <v>0.64590197746551903</v>
      </c>
      <c r="AI2633">
        <v>97.512280328337894</v>
      </c>
      <c r="AJ2633">
        <v>129.56470539103501</v>
      </c>
      <c r="AK2633">
        <v>0.84510179739819102</v>
      </c>
    </row>
    <row r="2634" spans="1:37" x14ac:dyDescent="0.2">
      <c r="A2634" t="str">
        <f>"20200111153700226"</f>
        <v>20200111153700226</v>
      </c>
      <c r="B2634" t="str">
        <f>"1578728220215801"</f>
        <v>1578728220215801</v>
      </c>
      <c r="C2634" t="s">
        <v>37</v>
      </c>
      <c r="D2634">
        <v>5.9352199999999904</v>
      </c>
      <c r="E2634">
        <v>0.39631889999999997</v>
      </c>
      <c r="F2634" t="s">
        <v>38</v>
      </c>
      <c r="G2634">
        <v>-491.67630000000003</v>
      </c>
      <c r="H2634">
        <v>0.99886659999999905</v>
      </c>
      <c r="I2634">
        <v>244.91079999999999</v>
      </c>
      <c r="J2634">
        <v>-492.17529999999999</v>
      </c>
      <c r="K2634">
        <v>1.106695</v>
      </c>
      <c r="L2634">
        <v>245.57390000000001</v>
      </c>
      <c r="M2634">
        <v>-4.5006350000000001E-2</v>
      </c>
      <c r="N2634">
        <v>0</v>
      </c>
      <c r="O2634">
        <v>-0.99889499999999998</v>
      </c>
      <c r="P2634">
        <v>0.26549469999999997</v>
      </c>
      <c r="Q2634">
        <v>4.7945099999999997E-2</v>
      </c>
      <c r="R2634">
        <v>-0.96291979999999999</v>
      </c>
      <c r="S2634">
        <v>1.555267</v>
      </c>
      <c r="T2634">
        <v>-0.34024330000000003</v>
      </c>
      <c r="U2634">
        <v>-2.7093660000000002</v>
      </c>
      <c r="V2634">
        <v>-0.30878410000000001</v>
      </c>
      <c r="W2634">
        <v>5.9694839999999999E-2</v>
      </c>
      <c r="X2634">
        <v>0.94925700000000002</v>
      </c>
      <c r="Y2634">
        <v>-0.53350640000000005</v>
      </c>
      <c r="Z2634">
        <v>0.10674889999999999</v>
      </c>
      <c r="AA2634">
        <v>0.83903259999999902</v>
      </c>
      <c r="AB2634">
        <v>20</v>
      </c>
      <c r="AC2634">
        <v>0.49899999999996603</v>
      </c>
      <c r="AD2634">
        <v>-0.1078284</v>
      </c>
      <c r="AE2634">
        <v>-0.66310000000001401</v>
      </c>
      <c r="AF2634">
        <v>-0.51956913370680502</v>
      </c>
      <c r="AG2634">
        <v>-0.1078284</v>
      </c>
      <c r="AH2634">
        <v>0.62934290336309295</v>
      </c>
      <c r="AI2634">
        <v>97.526661504846999</v>
      </c>
      <c r="AJ2634">
        <v>129.542194298108</v>
      </c>
      <c r="AK2634">
        <v>0.82319592963090404</v>
      </c>
    </row>
    <row r="2635" spans="1:37" x14ac:dyDescent="0.2">
      <c r="A2635" t="str">
        <f>"20200111153700263"</f>
        <v>20200111153700263</v>
      </c>
      <c r="B2635" t="str">
        <f>"1578728220255817"</f>
        <v>1578728220255817</v>
      </c>
      <c r="C2635" t="s">
        <v>37</v>
      </c>
      <c r="D2635">
        <v>5.7854190000000001</v>
      </c>
      <c r="E2635">
        <v>0.39898919999999999</v>
      </c>
      <c r="F2635" t="s">
        <v>38</v>
      </c>
      <c r="G2635">
        <v>-491.68790000000001</v>
      </c>
      <c r="H2635">
        <v>0.99952890000000005</v>
      </c>
      <c r="I2635">
        <v>244.7354</v>
      </c>
      <c r="J2635">
        <v>-492.18419999999998</v>
      </c>
      <c r="K2635">
        <v>1.106706</v>
      </c>
      <c r="L2635">
        <v>245.24780000000001</v>
      </c>
      <c r="M2635">
        <v>-4.0424769999999999E-2</v>
      </c>
      <c r="N2635">
        <v>0</v>
      </c>
      <c r="O2635">
        <v>-0.99909099999999995</v>
      </c>
      <c r="P2635">
        <v>0.27313080000000001</v>
      </c>
      <c r="Q2635">
        <v>4.6735680000000002E-2</v>
      </c>
      <c r="R2635">
        <v>-0.96084150000000002</v>
      </c>
      <c r="S2635">
        <v>1.5697939999999999</v>
      </c>
      <c r="T2635">
        <v>-0.34504620000000003</v>
      </c>
      <c r="U2635">
        <v>-2.6998439999999899</v>
      </c>
      <c r="V2635">
        <v>-0.31197009999999997</v>
      </c>
      <c r="W2635">
        <v>5.8436290000000002E-2</v>
      </c>
      <c r="X2635">
        <v>0.9482931</v>
      </c>
      <c r="Y2635">
        <v>-0.5342036</v>
      </c>
      <c r="Z2635">
        <v>0.1084364</v>
      </c>
      <c r="AA2635">
        <v>0.83837229999999996</v>
      </c>
      <c r="AB2635">
        <v>20</v>
      </c>
      <c r="AC2635">
        <v>0.49629999999996199</v>
      </c>
      <c r="AD2635">
        <v>-0.107177099999999</v>
      </c>
      <c r="AE2635">
        <v>-0.51240000000001296</v>
      </c>
      <c r="AF2635">
        <v>-0.50520552226941795</v>
      </c>
      <c r="AG2635">
        <v>-0.107177099999999</v>
      </c>
      <c r="AH2635">
        <v>0.48105727322033698</v>
      </c>
      <c r="AI2635">
        <v>98.734423474932001</v>
      </c>
      <c r="AJ2635">
        <v>136.402583949187</v>
      </c>
      <c r="AK2635">
        <v>0.70578725591647695</v>
      </c>
    </row>
    <row r="2636" spans="1:37" x14ac:dyDescent="0.2">
      <c r="A2636" t="str">
        <f>"20200111153700281"</f>
        <v>20200111153700281</v>
      </c>
      <c r="B2636" t="str">
        <f>"1578728220275337"</f>
        <v>1578728220275337</v>
      </c>
      <c r="C2636" t="s">
        <v>37</v>
      </c>
      <c r="D2636">
        <v>5.8149839999999999</v>
      </c>
      <c r="E2636">
        <v>0.39789629999999998</v>
      </c>
      <c r="F2636" t="s">
        <v>38</v>
      </c>
      <c r="G2636">
        <v>-491.68340000000001</v>
      </c>
      <c r="H2636">
        <v>0.99915189999999998</v>
      </c>
      <c r="I2636">
        <v>244.38980000000001</v>
      </c>
      <c r="J2636">
        <v>-492.18770000000001</v>
      </c>
      <c r="K2636">
        <v>1.1067039999999999</v>
      </c>
      <c r="L2636">
        <v>245.09809999999999</v>
      </c>
      <c r="M2636">
        <v>-3.8278300000000001E-2</v>
      </c>
      <c r="N2636">
        <v>0</v>
      </c>
      <c r="O2636">
        <v>-0.99917540000000005</v>
      </c>
      <c r="P2636">
        <v>0.27724109999999902</v>
      </c>
      <c r="Q2636">
        <v>4.6331839999999999E-2</v>
      </c>
      <c r="R2636">
        <v>-0.95968279999999995</v>
      </c>
      <c r="S2636">
        <v>1.5714109999999999</v>
      </c>
      <c r="T2636">
        <v>-0.33744580000000002</v>
      </c>
      <c r="U2636">
        <v>-2.6920009999999999</v>
      </c>
      <c r="V2636">
        <v>-0.31399349999999998</v>
      </c>
      <c r="W2636">
        <v>5.8007389999999999E-2</v>
      </c>
      <c r="X2636">
        <v>0.94765140000000003</v>
      </c>
      <c r="Y2636">
        <v>-0.53394330000000001</v>
      </c>
      <c r="Z2636">
        <v>0.1063533</v>
      </c>
      <c r="AA2636">
        <v>0.83880480000000002</v>
      </c>
      <c r="AB2636">
        <v>20</v>
      </c>
      <c r="AC2636">
        <v>0.50429999999999997</v>
      </c>
      <c r="AD2636">
        <v>-0.1075521</v>
      </c>
      <c r="AE2636">
        <v>-0.70829999999997995</v>
      </c>
      <c r="AF2636">
        <v>-0.52304242092664699</v>
      </c>
      <c r="AG2636">
        <v>-0.1075521</v>
      </c>
      <c r="AH2636">
        <v>0.67809987435696495</v>
      </c>
      <c r="AI2636">
        <v>97.158225115332797</v>
      </c>
      <c r="AJ2636">
        <v>127.644272892963</v>
      </c>
      <c r="AK2636">
        <v>0.86311080859073397</v>
      </c>
    </row>
    <row r="2637" spans="1:37" x14ac:dyDescent="0.2">
      <c r="A2637" t="str">
        <f>"20200111153700305"</f>
        <v>20200111153700305</v>
      </c>
      <c r="B2637" t="str">
        <f>"1578728220295833"</f>
        <v>1578728220295833</v>
      </c>
      <c r="C2637" t="s">
        <v>37</v>
      </c>
      <c r="D2637">
        <v>5.7820790000000004</v>
      </c>
      <c r="E2637">
        <v>0.39754829999999902</v>
      </c>
      <c r="F2637" t="s">
        <v>38</v>
      </c>
      <c r="G2637">
        <v>-491.66649999999998</v>
      </c>
      <c r="H2637">
        <v>1.000513</v>
      </c>
      <c r="I2637">
        <v>244.21979999999999</v>
      </c>
      <c r="J2637">
        <v>-492.19209999999998</v>
      </c>
      <c r="K2637">
        <v>1.1067039999999999</v>
      </c>
      <c r="L2637">
        <v>244.88800000000001</v>
      </c>
      <c r="M2637">
        <v>-3.5224419999999999E-2</v>
      </c>
      <c r="N2637">
        <v>0</v>
      </c>
      <c r="O2637">
        <v>-0.99928779999999995</v>
      </c>
      <c r="P2637">
        <v>0.28241539999999998</v>
      </c>
      <c r="Q2637">
        <v>4.4574599999999999E-2</v>
      </c>
      <c r="R2637">
        <v>-0.95825629999999995</v>
      </c>
      <c r="S2637">
        <v>1.591888</v>
      </c>
      <c r="T2637">
        <v>-0.32425700000000002</v>
      </c>
      <c r="U2637">
        <v>-2.6817630000000001</v>
      </c>
      <c r="V2637">
        <v>-0.3162103</v>
      </c>
      <c r="W2637">
        <v>5.6221689999999998E-2</v>
      </c>
      <c r="X2637">
        <v>0.94702169999999897</v>
      </c>
      <c r="Y2637">
        <v>-0.53772529999999996</v>
      </c>
      <c r="Z2637">
        <v>0.1022859</v>
      </c>
      <c r="AA2637">
        <v>0.83689259999999999</v>
      </c>
      <c r="AB2637">
        <v>20</v>
      </c>
      <c r="AC2637">
        <v>0.52559999999999696</v>
      </c>
      <c r="AD2637">
        <v>-0.10619099999999999</v>
      </c>
      <c r="AE2637">
        <v>-0.66820000000001301</v>
      </c>
      <c r="AF2637">
        <v>-0.54038166902846996</v>
      </c>
      <c r="AG2637">
        <v>-0.10619099999999999</v>
      </c>
      <c r="AH2637">
        <v>0.63929511570754505</v>
      </c>
      <c r="AI2637">
        <v>97.229818429732504</v>
      </c>
      <c r="AJ2637">
        <v>130.207079153216</v>
      </c>
      <c r="AK2637">
        <v>0.84379329321257202</v>
      </c>
    </row>
    <row r="2638" spans="1:37" x14ac:dyDescent="0.2">
      <c r="A2638" t="str">
        <f>"20200111153700327"</f>
        <v>20200111153700327</v>
      </c>
      <c r="B2638" t="str">
        <f>"1578728220315354"</f>
        <v>1578728220315354</v>
      </c>
      <c r="C2638" t="s">
        <v>37</v>
      </c>
      <c r="D2638">
        <v>5.8035100000000002</v>
      </c>
      <c r="E2638">
        <v>0.39771119999999999</v>
      </c>
      <c r="F2638" t="s">
        <v>38</v>
      </c>
      <c r="G2638">
        <v>-491.6841</v>
      </c>
      <c r="H2638">
        <v>1.0045729999999999</v>
      </c>
      <c r="I2638">
        <v>244.04400000000001</v>
      </c>
      <c r="J2638">
        <v>-492.19549999999998</v>
      </c>
      <c r="K2638">
        <v>1.106703</v>
      </c>
      <c r="L2638">
        <v>244.6996</v>
      </c>
      <c r="M2638">
        <v>-3.2442159999999998E-2</v>
      </c>
      <c r="N2638">
        <v>0</v>
      </c>
      <c r="O2638">
        <v>-0.99938199999999999</v>
      </c>
      <c r="P2638">
        <v>0.28636799999999901</v>
      </c>
      <c r="Q2638">
        <v>4.3105129999999998E-2</v>
      </c>
      <c r="R2638">
        <v>-0.9571499</v>
      </c>
      <c r="S2638">
        <v>1.60907</v>
      </c>
      <c r="T2638">
        <v>-0.3232466</v>
      </c>
      <c r="U2638">
        <v>-2.6715390000000001</v>
      </c>
      <c r="V2638">
        <v>-0.31748179999999998</v>
      </c>
      <c r="W2638">
        <v>5.4729109999999997E-2</v>
      </c>
      <c r="X2638">
        <v>0.94668369999999902</v>
      </c>
      <c r="Y2638">
        <v>-0.54075769999999901</v>
      </c>
      <c r="Z2638">
        <v>0.1020562</v>
      </c>
      <c r="AA2638">
        <v>0.8349645</v>
      </c>
      <c r="AB2638">
        <v>20</v>
      </c>
      <c r="AC2638">
        <v>0.51139999999997998</v>
      </c>
      <c r="AD2638">
        <v>-0.10213</v>
      </c>
      <c r="AE2638">
        <v>-0.65559999999999197</v>
      </c>
      <c r="AF2638">
        <v>-0.52448862003382601</v>
      </c>
      <c r="AG2638">
        <v>-0.10213</v>
      </c>
      <c r="AH2638">
        <v>0.62916986669863295</v>
      </c>
      <c r="AI2638">
        <v>97.107185194859596</v>
      </c>
      <c r="AJ2638">
        <v>129.815264965674</v>
      </c>
      <c r="AK2638">
        <v>0.82545355448175395</v>
      </c>
    </row>
    <row r="2639" spans="1:37" x14ac:dyDescent="0.2">
      <c r="A2639" t="str">
        <f>"20200111153700348"</f>
        <v>20200111153700348</v>
      </c>
      <c r="B2639" t="str">
        <f>"1578728220345610"</f>
        <v>1578728220345610</v>
      </c>
      <c r="C2639" t="s">
        <v>37</v>
      </c>
      <c r="D2639">
        <v>5.9684429999999997</v>
      </c>
      <c r="E2639">
        <v>0.39805200000000002</v>
      </c>
      <c r="F2639" t="s">
        <v>38</v>
      </c>
      <c r="G2639">
        <v>-491.69119999999998</v>
      </c>
      <c r="H2639">
        <v>1.006338</v>
      </c>
      <c r="I2639">
        <v>243.87010000000001</v>
      </c>
      <c r="J2639">
        <v>-492.19819999999999</v>
      </c>
      <c r="K2639">
        <v>1.106719</v>
      </c>
      <c r="L2639">
        <v>244.51759999999999</v>
      </c>
      <c r="M2639">
        <v>-2.970414E-2</v>
      </c>
      <c r="N2639">
        <v>0</v>
      </c>
      <c r="O2639">
        <v>-0.99946699999999999</v>
      </c>
      <c r="P2639">
        <v>0.29058809999999902</v>
      </c>
      <c r="Q2639">
        <v>4.205747E-2</v>
      </c>
      <c r="R2639">
        <v>-0.95592339999999998</v>
      </c>
      <c r="S2639">
        <v>1.619232</v>
      </c>
      <c r="T2639">
        <v>-0.32239990000000002</v>
      </c>
      <c r="U2639">
        <v>-2.6643520000000001</v>
      </c>
      <c r="V2639">
        <v>-0.31906599999999902</v>
      </c>
      <c r="W2639">
        <v>5.3650660000000003E-2</v>
      </c>
      <c r="X2639">
        <v>0.94621270000000002</v>
      </c>
      <c r="Y2639">
        <v>-0.54179089999999996</v>
      </c>
      <c r="Z2639">
        <v>0.1019101</v>
      </c>
      <c r="AA2639">
        <v>0.83431219999999995</v>
      </c>
      <c r="AB2639">
        <v>20</v>
      </c>
      <c r="AC2639">
        <v>0.507000000000005</v>
      </c>
      <c r="AD2639">
        <v>-0.100381</v>
      </c>
      <c r="AE2639">
        <v>-0.64749999999997898</v>
      </c>
      <c r="AF2639">
        <v>-0.51828938220939402</v>
      </c>
      <c r="AG2639">
        <v>-0.100381</v>
      </c>
      <c r="AH2639">
        <v>0.62287260191452898</v>
      </c>
      <c r="AI2639">
        <v>97.061852818597302</v>
      </c>
      <c r="AJ2639">
        <v>129.76368381639699</v>
      </c>
      <c r="AK2639">
        <v>0.81649893269236495</v>
      </c>
    </row>
    <row r="2640" spans="1:37" x14ac:dyDescent="0.2">
      <c r="A2640" t="str">
        <f>"20200111153700370"</f>
        <v>20200111153700370</v>
      </c>
      <c r="B2640" t="str">
        <f>"1578728220365130"</f>
        <v>1578728220365130</v>
      </c>
      <c r="C2640" t="s">
        <v>37</v>
      </c>
      <c r="D2640">
        <v>5.7649150000000002</v>
      </c>
      <c r="E2640">
        <v>0.39839370000000002</v>
      </c>
      <c r="F2640" t="s">
        <v>38</v>
      </c>
      <c r="G2640">
        <v>-491.69560000000001</v>
      </c>
      <c r="H2640">
        <v>1.00718</v>
      </c>
      <c r="I2640">
        <v>243.6969</v>
      </c>
      <c r="J2640">
        <v>-492.2004</v>
      </c>
      <c r="K2640">
        <v>1.106752</v>
      </c>
      <c r="L2640">
        <v>244.3186</v>
      </c>
      <c r="M2640">
        <v>-2.66447E-2</v>
      </c>
      <c r="N2640">
        <v>0</v>
      </c>
      <c r="O2640">
        <v>-0.99955329999999998</v>
      </c>
      <c r="P2640">
        <v>0.29553449999999998</v>
      </c>
      <c r="Q2640">
        <v>4.1497510000000001E-2</v>
      </c>
      <c r="R2640">
        <v>-0.95443049999999996</v>
      </c>
      <c r="S2640">
        <v>1.628204</v>
      </c>
      <c r="T2640">
        <v>-0.32232090000000002</v>
      </c>
      <c r="U2640">
        <v>-2.657562</v>
      </c>
      <c r="V2640">
        <v>-0.32107360000000001</v>
      </c>
      <c r="W2640">
        <v>5.3047370000000003E-2</v>
      </c>
      <c r="X2640">
        <v>0.94556739999999995</v>
      </c>
      <c r="Y2640">
        <v>-0.54221540000000001</v>
      </c>
      <c r="Z2640">
        <v>0.10202269999999999</v>
      </c>
      <c r="AA2640">
        <v>0.83402269999999901</v>
      </c>
      <c r="AB2640">
        <v>20</v>
      </c>
      <c r="AC2640">
        <v>0.50479999999998804</v>
      </c>
      <c r="AD2640">
        <v>-9.9571999999999994E-2</v>
      </c>
      <c r="AE2640">
        <v>-0.62170000000000403</v>
      </c>
      <c r="AF2640">
        <v>-0.51325273880214595</v>
      </c>
      <c r="AG2640">
        <v>-9.9571999999999994E-2</v>
      </c>
      <c r="AH2640">
        <v>0.59877116629761795</v>
      </c>
      <c r="AI2640">
        <v>97.195953932284993</v>
      </c>
      <c r="AJ2640">
        <v>130.60241499379501</v>
      </c>
      <c r="AK2640">
        <v>0.79490242587459303</v>
      </c>
    </row>
    <row r="2641" spans="1:37" x14ac:dyDescent="0.2">
      <c r="A2641" t="str">
        <f>"20200111153700395"</f>
        <v>20200111153700395</v>
      </c>
      <c r="B2641" t="str">
        <f>"1578728220385625"</f>
        <v>1578728220385625</v>
      </c>
      <c r="C2641" t="s">
        <v>37</v>
      </c>
      <c r="D2641">
        <v>5.7569559999999997</v>
      </c>
      <c r="E2641">
        <v>0.39869979999999999</v>
      </c>
      <c r="F2641" t="s">
        <v>38</v>
      </c>
      <c r="G2641">
        <v>-491.7079</v>
      </c>
      <c r="H2641">
        <v>1.0095160000000001</v>
      </c>
      <c r="I2641">
        <v>243.5224</v>
      </c>
      <c r="J2641">
        <v>-492.20209999999997</v>
      </c>
      <c r="K2641">
        <v>1.1067910000000001</v>
      </c>
      <c r="L2641">
        <v>244.1035</v>
      </c>
      <c r="M2641">
        <v>-2.324325E-2</v>
      </c>
      <c r="N2641">
        <v>0</v>
      </c>
      <c r="O2641">
        <v>-0.99963809999999997</v>
      </c>
      <c r="P2641">
        <v>0.30066599999999999</v>
      </c>
      <c r="Q2641">
        <v>4.2547260000000003E-2</v>
      </c>
      <c r="R2641">
        <v>-0.95277999999999996</v>
      </c>
      <c r="S2641">
        <v>1.6390990000000001</v>
      </c>
      <c r="T2641">
        <v>-0.32359349999999998</v>
      </c>
      <c r="U2641">
        <v>-2.6497799999999998</v>
      </c>
      <c r="V2641">
        <v>-0.32295429999999897</v>
      </c>
      <c r="W2641">
        <v>5.4043010000000002E-2</v>
      </c>
      <c r="X2641">
        <v>0.94487030000000005</v>
      </c>
      <c r="Y2641">
        <v>-0.54290930000000004</v>
      </c>
      <c r="Z2641">
        <v>0.1025625</v>
      </c>
      <c r="AA2641">
        <v>0.83350489999999999</v>
      </c>
      <c r="AB2641">
        <v>20</v>
      </c>
      <c r="AC2641">
        <v>0.49419999999997699</v>
      </c>
      <c r="AD2641">
        <v>-9.7275E-2</v>
      </c>
      <c r="AE2641">
        <v>-0.58109999999999196</v>
      </c>
      <c r="AF2641">
        <v>-0.49945277481563599</v>
      </c>
      <c r="AG2641">
        <v>-9.7275E-2</v>
      </c>
      <c r="AH2641">
        <v>0.56034339476009698</v>
      </c>
      <c r="AI2641">
        <v>97.383923752216901</v>
      </c>
      <c r="AJ2641">
        <v>131.71168446259301</v>
      </c>
      <c r="AK2641">
        <v>0.75690172410115997</v>
      </c>
    </row>
    <row r="2642" spans="1:37" x14ac:dyDescent="0.2">
      <c r="A2642" t="str">
        <f>"20200111153700416"</f>
        <v>20200111153700416</v>
      </c>
      <c r="B2642" t="str">
        <f>"1578728220405149"</f>
        <v>1578728220405149</v>
      </c>
      <c r="C2642" t="s">
        <v>37</v>
      </c>
      <c r="D2642">
        <v>5.7023229999999998</v>
      </c>
      <c r="E2642">
        <v>0.3989549</v>
      </c>
      <c r="F2642" t="s">
        <v>38</v>
      </c>
      <c r="G2642">
        <v>-491.72899999999998</v>
      </c>
      <c r="H2642">
        <v>1.0155780000000001</v>
      </c>
      <c r="I2642">
        <v>243.34630000000001</v>
      </c>
      <c r="J2642">
        <v>-492.20280000000002</v>
      </c>
      <c r="K2642">
        <v>1.106824</v>
      </c>
      <c r="L2642">
        <v>243.9196</v>
      </c>
      <c r="M2642">
        <v>-2.0237439999999999E-2</v>
      </c>
      <c r="N2642">
        <v>0</v>
      </c>
      <c r="O2642">
        <v>-0.99970340000000002</v>
      </c>
      <c r="P2642">
        <v>0.30624790000000002</v>
      </c>
      <c r="Q2642">
        <v>4.2963559999999998E-2</v>
      </c>
      <c r="R2642">
        <v>-0.95098179999999999</v>
      </c>
      <c r="S2642">
        <v>1.650879</v>
      </c>
      <c r="T2642">
        <v>-0.31818259999999998</v>
      </c>
      <c r="U2642">
        <v>-2.641937</v>
      </c>
      <c r="V2642">
        <v>-0.32566209999999901</v>
      </c>
      <c r="W2642">
        <v>5.4397250000000001E-2</v>
      </c>
      <c r="X2642">
        <v>0.94392009999999904</v>
      </c>
      <c r="Y2642">
        <v>-0.54426090000000005</v>
      </c>
      <c r="Z2642">
        <v>0.1009748</v>
      </c>
      <c r="AA2642">
        <v>0.83281700000000003</v>
      </c>
      <c r="AB2642">
        <v>20</v>
      </c>
      <c r="AC2642">
        <v>0.47379999999998201</v>
      </c>
      <c r="AD2642">
        <v>-9.1245999999999897E-2</v>
      </c>
      <c r="AE2642">
        <v>-0.57329999999998904</v>
      </c>
      <c r="AF2642">
        <v>-0.47810990600548198</v>
      </c>
      <c r="AG2642">
        <v>-9.1245999999999897E-2</v>
      </c>
      <c r="AH2642">
        <v>0.55523609773926796</v>
      </c>
      <c r="AI2642">
        <v>97.098544882347994</v>
      </c>
      <c r="AJ2642">
        <v>130.731510180539</v>
      </c>
      <c r="AK2642">
        <v>0.73837797838864405</v>
      </c>
    </row>
    <row r="2643" spans="1:37" x14ac:dyDescent="0.2">
      <c r="A2643" t="str">
        <f>"20200111153700437"</f>
        <v>20200111153700437</v>
      </c>
      <c r="B2643" t="str">
        <f>"1578728220425641"</f>
        <v>1578728220425641</v>
      </c>
      <c r="C2643" t="s">
        <v>37</v>
      </c>
      <c r="D2643">
        <v>5.6950000000000003</v>
      </c>
      <c r="E2643">
        <v>0.39913929999999997</v>
      </c>
      <c r="F2643" t="s">
        <v>38</v>
      </c>
      <c r="G2643">
        <v>-491.73140000000001</v>
      </c>
      <c r="H2643">
        <v>1.017042</v>
      </c>
      <c r="I2643">
        <v>243.1738</v>
      </c>
      <c r="J2643">
        <v>-492.2029</v>
      </c>
      <c r="K2643">
        <v>1.10686</v>
      </c>
      <c r="L2643">
        <v>243.7424</v>
      </c>
      <c r="M2643">
        <v>-1.7241550000000001E-2</v>
      </c>
      <c r="N2643">
        <v>0</v>
      </c>
      <c r="O2643">
        <v>-0.99975970000000003</v>
      </c>
      <c r="P2643">
        <v>0.3122491</v>
      </c>
      <c r="Q2643">
        <v>4.2299620000000003E-2</v>
      </c>
      <c r="R2643">
        <v>-0.94905849999999903</v>
      </c>
      <c r="S2643">
        <v>1.6645509999999999</v>
      </c>
      <c r="T2643">
        <v>-0.316973</v>
      </c>
      <c r="U2643">
        <v>-2.632889</v>
      </c>
      <c r="V2643">
        <v>-0.32880209999999999</v>
      </c>
      <c r="W2643">
        <v>5.3663049999999997E-2</v>
      </c>
      <c r="X2643">
        <v>0.94287299999999996</v>
      </c>
      <c r="Y2643">
        <v>-0.54614879999999999</v>
      </c>
      <c r="Z2643">
        <v>0.10070079999999999</v>
      </c>
      <c r="AA2643">
        <v>0.83161339999999995</v>
      </c>
      <c r="AB2643">
        <v>20</v>
      </c>
      <c r="AC2643">
        <v>0.47149999999999098</v>
      </c>
      <c r="AD2643">
        <v>-8.9817999999999898E-2</v>
      </c>
      <c r="AE2643">
        <v>-0.56860000000000299</v>
      </c>
      <c r="AF2643">
        <v>-0.47422269396939198</v>
      </c>
      <c r="AG2643">
        <v>-8.9817999999999898E-2</v>
      </c>
      <c r="AH2643">
        <v>0.55222043741454196</v>
      </c>
      <c r="AI2643">
        <v>97.034384147012901</v>
      </c>
      <c r="AJ2643">
        <v>130.65453800301901</v>
      </c>
      <c r="AK2643">
        <v>0.73341792185485599</v>
      </c>
    </row>
    <row r="2644" spans="1:37" x14ac:dyDescent="0.2">
      <c r="A2644" t="str">
        <f>"20200111153700459"</f>
        <v>20200111153700459</v>
      </c>
      <c r="B2644" t="str">
        <f>"1578728220455897"</f>
        <v>1578728220455897</v>
      </c>
      <c r="C2644" t="s">
        <v>37</v>
      </c>
      <c r="D2644">
        <v>5.661727</v>
      </c>
      <c r="E2644">
        <v>0.39941159999999998</v>
      </c>
      <c r="F2644" t="s">
        <v>38</v>
      </c>
      <c r="G2644">
        <v>-491.7294</v>
      </c>
      <c r="H2644">
        <v>1.0171239999999999</v>
      </c>
      <c r="I2644">
        <v>243.0025</v>
      </c>
      <c r="J2644">
        <v>-492.20229999999998</v>
      </c>
      <c r="K2644">
        <v>1.1069100000000001</v>
      </c>
      <c r="L2644">
        <v>243.54650000000001</v>
      </c>
      <c r="M2644">
        <v>-1.380991E-2</v>
      </c>
      <c r="N2644">
        <v>0</v>
      </c>
      <c r="O2644">
        <v>-0.99981309999999901</v>
      </c>
      <c r="P2644">
        <v>0.31883979999999901</v>
      </c>
      <c r="Q2644">
        <v>4.1797559999999997E-2</v>
      </c>
      <c r="R2644">
        <v>-0.94688700000000003</v>
      </c>
      <c r="S2644">
        <v>1.67953499999999</v>
      </c>
      <c r="T2644">
        <v>-0.31806059999999903</v>
      </c>
      <c r="U2644">
        <v>-2.6225890000000001</v>
      </c>
      <c r="V2644">
        <v>-0.33212839999999999</v>
      </c>
      <c r="W2644">
        <v>5.3079269999999998E-2</v>
      </c>
      <c r="X2644">
        <v>0.94173949999999995</v>
      </c>
      <c r="Y2644">
        <v>-0.54810559999999997</v>
      </c>
      <c r="Z2644">
        <v>0.101171</v>
      </c>
      <c r="AA2644">
        <v>0.8302678</v>
      </c>
      <c r="AB2644">
        <v>19</v>
      </c>
      <c r="AC2644">
        <v>0.472899999999981</v>
      </c>
      <c r="AD2644">
        <v>-8.9786000000000102E-2</v>
      </c>
      <c r="AE2644">
        <v>-0.54400000000001103</v>
      </c>
      <c r="AF2644">
        <v>-0.47302877674685301</v>
      </c>
      <c r="AG2644">
        <v>-8.9786000000000102E-2</v>
      </c>
      <c r="AH2644">
        <v>0.52920578380690397</v>
      </c>
      <c r="AI2644">
        <v>97.209335630048102</v>
      </c>
      <c r="AJ2644">
        <v>131.79182794661301</v>
      </c>
      <c r="AK2644">
        <v>0.71545545706305402</v>
      </c>
    </row>
    <row r="2645" spans="1:37" x14ac:dyDescent="0.2">
      <c r="A2645" t="str">
        <f>"20200111153700483"</f>
        <v>20200111153700483</v>
      </c>
      <c r="B2645" t="str">
        <f>"1578728220475417"</f>
        <v>1578728220475417</v>
      </c>
      <c r="C2645" t="s">
        <v>37</v>
      </c>
      <c r="D2645">
        <v>5.6262319999999999</v>
      </c>
      <c r="E2645">
        <v>0.39959210000000001</v>
      </c>
      <c r="F2645" t="s">
        <v>38</v>
      </c>
      <c r="G2645">
        <v>-491.63850000000002</v>
      </c>
      <c r="H2645">
        <v>1.0015270000000001</v>
      </c>
      <c r="I2645">
        <v>242.6781</v>
      </c>
      <c r="J2645">
        <v>-492.20069999999998</v>
      </c>
      <c r="K2645">
        <v>1.106973</v>
      </c>
      <c r="L2645">
        <v>243.3451</v>
      </c>
      <c r="M2645">
        <v>-1.012742E-2</v>
      </c>
      <c r="N2645">
        <v>0</v>
      </c>
      <c r="O2645">
        <v>-0.99985689999999905</v>
      </c>
      <c r="P2645">
        <v>0.32561050000000002</v>
      </c>
      <c r="Q2645">
        <v>4.0986010000000003E-2</v>
      </c>
      <c r="R2645">
        <v>-0.94461550000000005</v>
      </c>
      <c r="S2645">
        <v>1.695587</v>
      </c>
      <c r="T2645">
        <v>-0.31684040000000002</v>
      </c>
      <c r="U2645">
        <v>-2.6112820000000001</v>
      </c>
      <c r="V2645">
        <v>-0.33540789999999998</v>
      </c>
      <c r="W2645">
        <v>5.2181680000000001E-2</v>
      </c>
      <c r="X2645">
        <v>0.94062670000000004</v>
      </c>
      <c r="Y2645">
        <v>-0.55027590000000004</v>
      </c>
      <c r="Z2645">
        <v>0.10092719999999999</v>
      </c>
      <c r="AA2645">
        <v>0.82886079999999995</v>
      </c>
      <c r="AB2645">
        <v>19</v>
      </c>
      <c r="AC2645">
        <v>0.56219999999996095</v>
      </c>
      <c r="AD2645">
        <v>-0.105445999999999</v>
      </c>
      <c r="AE2645">
        <v>-0.66700000000000104</v>
      </c>
      <c r="AF2645">
        <v>-0.56073352359226403</v>
      </c>
      <c r="AG2645">
        <v>-0.105445999999999</v>
      </c>
      <c r="AH2645">
        <v>0.65174850028697195</v>
      </c>
      <c r="AI2645">
        <v>96.992119416626807</v>
      </c>
      <c r="AJ2645">
        <v>130.70714265730101</v>
      </c>
      <c r="AK2645">
        <v>0.86620843393637803</v>
      </c>
    </row>
    <row r="2646" spans="1:37" x14ac:dyDescent="0.2">
      <c r="A2646" t="str">
        <f>"20200111153700507"</f>
        <v>20200111153700507</v>
      </c>
      <c r="B2646" t="str">
        <f>"1578728220495916"</f>
        <v>1578728220495916</v>
      </c>
      <c r="C2646" t="s">
        <v>37</v>
      </c>
      <c r="D2646">
        <v>5.6519519999999996</v>
      </c>
      <c r="E2646">
        <v>0.39969769999999999</v>
      </c>
      <c r="F2646" t="s">
        <v>38</v>
      </c>
      <c r="G2646">
        <v>-491.64710000000002</v>
      </c>
      <c r="H2646">
        <v>1.0041690000000001</v>
      </c>
      <c r="I2646">
        <v>242.50530000000001</v>
      </c>
      <c r="J2646">
        <v>-492.19810000000001</v>
      </c>
      <c r="K2646">
        <v>1.1070329999999999</v>
      </c>
      <c r="L2646">
        <v>243.1421</v>
      </c>
      <c r="M2646">
        <v>-6.2938630000000002E-3</v>
      </c>
      <c r="N2646">
        <v>0</v>
      </c>
      <c r="O2646">
        <v>-0.99988829999999995</v>
      </c>
      <c r="P2646">
        <v>0.33190609999999998</v>
      </c>
      <c r="Q2646">
        <v>4.1265900000000001E-2</v>
      </c>
      <c r="R2646">
        <v>-0.94240979999999996</v>
      </c>
      <c r="S2646">
        <v>1.713257</v>
      </c>
      <c r="T2646">
        <v>-0.31818459999999898</v>
      </c>
      <c r="U2646">
        <v>-2.5991059999999999</v>
      </c>
      <c r="V2646">
        <v>-0.33808820000000001</v>
      </c>
      <c r="W2646">
        <v>5.2385960000000002E-2</v>
      </c>
      <c r="X2646">
        <v>0.93965529999999997</v>
      </c>
      <c r="Y2646">
        <v>-0.55276080000000005</v>
      </c>
      <c r="Z2646">
        <v>0.1014871</v>
      </c>
      <c r="AA2646">
        <v>0.82713719999999902</v>
      </c>
      <c r="AB2646">
        <v>19</v>
      </c>
      <c r="AC2646">
        <v>0.55099999999998694</v>
      </c>
      <c r="AD2646">
        <v>-0.102863999999999</v>
      </c>
      <c r="AE2646">
        <v>-0.63679999999999304</v>
      </c>
      <c r="AF2646">
        <v>-0.54683779146553202</v>
      </c>
      <c r="AG2646">
        <v>-0.102863999999999</v>
      </c>
      <c r="AH2646">
        <v>0.62400806460797897</v>
      </c>
      <c r="AI2646">
        <v>97.067237534313904</v>
      </c>
      <c r="AJ2646">
        <v>131.229097936166</v>
      </c>
      <c r="AK2646">
        <v>0.83606138373130001</v>
      </c>
    </row>
    <row r="2647" spans="1:37" x14ac:dyDescent="0.2">
      <c r="A2647" t="str">
        <f>"20200111153700531"</f>
        <v>20200111153700531</v>
      </c>
      <c r="B2647" t="str">
        <f>"1578728220525193"</f>
        <v>1578728220525193</v>
      </c>
      <c r="C2647" t="s">
        <v>37</v>
      </c>
      <c r="D2647">
        <v>5.8114699999999999</v>
      </c>
      <c r="E2647">
        <v>0.40471459999999998</v>
      </c>
      <c r="F2647" t="s">
        <v>38</v>
      </c>
      <c r="G2647">
        <v>-491.65699999999998</v>
      </c>
      <c r="H2647">
        <v>1.007979</v>
      </c>
      <c r="I2647">
        <v>242.33240000000001</v>
      </c>
      <c r="J2647">
        <v>-492.19470000000001</v>
      </c>
      <c r="K2647">
        <v>1.107097</v>
      </c>
      <c r="L2647">
        <v>242.9376</v>
      </c>
      <c r="M2647">
        <v>-2.3006089999999999E-3</v>
      </c>
      <c r="N2647">
        <v>0</v>
      </c>
      <c r="O2647">
        <v>-0.9999053</v>
      </c>
      <c r="P2647">
        <v>0.33849390000000001</v>
      </c>
      <c r="Q2647">
        <v>4.2276510000000003E-2</v>
      </c>
      <c r="R2647">
        <v>-0.94001849999999998</v>
      </c>
      <c r="S2647">
        <v>1.72991899999999</v>
      </c>
      <c r="T2647">
        <v>-0.31654719999999997</v>
      </c>
      <c r="U2647">
        <v>-2.5879059999999998</v>
      </c>
      <c r="V2647">
        <v>-0.34092479999999997</v>
      </c>
      <c r="W2647">
        <v>5.332307E-2</v>
      </c>
      <c r="X2647">
        <v>0.93857710000000005</v>
      </c>
      <c r="Y2647">
        <v>-0.55479679999999998</v>
      </c>
      <c r="Z2647">
        <v>0.10109750000000001</v>
      </c>
      <c r="AA2647">
        <v>0.82582069999999996</v>
      </c>
      <c r="AB2647">
        <v>19</v>
      </c>
      <c r="AC2647">
        <v>0.53770000000002904</v>
      </c>
      <c r="AD2647">
        <v>-9.9117999999999803E-2</v>
      </c>
      <c r="AE2647">
        <v>-0.60519999999999596</v>
      </c>
      <c r="AF2647">
        <v>-0.53112931843259903</v>
      </c>
      <c r="AG2647">
        <v>-9.9117999999999803E-2</v>
      </c>
      <c r="AH2647">
        <v>0.59504147798484097</v>
      </c>
      <c r="AI2647">
        <v>97.083809436091798</v>
      </c>
      <c r="AJ2647">
        <v>131.75184862845299</v>
      </c>
      <c r="AK2647">
        <v>0.803739442447029</v>
      </c>
    </row>
    <row r="2648" spans="1:37" x14ac:dyDescent="0.2">
      <c r="A2648" t="str">
        <f>"20200111153700549"</f>
        <v>20200111153700549</v>
      </c>
      <c r="B2648" t="str">
        <f>"1578728220545689"</f>
        <v>1578728220545689</v>
      </c>
      <c r="C2648" t="s">
        <v>37</v>
      </c>
      <c r="D2648">
        <v>5.6060669999999897</v>
      </c>
      <c r="E2648">
        <v>0.40424559999999998</v>
      </c>
      <c r="F2648" t="s">
        <v>38</v>
      </c>
      <c r="G2648">
        <v>-491.67899999999997</v>
      </c>
      <c r="H2648">
        <v>1.0129520000000001</v>
      </c>
      <c r="I2648">
        <v>242.15710000000001</v>
      </c>
      <c r="J2648">
        <v>-492.19130000000001</v>
      </c>
      <c r="K2648">
        <v>1.1071549999999999</v>
      </c>
      <c r="L2648">
        <v>242.77670000000001</v>
      </c>
      <c r="M2648">
        <v>9.428266E-4</v>
      </c>
      <c r="N2648">
        <v>0</v>
      </c>
      <c r="O2648">
        <v>-0.99990749999999995</v>
      </c>
      <c r="P2648">
        <v>0.3442694</v>
      </c>
      <c r="Q2648">
        <v>4.3536020000000002E-2</v>
      </c>
      <c r="R2648">
        <v>-0.93786080000000005</v>
      </c>
      <c r="S2648">
        <v>1.7107540000000001</v>
      </c>
      <c r="T2648">
        <v>-0.31233670000000002</v>
      </c>
      <c r="U2648">
        <v>-2.5894619999999899</v>
      </c>
      <c r="V2648">
        <v>-0.34366649999999999</v>
      </c>
      <c r="W2648">
        <v>5.4518179999999999E-2</v>
      </c>
      <c r="X2648">
        <v>0.93750789999999995</v>
      </c>
      <c r="Y2648">
        <v>-0.54766729999999997</v>
      </c>
      <c r="Z2648">
        <v>0.1001611</v>
      </c>
      <c r="AA2648">
        <v>0.83067939999999996</v>
      </c>
      <c r="AB2648">
        <v>19</v>
      </c>
      <c r="AC2648">
        <v>0.51229999999998199</v>
      </c>
      <c r="AD2648">
        <v>-9.4202999999999801E-2</v>
      </c>
      <c r="AE2648">
        <v>-0.61959999999999105</v>
      </c>
      <c r="AF2648">
        <v>-0.50478504370865196</v>
      </c>
      <c r="AG2648">
        <v>-9.4202999999999801E-2</v>
      </c>
      <c r="AH2648">
        <v>0.61168459109520501</v>
      </c>
      <c r="AI2648">
        <v>96.773976004039895</v>
      </c>
      <c r="AJ2648">
        <v>129.53072610413901</v>
      </c>
      <c r="AK2648">
        <v>0.79864897454654904</v>
      </c>
    </row>
    <row r="2649" spans="1:37" x14ac:dyDescent="0.2">
      <c r="A2649" t="str">
        <f>"20200111153700573"</f>
        <v>20200111153700573</v>
      </c>
      <c r="B2649" t="str">
        <f>"1578728220565209"</f>
        <v>1578728220565209</v>
      </c>
      <c r="C2649" t="s">
        <v>37</v>
      </c>
      <c r="D2649">
        <v>5.6464639999999999</v>
      </c>
      <c r="E2649">
        <v>0.37699250000000001</v>
      </c>
      <c r="F2649" t="s">
        <v>38</v>
      </c>
      <c r="G2649">
        <v>-491.66309999999999</v>
      </c>
      <c r="H2649">
        <v>1.0135149999999999</v>
      </c>
      <c r="I2649">
        <v>241.98990000000001</v>
      </c>
      <c r="J2649">
        <v>-492.18619999999999</v>
      </c>
      <c r="K2649">
        <v>1.107232</v>
      </c>
      <c r="L2649">
        <v>242.57640000000001</v>
      </c>
      <c r="M2649">
        <v>5.1124040000000001E-3</v>
      </c>
      <c r="N2649">
        <v>0</v>
      </c>
      <c r="O2649">
        <v>-0.99989490000000003</v>
      </c>
      <c r="P2649">
        <v>0.35075440000000002</v>
      </c>
      <c r="Q2649">
        <v>4.4807689999999997E-2</v>
      </c>
      <c r="R2649">
        <v>-0.93539479999999997</v>
      </c>
      <c r="S2649">
        <v>1.7307429999999999</v>
      </c>
      <c r="T2649">
        <v>-0.30675449999999999</v>
      </c>
      <c r="U2649">
        <v>-2.577728</v>
      </c>
      <c r="V2649">
        <v>-0.34626420000000002</v>
      </c>
      <c r="W2649">
        <v>5.5711799999999999E-2</v>
      </c>
      <c r="X2649">
        <v>0.93648140000000002</v>
      </c>
      <c r="Y2649">
        <v>-0.55047119999999905</v>
      </c>
      <c r="Z2649">
        <v>9.8469500000000001E-2</v>
      </c>
      <c r="AA2649">
        <v>0.82902670000000001</v>
      </c>
      <c r="AB2649">
        <v>19</v>
      </c>
      <c r="AC2649">
        <v>0.52309999999999901</v>
      </c>
      <c r="AD2649">
        <v>-9.3716999999999995E-2</v>
      </c>
      <c r="AE2649">
        <v>-0.58650000000000002</v>
      </c>
      <c r="AF2649">
        <v>-0.51280210153273398</v>
      </c>
      <c r="AG2649">
        <v>-9.3716999999999995E-2</v>
      </c>
      <c r="AH2649">
        <v>0.580906038701544</v>
      </c>
      <c r="AI2649">
        <v>96.896201074329994</v>
      </c>
      <c r="AJ2649">
        <v>131.43685877319299</v>
      </c>
      <c r="AK2649">
        <v>0.78051309868912999</v>
      </c>
    </row>
    <row r="2650" spans="1:37" x14ac:dyDescent="0.2">
      <c r="A2650" t="str">
        <f>"20200111153700600"</f>
        <v>20200111153700600</v>
      </c>
      <c r="B2650" t="str">
        <f>"1578728220595465"</f>
        <v>1578728220595465</v>
      </c>
      <c r="C2650" t="s">
        <v>37</v>
      </c>
      <c r="D2650">
        <v>5.5696309999999896</v>
      </c>
      <c r="E2650">
        <v>0.3730443</v>
      </c>
      <c r="F2650" t="s">
        <v>38</v>
      </c>
      <c r="G2650">
        <v>-491.60270000000003</v>
      </c>
      <c r="H2650">
        <v>1.019892</v>
      </c>
      <c r="I2650">
        <v>241.83269999999999</v>
      </c>
      <c r="J2650">
        <v>-492.17930000000001</v>
      </c>
      <c r="K2650">
        <v>1.107332</v>
      </c>
      <c r="L2650">
        <v>242.34950000000001</v>
      </c>
      <c r="M2650">
        <v>1.000822E-2</v>
      </c>
      <c r="N2650">
        <v>0</v>
      </c>
      <c r="O2650">
        <v>-0.99985769999999996</v>
      </c>
      <c r="P2650">
        <v>0.35833029999999999</v>
      </c>
      <c r="Q2650">
        <v>4.5993449999999998E-2</v>
      </c>
      <c r="R2650">
        <v>-0.93246130000000005</v>
      </c>
      <c r="S2650">
        <v>1.953308</v>
      </c>
      <c r="T2650">
        <v>-0.29225020000000002</v>
      </c>
      <c r="U2650">
        <v>-2.4887540000000001</v>
      </c>
      <c r="V2650">
        <v>-0.3492944</v>
      </c>
      <c r="W2650">
        <v>5.6797750000000001E-2</v>
      </c>
      <c r="X2650">
        <v>0.93528999999999995</v>
      </c>
      <c r="Y2650">
        <v>-0.60686709999999899</v>
      </c>
      <c r="Z2650">
        <v>9.2290659999999997E-2</v>
      </c>
      <c r="AA2650">
        <v>0.78942690000000004</v>
      </c>
      <c r="AB2650">
        <v>19</v>
      </c>
      <c r="AC2650">
        <v>0.57659999999998401</v>
      </c>
      <c r="AD2650">
        <v>-8.7439999999999907E-2</v>
      </c>
      <c r="AE2650">
        <v>-0.51680000000001702</v>
      </c>
      <c r="AF2650">
        <v>-0.56420339260367902</v>
      </c>
      <c r="AG2650">
        <v>-8.7439999999999907E-2</v>
      </c>
      <c r="AH2650">
        <v>0.51596553788535204</v>
      </c>
      <c r="AI2650">
        <v>96.524400611754601</v>
      </c>
      <c r="AJ2650">
        <v>137.55699853746401</v>
      </c>
      <c r="AK2650">
        <v>0.76953990027211805</v>
      </c>
    </row>
    <row r="2651" spans="1:37" x14ac:dyDescent="0.2">
      <c r="A2651" t="str">
        <f>"20200111153700620"</f>
        <v>20200111153700620</v>
      </c>
      <c r="B2651" t="str">
        <f>"1578728220615962"</f>
        <v>1578728220615962</v>
      </c>
      <c r="C2651" t="s">
        <v>37</v>
      </c>
      <c r="D2651">
        <v>5.5827780000000002</v>
      </c>
      <c r="E2651">
        <v>0.3733939</v>
      </c>
      <c r="F2651" t="s">
        <v>39</v>
      </c>
      <c r="G2651">
        <v>-484.67360000000002</v>
      </c>
      <c r="H2651" s="1">
        <v>-2.600021E-6</v>
      </c>
      <c r="I2651">
        <v>233.12379999999999</v>
      </c>
      <c r="J2651">
        <v>-492.1728</v>
      </c>
      <c r="K2651">
        <v>1.1074059999999999</v>
      </c>
      <c r="L2651">
        <v>242.17099999999999</v>
      </c>
      <c r="M2651">
        <v>1.400794E-2</v>
      </c>
      <c r="N2651">
        <v>0</v>
      </c>
      <c r="O2651">
        <v>-0.99980990000000003</v>
      </c>
      <c r="P2651">
        <v>0.3650332</v>
      </c>
      <c r="Q2651">
        <v>4.6088520000000001E-2</v>
      </c>
      <c r="R2651">
        <v>-0.9298535</v>
      </c>
      <c r="S2651">
        <v>2.003082</v>
      </c>
      <c r="T2651">
        <v>-0.29552259999999902</v>
      </c>
      <c r="U2651">
        <v>-2.4621279999999999</v>
      </c>
      <c r="V2651">
        <v>-0.35229699999999903</v>
      </c>
      <c r="W2651">
        <v>5.680346E-2</v>
      </c>
      <c r="X2651">
        <v>0.93416279999999996</v>
      </c>
      <c r="Y2651">
        <v>-0.6174193</v>
      </c>
      <c r="Z2651">
        <v>9.3146889999999996E-2</v>
      </c>
      <c r="AA2651">
        <v>0.78109989999999996</v>
      </c>
      <c r="AB2651">
        <v>19</v>
      </c>
      <c r="AC2651">
        <v>7.4991999999999699</v>
      </c>
      <c r="AD2651">
        <v>-1.1074086000209999</v>
      </c>
      <c r="AE2651">
        <v>-9.0472000000000001</v>
      </c>
      <c r="AF2651">
        <v>-7.3068289946570797</v>
      </c>
      <c r="AG2651">
        <v>-1.1074086000209999</v>
      </c>
      <c r="AH2651">
        <v>9.0708137137845206</v>
      </c>
      <c r="AI2651">
        <v>95.431078518568498</v>
      </c>
      <c r="AJ2651">
        <v>128.85254925447501</v>
      </c>
      <c r="AK2651">
        <v>11.7002463732497</v>
      </c>
    </row>
    <row r="2652" spans="1:37" x14ac:dyDescent="0.2">
      <c r="A2652" t="str">
        <f>"20200111153700638"</f>
        <v>20200111153700638</v>
      </c>
      <c r="B2652" t="str">
        <f>"1578728220635481"</f>
        <v>1578728220635481</v>
      </c>
      <c r="C2652" t="s">
        <v>37</v>
      </c>
      <c r="D2652">
        <v>5.5745449999999996</v>
      </c>
      <c r="E2652">
        <v>0.3736082</v>
      </c>
      <c r="F2652" t="s">
        <v>39</v>
      </c>
      <c r="G2652">
        <v>-484.63279999999997</v>
      </c>
      <c r="H2652" s="1">
        <v>-2.577143E-6</v>
      </c>
      <c r="I2652">
        <v>233.02459999999999</v>
      </c>
      <c r="J2652">
        <v>-492.16640000000001</v>
      </c>
      <c r="K2652">
        <v>1.10745</v>
      </c>
      <c r="L2652">
        <v>242.01400000000001</v>
      </c>
      <c r="M2652">
        <v>1.7605909999999999E-2</v>
      </c>
      <c r="N2652">
        <v>0</v>
      </c>
      <c r="O2652">
        <v>-0.99975259999999999</v>
      </c>
      <c r="P2652">
        <v>0.37099890000000002</v>
      </c>
      <c r="Q2652">
        <v>4.4716909999999999E-2</v>
      </c>
      <c r="R2652">
        <v>-0.92755609999999999</v>
      </c>
      <c r="S2652">
        <v>2.0185550000000001</v>
      </c>
      <c r="T2652">
        <v>-0.29646539999999999</v>
      </c>
      <c r="U2652">
        <v>-2.4485779999999999</v>
      </c>
      <c r="V2652">
        <v>-0.35493570000000002</v>
      </c>
      <c r="W2652">
        <v>5.535901E-2</v>
      </c>
      <c r="X2652">
        <v>0.93325020000000003</v>
      </c>
      <c r="Y2652">
        <v>-0.61962869999999903</v>
      </c>
      <c r="Z2652">
        <v>9.3574710000000005E-2</v>
      </c>
      <c r="AA2652">
        <v>0.77929720000000002</v>
      </c>
      <c r="AB2652">
        <v>19</v>
      </c>
      <c r="AC2652">
        <v>7.5336000000000301</v>
      </c>
      <c r="AD2652">
        <v>-1.1074525771429999</v>
      </c>
      <c r="AE2652">
        <v>-8.9894000000000105</v>
      </c>
      <c r="AF2652">
        <v>-7.3089878762738101</v>
      </c>
      <c r="AG2652">
        <v>-1.1074525771429999</v>
      </c>
      <c r="AH2652">
        <v>9.0400582209103995</v>
      </c>
      <c r="AI2652">
        <v>95.441778142396402</v>
      </c>
      <c r="AJ2652">
        <v>128.955925597554</v>
      </c>
      <c r="AK2652">
        <v>11.6777740868535</v>
      </c>
    </row>
    <row r="2653" spans="1:37" x14ac:dyDescent="0.2">
      <c r="A2653" t="str">
        <f>"20200111153700662"</f>
        <v>20200111153700662</v>
      </c>
      <c r="B2653" t="str">
        <f>"1578728220655977"</f>
        <v>1578728220655977</v>
      </c>
      <c r="C2653" t="s">
        <v>37</v>
      </c>
      <c r="D2653">
        <v>5.5763749999999996</v>
      </c>
      <c r="E2653">
        <v>0.37403179999999903</v>
      </c>
      <c r="F2653" t="s">
        <v>38</v>
      </c>
      <c r="G2653">
        <v>-491.59179999999998</v>
      </c>
      <c r="H2653">
        <v>1.021936</v>
      </c>
      <c r="I2653">
        <v>241.32550000000001</v>
      </c>
      <c r="J2653">
        <v>-492.15730000000002</v>
      </c>
      <c r="K2653">
        <v>1.107499</v>
      </c>
      <c r="L2653">
        <v>241.81559999999999</v>
      </c>
      <c r="M2653">
        <v>2.228221E-2</v>
      </c>
      <c r="N2653">
        <v>0</v>
      </c>
      <c r="O2653">
        <v>-0.99965949999999903</v>
      </c>
      <c r="P2653">
        <v>0.3783687</v>
      </c>
      <c r="Q2653">
        <v>4.3444030000000002E-2</v>
      </c>
      <c r="R2653">
        <v>-0.92463519999999899</v>
      </c>
      <c r="S2653">
        <v>2.0330509999999999</v>
      </c>
      <c r="T2653">
        <v>-0.30247259999999998</v>
      </c>
      <c r="U2653">
        <v>-2.43573</v>
      </c>
      <c r="V2653">
        <v>-0.3579966</v>
      </c>
      <c r="W2653">
        <v>5.4006810000000002E-2</v>
      </c>
      <c r="X2653">
        <v>0.93215969999999904</v>
      </c>
      <c r="Y2653">
        <v>-0.62059919999999902</v>
      </c>
      <c r="Z2653">
        <v>9.5620109999999994E-2</v>
      </c>
      <c r="AA2653">
        <v>0.77827599999999997</v>
      </c>
      <c r="AB2653">
        <v>19</v>
      </c>
      <c r="AC2653">
        <v>0.56550000000004197</v>
      </c>
      <c r="AD2653">
        <v>-8.5563E-2</v>
      </c>
      <c r="AE2653">
        <v>-0.49009999999998399</v>
      </c>
      <c r="AF2653">
        <v>-0.54728312815559599</v>
      </c>
      <c r="AG2653">
        <v>-8.5563E-2</v>
      </c>
      <c r="AH2653">
        <v>0.49609434002652197</v>
      </c>
      <c r="AI2653">
        <v>96.607374908935896</v>
      </c>
      <c r="AJ2653">
        <v>137.80871677390499</v>
      </c>
      <c r="AK2653">
        <v>0.74360570434816198</v>
      </c>
    </row>
    <row r="2654" spans="1:37" x14ac:dyDescent="0.2">
      <c r="A2654" t="str">
        <f>"20200111153700686"</f>
        <v>20200111153700686</v>
      </c>
      <c r="B2654" t="str">
        <f>"1578728220675497"</f>
        <v>1578728220675497</v>
      </c>
      <c r="C2654" t="s">
        <v>37</v>
      </c>
      <c r="D2654">
        <v>5.5885210000000001</v>
      </c>
      <c r="E2654">
        <v>0.3741488</v>
      </c>
      <c r="F2654" t="s">
        <v>39</v>
      </c>
      <c r="G2654">
        <v>-484.77390000000003</v>
      </c>
      <c r="H2654" s="1">
        <v>-2.5628120000000002E-6</v>
      </c>
      <c r="I2654">
        <v>233.09289999999999</v>
      </c>
      <c r="J2654">
        <v>-492.14690000000002</v>
      </c>
      <c r="K2654">
        <v>1.1075379999999999</v>
      </c>
      <c r="L2654">
        <v>241.61259999999999</v>
      </c>
      <c r="M2654">
        <v>2.7213799999999899E-2</v>
      </c>
      <c r="N2654">
        <v>0</v>
      </c>
      <c r="O2654">
        <v>-0.99953709999999996</v>
      </c>
      <c r="P2654">
        <v>0.385582599999999</v>
      </c>
      <c r="Q2654">
        <v>4.2890449999999997E-2</v>
      </c>
      <c r="R2654">
        <v>-0.92167619999999895</v>
      </c>
      <c r="S2654">
        <v>2.0488590000000002</v>
      </c>
      <c r="T2654">
        <v>-0.30732500000000001</v>
      </c>
      <c r="U2654">
        <v>-2.4205169999999998</v>
      </c>
      <c r="V2654">
        <v>-0.36068529999999999</v>
      </c>
      <c r="W2654">
        <v>5.3383060000000003E-2</v>
      </c>
      <c r="X2654">
        <v>0.93115859999999995</v>
      </c>
      <c r="Y2654">
        <v>-0.62200630000000001</v>
      </c>
      <c r="Z2654">
        <v>9.7341780000000003E-2</v>
      </c>
      <c r="AA2654">
        <v>0.77693809999999996</v>
      </c>
      <c r="AB2654">
        <v>19</v>
      </c>
      <c r="AC2654">
        <v>7.3729999999999896</v>
      </c>
      <c r="AD2654">
        <v>-1.1075405628120001</v>
      </c>
      <c r="AE2654">
        <v>-8.5197000000000003</v>
      </c>
      <c r="AF2654">
        <v>-7.07007784558445</v>
      </c>
      <c r="AG2654">
        <v>-1.1075405628120001</v>
      </c>
      <c r="AH2654">
        <v>8.6337842033811096</v>
      </c>
      <c r="AI2654">
        <v>95.667981599360502</v>
      </c>
      <c r="AJ2654">
        <v>129.31353809888199</v>
      </c>
      <c r="AK2654">
        <v>11.2140481767937</v>
      </c>
    </row>
    <row r="2655" spans="1:37" x14ac:dyDescent="0.2">
      <c r="A2655" t="str">
        <f>"20200111153700707"</f>
        <v>20200111153700707</v>
      </c>
      <c r="B2655" t="str">
        <f>"1578728220695020"</f>
        <v>1578728220695020</v>
      </c>
      <c r="C2655" t="s">
        <v>37</v>
      </c>
      <c r="D2655">
        <v>5.6079730000000003</v>
      </c>
      <c r="E2655">
        <v>0.37432070000000001</v>
      </c>
      <c r="F2655" t="s">
        <v>39</v>
      </c>
      <c r="G2655">
        <v>-484.7944</v>
      </c>
      <c r="H2655" s="1">
        <v>-2.5454199999999999E-6</v>
      </c>
      <c r="I2655">
        <v>233.05779999999999</v>
      </c>
      <c r="J2655">
        <v>-492.13720000000001</v>
      </c>
      <c r="K2655">
        <v>1.1075629999999901</v>
      </c>
      <c r="L2655">
        <v>241.4408</v>
      </c>
      <c r="M2655">
        <v>3.1476699999999899E-2</v>
      </c>
      <c r="N2655">
        <v>0</v>
      </c>
      <c r="O2655">
        <v>-0.99941190000000002</v>
      </c>
      <c r="P2655">
        <v>0.3919163</v>
      </c>
      <c r="Q2655">
        <v>4.1987099999999999E-2</v>
      </c>
      <c r="R2655">
        <v>-0.91904249999999899</v>
      </c>
      <c r="S2655">
        <v>2.06680299999999</v>
      </c>
      <c r="T2655">
        <v>-0.3113321</v>
      </c>
      <c r="U2655">
        <v>-2.4047700000000001</v>
      </c>
      <c r="V2655">
        <v>-0.36311969999999999</v>
      </c>
      <c r="W2655">
        <v>5.2427389999999997E-2</v>
      </c>
      <c r="X2655">
        <v>0.93026629999999999</v>
      </c>
      <c r="Y2655">
        <v>-0.62443439999999995</v>
      </c>
      <c r="Z2655">
        <v>9.874848E-2</v>
      </c>
      <c r="AA2655">
        <v>0.77481</v>
      </c>
      <c r="AB2655">
        <v>19</v>
      </c>
      <c r="AC2655">
        <v>7.3428000000000102</v>
      </c>
      <c r="AD2655">
        <v>-1.10756554542</v>
      </c>
      <c r="AE2655">
        <v>-8.3830000000000098</v>
      </c>
      <c r="AF2655">
        <v>-7.0060648140655299</v>
      </c>
      <c r="AG2655">
        <v>-1.10756554542</v>
      </c>
      <c r="AH2655">
        <v>8.5257803836941193</v>
      </c>
      <c r="AI2655">
        <v>95.7314304879025</v>
      </c>
      <c r="AJ2655">
        <v>129.411674720337</v>
      </c>
      <c r="AK2655">
        <v>11.090562509055699</v>
      </c>
    </row>
    <row r="2656" spans="1:37" x14ac:dyDescent="0.2">
      <c r="A2656" t="str">
        <f>"20200111153700731"</f>
        <v>20200111153700731</v>
      </c>
      <c r="B2656" t="str">
        <f>"1578728220725273"</f>
        <v>1578728220725273</v>
      </c>
      <c r="C2656" t="s">
        <v>37</v>
      </c>
      <c r="D2656">
        <v>5.6219830000000002</v>
      </c>
      <c r="E2656">
        <v>0.37469849999999999</v>
      </c>
      <c r="F2656" t="s">
        <v>39</v>
      </c>
      <c r="G2656">
        <v>-484.8501</v>
      </c>
      <c r="H2656" s="1">
        <v>-2.5341999999999998E-6</v>
      </c>
      <c r="I2656">
        <v>233.06829999999999</v>
      </c>
      <c r="J2656">
        <v>-492.12490000000003</v>
      </c>
      <c r="K2656">
        <v>1.107588</v>
      </c>
      <c r="L2656">
        <v>241.24080000000001</v>
      </c>
      <c r="M2656">
        <v>3.6535070000000003E-2</v>
      </c>
      <c r="N2656">
        <v>0</v>
      </c>
      <c r="O2656">
        <v>-0.99923949999999995</v>
      </c>
      <c r="P2656">
        <v>0.39814529999999998</v>
      </c>
      <c r="Q2656">
        <v>4.198528E-2</v>
      </c>
      <c r="R2656">
        <v>-0.91636109999999904</v>
      </c>
      <c r="S2656">
        <v>2.0812379999999999</v>
      </c>
      <c r="T2656">
        <v>-0.31632490000000002</v>
      </c>
      <c r="U2656">
        <v>-2.3912049999999998</v>
      </c>
      <c r="V2656">
        <v>-0.3647299</v>
      </c>
      <c r="W2656">
        <v>5.2382629999999999E-2</v>
      </c>
      <c r="X2656">
        <v>0.92963869999999904</v>
      </c>
      <c r="Y2656">
        <v>-0.62521669999999996</v>
      </c>
      <c r="Z2656">
        <v>0.100504199999999</v>
      </c>
      <c r="AA2656">
        <v>0.7739528</v>
      </c>
      <c r="AB2656">
        <v>19</v>
      </c>
      <c r="AC2656">
        <v>7.2748000000000204</v>
      </c>
      <c r="AD2656">
        <v>-1.1075905342000001</v>
      </c>
      <c r="AE2656">
        <v>-8.1725000000000101</v>
      </c>
      <c r="AF2656">
        <v>-6.9006173968805298</v>
      </c>
      <c r="AG2656">
        <v>-1.1075905342000001</v>
      </c>
      <c r="AH2656">
        <v>8.3473134686503805</v>
      </c>
      <c r="AI2656">
        <v>95.839191824187594</v>
      </c>
      <c r="AJ2656">
        <v>129.580104392956</v>
      </c>
      <c r="AK2656">
        <v>10.8868232002495</v>
      </c>
    </row>
    <row r="2657" spans="1:37" x14ac:dyDescent="0.2">
      <c r="A2657" t="str">
        <f>"20200111153700751"</f>
        <v>20200111153700751</v>
      </c>
      <c r="B2657" t="str">
        <f>"1578728220745769"</f>
        <v>1578728220745769</v>
      </c>
      <c r="C2657" t="s">
        <v>37</v>
      </c>
      <c r="D2657">
        <v>5.6116479999999997</v>
      </c>
      <c r="E2657">
        <v>0.37497429999999998</v>
      </c>
      <c r="F2657" t="s">
        <v>39</v>
      </c>
      <c r="G2657">
        <v>-484.8372</v>
      </c>
      <c r="H2657" s="1">
        <v>-2.5028770000000002E-6</v>
      </c>
      <c r="I2657">
        <v>232.96619999999999</v>
      </c>
      <c r="J2657">
        <v>-492.11320000000001</v>
      </c>
      <c r="K2657">
        <v>1.107612</v>
      </c>
      <c r="L2657">
        <v>241.0668</v>
      </c>
      <c r="M2657">
        <v>4.1013260000000003E-2</v>
      </c>
      <c r="N2657">
        <v>0</v>
      </c>
      <c r="O2657">
        <v>-0.99906589999999995</v>
      </c>
      <c r="P2657">
        <v>0.40263860000000001</v>
      </c>
      <c r="Q2657">
        <v>4.2237379999999998E-2</v>
      </c>
      <c r="R2657">
        <v>-0.91438439999999999</v>
      </c>
      <c r="S2657">
        <v>2.0946660000000001</v>
      </c>
      <c r="T2657">
        <v>-0.31834980000000002</v>
      </c>
      <c r="U2657">
        <v>-2.3783259999999999</v>
      </c>
      <c r="V2657">
        <v>-0.36513229999999902</v>
      </c>
      <c r="W2657">
        <v>5.260977E-2</v>
      </c>
      <c r="X2657">
        <v>0.92946790000000001</v>
      </c>
      <c r="Y2657">
        <v>-0.62621640000000001</v>
      </c>
      <c r="Z2657">
        <v>0.10131130000000001</v>
      </c>
      <c r="AA2657">
        <v>0.77303889999999997</v>
      </c>
      <c r="AB2657">
        <v>19</v>
      </c>
      <c r="AC2657">
        <v>7.2760000000000096</v>
      </c>
      <c r="AD2657">
        <v>-1.1076145028769999</v>
      </c>
      <c r="AE2657">
        <v>-8.1006000000000107</v>
      </c>
      <c r="AF2657">
        <v>-6.8665616611998903</v>
      </c>
      <c r="AG2657">
        <v>-1.1076145028769999</v>
      </c>
      <c r="AH2657">
        <v>8.3062730763409895</v>
      </c>
      <c r="AI2657">
        <v>95.868012065047296</v>
      </c>
      <c r="AJ2657">
        <v>129.57957921322199</v>
      </c>
      <c r="AK2657">
        <v>10.833773643232099</v>
      </c>
    </row>
    <row r="2658" spans="1:37" x14ac:dyDescent="0.2">
      <c r="A2658" t="str">
        <f>"20200111153700777"</f>
        <v>20200111153700777</v>
      </c>
      <c r="B2658" t="str">
        <f>"1578728220775049"</f>
        <v>1578728220775049</v>
      </c>
      <c r="C2658" t="s">
        <v>37</v>
      </c>
      <c r="D2658">
        <v>5.6356659999999996</v>
      </c>
      <c r="E2658">
        <v>0.375413</v>
      </c>
      <c r="F2658" t="s">
        <v>39</v>
      </c>
      <c r="G2658">
        <v>-484.80669999999998</v>
      </c>
      <c r="H2658" s="1">
        <v>-2.4680360000000001E-6</v>
      </c>
      <c r="I2658">
        <v>232.84</v>
      </c>
      <c r="J2658">
        <v>-492.09719999999999</v>
      </c>
      <c r="K2658">
        <v>1.10765</v>
      </c>
      <c r="L2658">
        <v>240.84540000000001</v>
      </c>
      <c r="M2658">
        <v>4.6806800000000003E-2</v>
      </c>
      <c r="N2658">
        <v>0</v>
      </c>
      <c r="O2658">
        <v>-0.998811</v>
      </c>
      <c r="P2658">
        <v>0.40889999999999999</v>
      </c>
      <c r="Q2658">
        <v>4.2721580000000002E-2</v>
      </c>
      <c r="R2658">
        <v>-0.91157869999999996</v>
      </c>
      <c r="S2658">
        <v>2.104095</v>
      </c>
      <c r="T2658">
        <v>-0.31896360000000001</v>
      </c>
      <c r="U2658">
        <v>-2.36911</v>
      </c>
      <c r="V2658">
        <v>-0.3661256</v>
      </c>
      <c r="W2658">
        <v>5.3054980000000002E-2</v>
      </c>
      <c r="X2658">
        <v>0.92905179999999998</v>
      </c>
      <c r="Y2658">
        <v>-0.62489799999999995</v>
      </c>
      <c r="Z2658">
        <v>0.10170079999999999</v>
      </c>
      <c r="AA2658">
        <v>0.77405400000000002</v>
      </c>
      <c r="AB2658">
        <v>19</v>
      </c>
      <c r="AC2658">
        <v>7.2904999999999998</v>
      </c>
      <c r="AD2658">
        <v>-1.107652468036</v>
      </c>
      <c r="AE2658">
        <v>-8.0053999999999998</v>
      </c>
      <c r="AF2658">
        <v>-6.8362247837135097</v>
      </c>
      <c r="AG2658">
        <v>-1.107652468036</v>
      </c>
      <c r="AH2658">
        <v>8.2515483373782494</v>
      </c>
      <c r="AI2658">
        <v>95.901655291165099</v>
      </c>
      <c r="AJ2658">
        <v>129.64099470993401</v>
      </c>
      <c r="AK2658">
        <v>10.772600115454701</v>
      </c>
    </row>
    <row r="2659" spans="1:37" x14ac:dyDescent="0.2">
      <c r="A2659" t="str">
        <f>"20200111153700796"</f>
        <v>20200111153700796</v>
      </c>
      <c r="B2659" t="str">
        <f>"1578728220785785"</f>
        <v>1578728220785785</v>
      </c>
      <c r="C2659" t="s">
        <v>37</v>
      </c>
      <c r="D2659">
        <v>5.6578520000000001</v>
      </c>
      <c r="E2659">
        <v>0.3755328</v>
      </c>
      <c r="F2659" t="s">
        <v>38</v>
      </c>
      <c r="G2659">
        <v>-491.48759999999999</v>
      </c>
      <c r="H2659">
        <v>1.0156940000000001</v>
      </c>
      <c r="I2659">
        <v>240.1669</v>
      </c>
      <c r="J2659">
        <v>-492.08499999999998</v>
      </c>
      <c r="K2659">
        <v>1.1076809999999999</v>
      </c>
      <c r="L2659">
        <v>240.6892</v>
      </c>
      <c r="M2659">
        <v>5.0968399999999997E-2</v>
      </c>
      <c r="N2659">
        <v>0</v>
      </c>
      <c r="O2659">
        <v>-0.99860740000000003</v>
      </c>
      <c r="P2659">
        <v>0.41291869999999897</v>
      </c>
      <c r="Q2659">
        <v>4.2872819999999999E-2</v>
      </c>
      <c r="R2659">
        <v>-0.90975849999999903</v>
      </c>
      <c r="S2659">
        <v>2.1170650000000002</v>
      </c>
      <c r="T2659">
        <v>-0.31935069999999999</v>
      </c>
      <c r="U2659">
        <v>-2.3563230000000002</v>
      </c>
      <c r="V2659">
        <v>-0.3663592</v>
      </c>
      <c r="W2659">
        <v>5.3183080000000001E-2</v>
      </c>
      <c r="X2659">
        <v>0.92895239999999901</v>
      </c>
      <c r="Y2659">
        <v>-0.62608240000000004</v>
      </c>
      <c r="Z2659">
        <v>0.10198260000000001</v>
      </c>
      <c r="AA2659">
        <v>0.7730591</v>
      </c>
      <c r="AB2659">
        <v>19</v>
      </c>
      <c r="AC2659">
        <v>0.59739999999999305</v>
      </c>
      <c r="AD2659">
        <v>-9.1986999999999805E-2</v>
      </c>
      <c r="AE2659">
        <v>-0.52230000000000099</v>
      </c>
      <c r="AF2659">
        <v>-0.56244211034292002</v>
      </c>
      <c r="AG2659">
        <v>-9.1986999999999805E-2</v>
      </c>
      <c r="AH2659">
        <v>0.54475206575996904</v>
      </c>
      <c r="AI2659">
        <v>96.700369498720093</v>
      </c>
      <c r="AJ2659">
        <v>135.91535765158699</v>
      </c>
      <c r="AK2659">
        <v>0.78838921149756402</v>
      </c>
    </row>
    <row r="2660" spans="1:37" x14ac:dyDescent="0.2">
      <c r="A2660" t="str">
        <f>"20200111153700817"</f>
        <v>20200111153700817</v>
      </c>
      <c r="B2660" t="str">
        <f>"1578728220815065"</f>
        <v>1578728220815065</v>
      </c>
      <c r="C2660" t="s">
        <v>37</v>
      </c>
      <c r="D2660">
        <v>5.6589349999999996</v>
      </c>
      <c r="E2660">
        <v>0.37595309999999998</v>
      </c>
      <c r="F2660" t="s">
        <v>38</v>
      </c>
      <c r="G2660">
        <v>-491.46469999999999</v>
      </c>
      <c r="H2660">
        <v>1.0144850000000001</v>
      </c>
      <c r="I2660">
        <v>240.0042</v>
      </c>
      <c r="J2660">
        <v>-492.07029999999997</v>
      </c>
      <c r="K2660">
        <v>1.107712</v>
      </c>
      <c r="L2660">
        <v>240.51070000000001</v>
      </c>
      <c r="M2660">
        <v>5.5788530000000003E-2</v>
      </c>
      <c r="N2660">
        <v>0</v>
      </c>
      <c r="O2660">
        <v>-0.9983495</v>
      </c>
      <c r="P2660">
        <v>0.41687950000000001</v>
      </c>
      <c r="Q2660">
        <v>4.3495930000000002E-2</v>
      </c>
      <c r="R2660">
        <v>-0.90792070000000002</v>
      </c>
      <c r="S2660">
        <v>2.1266479999999999</v>
      </c>
      <c r="T2660">
        <v>-0.3193262</v>
      </c>
      <c r="U2660">
        <v>-2.347397</v>
      </c>
      <c r="V2660">
        <v>-0.365932599999999</v>
      </c>
      <c r="W2660">
        <v>5.3788269999999999E-2</v>
      </c>
      <c r="X2660">
        <v>0.92908570000000001</v>
      </c>
      <c r="Y2660">
        <v>-0.62551899999999905</v>
      </c>
      <c r="Z2660">
        <v>0.1021243</v>
      </c>
      <c r="AA2660">
        <v>0.77349639999999997</v>
      </c>
      <c r="AB2660">
        <v>19</v>
      </c>
      <c r="AC2660">
        <v>0.60559999999998104</v>
      </c>
      <c r="AD2660">
        <v>-9.3226999999999893E-2</v>
      </c>
      <c r="AE2660">
        <v>-0.50650000000001605</v>
      </c>
      <c r="AF2660">
        <v>-0.56847033801227798</v>
      </c>
      <c r="AG2660">
        <v>-9.3226999999999893E-2</v>
      </c>
      <c r="AH2660">
        <v>0.53208032301377295</v>
      </c>
      <c r="AI2660">
        <v>96.827622416012304</v>
      </c>
      <c r="AJ2660">
        <v>136.89381097796499</v>
      </c>
      <c r="AK2660">
        <v>0.78419338741616196</v>
      </c>
    </row>
    <row r="2661" spans="1:37" x14ac:dyDescent="0.2">
      <c r="A2661" t="str">
        <f>"20200111153700841"</f>
        <v>20200111153700841</v>
      </c>
      <c r="B2661" t="str">
        <f>"1578728220835562"</f>
        <v>1578728220835562</v>
      </c>
      <c r="C2661" t="s">
        <v>37</v>
      </c>
      <c r="D2661">
        <v>5.6606509999999997</v>
      </c>
      <c r="E2661">
        <v>0.3761159</v>
      </c>
      <c r="F2661" t="s">
        <v>38</v>
      </c>
      <c r="G2661">
        <v>-491.45650000000001</v>
      </c>
      <c r="H2661">
        <v>1.016335</v>
      </c>
      <c r="I2661">
        <v>239.83760000000001</v>
      </c>
      <c r="J2661">
        <v>-492.05340000000001</v>
      </c>
      <c r="K2661">
        <v>1.1077410000000001</v>
      </c>
      <c r="L2661">
        <v>240.3212</v>
      </c>
      <c r="M2661">
        <v>6.0985009999999999E-2</v>
      </c>
      <c r="N2661">
        <v>0</v>
      </c>
      <c r="O2661">
        <v>-0.99804539999999997</v>
      </c>
      <c r="P2661">
        <v>0.42091419999999902</v>
      </c>
      <c r="Q2661">
        <v>4.384213E-2</v>
      </c>
      <c r="R2661">
        <v>-0.90604030000000002</v>
      </c>
      <c r="S2661">
        <v>2.134277</v>
      </c>
      <c r="T2661">
        <v>-0.31761349999999999</v>
      </c>
      <c r="U2661">
        <v>-2.339569</v>
      </c>
      <c r="V2661">
        <v>-0.3652358</v>
      </c>
      <c r="W2661">
        <v>5.411871E-2</v>
      </c>
      <c r="X2661">
        <v>0.92934059999999896</v>
      </c>
      <c r="Y2661">
        <v>-0.62416269999999996</v>
      </c>
      <c r="Z2661">
        <v>0.1017497</v>
      </c>
      <c r="AA2661">
        <v>0.77464040000000001</v>
      </c>
      <c r="AB2661">
        <v>19</v>
      </c>
      <c r="AC2661">
        <v>0.59690000000000498</v>
      </c>
      <c r="AD2661">
        <v>-9.1406000000000098E-2</v>
      </c>
      <c r="AE2661">
        <v>-0.48359999999999498</v>
      </c>
      <c r="AF2661">
        <v>-0.55838839839064103</v>
      </c>
      <c r="AG2661">
        <v>-9.1406000000000098E-2</v>
      </c>
      <c r="AH2661">
        <v>0.51185850230349705</v>
      </c>
      <c r="AI2661">
        <v>96.880556476839104</v>
      </c>
      <c r="AJ2661">
        <v>137.48941517657801</v>
      </c>
      <c r="AK2661">
        <v>0.76298871988624095</v>
      </c>
    </row>
    <row r="2662" spans="1:37" x14ac:dyDescent="0.2">
      <c r="A2662" t="str">
        <f>"20200111153700864"</f>
        <v>20200111153700864</v>
      </c>
      <c r="B2662" t="str">
        <f>"1578728220855081"</f>
        <v>1578728220855081</v>
      </c>
      <c r="C2662" t="s">
        <v>37</v>
      </c>
      <c r="D2662">
        <v>5.6824199999999996</v>
      </c>
      <c r="E2662">
        <v>0.37622919999999999</v>
      </c>
      <c r="F2662" t="s">
        <v>39</v>
      </c>
      <c r="G2662">
        <v>-484.55739999999997</v>
      </c>
      <c r="H2662" s="1">
        <v>-2.3065490000000001E-6</v>
      </c>
      <c r="I2662">
        <v>232.17060000000001</v>
      </c>
      <c r="J2662">
        <v>-492.03500000000003</v>
      </c>
      <c r="K2662">
        <v>1.107761</v>
      </c>
      <c r="L2662">
        <v>240.12690000000001</v>
      </c>
      <c r="M2662">
        <v>6.6399949999999999E-2</v>
      </c>
      <c r="N2662">
        <v>0</v>
      </c>
      <c r="O2662">
        <v>-0.99769969999999997</v>
      </c>
      <c r="P2662">
        <v>0.42524190000000001</v>
      </c>
      <c r="Q2662">
        <v>4.3802550000000003E-2</v>
      </c>
      <c r="R2662">
        <v>-0.90401929999999997</v>
      </c>
      <c r="S2662">
        <v>2.1434329999999999</v>
      </c>
      <c r="T2662">
        <v>-0.31675199999999998</v>
      </c>
      <c r="U2662">
        <v>-2.3306269999999998</v>
      </c>
      <c r="V2662">
        <v>-0.36463889999999999</v>
      </c>
      <c r="W2662">
        <v>5.4067289999999997E-2</v>
      </c>
      <c r="X2662">
        <v>0.92957789999999996</v>
      </c>
      <c r="Y2662">
        <v>-0.6230755</v>
      </c>
      <c r="Z2662">
        <v>0.1016397</v>
      </c>
      <c r="AA2662">
        <v>0.77552969999999999</v>
      </c>
      <c r="AB2662">
        <v>19</v>
      </c>
      <c r="AC2662">
        <v>7.4776000000000504</v>
      </c>
      <c r="AD2662">
        <v>-1.107763306549</v>
      </c>
      <c r="AE2662">
        <v>-7.9562999999999899</v>
      </c>
      <c r="AF2662">
        <v>-6.8621135098580703</v>
      </c>
      <c r="AG2662">
        <v>-1.107763306549</v>
      </c>
      <c r="AH2662">
        <v>8.3493539304800706</v>
      </c>
      <c r="AI2662">
        <v>95.852393803611307</v>
      </c>
      <c r="AJ2662">
        <v>129.415882243824</v>
      </c>
      <c r="AK2662">
        <v>10.864044017856999</v>
      </c>
    </row>
    <row r="2663" spans="1:37" x14ac:dyDescent="0.2">
      <c r="A2663" t="str">
        <f>"20200111153700887"</f>
        <v>20200111153700887</v>
      </c>
      <c r="B2663" t="str">
        <f>"1578728220875726"</f>
        <v>1578728220875726</v>
      </c>
      <c r="C2663" t="s">
        <v>37</v>
      </c>
      <c r="D2663">
        <v>5.999568</v>
      </c>
      <c r="E2663">
        <v>0.3779825</v>
      </c>
      <c r="F2663" t="s">
        <v>39</v>
      </c>
      <c r="G2663">
        <v>-484.55399999999997</v>
      </c>
      <c r="H2663" s="1">
        <v>-2.2717359999999999E-6</v>
      </c>
      <c r="I2663">
        <v>232.06559999999999</v>
      </c>
      <c r="J2663">
        <v>-492.01609999999999</v>
      </c>
      <c r="K2663">
        <v>1.1077760000000001</v>
      </c>
      <c r="L2663">
        <v>239.93799999999999</v>
      </c>
      <c r="M2663">
        <v>7.1726020000000001E-2</v>
      </c>
      <c r="N2663">
        <v>0</v>
      </c>
      <c r="O2663">
        <v>-0.99733079999999996</v>
      </c>
      <c r="P2663">
        <v>0.42929440000000002</v>
      </c>
      <c r="Q2663">
        <v>4.3745159999999998E-2</v>
      </c>
      <c r="R2663">
        <v>-0.90210469999999898</v>
      </c>
      <c r="S2663">
        <v>2.1538089999999999</v>
      </c>
      <c r="T2663">
        <v>-0.3189265</v>
      </c>
      <c r="U2663">
        <v>-2.3208769999999999</v>
      </c>
      <c r="V2663">
        <v>-0.36384829999999901</v>
      </c>
      <c r="W2663">
        <v>5.4008250000000001E-2</v>
      </c>
      <c r="X2663">
        <v>0.92989109999999997</v>
      </c>
      <c r="Y2663">
        <v>-0.62234409999999996</v>
      </c>
      <c r="Z2663">
        <v>0.1024813</v>
      </c>
      <c r="AA2663">
        <v>0.77600599999999997</v>
      </c>
      <c r="AB2663">
        <v>19</v>
      </c>
      <c r="AC2663">
        <v>7.4620999999999604</v>
      </c>
      <c r="AD2663">
        <v>-1.1077782717360001</v>
      </c>
      <c r="AE2663">
        <v>-7.8723999999999901</v>
      </c>
      <c r="AF2663">
        <v>-6.80716919839357</v>
      </c>
      <c r="AG2663">
        <v>-1.1077782717360001</v>
      </c>
      <c r="AH2663">
        <v>8.3008187251510801</v>
      </c>
      <c r="AI2663">
        <v>95.891653527547604</v>
      </c>
      <c r="AJ2663">
        <v>129.353807295172</v>
      </c>
      <c r="AK2663">
        <v>10.792048772253899</v>
      </c>
    </row>
    <row r="2664" spans="1:37" x14ac:dyDescent="0.2">
      <c r="A2664" t="str">
        <f>"20200111153700908"</f>
        <v>20200111153700908</v>
      </c>
      <c r="B2664" t="str">
        <f>"1578728220905007"</f>
        <v>1578728220905007</v>
      </c>
      <c r="C2664" t="s">
        <v>37</v>
      </c>
      <c r="D2664">
        <v>5.9919449999999896</v>
      </c>
      <c r="E2664">
        <v>0.46030879999999902</v>
      </c>
      <c r="F2664" t="s">
        <v>39</v>
      </c>
      <c r="G2664">
        <v>-484.6103</v>
      </c>
      <c r="H2664" s="1">
        <v>-2.2207589999999999E-6</v>
      </c>
      <c r="I2664">
        <v>231.9598</v>
      </c>
      <c r="J2664">
        <v>-491.9973</v>
      </c>
      <c r="K2664">
        <v>1.107782</v>
      </c>
      <c r="L2664">
        <v>239.76070000000001</v>
      </c>
      <c r="M2664">
        <v>7.6774690000000007E-2</v>
      </c>
      <c r="N2664">
        <v>0</v>
      </c>
      <c r="O2664">
        <v>-0.99695499999999904</v>
      </c>
      <c r="P2664">
        <v>0.43341220000000003</v>
      </c>
      <c r="Q2664">
        <v>4.3775559999999998E-2</v>
      </c>
      <c r="R2664">
        <v>-0.90013189999999998</v>
      </c>
      <c r="S2664">
        <v>2.1512150000000001</v>
      </c>
      <c r="T2664">
        <v>-0.32178400000000001</v>
      </c>
      <c r="U2664">
        <v>-2.3174899999999998</v>
      </c>
      <c r="V2664">
        <v>-0.36339050000000001</v>
      </c>
      <c r="W2664">
        <v>5.4039669999999998E-2</v>
      </c>
      <c r="X2664">
        <v>0.93006829999999996</v>
      </c>
      <c r="Y2664">
        <v>-0.61840550000000005</v>
      </c>
      <c r="Z2664">
        <v>0.10364719999999999</v>
      </c>
      <c r="AA2664">
        <v>0.77899410000000002</v>
      </c>
      <c r="AB2664">
        <v>19</v>
      </c>
      <c r="AC2664">
        <v>7.3869999999999996</v>
      </c>
      <c r="AD2664">
        <v>-1.1077842207590001</v>
      </c>
      <c r="AE2664">
        <v>-7.8009000000000102</v>
      </c>
      <c r="AF2664">
        <v>-6.6950425407524801</v>
      </c>
      <c r="AG2664">
        <v>-1.1077842207590001</v>
      </c>
      <c r="AH2664">
        <v>8.2572658190261894</v>
      </c>
      <c r="AI2664">
        <v>95.949250707040704</v>
      </c>
      <c r="AJ2664">
        <v>129.035354425045</v>
      </c>
      <c r="AK2664">
        <v>10.687994166741699</v>
      </c>
    </row>
    <row r="2665" spans="1:37" x14ac:dyDescent="0.2">
      <c r="A2665" t="str">
        <f>"20200111153700931"</f>
        <v>20200111153700931</v>
      </c>
      <c r="B2665" t="str">
        <f>"1578728220925504"</f>
        <v>1578728220925504</v>
      </c>
      <c r="C2665" t="s">
        <v>37</v>
      </c>
      <c r="D2665">
        <v>5.6476850000000001</v>
      </c>
      <c r="E2665">
        <v>0.46120829999999902</v>
      </c>
      <c r="F2665" t="s">
        <v>38</v>
      </c>
      <c r="G2665">
        <v>-491.49889999999999</v>
      </c>
      <c r="H2665">
        <v>1.0176529999999999</v>
      </c>
      <c r="I2665">
        <v>238.93790000000001</v>
      </c>
      <c r="J2665">
        <v>-491.97629999999998</v>
      </c>
      <c r="K2665">
        <v>1.107783</v>
      </c>
      <c r="L2665">
        <v>239.57299999999901</v>
      </c>
      <c r="M2665">
        <v>8.2170049999999994E-2</v>
      </c>
      <c r="N2665">
        <v>0</v>
      </c>
      <c r="O2665">
        <v>-0.99652489999999905</v>
      </c>
      <c r="P2665">
        <v>0.438027099999999</v>
      </c>
      <c r="Q2665">
        <v>4.3737869999999998E-2</v>
      </c>
      <c r="R2665">
        <v>-0.89789739999999996</v>
      </c>
      <c r="S2665">
        <v>1.5704039999999999</v>
      </c>
      <c r="T2665">
        <v>-0.28376380000000001</v>
      </c>
      <c r="U2665">
        <v>-2.5905149999999999</v>
      </c>
      <c r="V2665">
        <v>-0.36313040000000002</v>
      </c>
      <c r="W2665">
        <v>5.4002999999999898E-2</v>
      </c>
      <c r="X2665">
        <v>0.930171999999999</v>
      </c>
      <c r="Y2665">
        <v>-0.444047999999999</v>
      </c>
      <c r="Z2665">
        <v>9.474921E-2</v>
      </c>
      <c r="AA2665">
        <v>0.89097919999999997</v>
      </c>
      <c r="AB2665">
        <v>19</v>
      </c>
      <c r="AC2665">
        <v>0.477399999999988</v>
      </c>
      <c r="AD2665">
        <v>-9.0129999999999794E-2</v>
      </c>
      <c r="AE2665">
        <v>-0.63509999999996503</v>
      </c>
      <c r="AF2665">
        <v>-0.418212453483016</v>
      </c>
      <c r="AG2665">
        <v>-9.0129999999999794E-2</v>
      </c>
      <c r="AH2665">
        <v>0.66364342331619897</v>
      </c>
      <c r="AI2665">
        <v>96.554501552656603</v>
      </c>
      <c r="AJ2665">
        <v>122.21816429694</v>
      </c>
      <c r="AK2665">
        <v>0.78958702272715198</v>
      </c>
    </row>
    <row r="2666" spans="1:37" x14ac:dyDescent="0.2">
      <c r="A2666" t="str">
        <f>"20200111153700953"</f>
        <v>20200111153700953</v>
      </c>
      <c r="B2666" t="str">
        <f>"1578728220945023"</f>
        <v>1578728220945023</v>
      </c>
      <c r="C2666" t="s">
        <v>37</v>
      </c>
      <c r="D2666">
        <v>5.6801430000000002</v>
      </c>
      <c r="E2666">
        <v>0.46075159999999998</v>
      </c>
      <c r="F2666" t="s">
        <v>38</v>
      </c>
      <c r="G2666">
        <v>-491.46379999999999</v>
      </c>
      <c r="H2666">
        <v>1.018656</v>
      </c>
      <c r="I2666">
        <v>238.73330000000001</v>
      </c>
      <c r="J2666">
        <v>-491.9545</v>
      </c>
      <c r="K2666">
        <v>1.1077920000000001</v>
      </c>
      <c r="L2666">
        <v>239.38669999999999</v>
      </c>
      <c r="M2666">
        <v>8.7572380000000005E-2</v>
      </c>
      <c r="N2666">
        <v>0</v>
      </c>
      <c r="O2666">
        <v>-0.99606450000000002</v>
      </c>
      <c r="P2666">
        <v>0.44302449999999999</v>
      </c>
      <c r="Q2666">
        <v>4.373345E-2</v>
      </c>
      <c r="R2666">
        <v>-0.89544249999999903</v>
      </c>
      <c r="S2666">
        <v>1.577545</v>
      </c>
      <c r="T2666">
        <v>-0.27435549999999997</v>
      </c>
      <c r="U2666">
        <v>-2.5848849999999999</v>
      </c>
      <c r="V2666">
        <v>-0.36327169999999998</v>
      </c>
      <c r="W2666">
        <v>5.3993970000000002E-2</v>
      </c>
      <c r="X2666">
        <v>0.93011739999999998</v>
      </c>
      <c r="Y2666">
        <v>-0.44199650000000001</v>
      </c>
      <c r="Z2666">
        <v>9.1729950000000005E-2</v>
      </c>
      <c r="AA2666">
        <v>0.89231419999999995</v>
      </c>
      <c r="AB2666">
        <v>19</v>
      </c>
      <c r="AC2666">
        <v>0.49070000000000302</v>
      </c>
      <c r="AD2666">
        <v>-8.9136000000000104E-2</v>
      </c>
      <c r="AE2666">
        <v>-0.653399999999976</v>
      </c>
      <c r="AF2666">
        <v>-0.42651420005070201</v>
      </c>
      <c r="AG2666">
        <v>-8.9136000000000104E-2</v>
      </c>
      <c r="AH2666">
        <v>0.68570578448074204</v>
      </c>
      <c r="AI2666">
        <v>96.298858496052006</v>
      </c>
      <c r="AJ2666">
        <v>121.88192555648899</v>
      </c>
      <c r="AK2666">
        <v>0.81243585113610095</v>
      </c>
    </row>
    <row r="2667" spans="1:37" x14ac:dyDescent="0.2">
      <c r="A2667" t="str">
        <f>"20200111153700975"</f>
        <v>20200111153700975</v>
      </c>
      <c r="B2667" t="str">
        <f>"1578728220965238"</f>
        <v>1578728220965238</v>
      </c>
      <c r="C2667" t="s">
        <v>37</v>
      </c>
      <c r="D2667">
        <v>5.9997150000000001</v>
      </c>
      <c r="E2667">
        <v>0.4607773</v>
      </c>
      <c r="F2667" t="s">
        <v>44</v>
      </c>
      <c r="G2667">
        <v>-485.40890000000002</v>
      </c>
      <c r="H2667" s="1">
        <v>5.1779220000000002E-6</v>
      </c>
      <c r="I2667">
        <v>228.82679999999999</v>
      </c>
      <c r="J2667">
        <v>-491.93180000000001</v>
      </c>
      <c r="K2667">
        <v>1.107809</v>
      </c>
      <c r="L2667">
        <v>239.20150000000001</v>
      </c>
      <c r="M2667">
        <v>9.2987559999999997E-2</v>
      </c>
      <c r="N2667">
        <v>0</v>
      </c>
      <c r="O2667">
        <v>-0.99557359999999995</v>
      </c>
      <c r="P2667">
        <v>0.44807829999999899</v>
      </c>
      <c r="Q2667">
        <v>4.4256209999999997E-2</v>
      </c>
      <c r="R2667">
        <v>-0.89289839999999998</v>
      </c>
      <c r="S2667">
        <v>1.5955509999999999</v>
      </c>
      <c r="T2667">
        <v>-0.27003059999999901</v>
      </c>
      <c r="U2667">
        <v>-2.5740509999999999</v>
      </c>
      <c r="V2667">
        <v>-0.36347790000000002</v>
      </c>
      <c r="W2667">
        <v>5.450866E-2</v>
      </c>
      <c r="X2667">
        <v>0.93000680000000002</v>
      </c>
      <c r="Y2667">
        <v>-0.44338109999999997</v>
      </c>
      <c r="Z2667">
        <v>9.0364829999999993E-2</v>
      </c>
      <c r="AA2667">
        <v>0.89176650000000002</v>
      </c>
      <c r="AB2667">
        <v>19</v>
      </c>
      <c r="AC2667">
        <v>6.5228999999999902</v>
      </c>
      <c r="AD2667">
        <v>-1.107803822078</v>
      </c>
      <c r="AE2667">
        <v>-10.374700000000001</v>
      </c>
      <c r="AF2667">
        <v>-5.4850035892523996</v>
      </c>
      <c r="AG2667">
        <v>-1.107803822078</v>
      </c>
      <c r="AH2667">
        <v>10.847703085928501</v>
      </c>
      <c r="AI2667">
        <v>95.207293221867204</v>
      </c>
      <c r="AJ2667">
        <v>116.822864105186</v>
      </c>
      <c r="AK2667">
        <v>12.205947563494799</v>
      </c>
    </row>
    <row r="2668" spans="1:37" x14ac:dyDescent="0.2">
      <c r="A2668" t="str">
        <f>"20200111153700998"</f>
        <v>20200111153700998</v>
      </c>
      <c r="B2668" t="str">
        <f>"1578728220985730"</f>
        <v>1578728220985730</v>
      </c>
      <c r="C2668" t="s">
        <v>37</v>
      </c>
      <c r="D2668">
        <v>5.6789389999999997</v>
      </c>
      <c r="E2668">
        <v>0.46063320000000002</v>
      </c>
      <c r="F2668" t="s">
        <v>44</v>
      </c>
      <c r="G2668">
        <v>-485.1857</v>
      </c>
      <c r="H2668" s="1">
        <v>5.0044369999999901E-6</v>
      </c>
      <c r="I2668">
        <v>228.45849999999999</v>
      </c>
      <c r="J2668">
        <v>-491.90879999999999</v>
      </c>
      <c r="K2668">
        <v>1.1078239999999999</v>
      </c>
      <c r="L2668">
        <v>239.0224</v>
      </c>
      <c r="M2668">
        <v>9.8259929999999995E-2</v>
      </c>
      <c r="N2668">
        <v>0</v>
      </c>
      <c r="O2668">
        <v>-0.99506700000000003</v>
      </c>
      <c r="P2668">
        <v>0.45278549999999901</v>
      </c>
      <c r="Q2668">
        <v>4.5274809999999999E-2</v>
      </c>
      <c r="R2668">
        <v>-0.89046939999999997</v>
      </c>
      <c r="S2668">
        <v>1.610535</v>
      </c>
      <c r="T2668">
        <v>-0.264474599999999</v>
      </c>
      <c r="U2668">
        <v>-2.5647579999999999</v>
      </c>
      <c r="V2668">
        <v>-0.36347399999999902</v>
      </c>
      <c r="W2668">
        <v>5.5519930000000002E-2</v>
      </c>
      <c r="X2668">
        <v>0.92994849999999996</v>
      </c>
      <c r="Y2668">
        <v>-0.44391520000000001</v>
      </c>
      <c r="Z2668">
        <v>8.8584460000000004E-2</v>
      </c>
      <c r="AA2668">
        <v>0.89167929999999995</v>
      </c>
      <c r="AB2668">
        <v>19</v>
      </c>
      <c r="AC2668">
        <v>6.7230999999999801</v>
      </c>
      <c r="AD2668">
        <v>-1.107818995563</v>
      </c>
      <c r="AE2668">
        <v>-10.5639</v>
      </c>
      <c r="AF2668">
        <v>-5.6085555314686903</v>
      </c>
      <c r="AG2668">
        <v>-1.107818995563</v>
      </c>
      <c r="AH2668">
        <v>11.0866656763286</v>
      </c>
      <c r="AI2668">
        <v>95.095220249842299</v>
      </c>
      <c r="AJ2668">
        <v>116.834072328063</v>
      </c>
      <c r="AK2668">
        <v>12.4738652347691</v>
      </c>
    </row>
    <row r="2669" spans="1:37" x14ac:dyDescent="0.2">
      <c r="A2669" t="str">
        <f>"20200111153701019"</f>
        <v>20200111153701019</v>
      </c>
      <c r="B2669" t="str">
        <f>"1578728221015011"</f>
        <v>1578728221015011</v>
      </c>
      <c r="C2669" t="s">
        <v>37</v>
      </c>
      <c r="D2669">
        <v>5.8213269999999904</v>
      </c>
      <c r="E2669">
        <v>0.459539999999999</v>
      </c>
      <c r="F2669" t="s">
        <v>44</v>
      </c>
      <c r="G2669">
        <v>-484.976</v>
      </c>
      <c r="H2669" s="1">
        <v>4.8431969999999998E-6</v>
      </c>
      <c r="I2669">
        <v>228.1181</v>
      </c>
      <c r="J2669">
        <v>-491.88510000000002</v>
      </c>
      <c r="K2669">
        <v>1.1078410000000001</v>
      </c>
      <c r="L2669">
        <v>238.84569999999999</v>
      </c>
      <c r="M2669">
        <v>0.1034962</v>
      </c>
      <c r="N2669">
        <v>0</v>
      </c>
      <c r="O2669">
        <v>-0.99453599999999998</v>
      </c>
      <c r="P2669">
        <v>0.45747270000000001</v>
      </c>
      <c r="Q2669">
        <v>4.6869840000000003E-2</v>
      </c>
      <c r="R2669">
        <v>-0.88798790000000005</v>
      </c>
      <c r="S2669">
        <v>1.6250309999999999</v>
      </c>
      <c r="T2669">
        <v>-0.25967089999999998</v>
      </c>
      <c r="U2669">
        <v>-2.555939</v>
      </c>
      <c r="V2669">
        <v>-0.36350179999999999</v>
      </c>
      <c r="W2669">
        <v>5.7105280000000001E-2</v>
      </c>
      <c r="X2669">
        <v>0.92984159999999905</v>
      </c>
      <c r="Y2669">
        <v>-0.44427169999999999</v>
      </c>
      <c r="Z2669">
        <v>8.7040569999999998E-2</v>
      </c>
      <c r="AA2669">
        <v>0.89165380000000005</v>
      </c>
      <c r="AB2669">
        <v>19</v>
      </c>
      <c r="AC2669">
        <v>6.90910000000002</v>
      </c>
      <c r="AD2669">
        <v>-1.107836156803</v>
      </c>
      <c r="AE2669">
        <v>-10.727599999999899</v>
      </c>
      <c r="AF2669">
        <v>-5.7185149895843699</v>
      </c>
      <c r="AG2669">
        <v>-1.107836156803</v>
      </c>
      <c r="AH2669">
        <v>11.299934801209099</v>
      </c>
      <c r="AI2669">
        <v>94.999257686647297</v>
      </c>
      <c r="AJ2669">
        <v>116.842429771806</v>
      </c>
      <c r="AK2669">
        <v>12.7128769815489</v>
      </c>
    </row>
    <row r="2670" spans="1:37" x14ac:dyDescent="0.2">
      <c r="A2670" t="str">
        <f>"20200111153701044"</f>
        <v>20200111153701044</v>
      </c>
      <c r="B2670" t="str">
        <f>"1578728221035507"</f>
        <v>1578728221035507</v>
      </c>
      <c r="C2670" t="s">
        <v>37</v>
      </c>
      <c r="D2670">
        <v>5.7936690000000004</v>
      </c>
      <c r="E2670">
        <v>0.4588662</v>
      </c>
      <c r="F2670" t="s">
        <v>38</v>
      </c>
      <c r="G2670">
        <v>-491.3467</v>
      </c>
      <c r="H2670">
        <v>1.023871</v>
      </c>
      <c r="I2670">
        <v>238.01349999999999</v>
      </c>
      <c r="J2670">
        <v>-491.85660000000001</v>
      </c>
      <c r="K2670">
        <v>1.107853</v>
      </c>
      <c r="L2670">
        <v>238.6438</v>
      </c>
      <c r="M2670">
        <v>0.1095283</v>
      </c>
      <c r="N2670">
        <v>0</v>
      </c>
      <c r="O2670">
        <v>-0.99388980000000005</v>
      </c>
      <c r="P2670">
        <v>0.462236799999999</v>
      </c>
      <c r="Q2670">
        <v>4.7259229999999999E-2</v>
      </c>
      <c r="R2670">
        <v>-0.88549690000000003</v>
      </c>
      <c r="S2670">
        <v>1.646393</v>
      </c>
      <c r="T2670">
        <v>-0.25665110000000002</v>
      </c>
      <c r="U2670">
        <v>-2.5437620000000001</v>
      </c>
      <c r="V2670">
        <v>-0.3628613</v>
      </c>
      <c r="W2670">
        <v>5.7496119999999998E-2</v>
      </c>
      <c r="X2670">
        <v>0.93006769999999905</v>
      </c>
      <c r="Y2670">
        <v>-0.44611430000000002</v>
      </c>
      <c r="Z2670">
        <v>8.6074520000000002E-2</v>
      </c>
      <c r="AA2670">
        <v>0.89082719999999904</v>
      </c>
      <c r="AB2670">
        <v>19</v>
      </c>
      <c r="AC2670">
        <v>0.50990000000001601</v>
      </c>
      <c r="AD2670">
        <v>-8.3982000000000001E-2</v>
      </c>
      <c r="AE2670">
        <v>-0.63030000000000497</v>
      </c>
      <c r="AF2670">
        <v>-0.433141696428753</v>
      </c>
      <c r="AG2670">
        <v>-8.3982000000000001E-2</v>
      </c>
      <c r="AH2670">
        <v>0.67511647958050902</v>
      </c>
      <c r="AI2670">
        <v>95.977105216703194</v>
      </c>
      <c r="AJ2670">
        <v>122.683446990745</v>
      </c>
      <c r="AK2670">
        <v>0.80650292405567703</v>
      </c>
    </row>
    <row r="2671" spans="1:37" x14ac:dyDescent="0.2">
      <c r="A2671" t="str">
        <f>"20200111153701065"</f>
        <v>20200111153701065</v>
      </c>
      <c r="B2671" t="str">
        <f>"1578728221055030"</f>
        <v>1578728221055030</v>
      </c>
      <c r="C2671" t="s">
        <v>37</v>
      </c>
      <c r="D2671">
        <v>5.7094440000000004</v>
      </c>
      <c r="E2671">
        <v>0.45826210000000001</v>
      </c>
      <c r="F2671" t="s">
        <v>38</v>
      </c>
      <c r="G2671">
        <v>-491.3338</v>
      </c>
      <c r="H2671">
        <v>1.025237</v>
      </c>
      <c r="I2671">
        <v>237.8485</v>
      </c>
      <c r="J2671">
        <v>-491.83159999999998</v>
      </c>
      <c r="K2671">
        <v>1.1078509999999999</v>
      </c>
      <c r="L2671">
        <v>238.47299999999899</v>
      </c>
      <c r="M2671">
        <v>0.11466069999999901</v>
      </c>
      <c r="N2671">
        <v>0</v>
      </c>
      <c r="O2671">
        <v>-0.99331069999999999</v>
      </c>
      <c r="P2671">
        <v>0.46610309999999999</v>
      </c>
      <c r="Q2671">
        <v>4.6951489999999999E-2</v>
      </c>
      <c r="R2671">
        <v>-0.88348379999999904</v>
      </c>
      <c r="S2671">
        <v>1.6651309999999999</v>
      </c>
      <c r="T2671">
        <v>-0.26310929999999999</v>
      </c>
      <c r="U2671">
        <v>-2.5327759999999899</v>
      </c>
      <c r="V2671">
        <v>-0.36211840000000001</v>
      </c>
      <c r="W2671">
        <v>5.7196209999999997E-2</v>
      </c>
      <c r="X2671">
        <v>0.93037569999999903</v>
      </c>
      <c r="Y2671">
        <v>-0.44776840000000001</v>
      </c>
      <c r="Z2671">
        <v>8.8259450000000003E-2</v>
      </c>
      <c r="AA2671">
        <v>0.88978299999999999</v>
      </c>
      <c r="AB2671">
        <v>19</v>
      </c>
      <c r="AC2671">
        <v>0.49779999999998298</v>
      </c>
      <c r="AD2671">
        <v>-8.2613999999999702E-2</v>
      </c>
      <c r="AE2671">
        <v>-0.62449999999998296</v>
      </c>
      <c r="AF2671">
        <v>-0.41842642636739302</v>
      </c>
      <c r="AG2671">
        <v>-8.2613999999999702E-2</v>
      </c>
      <c r="AH2671">
        <v>0.67029119616912303</v>
      </c>
      <c r="AI2671">
        <v>95.968702582167495</v>
      </c>
      <c r="AJ2671">
        <v>121.974296219896</v>
      </c>
      <c r="AK2671">
        <v>0.79447846726039195</v>
      </c>
    </row>
    <row r="2672" spans="1:37" x14ac:dyDescent="0.2">
      <c r="A2672" t="str">
        <f>"20200111153701088"</f>
        <v>20200111153701088</v>
      </c>
      <c r="B2672" t="str">
        <f>"1578728221085557"</f>
        <v>1578728221085557</v>
      </c>
      <c r="C2672" t="s">
        <v>37</v>
      </c>
      <c r="D2672">
        <v>5.7568339999999996</v>
      </c>
      <c r="E2672">
        <v>0.45793879999999998</v>
      </c>
      <c r="F2672" t="s">
        <v>38</v>
      </c>
      <c r="G2672">
        <v>-491.30829999999997</v>
      </c>
      <c r="H2672">
        <v>1.023909</v>
      </c>
      <c r="I2672">
        <v>237.68680000000001</v>
      </c>
      <c r="J2672">
        <v>-491.80369999999999</v>
      </c>
      <c r="K2672">
        <v>1.107842</v>
      </c>
      <c r="L2672">
        <v>238.2894</v>
      </c>
      <c r="M2672">
        <v>0.120199499999999</v>
      </c>
      <c r="N2672">
        <v>0</v>
      </c>
      <c r="O2672">
        <v>-0.99265579999999998</v>
      </c>
      <c r="P2672">
        <v>0.46961769999999903</v>
      </c>
      <c r="Q2672">
        <v>4.6532339999999998E-2</v>
      </c>
      <c r="R2672">
        <v>-0.88164310000000001</v>
      </c>
      <c r="S2672">
        <v>1.680145</v>
      </c>
      <c r="T2672">
        <v>-0.26946409999999998</v>
      </c>
      <c r="U2672">
        <v>-2.5236209999999999</v>
      </c>
      <c r="V2672">
        <v>-0.3606261</v>
      </c>
      <c r="W2672">
        <v>5.679965E-2</v>
      </c>
      <c r="X2672">
        <v>0.93097940000000001</v>
      </c>
      <c r="Y2672">
        <v>-0.44783809999999902</v>
      </c>
      <c r="Z2672">
        <v>9.0414729999999999E-2</v>
      </c>
      <c r="AA2672">
        <v>0.88953150000000003</v>
      </c>
      <c r="AB2672">
        <v>19</v>
      </c>
      <c r="AC2672">
        <v>0.49540000000001699</v>
      </c>
      <c r="AD2672">
        <v>-8.3932999999999994E-2</v>
      </c>
      <c r="AE2672">
        <v>-0.60259999999999503</v>
      </c>
      <c r="AF2672">
        <v>-0.41456939156123701</v>
      </c>
      <c r="AG2672">
        <v>-8.3932999999999994E-2</v>
      </c>
      <c r="AH2672">
        <v>0.65025500927588498</v>
      </c>
      <c r="AI2672">
        <v>96.211557559228098</v>
      </c>
      <c r="AJ2672">
        <v>122.519504323454</v>
      </c>
      <c r="AK2672">
        <v>0.77572166786601704</v>
      </c>
    </row>
    <row r="2673" spans="1:37" x14ac:dyDescent="0.2">
      <c r="A2673" t="str">
        <f>"20200111153701109"</f>
        <v>20200111153701109</v>
      </c>
      <c r="B2673" t="str">
        <f>"1578728221095318"</f>
        <v>1578728221095318</v>
      </c>
      <c r="C2673" t="s">
        <v>37</v>
      </c>
      <c r="D2673">
        <v>5.7743779999999996</v>
      </c>
      <c r="E2673">
        <v>0.45793980000000001</v>
      </c>
      <c r="F2673" t="s">
        <v>38</v>
      </c>
      <c r="G2673">
        <v>-491.27440000000001</v>
      </c>
      <c r="H2673">
        <v>1.022967</v>
      </c>
      <c r="I2673">
        <v>237.50280000000001</v>
      </c>
      <c r="J2673">
        <v>-491.7765</v>
      </c>
      <c r="K2673">
        <v>1.1078269999999999</v>
      </c>
      <c r="L2673">
        <v>238.1172</v>
      </c>
      <c r="M2673">
        <v>0.12540999999999999</v>
      </c>
      <c r="N2673">
        <v>0</v>
      </c>
      <c r="O2673">
        <v>-0.99201079999999997</v>
      </c>
      <c r="P2673">
        <v>0.473504599999999</v>
      </c>
      <c r="Q2673">
        <v>4.5362689999999997E-2</v>
      </c>
      <c r="R2673">
        <v>-0.87962249999999997</v>
      </c>
      <c r="S2673">
        <v>1.6926570000000001</v>
      </c>
      <c r="T2673">
        <v>-0.27141539999999997</v>
      </c>
      <c r="U2673">
        <v>-2.5153810000000001</v>
      </c>
      <c r="V2673">
        <v>-0.35982940000000002</v>
      </c>
      <c r="W2673">
        <v>5.5648009999999998E-2</v>
      </c>
      <c r="X2673">
        <v>0.93135709999999905</v>
      </c>
      <c r="Y2673">
        <v>-0.44750909999999899</v>
      </c>
      <c r="Z2673">
        <v>9.1111789999999998E-2</v>
      </c>
      <c r="AA2673">
        <v>0.88962600000000003</v>
      </c>
      <c r="AB2673">
        <v>19</v>
      </c>
      <c r="AC2673">
        <v>0.502099999999984</v>
      </c>
      <c r="AD2673">
        <v>-8.4860000000000102E-2</v>
      </c>
      <c r="AE2673">
        <v>-0.61439999999998895</v>
      </c>
      <c r="AF2673">
        <v>-0.41631430182502999</v>
      </c>
      <c r="AG2673">
        <v>-8.4860000000000102E-2</v>
      </c>
      <c r="AH2673">
        <v>0.664917377209572</v>
      </c>
      <c r="AI2673">
        <v>96.173763585170704</v>
      </c>
      <c r="AJ2673">
        <v>122.05127246659301</v>
      </c>
      <c r="AK2673">
        <v>0.78907156584134897</v>
      </c>
    </row>
    <row r="2674" spans="1:37" x14ac:dyDescent="0.2">
      <c r="A2674" t="str">
        <f>"20200111153701133"</f>
        <v>20200111153701133</v>
      </c>
      <c r="B2674" t="str">
        <f>"1578728221125573"</f>
        <v>1578728221125573</v>
      </c>
      <c r="C2674" t="s">
        <v>37</v>
      </c>
      <c r="D2674">
        <v>5.793622</v>
      </c>
      <c r="E2674">
        <v>0.45801949999999902</v>
      </c>
      <c r="F2674" t="s">
        <v>38</v>
      </c>
      <c r="G2674">
        <v>-491.23820000000001</v>
      </c>
      <c r="H2674">
        <v>1.0214540000000001</v>
      </c>
      <c r="I2674">
        <v>237.32409999999999</v>
      </c>
      <c r="J2674">
        <v>-491.74529999999999</v>
      </c>
      <c r="K2674">
        <v>1.1078030000000001</v>
      </c>
      <c r="L2674">
        <v>237.9263</v>
      </c>
      <c r="M2674">
        <v>0.1311948</v>
      </c>
      <c r="N2674">
        <v>0</v>
      </c>
      <c r="O2674">
        <v>-0.99126259999999999</v>
      </c>
      <c r="P2674">
        <v>0.47825329999999899</v>
      </c>
      <c r="Q2674">
        <v>4.3817830000000002E-2</v>
      </c>
      <c r="R2674">
        <v>-0.87712819999999903</v>
      </c>
      <c r="S2674">
        <v>1.7036439999999999</v>
      </c>
      <c r="T2674">
        <v>-0.27305639999999998</v>
      </c>
      <c r="U2674">
        <v>-2.5075379999999998</v>
      </c>
      <c r="V2674">
        <v>-0.35940879999999997</v>
      </c>
      <c r="W2674">
        <v>5.4121080000000002E-2</v>
      </c>
      <c r="X2674">
        <v>0.93160949999999998</v>
      </c>
      <c r="Y2674">
        <v>-0.44622650000000003</v>
      </c>
      <c r="Z2674">
        <v>9.1715790000000005E-2</v>
      </c>
      <c r="AA2674">
        <v>0.89020789999999905</v>
      </c>
      <c r="AB2674">
        <v>19</v>
      </c>
      <c r="AC2674">
        <v>0.50709999999997901</v>
      </c>
      <c r="AD2674">
        <v>-8.6348999999999995E-2</v>
      </c>
      <c r="AE2674">
        <v>-0.60220000000000995</v>
      </c>
      <c r="AF2674">
        <v>-0.418666674296238</v>
      </c>
      <c r="AG2674">
        <v>-8.6348999999999995E-2</v>
      </c>
      <c r="AH2674">
        <v>0.65564167566527798</v>
      </c>
      <c r="AI2674">
        <v>96.333955293117995</v>
      </c>
      <c r="AJ2674">
        <v>122.560681169649</v>
      </c>
      <c r="AK2674">
        <v>0.78269019467248102</v>
      </c>
    </row>
    <row r="2675" spans="1:37" x14ac:dyDescent="0.2">
      <c r="A2675" t="str">
        <f>"20200111153701154"</f>
        <v>20200111153701154</v>
      </c>
      <c r="B2675" t="str">
        <f>"1578728221145092"</f>
        <v>1578728221145092</v>
      </c>
      <c r="C2675" t="s">
        <v>37</v>
      </c>
      <c r="D2675">
        <v>5.8034480000000004</v>
      </c>
      <c r="E2675">
        <v>0.45802039999999999</v>
      </c>
      <c r="F2675" t="s">
        <v>38</v>
      </c>
      <c r="G2675">
        <v>-491.19240000000002</v>
      </c>
      <c r="H2675">
        <v>1.019409</v>
      </c>
      <c r="I2675">
        <v>237.1216</v>
      </c>
      <c r="J2675">
        <v>-491.7149</v>
      </c>
      <c r="K2675">
        <v>1.107783</v>
      </c>
      <c r="L2675">
        <v>237.74619999999999</v>
      </c>
      <c r="M2675">
        <v>0.13665189999999999</v>
      </c>
      <c r="N2675">
        <v>0</v>
      </c>
      <c r="O2675">
        <v>-0.99052469999999904</v>
      </c>
      <c r="P2675">
        <v>0.48287829999999898</v>
      </c>
      <c r="Q2675">
        <v>4.327922E-2</v>
      </c>
      <c r="R2675">
        <v>-0.87461730000000004</v>
      </c>
      <c r="S2675">
        <v>1.7161869999999999</v>
      </c>
      <c r="T2675">
        <v>-0.2744433</v>
      </c>
      <c r="U2675">
        <v>-2.4982449999999998</v>
      </c>
      <c r="V2675">
        <v>-0.35918749999999999</v>
      </c>
      <c r="W2675">
        <v>5.3598760000000002E-2</v>
      </c>
      <c r="X2675">
        <v>0.93172500000000003</v>
      </c>
      <c r="Y2675">
        <v>-0.44585730000000001</v>
      </c>
      <c r="Z2675">
        <v>9.2243320000000004E-2</v>
      </c>
      <c r="AA2675">
        <v>0.89033839999999997</v>
      </c>
      <c r="AB2675">
        <v>19</v>
      </c>
      <c r="AC2675">
        <v>0.52249999999997898</v>
      </c>
      <c r="AD2675">
        <v>-8.8373999999999897E-2</v>
      </c>
      <c r="AE2675">
        <v>-0.62459999999998606</v>
      </c>
      <c r="AF2675">
        <v>-0.42720544228495799</v>
      </c>
      <c r="AG2675">
        <v>-8.8373999999999897E-2</v>
      </c>
      <c r="AH2675">
        <v>0.68211338151913703</v>
      </c>
      <c r="AI2675">
        <v>96.266081248299002</v>
      </c>
      <c r="AJ2675">
        <v>122.058782979488</v>
      </c>
      <c r="AK2675">
        <v>0.80968705006400998</v>
      </c>
    </row>
    <row r="2676" spans="1:37" x14ac:dyDescent="0.2">
      <c r="A2676" t="str">
        <f>"20200111153701177"</f>
        <v>20200111153701177</v>
      </c>
      <c r="B2676" t="str">
        <f>"1578728221165252"</f>
        <v>1578728221165252</v>
      </c>
      <c r="C2676" t="s">
        <v>37</v>
      </c>
      <c r="D2676">
        <v>5.7691610000000004</v>
      </c>
      <c r="E2676">
        <v>0.45807749999999903</v>
      </c>
      <c r="F2676" t="s">
        <v>44</v>
      </c>
      <c r="G2676">
        <v>-484.71519999999998</v>
      </c>
      <c r="H2676" s="1">
        <v>4.6366739999999997E-6</v>
      </c>
      <c r="I2676">
        <v>227.6755</v>
      </c>
      <c r="J2676">
        <v>-491.68369999999999</v>
      </c>
      <c r="K2676">
        <v>1.1077649999999899</v>
      </c>
      <c r="L2676">
        <v>237.5676</v>
      </c>
      <c r="M2676">
        <v>0.1420536</v>
      </c>
      <c r="N2676">
        <v>0</v>
      </c>
      <c r="O2676">
        <v>-0.9897648</v>
      </c>
      <c r="P2676">
        <v>0.48710769999999998</v>
      </c>
      <c r="Q2676">
        <v>4.3656220000000003E-2</v>
      </c>
      <c r="R2676">
        <v>-0.87225010000000003</v>
      </c>
      <c r="S2676">
        <v>1.7297359999999999</v>
      </c>
      <c r="T2676">
        <v>-0.27374729999999903</v>
      </c>
      <c r="U2676">
        <v>-2.4886020000000002</v>
      </c>
      <c r="V2676">
        <v>-0.35861859999999901</v>
      </c>
      <c r="W2676">
        <v>5.3996349999999999E-2</v>
      </c>
      <c r="X2676">
        <v>0.93192120000000001</v>
      </c>
      <c r="Y2676">
        <v>-0.44587460000000001</v>
      </c>
      <c r="Z2676">
        <v>9.206483E-2</v>
      </c>
      <c r="AA2676">
        <v>0.89034820000000003</v>
      </c>
      <c r="AB2676">
        <v>19</v>
      </c>
      <c r="AC2676">
        <v>6.9684999999999997</v>
      </c>
      <c r="AD2676">
        <v>-1.10776036332599</v>
      </c>
      <c r="AE2676">
        <v>-9.8920999999999992</v>
      </c>
      <c r="AF2676">
        <v>-5.4468281893506196</v>
      </c>
      <c r="AG2676">
        <v>-1.10776036332599</v>
      </c>
      <c r="AH2676">
        <v>10.692144073264901</v>
      </c>
      <c r="AI2676">
        <v>95.274402407998494</v>
      </c>
      <c r="AJ2676">
        <v>116.99535707266</v>
      </c>
      <c r="AK2676">
        <v>12.050602276663</v>
      </c>
    </row>
    <row r="2677" spans="1:37" x14ac:dyDescent="0.2">
      <c r="A2677" t="str">
        <f>"20200111153701199"</f>
        <v>20200111153701199</v>
      </c>
      <c r="B2677" t="str">
        <f>"1578728221195505"</f>
        <v>1578728221195505</v>
      </c>
      <c r="C2677" t="s">
        <v>37</v>
      </c>
      <c r="D2677">
        <v>5.854298</v>
      </c>
      <c r="E2677">
        <v>0.4582369</v>
      </c>
      <c r="F2677" t="s">
        <v>44</v>
      </c>
      <c r="G2677">
        <v>-484.58449999999999</v>
      </c>
      <c r="H2677" s="1">
        <v>4.5333549999999999E-6</v>
      </c>
      <c r="I2677">
        <v>227.45419999999999</v>
      </c>
      <c r="J2677">
        <v>-491.65199999999999</v>
      </c>
      <c r="K2677">
        <v>1.107745</v>
      </c>
      <c r="L2677">
        <v>237.39160000000001</v>
      </c>
      <c r="M2677">
        <v>0.14736199999999999</v>
      </c>
      <c r="N2677">
        <v>0</v>
      </c>
      <c r="O2677">
        <v>-0.98898819999999998</v>
      </c>
      <c r="P2677">
        <v>0.49176179999999903</v>
      </c>
      <c r="Q2677">
        <v>4.4161150000000003E-2</v>
      </c>
      <c r="R2677">
        <v>-0.86960899999999997</v>
      </c>
      <c r="S2677">
        <v>1.741241</v>
      </c>
      <c r="T2677">
        <v>-0.2717039</v>
      </c>
      <c r="U2677">
        <v>-2.4805450000000002</v>
      </c>
      <c r="V2677">
        <v>-0.35860310000000001</v>
      </c>
      <c r="W2677">
        <v>5.4517709999999997E-2</v>
      </c>
      <c r="X2677">
        <v>0.93189679999999997</v>
      </c>
      <c r="Y2677">
        <v>-0.44523789999999902</v>
      </c>
      <c r="Z2677">
        <v>9.1421290000000002E-2</v>
      </c>
      <c r="AA2677">
        <v>0.89073310000000006</v>
      </c>
      <c r="AB2677">
        <v>18</v>
      </c>
      <c r="AC2677">
        <v>7.0674999999999901</v>
      </c>
      <c r="AD2677">
        <v>-1.1077404666449999</v>
      </c>
      <c r="AE2677">
        <v>-9.9374000000000198</v>
      </c>
      <c r="AF2677">
        <v>-5.4805692278436604</v>
      </c>
      <c r="AG2677">
        <v>-1.1077404666449999</v>
      </c>
      <c r="AH2677">
        <v>10.7814982800385</v>
      </c>
      <c r="AI2677">
        <v>95.233137083154702</v>
      </c>
      <c r="AJ2677">
        <v>116.94563976495201</v>
      </c>
      <c r="AK2677">
        <v>12.1451403106388</v>
      </c>
    </row>
    <row r="2678" spans="1:37" x14ac:dyDescent="0.2">
      <c r="A2678" t="str">
        <f>"20200111153701221"</f>
        <v>20200111153701221</v>
      </c>
      <c r="B2678" t="str">
        <f>"1578728221215025"</f>
        <v>1578728221215025</v>
      </c>
      <c r="C2678" t="s">
        <v>37</v>
      </c>
      <c r="D2678">
        <v>5.6475269999999904</v>
      </c>
      <c r="E2678">
        <v>0.45828029999999997</v>
      </c>
      <c r="F2678" t="s">
        <v>44</v>
      </c>
      <c r="G2678">
        <v>-484.40480000000002</v>
      </c>
      <c r="H2678" s="1">
        <v>4.4192970000000003E-6</v>
      </c>
      <c r="I2678">
        <v>227.17920000000001</v>
      </c>
      <c r="J2678">
        <v>-491.61939999999998</v>
      </c>
      <c r="K2678">
        <v>1.107718</v>
      </c>
      <c r="L2678">
        <v>237.2165</v>
      </c>
      <c r="M2678">
        <v>0.15261839999999999</v>
      </c>
      <c r="N2678">
        <v>0</v>
      </c>
      <c r="O2678">
        <v>-0.98819069999999998</v>
      </c>
      <c r="P2678">
        <v>0.49658829999999998</v>
      </c>
      <c r="Q2678">
        <v>4.4144870000000003E-2</v>
      </c>
      <c r="R2678">
        <v>-0.866863099999999</v>
      </c>
      <c r="S2678">
        <v>1.7539369999999901</v>
      </c>
      <c r="T2678">
        <v>-0.26809189999999999</v>
      </c>
      <c r="U2678">
        <v>-2.4715729999999998</v>
      </c>
      <c r="V2678">
        <v>-0.3588248</v>
      </c>
      <c r="W2678">
        <v>5.4517719999999999E-2</v>
      </c>
      <c r="X2678">
        <v>0.93181150000000001</v>
      </c>
      <c r="Y2678">
        <v>-0.44511299999999998</v>
      </c>
      <c r="Z2678">
        <v>9.0253520000000004E-2</v>
      </c>
      <c r="AA2678">
        <v>0.8909146</v>
      </c>
      <c r="AB2678">
        <v>18</v>
      </c>
      <c r="AC2678">
        <v>7.2145999999999599</v>
      </c>
      <c r="AD2678">
        <v>-1.1077135807030001</v>
      </c>
      <c r="AE2678">
        <v>-10.037299999999901</v>
      </c>
      <c r="AF2678">
        <v>-5.5534502563880697</v>
      </c>
      <c r="AG2678">
        <v>-1.1077135807030001</v>
      </c>
      <c r="AH2678">
        <v>10.9330793113647</v>
      </c>
      <c r="AI2678">
        <v>95.1616436945624</v>
      </c>
      <c r="AJ2678">
        <v>116.92826160317399</v>
      </c>
      <c r="AK2678">
        <v>12.3125977094861</v>
      </c>
    </row>
    <row r="2679" spans="1:37" x14ac:dyDescent="0.2">
      <c r="A2679" t="str">
        <f>"20200111153701244"</f>
        <v>20200111153701244</v>
      </c>
      <c r="B2679" t="str">
        <f>"1578728221235521"</f>
        <v>1578728221235521</v>
      </c>
      <c r="C2679" t="s">
        <v>37</v>
      </c>
      <c r="D2679">
        <v>6.0394300000000003</v>
      </c>
      <c r="E2679">
        <v>0.4583699</v>
      </c>
      <c r="F2679" t="s">
        <v>38</v>
      </c>
      <c r="G2679">
        <v>-491.05090000000001</v>
      </c>
      <c r="H2679">
        <v>1.022057</v>
      </c>
      <c r="I2679">
        <v>236.4248</v>
      </c>
      <c r="J2679">
        <v>-491.58409999999998</v>
      </c>
      <c r="K2679">
        <v>1.107683</v>
      </c>
      <c r="L2679">
        <v>237.03190000000001</v>
      </c>
      <c r="M2679">
        <v>0.15812979999999999</v>
      </c>
      <c r="N2679">
        <v>0</v>
      </c>
      <c r="O2679">
        <v>-0.98732419999999999</v>
      </c>
      <c r="P2679">
        <v>0.50143019999999905</v>
      </c>
      <c r="Q2679">
        <v>4.396593E-2</v>
      </c>
      <c r="R2679">
        <v>-0.86408059999999998</v>
      </c>
      <c r="S2679">
        <v>1.7678529999999999</v>
      </c>
      <c r="T2679">
        <v>-0.26631359999999998</v>
      </c>
      <c r="U2679">
        <v>-2.4615779999999998</v>
      </c>
      <c r="V2679">
        <v>-0.35883189999999998</v>
      </c>
      <c r="W2679">
        <v>5.4362029999999999E-2</v>
      </c>
      <c r="X2679">
        <v>0.93181780000000003</v>
      </c>
      <c r="Y2679">
        <v>-0.44518789999999903</v>
      </c>
      <c r="Z2679">
        <v>8.969937E-2</v>
      </c>
      <c r="AA2679">
        <v>0.89093299999999997</v>
      </c>
      <c r="AB2679">
        <v>18</v>
      </c>
      <c r="AC2679">
        <v>0.53319999999996504</v>
      </c>
      <c r="AD2679">
        <v>-8.5625999999999897E-2</v>
      </c>
      <c r="AE2679">
        <v>-0.60710000000000197</v>
      </c>
      <c r="AF2679">
        <v>-0.42570002959270797</v>
      </c>
      <c r="AG2679">
        <v>-8.5625999999999897E-2</v>
      </c>
      <c r="AH2679">
        <v>0.67618922956475003</v>
      </c>
      <c r="AI2679">
        <v>96.116596137035501</v>
      </c>
      <c r="AJ2679">
        <v>122.192776095504</v>
      </c>
      <c r="AK2679">
        <v>0.80360699427680704</v>
      </c>
    </row>
    <row r="2680" spans="1:37" x14ac:dyDescent="0.2">
      <c r="A2680" t="str">
        <f>"20200111153701266"</f>
        <v>20200111153701266</v>
      </c>
      <c r="B2680" t="str">
        <f>"1578728221256017"</f>
        <v>1578728221256017</v>
      </c>
      <c r="C2680" t="s">
        <v>37</v>
      </c>
      <c r="D2680">
        <v>5.8487580000000001</v>
      </c>
      <c r="E2680">
        <v>0.45847479999999902</v>
      </c>
      <c r="F2680" t="s">
        <v>38</v>
      </c>
      <c r="G2680">
        <v>-491.02569999999997</v>
      </c>
      <c r="H2680">
        <v>1.02432099999999</v>
      </c>
      <c r="I2680">
        <v>236.26349999999999</v>
      </c>
      <c r="J2680">
        <v>-491.54930000000002</v>
      </c>
      <c r="K2680">
        <v>1.1076549999999901</v>
      </c>
      <c r="L2680">
        <v>236.85509999999999</v>
      </c>
      <c r="M2680">
        <v>0.16338539999999999</v>
      </c>
      <c r="N2680">
        <v>0</v>
      </c>
      <c r="O2680">
        <v>-0.98646789999999995</v>
      </c>
      <c r="P2680">
        <v>0.50533249999999996</v>
      </c>
      <c r="Q2680">
        <v>4.4489620000000001E-2</v>
      </c>
      <c r="R2680">
        <v>-0.86177709999999996</v>
      </c>
      <c r="S2680">
        <v>1.7812189999999899</v>
      </c>
      <c r="T2680">
        <v>-0.26596579999999997</v>
      </c>
      <c r="U2680">
        <v>-2.4517820000000001</v>
      </c>
      <c r="V2680">
        <v>-0.35808640000000003</v>
      </c>
      <c r="W2680">
        <v>5.4915749999999999E-2</v>
      </c>
      <c r="X2680">
        <v>0.93207209999999996</v>
      </c>
      <c r="Y2680">
        <v>-0.44530059999999899</v>
      </c>
      <c r="Z2680">
        <v>8.9621049999999994E-2</v>
      </c>
      <c r="AA2680">
        <v>0.89088459999999903</v>
      </c>
      <c r="AB2680">
        <v>18</v>
      </c>
      <c r="AC2680">
        <v>0.52360000000004403</v>
      </c>
      <c r="AD2680">
        <v>-8.3334000000000005E-2</v>
      </c>
      <c r="AE2680">
        <v>-0.59159999999999902</v>
      </c>
      <c r="AF2680">
        <v>-0.41527436770217202</v>
      </c>
      <c r="AG2680">
        <v>-8.3334000000000005E-2</v>
      </c>
      <c r="AH2680">
        <v>0.66184138718027496</v>
      </c>
      <c r="AI2680">
        <v>96.087907030983004</v>
      </c>
      <c r="AJ2680">
        <v>122.10633921808</v>
      </c>
      <c r="AK2680">
        <v>0.78576801780878602</v>
      </c>
    </row>
    <row r="2681" spans="1:37" x14ac:dyDescent="0.2">
      <c r="A2681" t="str">
        <f>"20200111153701298"</f>
        <v>20200111153701298</v>
      </c>
      <c r="B2681" t="str">
        <f>"1578728221285178"</f>
        <v>1578728221285178</v>
      </c>
      <c r="C2681" t="s">
        <v>37</v>
      </c>
      <c r="D2681">
        <v>5.8446249999999997</v>
      </c>
      <c r="E2681">
        <v>0.45870850000000002</v>
      </c>
      <c r="F2681" t="s">
        <v>38</v>
      </c>
      <c r="G2681">
        <v>-490.98540000000003</v>
      </c>
      <c r="H2681">
        <v>1.0247979999999901</v>
      </c>
      <c r="I2681">
        <v>236.08599999999899</v>
      </c>
      <c r="J2681">
        <v>-491.49740000000003</v>
      </c>
      <c r="K2681">
        <v>1.107626</v>
      </c>
      <c r="L2681">
        <v>236.59989999999999</v>
      </c>
      <c r="M2681">
        <v>0.17093239999999901</v>
      </c>
      <c r="N2681">
        <v>0</v>
      </c>
      <c r="O2681">
        <v>-0.98518850000000002</v>
      </c>
      <c r="P2681">
        <v>0.51017299999999999</v>
      </c>
      <c r="Q2681">
        <v>4.5119329999999999E-2</v>
      </c>
      <c r="R2681">
        <v>-0.85888799999999899</v>
      </c>
      <c r="S2681">
        <v>1.792206</v>
      </c>
      <c r="T2681">
        <v>-0.26327790000000001</v>
      </c>
      <c r="U2681">
        <v>-2.443848</v>
      </c>
      <c r="V2681">
        <v>-0.35619770000000001</v>
      </c>
      <c r="W2681">
        <v>5.5593730000000001E-2</v>
      </c>
      <c r="X2681">
        <v>0.93275540000000001</v>
      </c>
      <c r="Y2681">
        <v>-0.44248149999999897</v>
      </c>
      <c r="Z2681">
        <v>8.8738819999999996E-2</v>
      </c>
      <c r="AA2681">
        <v>0.89237630000000001</v>
      </c>
      <c r="AB2681">
        <v>18</v>
      </c>
      <c r="AC2681">
        <v>0.51200000000000001</v>
      </c>
      <c r="AD2681">
        <v>-8.2828000000000096E-2</v>
      </c>
      <c r="AE2681">
        <v>-0.51390000000000602</v>
      </c>
      <c r="AF2681">
        <v>-0.41125161585932601</v>
      </c>
      <c r="AG2681">
        <v>-8.2828000000000096E-2</v>
      </c>
      <c r="AH2681">
        <v>0.58621846715566095</v>
      </c>
      <c r="AI2681">
        <v>96.597943710101006</v>
      </c>
      <c r="AJ2681">
        <v>125.05092807898799</v>
      </c>
      <c r="AK2681">
        <v>0.72086091610326597</v>
      </c>
    </row>
    <row r="2682" spans="1:37" x14ac:dyDescent="0.2">
      <c r="A2682" t="str">
        <f>"20200111153701323"</f>
        <v>20200111153701323</v>
      </c>
      <c r="B2682" t="str">
        <f>"1578728221315436"</f>
        <v>1578728221315436</v>
      </c>
      <c r="C2682" t="s">
        <v>37</v>
      </c>
      <c r="D2682">
        <v>5.8864369999999999</v>
      </c>
      <c r="E2682">
        <v>0.458818</v>
      </c>
      <c r="F2682" t="s">
        <v>44</v>
      </c>
      <c r="G2682">
        <v>-483.81540000000001</v>
      </c>
      <c r="H2682" s="1">
        <v>4.0804829999999902E-6</v>
      </c>
      <c r="I2682">
        <v>226.2379</v>
      </c>
      <c r="J2682">
        <v>-491.45760000000001</v>
      </c>
      <c r="K2682">
        <v>1.1076029999999999</v>
      </c>
      <c r="L2682">
        <v>236.41040000000001</v>
      </c>
      <c r="M2682">
        <v>0.17650350000000001</v>
      </c>
      <c r="N2682">
        <v>0</v>
      </c>
      <c r="O2682">
        <v>-0.98420549999999996</v>
      </c>
      <c r="P2682">
        <v>0.51415440000000001</v>
      </c>
      <c r="Q2682">
        <v>4.5149729999999999E-2</v>
      </c>
      <c r="R2682">
        <v>-0.85650849999999901</v>
      </c>
      <c r="S2682">
        <v>1.8048709999999999</v>
      </c>
      <c r="T2682">
        <v>-0.2602315</v>
      </c>
      <c r="U2682">
        <v>-2.4345089999999998</v>
      </c>
      <c r="V2682">
        <v>-0.35524679999999997</v>
      </c>
      <c r="W2682">
        <v>5.5650860000000003E-2</v>
      </c>
      <c r="X2682">
        <v>0.93311449999999996</v>
      </c>
      <c r="Y2682">
        <v>-0.44209910000000002</v>
      </c>
      <c r="Z2682">
        <v>8.7743559999999998E-2</v>
      </c>
      <c r="AA2682">
        <v>0.89266429999999997</v>
      </c>
      <c r="AB2682">
        <v>18</v>
      </c>
      <c r="AC2682">
        <v>7.6421999999999999</v>
      </c>
      <c r="AD2682">
        <v>-1.107598919517</v>
      </c>
      <c r="AE2682">
        <v>-10.172499999999999</v>
      </c>
      <c r="AF2682">
        <v>-5.6834758514390904</v>
      </c>
      <c r="AG2682">
        <v>-1.107598919517</v>
      </c>
      <c r="AH2682">
        <v>11.276308773127299</v>
      </c>
      <c r="AI2682">
        <v>95.012717899935694</v>
      </c>
      <c r="AJ2682">
        <v>116.74898028527301</v>
      </c>
      <c r="AK2682">
        <v>12.6761118907697</v>
      </c>
    </row>
    <row r="2683" spans="1:37" x14ac:dyDescent="0.2">
      <c r="A2683" t="str">
        <f>"20200111153701345"</f>
        <v>20200111153701345</v>
      </c>
      <c r="B2683" t="str">
        <f>"1578728221335930"</f>
        <v>1578728221335930</v>
      </c>
      <c r="C2683" t="s">
        <v>37</v>
      </c>
      <c r="D2683">
        <v>5.8712949999999999</v>
      </c>
      <c r="E2683">
        <v>0.45886169999999998</v>
      </c>
      <c r="F2683" t="s">
        <v>38</v>
      </c>
      <c r="G2683">
        <v>-490.88139999999999</v>
      </c>
      <c r="H2683">
        <v>1.025593</v>
      </c>
      <c r="I2683">
        <v>235.64060000000001</v>
      </c>
      <c r="J2683">
        <v>-491.41910000000001</v>
      </c>
      <c r="K2683">
        <v>1.1075809999999999</v>
      </c>
      <c r="L2683">
        <v>236.23240000000001</v>
      </c>
      <c r="M2683">
        <v>0.1817164</v>
      </c>
      <c r="N2683">
        <v>0</v>
      </c>
      <c r="O2683">
        <v>-0.98325649999999998</v>
      </c>
      <c r="P2683">
        <v>0.51870450000000001</v>
      </c>
      <c r="Q2683">
        <v>4.4578020000000003E-2</v>
      </c>
      <c r="R2683">
        <v>-0.85379090000000002</v>
      </c>
      <c r="S2683">
        <v>1.815491</v>
      </c>
      <c r="T2683">
        <v>-0.2585016</v>
      </c>
      <c r="U2683">
        <v>-2.4263759999999999</v>
      </c>
      <c r="V2683">
        <v>-0.3552555</v>
      </c>
      <c r="W2683">
        <v>5.5090960000000001E-2</v>
      </c>
      <c r="X2683">
        <v>0.93314439999999998</v>
      </c>
      <c r="Y2683">
        <v>-0.44131979999999998</v>
      </c>
      <c r="Z2683">
        <v>8.7185490000000004E-2</v>
      </c>
      <c r="AA2683">
        <v>0.89310440000000002</v>
      </c>
      <c r="AB2683">
        <v>18</v>
      </c>
      <c r="AC2683">
        <v>0.53770000000002904</v>
      </c>
      <c r="AD2683">
        <v>-8.1987999999999894E-2</v>
      </c>
      <c r="AE2683">
        <v>-0.59180000000000599</v>
      </c>
      <c r="AF2683">
        <v>-0.416814054658949</v>
      </c>
      <c r="AG2683">
        <v>-8.1987999999999894E-2</v>
      </c>
      <c r="AH2683">
        <v>0.67259170358935405</v>
      </c>
      <c r="AI2683">
        <v>95.915607378521997</v>
      </c>
      <c r="AJ2683">
        <v>121.787047602934</v>
      </c>
      <c r="AK2683">
        <v>0.79550964044596095</v>
      </c>
    </row>
    <row r="2684" spans="1:37" x14ac:dyDescent="0.2">
      <c r="A2684" t="str">
        <f>"20200111153701368"</f>
        <v>20200111153701368</v>
      </c>
      <c r="B2684" t="str">
        <f>"1578728221365211"</f>
        <v>1578728221365211</v>
      </c>
      <c r="C2684" t="s">
        <v>37</v>
      </c>
      <c r="D2684">
        <v>6.0529330000000003</v>
      </c>
      <c r="E2684">
        <v>0.45903469999999902</v>
      </c>
      <c r="F2684" t="s">
        <v>38</v>
      </c>
      <c r="G2684">
        <v>-490.83890000000002</v>
      </c>
      <c r="H2684">
        <v>1.0253369999999999</v>
      </c>
      <c r="I2684">
        <v>235.4649</v>
      </c>
      <c r="J2684">
        <v>-491.37990000000002</v>
      </c>
      <c r="K2684">
        <v>1.107567</v>
      </c>
      <c r="L2684">
        <v>236.05510000000001</v>
      </c>
      <c r="M2684">
        <v>0.18689919999999999</v>
      </c>
      <c r="N2684">
        <v>0</v>
      </c>
      <c r="O2684">
        <v>-0.98228470000000001</v>
      </c>
      <c r="P2684">
        <v>0.52317630000000004</v>
      </c>
      <c r="Q2684">
        <v>4.4337260000000003E-2</v>
      </c>
      <c r="R2684">
        <v>-0.85107080000000002</v>
      </c>
      <c r="S2684">
        <v>1.8279719999999999</v>
      </c>
      <c r="T2684">
        <v>-0.25895889999999999</v>
      </c>
      <c r="U2684">
        <v>-2.416763</v>
      </c>
      <c r="V2684">
        <v>-0.35522359999999997</v>
      </c>
      <c r="W2684">
        <v>5.486005E-2</v>
      </c>
      <c r="X2684">
        <v>0.933170099999999</v>
      </c>
      <c r="Y2684">
        <v>-0.4412258</v>
      </c>
      <c r="Z2684">
        <v>8.7363360000000001E-2</v>
      </c>
      <c r="AA2684">
        <v>0.89313349999999903</v>
      </c>
      <c r="AB2684">
        <v>18</v>
      </c>
      <c r="AC2684">
        <v>0.54099999999999604</v>
      </c>
      <c r="AD2684">
        <v>-8.2229999999999803E-2</v>
      </c>
      <c r="AE2684">
        <v>-0.59020000000000905</v>
      </c>
      <c r="AF2684">
        <v>-0.41675106739519202</v>
      </c>
      <c r="AG2684">
        <v>-8.2229999999999803E-2</v>
      </c>
      <c r="AH2684">
        <v>0.67381232660599399</v>
      </c>
      <c r="AI2684">
        <v>95.925473948083905</v>
      </c>
      <c r="AJ2684">
        <v>121.73667684266201</v>
      </c>
      <c r="AK2684">
        <v>0.796533914256772</v>
      </c>
    </row>
    <row r="2685" spans="1:37" x14ac:dyDescent="0.2">
      <c r="A2685" t="str">
        <f>"20200111153701391"</f>
        <v>20200111153701391</v>
      </c>
      <c r="B2685" t="str">
        <f>"1578728221385707"</f>
        <v>1578728221385707</v>
      </c>
      <c r="C2685" t="s">
        <v>37</v>
      </c>
      <c r="D2685">
        <v>5.8184440000000004</v>
      </c>
      <c r="E2685">
        <v>0.45915119999999998</v>
      </c>
      <c r="F2685" t="s">
        <v>38</v>
      </c>
      <c r="G2685">
        <v>-490.7878</v>
      </c>
      <c r="H2685">
        <v>1.024081</v>
      </c>
      <c r="I2685">
        <v>235.2801</v>
      </c>
      <c r="J2685">
        <v>-491.33949999999999</v>
      </c>
      <c r="K2685">
        <v>1.1075549999999901</v>
      </c>
      <c r="L2685">
        <v>235.8767</v>
      </c>
      <c r="M2685">
        <v>0.1921021</v>
      </c>
      <c r="N2685">
        <v>0</v>
      </c>
      <c r="O2685">
        <v>-0.98128029999999999</v>
      </c>
      <c r="P2685">
        <v>0.52795019999999904</v>
      </c>
      <c r="Q2685">
        <v>4.4680730000000002E-2</v>
      </c>
      <c r="R2685">
        <v>-0.84809899999999905</v>
      </c>
      <c r="S2685">
        <v>1.8394470000000001</v>
      </c>
      <c r="T2685">
        <v>-0.259378</v>
      </c>
      <c r="U2685">
        <v>-2.4077299999999999</v>
      </c>
      <c r="V2685">
        <v>-0.35552600000000001</v>
      </c>
      <c r="W2685">
        <v>5.520713E-2</v>
      </c>
      <c r="X2685">
        <v>0.93303449999999999</v>
      </c>
      <c r="Y2685">
        <v>-0.44076979999999999</v>
      </c>
      <c r="Z2685">
        <v>8.7524560000000001E-2</v>
      </c>
      <c r="AA2685">
        <v>0.89334290000000005</v>
      </c>
      <c r="AB2685">
        <v>18</v>
      </c>
      <c r="AC2685">
        <v>0.55169999999998198</v>
      </c>
      <c r="AD2685">
        <v>-8.3473999999999798E-2</v>
      </c>
      <c r="AE2685">
        <v>-0.59659999999999502</v>
      </c>
      <c r="AF2685">
        <v>-0.422347024801491</v>
      </c>
      <c r="AG2685">
        <v>-8.3473999999999798E-2</v>
      </c>
      <c r="AH2685">
        <v>0.68425810046156899</v>
      </c>
      <c r="AI2685">
        <v>95.926630358876693</v>
      </c>
      <c r="AJ2685">
        <v>121.684274728802</v>
      </c>
      <c r="AK2685">
        <v>0.80842690831141095</v>
      </c>
    </row>
    <row r="2686" spans="1:37" x14ac:dyDescent="0.2">
      <c r="A2686" t="str">
        <f>"20200111153701412"</f>
        <v>20200111153701412</v>
      </c>
      <c r="B2686" t="str">
        <f>"1578728221405226"</f>
        <v>1578728221405226</v>
      </c>
      <c r="C2686" t="s">
        <v>37</v>
      </c>
      <c r="D2686">
        <v>6.552791</v>
      </c>
      <c r="E2686">
        <v>0.45931239999999901</v>
      </c>
      <c r="F2686" t="s">
        <v>38</v>
      </c>
      <c r="G2686">
        <v>-490.73450000000003</v>
      </c>
      <c r="H2686">
        <v>1.023261</v>
      </c>
      <c r="I2686">
        <v>235.09309999999999</v>
      </c>
      <c r="J2686">
        <v>-491.30079999999998</v>
      </c>
      <c r="K2686">
        <v>1.1075429999999999</v>
      </c>
      <c r="L2686">
        <v>235.71010000000001</v>
      </c>
      <c r="M2686">
        <v>0.19696089999999999</v>
      </c>
      <c r="N2686">
        <v>0</v>
      </c>
      <c r="O2686">
        <v>-0.98031669999999904</v>
      </c>
      <c r="P2686">
        <v>0.53209099999999998</v>
      </c>
      <c r="Q2686">
        <v>4.5271680000000002E-2</v>
      </c>
      <c r="R2686">
        <v>-0.8454758</v>
      </c>
      <c r="S2686">
        <v>1.852325</v>
      </c>
      <c r="T2686">
        <v>-0.25791929999999902</v>
      </c>
      <c r="U2686">
        <v>-2.3977970000000002</v>
      </c>
      <c r="V2686">
        <v>-0.35547509999999999</v>
      </c>
      <c r="W2686">
        <v>5.5803220000000001E-2</v>
      </c>
      <c r="X2686">
        <v>0.93301849999999997</v>
      </c>
      <c r="Y2686">
        <v>-0.44114809999999999</v>
      </c>
      <c r="Z2686">
        <v>8.7054889999999996E-2</v>
      </c>
      <c r="AA2686">
        <v>0.89320200000000005</v>
      </c>
      <c r="AB2686">
        <v>18</v>
      </c>
      <c r="AC2686">
        <v>0.56629999999995495</v>
      </c>
      <c r="AD2686">
        <v>-8.4281999999999899E-2</v>
      </c>
      <c r="AE2686">
        <v>-0.61700000000001798</v>
      </c>
      <c r="AF2686">
        <v>-0.42932065567934502</v>
      </c>
      <c r="AG2686">
        <v>-8.4281999999999899E-2</v>
      </c>
      <c r="AH2686">
        <v>0.70927745053164104</v>
      </c>
      <c r="AI2686">
        <v>95.804519791130801</v>
      </c>
      <c r="AJ2686">
        <v>121.18622483745</v>
      </c>
      <c r="AK2686">
        <v>0.83336317578208796</v>
      </c>
    </row>
    <row r="2687" spans="1:37" x14ac:dyDescent="0.2">
      <c r="A2687" t="str">
        <f>"20200111153701434"</f>
        <v>20200111153701434</v>
      </c>
      <c r="B2687" t="str">
        <f>"1578728221425722"</f>
        <v>1578728221425722</v>
      </c>
      <c r="C2687" t="s">
        <v>37</v>
      </c>
      <c r="D2687">
        <v>5.8098279999999898</v>
      </c>
      <c r="E2687">
        <v>0.45940629999999999</v>
      </c>
      <c r="F2687" t="s">
        <v>44</v>
      </c>
      <c r="G2687">
        <v>-483.21589999999998</v>
      </c>
      <c r="H2687" s="1">
        <v>3.74977899999999E-6</v>
      </c>
      <c r="I2687">
        <v>225.3434</v>
      </c>
      <c r="J2687">
        <v>-491.26029999999997</v>
      </c>
      <c r="K2687">
        <v>1.107532</v>
      </c>
      <c r="L2687">
        <v>235.53909999999999</v>
      </c>
      <c r="M2687">
        <v>0.2019493</v>
      </c>
      <c r="N2687">
        <v>0</v>
      </c>
      <c r="O2687">
        <v>-0.97930139999999999</v>
      </c>
      <c r="P2687">
        <v>0.53617169999999903</v>
      </c>
      <c r="Q2687">
        <v>4.5741829999999997E-2</v>
      </c>
      <c r="R2687">
        <v>-0.84286890000000003</v>
      </c>
      <c r="S2687">
        <v>1.8633729999999999</v>
      </c>
      <c r="T2687">
        <v>-0.25525829999999999</v>
      </c>
      <c r="U2687">
        <v>-2.3892669999999998</v>
      </c>
      <c r="V2687">
        <v>-0.355241799999999</v>
      </c>
      <c r="W2687">
        <v>5.6279299999999997E-2</v>
      </c>
      <c r="X2687">
        <v>0.93307879999999999</v>
      </c>
      <c r="Y2687">
        <v>-0.44074540000000001</v>
      </c>
      <c r="Z2687">
        <v>8.6170430000000006E-2</v>
      </c>
      <c r="AA2687">
        <v>0.89348649999999996</v>
      </c>
      <c r="AB2687">
        <v>18</v>
      </c>
      <c r="AC2687">
        <v>8.0443999999999907</v>
      </c>
      <c r="AD2687">
        <v>-1.107528250221</v>
      </c>
      <c r="AE2687">
        <v>-10.195699999999899</v>
      </c>
      <c r="AF2687">
        <v>-5.7774004309506797</v>
      </c>
      <c r="AG2687">
        <v>-1.107528250221</v>
      </c>
      <c r="AH2687">
        <v>11.526473058253901</v>
      </c>
      <c r="AI2687">
        <v>94.909616837661105</v>
      </c>
      <c r="AJ2687">
        <v>116.62134821349601</v>
      </c>
      <c r="AK2687">
        <v>12.9408097013765</v>
      </c>
    </row>
    <row r="2688" spans="1:37" x14ac:dyDescent="0.2">
      <c r="A2688" t="str">
        <f>"20200111153701457"</f>
        <v>20200111153701457</v>
      </c>
      <c r="B2688" t="str">
        <f>"1578728221445242"</f>
        <v>1578728221445242</v>
      </c>
      <c r="C2688" t="s">
        <v>37</v>
      </c>
      <c r="D2688">
        <v>5.7257829999999998</v>
      </c>
      <c r="E2688">
        <v>0.45954499999999998</v>
      </c>
      <c r="F2688" t="s">
        <v>44</v>
      </c>
      <c r="G2688">
        <v>-483.03480000000002</v>
      </c>
      <c r="H2688" s="1">
        <v>3.654801E-6</v>
      </c>
      <c r="I2688">
        <v>225.09540000000001</v>
      </c>
      <c r="J2688">
        <v>-491.21519999999998</v>
      </c>
      <c r="K2688">
        <v>1.1075250000000001</v>
      </c>
      <c r="L2688">
        <v>235.3535</v>
      </c>
      <c r="M2688">
        <v>0.2073672</v>
      </c>
      <c r="N2688">
        <v>0</v>
      </c>
      <c r="O2688">
        <v>-0.9781685</v>
      </c>
      <c r="P2688">
        <v>0.54064939999999995</v>
      </c>
      <c r="Q2688">
        <v>4.5758390000000003E-2</v>
      </c>
      <c r="R2688">
        <v>-0.84000259999999904</v>
      </c>
      <c r="S2688">
        <v>1.8747860000000001</v>
      </c>
      <c r="T2688">
        <v>-0.25242989999999998</v>
      </c>
      <c r="U2688">
        <v>-2.3803559999999999</v>
      </c>
      <c r="V2688">
        <v>-0.355041099999999</v>
      </c>
      <c r="W2688">
        <v>5.6299290000000002E-2</v>
      </c>
      <c r="X2688">
        <v>0.93315389999999998</v>
      </c>
      <c r="Y2688">
        <v>-0.44010149999999998</v>
      </c>
      <c r="Z2688">
        <v>8.5225609999999993E-2</v>
      </c>
      <c r="AA2688">
        <v>0.89389449999999904</v>
      </c>
      <c r="AB2688">
        <v>18</v>
      </c>
      <c r="AC2688">
        <v>8.1803999999999597</v>
      </c>
      <c r="AD2688">
        <v>-1.107521345199</v>
      </c>
      <c r="AE2688">
        <v>-10.258099999999899</v>
      </c>
      <c r="AF2688">
        <v>-5.8335941500644104</v>
      </c>
      <c r="AG2688">
        <v>-1.107521345199</v>
      </c>
      <c r="AH2688">
        <v>11.6485838138892</v>
      </c>
      <c r="AI2688">
        <v>94.859200581605705</v>
      </c>
      <c r="AJ2688">
        <v>116.601643367997</v>
      </c>
      <c r="AK2688">
        <v>13.074667456839499</v>
      </c>
    </row>
    <row r="2689" spans="1:37" x14ac:dyDescent="0.2">
      <c r="A2689" t="str">
        <f>"20200111153701480"</f>
        <v>20200111153701480</v>
      </c>
      <c r="B2689" t="str">
        <f>"1578728221475500"</f>
        <v>1578728221475500</v>
      </c>
      <c r="C2689" t="s">
        <v>37</v>
      </c>
      <c r="D2689">
        <v>5.7548389999999996</v>
      </c>
      <c r="E2689">
        <v>0.4597946</v>
      </c>
      <c r="F2689" t="s">
        <v>44</v>
      </c>
      <c r="G2689">
        <v>-482.90320000000003</v>
      </c>
      <c r="H2689" s="1">
        <v>3.584524E-6</v>
      </c>
      <c r="I2689">
        <v>224.90950000000001</v>
      </c>
      <c r="J2689">
        <v>-491.17259999999999</v>
      </c>
      <c r="K2689">
        <v>1.1075200000000001</v>
      </c>
      <c r="L2689">
        <v>235.18180000000001</v>
      </c>
      <c r="M2689">
        <v>0.21238029999999999</v>
      </c>
      <c r="N2689">
        <v>0</v>
      </c>
      <c r="O2689">
        <v>-0.97709239999999997</v>
      </c>
      <c r="P2689">
        <v>0.54455629999999999</v>
      </c>
      <c r="Q2689">
        <v>4.60121E-2</v>
      </c>
      <c r="R2689">
        <v>-0.83746149999999997</v>
      </c>
      <c r="S2689">
        <v>1.886749</v>
      </c>
      <c r="T2689">
        <v>-0.25139679999999998</v>
      </c>
      <c r="U2689">
        <v>-2.3706969999999998</v>
      </c>
      <c r="V2689">
        <v>-0.35460649999999999</v>
      </c>
      <c r="W2689">
        <v>5.6558280000000002E-2</v>
      </c>
      <c r="X2689">
        <v>0.93330349999999995</v>
      </c>
      <c r="Y2689">
        <v>-0.44005499999999997</v>
      </c>
      <c r="Z2689">
        <v>8.4890359999999998E-2</v>
      </c>
      <c r="AA2689">
        <v>0.89394929999999995</v>
      </c>
      <c r="AB2689">
        <v>18</v>
      </c>
      <c r="AC2689">
        <v>8.2693999999999601</v>
      </c>
      <c r="AD2689">
        <v>-1.107516415476</v>
      </c>
      <c r="AE2689">
        <v>-10.2723</v>
      </c>
      <c r="AF2689">
        <v>-5.8575643399472499</v>
      </c>
      <c r="AG2689">
        <v>-1.107516415476</v>
      </c>
      <c r="AH2689">
        <v>11.711728783210299</v>
      </c>
      <c r="AI2689">
        <v>94.834362852647104</v>
      </c>
      <c r="AJ2689">
        <v>116.57170394112801</v>
      </c>
      <c r="AK2689">
        <v>13.1416225671964</v>
      </c>
    </row>
    <row r="2690" spans="1:37" x14ac:dyDescent="0.2">
      <c r="A2690" t="str">
        <f>"20200111153701501"</f>
        <v>20200111153701501</v>
      </c>
      <c r="B2690" t="str">
        <f>"1578728221495018"</f>
        <v>1578728221495018</v>
      </c>
      <c r="C2690" t="s">
        <v>37</v>
      </c>
      <c r="D2690">
        <v>5.655869</v>
      </c>
      <c r="E2690">
        <v>0.45999129999999899</v>
      </c>
      <c r="F2690" t="s">
        <v>38</v>
      </c>
      <c r="G2690">
        <v>-490.5582</v>
      </c>
      <c r="H2690">
        <v>1.0265340000000001</v>
      </c>
      <c r="I2690">
        <v>234.416</v>
      </c>
      <c r="J2690">
        <v>-491.12939999999998</v>
      </c>
      <c r="K2690">
        <v>1.1075250000000001</v>
      </c>
      <c r="L2690">
        <v>235.0119</v>
      </c>
      <c r="M2690">
        <v>0.2173495</v>
      </c>
      <c r="N2690">
        <v>0</v>
      </c>
      <c r="O2690">
        <v>-0.97599910000000001</v>
      </c>
      <c r="P2690">
        <v>0.54855480000000001</v>
      </c>
      <c r="Q2690">
        <v>4.6442320000000002E-2</v>
      </c>
      <c r="R2690">
        <v>-0.83482409999999996</v>
      </c>
      <c r="S2690">
        <v>1.8958740000000001</v>
      </c>
      <c r="T2690">
        <v>-0.2498841</v>
      </c>
      <c r="U2690">
        <v>-2.3631739999999999</v>
      </c>
      <c r="V2690">
        <v>-0.35432720000000001</v>
      </c>
      <c r="W2690">
        <v>5.6991499999999903E-2</v>
      </c>
      <c r="X2690">
        <v>0.93338319999999997</v>
      </c>
      <c r="Y2690">
        <v>-0.43900529999999999</v>
      </c>
      <c r="Z2690">
        <v>8.4382159999999998E-2</v>
      </c>
      <c r="AA2690">
        <v>0.89451320000000001</v>
      </c>
      <c r="AB2690">
        <v>18</v>
      </c>
      <c r="AC2690">
        <v>0.57119999999997595</v>
      </c>
      <c r="AD2690">
        <v>-8.0990999999999994E-2</v>
      </c>
      <c r="AE2690">
        <v>-0.59589999999999999</v>
      </c>
      <c r="AF2690">
        <v>-0.42393050430752999</v>
      </c>
      <c r="AG2690">
        <v>-8.0990999999999994E-2</v>
      </c>
      <c r="AH2690">
        <v>0.69908306910564899</v>
      </c>
      <c r="AI2690">
        <v>95.657381218848897</v>
      </c>
      <c r="AJ2690">
        <v>121.233013969533</v>
      </c>
      <c r="AK2690">
        <v>0.82158003388203804</v>
      </c>
    </row>
    <row r="2691" spans="1:37" x14ac:dyDescent="0.2">
      <c r="A2691" t="str">
        <f>"20200111153701524"</f>
        <v>20200111153701524</v>
      </c>
      <c r="B2691" t="str">
        <f>"1578728221515514"</f>
        <v>1578728221515514</v>
      </c>
      <c r="C2691" t="s">
        <v>37</v>
      </c>
      <c r="D2691">
        <v>5.663824</v>
      </c>
      <c r="E2691">
        <v>0.46022459999999998</v>
      </c>
      <c r="F2691" t="s">
        <v>38</v>
      </c>
      <c r="G2691">
        <v>-490.52159999999998</v>
      </c>
      <c r="H2691">
        <v>1.0283359999999999</v>
      </c>
      <c r="I2691">
        <v>234.2604</v>
      </c>
      <c r="J2691">
        <v>-491.0849</v>
      </c>
      <c r="K2691">
        <v>1.107524</v>
      </c>
      <c r="L2691">
        <v>234.84039999999999</v>
      </c>
      <c r="M2691">
        <v>0.22236939999999999</v>
      </c>
      <c r="N2691">
        <v>0</v>
      </c>
      <c r="O2691">
        <v>-0.9748677</v>
      </c>
      <c r="P2691">
        <v>0.55298329999999996</v>
      </c>
      <c r="Q2691">
        <v>4.7082359999999997E-2</v>
      </c>
      <c r="R2691">
        <v>-0.83186139999999997</v>
      </c>
      <c r="S2691">
        <v>1.9059139999999899</v>
      </c>
      <c r="T2691">
        <v>-0.2481506</v>
      </c>
      <c r="U2691">
        <v>-2.3549959999999999</v>
      </c>
      <c r="V2691">
        <v>-0.35449530000000001</v>
      </c>
      <c r="W2691">
        <v>5.7629890000000003E-2</v>
      </c>
      <c r="X2691">
        <v>0.9332802</v>
      </c>
      <c r="Y2691">
        <v>-0.43823980000000001</v>
      </c>
      <c r="Z2691">
        <v>8.3797129999999997E-2</v>
      </c>
      <c r="AA2691">
        <v>0.8949435</v>
      </c>
      <c r="AB2691">
        <v>18</v>
      </c>
      <c r="AC2691">
        <v>0.563300000000026</v>
      </c>
      <c r="AD2691">
        <v>-7.91879999999998E-2</v>
      </c>
      <c r="AE2691">
        <v>-0.57999999999998397</v>
      </c>
      <c r="AF2691">
        <v>-0.41621497821206299</v>
      </c>
      <c r="AG2691">
        <v>-7.91879999999998E-2</v>
      </c>
      <c r="AH2691">
        <v>0.684184682904731</v>
      </c>
      <c r="AI2691">
        <v>95.647121747428599</v>
      </c>
      <c r="AJ2691">
        <v>121.31370399023901</v>
      </c>
      <c r="AK2691">
        <v>0.80474488364544206</v>
      </c>
    </row>
    <row r="2692" spans="1:37" x14ac:dyDescent="0.2">
      <c r="A2692" t="str">
        <f>"20200111153701545"</f>
        <v>20200111153701545</v>
      </c>
      <c r="B2692" t="str">
        <f>"1578728221535037"</f>
        <v>1578728221535037</v>
      </c>
      <c r="C2692" t="s">
        <v>37</v>
      </c>
      <c r="D2692">
        <v>5.6195469999999998</v>
      </c>
      <c r="E2692">
        <v>0.46045000000000003</v>
      </c>
      <c r="F2692" t="s">
        <v>38</v>
      </c>
      <c r="G2692">
        <v>-490.47050000000002</v>
      </c>
      <c r="H2692">
        <v>1.02877</v>
      </c>
      <c r="I2692">
        <v>234.08860000000001</v>
      </c>
      <c r="J2692">
        <v>-491.03989999999999</v>
      </c>
      <c r="K2692">
        <v>1.107524</v>
      </c>
      <c r="L2692">
        <v>234.67089999999999</v>
      </c>
      <c r="M2692">
        <v>0.2273366</v>
      </c>
      <c r="N2692">
        <v>0</v>
      </c>
      <c r="O2692">
        <v>-0.97372119999999995</v>
      </c>
      <c r="P2692">
        <v>0.55701230000000002</v>
      </c>
      <c r="Q2692">
        <v>4.7924019999999998E-2</v>
      </c>
      <c r="R2692">
        <v>-0.82912059999999999</v>
      </c>
      <c r="S2692">
        <v>1.9171750000000001</v>
      </c>
      <c r="T2692">
        <v>-0.245700799999999</v>
      </c>
      <c r="U2692">
        <v>-2.3457789999999998</v>
      </c>
      <c r="V2692">
        <v>-0.35427979999999998</v>
      </c>
      <c r="W2692">
        <v>5.8474369999999998E-2</v>
      </c>
      <c r="X2692">
        <v>0.93330949999999901</v>
      </c>
      <c r="Y2692">
        <v>-0.43800359999999999</v>
      </c>
      <c r="Z2692">
        <v>8.2974190000000003E-2</v>
      </c>
      <c r="AA2692">
        <v>0.89513580000000004</v>
      </c>
      <c r="AB2692">
        <v>18</v>
      </c>
      <c r="AC2692">
        <v>0.56939999999997304</v>
      </c>
      <c r="AD2692">
        <v>-7.8753999999999894E-2</v>
      </c>
      <c r="AE2692">
        <v>-0.58229999999997495</v>
      </c>
      <c r="AF2692">
        <v>-0.41818748817674201</v>
      </c>
      <c r="AG2692">
        <v>-7.8753999999999894E-2</v>
      </c>
      <c r="AH2692">
        <v>0.69005530887523903</v>
      </c>
      <c r="AI2692">
        <v>95.574581808032406</v>
      </c>
      <c r="AJ2692">
        <v>121.216711493227</v>
      </c>
      <c r="AK2692">
        <v>0.81071529965239597</v>
      </c>
    </row>
    <row r="2693" spans="1:37" x14ac:dyDescent="0.2">
      <c r="A2693" t="str">
        <f>"20200111153701569"</f>
        <v>20200111153701569</v>
      </c>
      <c r="B2693" t="str">
        <f>"1578728221565290"</f>
        <v>1578728221565290</v>
      </c>
      <c r="C2693" t="s">
        <v>37</v>
      </c>
      <c r="D2693">
        <v>5.5416660000000002</v>
      </c>
      <c r="E2693">
        <v>0.46078219999999998</v>
      </c>
      <c r="F2693" t="s">
        <v>38</v>
      </c>
      <c r="G2693">
        <v>-490.41359999999997</v>
      </c>
      <c r="H2693">
        <v>1.028645</v>
      </c>
      <c r="I2693">
        <v>233.9109</v>
      </c>
      <c r="J2693">
        <v>-490.99349999999998</v>
      </c>
      <c r="K2693">
        <v>1.107526</v>
      </c>
      <c r="L2693">
        <v>234.4992</v>
      </c>
      <c r="M2693">
        <v>0.23237260000000001</v>
      </c>
      <c r="N2693">
        <v>0</v>
      </c>
      <c r="O2693">
        <v>-0.972531699999999</v>
      </c>
      <c r="P2693">
        <v>0.56137130000000002</v>
      </c>
      <c r="Q2693">
        <v>4.7990789999999998E-2</v>
      </c>
      <c r="R2693">
        <v>-0.82617149999999995</v>
      </c>
      <c r="S2693">
        <v>1.9273990000000001</v>
      </c>
      <c r="T2693">
        <v>-0.24261639999999901</v>
      </c>
      <c r="U2693">
        <v>-2.3375240000000002</v>
      </c>
      <c r="V2693">
        <v>-0.35436659999999998</v>
      </c>
      <c r="W2693">
        <v>5.8541490000000002E-2</v>
      </c>
      <c r="X2693">
        <v>0.93327229999999906</v>
      </c>
      <c r="Y2693">
        <v>-0.43729299999999999</v>
      </c>
      <c r="Z2693">
        <v>8.1926529999999997E-2</v>
      </c>
      <c r="AA2693">
        <v>0.89557960000000003</v>
      </c>
      <c r="AB2693">
        <v>18</v>
      </c>
      <c r="AC2693">
        <v>0.57990000000000896</v>
      </c>
      <c r="AD2693">
        <v>-7.8880999999999896E-2</v>
      </c>
      <c r="AE2693">
        <v>-0.58830000000000304</v>
      </c>
      <c r="AF2693">
        <v>-0.42344474181500302</v>
      </c>
      <c r="AG2693">
        <v>-7.8880999999999896E-2</v>
      </c>
      <c r="AH2693">
        <v>0.70057061731522197</v>
      </c>
      <c r="AI2693">
        <v>95.504082078928406</v>
      </c>
      <c r="AJ2693">
        <v>121.14995513670701</v>
      </c>
      <c r="AK2693">
        <v>0.82239093585545198</v>
      </c>
    </row>
    <row r="2694" spans="1:37" x14ac:dyDescent="0.2">
      <c r="A2694" t="str">
        <f>"20200111153701591"</f>
        <v>20200111153701591</v>
      </c>
      <c r="B2694" t="str">
        <f>"1578728221585787"</f>
        <v>1578728221585787</v>
      </c>
      <c r="C2694" t="s">
        <v>37</v>
      </c>
      <c r="D2694">
        <v>5.6148860000000003</v>
      </c>
      <c r="E2694">
        <v>0.4609259</v>
      </c>
      <c r="F2694" t="s">
        <v>38</v>
      </c>
      <c r="G2694">
        <v>-490.35489999999999</v>
      </c>
      <c r="H2694">
        <v>1.0276430000000001</v>
      </c>
      <c r="I2694">
        <v>233.7319</v>
      </c>
      <c r="J2694">
        <v>-490.94540000000001</v>
      </c>
      <c r="K2694">
        <v>1.107521</v>
      </c>
      <c r="L2694">
        <v>234.3253</v>
      </c>
      <c r="M2694">
        <v>0.237475299999999</v>
      </c>
      <c r="N2694">
        <v>0</v>
      </c>
      <c r="O2694">
        <v>-0.97129849999999995</v>
      </c>
      <c r="P2694">
        <v>0.56556649999999997</v>
      </c>
      <c r="Q2694">
        <v>4.8137970000000002E-2</v>
      </c>
      <c r="R2694">
        <v>-0.82329660000000005</v>
      </c>
      <c r="S2694">
        <v>1.9377139999999999</v>
      </c>
      <c r="T2694">
        <v>-0.242452</v>
      </c>
      <c r="U2694">
        <v>-2.3286739999999999</v>
      </c>
      <c r="V2694">
        <v>-0.35421609999999998</v>
      </c>
      <c r="W2694">
        <v>5.8691430000000003E-2</v>
      </c>
      <c r="X2694">
        <v>0.93332000000000004</v>
      </c>
      <c r="Y2694">
        <v>-0.43659520000000002</v>
      </c>
      <c r="Z2694">
        <v>8.1865789999999994E-2</v>
      </c>
      <c r="AA2694">
        <v>0.89592559999999999</v>
      </c>
      <c r="AB2694">
        <v>18</v>
      </c>
      <c r="AC2694">
        <v>0.59050000000002001</v>
      </c>
      <c r="AD2694">
        <v>-7.9877999999999894E-2</v>
      </c>
      <c r="AE2694">
        <v>-0.59340000000000204</v>
      </c>
      <c r="AF2694">
        <v>-0.42877018305985298</v>
      </c>
      <c r="AG2694">
        <v>-7.9877999999999894E-2</v>
      </c>
      <c r="AH2694">
        <v>0.71019795165140698</v>
      </c>
      <c r="AI2694">
        <v>95.499812038412998</v>
      </c>
      <c r="AJ2694">
        <v>121.120780420725</v>
      </c>
      <c r="AK2694">
        <v>0.83342995824186406</v>
      </c>
    </row>
    <row r="2695" spans="1:37" x14ac:dyDescent="0.2">
      <c r="A2695" t="str">
        <f>"20200111153701614"</f>
        <v>20200111153701614</v>
      </c>
      <c r="B2695" t="str">
        <f>"1578728221605307"</f>
        <v>1578728221605307</v>
      </c>
      <c r="C2695" t="s">
        <v>37</v>
      </c>
      <c r="D2695">
        <v>5.8031750000000004</v>
      </c>
      <c r="E2695">
        <v>0.47060190000000002</v>
      </c>
      <c r="F2695" t="s">
        <v>44</v>
      </c>
      <c r="G2695">
        <v>-482.03309999999999</v>
      </c>
      <c r="H2695" s="1">
        <v>3.048181E-6</v>
      </c>
      <c r="I2695">
        <v>223.71700000000001</v>
      </c>
      <c r="J2695">
        <v>-490.89789999999999</v>
      </c>
      <c r="K2695">
        <v>1.107518</v>
      </c>
      <c r="L2695">
        <v>234.1568</v>
      </c>
      <c r="M2695">
        <v>0.2424307</v>
      </c>
      <c r="N2695">
        <v>0</v>
      </c>
      <c r="O2695">
        <v>-0.97007350000000003</v>
      </c>
      <c r="P2695">
        <v>0.56952209999999903</v>
      </c>
      <c r="Q2695">
        <v>4.791219E-2</v>
      </c>
      <c r="R2695">
        <v>-0.82057869999999999</v>
      </c>
      <c r="S2695">
        <v>1.948639</v>
      </c>
      <c r="T2695">
        <v>-0.2421529</v>
      </c>
      <c r="U2695">
        <v>-2.319458</v>
      </c>
      <c r="V2695">
        <v>-0.35393809999999998</v>
      </c>
      <c r="W2695">
        <v>5.846962E-2</v>
      </c>
      <c r="X2695">
        <v>0.93343940000000003</v>
      </c>
      <c r="Y2695">
        <v>-0.43623889999999999</v>
      </c>
      <c r="Z2695">
        <v>8.1756709999999996E-2</v>
      </c>
      <c r="AA2695">
        <v>0.89610900000000004</v>
      </c>
      <c r="AB2695">
        <v>18</v>
      </c>
      <c r="AC2695">
        <v>8.8648000000000007</v>
      </c>
      <c r="AD2695">
        <v>-1.1075149518189999</v>
      </c>
      <c r="AE2695">
        <v>-10.4397999999999</v>
      </c>
      <c r="AF2695">
        <v>-6.0297105972776404</v>
      </c>
      <c r="AG2695">
        <v>-1.1075149518189999</v>
      </c>
      <c r="AH2695">
        <v>12.197842808801299</v>
      </c>
      <c r="AI2695">
        <v>94.653290508473404</v>
      </c>
      <c r="AJ2695">
        <v>116.30438342718099</v>
      </c>
      <c r="AK2695">
        <v>13.6517899355231</v>
      </c>
    </row>
    <row r="2696" spans="1:37" x14ac:dyDescent="0.2">
      <c r="A2696" t="str">
        <f>"20200111153701636"</f>
        <v>20200111153701636</v>
      </c>
      <c r="B2696" t="str">
        <f>"1578728221625803"</f>
        <v>1578728221625803</v>
      </c>
      <c r="C2696" t="s">
        <v>37</v>
      </c>
      <c r="D2696">
        <v>5.7123699999999999</v>
      </c>
      <c r="E2696">
        <v>0.47056920000000002</v>
      </c>
      <c r="F2696" t="s">
        <v>44</v>
      </c>
      <c r="G2696">
        <v>-483.08429999999998</v>
      </c>
      <c r="H2696" s="1">
        <v>3.508012E-6</v>
      </c>
      <c r="I2696">
        <v>224.44890000000001</v>
      </c>
      <c r="J2696">
        <v>-490.84829999999999</v>
      </c>
      <c r="K2696">
        <v>1.1075200000000001</v>
      </c>
      <c r="L2696">
        <v>233.98390000000001</v>
      </c>
      <c r="M2696">
        <v>0.24752589999999999</v>
      </c>
      <c r="N2696">
        <v>0</v>
      </c>
      <c r="O2696">
        <v>-0.96878600000000004</v>
      </c>
      <c r="P2696">
        <v>0.57330139999999996</v>
      </c>
      <c r="Q2696">
        <v>4.8416399999999998E-2</v>
      </c>
      <c r="R2696">
        <v>-0.81791329999999995</v>
      </c>
      <c r="S2696">
        <v>1.8960569999999899</v>
      </c>
      <c r="T2696">
        <v>-0.2687503</v>
      </c>
      <c r="U2696">
        <v>-2.355728</v>
      </c>
      <c r="V2696">
        <v>-0.35334749999999998</v>
      </c>
      <c r="W2696">
        <v>5.897848E-2</v>
      </c>
      <c r="X2696">
        <v>0.93363109999999905</v>
      </c>
      <c r="Y2696">
        <v>-0.41203299999999998</v>
      </c>
      <c r="Z2696">
        <v>9.0516310000000003E-2</v>
      </c>
      <c r="AA2696">
        <v>0.90666179999999996</v>
      </c>
      <c r="AB2696">
        <v>18</v>
      </c>
      <c r="AC2696">
        <v>7.7640000000000002</v>
      </c>
      <c r="AD2696">
        <v>-1.1075164919880001</v>
      </c>
      <c r="AE2696">
        <v>-9.5349999999999895</v>
      </c>
      <c r="AF2696">
        <v>-5.12043152007492</v>
      </c>
      <c r="AG2696">
        <v>-1.1075164919880001</v>
      </c>
      <c r="AH2696">
        <v>11.070386145456499</v>
      </c>
      <c r="AI2696">
        <v>95.188269564759395</v>
      </c>
      <c r="AJ2696">
        <v>114.822152641054</v>
      </c>
      <c r="AK2696">
        <v>12.2474022201166</v>
      </c>
    </row>
    <row r="2697" spans="1:37" x14ac:dyDescent="0.2">
      <c r="A2697" t="str">
        <f>"20200111153701658"</f>
        <v>20200111153701658</v>
      </c>
      <c r="B2697" t="str">
        <f>"1578728221655084"</f>
        <v>1578728221655084</v>
      </c>
      <c r="C2697" t="s">
        <v>37</v>
      </c>
      <c r="D2697">
        <v>5.6575639999999998</v>
      </c>
      <c r="E2697">
        <v>0.38597049999999999</v>
      </c>
      <c r="F2697" t="s">
        <v>44</v>
      </c>
      <c r="G2697">
        <v>-482.92219999999998</v>
      </c>
      <c r="H2697" s="1">
        <v>3.4036540000000001E-6</v>
      </c>
      <c r="I2697">
        <v>224.22810000000001</v>
      </c>
      <c r="J2697">
        <v>-490.80099999999999</v>
      </c>
      <c r="K2697">
        <v>1.107524</v>
      </c>
      <c r="L2697">
        <v>233.82249999999999</v>
      </c>
      <c r="M2697">
        <v>0.2522971</v>
      </c>
      <c r="N2697">
        <v>0</v>
      </c>
      <c r="O2697">
        <v>-0.96755449999999998</v>
      </c>
      <c r="P2697">
        <v>0.57702849999999895</v>
      </c>
      <c r="Q2697">
        <v>4.8999609999999999E-2</v>
      </c>
      <c r="R2697">
        <v>-0.81525309999999995</v>
      </c>
      <c r="S2697">
        <v>1.90685999999999</v>
      </c>
      <c r="T2697">
        <v>-0.26644829999999903</v>
      </c>
      <c r="U2697">
        <v>-2.3470759999999999</v>
      </c>
      <c r="V2697">
        <v>-0.35302050000000001</v>
      </c>
      <c r="W2697">
        <v>5.9561099999999999E-2</v>
      </c>
      <c r="X2697">
        <v>0.93371780000000004</v>
      </c>
      <c r="Y2697">
        <v>-0.41174169999999999</v>
      </c>
      <c r="Z2697">
        <v>8.9723819999999996E-2</v>
      </c>
      <c r="AA2697">
        <v>0.90687289999999998</v>
      </c>
      <c r="AB2697">
        <v>18</v>
      </c>
      <c r="AC2697">
        <v>7.8788000000000098</v>
      </c>
      <c r="AD2697">
        <v>-1.107520596346</v>
      </c>
      <c r="AE2697">
        <v>-9.5943999999999807</v>
      </c>
      <c r="AF2697">
        <v>-5.1619286570826697</v>
      </c>
      <c r="AG2697">
        <v>-1.107520596346</v>
      </c>
      <c r="AH2697">
        <v>11.182945364591101</v>
      </c>
      <c r="AI2697">
        <v>95.1381861547857</v>
      </c>
      <c r="AJ2697">
        <v>114.777544931824</v>
      </c>
      <c r="AK2697">
        <v>12.3665021877478</v>
      </c>
    </row>
    <row r="2698" spans="1:37" x14ac:dyDescent="0.2">
      <c r="A2698" t="str">
        <f>"20200111153701679"</f>
        <v>20200111153701679</v>
      </c>
      <c r="B2698" t="str">
        <f>"1578728221675470"</f>
        <v>1578728221675470</v>
      </c>
      <c r="C2698" t="s">
        <v>37</v>
      </c>
      <c r="D2698">
        <v>5.634455</v>
      </c>
      <c r="E2698">
        <v>0.3795676</v>
      </c>
      <c r="F2698" t="s">
        <v>38</v>
      </c>
      <c r="G2698">
        <v>-490.09699999999998</v>
      </c>
      <c r="H2698">
        <v>1.016208</v>
      </c>
      <c r="I2698">
        <v>233.26580000000001</v>
      </c>
      <c r="J2698">
        <v>-490.75199999999899</v>
      </c>
      <c r="K2698">
        <v>1.1075349999999999</v>
      </c>
      <c r="L2698">
        <v>233.6585</v>
      </c>
      <c r="M2698">
        <v>0.25716070000000002</v>
      </c>
      <c r="N2698">
        <v>0</v>
      </c>
      <c r="O2698">
        <v>-0.9662733</v>
      </c>
      <c r="P2698">
        <v>0.58123859999999905</v>
      </c>
      <c r="Q2698">
        <v>4.930383E-2</v>
      </c>
      <c r="R2698">
        <v>-0.81223849999999997</v>
      </c>
      <c r="S2698">
        <v>2.4686279999999998</v>
      </c>
      <c r="T2698">
        <v>-0.32016919999999999</v>
      </c>
      <c r="U2698">
        <v>-1.951813</v>
      </c>
      <c r="V2698">
        <v>-0.35316160000000002</v>
      </c>
      <c r="W2698">
        <v>5.9858109999999999E-2</v>
      </c>
      <c r="X2698">
        <v>0.93364550000000002</v>
      </c>
      <c r="Y2698">
        <v>-0.5940493</v>
      </c>
      <c r="Z2698">
        <v>0.10643619999999999</v>
      </c>
      <c r="AA2698">
        <v>0.79735610000000001</v>
      </c>
      <c r="AB2698">
        <v>18</v>
      </c>
      <c r="AC2698">
        <v>0.65499999999997205</v>
      </c>
      <c r="AD2698">
        <v>-9.1326999999999894E-2</v>
      </c>
      <c r="AE2698">
        <v>-0.39269999999999</v>
      </c>
      <c r="AF2698">
        <v>-0.52447080938486601</v>
      </c>
      <c r="AG2698">
        <v>-9.1326999999999894E-2</v>
      </c>
      <c r="AH2698">
        <v>0.54022082653694403</v>
      </c>
      <c r="AI2698">
        <v>96.915905886003003</v>
      </c>
      <c r="AJ2698">
        <v>134.152483533848</v>
      </c>
      <c r="AK2698">
        <v>0.758451575415382</v>
      </c>
    </row>
    <row r="2699" spans="1:37" x14ac:dyDescent="0.2">
      <c r="A2699" t="str">
        <f>"20200111153701701"</f>
        <v>20200111153701701</v>
      </c>
      <c r="B2699" t="str">
        <f>"1578728221695966"</f>
        <v>1578728221695966</v>
      </c>
      <c r="C2699" t="s">
        <v>37</v>
      </c>
      <c r="D2699">
        <v>5.5858080000000001</v>
      </c>
      <c r="E2699">
        <v>0.3784575</v>
      </c>
      <c r="F2699" t="s">
        <v>38</v>
      </c>
      <c r="G2699">
        <v>-490.04309999999998</v>
      </c>
      <c r="H2699">
        <v>1.017061</v>
      </c>
      <c r="I2699">
        <v>233.12119999999999</v>
      </c>
      <c r="J2699">
        <v>-490.70010000000002</v>
      </c>
      <c r="K2699">
        <v>1.107542</v>
      </c>
      <c r="L2699">
        <v>233.488</v>
      </c>
      <c r="M2699">
        <v>0.2622447</v>
      </c>
      <c r="N2699">
        <v>0</v>
      </c>
      <c r="O2699">
        <v>-0.96490560000000003</v>
      </c>
      <c r="P2699">
        <v>0.58596800000000004</v>
      </c>
      <c r="Q2699">
        <v>4.9842789999999998E-2</v>
      </c>
      <c r="R2699">
        <v>-0.80879969999999901</v>
      </c>
      <c r="S2699">
        <v>2.5204770000000001</v>
      </c>
      <c r="T2699">
        <v>-0.32150770000000001</v>
      </c>
      <c r="U2699">
        <v>-1.9093629999999999</v>
      </c>
      <c r="V2699">
        <v>-0.3537073</v>
      </c>
      <c r="W2699">
        <v>6.0383590000000001E-2</v>
      </c>
      <c r="X2699">
        <v>0.93340499999999904</v>
      </c>
      <c r="Y2699">
        <v>-0.60625280000000004</v>
      </c>
      <c r="Z2699">
        <v>0.106633399999999</v>
      </c>
      <c r="AA2699">
        <v>0.78809059999999997</v>
      </c>
      <c r="AB2699">
        <v>18</v>
      </c>
      <c r="AC2699">
        <v>0.657000000000039</v>
      </c>
      <c r="AD2699">
        <v>-9.0481000000000006E-2</v>
      </c>
      <c r="AE2699">
        <v>-0.36680000000001201</v>
      </c>
      <c r="AF2699">
        <v>-0.53013587461209699</v>
      </c>
      <c r="AG2699">
        <v>-9.0481000000000006E-2</v>
      </c>
      <c r="AH2699">
        <v>0.51876967622710002</v>
      </c>
      <c r="AI2699">
        <v>96.954929251731002</v>
      </c>
      <c r="AJ2699">
        <v>135.62084685087299</v>
      </c>
      <c r="AK2699">
        <v>0.74723010772084397</v>
      </c>
    </row>
    <row r="2700" spans="1:37" x14ac:dyDescent="0.2">
      <c r="A2700" t="str">
        <f>"20200111153701725"</f>
        <v>20200111153701725</v>
      </c>
      <c r="B2700" t="str">
        <f>"1578728221715486"</f>
        <v>1578728221715486</v>
      </c>
      <c r="C2700" t="s">
        <v>37</v>
      </c>
      <c r="D2700">
        <v>5.5822310000000002</v>
      </c>
      <c r="E2700">
        <v>0.37839309999999998</v>
      </c>
      <c r="F2700" t="s">
        <v>44</v>
      </c>
      <c r="G2700">
        <v>-481.84339999999997</v>
      </c>
      <c r="H2700" s="1">
        <v>3.7890559999999999E-6</v>
      </c>
      <c r="I2700">
        <v>226.8974</v>
      </c>
      <c r="J2700">
        <v>-490.64609999999999</v>
      </c>
      <c r="K2700">
        <v>1.1075539999999999</v>
      </c>
      <c r="L2700">
        <v>233.31450000000001</v>
      </c>
      <c r="M2700">
        <v>0.26744559999999901</v>
      </c>
      <c r="N2700">
        <v>0</v>
      </c>
      <c r="O2700">
        <v>-0.96347719999999903</v>
      </c>
      <c r="P2700">
        <v>0.59067009999999998</v>
      </c>
      <c r="Q2700">
        <v>5.0544930000000002E-2</v>
      </c>
      <c r="R2700">
        <v>-0.80532859999999995</v>
      </c>
      <c r="S2700">
        <v>2.5389710000000001</v>
      </c>
      <c r="T2700">
        <v>-0.31750139999999999</v>
      </c>
      <c r="U2700">
        <v>-1.889359</v>
      </c>
      <c r="V2700">
        <v>-0.3541281</v>
      </c>
      <c r="W2700">
        <v>6.1072300000000003E-2</v>
      </c>
      <c r="X2700">
        <v>0.93320069999999999</v>
      </c>
      <c r="Y2700">
        <v>-0.60884249999999995</v>
      </c>
      <c r="Z2700">
        <v>0.10530819999999901</v>
      </c>
      <c r="AA2700">
        <v>0.78627040000000004</v>
      </c>
      <c r="AB2700">
        <v>18</v>
      </c>
      <c r="AC2700">
        <v>8.8027000000000104</v>
      </c>
      <c r="AD2700">
        <v>-1.1075502109440001</v>
      </c>
      <c r="AE2700">
        <v>-6.4170999999999996</v>
      </c>
      <c r="AF2700">
        <v>-6.6963788454027799</v>
      </c>
      <c r="AG2700">
        <v>-1.1075502109440001</v>
      </c>
      <c r="AH2700">
        <v>8.4504081555917505</v>
      </c>
      <c r="AI2700">
        <v>95.864990512597302</v>
      </c>
      <c r="AJ2700">
        <v>128.39445225599499</v>
      </c>
      <c r="AK2700">
        <v>10.8387063391814</v>
      </c>
    </row>
    <row r="2701" spans="1:37" x14ac:dyDescent="0.2">
      <c r="A2701" t="str">
        <f>"20200111153701746"</f>
        <v>20200111153701746</v>
      </c>
      <c r="B2701" t="str">
        <f>"1578728221735996"</f>
        <v>1578728221735996</v>
      </c>
      <c r="C2701" t="s">
        <v>37</v>
      </c>
      <c r="D2701">
        <v>5.575634</v>
      </c>
      <c r="E2701">
        <v>0.37854640000000001</v>
      </c>
      <c r="F2701" t="s">
        <v>44</v>
      </c>
      <c r="G2701">
        <v>-481.72789999999998</v>
      </c>
      <c r="H2701" s="1">
        <v>3.7330689999999899E-6</v>
      </c>
      <c r="I2701">
        <v>226.76</v>
      </c>
      <c r="J2701">
        <v>-490.59500000000003</v>
      </c>
      <c r="K2701">
        <v>1.1075649999999999</v>
      </c>
      <c r="L2701">
        <v>233.15270000000001</v>
      </c>
      <c r="M2701">
        <v>0.2723197</v>
      </c>
      <c r="N2701">
        <v>0</v>
      </c>
      <c r="O2701">
        <v>-0.96211100000000005</v>
      </c>
      <c r="P2701">
        <v>0.59479320000000002</v>
      </c>
      <c r="Q2701">
        <v>5.1399380000000001E-2</v>
      </c>
      <c r="R2701">
        <v>-0.80223389999999895</v>
      </c>
      <c r="S2701">
        <v>2.550446</v>
      </c>
      <c r="T2701">
        <v>-0.31673779999999901</v>
      </c>
      <c r="U2701">
        <v>-1.874466</v>
      </c>
      <c r="V2701">
        <v>-0.3542111</v>
      </c>
      <c r="W2701">
        <v>6.1918979999999998E-2</v>
      </c>
      <c r="X2701">
        <v>0.93311339999999998</v>
      </c>
      <c r="Y2701">
        <v>-0.60952910000000005</v>
      </c>
      <c r="Z2701">
        <v>0.1050884</v>
      </c>
      <c r="AA2701">
        <v>0.78576759999999901</v>
      </c>
      <c r="AB2701">
        <v>18</v>
      </c>
      <c r="AC2701">
        <v>8.8671000000000504</v>
      </c>
      <c r="AD2701">
        <v>-1.107561266931</v>
      </c>
      <c r="AE2701">
        <v>-6.3927000000000103</v>
      </c>
      <c r="AF2701">
        <v>-6.7218962510000502</v>
      </c>
      <c r="AG2701">
        <v>-1.107561266931</v>
      </c>
      <c r="AH2701">
        <v>8.4789192263391904</v>
      </c>
      <c r="AI2701">
        <v>95.844489211614899</v>
      </c>
      <c r="AJ2701">
        <v>128.406588682174</v>
      </c>
      <c r="AK2701">
        <v>10.8767022767012</v>
      </c>
    </row>
    <row r="2702" spans="1:37" x14ac:dyDescent="0.2">
      <c r="A2702" t="str">
        <f>"20200111153701769"</f>
        <v>20200111153701769</v>
      </c>
      <c r="B2702" t="str">
        <f>"1578728221765771"</f>
        <v>1578728221765771</v>
      </c>
      <c r="C2702" t="s">
        <v>37</v>
      </c>
      <c r="D2702">
        <v>5.5960169999999998</v>
      </c>
      <c r="E2702">
        <v>0.37893329999999997</v>
      </c>
      <c r="F2702" t="s">
        <v>44</v>
      </c>
      <c r="G2702">
        <v>-481.63749999999999</v>
      </c>
      <c r="H2702" s="1">
        <v>3.6855489999999898E-6</v>
      </c>
      <c r="I2702">
        <v>226.63579999999999</v>
      </c>
      <c r="J2702">
        <v>-490.54160000000002</v>
      </c>
      <c r="K2702">
        <v>1.107569</v>
      </c>
      <c r="L2702">
        <v>232.9872</v>
      </c>
      <c r="M2702">
        <v>0.27733140000000001</v>
      </c>
      <c r="N2702">
        <v>0</v>
      </c>
      <c r="O2702">
        <v>-0.96067849999999999</v>
      </c>
      <c r="P2702">
        <v>0.59879059999999995</v>
      </c>
      <c r="Q2702">
        <v>5.1309920000000002E-2</v>
      </c>
      <c r="R2702">
        <v>-0.79926090000000005</v>
      </c>
      <c r="S2702">
        <v>2.5595089999999998</v>
      </c>
      <c r="T2702">
        <v>-0.31647399999999998</v>
      </c>
      <c r="U2702">
        <v>-1.862152</v>
      </c>
      <c r="V2702">
        <v>-0.35400349999999903</v>
      </c>
      <c r="W2702">
        <v>6.1825709999999999E-2</v>
      </c>
      <c r="X2702">
        <v>0.93319830000000004</v>
      </c>
      <c r="Y2702">
        <v>-0.60921199999999998</v>
      </c>
      <c r="Z2702">
        <v>0.10502249999999901</v>
      </c>
      <c r="AA2702">
        <v>0.7860222</v>
      </c>
      <c r="AB2702">
        <v>18</v>
      </c>
      <c r="AC2702">
        <v>8.9041000000000192</v>
      </c>
      <c r="AD2702">
        <v>-1.107565314451</v>
      </c>
      <c r="AE2702">
        <v>-6.3514000000000097</v>
      </c>
      <c r="AF2702">
        <v>-6.7242054507051199</v>
      </c>
      <c r="AG2702">
        <v>-1.107565314451</v>
      </c>
      <c r="AH2702">
        <v>8.4848197899309508</v>
      </c>
      <c r="AI2702">
        <v>95.841262359753003</v>
      </c>
      <c r="AJ2702">
        <v>128.39676554288499</v>
      </c>
      <c r="AK2702">
        <v>10.8827297465604</v>
      </c>
    </row>
    <row r="2703" spans="1:37" x14ac:dyDescent="0.2">
      <c r="A2703" t="str">
        <f>"20200111153701792"</f>
        <v>20200111153701792</v>
      </c>
      <c r="B2703" t="str">
        <f>"1578728221785290"</f>
        <v>1578728221785290</v>
      </c>
      <c r="C2703" t="s">
        <v>37</v>
      </c>
      <c r="D2703">
        <v>5.61165</v>
      </c>
      <c r="E2703">
        <v>0.37878469999999997</v>
      </c>
      <c r="F2703" t="s">
        <v>38</v>
      </c>
      <c r="G2703">
        <v>-489.74849999999998</v>
      </c>
      <c r="H2703">
        <v>1.0088429999999999</v>
      </c>
      <c r="I2703">
        <v>232.41499999999999</v>
      </c>
      <c r="J2703">
        <v>-490.48680000000002</v>
      </c>
      <c r="K2703">
        <v>1.107575</v>
      </c>
      <c r="L2703">
        <v>232.8201</v>
      </c>
      <c r="M2703">
        <v>0.28242270000000003</v>
      </c>
      <c r="N2703">
        <v>0</v>
      </c>
      <c r="O2703">
        <v>-0.95919390000000004</v>
      </c>
      <c r="P2703">
        <v>0.60291349999999999</v>
      </c>
      <c r="Q2703">
        <v>5.0156599999999898E-2</v>
      </c>
      <c r="R2703">
        <v>-0.79622850000000001</v>
      </c>
      <c r="S2703">
        <v>2.566376</v>
      </c>
      <c r="T2703">
        <v>-0.31942490000000001</v>
      </c>
      <c r="U2703">
        <v>-1.851334</v>
      </c>
      <c r="V2703">
        <v>-0.35385059999999902</v>
      </c>
      <c r="W2703">
        <v>6.0669170000000001E-2</v>
      </c>
      <c r="X2703">
        <v>0.93333219999999995</v>
      </c>
      <c r="Y2703">
        <v>-0.60810869999999995</v>
      </c>
      <c r="Z2703">
        <v>0.1060233</v>
      </c>
      <c r="AA2703">
        <v>0.78674189999999999</v>
      </c>
      <c r="AB2703">
        <v>18</v>
      </c>
      <c r="AC2703">
        <v>0.73830000000003704</v>
      </c>
      <c r="AD2703">
        <v>-9.8732E-2</v>
      </c>
      <c r="AE2703">
        <v>-0.40510000000000401</v>
      </c>
      <c r="AF2703">
        <v>-0.58576670866055502</v>
      </c>
      <c r="AG2703">
        <v>-9.8732E-2</v>
      </c>
      <c r="AH2703">
        <v>0.58904072052955703</v>
      </c>
      <c r="AI2703">
        <v>96.777892919755203</v>
      </c>
      <c r="AJ2703">
        <v>134.840325680722</v>
      </c>
      <c r="AK2703">
        <v>0.83656417281700501</v>
      </c>
    </row>
    <row r="2704" spans="1:37" x14ac:dyDescent="0.2">
      <c r="A2704" t="str">
        <f>"20200111153701814"</f>
        <v>20200111153701814</v>
      </c>
      <c r="B2704" t="str">
        <f>"1578728221805786"</f>
        <v>1578728221805786</v>
      </c>
      <c r="C2704" t="s">
        <v>37</v>
      </c>
      <c r="D2704">
        <v>5.6324519999999998</v>
      </c>
      <c r="E2704">
        <v>0.37874400000000003</v>
      </c>
      <c r="F2704" t="s">
        <v>38</v>
      </c>
      <c r="G2704">
        <v>-489.70780000000002</v>
      </c>
      <c r="H2704">
        <v>1.011139</v>
      </c>
      <c r="I2704">
        <v>232.2646</v>
      </c>
      <c r="J2704">
        <v>-490.42970000000003</v>
      </c>
      <c r="K2704">
        <v>1.1075809999999999</v>
      </c>
      <c r="L2704">
        <v>232.64940000000001</v>
      </c>
      <c r="M2704">
        <v>0.28765790000000002</v>
      </c>
      <c r="N2704">
        <v>0</v>
      </c>
      <c r="O2704">
        <v>-0.95763690000000001</v>
      </c>
      <c r="P2704">
        <v>0.60716110000000001</v>
      </c>
      <c r="Q2704">
        <v>4.9119349999999999E-2</v>
      </c>
      <c r="R2704">
        <v>-0.79305930000000002</v>
      </c>
      <c r="S2704">
        <v>2.57662999999999</v>
      </c>
      <c r="T2704">
        <v>-0.31883840000000002</v>
      </c>
      <c r="U2704">
        <v>-1.8367309999999999</v>
      </c>
      <c r="V2704">
        <v>-0.35371799999999998</v>
      </c>
      <c r="W2704">
        <v>5.9625350000000001E-2</v>
      </c>
      <c r="X2704">
        <v>0.93344969999999905</v>
      </c>
      <c r="Y2704">
        <v>-0.60823780000000005</v>
      </c>
      <c r="Z2704">
        <v>0.1058624</v>
      </c>
      <c r="AA2704">
        <v>0.78666380000000002</v>
      </c>
      <c r="AB2704">
        <v>18</v>
      </c>
      <c r="AC2704">
        <v>0.72190000000000498</v>
      </c>
      <c r="AD2704">
        <v>-9.6441999999999903E-2</v>
      </c>
      <c r="AE2704">
        <v>-0.38480000000001202</v>
      </c>
      <c r="AF2704">
        <v>-0.57272089710168395</v>
      </c>
      <c r="AG2704">
        <v>-9.6441999999999903E-2</v>
      </c>
      <c r="AH2704">
        <v>0.56831334240435405</v>
      </c>
      <c r="AI2704">
        <v>96.816262038526403</v>
      </c>
      <c r="AJ2704">
        <v>135.22131941126401</v>
      </c>
      <c r="AK2704">
        <v>0.81258251303837903</v>
      </c>
    </row>
    <row r="2705" spans="1:37" x14ac:dyDescent="0.2">
      <c r="A2705" t="str">
        <f>"20200111153701837"</f>
        <v>20200111153701837</v>
      </c>
      <c r="B2705" t="str">
        <f>"1578728221825306"</f>
        <v>1578728221825306</v>
      </c>
      <c r="C2705" t="s">
        <v>37</v>
      </c>
      <c r="D2705">
        <v>5.6343449999999997</v>
      </c>
      <c r="E2705">
        <v>0.37874619999999998</v>
      </c>
      <c r="F2705" t="s">
        <v>38</v>
      </c>
      <c r="G2705">
        <v>-489.6687</v>
      </c>
      <c r="H2705">
        <v>1.0136540000000001</v>
      </c>
      <c r="I2705">
        <v>232.11320000000001</v>
      </c>
      <c r="J2705">
        <v>-490.37270000000001</v>
      </c>
      <c r="K2705">
        <v>1.1075870000000001</v>
      </c>
      <c r="L2705">
        <v>232.4819</v>
      </c>
      <c r="M2705">
        <v>0.29283239999999999</v>
      </c>
      <c r="N2705">
        <v>0</v>
      </c>
      <c r="O2705">
        <v>-0.95606740000000001</v>
      </c>
      <c r="P2705">
        <v>0.6111991</v>
      </c>
      <c r="Q2705">
        <v>4.8478100000000003E-2</v>
      </c>
      <c r="R2705">
        <v>-0.78999129999999995</v>
      </c>
      <c r="S2705">
        <v>2.5864560000000001</v>
      </c>
      <c r="T2705">
        <v>-0.3192527</v>
      </c>
      <c r="U2705">
        <v>-1.822433</v>
      </c>
      <c r="V2705">
        <v>-0.3534178</v>
      </c>
      <c r="W2705">
        <v>5.8977040000000001E-2</v>
      </c>
      <c r="X2705">
        <v>0.93360460000000001</v>
      </c>
      <c r="Y2705">
        <v>-0.60825839999999998</v>
      </c>
      <c r="Z2705">
        <v>0.10602780000000001</v>
      </c>
      <c r="AA2705">
        <v>0.78662559999999904</v>
      </c>
      <c r="AB2705">
        <v>18</v>
      </c>
      <c r="AC2705">
        <v>0.70400000000000695</v>
      </c>
      <c r="AD2705">
        <v>-9.3933000000000003E-2</v>
      </c>
      <c r="AE2705">
        <v>-0.36869999999998898</v>
      </c>
      <c r="AF2705">
        <v>-0.55736927207596798</v>
      </c>
      <c r="AG2705">
        <v>-9.3933000000000003E-2</v>
      </c>
      <c r="AH2705">
        <v>0.55100944658114903</v>
      </c>
      <c r="AI2705">
        <v>96.834298162701103</v>
      </c>
      <c r="AJ2705">
        <v>135.32875690786301</v>
      </c>
      <c r="AK2705">
        <v>0.78936387310616096</v>
      </c>
    </row>
    <row r="2706" spans="1:37" x14ac:dyDescent="0.2">
      <c r="A2706" t="str">
        <f>"20200111153701858"</f>
        <v>20200111153701858</v>
      </c>
      <c r="B2706" t="str">
        <f>"1578728221855563"</f>
        <v>1578728221855563</v>
      </c>
      <c r="C2706" t="s">
        <v>37</v>
      </c>
      <c r="D2706">
        <v>5.6488899999999997</v>
      </c>
      <c r="E2706">
        <v>0.37847439999999999</v>
      </c>
      <c r="F2706" t="s">
        <v>38</v>
      </c>
      <c r="G2706">
        <v>-489.62799999999999</v>
      </c>
      <c r="H2706">
        <v>1.015754</v>
      </c>
      <c r="I2706">
        <v>231.96270000000001</v>
      </c>
      <c r="J2706">
        <v>-490.3193</v>
      </c>
      <c r="K2706">
        <v>1.1076010000000001</v>
      </c>
      <c r="L2706">
        <v>232.3278</v>
      </c>
      <c r="M2706">
        <v>0.29763109999999998</v>
      </c>
      <c r="N2706">
        <v>0</v>
      </c>
      <c r="O2706">
        <v>-0.9545844</v>
      </c>
      <c r="P2706">
        <v>0.61487179999999997</v>
      </c>
      <c r="Q2706">
        <v>4.8332960000000001E-2</v>
      </c>
      <c r="R2706">
        <v>-0.78714510000000004</v>
      </c>
      <c r="S2706">
        <v>2.595459</v>
      </c>
      <c r="T2706">
        <v>-0.32000719999999999</v>
      </c>
      <c r="U2706">
        <v>-1.8091279999999901</v>
      </c>
      <c r="V2706">
        <v>-0.35307470000000002</v>
      </c>
      <c r="W2706">
        <v>5.8824250000000002E-2</v>
      </c>
      <c r="X2706">
        <v>0.93374409999999897</v>
      </c>
      <c r="Y2706">
        <v>-0.60825439999999997</v>
      </c>
      <c r="Z2706">
        <v>0.10630099999999899</v>
      </c>
      <c r="AA2706">
        <v>0.78659179999999995</v>
      </c>
      <c r="AB2706">
        <v>18</v>
      </c>
      <c r="AC2706">
        <v>0.69129999999995495</v>
      </c>
      <c r="AD2706">
        <v>-9.1846999999999998E-2</v>
      </c>
      <c r="AE2706">
        <v>-0.36509999999998399</v>
      </c>
      <c r="AF2706">
        <v>-0.54378442978227903</v>
      </c>
      <c r="AG2706">
        <v>-9.1846999999999998E-2</v>
      </c>
      <c r="AH2706">
        <v>0.54677548860868797</v>
      </c>
      <c r="AI2706">
        <v>96.792197928899697</v>
      </c>
      <c r="AJ2706">
        <v>134.842856303052</v>
      </c>
      <c r="AK2706">
        <v>0.77659565568312805</v>
      </c>
    </row>
    <row r="2707" spans="1:37" x14ac:dyDescent="0.2">
      <c r="A2707" t="str">
        <f>"20200111153701880"</f>
        <v>20200111153701880</v>
      </c>
      <c r="B2707" t="str">
        <f>"1578728221875083"</f>
        <v>1578728221875083</v>
      </c>
      <c r="C2707" t="s">
        <v>37</v>
      </c>
      <c r="D2707">
        <v>5.5623680000000002</v>
      </c>
      <c r="E2707">
        <v>0.37850079999999903</v>
      </c>
      <c r="F2707" t="s">
        <v>38</v>
      </c>
      <c r="G2707">
        <v>-489.57839999999999</v>
      </c>
      <c r="H2707">
        <v>1.017355</v>
      </c>
      <c r="I2707">
        <v>231.81720000000001</v>
      </c>
      <c r="J2707">
        <v>-490.26190000000003</v>
      </c>
      <c r="K2707">
        <v>1.1076170000000001</v>
      </c>
      <c r="L2707">
        <v>232.1653</v>
      </c>
      <c r="M2707">
        <v>0.30273369999999999</v>
      </c>
      <c r="N2707">
        <v>0</v>
      </c>
      <c r="O2707">
        <v>-0.952978199999999</v>
      </c>
      <c r="P2707">
        <v>0.61897000000000002</v>
      </c>
      <c r="Q2707">
        <v>4.8510919999999999E-2</v>
      </c>
      <c r="R2707">
        <v>-0.78391480000000002</v>
      </c>
      <c r="S2707">
        <v>2.6054379999999999</v>
      </c>
      <c r="T2707">
        <v>-0.31736829999999999</v>
      </c>
      <c r="U2707">
        <v>-1.79551699999999</v>
      </c>
      <c r="V2707">
        <v>-0.352958099999999</v>
      </c>
      <c r="W2707">
        <v>5.8987980000000002E-2</v>
      </c>
      <c r="X2707">
        <v>0.93377779999999999</v>
      </c>
      <c r="Y2707">
        <v>-0.60829429999999995</v>
      </c>
      <c r="Z2707">
        <v>0.105432199999999</v>
      </c>
      <c r="AA2707">
        <v>0.78667790000000004</v>
      </c>
      <c r="AB2707">
        <v>18</v>
      </c>
      <c r="AC2707">
        <v>0.68350000000003697</v>
      </c>
      <c r="AD2707">
        <v>-9.0261999999999995E-2</v>
      </c>
      <c r="AE2707">
        <v>-0.34809999999998797</v>
      </c>
      <c r="AF2707">
        <v>-0.53857150084976202</v>
      </c>
      <c r="AG2707">
        <v>-9.0261999999999995E-2</v>
      </c>
      <c r="AH2707">
        <v>0.53134213006035402</v>
      </c>
      <c r="AI2707">
        <v>96.803556343649205</v>
      </c>
      <c r="AJ2707">
        <v>135.38713978318501</v>
      </c>
      <c r="AK2707">
        <v>0.761925816171521</v>
      </c>
    </row>
    <row r="2708" spans="1:37" x14ac:dyDescent="0.2">
      <c r="A2708" t="str">
        <f>"20200111153701903"</f>
        <v>20200111153701903</v>
      </c>
      <c r="B2708" t="str">
        <f>"1578728221895578"</f>
        <v>1578728221895578</v>
      </c>
      <c r="C2708" t="s">
        <v>37</v>
      </c>
      <c r="D2708">
        <v>5.572247</v>
      </c>
      <c r="E2708">
        <v>0.37843969999999999</v>
      </c>
      <c r="F2708" t="s">
        <v>44</v>
      </c>
      <c r="G2708">
        <v>-481.19</v>
      </c>
      <c r="H2708" s="1">
        <v>3.4420269999999999E-6</v>
      </c>
      <c r="I2708">
        <v>225.98310000000001</v>
      </c>
      <c r="J2708">
        <v>-490.20069999999998</v>
      </c>
      <c r="K2708">
        <v>1.107634</v>
      </c>
      <c r="L2708">
        <v>231.99520000000001</v>
      </c>
      <c r="M2708">
        <v>0.30812699999999998</v>
      </c>
      <c r="N2708">
        <v>0</v>
      </c>
      <c r="O2708">
        <v>-0.95124819999999999</v>
      </c>
      <c r="P2708">
        <v>0.62387959999999998</v>
      </c>
      <c r="Q2708">
        <v>4.846396E-2</v>
      </c>
      <c r="R2708">
        <v>-0.7800165</v>
      </c>
      <c r="S2708">
        <v>2.6149290000000001</v>
      </c>
      <c r="T2708">
        <v>-0.319264099999999</v>
      </c>
      <c r="U2708">
        <v>-1.7819669999999901</v>
      </c>
      <c r="V2708">
        <v>-0.3535335</v>
      </c>
      <c r="W2708">
        <v>5.8917539999999997E-2</v>
      </c>
      <c r="X2708">
        <v>0.93356450000000002</v>
      </c>
      <c r="Y2708">
        <v>-0.60787029999999997</v>
      </c>
      <c r="Z2708">
        <v>0.10605339999999901</v>
      </c>
      <c r="AA2708">
        <v>0.78692220000000002</v>
      </c>
      <c r="AB2708">
        <v>18</v>
      </c>
      <c r="AC2708">
        <v>9.0106999999999804</v>
      </c>
      <c r="AD2708">
        <v>-1.1076305579729999</v>
      </c>
      <c r="AE2708">
        <v>-6.0121000000000002</v>
      </c>
      <c r="AF2708">
        <v>-6.6500119246189504</v>
      </c>
      <c r="AG2708">
        <v>-1.1076305579729999</v>
      </c>
      <c r="AH2708">
        <v>8.4083092376339206</v>
      </c>
      <c r="AI2708">
        <v>95.898981567842995</v>
      </c>
      <c r="AJ2708">
        <v>128.33996988232801</v>
      </c>
      <c r="AK2708">
        <v>10.777252353276699</v>
      </c>
    </row>
    <row r="2709" spans="1:37" x14ac:dyDescent="0.2">
      <c r="A2709" t="str">
        <f>"20200111153701926"</f>
        <v>20200111153701926</v>
      </c>
      <c r="B2709" t="str">
        <f>"1578728221915101"</f>
        <v>1578728221915101</v>
      </c>
      <c r="C2709" t="s">
        <v>37</v>
      </c>
      <c r="D2709">
        <v>5.5417949999999996</v>
      </c>
      <c r="E2709">
        <v>0.37841229999999998</v>
      </c>
      <c r="F2709" t="s">
        <v>44</v>
      </c>
      <c r="G2709">
        <v>-481.13470000000001</v>
      </c>
      <c r="H2709" s="1">
        <v>3.4118020000000002E-6</v>
      </c>
      <c r="I2709">
        <v>225.90180000000001</v>
      </c>
      <c r="J2709">
        <v>-490.13990000000001</v>
      </c>
      <c r="K2709">
        <v>1.107648</v>
      </c>
      <c r="L2709">
        <v>231.82929999999999</v>
      </c>
      <c r="M2709">
        <v>0.31342809999999999</v>
      </c>
      <c r="N2709">
        <v>0</v>
      </c>
      <c r="O2709">
        <v>-0.94951459999999999</v>
      </c>
      <c r="P2709">
        <v>0.62844979999999995</v>
      </c>
      <c r="Q2709">
        <v>4.8025699999999998E-2</v>
      </c>
      <c r="R2709">
        <v>-0.77636619999999901</v>
      </c>
      <c r="S2709">
        <v>2.626465</v>
      </c>
      <c r="T2709">
        <v>-0.32088699999999998</v>
      </c>
      <c r="U2709">
        <v>-1.765274</v>
      </c>
      <c r="V2709">
        <v>-0.3537999</v>
      </c>
      <c r="W2709">
        <v>5.8463910000000001E-2</v>
      </c>
      <c r="X2709">
        <v>0.93349219999999899</v>
      </c>
      <c r="Y2709">
        <v>-0.60845229999999995</v>
      </c>
      <c r="Z2709">
        <v>0.106602399999999</v>
      </c>
      <c r="AA2709">
        <v>0.78639799999999904</v>
      </c>
      <c r="AB2709">
        <v>18</v>
      </c>
      <c r="AC2709">
        <v>9.0052000000000003</v>
      </c>
      <c r="AD2709">
        <v>-1.1076445881979999</v>
      </c>
      <c r="AE2709">
        <v>-5.9274999999999798</v>
      </c>
      <c r="AF2709">
        <v>-6.6234276002471804</v>
      </c>
      <c r="AG2709">
        <v>-1.1076445881979999</v>
      </c>
      <c r="AH2709">
        <v>8.3632319688004308</v>
      </c>
      <c r="AI2709">
        <v>95.927519635688697</v>
      </c>
      <c r="AJ2709">
        <v>128.378162460467</v>
      </c>
      <c r="AK2709">
        <v>10.725684997865899</v>
      </c>
    </row>
    <row r="2710" spans="1:37" x14ac:dyDescent="0.2">
      <c r="A2710" t="str">
        <f>"20200111153701949"</f>
        <v>20200111153701949</v>
      </c>
      <c r="B2710" t="str">
        <f>"1578728221945354"</f>
        <v>1578728221945354</v>
      </c>
      <c r="C2710" t="s">
        <v>37</v>
      </c>
      <c r="D2710">
        <v>5.4797580000000004</v>
      </c>
      <c r="E2710">
        <v>0.35946990000000001</v>
      </c>
      <c r="F2710" t="s">
        <v>44</v>
      </c>
      <c r="G2710">
        <v>-481.09899999999999</v>
      </c>
      <c r="H2710" s="1">
        <v>3.388131E-6</v>
      </c>
      <c r="I2710">
        <v>225.8306</v>
      </c>
      <c r="J2710">
        <v>-490.08019999999999</v>
      </c>
      <c r="K2710">
        <v>1.107658</v>
      </c>
      <c r="L2710">
        <v>231.66929999999999</v>
      </c>
      <c r="M2710">
        <v>0.31858700000000001</v>
      </c>
      <c r="N2710">
        <v>0</v>
      </c>
      <c r="O2710">
        <v>-0.94779629999999904</v>
      </c>
      <c r="P2710">
        <v>0.63312570000000001</v>
      </c>
      <c r="Q2710">
        <v>4.78407E-2</v>
      </c>
      <c r="R2710">
        <v>-0.77256950000000002</v>
      </c>
      <c r="S2710">
        <v>2.6369319999999998</v>
      </c>
      <c r="T2710">
        <v>-0.32306409999999902</v>
      </c>
      <c r="U2710">
        <v>-1.749649</v>
      </c>
      <c r="V2710">
        <v>-0.35435679999999897</v>
      </c>
      <c r="W2710">
        <v>5.8263019999999999E-2</v>
      </c>
      <c r="X2710">
        <v>0.9332935</v>
      </c>
      <c r="Y2710">
        <v>-0.60875849999999998</v>
      </c>
      <c r="Z2710">
        <v>0.10733039999999899</v>
      </c>
      <c r="AA2710">
        <v>0.78606189999999998</v>
      </c>
      <c r="AB2710">
        <v>18</v>
      </c>
      <c r="AC2710">
        <v>8.9811999999999994</v>
      </c>
      <c r="AD2710">
        <v>-1.107654611869</v>
      </c>
      <c r="AE2710">
        <v>-5.8386999999999798</v>
      </c>
      <c r="AF2710">
        <v>-6.5824503240730801</v>
      </c>
      <c r="AG2710">
        <v>-1.107654611869</v>
      </c>
      <c r="AH2710">
        <v>8.3071487714588095</v>
      </c>
      <c r="AI2710">
        <v>95.966109728666396</v>
      </c>
      <c r="AJ2710">
        <v>128.39273585181999</v>
      </c>
      <c r="AK2710">
        <v>10.656653870668499</v>
      </c>
    </row>
    <row r="2711" spans="1:37" x14ac:dyDescent="0.2">
      <c r="A2711" t="str">
        <f>"20200111153701971"</f>
        <v>20200111153701971</v>
      </c>
      <c r="B2711" t="str">
        <f>"1578728221965160"</f>
        <v>1578728221965160</v>
      </c>
      <c r="C2711" t="s">
        <v>37</v>
      </c>
      <c r="D2711">
        <v>5.5099539999999996</v>
      </c>
      <c r="E2711">
        <v>0.35231030000000002</v>
      </c>
      <c r="F2711" t="s">
        <v>44</v>
      </c>
      <c r="G2711">
        <v>-481.53160000000003</v>
      </c>
      <c r="H2711" s="1">
        <v>3.6536099999999999E-6</v>
      </c>
      <c r="I2711">
        <v>226.59739999999999</v>
      </c>
      <c r="J2711">
        <v>-490.02080000000001</v>
      </c>
      <c r="K2711">
        <v>1.107672</v>
      </c>
      <c r="L2711">
        <v>231.5129</v>
      </c>
      <c r="M2711">
        <v>0.32367379999999901</v>
      </c>
      <c r="N2711">
        <v>0</v>
      </c>
      <c r="O2711">
        <v>-0.946070999999999</v>
      </c>
      <c r="P2711">
        <v>0.63770559999999998</v>
      </c>
      <c r="Q2711">
        <v>4.7906629999999999E-2</v>
      </c>
      <c r="R2711">
        <v>-0.76878859999999904</v>
      </c>
      <c r="S2711">
        <v>2.7641909999999998</v>
      </c>
      <c r="T2711">
        <v>-0.3581609</v>
      </c>
      <c r="U2711">
        <v>-1.639999</v>
      </c>
      <c r="V2711">
        <v>-0.35489369999999998</v>
      </c>
      <c r="W2711">
        <v>5.8313950000000003E-2</v>
      </c>
      <c r="X2711">
        <v>0.93308630000000004</v>
      </c>
      <c r="Y2711">
        <v>-0.64241959999999998</v>
      </c>
      <c r="Z2711">
        <v>0.1179418</v>
      </c>
      <c r="AA2711">
        <v>0.75722309999999904</v>
      </c>
      <c r="AB2711">
        <v>17</v>
      </c>
      <c r="AC2711">
        <v>8.4891999999999808</v>
      </c>
      <c r="AD2711">
        <v>-1.1076683463899999</v>
      </c>
      <c r="AE2711">
        <v>-4.9154999999999998</v>
      </c>
      <c r="AF2711">
        <v>-6.3598736731058096</v>
      </c>
      <c r="AG2711">
        <v>-1.1076683463899999</v>
      </c>
      <c r="AH2711">
        <v>7.3056793444708497</v>
      </c>
      <c r="AI2711">
        <v>96.523790134119906</v>
      </c>
      <c r="AJ2711">
        <v>131.04081929436799</v>
      </c>
      <c r="AK2711">
        <v>9.7492498679481407</v>
      </c>
    </row>
    <row r="2712" spans="1:37" x14ac:dyDescent="0.2">
      <c r="A2712" t="str">
        <f>"20200111153701993"</f>
        <v>20200111153701993</v>
      </c>
      <c r="B2712" t="str">
        <f>"1578728221985657"</f>
        <v>1578728221985657</v>
      </c>
      <c r="C2712" t="s">
        <v>37</v>
      </c>
      <c r="D2712">
        <v>5.4630169999999998</v>
      </c>
      <c r="E2712">
        <v>0.35069479999999997</v>
      </c>
      <c r="F2712" t="s">
        <v>44</v>
      </c>
      <c r="G2712">
        <v>-481.24020000000002</v>
      </c>
      <c r="H2712" s="1">
        <v>3.5825739999999999E-6</v>
      </c>
      <c r="I2712">
        <v>226.5684</v>
      </c>
      <c r="J2712">
        <v>-489.95749999999998</v>
      </c>
      <c r="K2712">
        <v>1.1076839999999999</v>
      </c>
      <c r="L2712">
        <v>231.34870000000001</v>
      </c>
      <c r="M2712">
        <v>0.32905980000000001</v>
      </c>
      <c r="N2712">
        <v>0</v>
      </c>
      <c r="O2712">
        <v>-0.94421119999999903</v>
      </c>
      <c r="P2712">
        <v>0.64209959999999999</v>
      </c>
      <c r="Q2712">
        <v>4.7759879999999998E-2</v>
      </c>
      <c r="R2712">
        <v>-0.76513209999999998</v>
      </c>
      <c r="S2712">
        <v>2.8180239999999999</v>
      </c>
      <c r="T2712">
        <v>-0.35549059999999999</v>
      </c>
      <c r="U2712">
        <v>-1.5868530000000001</v>
      </c>
      <c r="V2712">
        <v>-0.3549196</v>
      </c>
      <c r="W2712">
        <v>5.8156859999999998E-2</v>
      </c>
      <c r="X2712">
        <v>0.93308619999999898</v>
      </c>
      <c r="Y2712">
        <v>-0.65525610000000001</v>
      </c>
      <c r="Z2712">
        <v>0.1167168</v>
      </c>
      <c r="AA2712">
        <v>0.74633549999999904</v>
      </c>
      <c r="AB2712">
        <v>17</v>
      </c>
      <c r="AC2712">
        <v>8.7172999999999607</v>
      </c>
      <c r="AD2712">
        <v>-1.107680417426</v>
      </c>
      <c r="AE2712">
        <v>-4.7803000000000102</v>
      </c>
      <c r="AF2712">
        <v>-6.5769421017788501</v>
      </c>
      <c r="AG2712">
        <v>-1.107680417426</v>
      </c>
      <c r="AH2712">
        <v>7.2922873600735896</v>
      </c>
      <c r="AI2712">
        <v>96.435629850212194</v>
      </c>
      <c r="AJ2712">
        <v>132.04742233289701</v>
      </c>
      <c r="AK2712">
        <v>9.8823366801171701</v>
      </c>
    </row>
    <row r="2713" spans="1:37" x14ac:dyDescent="0.2">
      <c r="A2713" t="str">
        <f>"20200111153702014"</f>
        <v>20200111153702014</v>
      </c>
      <c r="B2713" t="str">
        <f>"1578728222005176"</f>
        <v>1578728222005176</v>
      </c>
      <c r="C2713" t="s">
        <v>37</v>
      </c>
      <c r="D2713">
        <v>5.4405769999999896</v>
      </c>
      <c r="E2713">
        <v>0.35025859999999998</v>
      </c>
      <c r="F2713" t="s">
        <v>44</v>
      </c>
      <c r="G2713">
        <v>-481.1096</v>
      </c>
      <c r="H2713" s="1">
        <v>3.5331760000000001E-6</v>
      </c>
      <c r="I2713">
        <v>226.476</v>
      </c>
      <c r="J2713">
        <v>-489.8965</v>
      </c>
      <c r="K2713">
        <v>1.107701</v>
      </c>
      <c r="L2713">
        <v>231.19329999999999</v>
      </c>
      <c r="M2713">
        <v>0.33421009999999901</v>
      </c>
      <c r="N2713">
        <v>0</v>
      </c>
      <c r="O2713">
        <v>-0.94240069999999998</v>
      </c>
      <c r="P2713">
        <v>0.64596719999999996</v>
      </c>
      <c r="Q2713">
        <v>4.7702550000000003E-2</v>
      </c>
      <c r="R2713">
        <v>-0.76187329999999998</v>
      </c>
      <c r="S2713">
        <v>2.836884</v>
      </c>
      <c r="T2713">
        <v>-0.35515239999999998</v>
      </c>
      <c r="U2713">
        <v>-1.5623320000000001</v>
      </c>
      <c r="V2713">
        <v>-0.35455300000000001</v>
      </c>
      <c r="W2713">
        <v>5.8090219999999998E-2</v>
      </c>
      <c r="X2713">
        <v>0.93322969999999905</v>
      </c>
      <c r="Y2713">
        <v>-0.65822569999999903</v>
      </c>
      <c r="Z2713">
        <v>0.1165424</v>
      </c>
      <c r="AA2713">
        <v>0.74374510000000005</v>
      </c>
      <c r="AB2713">
        <v>17</v>
      </c>
      <c r="AC2713">
        <v>8.7868999999999993</v>
      </c>
      <c r="AD2713">
        <v>-1.1076974668240001</v>
      </c>
      <c r="AE2713">
        <v>-4.7172999999999901</v>
      </c>
      <c r="AF2713">
        <v>-6.62312558627037</v>
      </c>
      <c r="AG2713">
        <v>-1.1076974668240001</v>
      </c>
      <c r="AH2713">
        <v>7.2929709254142603</v>
      </c>
      <c r="AI2713">
        <v>96.415323910115802</v>
      </c>
      <c r="AJ2713">
        <v>132.24421922841299</v>
      </c>
      <c r="AK2713">
        <v>9.9136376335054397</v>
      </c>
    </row>
    <row r="2714" spans="1:37" x14ac:dyDescent="0.2">
      <c r="A2714" t="str">
        <f>"20200111153702037"</f>
        <v>20200111153702037</v>
      </c>
      <c r="B2714" t="str">
        <f>"1578728222025672"</f>
        <v>1578728222025672</v>
      </c>
      <c r="C2714" t="s">
        <v>37</v>
      </c>
      <c r="D2714">
        <v>5.4235470000000001</v>
      </c>
      <c r="E2714">
        <v>0.34971340000000001</v>
      </c>
      <c r="F2714" t="s">
        <v>44</v>
      </c>
      <c r="G2714">
        <v>-481.09309999999999</v>
      </c>
      <c r="H2714" s="1">
        <v>3.515682E-6</v>
      </c>
      <c r="I2714">
        <v>226.4134</v>
      </c>
      <c r="J2714">
        <v>-489.83260000000001</v>
      </c>
      <c r="K2714">
        <v>1.1077239999999999</v>
      </c>
      <c r="L2714">
        <v>231.0334</v>
      </c>
      <c r="M2714">
        <v>0.33955730000000001</v>
      </c>
      <c r="N2714">
        <v>0</v>
      </c>
      <c r="O2714">
        <v>-0.94048719999999997</v>
      </c>
      <c r="P2714">
        <v>0.64999680000000004</v>
      </c>
      <c r="Q2714">
        <v>4.8093740000000003E-2</v>
      </c>
      <c r="R2714">
        <v>-0.75841409999999998</v>
      </c>
      <c r="S2714">
        <v>2.847321</v>
      </c>
      <c r="T2714">
        <v>-0.35826779999999903</v>
      </c>
      <c r="U2714">
        <v>-1.5459590000000001</v>
      </c>
      <c r="V2714">
        <v>-0.35421320000000001</v>
      </c>
      <c r="W2714">
        <v>5.8468190000000003E-2</v>
      </c>
      <c r="X2714">
        <v>0.93333509999999997</v>
      </c>
      <c r="Y2714">
        <v>-0.65831689999999998</v>
      </c>
      <c r="Z2714">
        <v>0.11752369999999999</v>
      </c>
      <c r="AA2714">
        <v>0.74351009999999995</v>
      </c>
      <c r="AB2714">
        <v>17</v>
      </c>
      <c r="AC2714">
        <v>8.7395000000000191</v>
      </c>
      <c r="AD2714">
        <v>-1.107720484318</v>
      </c>
      <c r="AE2714">
        <v>-4.62</v>
      </c>
      <c r="AF2714">
        <v>-6.5687677588637099</v>
      </c>
      <c r="AG2714">
        <v>-1.107720484318</v>
      </c>
      <c r="AH2714">
        <v>7.2225979173183399</v>
      </c>
      <c r="AI2714">
        <v>96.4732100869861</v>
      </c>
      <c r="AJ2714">
        <v>132.285716208976</v>
      </c>
      <c r="AK2714">
        <v>9.8255623358928599</v>
      </c>
    </row>
    <row r="2715" spans="1:37" x14ac:dyDescent="0.2">
      <c r="A2715" t="str">
        <f>"20200111153702058"</f>
        <v>20200111153702058</v>
      </c>
      <c r="B2715" t="str">
        <f>"1578728222055928"</f>
        <v>1578728222055928</v>
      </c>
      <c r="C2715" t="s">
        <v>37</v>
      </c>
      <c r="D2715">
        <v>5.3968730000000003</v>
      </c>
      <c r="E2715">
        <v>0.3492575</v>
      </c>
      <c r="F2715" t="s">
        <v>44</v>
      </c>
      <c r="G2715">
        <v>-480.98480000000001</v>
      </c>
      <c r="H2715" s="1">
        <v>3.4673069999999998E-6</v>
      </c>
      <c r="I2715">
        <v>226.3032</v>
      </c>
      <c r="J2715">
        <v>-489.77050000000003</v>
      </c>
      <c r="K2715">
        <v>1.107753</v>
      </c>
      <c r="L2715">
        <v>230.88069999999999</v>
      </c>
      <c r="M2715">
        <v>0.34471689999999999</v>
      </c>
      <c r="N2715">
        <v>0</v>
      </c>
      <c r="O2715">
        <v>-0.93860829999999995</v>
      </c>
      <c r="P2715">
        <v>0.65377209999999997</v>
      </c>
      <c r="Q2715">
        <v>4.8036339999999997E-2</v>
      </c>
      <c r="R2715">
        <v>-0.75516549999999905</v>
      </c>
      <c r="S2715">
        <v>2.8586429999999998</v>
      </c>
      <c r="T2715">
        <v>-0.3578964</v>
      </c>
      <c r="U2715">
        <v>-1.5282899999999999</v>
      </c>
      <c r="V2715">
        <v>-0.35374509999999998</v>
      </c>
      <c r="W2715">
        <v>5.8397730000000002E-2</v>
      </c>
      <c r="X2715">
        <v>0.93351700000000004</v>
      </c>
      <c r="Y2715">
        <v>-0.65902249999999996</v>
      </c>
      <c r="Z2715">
        <v>0.11737599999999999</v>
      </c>
      <c r="AA2715">
        <v>0.74290800000000001</v>
      </c>
      <c r="AB2715">
        <v>17</v>
      </c>
      <c r="AC2715">
        <v>8.7857000000000198</v>
      </c>
      <c r="AD2715">
        <v>-1.107749532693</v>
      </c>
      <c r="AE2715">
        <v>-4.5774999999999801</v>
      </c>
      <c r="AF2715">
        <v>-6.5866497884699404</v>
      </c>
      <c r="AG2715">
        <v>-1.107749532693</v>
      </c>
      <c r="AH2715">
        <v>7.2352699195509498</v>
      </c>
      <c r="AI2715">
        <v>96.459334949216597</v>
      </c>
      <c r="AJ2715">
        <v>132.31325652871499</v>
      </c>
      <c r="AK2715">
        <v>9.8468368155408896</v>
      </c>
    </row>
    <row r="2716" spans="1:37" x14ac:dyDescent="0.2">
      <c r="A2716" t="str">
        <f>"20200111153702081"</f>
        <v>20200111153702081</v>
      </c>
      <c r="B2716" t="str">
        <f>"1578728222075448"</f>
        <v>1578728222075448</v>
      </c>
      <c r="C2716" t="s">
        <v>37</v>
      </c>
      <c r="D2716">
        <v>5.4137199999999996</v>
      </c>
      <c r="E2716">
        <v>0.34899059999999998</v>
      </c>
      <c r="F2716" t="s">
        <v>44</v>
      </c>
      <c r="G2716">
        <v>-480.86259999999999</v>
      </c>
      <c r="H2716" s="1">
        <v>3.4145449999999998E-6</v>
      </c>
      <c r="I2716">
        <v>226.18709999999999</v>
      </c>
      <c r="J2716">
        <v>-489.7045</v>
      </c>
      <c r="K2716">
        <v>1.1077760000000001</v>
      </c>
      <c r="L2716">
        <v>230.72120000000001</v>
      </c>
      <c r="M2716">
        <v>0.35017589999999998</v>
      </c>
      <c r="N2716">
        <v>0</v>
      </c>
      <c r="O2716">
        <v>-0.93658519999999901</v>
      </c>
      <c r="P2716">
        <v>0.6575936</v>
      </c>
      <c r="Q2716">
        <v>4.7852239999999997E-2</v>
      </c>
      <c r="R2716">
        <v>-0.75185199999999996</v>
      </c>
      <c r="S2716">
        <v>2.8688959999999999</v>
      </c>
      <c r="T2716">
        <v>-0.3567632</v>
      </c>
      <c r="U2716">
        <v>-1.5116270000000001</v>
      </c>
      <c r="V2716">
        <v>-0.35304219999999997</v>
      </c>
      <c r="W2716">
        <v>5.8202089999999998E-2</v>
      </c>
      <c r="X2716">
        <v>0.93379529999999999</v>
      </c>
      <c r="Y2716">
        <v>-0.65918429999999995</v>
      </c>
      <c r="Z2716">
        <v>0.1169745</v>
      </c>
      <c r="AA2716">
        <v>0.74282769999999898</v>
      </c>
      <c r="AB2716">
        <v>17</v>
      </c>
      <c r="AC2716">
        <v>8.8419000000000096</v>
      </c>
      <c r="AD2716">
        <v>-1.107772585455</v>
      </c>
      <c r="AE2716">
        <v>-4.53410000000002</v>
      </c>
      <c r="AF2716">
        <v>-6.6119030593263899</v>
      </c>
      <c r="AG2716">
        <v>-1.107772585455</v>
      </c>
      <c r="AH2716">
        <v>7.2533223392871502</v>
      </c>
      <c r="AI2716">
        <v>96.439660599875396</v>
      </c>
      <c r="AJ2716">
        <v>132.35132796137</v>
      </c>
      <c r="AK2716">
        <v>9.8769988926098993</v>
      </c>
    </row>
    <row r="2717" spans="1:37" x14ac:dyDescent="0.2">
      <c r="A2717" t="str">
        <f>"20200111153702107"</f>
        <v>20200111153702107</v>
      </c>
      <c r="B2717" t="str">
        <f>"1578728222095945"</f>
        <v>1578728222095945</v>
      </c>
      <c r="C2717" t="s">
        <v>37</v>
      </c>
      <c r="D2717">
        <v>5.4505439999999998</v>
      </c>
      <c r="E2717">
        <v>0.34880250000000002</v>
      </c>
      <c r="F2717" t="s">
        <v>44</v>
      </c>
      <c r="G2717">
        <v>-480.73599999999999</v>
      </c>
      <c r="H2717" s="1">
        <v>3.35876399999999E-6</v>
      </c>
      <c r="I2717">
        <v>226.06180000000001</v>
      </c>
      <c r="J2717">
        <v>-489.62920000000003</v>
      </c>
      <c r="K2717">
        <v>1.1078059999999901</v>
      </c>
      <c r="L2717">
        <v>230.5427</v>
      </c>
      <c r="M2717">
        <v>0.35636699999999999</v>
      </c>
      <c r="N2717">
        <v>0</v>
      </c>
      <c r="O2717">
        <v>-0.9342471</v>
      </c>
      <c r="P2717">
        <v>0.66249690000000006</v>
      </c>
      <c r="Q2717">
        <v>4.7551049999999997E-2</v>
      </c>
      <c r="R2717">
        <v>-0.7475543</v>
      </c>
      <c r="S2717">
        <v>2.8782649999999999</v>
      </c>
      <c r="T2717">
        <v>-0.35551569999999999</v>
      </c>
      <c r="U2717">
        <v>-1.495331</v>
      </c>
      <c r="V2717">
        <v>-0.35296420000000001</v>
      </c>
      <c r="W2717">
        <v>5.7881719999999998E-2</v>
      </c>
      <c r="X2717">
        <v>0.93384469999999997</v>
      </c>
      <c r="Y2717">
        <v>-0.65858329999999998</v>
      </c>
      <c r="Z2717">
        <v>0.1165273</v>
      </c>
      <c r="AA2717">
        <v>0.74343090000000001</v>
      </c>
      <c r="AB2717">
        <v>17</v>
      </c>
      <c r="AC2717">
        <v>8.8932000000000304</v>
      </c>
      <c r="AD2717">
        <v>-1.10780264123599</v>
      </c>
      <c r="AE2717">
        <v>-4.4808999999999903</v>
      </c>
      <c r="AF2717">
        <v>-6.6301717217744303</v>
      </c>
      <c r="AG2717">
        <v>-1.10780264123599</v>
      </c>
      <c r="AH2717">
        <v>7.2662687916655697</v>
      </c>
      <c r="AI2717">
        <v>96.425631847948694</v>
      </c>
      <c r="AJ2717">
        <v>132.37916663682799</v>
      </c>
      <c r="AK2717">
        <v>9.8987406221640004</v>
      </c>
    </row>
    <row r="2718" spans="1:37" x14ac:dyDescent="0.2">
      <c r="A2718" t="str">
        <f>"20200111153702129"</f>
        <v>20200111153702129</v>
      </c>
      <c r="B2718" t="str">
        <f>"1578728222125225"</f>
        <v>1578728222125225</v>
      </c>
      <c r="C2718" t="s">
        <v>37</v>
      </c>
      <c r="D2718">
        <v>5.6517739999999996</v>
      </c>
      <c r="E2718">
        <v>0.35208030000000001</v>
      </c>
      <c r="F2718" t="s">
        <v>44</v>
      </c>
      <c r="G2718">
        <v>-480.64640000000003</v>
      </c>
      <c r="H2718" s="1">
        <v>3.3155989999999998E-6</v>
      </c>
      <c r="I2718">
        <v>225.9564</v>
      </c>
      <c r="J2718">
        <v>-489.56270000000001</v>
      </c>
      <c r="K2718">
        <v>1.1078269999999999</v>
      </c>
      <c r="L2718">
        <v>230.38800000000001</v>
      </c>
      <c r="M2718">
        <v>0.36178589999999999</v>
      </c>
      <c r="N2718">
        <v>0</v>
      </c>
      <c r="O2718">
        <v>-0.93216200000000005</v>
      </c>
      <c r="P2718">
        <v>0.66661300000000001</v>
      </c>
      <c r="Q2718">
        <v>4.7159090000000001E-2</v>
      </c>
      <c r="R2718">
        <v>-0.74391099999999999</v>
      </c>
      <c r="S2718">
        <v>2.889313</v>
      </c>
      <c r="T2718">
        <v>-0.3563249</v>
      </c>
      <c r="U2718">
        <v>-1.475174</v>
      </c>
      <c r="V2718">
        <v>-0.35268690000000003</v>
      </c>
      <c r="W2718">
        <v>5.7480410000000003E-2</v>
      </c>
      <c r="X2718">
        <v>0.93397430000000004</v>
      </c>
      <c r="Y2718">
        <v>-0.65947449999999996</v>
      </c>
      <c r="Z2718">
        <v>0.1167936</v>
      </c>
      <c r="AA2718">
        <v>0.7425986</v>
      </c>
      <c r="AB2718">
        <v>17</v>
      </c>
      <c r="AC2718">
        <v>8.9162999999999695</v>
      </c>
      <c r="AD2718">
        <v>-1.1078236844010001</v>
      </c>
      <c r="AE2718">
        <v>-4.4316000000000004</v>
      </c>
      <c r="AF2718">
        <v>-6.6267320989370599</v>
      </c>
      <c r="AG2718">
        <v>-1.1078236844010001</v>
      </c>
      <c r="AH2718">
        <v>7.2674752617648304</v>
      </c>
      <c r="AI2718">
        <v>96.426677171478502</v>
      </c>
      <c r="AJ2718">
        <v>132.35962718242101</v>
      </c>
      <c r="AK2718">
        <v>9.8973253107678705</v>
      </c>
    </row>
    <row r="2719" spans="1:37" x14ac:dyDescent="0.2">
      <c r="A2719" t="str">
        <f>"20200111153702150"</f>
        <v>20200111153702150</v>
      </c>
      <c r="B2719" t="str">
        <f>"1578728222145720"</f>
        <v>1578728222145720</v>
      </c>
      <c r="C2719" t="s">
        <v>37</v>
      </c>
      <c r="D2719">
        <v>5.8794050000000002</v>
      </c>
      <c r="E2719">
        <v>0.46069789999999999</v>
      </c>
      <c r="F2719" t="s">
        <v>44</v>
      </c>
      <c r="G2719">
        <v>-480.53109999999998</v>
      </c>
      <c r="H2719" s="1">
        <v>3.2456470000000001E-6</v>
      </c>
      <c r="I2719">
        <v>225.75569999999999</v>
      </c>
      <c r="J2719">
        <v>-489.49849999999998</v>
      </c>
      <c r="K2719">
        <v>1.1078399999999999</v>
      </c>
      <c r="L2719">
        <v>230.24080000000001</v>
      </c>
      <c r="M2719">
        <v>0.36698740000000002</v>
      </c>
      <c r="N2719">
        <v>0</v>
      </c>
      <c r="O2719">
        <v>-0.93012629999999996</v>
      </c>
      <c r="P2719">
        <v>0.67044219999999999</v>
      </c>
      <c r="Q2719">
        <v>4.7512350000000002E-2</v>
      </c>
      <c r="R2719">
        <v>-0.74043879999999995</v>
      </c>
      <c r="S2719">
        <v>2.8780209999999999</v>
      </c>
      <c r="T2719">
        <v>-0.35301830000000001</v>
      </c>
      <c r="U2719">
        <v>-1.4761200000000001</v>
      </c>
      <c r="V2719">
        <v>-0.35230029999999901</v>
      </c>
      <c r="W2719">
        <v>5.7828869999999997E-2</v>
      </c>
      <c r="X2719">
        <v>0.93409869999999995</v>
      </c>
      <c r="Y2719">
        <v>-0.65399929999999995</v>
      </c>
      <c r="Z2719">
        <v>0.1158883</v>
      </c>
      <c r="AA2719">
        <v>0.74756599999999995</v>
      </c>
      <c r="AB2719">
        <v>17</v>
      </c>
      <c r="AC2719">
        <v>8.9673999999999907</v>
      </c>
      <c r="AD2719">
        <v>-1.1078367543529899</v>
      </c>
      <c r="AE2719">
        <v>-4.4851000000000099</v>
      </c>
      <c r="AF2719">
        <v>-6.6147056801459403</v>
      </c>
      <c r="AG2719">
        <v>-1.1078367543529899</v>
      </c>
      <c r="AH2719">
        <v>7.3733084861999298</v>
      </c>
      <c r="AI2719">
        <v>96.381438788984894</v>
      </c>
      <c r="AJ2719">
        <v>131.89575649757899</v>
      </c>
      <c r="AK2719">
        <v>9.9673121523266399</v>
      </c>
    </row>
    <row r="2720" spans="1:37" x14ac:dyDescent="0.2">
      <c r="A2720" t="str">
        <f>"20200111153702172"</f>
        <v>20200111153702172</v>
      </c>
      <c r="B2720" t="str">
        <f>"1578728222165240"</f>
        <v>1578728222165240</v>
      </c>
      <c r="C2720" t="s">
        <v>37</v>
      </c>
      <c r="D2720">
        <v>5.7675869999999998</v>
      </c>
      <c r="E2720">
        <v>0.46566610000000003</v>
      </c>
      <c r="F2720" t="s">
        <v>44</v>
      </c>
      <c r="G2720">
        <v>-481.60039999999998</v>
      </c>
      <c r="H2720" s="1">
        <v>2.8127740000000001E-6</v>
      </c>
      <c r="I2720">
        <v>223.0549</v>
      </c>
      <c r="J2720">
        <v>-489.43259999999998</v>
      </c>
      <c r="K2720">
        <v>1.1078509999999999</v>
      </c>
      <c r="L2720">
        <v>230.09219999999999</v>
      </c>
      <c r="M2720">
        <v>0.37229279999999998</v>
      </c>
      <c r="N2720">
        <v>0</v>
      </c>
      <c r="O2720">
        <v>-0.92801540000000005</v>
      </c>
      <c r="P2720">
        <v>0.67450849999999996</v>
      </c>
      <c r="Q2720">
        <v>4.7733570000000003E-2</v>
      </c>
      <c r="R2720">
        <v>-0.7367224</v>
      </c>
      <c r="S2720">
        <v>2.2430729999999999</v>
      </c>
      <c r="T2720">
        <v>-0.31462779999999901</v>
      </c>
      <c r="U2720">
        <v>-2.0408330000000001</v>
      </c>
      <c r="V2720">
        <v>-0.35211740000000002</v>
      </c>
      <c r="W2720">
        <v>5.8042620000000003E-2</v>
      </c>
      <c r="X2720">
        <v>0.93415439999999905</v>
      </c>
      <c r="Y2720">
        <v>-0.43164789999999997</v>
      </c>
      <c r="Z2720">
        <v>0.1045672</v>
      </c>
      <c r="AA2720">
        <v>0.8959608</v>
      </c>
      <c r="AB2720">
        <v>17</v>
      </c>
      <c r="AC2720">
        <v>7.8322000000000003</v>
      </c>
      <c r="AD2720">
        <v>-1.107848187226</v>
      </c>
      <c r="AE2720">
        <v>-7.0372999999999797</v>
      </c>
      <c r="AF2720">
        <v>-4.59799619041745</v>
      </c>
      <c r="AG2720">
        <v>-1.107848187226</v>
      </c>
      <c r="AH2720">
        <v>9.3440297029065693</v>
      </c>
      <c r="AI2720">
        <v>96.072295441999898</v>
      </c>
      <c r="AJ2720">
        <v>116.200807457688</v>
      </c>
      <c r="AK2720">
        <v>10.4728118316827</v>
      </c>
    </row>
    <row r="2721" spans="1:37" x14ac:dyDescent="0.2">
      <c r="A2721" t="str">
        <f>"20200111153702194"</f>
        <v>20200111153702194</v>
      </c>
      <c r="B2721" t="str">
        <f>"1578728222185736"</f>
        <v>1578728222185736</v>
      </c>
      <c r="C2721" t="s">
        <v>37</v>
      </c>
      <c r="D2721">
        <v>5.5222329999999999</v>
      </c>
      <c r="E2721">
        <v>0.46694229999999998</v>
      </c>
      <c r="F2721" t="s">
        <v>44</v>
      </c>
      <c r="G2721">
        <v>-481.11219999999997</v>
      </c>
      <c r="H2721" s="1">
        <v>2.5836819999999999E-6</v>
      </c>
      <c r="I2721">
        <v>222.41040000000001</v>
      </c>
      <c r="J2721">
        <v>-489.3605</v>
      </c>
      <c r="K2721">
        <v>1.1078699999999999</v>
      </c>
      <c r="L2721">
        <v>229.9324</v>
      </c>
      <c r="M2721">
        <v>0.37805689999999997</v>
      </c>
      <c r="N2721">
        <v>0</v>
      </c>
      <c r="O2721">
        <v>-0.92568249999999996</v>
      </c>
      <c r="P2721">
        <v>0.67888470000000001</v>
      </c>
      <c r="Q2721">
        <v>4.7675049999999997E-2</v>
      </c>
      <c r="R2721">
        <v>-0.73269580000000001</v>
      </c>
      <c r="S2721">
        <v>2.224945</v>
      </c>
      <c r="T2721">
        <v>-0.29624809999999901</v>
      </c>
      <c r="U2721">
        <v>-2.0541689999999999</v>
      </c>
      <c r="V2721">
        <v>-0.35187279999999999</v>
      </c>
      <c r="W2721">
        <v>5.7975499999999999E-2</v>
      </c>
      <c r="X2721">
        <v>0.93425069999999999</v>
      </c>
      <c r="Y2721">
        <v>-0.41996509999999998</v>
      </c>
      <c r="Z2721">
        <v>9.8301749999999993E-2</v>
      </c>
      <c r="AA2721">
        <v>0.90220069999999997</v>
      </c>
      <c r="AB2721">
        <v>17</v>
      </c>
      <c r="AC2721">
        <v>8.2483000000000199</v>
      </c>
      <c r="AD2721">
        <v>-1.107867416318</v>
      </c>
      <c r="AE2721">
        <v>-7.5219999999999896</v>
      </c>
      <c r="AF2721">
        <v>-4.7452683953852102</v>
      </c>
      <c r="AG2721">
        <v>-1.107867416318</v>
      </c>
      <c r="AH2721">
        <v>9.9839080562402902</v>
      </c>
      <c r="AI2721">
        <v>95.723137407879605</v>
      </c>
      <c r="AJ2721">
        <v>115.421351910303</v>
      </c>
      <c r="AK2721">
        <v>11.1096067631505</v>
      </c>
    </row>
    <row r="2722" spans="1:37" x14ac:dyDescent="0.2">
      <c r="A2722" t="str">
        <f>"20200111153702216"</f>
        <v>20200111153702216</v>
      </c>
      <c r="B2722" t="str">
        <f>"1578728222205259"</f>
        <v>1578728222205259</v>
      </c>
      <c r="C2722" t="s">
        <v>37</v>
      </c>
      <c r="D2722">
        <v>5.6043659999999997</v>
      </c>
      <c r="E2722">
        <v>0.46746409999999899</v>
      </c>
      <c r="F2722" t="s">
        <v>44</v>
      </c>
      <c r="G2722">
        <v>-480.6816</v>
      </c>
      <c r="H2722" s="1">
        <v>2.40904E-6</v>
      </c>
      <c r="I2722">
        <v>221.9659</v>
      </c>
      <c r="J2722">
        <v>-489.29140000000001</v>
      </c>
      <c r="K2722">
        <v>1.107888</v>
      </c>
      <c r="L2722">
        <v>229.78200000000001</v>
      </c>
      <c r="M2722">
        <v>0.38353660000000001</v>
      </c>
      <c r="N2722">
        <v>0</v>
      </c>
      <c r="O2722">
        <v>-0.9234251</v>
      </c>
      <c r="P2722">
        <v>0.68302359999999995</v>
      </c>
      <c r="Q2722">
        <v>4.7400709999999999E-2</v>
      </c>
      <c r="R2722">
        <v>-0.72885630000000001</v>
      </c>
      <c r="S2722">
        <v>2.2299500000000001</v>
      </c>
      <c r="T2722">
        <v>-0.28465689999999999</v>
      </c>
      <c r="U2722">
        <v>-2.0469059999999999</v>
      </c>
      <c r="V2722">
        <v>-0.35162070000000001</v>
      </c>
      <c r="W2722">
        <v>5.7690350000000001E-2</v>
      </c>
      <c r="X2722">
        <v>0.93436319999999995</v>
      </c>
      <c r="Y2722">
        <v>-0.41748479999999999</v>
      </c>
      <c r="Z2722">
        <v>9.4374970000000002E-2</v>
      </c>
      <c r="AA2722">
        <v>0.90376979999999996</v>
      </c>
      <c r="AB2722">
        <v>17</v>
      </c>
      <c r="AC2722">
        <v>8.6097999999999999</v>
      </c>
      <c r="AD2722">
        <v>-1.1078855909600001</v>
      </c>
      <c r="AE2722">
        <v>-7.8160999999999996</v>
      </c>
      <c r="AF2722">
        <v>-4.9086486326608396</v>
      </c>
      <c r="AG2722">
        <v>-1.1078855909600001</v>
      </c>
      <c r="AH2722">
        <v>10.4260945229156</v>
      </c>
      <c r="AI2722">
        <v>95.491470304403904</v>
      </c>
      <c r="AJ2722">
        <v>115.211251186517</v>
      </c>
      <c r="AK2722">
        <v>11.576946440333501</v>
      </c>
    </row>
    <row r="2723" spans="1:37" x14ac:dyDescent="0.2">
      <c r="A2723" t="str">
        <f>"20200111153702239"</f>
        <v>20200111153702239</v>
      </c>
      <c r="B2723" t="str">
        <f>"1578728222235513"</f>
        <v>1578728222235513</v>
      </c>
      <c r="C2723" t="s">
        <v>37</v>
      </c>
      <c r="D2723">
        <v>5.6034689999999996</v>
      </c>
      <c r="E2723">
        <v>0.46791309999999903</v>
      </c>
      <c r="F2723" t="s">
        <v>44</v>
      </c>
      <c r="G2723">
        <v>-480.53590000000003</v>
      </c>
      <c r="H2723" s="1">
        <v>2.3501609999999999E-6</v>
      </c>
      <c r="I2723">
        <v>221.81659999999999</v>
      </c>
      <c r="J2723">
        <v>-489.2208</v>
      </c>
      <c r="K2723">
        <v>1.1079129999999999</v>
      </c>
      <c r="L2723">
        <v>229.63069999999999</v>
      </c>
      <c r="M2723">
        <v>0.38910620000000001</v>
      </c>
      <c r="N2723">
        <v>0</v>
      </c>
      <c r="O2723">
        <v>-0.92109219999999903</v>
      </c>
      <c r="P2723">
        <v>0.68727209999999905</v>
      </c>
      <c r="Q2723">
        <v>4.7648799999999998E-2</v>
      </c>
      <c r="R2723">
        <v>-0.72483609999999998</v>
      </c>
      <c r="S2723">
        <v>2.2386169999999899</v>
      </c>
      <c r="T2723">
        <v>-0.28326489999999999</v>
      </c>
      <c r="U2723">
        <v>-2.0366059999999999</v>
      </c>
      <c r="V2723">
        <v>-0.35145019999999999</v>
      </c>
      <c r="W2723">
        <v>5.7924099999999999E-2</v>
      </c>
      <c r="X2723">
        <v>0.93441299999999905</v>
      </c>
      <c r="Y2723">
        <v>-0.41605720000000002</v>
      </c>
      <c r="Z2723">
        <v>9.3801200000000001E-2</v>
      </c>
      <c r="AA2723">
        <v>0.90448759999999995</v>
      </c>
      <c r="AB2723">
        <v>17</v>
      </c>
      <c r="AC2723">
        <v>8.6848999999999705</v>
      </c>
      <c r="AD2723">
        <v>-1.1079106498389999</v>
      </c>
      <c r="AE2723">
        <v>-7.8140999999999901</v>
      </c>
      <c r="AF2723">
        <v>-4.9153341945582296</v>
      </c>
      <c r="AG2723">
        <v>-1.1079106498389999</v>
      </c>
      <c r="AH2723">
        <v>10.4835551488706</v>
      </c>
      <c r="AI2723">
        <v>95.465737309749898</v>
      </c>
      <c r="AJ2723">
        <v>115.120066927224</v>
      </c>
      <c r="AK2723">
        <v>11.631547825273801</v>
      </c>
    </row>
    <row r="2724" spans="1:37" x14ac:dyDescent="0.2">
      <c r="A2724" t="str">
        <f>"20200111153702260"</f>
        <v>20200111153702260</v>
      </c>
      <c r="B2724" t="str">
        <f>"1578728222256008"</f>
        <v>1578728222256008</v>
      </c>
      <c r="C2724" t="s">
        <v>37</v>
      </c>
      <c r="D2724">
        <v>5.6272679999999999</v>
      </c>
      <c r="E2724">
        <v>0.46838000000000002</v>
      </c>
      <c r="F2724" t="s">
        <v>44</v>
      </c>
      <c r="G2724">
        <v>-480.35550000000001</v>
      </c>
      <c r="H2724" s="1">
        <v>2.2792749999999999E-6</v>
      </c>
      <c r="I2724">
        <v>221.64070000000001</v>
      </c>
      <c r="J2724">
        <v>-489.1506</v>
      </c>
      <c r="K2724">
        <v>1.107939</v>
      </c>
      <c r="L2724">
        <v>229.48269999999999</v>
      </c>
      <c r="M2724">
        <v>0.3946171</v>
      </c>
      <c r="N2724">
        <v>0</v>
      </c>
      <c r="O2724">
        <v>-0.91874460000000002</v>
      </c>
      <c r="P2724">
        <v>0.69143739999999998</v>
      </c>
      <c r="Q2724">
        <v>4.8031869999999997E-2</v>
      </c>
      <c r="R2724">
        <v>-0.72083779999999997</v>
      </c>
      <c r="S2724">
        <v>2.2478639999999999</v>
      </c>
      <c r="T2724">
        <v>-0.28091719999999998</v>
      </c>
      <c r="U2724">
        <v>-2.025909</v>
      </c>
      <c r="V2724">
        <v>-0.35125329999999999</v>
      </c>
      <c r="W2724">
        <v>5.8290149999999999E-2</v>
      </c>
      <c r="X2724">
        <v>0.93446419999999997</v>
      </c>
      <c r="Y2724">
        <v>-0.41490199999999999</v>
      </c>
      <c r="Z2724">
        <v>9.291025E-2</v>
      </c>
      <c r="AA2724">
        <v>0.90510990000000002</v>
      </c>
      <c r="AB2724">
        <v>17</v>
      </c>
      <c r="AC2724">
        <v>8.7950999999999908</v>
      </c>
      <c r="AD2724">
        <v>-1.1079367207249999</v>
      </c>
      <c r="AE2724">
        <v>-7.8419999999999801</v>
      </c>
      <c r="AF2724">
        <v>-4.9426305317329096</v>
      </c>
      <c r="AG2724">
        <v>-1.1079367207249999</v>
      </c>
      <c r="AH2724">
        <v>10.582924003350101</v>
      </c>
      <c r="AI2724">
        <v>95.418618093239004</v>
      </c>
      <c r="AJ2724">
        <v>115.03437478285301</v>
      </c>
      <c r="AK2724">
        <v>11.7326638412184</v>
      </c>
    </row>
    <row r="2725" spans="1:37" x14ac:dyDescent="0.2">
      <c r="A2725" t="str">
        <f>"20200111153702283"</f>
        <v>20200111153702283</v>
      </c>
      <c r="B2725" t="str">
        <f>"1578728222275528"</f>
        <v>1578728222275528</v>
      </c>
      <c r="C2725" t="s">
        <v>37</v>
      </c>
      <c r="D2725">
        <v>5.831626</v>
      </c>
      <c r="E2725">
        <v>0.46863139999999998</v>
      </c>
      <c r="F2725" t="s">
        <v>44</v>
      </c>
      <c r="G2725">
        <v>-480.28129999999999</v>
      </c>
      <c r="H2725" s="1">
        <v>2.249131E-6</v>
      </c>
      <c r="I2725">
        <v>221.56389999999999</v>
      </c>
      <c r="J2725">
        <v>-489.07479999999998</v>
      </c>
      <c r="K2725">
        <v>1.1079680000000001</v>
      </c>
      <c r="L2725">
        <v>229.32570000000001</v>
      </c>
      <c r="M2725">
        <v>0.40053440000000001</v>
      </c>
      <c r="N2725">
        <v>0</v>
      </c>
      <c r="O2725">
        <v>-0.91618029999999995</v>
      </c>
      <c r="P2725">
        <v>0.69610989999999995</v>
      </c>
      <c r="Q2725">
        <v>4.8233270000000002E-2</v>
      </c>
      <c r="R2725">
        <v>-0.71631309999999904</v>
      </c>
      <c r="S2725">
        <v>2.2572939999999999</v>
      </c>
      <c r="T2725">
        <v>-0.28197649999999902</v>
      </c>
      <c r="U2725">
        <v>-2.0153810000000001</v>
      </c>
      <c r="V2725">
        <v>-0.3513133</v>
      </c>
      <c r="W2725">
        <v>5.8471990000000001E-2</v>
      </c>
      <c r="X2725">
        <v>0.93443029999999905</v>
      </c>
      <c r="Y2725">
        <v>-0.41324749999999999</v>
      </c>
      <c r="Z2725">
        <v>9.3105380000000001E-2</v>
      </c>
      <c r="AA2725">
        <v>0.9058465</v>
      </c>
      <c r="AB2725">
        <v>17</v>
      </c>
      <c r="AC2725">
        <v>8.7934999999999892</v>
      </c>
      <c r="AD2725">
        <v>-1.107965750869</v>
      </c>
      <c r="AE2725">
        <v>-7.7618000000000196</v>
      </c>
      <c r="AF2725">
        <v>-4.9042612193270996</v>
      </c>
      <c r="AG2725">
        <v>-1.107965750869</v>
      </c>
      <c r="AH2725">
        <v>10.5402420697312</v>
      </c>
      <c r="AI2725">
        <v>95.444194030853893</v>
      </c>
      <c r="AJ2725">
        <v>114.95205209481701</v>
      </c>
      <c r="AK2725">
        <v>11.6780164883008</v>
      </c>
    </row>
    <row r="2726" spans="1:37" x14ac:dyDescent="0.2">
      <c r="A2726" t="str">
        <f>"20200111153702306"</f>
        <v>20200111153702306</v>
      </c>
      <c r="B2726" t="str">
        <f>"1578728222295048"</f>
        <v>1578728222295048</v>
      </c>
      <c r="C2726" t="s">
        <v>37</v>
      </c>
      <c r="D2726">
        <v>5.592784</v>
      </c>
      <c r="E2726">
        <v>0.4688348</v>
      </c>
      <c r="F2726" t="s">
        <v>44</v>
      </c>
      <c r="G2726">
        <v>-480.21190000000001</v>
      </c>
      <c r="H2726" s="1">
        <v>2.2233060000000001E-6</v>
      </c>
      <c r="I2726">
        <v>221.50280000000001</v>
      </c>
      <c r="J2726">
        <v>-488.99930000000001</v>
      </c>
      <c r="K2726">
        <v>1.10799</v>
      </c>
      <c r="L2726">
        <v>229.17230000000001</v>
      </c>
      <c r="M2726">
        <v>0.40637509999999999</v>
      </c>
      <c r="N2726">
        <v>0</v>
      </c>
      <c r="O2726">
        <v>-0.91360450000000004</v>
      </c>
      <c r="P2726">
        <v>0.7005401</v>
      </c>
      <c r="Q2726">
        <v>4.85738E-2</v>
      </c>
      <c r="R2726">
        <v>-0.71195819999999999</v>
      </c>
      <c r="S2726">
        <v>2.2686459999999999</v>
      </c>
      <c r="T2726">
        <v>-0.28360780000000002</v>
      </c>
      <c r="U2726">
        <v>-2.0024570000000002</v>
      </c>
      <c r="V2726">
        <v>-0.35115940000000001</v>
      </c>
      <c r="W2726">
        <v>5.8800459999999999E-2</v>
      </c>
      <c r="X2726">
        <v>0.93446749999999901</v>
      </c>
      <c r="Y2726">
        <v>-0.4125549</v>
      </c>
      <c r="Z2726">
        <v>9.3506399999999906E-2</v>
      </c>
      <c r="AA2726">
        <v>0.90612079999999995</v>
      </c>
      <c r="AB2726">
        <v>17</v>
      </c>
      <c r="AC2726">
        <v>8.7873999999999892</v>
      </c>
      <c r="AD2726">
        <v>-1.1079877766940001</v>
      </c>
      <c r="AE2726">
        <v>-7.6694999999999904</v>
      </c>
      <c r="AF2726">
        <v>-4.8680416678998499</v>
      </c>
      <c r="AG2726">
        <v>-1.1079877766940001</v>
      </c>
      <c r="AH2726">
        <v>10.4842436578746</v>
      </c>
      <c r="AI2726">
        <v>95.475220758805506</v>
      </c>
      <c r="AJ2726">
        <v>114.90637429970199</v>
      </c>
      <c r="AK2726">
        <v>11.612270737086501</v>
      </c>
    </row>
    <row r="2727" spans="1:37" x14ac:dyDescent="0.2">
      <c r="A2727" t="str">
        <f>"20200111153702340"</f>
        <v>20200111153702340</v>
      </c>
      <c r="B2727" t="str">
        <f>"1578728222335064"</f>
        <v>1578728222335064</v>
      </c>
      <c r="C2727" t="s">
        <v>37</v>
      </c>
      <c r="D2727">
        <v>5.6251030000000002</v>
      </c>
      <c r="E2727">
        <v>0.46930100000000002</v>
      </c>
      <c r="F2727" t="s">
        <v>44</v>
      </c>
      <c r="G2727">
        <v>-480.10340000000002</v>
      </c>
      <c r="H2727" s="1">
        <v>2.1834429999999998E-6</v>
      </c>
      <c r="I2727">
        <v>221.40950000000001</v>
      </c>
      <c r="J2727">
        <v>-488.88650000000001</v>
      </c>
      <c r="K2727">
        <v>1.108007</v>
      </c>
      <c r="L2727">
        <v>228.94759999999999</v>
      </c>
      <c r="M2727">
        <v>0.41502899999999998</v>
      </c>
      <c r="N2727">
        <v>0</v>
      </c>
      <c r="O2727">
        <v>-0.90970589999999996</v>
      </c>
      <c r="P2727">
        <v>0.70730000000000004</v>
      </c>
      <c r="Q2727">
        <v>4.8588399999999997E-2</v>
      </c>
      <c r="R2727">
        <v>-0.70524200000000004</v>
      </c>
      <c r="S2727">
        <v>2.28009</v>
      </c>
      <c r="T2727">
        <v>-0.28398829999999903</v>
      </c>
      <c r="U2727">
        <v>-1.9897</v>
      </c>
      <c r="V2727">
        <v>-0.35120659999999998</v>
      </c>
      <c r="W2727">
        <v>5.8802819999999999E-2</v>
      </c>
      <c r="X2727">
        <v>0.93444969999999905</v>
      </c>
      <c r="Y2727">
        <v>-0.40904849999999998</v>
      </c>
      <c r="Z2727">
        <v>9.3358919999999998E-2</v>
      </c>
      <c r="AA2727">
        <v>0.90772430000000004</v>
      </c>
      <c r="AB2727">
        <v>17</v>
      </c>
      <c r="AC2727">
        <v>8.7830999999999904</v>
      </c>
      <c r="AD2727">
        <v>-1.108004816557</v>
      </c>
      <c r="AE2727">
        <v>-7.5380999999999796</v>
      </c>
      <c r="AF2727">
        <v>-4.8178093825644703</v>
      </c>
      <c r="AG2727">
        <v>-1.108004816557</v>
      </c>
      <c r="AH2727">
        <v>10.4082901795047</v>
      </c>
      <c r="AI2727">
        <v>95.518022555549393</v>
      </c>
      <c r="AJ2727">
        <v>114.838565331822</v>
      </c>
      <c r="AK2727">
        <v>11.5226501457353</v>
      </c>
    </row>
    <row r="2728" spans="1:37" x14ac:dyDescent="0.2">
      <c r="A2728" t="str">
        <f>"20200111153702361"</f>
        <v>20200111153702361</v>
      </c>
      <c r="B2728" t="str">
        <f>"1578728222355561"</f>
        <v>1578728222355561</v>
      </c>
      <c r="C2728" t="s">
        <v>37</v>
      </c>
      <c r="D2728">
        <v>5.6300400000000002</v>
      </c>
      <c r="E2728">
        <v>0.46949540000000001</v>
      </c>
      <c r="F2728" t="s">
        <v>44</v>
      </c>
      <c r="G2728">
        <v>-480.07810000000001</v>
      </c>
      <c r="H2728" s="1">
        <v>2.1748579999999998E-6</v>
      </c>
      <c r="I2728">
        <v>221.39099999999999</v>
      </c>
      <c r="J2728">
        <v>-488.81330000000003</v>
      </c>
      <c r="K2728">
        <v>1.1080139999999901</v>
      </c>
      <c r="L2728">
        <v>228.8047</v>
      </c>
      <c r="M2728">
        <v>0.42060180000000003</v>
      </c>
      <c r="N2728">
        <v>0</v>
      </c>
      <c r="O2728">
        <v>-0.90714280000000003</v>
      </c>
      <c r="P2728">
        <v>0.71125850000000002</v>
      </c>
      <c r="Q2728">
        <v>4.7619219999999997E-2</v>
      </c>
      <c r="R2728">
        <v>-0.70131569999999899</v>
      </c>
      <c r="S2728">
        <v>2.2967219999999999</v>
      </c>
      <c r="T2728">
        <v>-0.28890169999999998</v>
      </c>
      <c r="U2728">
        <v>-1.9703219999999999</v>
      </c>
      <c r="V2728">
        <v>-0.35070020000000002</v>
      </c>
      <c r="W2728">
        <v>5.7835539999999998E-2</v>
      </c>
      <c r="X2728">
        <v>0.93470019999999998</v>
      </c>
      <c r="Y2728">
        <v>-0.41099459999999999</v>
      </c>
      <c r="Z2728">
        <v>9.4880740000000005E-2</v>
      </c>
      <c r="AA2728">
        <v>0.90668689999999996</v>
      </c>
      <c r="AB2728">
        <v>17</v>
      </c>
      <c r="AC2728">
        <v>8.7352000000000096</v>
      </c>
      <c r="AD2728">
        <v>-1.1080118251419999</v>
      </c>
      <c r="AE2728">
        <v>-7.4137000000000004</v>
      </c>
      <c r="AF2728">
        <v>-4.7617702535033999</v>
      </c>
      <c r="AG2728">
        <v>-1.1080118251419999</v>
      </c>
      <c r="AH2728">
        <v>10.303924117958401</v>
      </c>
      <c r="AI2728">
        <v>95.575181469681496</v>
      </c>
      <c r="AJ2728">
        <v>114.803156619248</v>
      </c>
      <c r="AK2728">
        <v>11.404954992478</v>
      </c>
    </row>
    <row r="2729" spans="1:37" x14ac:dyDescent="0.2">
      <c r="A2729" t="str">
        <f>"20200111153702384"</f>
        <v>20200111153702384</v>
      </c>
      <c r="B2729" t="str">
        <f>"1578728222376057"</f>
        <v>1578728222376057</v>
      </c>
      <c r="C2729" t="s">
        <v>37</v>
      </c>
      <c r="D2729">
        <v>5.5803339999999997</v>
      </c>
      <c r="E2729">
        <v>0.4697424</v>
      </c>
      <c r="F2729" t="s">
        <v>44</v>
      </c>
      <c r="G2729">
        <v>-480.11110000000002</v>
      </c>
      <c r="H2729" s="1">
        <v>2.1860159999999999E-6</v>
      </c>
      <c r="I2729">
        <v>221.41499999999999</v>
      </c>
      <c r="J2729">
        <v>-488.73399999999998</v>
      </c>
      <c r="K2729">
        <v>1.108015</v>
      </c>
      <c r="L2729">
        <v>228.65260000000001</v>
      </c>
      <c r="M2729">
        <v>0.42657479999999998</v>
      </c>
      <c r="N2729">
        <v>0</v>
      </c>
      <c r="O2729">
        <v>-0.90434939999999997</v>
      </c>
      <c r="P2729">
        <v>0.71544180000000002</v>
      </c>
      <c r="Q2729">
        <v>4.7287419999999997E-2</v>
      </c>
      <c r="R2729">
        <v>-0.69707030000000003</v>
      </c>
      <c r="S2729">
        <v>2.3063660000000001</v>
      </c>
      <c r="T2729">
        <v>-0.29365849999999999</v>
      </c>
      <c r="U2729">
        <v>-1.9585109999999999</v>
      </c>
      <c r="V2729">
        <v>-0.35011709999999902</v>
      </c>
      <c r="W2729">
        <v>5.7508490000000002E-2</v>
      </c>
      <c r="X2729">
        <v>0.93493890000000002</v>
      </c>
      <c r="Y2729">
        <v>-0.40944159999999902</v>
      </c>
      <c r="Z2729">
        <v>9.6259910000000004E-2</v>
      </c>
      <c r="AA2729">
        <v>0.90724400000000005</v>
      </c>
      <c r="AB2729">
        <v>17</v>
      </c>
      <c r="AC2729">
        <v>8.6229000000000102</v>
      </c>
      <c r="AD2729">
        <v>-1.108012813984</v>
      </c>
      <c r="AE2729">
        <v>-7.2376000000000102</v>
      </c>
      <c r="AF2729">
        <v>-4.6659761797681503</v>
      </c>
      <c r="AG2729">
        <v>-1.108012813984</v>
      </c>
      <c r="AH2729">
        <v>10.126488138156001</v>
      </c>
      <c r="AI2729">
        <v>95.675164374568197</v>
      </c>
      <c r="AJ2729">
        <v>114.738805501405</v>
      </c>
      <c r="AK2729">
        <v>11.204677064437499</v>
      </c>
    </row>
    <row r="2730" spans="1:37" x14ac:dyDescent="0.2">
      <c r="A2730" t="str">
        <f>"20200111153702408"</f>
        <v>20200111153702408</v>
      </c>
      <c r="B2730" t="str">
        <f>"1578728222395575"</f>
        <v>1578728222395575</v>
      </c>
      <c r="C2730" t="s">
        <v>37</v>
      </c>
      <c r="D2730">
        <v>5.8896639999999998</v>
      </c>
      <c r="E2730">
        <v>0.4699545</v>
      </c>
      <c r="F2730" t="s">
        <v>44</v>
      </c>
      <c r="G2730">
        <v>-480.1026</v>
      </c>
      <c r="H2730" s="1">
        <v>2.1812889999999899E-6</v>
      </c>
      <c r="I2730">
        <v>221.40039999999999</v>
      </c>
      <c r="J2730">
        <v>-488.6533</v>
      </c>
      <c r="K2730">
        <v>1.1080239999999999</v>
      </c>
      <c r="L2730">
        <v>228.50030000000001</v>
      </c>
      <c r="M2730">
        <v>0.43259379999999997</v>
      </c>
      <c r="N2730">
        <v>0</v>
      </c>
      <c r="O2730">
        <v>-0.90148549999999905</v>
      </c>
      <c r="P2730">
        <v>0.71902069999999996</v>
      </c>
      <c r="Q2730">
        <v>4.7417679999999997E-2</v>
      </c>
      <c r="R2730">
        <v>-0.69336900000000001</v>
      </c>
      <c r="S2730">
        <v>2.3164980000000002</v>
      </c>
      <c r="T2730">
        <v>-0.2973693</v>
      </c>
      <c r="U2730">
        <v>-1.94635</v>
      </c>
      <c r="V2730">
        <v>-0.34870139999999999</v>
      </c>
      <c r="W2730">
        <v>5.765464E-2</v>
      </c>
      <c r="X2730">
        <v>0.93545879999999904</v>
      </c>
      <c r="Y2730">
        <v>-0.40802359999999999</v>
      </c>
      <c r="Z2730">
        <v>9.7282820000000006E-2</v>
      </c>
      <c r="AA2730">
        <v>0.90777359999999896</v>
      </c>
      <c r="AB2730">
        <v>17</v>
      </c>
      <c r="AC2730">
        <v>8.5507000000000009</v>
      </c>
      <c r="AD2730">
        <v>-1.10802181871099</v>
      </c>
      <c r="AE2730">
        <v>-7.0999000000000096</v>
      </c>
      <c r="AF2730">
        <v>-4.5917537322967599</v>
      </c>
      <c r="AG2730">
        <v>-1.10802181871099</v>
      </c>
      <c r="AH2730">
        <v>10.000977526721901</v>
      </c>
      <c r="AI2730">
        <v>95.749511786446902</v>
      </c>
      <c r="AJ2730">
        <v>114.661298185852</v>
      </c>
      <c r="AK2730">
        <v>11.0603556081528</v>
      </c>
    </row>
    <row r="2731" spans="1:37" x14ac:dyDescent="0.2">
      <c r="A2731" t="str">
        <f>"20200111153702430"</f>
        <v>20200111153702430</v>
      </c>
      <c r="B2731" t="str">
        <f>"1578728222425832"</f>
        <v>1578728222425832</v>
      </c>
      <c r="C2731" t="s">
        <v>37</v>
      </c>
      <c r="D2731">
        <v>5.6356830000000002</v>
      </c>
      <c r="E2731">
        <v>0.4705009</v>
      </c>
      <c r="F2731" t="s">
        <v>44</v>
      </c>
      <c r="G2731">
        <v>-480.0403</v>
      </c>
      <c r="H2731" s="1">
        <v>2.1544559999999999E-6</v>
      </c>
      <c r="I2731">
        <v>221.32900000000001</v>
      </c>
      <c r="J2731">
        <v>-488.57459999999998</v>
      </c>
      <c r="K2731">
        <v>1.108026</v>
      </c>
      <c r="L2731">
        <v>228.35419999999999</v>
      </c>
      <c r="M2731">
        <v>0.43839679999999998</v>
      </c>
      <c r="N2731">
        <v>0</v>
      </c>
      <c r="O2731">
        <v>-0.89867779999999997</v>
      </c>
      <c r="P2731">
        <v>0.72259209999999996</v>
      </c>
      <c r="Q2731">
        <v>4.8192199999999998E-2</v>
      </c>
      <c r="R2731">
        <v>-0.68959280000000001</v>
      </c>
      <c r="S2731">
        <v>2.3251650000000001</v>
      </c>
      <c r="T2731">
        <v>-0.29912059999999902</v>
      </c>
      <c r="U2731">
        <v>-1.9359439999999899</v>
      </c>
      <c r="V2731">
        <v>-0.34752939999999999</v>
      </c>
      <c r="W2731">
        <v>5.8443910000000002E-2</v>
      </c>
      <c r="X2731">
        <v>0.93584599999999996</v>
      </c>
      <c r="Y2731">
        <v>-0.40616979999999903</v>
      </c>
      <c r="Z2731">
        <v>9.7653000000000004E-2</v>
      </c>
      <c r="AA2731">
        <v>0.90856479999999995</v>
      </c>
      <c r="AB2731">
        <v>17</v>
      </c>
      <c r="AC2731">
        <v>8.5342999999999698</v>
      </c>
      <c r="AD2731">
        <v>-1.1080238455439999</v>
      </c>
      <c r="AE2731">
        <v>-7.0251999999999803</v>
      </c>
      <c r="AF2731">
        <v>-4.5445262473924997</v>
      </c>
      <c r="AG2731">
        <v>-1.1080238455439999</v>
      </c>
      <c r="AH2731">
        <v>9.9557057473235506</v>
      </c>
      <c r="AI2731">
        <v>95.781260037808295</v>
      </c>
      <c r="AJ2731">
        <v>114.535490751212</v>
      </c>
      <c r="AK2731">
        <v>10.999841479895199</v>
      </c>
    </row>
    <row r="2732" spans="1:37" x14ac:dyDescent="0.2">
      <c r="A2732" t="str">
        <f>"20200111153702451"</f>
        <v>20200111153702451</v>
      </c>
      <c r="B2732" t="str">
        <f>"1578728222445353"</f>
        <v>1578728222445353</v>
      </c>
      <c r="C2732" t="s">
        <v>37</v>
      </c>
      <c r="D2732">
        <v>5.8902760000000001</v>
      </c>
      <c r="E2732">
        <v>0.47072649999999999</v>
      </c>
      <c r="F2732" t="s">
        <v>44</v>
      </c>
      <c r="G2732">
        <v>-479.94369999999998</v>
      </c>
      <c r="H2732" s="1">
        <v>2.1210769999999999E-6</v>
      </c>
      <c r="I2732">
        <v>221.2216</v>
      </c>
      <c r="J2732">
        <v>-488.49979999999999</v>
      </c>
      <c r="K2732">
        <v>1.108025</v>
      </c>
      <c r="L2732">
        <v>228.21719999999999</v>
      </c>
      <c r="M2732">
        <v>0.44385419999999998</v>
      </c>
      <c r="N2732">
        <v>0</v>
      </c>
      <c r="O2732">
        <v>-0.89599509999999905</v>
      </c>
      <c r="P2732">
        <v>0.72623340000000003</v>
      </c>
      <c r="Q2732">
        <v>4.8284229999999997E-2</v>
      </c>
      <c r="R2732">
        <v>-0.68575079999999999</v>
      </c>
      <c r="S2732">
        <v>2.332306</v>
      </c>
      <c r="T2732">
        <v>-0.29941509999999999</v>
      </c>
      <c r="U2732">
        <v>-1.9273830000000001</v>
      </c>
      <c r="V2732">
        <v>-0.3467962</v>
      </c>
      <c r="W2732">
        <v>5.85491E-2</v>
      </c>
      <c r="X2732">
        <v>0.93611129999999998</v>
      </c>
      <c r="Y2732">
        <v>-0.40396739999999998</v>
      </c>
      <c r="Z2732">
        <v>9.7543309999999994E-2</v>
      </c>
      <c r="AA2732">
        <v>0.90955789999999903</v>
      </c>
      <c r="AB2732">
        <v>17</v>
      </c>
      <c r="AC2732">
        <v>8.5561000000000096</v>
      </c>
      <c r="AD2732">
        <v>-1.108022878923</v>
      </c>
      <c r="AE2732">
        <v>-6.9955999999999898</v>
      </c>
      <c r="AF2732">
        <v>-4.5162281927307504</v>
      </c>
      <c r="AG2732">
        <v>-1.108022878923</v>
      </c>
      <c r="AH2732">
        <v>9.9664462257597393</v>
      </c>
      <c r="AI2732">
        <v>95.782272369943101</v>
      </c>
      <c r="AJ2732">
        <v>114.37733784880901</v>
      </c>
      <c r="AK2732">
        <v>10.9979126274031</v>
      </c>
    </row>
    <row r="2733" spans="1:37" x14ac:dyDescent="0.2">
      <c r="A2733" t="str">
        <f>"20200111153702474"</f>
        <v>20200111153702474</v>
      </c>
      <c r="B2733" t="str">
        <f>"1578728222465848"</f>
        <v>1578728222465848</v>
      </c>
      <c r="C2733" t="s">
        <v>37</v>
      </c>
      <c r="D2733">
        <v>5.2460230000000001</v>
      </c>
      <c r="E2733">
        <v>0.47095949999999998</v>
      </c>
      <c r="F2733" t="s">
        <v>44</v>
      </c>
      <c r="G2733">
        <v>-479.89229999999998</v>
      </c>
      <c r="H2733" s="1">
        <v>2.1273299999999999E-6</v>
      </c>
      <c r="I2733">
        <v>221.16749999999999</v>
      </c>
      <c r="J2733">
        <v>-488.4144</v>
      </c>
      <c r="K2733">
        <v>1.108009</v>
      </c>
      <c r="L2733">
        <v>228.0635</v>
      </c>
      <c r="M2733">
        <v>0.449995799999999</v>
      </c>
      <c r="N2733">
        <v>0</v>
      </c>
      <c r="O2733">
        <v>-0.89292640000000001</v>
      </c>
      <c r="P2733">
        <v>0.73082119999999995</v>
      </c>
      <c r="Q2733">
        <v>4.8221279999999998E-2</v>
      </c>
      <c r="R2733">
        <v>-0.68086389999999997</v>
      </c>
      <c r="S2733">
        <v>2.340668</v>
      </c>
      <c r="T2733">
        <v>-0.30131009999999903</v>
      </c>
      <c r="U2733">
        <v>-1.917068</v>
      </c>
      <c r="V2733">
        <v>-0.3466495</v>
      </c>
      <c r="W2733">
        <v>5.8497229999999997E-2</v>
      </c>
      <c r="X2733">
        <v>0.93616889999999997</v>
      </c>
      <c r="Y2733">
        <v>-0.40164429999999901</v>
      </c>
      <c r="Z2733">
        <v>9.7925139999999994E-2</v>
      </c>
      <c r="AA2733">
        <v>0.91054519999999906</v>
      </c>
      <c r="AB2733">
        <v>17</v>
      </c>
      <c r="AC2733">
        <v>8.5221000000000195</v>
      </c>
      <c r="AD2733">
        <v>-1.1080068726700001</v>
      </c>
      <c r="AE2733">
        <v>-6.8960000000000097</v>
      </c>
      <c r="AF2733">
        <v>-4.4612835637311203</v>
      </c>
      <c r="AG2733">
        <v>-1.1080068726700001</v>
      </c>
      <c r="AH2733">
        <v>9.8924067898529806</v>
      </c>
      <c r="AI2733">
        <v>95.829867592229405</v>
      </c>
      <c r="AJ2733">
        <v>114.274451098657</v>
      </c>
      <c r="AK2733">
        <v>10.908274032212001</v>
      </c>
    </row>
    <row r="2734" spans="1:37" x14ac:dyDescent="0.2">
      <c r="A2734" t="str">
        <f>"20200111153702496"</f>
        <v>20200111153702496</v>
      </c>
      <c r="B2734" t="str">
        <f>"1578728222485368"</f>
        <v>1578728222485368</v>
      </c>
      <c r="C2734" t="s">
        <v>37</v>
      </c>
      <c r="D2734">
        <v>5.6468449999999999</v>
      </c>
      <c r="E2734">
        <v>0.4711534</v>
      </c>
      <c r="F2734" t="s">
        <v>44</v>
      </c>
      <c r="G2734">
        <v>-479.82740000000001</v>
      </c>
      <c r="H2734" s="1">
        <v>2.139254E-6</v>
      </c>
      <c r="I2734">
        <v>221.1173</v>
      </c>
      <c r="J2734">
        <v>-488.33620000000002</v>
      </c>
      <c r="K2734">
        <v>1.1079939999999999</v>
      </c>
      <c r="L2734">
        <v>227.9247</v>
      </c>
      <c r="M2734">
        <v>0.4555438</v>
      </c>
      <c r="N2734">
        <v>0</v>
      </c>
      <c r="O2734">
        <v>-0.89010879999999903</v>
      </c>
      <c r="P2734">
        <v>0.73478160000000003</v>
      </c>
      <c r="Q2734">
        <v>4.8117189999999997E-2</v>
      </c>
      <c r="R2734">
        <v>-0.6765949</v>
      </c>
      <c r="S2734">
        <v>2.3522639999999999</v>
      </c>
      <c r="T2734">
        <v>-0.30351999999999901</v>
      </c>
      <c r="U2734">
        <v>-1.9027860000000001</v>
      </c>
      <c r="V2734">
        <v>-0.34627940000000001</v>
      </c>
      <c r="W2734">
        <v>5.8411070000000002E-2</v>
      </c>
      <c r="X2734">
        <v>0.93631119999999901</v>
      </c>
      <c r="Y2734">
        <v>-0.40143629999999902</v>
      </c>
      <c r="Z2734">
        <v>9.8469029999999999E-2</v>
      </c>
      <c r="AA2734">
        <v>0.91057829999999995</v>
      </c>
      <c r="AB2734">
        <v>17</v>
      </c>
      <c r="AC2734">
        <v>8.5088000000000008</v>
      </c>
      <c r="AD2734">
        <v>-1.107991860746</v>
      </c>
      <c r="AE2734">
        <v>-6.8074000000000003</v>
      </c>
      <c r="AF2734">
        <v>-4.4273315128144599</v>
      </c>
      <c r="AG2734">
        <v>-1.107991860746</v>
      </c>
      <c r="AH2734">
        <v>9.8347026037156606</v>
      </c>
      <c r="AI2734">
        <v>95.865515696264097</v>
      </c>
      <c r="AJ2734">
        <v>114.236055269114</v>
      </c>
      <c r="AK2734">
        <v>10.842060947595201</v>
      </c>
    </row>
    <row r="2735" spans="1:37" x14ac:dyDescent="0.2">
      <c r="A2735" t="str">
        <f>"20200111153702519"</f>
        <v>20200111153702519</v>
      </c>
      <c r="B2735" t="str">
        <f>"1578728222515624"</f>
        <v>1578728222515624</v>
      </c>
      <c r="C2735" t="s">
        <v>37</v>
      </c>
      <c r="D2735">
        <v>5.5984449999999999</v>
      </c>
      <c r="E2735">
        <v>0.47142849999999997</v>
      </c>
      <c r="F2735" t="s">
        <v>44</v>
      </c>
      <c r="G2735">
        <v>-479.76440000000002</v>
      </c>
      <c r="H2735" s="1">
        <v>2.1503410000000001E-6</v>
      </c>
      <c r="I2735">
        <v>221.06639999999999</v>
      </c>
      <c r="J2735">
        <v>-488.25199999999899</v>
      </c>
      <c r="K2735">
        <v>1.1079749999999999</v>
      </c>
      <c r="L2735">
        <v>227.77760000000001</v>
      </c>
      <c r="M2735">
        <v>0.46142479999999902</v>
      </c>
      <c r="N2735">
        <v>0</v>
      </c>
      <c r="O2735">
        <v>-0.88707440000000004</v>
      </c>
      <c r="P2735">
        <v>0.73882550000000002</v>
      </c>
      <c r="Q2735">
        <v>4.8131210000000001E-2</v>
      </c>
      <c r="R2735">
        <v>-0.67217579999999999</v>
      </c>
      <c r="S2735">
        <v>2.3623660000000002</v>
      </c>
      <c r="T2735">
        <v>-0.30536029999999997</v>
      </c>
      <c r="U2735">
        <v>-1.8901520000000001</v>
      </c>
      <c r="V2735">
        <v>-0.3456941</v>
      </c>
      <c r="W2735">
        <v>5.8448670000000001E-2</v>
      </c>
      <c r="X2735">
        <v>0.93652519999999995</v>
      </c>
      <c r="Y2735">
        <v>-0.4002097</v>
      </c>
      <c r="Z2735">
        <v>9.8850750000000001E-2</v>
      </c>
      <c r="AA2735">
        <v>0.91107669999999996</v>
      </c>
      <c r="AB2735">
        <v>17</v>
      </c>
      <c r="AC2735">
        <v>8.4875999999999294</v>
      </c>
      <c r="AD2735">
        <v>-1.107972849659</v>
      </c>
      <c r="AE2735">
        <v>-6.7112000000000096</v>
      </c>
      <c r="AF2735">
        <v>-4.38683431140187</v>
      </c>
      <c r="AG2735">
        <v>-1.107972849659</v>
      </c>
      <c r="AH2735">
        <v>9.7682198196854007</v>
      </c>
      <c r="AI2735">
        <v>95.907427893715294</v>
      </c>
      <c r="AJ2735">
        <v>114.18449104043999</v>
      </c>
      <c r="AK2735">
        <v>10.765223525638801</v>
      </c>
    </row>
    <row r="2736" spans="1:37" x14ac:dyDescent="0.2">
      <c r="A2736" t="str">
        <f>"20200111153702541"</f>
        <v>20200111153702541</v>
      </c>
      <c r="B2736" t="str">
        <f>"1578728222536120"</f>
        <v>1578728222536120</v>
      </c>
      <c r="C2736" t="s">
        <v>37</v>
      </c>
      <c r="D2736">
        <v>5.9037410000000001</v>
      </c>
      <c r="E2736">
        <v>0.47153829999999902</v>
      </c>
      <c r="F2736" t="s">
        <v>44</v>
      </c>
      <c r="G2736">
        <v>-479.69889999999998</v>
      </c>
      <c r="H2736" s="1">
        <v>2.1612429999999999E-6</v>
      </c>
      <c r="I2736">
        <v>221.01050000000001</v>
      </c>
      <c r="J2736">
        <v>-488.17239999999998</v>
      </c>
      <c r="K2736">
        <v>1.107952</v>
      </c>
      <c r="L2736">
        <v>227.64060000000001</v>
      </c>
      <c r="M2736">
        <v>0.46690159999999897</v>
      </c>
      <c r="N2736">
        <v>0</v>
      </c>
      <c r="O2736">
        <v>-0.88420399999999999</v>
      </c>
      <c r="P2736">
        <v>0.74258489999999999</v>
      </c>
      <c r="Q2736">
        <v>4.7816160000000003E-2</v>
      </c>
      <c r="R2736">
        <v>-0.6680431</v>
      </c>
      <c r="S2736">
        <v>2.372681</v>
      </c>
      <c r="T2736">
        <v>-0.30735899999999999</v>
      </c>
      <c r="U2736">
        <v>-1.877243</v>
      </c>
      <c r="V2736">
        <v>-0.34514</v>
      </c>
      <c r="W2736">
        <v>5.8157340000000002E-2</v>
      </c>
      <c r="X2736">
        <v>0.93674760000000001</v>
      </c>
      <c r="Y2736">
        <v>-0.39947890000000003</v>
      </c>
      <c r="Z2736">
        <v>9.9298419999999998E-2</v>
      </c>
      <c r="AA2736">
        <v>0.91134869999999901</v>
      </c>
      <c r="AB2736">
        <v>17</v>
      </c>
      <c r="AC2736">
        <v>8.4734999999999996</v>
      </c>
      <c r="AD2736">
        <v>-1.1079498387569999</v>
      </c>
      <c r="AE2736">
        <v>-6.6300999999999899</v>
      </c>
      <c r="AF2736">
        <v>-4.3509680840721598</v>
      </c>
      <c r="AG2736">
        <v>-1.1079498387569999</v>
      </c>
      <c r="AH2736">
        <v>9.71652751099416</v>
      </c>
      <c r="AI2736">
        <v>95.941376166379399</v>
      </c>
      <c r="AJ2736">
        <v>114.12237870362701</v>
      </c>
      <c r="AK2736">
        <v>10.7037088425331</v>
      </c>
    </row>
    <row r="2737" spans="1:37" x14ac:dyDescent="0.2">
      <c r="A2737" t="str">
        <f>"20200111153702562"</f>
        <v>20200111153702562</v>
      </c>
      <c r="B2737" t="str">
        <f>"1578728222555640"</f>
        <v>1578728222555640</v>
      </c>
      <c r="C2737" t="s">
        <v>37</v>
      </c>
      <c r="D2737">
        <v>5.8880179999999998</v>
      </c>
      <c r="E2737">
        <v>0.47162929999999997</v>
      </c>
      <c r="F2737" t="s">
        <v>44</v>
      </c>
      <c r="G2737">
        <v>-479.6198</v>
      </c>
      <c r="H2737" s="1">
        <v>2.17595999999999E-6</v>
      </c>
      <c r="I2737">
        <v>220.95009999999999</v>
      </c>
      <c r="J2737">
        <v>-488.0917</v>
      </c>
      <c r="K2737">
        <v>1.1079330000000001</v>
      </c>
      <c r="L2737">
        <v>227.50389999999999</v>
      </c>
      <c r="M2737">
        <v>0.47235630000000001</v>
      </c>
      <c r="N2737">
        <v>0</v>
      </c>
      <c r="O2737">
        <v>-0.88130219999999904</v>
      </c>
      <c r="P2737">
        <v>0.74630969999999996</v>
      </c>
      <c r="Q2737">
        <v>4.7683160000000002E-2</v>
      </c>
      <c r="R2737">
        <v>-0.66388899999999995</v>
      </c>
      <c r="S2737">
        <v>2.3829039999999999</v>
      </c>
      <c r="T2737">
        <v>-0.30869359999999901</v>
      </c>
      <c r="U2737">
        <v>-1.8640749999999999</v>
      </c>
      <c r="V2737">
        <v>-0.344582</v>
      </c>
      <c r="W2737">
        <v>5.8047380000000003E-2</v>
      </c>
      <c r="X2737">
        <v>0.93695989999999996</v>
      </c>
      <c r="Y2737">
        <v>-0.39881440000000001</v>
      </c>
      <c r="Z2737">
        <v>9.9533590000000005E-2</v>
      </c>
      <c r="AA2737">
        <v>0.91161399999999904</v>
      </c>
      <c r="AB2737">
        <v>17</v>
      </c>
      <c r="AC2737">
        <v>8.4718999999999998</v>
      </c>
      <c r="AD2737">
        <v>-1.1079308240400001</v>
      </c>
      <c r="AE2737">
        <v>-6.5537999999999901</v>
      </c>
      <c r="AF2737">
        <v>-4.3247093465980502</v>
      </c>
      <c r="AG2737">
        <v>-1.1079308240400001</v>
      </c>
      <c r="AH2737">
        <v>9.6750244689139997</v>
      </c>
      <c r="AI2737">
        <v>95.968329536130994</v>
      </c>
      <c r="AJ2737">
        <v>114.08451205814799</v>
      </c>
      <c r="AK2737">
        <v>10.6553610974708</v>
      </c>
    </row>
    <row r="2738" spans="1:37" x14ac:dyDescent="0.2">
      <c r="A2738" t="str">
        <f>"20200111153702585"</f>
        <v>20200111153702585</v>
      </c>
      <c r="B2738" t="str">
        <f>"1578728222575160"</f>
        <v>1578728222575160</v>
      </c>
      <c r="C2738" t="s">
        <v>37</v>
      </c>
      <c r="D2738">
        <v>5.9031320000000003</v>
      </c>
      <c r="E2738">
        <v>0.471730599999999</v>
      </c>
      <c r="F2738" t="s">
        <v>44</v>
      </c>
      <c r="G2738">
        <v>-479.59440000000001</v>
      </c>
      <c r="H2738" s="1">
        <v>2.1800080000000001E-6</v>
      </c>
      <c r="I2738">
        <v>220.92769999999999</v>
      </c>
      <c r="J2738">
        <v>-488.00240000000002</v>
      </c>
      <c r="K2738">
        <v>1.107917</v>
      </c>
      <c r="L2738">
        <v>227.35470000000001</v>
      </c>
      <c r="M2738">
        <v>0.47830220000000001</v>
      </c>
      <c r="N2738">
        <v>0</v>
      </c>
      <c r="O2738">
        <v>-0.87808949999999997</v>
      </c>
      <c r="P2738">
        <v>0.74992499999999995</v>
      </c>
      <c r="Q2738">
        <v>4.8468909999999997E-2</v>
      </c>
      <c r="R2738">
        <v>-0.65974489999999997</v>
      </c>
      <c r="S2738">
        <v>2.3925480000000001</v>
      </c>
      <c r="T2738">
        <v>-0.31195299999999998</v>
      </c>
      <c r="U2738">
        <v>-1.8516079999999999</v>
      </c>
      <c r="V2738">
        <v>-0.34339609999999998</v>
      </c>
      <c r="W2738">
        <v>5.886185E-2</v>
      </c>
      <c r="X2738">
        <v>0.93734439999999997</v>
      </c>
      <c r="Y2738">
        <v>-0.3972928</v>
      </c>
      <c r="Z2738">
        <v>0.1003333</v>
      </c>
      <c r="AA2738">
        <v>0.91219059999999896</v>
      </c>
      <c r="AB2738">
        <v>17</v>
      </c>
      <c r="AC2738">
        <v>8.4080000000000101</v>
      </c>
      <c r="AD2738">
        <v>-1.1079148199919999</v>
      </c>
      <c r="AE2738">
        <v>-6.42700000000002</v>
      </c>
      <c r="AF2738">
        <v>-4.26261250912831</v>
      </c>
      <c r="AG2738">
        <v>-1.1079148199919999</v>
      </c>
      <c r="AH2738">
        <v>9.5611585579170306</v>
      </c>
      <c r="AI2738">
        <v>96.041412920053503</v>
      </c>
      <c r="AJ2738">
        <v>114.02855266806201</v>
      </c>
      <c r="AK2738">
        <v>10.5267798315042</v>
      </c>
    </row>
    <row r="2739" spans="1:37" x14ac:dyDescent="0.2">
      <c r="A2739" t="str">
        <f>"20200111153702609"</f>
        <v>20200111153702609</v>
      </c>
      <c r="B2739" t="str">
        <f>"1578728222605417"</f>
        <v>1578728222605417</v>
      </c>
      <c r="C2739" t="s">
        <v>37</v>
      </c>
      <c r="D2739">
        <v>5.635046</v>
      </c>
      <c r="E2739">
        <v>0.45962639999999999</v>
      </c>
      <c r="F2739" t="s">
        <v>44</v>
      </c>
      <c r="G2739">
        <v>-479.42910000000001</v>
      </c>
      <c r="H2739" s="1">
        <v>2.2081160000000001E-6</v>
      </c>
      <c r="I2739">
        <v>220.78970000000001</v>
      </c>
      <c r="J2739">
        <v>-487.91379999999998</v>
      </c>
      <c r="K2739">
        <v>1.107898</v>
      </c>
      <c r="L2739">
        <v>227.2088</v>
      </c>
      <c r="M2739">
        <v>0.48410799999999998</v>
      </c>
      <c r="N2739">
        <v>0</v>
      </c>
      <c r="O2739">
        <v>-0.87490219999999896</v>
      </c>
      <c r="P2739">
        <v>0.75352569999999996</v>
      </c>
      <c r="Q2739">
        <v>4.840001E-2</v>
      </c>
      <c r="R2739">
        <v>-0.65563479999999996</v>
      </c>
      <c r="S2739">
        <v>2.4021910000000002</v>
      </c>
      <c r="T2739">
        <v>-0.31043189999999998</v>
      </c>
      <c r="U2739">
        <v>-1.8394619999999999</v>
      </c>
      <c r="V2739">
        <v>-0.34231240000000002</v>
      </c>
      <c r="W2739">
        <v>5.8818049999999997E-2</v>
      </c>
      <c r="X2739">
        <v>0.9377434</v>
      </c>
      <c r="Y2739">
        <v>-0.39595199999999903</v>
      </c>
      <c r="Z2739">
        <v>9.9601919999999997E-2</v>
      </c>
      <c r="AA2739">
        <v>0.91285349999999998</v>
      </c>
      <c r="AB2739">
        <v>17</v>
      </c>
      <c r="AC2739">
        <v>8.4846999999999699</v>
      </c>
      <c r="AD2739">
        <v>-1.107895791884</v>
      </c>
      <c r="AE2739">
        <v>-6.4190999999999798</v>
      </c>
      <c r="AF2739">
        <v>-4.2698453636795302</v>
      </c>
      <c r="AG2739">
        <v>-1.107895791884</v>
      </c>
      <c r="AH2739">
        <v>9.6201815391852694</v>
      </c>
      <c r="AI2739">
        <v>96.008908056575194</v>
      </c>
      <c r="AJ2739">
        <v>113.933682248072</v>
      </c>
      <c r="AK2739">
        <v>10.583331486932201</v>
      </c>
    </row>
    <row r="2740" spans="1:37" x14ac:dyDescent="0.2">
      <c r="A2740" t="str">
        <f>"20200111153702632"</f>
        <v>20200111153702632</v>
      </c>
      <c r="B2740" t="str">
        <f>"1578728222625912"</f>
        <v>1578728222625912</v>
      </c>
      <c r="C2740" t="s">
        <v>37</v>
      </c>
      <c r="D2740">
        <v>5.6351529999999999</v>
      </c>
      <c r="E2740">
        <v>0.45613329999999902</v>
      </c>
      <c r="F2740" t="s">
        <v>44</v>
      </c>
      <c r="G2740">
        <v>-480.8897</v>
      </c>
      <c r="H2740" s="1">
        <v>2.5022599999999999E-6</v>
      </c>
      <c r="I2740">
        <v>222.22059999999999</v>
      </c>
      <c r="J2740">
        <v>-487.82429999999999</v>
      </c>
      <c r="K2740">
        <v>1.1078709999999901</v>
      </c>
      <c r="L2740">
        <v>227.0634</v>
      </c>
      <c r="M2740">
        <v>0.48988100000000001</v>
      </c>
      <c r="N2740">
        <v>0</v>
      </c>
      <c r="O2740">
        <v>-0.87168279999999998</v>
      </c>
      <c r="P2740">
        <v>0.75762240000000003</v>
      </c>
      <c r="Q2740">
        <v>4.720651E-2</v>
      </c>
      <c r="R2740">
        <v>-0.65098389999999995</v>
      </c>
      <c r="S2740">
        <v>2.4762569999999999</v>
      </c>
      <c r="T2740">
        <v>-0.39057429999999999</v>
      </c>
      <c r="U2740">
        <v>-1.7585139999999999</v>
      </c>
      <c r="V2740">
        <v>-0.34193970000000001</v>
      </c>
      <c r="W2740">
        <v>5.7642739999999998E-2</v>
      </c>
      <c r="X2740">
        <v>0.93795229999999996</v>
      </c>
      <c r="Y2740">
        <v>-0.4199504</v>
      </c>
      <c r="Z2740">
        <v>0.12514829999999999</v>
      </c>
      <c r="AA2740">
        <v>0.89887680000000003</v>
      </c>
      <c r="AB2740">
        <v>17</v>
      </c>
      <c r="AC2740">
        <v>6.9345999999999801</v>
      </c>
      <c r="AD2740">
        <v>-1.10786849773999</v>
      </c>
      <c r="AE2740">
        <v>-4.8428000000000102</v>
      </c>
      <c r="AF2740">
        <v>-3.61077006716528</v>
      </c>
      <c r="AG2740">
        <v>-1.10786849773999</v>
      </c>
      <c r="AH2740">
        <v>7.4907102132825596</v>
      </c>
      <c r="AI2740">
        <v>97.588741824868094</v>
      </c>
      <c r="AJ2740">
        <v>115.73560441943999</v>
      </c>
      <c r="AK2740">
        <v>8.3890269152981691</v>
      </c>
    </row>
    <row r="2741" spans="1:37" x14ac:dyDescent="0.2">
      <c r="A2741" t="str">
        <f>"20200111153702654"</f>
        <v>20200111153702654</v>
      </c>
      <c r="B2741" t="str">
        <f>"1578728222645434"</f>
        <v>1578728222645434</v>
      </c>
      <c r="C2741" t="s">
        <v>37</v>
      </c>
      <c r="D2741">
        <v>5.6027300000000002</v>
      </c>
      <c r="E2741">
        <v>0.45673229999999998</v>
      </c>
      <c r="F2741" t="s">
        <v>44</v>
      </c>
      <c r="G2741">
        <v>-481.65219999999999</v>
      </c>
      <c r="H2741" s="1">
        <v>2.7683459999999998E-6</v>
      </c>
      <c r="I2741">
        <v>222.8124</v>
      </c>
      <c r="J2741">
        <v>-487.74079999999998</v>
      </c>
      <c r="K2741">
        <v>1.107847</v>
      </c>
      <c r="L2741">
        <v>226.92959999999999</v>
      </c>
      <c r="M2741">
        <v>0.49517689999999998</v>
      </c>
      <c r="N2741">
        <v>0</v>
      </c>
      <c r="O2741">
        <v>-0.86868559999999995</v>
      </c>
      <c r="P2741">
        <v>0.76207939999999996</v>
      </c>
      <c r="Q2741">
        <v>4.5137900000000002E-2</v>
      </c>
      <c r="R2741">
        <v>-0.6459087</v>
      </c>
      <c r="S2741">
        <v>2.505188</v>
      </c>
      <c r="T2741">
        <v>-0.44967159999999901</v>
      </c>
      <c r="U2741">
        <v>-1.725433</v>
      </c>
      <c r="V2741">
        <v>-0.34258929999999999</v>
      </c>
      <c r="W2741">
        <v>5.5581829999999999E-2</v>
      </c>
      <c r="X2741">
        <v>0.93783969999999905</v>
      </c>
      <c r="Y2741">
        <v>-0.42504389999999997</v>
      </c>
      <c r="Z2741">
        <v>0.14351069999999999</v>
      </c>
      <c r="AA2741">
        <v>0.89372389999999902</v>
      </c>
      <c r="AB2741">
        <v>17</v>
      </c>
      <c r="AC2741">
        <v>6.08859999999998</v>
      </c>
      <c r="AD2741">
        <v>-1.107844231654</v>
      </c>
      <c r="AE2741">
        <v>-4.1171999999999898</v>
      </c>
      <c r="AF2741">
        <v>-3.1784279997307299</v>
      </c>
      <c r="AG2741">
        <v>-1.107844231654</v>
      </c>
      <c r="AH2741">
        <v>6.4456597055316402</v>
      </c>
      <c r="AI2741">
        <v>98.763257302187696</v>
      </c>
      <c r="AJ2741">
        <v>116.248429786575</v>
      </c>
      <c r="AK2741">
        <v>7.2716059045162398</v>
      </c>
    </row>
    <row r="2742" spans="1:37" x14ac:dyDescent="0.2">
      <c r="A2742" t="str">
        <f>"20200111153702675"</f>
        <v>20200111153702675</v>
      </c>
      <c r="B2742" t="str">
        <f>"1578728222665928"</f>
        <v>1578728222665928</v>
      </c>
      <c r="C2742" t="s">
        <v>37</v>
      </c>
      <c r="D2742">
        <v>5.5987939999999998</v>
      </c>
      <c r="E2742">
        <v>0.45661449999999998</v>
      </c>
      <c r="F2742" t="s">
        <v>44</v>
      </c>
      <c r="G2742">
        <v>-481.61250000000001</v>
      </c>
      <c r="H2742" s="1">
        <v>2.7484650000000001E-6</v>
      </c>
      <c r="I2742">
        <v>222.7543</v>
      </c>
      <c r="J2742">
        <v>-487.65769999999998</v>
      </c>
      <c r="K2742">
        <v>1.107815</v>
      </c>
      <c r="L2742">
        <v>226.79839999999999</v>
      </c>
      <c r="M2742">
        <v>0.50034339999999999</v>
      </c>
      <c r="N2742">
        <v>0</v>
      </c>
      <c r="O2742">
        <v>-0.86572000000000005</v>
      </c>
      <c r="P2742">
        <v>0.76679640000000004</v>
      </c>
      <c r="Q2742">
        <v>4.489344E-2</v>
      </c>
      <c r="R2742">
        <v>-0.64031879999999997</v>
      </c>
      <c r="S2742">
        <v>2.5125730000000002</v>
      </c>
      <c r="T2742">
        <v>-0.45421450000000002</v>
      </c>
      <c r="U2742">
        <v>-1.7118529999999901</v>
      </c>
      <c r="V2742">
        <v>-0.34386669999999903</v>
      </c>
      <c r="W2742">
        <v>5.5342820000000001E-2</v>
      </c>
      <c r="X2742">
        <v>0.93738619999999995</v>
      </c>
      <c r="Y2742">
        <v>-0.42400690000000002</v>
      </c>
      <c r="Z2742">
        <v>0.1447013</v>
      </c>
      <c r="AA2742">
        <v>0.89402440000000005</v>
      </c>
      <c r="AB2742">
        <v>17</v>
      </c>
      <c r="AC2742">
        <v>6.0451999999999604</v>
      </c>
      <c r="AD2742">
        <v>-1.107812251535</v>
      </c>
      <c r="AE2742">
        <v>-4.0440999999999798</v>
      </c>
      <c r="AF2742">
        <v>-3.1375196760720501</v>
      </c>
      <c r="AG2742">
        <v>-1.107812251535</v>
      </c>
      <c r="AH2742">
        <v>6.3783626497429502</v>
      </c>
      <c r="AI2742">
        <v>98.858190937335493</v>
      </c>
      <c r="AJ2742">
        <v>116.19259526624001</v>
      </c>
      <c r="AK2742">
        <v>7.19408005196121</v>
      </c>
    </row>
    <row r="2743" spans="1:37" x14ac:dyDescent="0.2">
      <c r="A2743" t="str">
        <f>"20200111153702699"</f>
        <v>20200111153702699</v>
      </c>
      <c r="B2743" t="str">
        <f>"1578728222685448"</f>
        <v>1578728222685448</v>
      </c>
      <c r="C2743" t="s">
        <v>37</v>
      </c>
      <c r="D2743">
        <v>5.595796</v>
      </c>
      <c r="E2743">
        <v>0.4570264</v>
      </c>
      <c r="F2743" t="s">
        <v>44</v>
      </c>
      <c r="G2743">
        <v>-481.51319999999998</v>
      </c>
      <c r="H2743" s="1">
        <v>2.713847E-6</v>
      </c>
      <c r="I2743">
        <v>222.67740000000001</v>
      </c>
      <c r="J2743">
        <v>-487.56549999999999</v>
      </c>
      <c r="K2743">
        <v>1.107769</v>
      </c>
      <c r="L2743">
        <v>226.65459999999999</v>
      </c>
      <c r="M2743">
        <v>0.50595610000000002</v>
      </c>
      <c r="N2743">
        <v>0</v>
      </c>
      <c r="O2743">
        <v>-0.862452</v>
      </c>
      <c r="P2743">
        <v>0.77179189999999998</v>
      </c>
      <c r="Q2743">
        <v>4.5551700000000001E-2</v>
      </c>
      <c r="R2743">
        <v>-0.63424219999999998</v>
      </c>
      <c r="S2743">
        <v>2.5249329999999999</v>
      </c>
      <c r="T2743">
        <v>-0.45522749999999901</v>
      </c>
      <c r="U2743">
        <v>-1.6934199999999999</v>
      </c>
      <c r="V2743">
        <v>-0.34514739999999999</v>
      </c>
      <c r="W2743">
        <v>5.6018890000000002E-2</v>
      </c>
      <c r="X2743">
        <v>0.93687520000000002</v>
      </c>
      <c r="Y2743">
        <v>-0.42464179999999901</v>
      </c>
      <c r="Z2743">
        <v>0.14475650000000001</v>
      </c>
      <c r="AA2743">
        <v>0.89371409999999996</v>
      </c>
      <c r="AB2743">
        <v>17</v>
      </c>
      <c r="AC2743">
        <v>6.0522999999999998</v>
      </c>
      <c r="AD2743">
        <v>-1.107766286153</v>
      </c>
      <c r="AE2743">
        <v>-3.9771999999999799</v>
      </c>
      <c r="AF2743">
        <v>-3.1344881372704498</v>
      </c>
      <c r="AG2743">
        <v>-1.107766286153</v>
      </c>
      <c r="AH2743">
        <v>6.3444993176910502</v>
      </c>
      <c r="AI2743">
        <v>98.896891954254698</v>
      </c>
      <c r="AJ2743">
        <v>116.291589402594</v>
      </c>
      <c r="AK2743">
        <v>7.1627392539173602</v>
      </c>
    </row>
    <row r="2744" spans="1:37" x14ac:dyDescent="0.2">
      <c r="A2744" t="str">
        <f>"20200111153702722"</f>
        <v>20200111153702722</v>
      </c>
      <c r="B2744" t="str">
        <f>"1578728222715704"</f>
        <v>1578728222715704</v>
      </c>
      <c r="C2744" t="s">
        <v>37</v>
      </c>
      <c r="D2744">
        <v>5.7492999999999999</v>
      </c>
      <c r="E2744">
        <v>0.45735429999999999</v>
      </c>
      <c r="F2744" t="s">
        <v>44</v>
      </c>
      <c r="G2744">
        <v>-481.35660000000001</v>
      </c>
      <c r="H2744" s="1">
        <v>2.6582790000000001E-6</v>
      </c>
      <c r="I2744">
        <v>222.55170000000001</v>
      </c>
      <c r="J2744">
        <v>-487.47559999999999</v>
      </c>
      <c r="K2744">
        <v>1.107699</v>
      </c>
      <c r="L2744">
        <v>226.5162</v>
      </c>
      <c r="M2744">
        <v>0.5112681</v>
      </c>
      <c r="N2744">
        <v>0</v>
      </c>
      <c r="O2744">
        <v>-0.85931380000000002</v>
      </c>
      <c r="P2744">
        <v>0.77679659999999995</v>
      </c>
      <c r="Q2744">
        <v>4.6364750000000003E-2</v>
      </c>
      <c r="R2744">
        <v>-0.62804309999999997</v>
      </c>
      <c r="S2744">
        <v>2.5364070000000001</v>
      </c>
      <c r="T2744">
        <v>-0.45253559999999998</v>
      </c>
      <c r="U2744">
        <v>-1.6760709999999901</v>
      </c>
      <c r="V2744">
        <v>-0.34682209999999902</v>
      </c>
      <c r="W2744">
        <v>5.6863440000000001E-2</v>
      </c>
      <c r="X2744">
        <v>0.93620559999999997</v>
      </c>
      <c r="Y2744">
        <v>-0.4253189</v>
      </c>
      <c r="Z2744">
        <v>0.143665299999999</v>
      </c>
      <c r="AA2744">
        <v>0.89356819999999904</v>
      </c>
      <c r="AB2744">
        <v>17</v>
      </c>
      <c r="AC2744">
        <v>6.1189999999999696</v>
      </c>
      <c r="AD2744">
        <v>-1.107696341721</v>
      </c>
      <c r="AE2744">
        <v>-3.9644999999999802</v>
      </c>
      <c r="AF2744">
        <v>-3.1586122088119599</v>
      </c>
      <c r="AG2744">
        <v>-1.107696341721</v>
      </c>
      <c r="AH2744">
        <v>6.3883509862278798</v>
      </c>
      <c r="AI2744">
        <v>98.834909114227898</v>
      </c>
      <c r="AJ2744">
        <v>116.30931570282</v>
      </c>
      <c r="AK2744">
        <v>7.2121321808711096</v>
      </c>
    </row>
    <row r="2745" spans="1:37" x14ac:dyDescent="0.2">
      <c r="A2745" t="str">
        <f>"20200111153702743"</f>
        <v>20200111153702743</v>
      </c>
      <c r="B2745" t="str">
        <f>"1578728222735224"</f>
        <v>1578728222735224</v>
      </c>
      <c r="C2745" t="s">
        <v>37</v>
      </c>
      <c r="D2745">
        <v>5.7599450000000001</v>
      </c>
      <c r="E2745">
        <v>0.46431939999999999</v>
      </c>
      <c r="F2745" t="s">
        <v>44</v>
      </c>
      <c r="G2745">
        <v>-481.20359999999999</v>
      </c>
      <c r="H2745" s="1">
        <v>2.6048020000000001E-6</v>
      </c>
      <c r="I2745">
        <v>222.43260000000001</v>
      </c>
      <c r="J2745">
        <v>-487.39150000000001</v>
      </c>
      <c r="K2745">
        <v>1.107607</v>
      </c>
      <c r="L2745">
        <v>226.38810000000001</v>
      </c>
      <c r="M2745">
        <v>0.51607910000000001</v>
      </c>
      <c r="N2745">
        <v>0</v>
      </c>
      <c r="O2745">
        <v>-0.85643289999999905</v>
      </c>
      <c r="P2745">
        <v>0.78185059999999995</v>
      </c>
      <c r="Q2745">
        <v>4.6445420000000001E-2</v>
      </c>
      <c r="R2745">
        <v>-0.62173350000000005</v>
      </c>
      <c r="S2745">
        <v>2.5476990000000002</v>
      </c>
      <c r="T2745">
        <v>-0.4499515</v>
      </c>
      <c r="U2745">
        <v>-1.658768</v>
      </c>
      <c r="V2745">
        <v>-0.349136</v>
      </c>
      <c r="W2745">
        <v>5.6981030000000002E-2</v>
      </c>
      <c r="X2745">
        <v>0.935337999999999</v>
      </c>
      <c r="Y2745">
        <v>-0.42645479999999902</v>
      </c>
      <c r="Z2745">
        <v>0.14265139999999901</v>
      </c>
      <c r="AA2745">
        <v>0.89318909999999996</v>
      </c>
      <c r="AB2745">
        <v>17</v>
      </c>
      <c r="AC2745">
        <v>6.1879000000000097</v>
      </c>
      <c r="AD2745">
        <v>-1.1076043951979999</v>
      </c>
      <c r="AE2745">
        <v>-3.9554999999999998</v>
      </c>
      <c r="AF2745">
        <v>-3.1860054114899401</v>
      </c>
      <c r="AG2745">
        <v>-1.1076043951979999</v>
      </c>
      <c r="AH2745">
        <v>6.4353028963280998</v>
      </c>
      <c r="AI2745">
        <v>98.768510834205401</v>
      </c>
      <c r="AJ2745">
        <v>116.339203403125</v>
      </c>
      <c r="AK2745">
        <v>7.2657099684610298</v>
      </c>
    </row>
    <row r="2746" spans="1:37" x14ac:dyDescent="0.2">
      <c r="A2746" t="str">
        <f>"20200111153702765"</f>
        <v>20200111153702765</v>
      </c>
      <c r="B2746" t="str">
        <f>"1578728222755720"</f>
        <v>1578728222755720</v>
      </c>
      <c r="C2746" t="s">
        <v>37</v>
      </c>
      <c r="D2746">
        <v>5.5783149999999999</v>
      </c>
      <c r="E2746">
        <v>0.46541009999999999</v>
      </c>
      <c r="F2746" t="s">
        <v>44</v>
      </c>
      <c r="G2746">
        <v>-480.46850000000001</v>
      </c>
      <c r="H2746" s="1">
        <v>2.3312729999999999E-6</v>
      </c>
      <c r="I2746">
        <v>221.7852</v>
      </c>
      <c r="J2746">
        <v>-487.29969999999997</v>
      </c>
      <c r="K2746">
        <v>1.1074930000000001</v>
      </c>
      <c r="L2746">
        <v>226.24979999999999</v>
      </c>
      <c r="M2746">
        <v>0.52115920000000004</v>
      </c>
      <c r="N2746">
        <v>0</v>
      </c>
      <c r="O2746">
        <v>-0.85335149999999904</v>
      </c>
      <c r="P2746">
        <v>0.78687149999999995</v>
      </c>
      <c r="Q2746">
        <v>4.572524E-2</v>
      </c>
      <c r="R2746">
        <v>-0.61542069999999904</v>
      </c>
      <c r="S2746">
        <v>2.5256349999999999</v>
      </c>
      <c r="T2746">
        <v>-0.40407519999999902</v>
      </c>
      <c r="U2746">
        <v>-1.679214</v>
      </c>
      <c r="V2746">
        <v>-0.3511243</v>
      </c>
      <c r="W2746">
        <v>5.6312149999999998E-2</v>
      </c>
      <c r="X2746">
        <v>0.93463399999999996</v>
      </c>
      <c r="Y2746">
        <v>-0.41432970000000002</v>
      </c>
      <c r="Z2746">
        <v>0.12787580000000001</v>
      </c>
      <c r="AA2746">
        <v>0.90109850000000002</v>
      </c>
      <c r="AB2746">
        <v>17</v>
      </c>
      <c r="AC2746">
        <v>6.83119999999996</v>
      </c>
      <c r="AD2746">
        <v>-1.1074906687270001</v>
      </c>
      <c r="AE2746">
        <v>-4.4645999999999901</v>
      </c>
      <c r="AF2746">
        <v>-3.4396226340841798</v>
      </c>
      <c r="AG2746">
        <v>-1.1074906687270001</v>
      </c>
      <c r="AH2746">
        <v>7.2374037015630304</v>
      </c>
      <c r="AI2746">
        <v>97.868923365908103</v>
      </c>
      <c r="AJ2746">
        <v>115.419704487158</v>
      </c>
      <c r="AK2746">
        <v>8.0893480445348498</v>
      </c>
    </row>
    <row r="2747" spans="1:37" x14ac:dyDescent="0.2">
      <c r="A2747" t="str">
        <f>"20200111153702786"</f>
        <v>20200111153702786</v>
      </c>
      <c r="B2747" t="str">
        <f>"1578728222775243"</f>
        <v>1578728222775243</v>
      </c>
      <c r="C2747" t="s">
        <v>37</v>
      </c>
      <c r="D2747">
        <v>5.560943</v>
      </c>
      <c r="E2747">
        <v>0.46546779999999999</v>
      </c>
      <c r="F2747" t="s">
        <v>44</v>
      </c>
      <c r="G2747">
        <v>-480.29739999999998</v>
      </c>
      <c r="H2747" s="1">
        <v>2.2705629999999999E-6</v>
      </c>
      <c r="I2747">
        <v>221.64789999999999</v>
      </c>
      <c r="J2747">
        <v>-487.21190000000001</v>
      </c>
      <c r="K2747">
        <v>1.1073819999999901</v>
      </c>
      <c r="L2747">
        <v>226.1189</v>
      </c>
      <c r="M2747">
        <v>0.52584549999999997</v>
      </c>
      <c r="N2747">
        <v>0</v>
      </c>
      <c r="O2747">
        <v>-0.85047189999999995</v>
      </c>
      <c r="P2747">
        <v>0.7907904</v>
      </c>
      <c r="Q2747">
        <v>4.4110160000000002E-2</v>
      </c>
      <c r="R2747">
        <v>-0.61049589999999998</v>
      </c>
      <c r="S2747">
        <v>2.5335999999999999</v>
      </c>
      <c r="T2747">
        <v>-0.40071889999999999</v>
      </c>
      <c r="U2747">
        <v>-1.6651</v>
      </c>
      <c r="V2747">
        <v>-0.35187399999999902</v>
      </c>
      <c r="W2747">
        <v>5.4759580000000002E-2</v>
      </c>
      <c r="X2747">
        <v>0.93444430000000001</v>
      </c>
      <c r="Y2747">
        <v>-0.414276599999999</v>
      </c>
      <c r="Z2747">
        <v>0.12663170000000001</v>
      </c>
      <c r="AA2747">
        <v>0.90129869999999901</v>
      </c>
      <c r="AB2747">
        <v>16</v>
      </c>
      <c r="AC2747">
        <v>6.9145000000000296</v>
      </c>
      <c r="AD2747">
        <v>-1.10737972943699</v>
      </c>
      <c r="AE2747">
        <v>-4.4710000000000001</v>
      </c>
      <c r="AF2747">
        <v>-3.4671478683549499</v>
      </c>
      <c r="AG2747">
        <v>-1.10737972943699</v>
      </c>
      <c r="AH2747">
        <v>7.3069437616802499</v>
      </c>
      <c r="AI2747">
        <v>97.796444272611694</v>
      </c>
      <c r="AJ2747">
        <v>115.384359015862</v>
      </c>
      <c r="AK2747">
        <v>8.1632610727921797</v>
      </c>
    </row>
    <row r="2748" spans="1:37" x14ac:dyDescent="0.2">
      <c r="A2748" t="str">
        <f>"20200111153702809"</f>
        <v>20200111153702809</v>
      </c>
      <c r="B2748" t="str">
        <f>"1578728222805496"</f>
        <v>1578728222805496</v>
      </c>
      <c r="C2748" t="s">
        <v>37</v>
      </c>
      <c r="D2748">
        <v>5.5964299999999998</v>
      </c>
      <c r="E2748">
        <v>0.46578799999999998</v>
      </c>
      <c r="F2748" t="s">
        <v>44</v>
      </c>
      <c r="G2748">
        <v>-480.32499999999999</v>
      </c>
      <c r="H2748" s="1">
        <v>2.2768840000000002E-6</v>
      </c>
      <c r="I2748">
        <v>221.65430000000001</v>
      </c>
      <c r="J2748">
        <v>-487.12439999999998</v>
      </c>
      <c r="K2748">
        <v>1.10727999999999</v>
      </c>
      <c r="L2748">
        <v>225.98949999999999</v>
      </c>
      <c r="M2748">
        <v>0.53033549999999996</v>
      </c>
      <c r="N2748">
        <v>0</v>
      </c>
      <c r="O2748">
        <v>-0.84767950000000003</v>
      </c>
      <c r="P2748">
        <v>0.79343969999999997</v>
      </c>
      <c r="Q2748">
        <v>4.2647869999999997E-2</v>
      </c>
      <c r="R2748">
        <v>-0.6071529</v>
      </c>
      <c r="S2748">
        <v>2.5435180000000002</v>
      </c>
      <c r="T2748">
        <v>-0.40898859999999998</v>
      </c>
      <c r="U2748">
        <v>-1.6488799999999999</v>
      </c>
      <c r="V2748">
        <v>-0.35092249999999903</v>
      </c>
      <c r="W2748">
        <v>5.337687E-2</v>
      </c>
      <c r="X2748">
        <v>0.93488199999999999</v>
      </c>
      <c r="Y2748">
        <v>-0.41481570000000001</v>
      </c>
      <c r="Z2748">
        <v>0.1290144</v>
      </c>
      <c r="AA2748">
        <v>0.90071259999999997</v>
      </c>
      <c r="AB2748">
        <v>16</v>
      </c>
      <c r="AC2748">
        <v>6.7993999999999897</v>
      </c>
      <c r="AD2748">
        <v>-1.10727772311599</v>
      </c>
      <c r="AE2748">
        <v>-4.33519999999998</v>
      </c>
      <c r="AF2748">
        <v>-3.4007976683435102</v>
      </c>
      <c r="AG2748">
        <v>-1.10727772311599</v>
      </c>
      <c r="AH2748">
        <v>7.1467402230115598</v>
      </c>
      <c r="AI2748">
        <v>97.964142864047801</v>
      </c>
      <c r="AJ2748">
        <v>115.44758045126</v>
      </c>
      <c r="AK2748">
        <v>7.9917072364001802</v>
      </c>
    </row>
    <row r="2749" spans="1:37" x14ac:dyDescent="0.2">
      <c r="A2749" t="str">
        <f>"20200111153702830"</f>
        <v>20200111153702830</v>
      </c>
      <c r="B2749" t="str">
        <f>"1578728222825992"</f>
        <v>1578728222825992</v>
      </c>
      <c r="C2749" t="s">
        <v>37</v>
      </c>
      <c r="D2749">
        <v>5.543291</v>
      </c>
      <c r="E2749">
        <v>0.4659585</v>
      </c>
      <c r="F2749" t="s">
        <v>44</v>
      </c>
      <c r="G2749">
        <v>-480.27099999999899</v>
      </c>
      <c r="H2749" s="1">
        <v>2.2516390000000002E-6</v>
      </c>
      <c r="I2749">
        <v>221.58349999999999</v>
      </c>
      <c r="J2749">
        <v>-487.03280000000001</v>
      </c>
      <c r="K2749">
        <v>1.1071789999999999</v>
      </c>
      <c r="L2749">
        <v>225.8553</v>
      </c>
      <c r="M2749">
        <v>0.53484209999999999</v>
      </c>
      <c r="N2749">
        <v>0</v>
      </c>
      <c r="O2749">
        <v>-0.84484369999999998</v>
      </c>
      <c r="P2749">
        <v>0.79527150000000002</v>
      </c>
      <c r="Q2749">
        <v>4.1871489999999997E-2</v>
      </c>
      <c r="R2749">
        <v>-0.60480599999999995</v>
      </c>
      <c r="S2749">
        <v>2.5491029999999899</v>
      </c>
      <c r="T2749">
        <v>-0.41185179999999999</v>
      </c>
      <c r="U2749">
        <v>-1.6388240000000001</v>
      </c>
      <c r="V2749">
        <v>-0.34872179999999903</v>
      </c>
      <c r="W2749">
        <v>5.2692160000000002E-2</v>
      </c>
      <c r="X2749">
        <v>0.93574389999999996</v>
      </c>
      <c r="Y2749">
        <v>-0.413297999999999</v>
      </c>
      <c r="Z2749">
        <v>0.12962650000000001</v>
      </c>
      <c r="AA2749">
        <v>0.90132219999999996</v>
      </c>
      <c r="AB2749">
        <v>16</v>
      </c>
      <c r="AC2749">
        <v>6.7618000000000498</v>
      </c>
      <c r="AD2749">
        <v>-1.107176748361</v>
      </c>
      <c r="AE2749">
        <v>-4.2718000000000096</v>
      </c>
      <c r="AF2749">
        <v>-3.3637804063330101</v>
      </c>
      <c r="AG2749">
        <v>-1.107176748361</v>
      </c>
      <c r="AH2749">
        <v>7.0902911008958496</v>
      </c>
      <c r="AI2749">
        <v>98.030402828248498</v>
      </c>
      <c r="AJ2749">
        <v>115.38062774871101</v>
      </c>
      <c r="AK2749">
        <v>7.9254707664330004</v>
      </c>
    </row>
    <row r="2750" spans="1:37" x14ac:dyDescent="0.2">
      <c r="A2750" t="str">
        <f>"20200111153702854"</f>
        <v>20200111153702854</v>
      </c>
      <c r="B2750" t="str">
        <f>"1578728222845513"</f>
        <v>1578728222845513</v>
      </c>
      <c r="C2750" t="s">
        <v>37</v>
      </c>
      <c r="D2750">
        <v>5.5308539999999997</v>
      </c>
      <c r="E2750">
        <v>0.46587799999999902</v>
      </c>
      <c r="F2750" t="s">
        <v>44</v>
      </c>
      <c r="G2750">
        <v>-480.20749999999998</v>
      </c>
      <c r="H2750" s="1">
        <v>2.2206649999999999E-6</v>
      </c>
      <c r="I2750">
        <v>221.49440000000001</v>
      </c>
      <c r="J2750">
        <v>-486.9393</v>
      </c>
      <c r="K2750">
        <v>1.107075</v>
      </c>
      <c r="L2750">
        <v>225.71950000000001</v>
      </c>
      <c r="M2750">
        <v>0.53925040000000002</v>
      </c>
      <c r="N2750">
        <v>0</v>
      </c>
      <c r="O2750">
        <v>-0.84203709999999898</v>
      </c>
      <c r="P2750">
        <v>0.79668689999999998</v>
      </c>
      <c r="Q2750">
        <v>4.1643060000000003E-2</v>
      </c>
      <c r="R2750">
        <v>-0.60295609999999999</v>
      </c>
      <c r="S2750">
        <v>2.553375</v>
      </c>
      <c r="T2750">
        <v>-0.41419889999999998</v>
      </c>
      <c r="U2750">
        <v>-1.631424</v>
      </c>
      <c r="V2750">
        <v>-0.34599920000000001</v>
      </c>
      <c r="W2750">
        <v>5.2556440000000003E-2</v>
      </c>
      <c r="X2750">
        <v>0.93676159999999997</v>
      </c>
      <c r="Y2750">
        <v>-0.41101890000000002</v>
      </c>
      <c r="Z2750">
        <v>0.1300269</v>
      </c>
      <c r="AA2750">
        <v>0.90230619999999995</v>
      </c>
      <c r="AB2750">
        <v>16</v>
      </c>
      <c r="AC2750">
        <v>6.7318000000000202</v>
      </c>
      <c r="AD2750">
        <v>-1.1070727793349999</v>
      </c>
      <c r="AE2750">
        <v>-4.2250999999999896</v>
      </c>
      <c r="AF2750">
        <v>-3.32581968151346</v>
      </c>
      <c r="AG2750">
        <v>-1.1070727793349999</v>
      </c>
      <c r="AH2750">
        <v>7.0516552151173402</v>
      </c>
      <c r="AI2750">
        <v>98.081651671984105</v>
      </c>
      <c r="AJ2750">
        <v>115.250286930727</v>
      </c>
      <c r="AK2750">
        <v>7.8748033604388201</v>
      </c>
    </row>
    <row r="2751" spans="1:37" x14ac:dyDescent="0.2">
      <c r="A2751" t="str">
        <f>"20200111153702876"</f>
        <v>20200111153702876</v>
      </c>
      <c r="B2751" t="str">
        <f>"1578728222866008"</f>
        <v>1578728222866008</v>
      </c>
      <c r="C2751" t="s">
        <v>37</v>
      </c>
      <c r="D2751">
        <v>5.4649939999999999</v>
      </c>
      <c r="E2751">
        <v>0.46550219999999998</v>
      </c>
      <c r="F2751" t="s">
        <v>44</v>
      </c>
      <c r="G2751">
        <v>-480.1096</v>
      </c>
      <c r="H2751" s="1">
        <v>2.1783509999999999E-6</v>
      </c>
      <c r="I2751">
        <v>221.38149999999999</v>
      </c>
      <c r="J2751">
        <v>-486.84589999999997</v>
      </c>
      <c r="K2751">
        <v>1.106992</v>
      </c>
      <c r="L2751">
        <v>225.58510000000001</v>
      </c>
      <c r="M2751">
        <v>0.54348680000000005</v>
      </c>
      <c r="N2751">
        <v>0</v>
      </c>
      <c r="O2751">
        <v>-0.83930910000000003</v>
      </c>
      <c r="P2751">
        <v>0.79835199999999995</v>
      </c>
      <c r="Q2751">
        <v>4.1813339999999997E-2</v>
      </c>
      <c r="R2751">
        <v>-0.60073779999999999</v>
      </c>
      <c r="S2751">
        <v>2.5577700000000001</v>
      </c>
      <c r="T2751">
        <v>-0.4146031</v>
      </c>
      <c r="U2751">
        <v>-1.624573</v>
      </c>
      <c r="V2751">
        <v>-0.343864</v>
      </c>
      <c r="W2751">
        <v>5.2802139999999997E-2</v>
      </c>
      <c r="X2751">
        <v>0.93753369999999903</v>
      </c>
      <c r="Y2751">
        <v>-0.40886749999999999</v>
      </c>
      <c r="Z2751">
        <v>0.1298156</v>
      </c>
      <c r="AA2751">
        <v>0.90331349999999999</v>
      </c>
      <c r="AB2751">
        <v>16</v>
      </c>
      <c r="AC2751">
        <v>6.7362999999999698</v>
      </c>
      <c r="AD2751">
        <v>-1.1069898216489999</v>
      </c>
      <c r="AE2751">
        <v>-4.2036000000000202</v>
      </c>
      <c r="AF2751">
        <v>-3.30530080639442</v>
      </c>
      <c r="AG2751">
        <v>-1.1069898216489999</v>
      </c>
      <c r="AH2751">
        <v>7.05278456999973</v>
      </c>
      <c r="AI2751">
        <v>98.0889455066972</v>
      </c>
      <c r="AJ2751">
        <v>115.11022598498499</v>
      </c>
      <c r="AK2751">
        <v>7.8671602295118097</v>
      </c>
    </row>
    <row r="2752" spans="1:37" x14ac:dyDescent="0.2">
      <c r="A2752" t="str">
        <f>"20200111153702899"</f>
        <v>20200111153702899</v>
      </c>
      <c r="B2752" t="str">
        <f>"1578728222895288"</f>
        <v>1578728222895288</v>
      </c>
      <c r="C2752" t="s">
        <v>37</v>
      </c>
      <c r="D2752">
        <v>5.5462119999999997</v>
      </c>
      <c r="E2752">
        <v>0.46469480000000002</v>
      </c>
      <c r="F2752" t="s">
        <v>44</v>
      </c>
      <c r="G2752">
        <v>-479.97980000000001</v>
      </c>
      <c r="H2752" s="1">
        <v>2.1281789999999999E-6</v>
      </c>
      <c r="I2752">
        <v>221.2587</v>
      </c>
      <c r="J2752">
        <v>-486.755</v>
      </c>
      <c r="K2752">
        <v>1.1069359999999999</v>
      </c>
      <c r="L2752">
        <v>225.45519999999999</v>
      </c>
      <c r="M2752">
        <v>0.54748019999999997</v>
      </c>
      <c r="N2752">
        <v>0</v>
      </c>
      <c r="O2752">
        <v>-0.83670999999999995</v>
      </c>
      <c r="P2752">
        <v>0.79999609999999999</v>
      </c>
      <c r="Q2752">
        <v>4.2580430000000002E-2</v>
      </c>
      <c r="R2752">
        <v>-0.59849269999999999</v>
      </c>
      <c r="S2752">
        <v>2.563812</v>
      </c>
      <c r="T2752">
        <v>-0.4133484</v>
      </c>
      <c r="U2752">
        <v>-1.6154629999999901</v>
      </c>
      <c r="V2752">
        <v>-0.34199040000000003</v>
      </c>
      <c r="W2752">
        <v>5.3627330000000001E-2</v>
      </c>
      <c r="X2752">
        <v>0.93817199999999901</v>
      </c>
      <c r="Y2752">
        <v>-0.40785709999999997</v>
      </c>
      <c r="Z2752">
        <v>0.129141899999999</v>
      </c>
      <c r="AA2752">
        <v>0.90386669999999902</v>
      </c>
      <c r="AB2752">
        <v>16</v>
      </c>
      <c r="AC2752">
        <v>6.7751999999999803</v>
      </c>
      <c r="AD2752">
        <v>-1.106933871821</v>
      </c>
      <c r="AE2752">
        <v>-4.1964999999999799</v>
      </c>
      <c r="AF2752">
        <v>-3.3078684861555701</v>
      </c>
      <c r="AG2752">
        <v>-1.106933871821</v>
      </c>
      <c r="AH2752">
        <v>7.0845241319777799</v>
      </c>
      <c r="AI2752">
        <v>98.058081083308906</v>
      </c>
      <c r="AJ2752">
        <v>115.02856237723201</v>
      </c>
      <c r="AK2752">
        <v>7.8966941624239997</v>
      </c>
    </row>
    <row r="2753" spans="1:37" x14ac:dyDescent="0.2">
      <c r="A2753" t="str">
        <f>"20200111153702922"</f>
        <v>20200111153702922</v>
      </c>
      <c r="B2753" t="str">
        <f>"1578728222915784"</f>
        <v>1578728222915784</v>
      </c>
      <c r="C2753" t="s">
        <v>37</v>
      </c>
      <c r="D2753">
        <v>5.804691</v>
      </c>
      <c r="E2753">
        <v>0.46418229999999999</v>
      </c>
      <c r="F2753" t="s">
        <v>44</v>
      </c>
      <c r="G2753">
        <v>-479.77420000000001</v>
      </c>
      <c r="H2753" s="1">
        <v>2.1559540000000002E-6</v>
      </c>
      <c r="I2753">
        <v>221.10749999999999</v>
      </c>
      <c r="J2753">
        <v>-486.65690000000001</v>
      </c>
      <c r="K2753">
        <v>1.1068910000000001</v>
      </c>
      <c r="L2753">
        <v>225.31639999999999</v>
      </c>
      <c r="M2753">
        <v>0.55165959999999903</v>
      </c>
      <c r="N2753">
        <v>0</v>
      </c>
      <c r="O2753">
        <v>-0.83396039999999905</v>
      </c>
      <c r="P2753">
        <v>0.80260159999999903</v>
      </c>
      <c r="Q2753">
        <v>4.218438E-2</v>
      </c>
      <c r="R2753">
        <v>-0.59502219999999995</v>
      </c>
      <c r="S2753">
        <v>2.5728759999999999</v>
      </c>
      <c r="T2753">
        <v>-0.4079758</v>
      </c>
      <c r="U2753">
        <v>-1.6024320000000001</v>
      </c>
      <c r="V2753">
        <v>-0.34136889999999998</v>
      </c>
      <c r="W2753">
        <v>5.3261169999999997E-2</v>
      </c>
      <c r="X2753">
        <v>0.93841919999999901</v>
      </c>
      <c r="Y2753">
        <v>-0.40825739999999999</v>
      </c>
      <c r="Z2753">
        <v>0.1272268</v>
      </c>
      <c r="AA2753">
        <v>0.90395749999999997</v>
      </c>
      <c r="AB2753">
        <v>16</v>
      </c>
      <c r="AC2753">
        <v>6.8826999999999998</v>
      </c>
      <c r="AD2753">
        <v>-1.1068888440460001</v>
      </c>
      <c r="AE2753">
        <v>-4.2088999999999999</v>
      </c>
      <c r="AF2753">
        <v>-3.3551711916476501</v>
      </c>
      <c r="AG2753">
        <v>-1.1068888440460001</v>
      </c>
      <c r="AH2753">
        <v>7.1726085134200899</v>
      </c>
      <c r="AI2753">
        <v>97.957484735563</v>
      </c>
      <c r="AJ2753">
        <v>115.06904562044301</v>
      </c>
      <c r="AK2753">
        <v>7.9955418531280404</v>
      </c>
    </row>
    <row r="2754" spans="1:37" x14ac:dyDescent="0.2">
      <c r="A2754" t="str">
        <f>"20200111153702945"</f>
        <v>20200111153702945</v>
      </c>
      <c r="B2754" t="str">
        <f>"1578728222935305"</f>
        <v>1578728222935305</v>
      </c>
      <c r="C2754" t="s">
        <v>37</v>
      </c>
      <c r="D2754">
        <v>5.5708849999999996</v>
      </c>
      <c r="E2754">
        <v>0.45813199999999998</v>
      </c>
      <c r="F2754" t="s">
        <v>44</v>
      </c>
      <c r="G2754">
        <v>-479.67770000000002</v>
      </c>
      <c r="H2754" s="1">
        <v>2.1723229999999999E-6</v>
      </c>
      <c r="I2754">
        <v>221.0266</v>
      </c>
      <c r="J2754">
        <v>-486.56540000000001</v>
      </c>
      <c r="K2754">
        <v>1.1068709999999999</v>
      </c>
      <c r="L2754">
        <v>225.18819999999999</v>
      </c>
      <c r="M2754">
        <v>0.55547279999999999</v>
      </c>
      <c r="N2754">
        <v>0</v>
      </c>
      <c r="O2754">
        <v>-0.83142579999999999</v>
      </c>
      <c r="P2754">
        <v>0.80536450000000004</v>
      </c>
      <c r="Q2754">
        <v>4.1562130000000003E-2</v>
      </c>
      <c r="R2754">
        <v>-0.59132130000000005</v>
      </c>
      <c r="S2754">
        <v>2.5825809999999998</v>
      </c>
      <c r="T2754">
        <v>-0.40959400000000001</v>
      </c>
      <c r="U2754">
        <v>-1.587402</v>
      </c>
      <c r="V2754">
        <v>-0.34141369999999999</v>
      </c>
      <c r="W2754">
        <v>5.2642149999999999E-2</v>
      </c>
      <c r="X2754">
        <v>0.93843779999999999</v>
      </c>
      <c r="Y2754">
        <v>-0.40936899999999998</v>
      </c>
      <c r="Z2754">
        <v>0.12753010000000001</v>
      </c>
      <c r="AA2754">
        <v>0.90341190000000005</v>
      </c>
      <c r="AB2754">
        <v>16</v>
      </c>
      <c r="AC2754">
        <v>6.8876999999999899</v>
      </c>
      <c r="AD2754">
        <v>-1.106868827677</v>
      </c>
      <c r="AE2754">
        <v>-4.1615999999999902</v>
      </c>
      <c r="AF2754">
        <v>-3.3518526518238398</v>
      </c>
      <c r="AG2754">
        <v>-1.106868827677</v>
      </c>
      <c r="AH2754">
        <v>7.1513574942676303</v>
      </c>
      <c r="AI2754">
        <v>97.977883499233897</v>
      </c>
      <c r="AJ2754">
        <v>115.112560973885</v>
      </c>
      <c r="AK2754">
        <v>7.9750855049986402</v>
      </c>
    </row>
    <row r="2755" spans="1:37" x14ac:dyDescent="0.2">
      <c r="A2755" t="str">
        <f>"20200111153702965"</f>
        <v>20200111153702965</v>
      </c>
      <c r="B2755" t="str">
        <f>"1578728222955801"</f>
        <v>1578728222955801</v>
      </c>
      <c r="C2755" t="s">
        <v>37</v>
      </c>
      <c r="D2755">
        <v>5.5774710000000001</v>
      </c>
      <c r="E2755">
        <v>0.45755109999999899</v>
      </c>
      <c r="F2755" t="s">
        <v>38</v>
      </c>
      <c r="G2755">
        <v>-485.68520000000001</v>
      </c>
      <c r="H2755">
        <v>0.96206320000000001</v>
      </c>
      <c r="I2755">
        <v>224.67150000000001</v>
      </c>
      <c r="J2755">
        <v>-486.4742</v>
      </c>
      <c r="K2755">
        <v>1.106873</v>
      </c>
      <c r="L2755">
        <v>225.0616</v>
      </c>
      <c r="M2755">
        <v>0.5592222</v>
      </c>
      <c r="N2755">
        <v>0</v>
      </c>
      <c r="O2755">
        <v>-0.8289088</v>
      </c>
      <c r="P2755">
        <v>0.80855279999999996</v>
      </c>
      <c r="Q2755">
        <v>4.1166660000000001E-2</v>
      </c>
      <c r="R2755">
        <v>-0.5869818</v>
      </c>
      <c r="S2755">
        <v>2.6187130000000001</v>
      </c>
      <c r="T2755">
        <v>-0.4307858</v>
      </c>
      <c r="U2755">
        <v>-1.537018</v>
      </c>
      <c r="V2755">
        <v>-0.34223769999999998</v>
      </c>
      <c r="W2755">
        <v>5.2227870000000003E-2</v>
      </c>
      <c r="X2755">
        <v>0.93816080000000002</v>
      </c>
      <c r="Y2755">
        <v>-0.4227245</v>
      </c>
      <c r="Z2755">
        <v>0.134186</v>
      </c>
      <c r="AA2755">
        <v>0.89626899999999998</v>
      </c>
      <c r="AB2755">
        <v>16</v>
      </c>
      <c r="AC2755">
        <v>0.78899999999998705</v>
      </c>
      <c r="AD2755">
        <v>-0.14480979999999999</v>
      </c>
      <c r="AE2755">
        <v>-0.39009999999998901</v>
      </c>
      <c r="AF2755">
        <v>-0.424407806241754</v>
      </c>
      <c r="AG2755">
        <v>-0.14480979999999999</v>
      </c>
      <c r="AH2755">
        <v>0.74450029388552197</v>
      </c>
      <c r="AI2755">
        <v>99.591138561818298</v>
      </c>
      <c r="AJ2755">
        <v>119.685616849377</v>
      </c>
      <c r="AK2755">
        <v>0.86912171286339801</v>
      </c>
    </row>
    <row r="2756" spans="1:37" x14ac:dyDescent="0.2">
      <c r="A2756" t="str">
        <f>"20200111153702988"</f>
        <v>20200111153702988</v>
      </c>
      <c r="B2756" t="str">
        <f>"1578728222986056"</f>
        <v>1578728222986056</v>
      </c>
      <c r="C2756" t="s">
        <v>37</v>
      </c>
      <c r="D2756">
        <v>5.6085649999999996</v>
      </c>
      <c r="E2756">
        <v>0.45712429999999898</v>
      </c>
      <c r="F2756" t="s">
        <v>38</v>
      </c>
      <c r="G2756">
        <v>-485.59269999999998</v>
      </c>
      <c r="H2756">
        <v>0.96196780000000004</v>
      </c>
      <c r="I2756">
        <v>224.55240000000001</v>
      </c>
      <c r="J2756">
        <v>-486.37970000000001</v>
      </c>
      <c r="K2756">
        <v>1.106895</v>
      </c>
      <c r="L2756">
        <v>224.9315</v>
      </c>
      <c r="M2756">
        <v>0.56307580000000002</v>
      </c>
      <c r="N2756">
        <v>0</v>
      </c>
      <c r="O2756">
        <v>-0.82629599999999903</v>
      </c>
      <c r="P2756">
        <v>0.81153379999999997</v>
      </c>
      <c r="Q2756">
        <v>4.1576790000000002E-2</v>
      </c>
      <c r="R2756">
        <v>-0.58282480000000003</v>
      </c>
      <c r="S2756">
        <v>2.6294559999999998</v>
      </c>
      <c r="T2756">
        <v>-0.43232969999999998</v>
      </c>
      <c r="U2756">
        <v>-1.51915</v>
      </c>
      <c r="V2756">
        <v>-0.34267140000000001</v>
      </c>
      <c r="W2756">
        <v>5.2611199999999997E-2</v>
      </c>
      <c r="X2756">
        <v>0.93798099999999995</v>
      </c>
      <c r="Y2756">
        <v>-0.4246125</v>
      </c>
      <c r="Z2756">
        <v>0.1344901</v>
      </c>
      <c r="AA2756">
        <v>0.89533050000000003</v>
      </c>
      <c r="AB2756">
        <v>16</v>
      </c>
      <c r="AC2756">
        <v>0.78700000000003401</v>
      </c>
      <c r="AD2756">
        <v>-0.14492719999999901</v>
      </c>
      <c r="AE2756">
        <v>-0.379099999999993</v>
      </c>
      <c r="AF2756">
        <v>-0.42516959098780199</v>
      </c>
      <c r="AG2756">
        <v>-0.14492719999999901</v>
      </c>
      <c r="AH2756">
        <v>0.73619406615433503</v>
      </c>
      <c r="AI2756">
        <v>99.674382547416101</v>
      </c>
      <c r="AJ2756">
        <v>120.007456164815</v>
      </c>
      <c r="AK2756">
        <v>0.86241218535073405</v>
      </c>
    </row>
    <row r="2757" spans="1:37" x14ac:dyDescent="0.2">
      <c r="A2757" t="str">
        <f>"20200111153703010"</f>
        <v>20200111153703010</v>
      </c>
      <c r="B2757" t="str">
        <f>"1578728223005576"</f>
        <v>1578728223005576</v>
      </c>
      <c r="C2757" t="s">
        <v>37</v>
      </c>
      <c r="D2757">
        <v>5.8014809999999999</v>
      </c>
      <c r="E2757">
        <v>0.4568334</v>
      </c>
      <c r="F2757" t="s">
        <v>44</v>
      </c>
      <c r="G2757">
        <v>-479.61489999999998</v>
      </c>
      <c r="H2757" s="1">
        <v>2.2063439999999999E-6</v>
      </c>
      <c r="I2757">
        <v>221.07980000000001</v>
      </c>
      <c r="J2757">
        <v>-486.28620000000001</v>
      </c>
      <c r="K2757">
        <v>1.1069249999999999</v>
      </c>
      <c r="L2757">
        <v>224.80410000000001</v>
      </c>
      <c r="M2757">
        <v>0.56686809999999999</v>
      </c>
      <c r="N2757">
        <v>0</v>
      </c>
      <c r="O2757">
        <v>-0.82369899999999996</v>
      </c>
      <c r="P2757">
        <v>0.81453030000000004</v>
      </c>
      <c r="Q2757">
        <v>4.1990590000000001E-2</v>
      </c>
      <c r="R2757">
        <v>-0.57859950000000004</v>
      </c>
      <c r="S2757">
        <v>2.639526</v>
      </c>
      <c r="T2757">
        <v>-0.43189440000000001</v>
      </c>
      <c r="U2757">
        <v>-1.5028840000000001</v>
      </c>
      <c r="V2757">
        <v>-0.34322259999999999</v>
      </c>
      <c r="W2757">
        <v>5.2992129999999998E-2</v>
      </c>
      <c r="X2757">
        <v>0.93775799999999998</v>
      </c>
      <c r="Y2757">
        <v>-0.42613019999999902</v>
      </c>
      <c r="Z2757">
        <v>0.1341562</v>
      </c>
      <c r="AA2757">
        <v>0.89465919999999899</v>
      </c>
      <c r="AB2757">
        <v>16</v>
      </c>
      <c r="AC2757">
        <v>6.6713000000000298</v>
      </c>
      <c r="AD2757">
        <v>-1.106922793656</v>
      </c>
      <c r="AE2757">
        <v>-3.7242999999999999</v>
      </c>
      <c r="AF2757">
        <v>-3.3146891368241902</v>
      </c>
      <c r="AG2757">
        <v>-1.106922793656</v>
      </c>
      <c r="AH2757">
        <v>6.7092460679575403</v>
      </c>
      <c r="AI2757">
        <v>98.414024097456405</v>
      </c>
      <c r="AJ2757">
        <v>116.291579402138</v>
      </c>
      <c r="AK2757">
        <v>7.5648149313317097</v>
      </c>
    </row>
    <row r="2758" spans="1:37" x14ac:dyDescent="0.2">
      <c r="A2758" t="str">
        <f>"20200111153703032"</f>
        <v>20200111153703032</v>
      </c>
      <c r="B2758" t="str">
        <f>"1578728223026072"</f>
        <v>1578728223026072</v>
      </c>
      <c r="C2758" t="s">
        <v>37</v>
      </c>
      <c r="D2758">
        <v>5.5890319999999996</v>
      </c>
      <c r="E2758">
        <v>0.45648529999999998</v>
      </c>
      <c r="F2758" t="s">
        <v>44</v>
      </c>
      <c r="G2758">
        <v>-479.52820000000003</v>
      </c>
      <c r="H2758" s="1">
        <v>2.22151199999999E-6</v>
      </c>
      <c r="I2758">
        <v>221.00919999999999</v>
      </c>
      <c r="J2758">
        <v>-486.19159999999999</v>
      </c>
      <c r="K2758">
        <v>1.1069519999999999</v>
      </c>
      <c r="L2758">
        <v>224.6765</v>
      </c>
      <c r="M2758">
        <v>0.57069619999999999</v>
      </c>
      <c r="N2758">
        <v>0</v>
      </c>
      <c r="O2758">
        <v>-0.82105119999999898</v>
      </c>
      <c r="P2758">
        <v>0.81739980000000001</v>
      </c>
      <c r="Q2758">
        <v>4.2414939999999998E-2</v>
      </c>
      <c r="R2758">
        <v>-0.57450730000000005</v>
      </c>
      <c r="S2758">
        <v>2.6488649999999998</v>
      </c>
      <c r="T2758">
        <v>-0.433867</v>
      </c>
      <c r="U2758">
        <v>-1.4874419999999999</v>
      </c>
      <c r="V2758">
        <v>-0.34354809999999902</v>
      </c>
      <c r="W2758">
        <v>5.3382110000000003E-2</v>
      </c>
      <c r="X2758">
        <v>0.93761669999999997</v>
      </c>
      <c r="Y2758">
        <v>-0.42717460000000002</v>
      </c>
      <c r="Z2758">
        <v>0.13453609999999999</v>
      </c>
      <c r="AA2758">
        <v>0.89410389999999995</v>
      </c>
      <c r="AB2758">
        <v>16</v>
      </c>
      <c r="AC2758">
        <v>6.6633999999999602</v>
      </c>
      <c r="AD2758">
        <v>-1.106949778488</v>
      </c>
      <c r="AE2758">
        <v>-3.6673000000000102</v>
      </c>
      <c r="AF2758">
        <v>-3.3083094814196699</v>
      </c>
      <c r="AG2758">
        <v>-1.106949778488</v>
      </c>
      <c r="AH2758">
        <v>6.6730893994832803</v>
      </c>
      <c r="AI2758">
        <v>98.453457643149605</v>
      </c>
      <c r="AJ2758">
        <v>116.37077890445499</v>
      </c>
      <c r="AK2758">
        <v>7.5299649116341802</v>
      </c>
    </row>
    <row r="2759" spans="1:37" x14ac:dyDescent="0.2">
      <c r="A2759" t="str">
        <f>"20200111153703054"</f>
        <v>20200111153703054</v>
      </c>
      <c r="B2759" t="str">
        <f>"1578728223045592"</f>
        <v>1578728223045592</v>
      </c>
      <c r="C2759" t="s">
        <v>37</v>
      </c>
      <c r="D2759">
        <v>6.5201549999999999</v>
      </c>
      <c r="E2759">
        <v>0.45656350000000001</v>
      </c>
      <c r="F2759" t="s">
        <v>44</v>
      </c>
      <c r="G2759">
        <v>-479.48509999999999</v>
      </c>
      <c r="H2759" s="1">
        <v>2.2260989999999999E-6</v>
      </c>
      <c r="I2759">
        <v>220.96080000000001</v>
      </c>
      <c r="J2759">
        <v>-486.0994</v>
      </c>
      <c r="K2759">
        <v>1.10697</v>
      </c>
      <c r="L2759">
        <v>224.55330000000001</v>
      </c>
      <c r="M2759">
        <v>0.57442380000000004</v>
      </c>
      <c r="N2759">
        <v>0</v>
      </c>
      <c r="O2759">
        <v>-0.81844819999999996</v>
      </c>
      <c r="P2759">
        <v>0.82018679999999999</v>
      </c>
      <c r="Q2759">
        <v>4.2266419999999999E-2</v>
      </c>
      <c r="R2759">
        <v>-0.5705325</v>
      </c>
      <c r="S2759">
        <v>2.6579280000000001</v>
      </c>
      <c r="T2759">
        <v>-0.43870619999999999</v>
      </c>
      <c r="U2759">
        <v>-1.4725950000000001</v>
      </c>
      <c r="V2759">
        <v>-0.34384490000000001</v>
      </c>
      <c r="W2759">
        <v>5.3190699999999903E-2</v>
      </c>
      <c r="X2759">
        <v>0.93751879999999999</v>
      </c>
      <c r="Y2759">
        <v>-0.42799929999999897</v>
      </c>
      <c r="Z2759">
        <v>0.13577420000000001</v>
      </c>
      <c r="AA2759">
        <v>0.89352219999999904</v>
      </c>
      <c r="AB2759">
        <v>16</v>
      </c>
      <c r="AC2759">
        <v>6.6143000000000098</v>
      </c>
      <c r="AD2759">
        <v>-1.106967773901</v>
      </c>
      <c r="AE2759">
        <v>-3.5924999999999998</v>
      </c>
      <c r="AF2759">
        <v>-3.2792202334146401</v>
      </c>
      <c r="AG2759">
        <v>-1.106967773901</v>
      </c>
      <c r="AH2759">
        <v>6.5975948467094003</v>
      </c>
      <c r="AI2759">
        <v>98.544665379919493</v>
      </c>
      <c r="AJ2759">
        <v>116.428877772229</v>
      </c>
      <c r="AK2759">
        <v>7.4502966889257296</v>
      </c>
    </row>
    <row r="2760" spans="1:37" x14ac:dyDescent="0.2">
      <c r="A2760" t="str">
        <f>"20200111153703077"</f>
        <v>20200111153703077</v>
      </c>
      <c r="B2760" t="str">
        <f>"1578728223066088"</f>
        <v>1578728223066088</v>
      </c>
      <c r="C2760" t="s">
        <v>37</v>
      </c>
      <c r="D2760">
        <v>5.5337309999999897</v>
      </c>
      <c r="E2760">
        <v>0.4627947</v>
      </c>
      <c r="F2760" t="s">
        <v>44</v>
      </c>
      <c r="G2760">
        <v>-479.42070000000001</v>
      </c>
      <c r="H2760" s="1">
        <v>2.2339089999999999E-6</v>
      </c>
      <c r="I2760">
        <v>220.89269999999999</v>
      </c>
      <c r="J2760">
        <v>-485.99869999999999</v>
      </c>
      <c r="K2760">
        <v>1.1069879999999901</v>
      </c>
      <c r="L2760">
        <v>224.42</v>
      </c>
      <c r="M2760">
        <v>0.5784842</v>
      </c>
      <c r="N2760">
        <v>0</v>
      </c>
      <c r="O2760">
        <v>-0.81558399999999998</v>
      </c>
      <c r="P2760">
        <v>0.82290919999999901</v>
      </c>
      <c r="Q2760">
        <v>4.1947249999999998E-2</v>
      </c>
      <c r="R2760">
        <v>-0.56662259999999998</v>
      </c>
      <c r="S2760">
        <v>2.6645810000000001</v>
      </c>
      <c r="T2760">
        <v>-0.44163999999999998</v>
      </c>
      <c r="U2760">
        <v>-1.4604189999999999</v>
      </c>
      <c r="V2760">
        <v>-0.3436631</v>
      </c>
      <c r="W2760">
        <v>5.2815479999999998E-2</v>
      </c>
      <c r="X2760">
        <v>0.93760659999999896</v>
      </c>
      <c r="Y2760">
        <v>-0.42749619999999999</v>
      </c>
      <c r="Z2760">
        <v>0.1363685</v>
      </c>
      <c r="AA2760">
        <v>0.89367249999999998</v>
      </c>
      <c r="AB2760">
        <v>16</v>
      </c>
      <c r="AC2760">
        <v>6.5779999999999701</v>
      </c>
      <c r="AD2760">
        <v>-1.1069857660910001</v>
      </c>
      <c r="AE2760">
        <v>-3.5272999999999901</v>
      </c>
      <c r="AF2760">
        <v>-3.2531660757527301</v>
      </c>
      <c r="AG2760">
        <v>-1.1069857660910001</v>
      </c>
      <c r="AH2760">
        <v>6.5388499183845799</v>
      </c>
      <c r="AI2760">
        <v>98.618792825628603</v>
      </c>
      <c r="AJ2760">
        <v>116.45096486046501</v>
      </c>
      <c r="AK2760">
        <v>7.3868169909585903</v>
      </c>
    </row>
    <row r="2761" spans="1:37" x14ac:dyDescent="0.2">
      <c r="A2761" t="str">
        <f>"20200111153703100"</f>
        <v>20200111153703100</v>
      </c>
      <c r="B2761" t="str">
        <f>"1578728223095369"</f>
        <v>1578728223095369</v>
      </c>
      <c r="C2761" t="s">
        <v>37</v>
      </c>
      <c r="D2761">
        <v>5.8012439999999996</v>
      </c>
      <c r="E2761">
        <v>0.46967709999999901</v>
      </c>
      <c r="F2761" t="s">
        <v>44</v>
      </c>
      <c r="G2761">
        <v>-480.00080000000003</v>
      </c>
      <c r="H2761" s="1">
        <v>2.0828869999999998E-6</v>
      </c>
      <c r="I2761">
        <v>221.03700000000001</v>
      </c>
      <c r="J2761">
        <v>-485.90370000000001</v>
      </c>
      <c r="K2761">
        <v>1.1069979999999999</v>
      </c>
      <c r="L2761">
        <v>224.29560000000001</v>
      </c>
      <c r="M2761">
        <v>0.58229379999999997</v>
      </c>
      <c r="N2761">
        <v>0</v>
      </c>
      <c r="O2761">
        <v>-0.81286899999999995</v>
      </c>
      <c r="P2761">
        <v>0.82535639999999999</v>
      </c>
      <c r="Q2761">
        <v>4.2123830000000001E-2</v>
      </c>
      <c r="R2761">
        <v>-0.56303910000000001</v>
      </c>
      <c r="S2761">
        <v>2.643707</v>
      </c>
      <c r="T2761">
        <v>-0.48793500000000001</v>
      </c>
      <c r="U2761">
        <v>-1.4911650000000001</v>
      </c>
      <c r="V2761">
        <v>-0.34334920000000002</v>
      </c>
      <c r="W2761">
        <v>5.2938800000000001E-2</v>
      </c>
      <c r="X2761">
        <v>0.93771469999999901</v>
      </c>
      <c r="Y2761">
        <v>-0.41033449999999999</v>
      </c>
      <c r="Z2761">
        <v>0.14934839999999999</v>
      </c>
      <c r="AA2761">
        <v>0.89962249999999999</v>
      </c>
      <c r="AB2761">
        <v>16</v>
      </c>
      <c r="AC2761">
        <v>5.9028999999999803</v>
      </c>
      <c r="AD2761">
        <v>-1.1069959171129999</v>
      </c>
      <c r="AE2761">
        <v>-3.2585999999999999</v>
      </c>
      <c r="AF2761">
        <v>-2.82493427681736</v>
      </c>
      <c r="AG2761">
        <v>-1.1069959171129999</v>
      </c>
      <c r="AH2761">
        <v>5.9268219305984102</v>
      </c>
      <c r="AI2761">
        <v>99.570329574020604</v>
      </c>
      <c r="AJ2761">
        <v>115.484130609601</v>
      </c>
      <c r="AK2761">
        <v>6.6582964657534403</v>
      </c>
    </row>
    <row r="2762" spans="1:37" x14ac:dyDescent="0.2">
      <c r="A2762" t="str">
        <f>"20200111153703123"</f>
        <v>20200111153703123</v>
      </c>
      <c r="B2762" t="str">
        <f>"1578728223115864"</f>
        <v>1578728223115864</v>
      </c>
      <c r="C2762" t="s">
        <v>37</v>
      </c>
      <c r="D2762">
        <v>5.5717089999999896</v>
      </c>
      <c r="E2762">
        <v>0.46938059999999998</v>
      </c>
      <c r="F2762" t="s">
        <v>44</v>
      </c>
      <c r="G2762">
        <v>-478.41019999999997</v>
      </c>
      <c r="H2762" s="1">
        <v>2.4913510000000001E-6</v>
      </c>
      <c r="I2762">
        <v>219.94799999999901</v>
      </c>
      <c r="J2762">
        <v>-485.80110000000002</v>
      </c>
      <c r="K2762">
        <v>1.1070070000000001</v>
      </c>
      <c r="L2762">
        <v>224.16290000000001</v>
      </c>
      <c r="M2762">
        <v>0.58637329999999999</v>
      </c>
      <c r="N2762">
        <v>0</v>
      </c>
      <c r="O2762">
        <v>-0.80993210000000004</v>
      </c>
      <c r="P2762">
        <v>0.82805960000000001</v>
      </c>
      <c r="Q2762">
        <v>4.2302550000000001E-2</v>
      </c>
      <c r="R2762">
        <v>-0.55904229999999999</v>
      </c>
      <c r="S2762">
        <v>2.6182560000000001</v>
      </c>
      <c r="T2762">
        <v>-0.38678940000000001</v>
      </c>
      <c r="U2762">
        <v>-1.5190729999999999</v>
      </c>
      <c r="V2762">
        <v>-0.34316249999999998</v>
      </c>
      <c r="W2762">
        <v>5.3072130000000002E-2</v>
      </c>
      <c r="X2762">
        <v>0.93777540000000004</v>
      </c>
      <c r="Y2762">
        <v>-0.3990515</v>
      </c>
      <c r="Z2762">
        <v>0.11838170000000001</v>
      </c>
      <c r="AA2762">
        <v>0.90925440000000002</v>
      </c>
      <c r="AB2762">
        <v>16</v>
      </c>
      <c r="AC2762">
        <v>7.3909000000000402</v>
      </c>
      <c r="AD2762">
        <v>-1.1070045086489999</v>
      </c>
      <c r="AE2762">
        <v>-4.2149000000000196</v>
      </c>
      <c r="AF2762">
        <v>-3.4564206571439402</v>
      </c>
      <c r="AG2762">
        <v>-1.1070045086489999</v>
      </c>
      <c r="AH2762">
        <v>7.6193098525108702</v>
      </c>
      <c r="AI2762">
        <v>97.537120577863206</v>
      </c>
      <c r="AJ2762">
        <v>114.400925626516</v>
      </c>
      <c r="AK2762">
        <v>8.4395607332295306</v>
      </c>
    </row>
    <row r="2763" spans="1:37" x14ac:dyDescent="0.2">
      <c r="A2763" t="str">
        <f>"20200111153703144"</f>
        <v>20200111153703144</v>
      </c>
      <c r="B2763" t="str">
        <f>"1578728223135384"</f>
        <v>1578728223135384</v>
      </c>
      <c r="C2763" t="s">
        <v>37</v>
      </c>
      <c r="D2763">
        <v>5.5953309999999998</v>
      </c>
      <c r="E2763">
        <v>0.46876089999999998</v>
      </c>
      <c r="F2763" t="s">
        <v>44</v>
      </c>
      <c r="G2763">
        <v>-478.42970000000003</v>
      </c>
      <c r="H2763" s="1">
        <v>2.4816710000000001E-6</v>
      </c>
      <c r="I2763">
        <v>219.94030000000001</v>
      </c>
      <c r="J2763">
        <v>-485.7079</v>
      </c>
      <c r="K2763">
        <v>1.1070089999999999</v>
      </c>
      <c r="L2763">
        <v>224.04329999999999</v>
      </c>
      <c r="M2763">
        <v>0.59005699999999905</v>
      </c>
      <c r="N2763">
        <v>0</v>
      </c>
      <c r="O2763">
        <v>-0.80725290000000005</v>
      </c>
      <c r="P2763">
        <v>0.83038140000000005</v>
      </c>
      <c r="Q2763">
        <v>4.2808970000000002E-2</v>
      </c>
      <c r="R2763">
        <v>-0.55554910000000002</v>
      </c>
      <c r="S2763">
        <v>2.6271059999999999</v>
      </c>
      <c r="T2763">
        <v>-0.39452579999999998</v>
      </c>
      <c r="U2763">
        <v>-1.5048680000000001</v>
      </c>
      <c r="V2763">
        <v>-0.3428235</v>
      </c>
      <c r="W2763">
        <v>5.3541619999999998E-2</v>
      </c>
      <c r="X2763">
        <v>0.93787279999999995</v>
      </c>
      <c r="Y2763">
        <v>-0.39962969999999998</v>
      </c>
      <c r="Z2763">
        <v>0.120478</v>
      </c>
      <c r="AA2763">
        <v>0.908725</v>
      </c>
      <c r="AB2763">
        <v>16</v>
      </c>
      <c r="AC2763">
        <v>7.2781999999999698</v>
      </c>
      <c r="AD2763">
        <v>-1.1070065183290001</v>
      </c>
      <c r="AE2763">
        <v>-4.1029999999999696</v>
      </c>
      <c r="AF2763">
        <v>-3.3950470377924402</v>
      </c>
      <c r="AG2763">
        <v>-1.1070065183290001</v>
      </c>
      <c r="AH2763">
        <v>7.4761349701159299</v>
      </c>
      <c r="AI2763">
        <v>97.678404485057598</v>
      </c>
      <c r="AJ2763">
        <v>114.42365120891201</v>
      </c>
      <c r="AK2763">
        <v>8.2851917245068307</v>
      </c>
    </row>
    <row r="2764" spans="1:37" x14ac:dyDescent="0.2">
      <c r="A2764" t="str">
        <f>"20200111153703166"</f>
        <v>20200111153703166</v>
      </c>
      <c r="B2764" t="str">
        <f>"1578728223155880"</f>
        <v>1578728223155880</v>
      </c>
      <c r="C2764" t="s">
        <v>37</v>
      </c>
      <c r="D2764">
        <v>5.411937</v>
      </c>
      <c r="E2764">
        <v>0.468234699999999</v>
      </c>
      <c r="F2764" t="s">
        <v>44</v>
      </c>
      <c r="G2764">
        <v>-478.32130000000001</v>
      </c>
      <c r="H2764" s="1">
        <v>2.520283E-6</v>
      </c>
      <c r="I2764">
        <v>219.86879999999999</v>
      </c>
      <c r="J2764">
        <v>-485.60939999999999</v>
      </c>
      <c r="K2764">
        <v>1.107002</v>
      </c>
      <c r="L2764">
        <v>223.91820000000001</v>
      </c>
      <c r="M2764">
        <v>0.59391640000000001</v>
      </c>
      <c r="N2764">
        <v>0</v>
      </c>
      <c r="O2764">
        <v>-0.80441830000000003</v>
      </c>
      <c r="P2764">
        <v>0.83271740000000005</v>
      </c>
      <c r="Q2764">
        <v>4.2921929999999997E-2</v>
      </c>
      <c r="R2764">
        <v>-0.55203279999999999</v>
      </c>
      <c r="S2764">
        <v>2.63635299999999</v>
      </c>
      <c r="T2764">
        <v>-0.395103599999999</v>
      </c>
      <c r="U2764">
        <v>-1.4899290000000001</v>
      </c>
      <c r="V2764">
        <v>-0.34229389999999998</v>
      </c>
      <c r="W2764">
        <v>5.3617329999999998E-2</v>
      </c>
      <c r="X2764">
        <v>0.9380619</v>
      </c>
      <c r="Y2764">
        <v>-0.40051140000000002</v>
      </c>
      <c r="Z2764">
        <v>0.120405199999999</v>
      </c>
      <c r="AA2764">
        <v>0.9083464</v>
      </c>
      <c r="AB2764">
        <v>16</v>
      </c>
      <c r="AC2764">
        <v>7.2880999999999796</v>
      </c>
      <c r="AD2764">
        <v>-1.106999479717</v>
      </c>
      <c r="AE2764">
        <v>-4.0494000000000199</v>
      </c>
      <c r="AF2764">
        <v>-3.3980737786470701</v>
      </c>
      <c r="AG2764">
        <v>-1.106999479717</v>
      </c>
      <c r="AH2764">
        <v>7.4551700080518399</v>
      </c>
      <c r="AI2764">
        <v>97.694865564849493</v>
      </c>
      <c r="AJ2764">
        <v>114.503544914042</v>
      </c>
      <c r="AK2764">
        <v>8.2675215815973697</v>
      </c>
    </row>
    <row r="2765" spans="1:37" x14ac:dyDescent="0.2">
      <c r="A2765" t="str">
        <f>"20200111153703190"</f>
        <v>20200111153703190</v>
      </c>
      <c r="B2765" t="str">
        <f>"1578728223185160"</f>
        <v>1578728223185160</v>
      </c>
      <c r="C2765" t="s">
        <v>37</v>
      </c>
      <c r="D2765">
        <v>5.5307219999999999</v>
      </c>
      <c r="E2765">
        <v>0.46765209999999902</v>
      </c>
      <c r="F2765" t="s">
        <v>44</v>
      </c>
      <c r="G2765">
        <v>-478.2296</v>
      </c>
      <c r="H2765" s="1">
        <v>2.5522260000000002E-6</v>
      </c>
      <c r="I2765">
        <v>219.80289999999999</v>
      </c>
      <c r="J2765">
        <v>-485.50979999999998</v>
      </c>
      <c r="K2765">
        <v>1.1069990000000001</v>
      </c>
      <c r="L2765">
        <v>223.79310000000001</v>
      </c>
      <c r="M2765">
        <v>0.59778140000000002</v>
      </c>
      <c r="N2765">
        <v>0</v>
      </c>
      <c r="O2765">
        <v>-0.80155100000000001</v>
      </c>
      <c r="P2765">
        <v>0.83537349999999999</v>
      </c>
      <c r="Q2765">
        <v>4.2787840000000001E-2</v>
      </c>
      <c r="R2765">
        <v>-0.54801489999999997</v>
      </c>
      <c r="S2765">
        <v>2.6452640000000001</v>
      </c>
      <c r="T2765">
        <v>-0.39680090000000001</v>
      </c>
      <c r="U2765">
        <v>-1.475128</v>
      </c>
      <c r="V2765">
        <v>-0.34230240000000001</v>
      </c>
      <c r="W2765">
        <v>5.3441160000000001E-2</v>
      </c>
      <c r="X2765">
        <v>0.93806880000000004</v>
      </c>
      <c r="Y2765">
        <v>-0.40124070000000001</v>
      </c>
      <c r="Z2765">
        <v>0.12066259999999999</v>
      </c>
      <c r="AA2765">
        <v>0.90799030000000003</v>
      </c>
      <c r="AB2765">
        <v>16</v>
      </c>
      <c r="AC2765">
        <v>7.2801999999999696</v>
      </c>
      <c r="AD2765">
        <v>-1.106996447774</v>
      </c>
      <c r="AE2765">
        <v>-3.99020000000001</v>
      </c>
      <c r="AF2765">
        <v>-3.3902060304821302</v>
      </c>
      <c r="AG2765">
        <v>-1.106996447774</v>
      </c>
      <c r="AH2765">
        <v>7.4190617693012202</v>
      </c>
      <c r="AI2765">
        <v>97.728503402643696</v>
      </c>
      <c r="AJ2765">
        <v>114.558450890218</v>
      </c>
      <c r="AK2765">
        <v>8.2317322357574696</v>
      </c>
    </row>
    <row r="2766" spans="1:37" x14ac:dyDescent="0.2">
      <c r="A2766" t="str">
        <f>"20200111153703210"</f>
        <v>20200111153703210</v>
      </c>
      <c r="B2766" t="str">
        <f>"1578728223205656"</f>
        <v>1578728223205656</v>
      </c>
      <c r="C2766" t="s">
        <v>37</v>
      </c>
      <c r="D2766">
        <v>5.7394999999999996</v>
      </c>
      <c r="E2766">
        <v>0.46718199999999999</v>
      </c>
      <c r="F2766" t="s">
        <v>44</v>
      </c>
      <c r="G2766">
        <v>-478.18540000000002</v>
      </c>
      <c r="H2766" s="1">
        <v>2.56733099999999E-6</v>
      </c>
      <c r="I2766">
        <v>219.76910000000001</v>
      </c>
      <c r="J2766">
        <v>-485.41680000000002</v>
      </c>
      <c r="K2766">
        <v>1.1069979999999999</v>
      </c>
      <c r="L2766">
        <v>223.6773</v>
      </c>
      <c r="M2766">
        <v>0.60136060000000002</v>
      </c>
      <c r="N2766">
        <v>0</v>
      </c>
      <c r="O2766">
        <v>-0.79886999999999997</v>
      </c>
      <c r="P2766">
        <v>0.83791539999999998</v>
      </c>
      <c r="Q2766">
        <v>4.2817559999999998E-2</v>
      </c>
      <c r="R2766">
        <v>-0.54411849999999995</v>
      </c>
      <c r="S2766">
        <v>2.6549070000000001</v>
      </c>
      <c r="T2766">
        <v>-0.40126059999999902</v>
      </c>
      <c r="U2766">
        <v>-1.458618</v>
      </c>
      <c r="V2766">
        <v>-0.34247519999999998</v>
      </c>
      <c r="W2766">
        <v>5.3433050000000003E-2</v>
      </c>
      <c r="X2766">
        <v>0.93800620000000001</v>
      </c>
      <c r="Y2766">
        <v>-0.40272029999999998</v>
      </c>
      <c r="Z2766">
        <v>0.1217998</v>
      </c>
      <c r="AA2766">
        <v>0.90718310000000002</v>
      </c>
      <c r="AB2766">
        <v>16</v>
      </c>
      <c r="AC2766">
        <v>7.2313999999999998</v>
      </c>
      <c r="AD2766">
        <v>-1.1069954326689999</v>
      </c>
      <c r="AE2766">
        <v>-3.9081999999999901</v>
      </c>
      <c r="AF2766">
        <v>-3.3659589605289</v>
      </c>
      <c r="AG2766">
        <v>-1.1069954326689999</v>
      </c>
      <c r="AH2766">
        <v>7.3383727759752899</v>
      </c>
      <c r="AI2766">
        <v>97.807408715721195</v>
      </c>
      <c r="AJ2766">
        <v>114.639939179911</v>
      </c>
      <c r="AK2766">
        <v>8.1490388151664899</v>
      </c>
    </row>
    <row r="2767" spans="1:37" x14ac:dyDescent="0.2">
      <c r="A2767" t="str">
        <f>"20200111153703233"</f>
        <v>20200111153703233</v>
      </c>
      <c r="B2767" t="str">
        <f>"1578728223225177"</f>
        <v>1578728223225177</v>
      </c>
      <c r="C2767" t="s">
        <v>37</v>
      </c>
      <c r="D2767">
        <v>5.505884</v>
      </c>
      <c r="E2767">
        <v>0.46673189999999998</v>
      </c>
      <c r="F2767" t="s">
        <v>44</v>
      </c>
      <c r="G2767">
        <v>-478.09410000000003</v>
      </c>
      <c r="H2767" s="1">
        <v>2.5999299999999999E-6</v>
      </c>
      <c r="I2767">
        <v>219.70949999999999</v>
      </c>
      <c r="J2767">
        <v>-485.31229999999999</v>
      </c>
      <c r="K2767">
        <v>1.107</v>
      </c>
      <c r="L2767">
        <v>223.54839999999999</v>
      </c>
      <c r="M2767">
        <v>0.60535150000000004</v>
      </c>
      <c r="N2767">
        <v>0</v>
      </c>
      <c r="O2767">
        <v>-0.79585030000000001</v>
      </c>
      <c r="P2767">
        <v>0.84089329999999995</v>
      </c>
      <c r="Q2767">
        <v>4.2656140000000002E-2</v>
      </c>
      <c r="R2767">
        <v>-0.53951729999999998</v>
      </c>
      <c r="S2767">
        <v>2.6636660000000001</v>
      </c>
      <c r="T2767">
        <v>-0.40267350000000002</v>
      </c>
      <c r="U2767">
        <v>-1.443314</v>
      </c>
      <c r="V2767">
        <v>-0.34292840000000002</v>
      </c>
      <c r="W2767">
        <v>5.3231649999999998E-2</v>
      </c>
      <c r="X2767">
        <v>0.93785209999999997</v>
      </c>
      <c r="Y2767">
        <v>-0.40339000000000003</v>
      </c>
      <c r="Z2767">
        <v>0.1219548</v>
      </c>
      <c r="AA2767">
        <v>0.90686469999999897</v>
      </c>
      <c r="AB2767">
        <v>16</v>
      </c>
      <c r="AC2767">
        <v>7.2181999999999604</v>
      </c>
      <c r="AD2767">
        <v>-1.10699740007</v>
      </c>
      <c r="AE2767">
        <v>-3.83889999999999</v>
      </c>
      <c r="AF2767">
        <v>-3.3594247172068199</v>
      </c>
      <c r="AG2767">
        <v>-1.10699740007</v>
      </c>
      <c r="AH2767">
        <v>7.2916894474044103</v>
      </c>
      <c r="AI2767">
        <v>97.850779547392605</v>
      </c>
      <c r="AJ2767">
        <v>114.73645340467</v>
      </c>
      <c r="AK2767">
        <v>8.1043144479795899</v>
      </c>
    </row>
    <row r="2768" spans="1:37" x14ac:dyDescent="0.2">
      <c r="A2768" t="str">
        <f>"20200111153703255"</f>
        <v>20200111153703255</v>
      </c>
      <c r="B2768" t="str">
        <f>"1578728223245673"</f>
        <v>1578728223245673</v>
      </c>
      <c r="C2768" t="s">
        <v>37</v>
      </c>
      <c r="D2768">
        <v>5.5141879999999999</v>
      </c>
      <c r="E2768">
        <v>0.46628999999999998</v>
      </c>
      <c r="F2768" t="s">
        <v>44</v>
      </c>
      <c r="G2768">
        <v>-477.99450000000002</v>
      </c>
      <c r="H2768" s="1">
        <v>2.6358479999999999E-6</v>
      </c>
      <c r="I2768">
        <v>219.64699999999999</v>
      </c>
      <c r="J2768">
        <v>-485.2149</v>
      </c>
      <c r="K2768">
        <v>1.1070059999999999</v>
      </c>
      <c r="L2768">
        <v>223.42949999999999</v>
      </c>
      <c r="M2768">
        <v>0.60904659999999999</v>
      </c>
      <c r="N2768">
        <v>0</v>
      </c>
      <c r="O2768">
        <v>-0.79302669999999997</v>
      </c>
      <c r="P2768">
        <v>0.84368529999999997</v>
      </c>
      <c r="Q2768">
        <v>4.250019E-2</v>
      </c>
      <c r="R2768">
        <v>-0.53515330000000005</v>
      </c>
      <c r="S2768">
        <v>2.673645</v>
      </c>
      <c r="T2768">
        <v>-0.4044527</v>
      </c>
      <c r="U2768">
        <v>-1.4254149999999901</v>
      </c>
      <c r="V2768">
        <v>-0.34343240000000003</v>
      </c>
      <c r="W2768">
        <v>5.3040230000000001E-2</v>
      </c>
      <c r="X2768">
        <v>0.93767849999999997</v>
      </c>
      <c r="Y2768">
        <v>-0.40521599999999902</v>
      </c>
      <c r="Z2768">
        <v>0.122290699999999</v>
      </c>
      <c r="AA2768">
        <v>0.9060049</v>
      </c>
      <c r="AB2768">
        <v>16</v>
      </c>
      <c r="AC2768">
        <v>7.2203999999999802</v>
      </c>
      <c r="AD2768">
        <v>-1.1070033641519901</v>
      </c>
      <c r="AE2768">
        <v>-3.7824999999999598</v>
      </c>
      <c r="AF2768">
        <v>-3.3605609955581301</v>
      </c>
      <c r="AG2768">
        <v>-1.1070033641519901</v>
      </c>
      <c r="AH2768">
        <v>7.26384036727862</v>
      </c>
      <c r="AI2768">
        <v>97.874851265966797</v>
      </c>
      <c r="AJ2768">
        <v>114.82726513602999</v>
      </c>
      <c r="AK2768">
        <v>8.0797403135507295</v>
      </c>
    </row>
    <row r="2769" spans="1:37" x14ac:dyDescent="0.2">
      <c r="A2769" t="str">
        <f>"20200111153703278"</f>
        <v>20200111153703278</v>
      </c>
      <c r="B2769" t="str">
        <f>"1578728223265195"</f>
        <v>1578728223265195</v>
      </c>
      <c r="C2769" t="s">
        <v>37</v>
      </c>
      <c r="D2769">
        <v>5.5537199999999904</v>
      </c>
      <c r="E2769">
        <v>0.4656284</v>
      </c>
      <c r="F2769" t="s">
        <v>44</v>
      </c>
      <c r="G2769">
        <v>-477.94760000000002</v>
      </c>
      <c r="H2769" s="1">
        <v>2.652383E-6</v>
      </c>
      <c r="I2769">
        <v>219.61240000000001</v>
      </c>
      <c r="J2769">
        <v>-485.111999999999</v>
      </c>
      <c r="K2769">
        <v>1.1070070000000001</v>
      </c>
      <c r="L2769">
        <v>223.30510000000001</v>
      </c>
      <c r="M2769">
        <v>0.61292930000000001</v>
      </c>
      <c r="N2769">
        <v>0</v>
      </c>
      <c r="O2769">
        <v>-0.79002989999999995</v>
      </c>
      <c r="P2769">
        <v>0.84653869999999898</v>
      </c>
      <c r="Q2769">
        <v>4.3256349999999999E-2</v>
      </c>
      <c r="R2769">
        <v>-0.5305666</v>
      </c>
      <c r="S2769">
        <v>2.6826479999999999</v>
      </c>
      <c r="T2769">
        <v>-0.40864029999999901</v>
      </c>
      <c r="U2769">
        <v>-1.4090579999999999</v>
      </c>
      <c r="V2769">
        <v>-0.34389609999999998</v>
      </c>
      <c r="W2769">
        <v>5.3759229999999998E-2</v>
      </c>
      <c r="X2769">
        <v>0.93746759999999996</v>
      </c>
      <c r="Y2769">
        <v>-0.40617209999999998</v>
      </c>
      <c r="Z2769">
        <v>0.123285199999999</v>
      </c>
      <c r="AA2769">
        <v>0.90544190000000002</v>
      </c>
      <c r="AB2769">
        <v>16</v>
      </c>
      <c r="AC2769">
        <v>7.1643999999999401</v>
      </c>
      <c r="AD2769">
        <v>-1.107004347617</v>
      </c>
      <c r="AE2769">
        <v>-3.6926999999999999</v>
      </c>
      <c r="AF2769">
        <v>-3.3341225733379698</v>
      </c>
      <c r="AG2769">
        <v>-1.107004347617</v>
      </c>
      <c r="AH2769">
        <v>7.1739121300000299</v>
      </c>
      <c r="AI2769">
        <v>97.965964549809698</v>
      </c>
      <c r="AJ2769">
        <v>114.926957261013</v>
      </c>
      <c r="AK2769">
        <v>7.98791882837115</v>
      </c>
    </row>
    <row r="2770" spans="1:37" x14ac:dyDescent="0.2">
      <c r="A2770" t="str">
        <f>"20200111153703300"</f>
        <v>20200111153703300</v>
      </c>
      <c r="B2770" t="str">
        <f>"1578728223295450"</f>
        <v>1578728223295450</v>
      </c>
      <c r="C2770" t="s">
        <v>37</v>
      </c>
      <c r="D2770">
        <v>5.4950209999999897</v>
      </c>
      <c r="E2770">
        <v>0.46508119999999997</v>
      </c>
      <c r="F2770" t="s">
        <v>44</v>
      </c>
      <c r="G2770">
        <v>-477.77980000000002</v>
      </c>
      <c r="H2770" s="1">
        <v>2.7228309999999998E-6</v>
      </c>
      <c r="I2770">
        <v>219.5214</v>
      </c>
      <c r="J2770">
        <v>-485.01650000000001</v>
      </c>
      <c r="K2770">
        <v>1.1070139999999999</v>
      </c>
      <c r="L2770">
        <v>223.1908</v>
      </c>
      <c r="M2770">
        <v>0.61651579999999995</v>
      </c>
      <c r="N2770">
        <v>0</v>
      </c>
      <c r="O2770">
        <v>-0.78723489999999996</v>
      </c>
      <c r="P2770">
        <v>0.84908379999999894</v>
      </c>
      <c r="Q2770">
        <v>4.3540130000000003E-2</v>
      </c>
      <c r="R2770">
        <v>-0.52646110000000002</v>
      </c>
      <c r="S2770">
        <v>2.6934200000000001</v>
      </c>
      <c r="T2770">
        <v>-0.40664840000000002</v>
      </c>
      <c r="U2770">
        <v>-1.389923</v>
      </c>
      <c r="V2770">
        <v>-0.34416449999999998</v>
      </c>
      <c r="W2770">
        <v>5.4012530000000003E-2</v>
      </c>
      <c r="X2770">
        <v>0.93735449999999998</v>
      </c>
      <c r="Y2770">
        <v>-0.40867129999999902</v>
      </c>
      <c r="Z2770">
        <v>0.1225135</v>
      </c>
      <c r="AA2770">
        <v>0.90442149999999999</v>
      </c>
      <c r="AB2770">
        <v>16</v>
      </c>
      <c r="AC2770">
        <v>7.2366999999999804</v>
      </c>
      <c r="AD2770">
        <v>-1.1070112771689999</v>
      </c>
      <c r="AE2770">
        <v>-3.6693999999999898</v>
      </c>
      <c r="AF2770">
        <v>-3.3722578788006299</v>
      </c>
      <c r="AG2770">
        <v>-1.1070112771689999</v>
      </c>
      <c r="AH2770">
        <v>7.2165107269188198</v>
      </c>
      <c r="AI2770">
        <v>97.911985716726505</v>
      </c>
      <c r="AJ2770">
        <v>115.046569646645</v>
      </c>
      <c r="AK2770">
        <v>8.0421156570051107</v>
      </c>
    </row>
    <row r="2771" spans="1:37" x14ac:dyDescent="0.2">
      <c r="A2771" t="str">
        <f>"20200111153703323"</f>
        <v>20200111153703323</v>
      </c>
      <c r="B2771" t="str">
        <f>"1578728223315946"</f>
        <v>1578728223315946</v>
      </c>
      <c r="C2771" t="s">
        <v>37</v>
      </c>
      <c r="D2771">
        <v>5.4973470000000004</v>
      </c>
      <c r="E2771">
        <v>0.4591517</v>
      </c>
      <c r="F2771" t="s">
        <v>44</v>
      </c>
      <c r="G2771">
        <v>-477.6617</v>
      </c>
      <c r="H2771" s="1">
        <v>2.772287E-6</v>
      </c>
      <c r="I2771">
        <v>219.45429999999999</v>
      </c>
      <c r="J2771">
        <v>-484.90940000000001</v>
      </c>
      <c r="K2771">
        <v>1.1070260000000001</v>
      </c>
      <c r="L2771">
        <v>223.0642</v>
      </c>
      <c r="M2771">
        <v>0.62051990000000001</v>
      </c>
      <c r="N2771">
        <v>0</v>
      </c>
      <c r="O2771">
        <v>-0.78408279999999997</v>
      </c>
      <c r="P2771">
        <v>0.85174259999999902</v>
      </c>
      <c r="Q2771">
        <v>4.3526879999999997E-2</v>
      </c>
      <c r="R2771">
        <v>-0.52214939999999999</v>
      </c>
      <c r="S2771">
        <v>2.7027589999999999</v>
      </c>
      <c r="T2771">
        <v>-0.40680630000000001</v>
      </c>
      <c r="U2771">
        <v>-1.3731229999999901</v>
      </c>
      <c r="V2771">
        <v>-0.34414159999999999</v>
      </c>
      <c r="W2771">
        <v>5.3971110000000003E-2</v>
      </c>
      <c r="X2771">
        <v>0.93736529999999996</v>
      </c>
      <c r="Y2771">
        <v>-0.40977370000000002</v>
      </c>
      <c r="Z2771">
        <v>0.122283999999999</v>
      </c>
      <c r="AA2771">
        <v>0.90395360000000002</v>
      </c>
      <c r="AB2771">
        <v>16</v>
      </c>
      <c r="AC2771">
        <v>7.2477</v>
      </c>
      <c r="AD2771">
        <v>-1.1070232277130001</v>
      </c>
      <c r="AE2771">
        <v>-3.6099000000000001</v>
      </c>
      <c r="AF2771">
        <v>-3.3798942502489799</v>
      </c>
      <c r="AG2771">
        <v>-1.1070232277130001</v>
      </c>
      <c r="AH2771">
        <v>7.1939486502295003</v>
      </c>
      <c r="AI2771">
        <v>97.928964603369806</v>
      </c>
      <c r="AJ2771">
        <v>115.165293924633</v>
      </c>
      <c r="AK2771">
        <v>8.0250908251371893</v>
      </c>
    </row>
    <row r="2772" spans="1:37" x14ac:dyDescent="0.2">
      <c r="A2772" t="str">
        <f>"20200111153703345"</f>
        <v>20200111153703345</v>
      </c>
      <c r="B2772" t="str">
        <f>"1578728223335466"</f>
        <v>1578728223335466</v>
      </c>
      <c r="C2772" t="s">
        <v>37</v>
      </c>
      <c r="D2772">
        <v>5.5149059999999999</v>
      </c>
      <c r="E2772">
        <v>0.4583449</v>
      </c>
      <c r="F2772" t="s">
        <v>38</v>
      </c>
      <c r="G2772">
        <v>-483.9941</v>
      </c>
      <c r="H2772">
        <v>0.9673273</v>
      </c>
      <c r="I2772">
        <v>222.6225</v>
      </c>
      <c r="J2772">
        <v>-484.80759999999998</v>
      </c>
      <c r="K2772">
        <v>1.107035</v>
      </c>
      <c r="L2772">
        <v>222.94479999999999</v>
      </c>
      <c r="M2772">
        <v>0.62431719999999902</v>
      </c>
      <c r="N2772">
        <v>0</v>
      </c>
      <c r="O2772">
        <v>-0.78106309999999901</v>
      </c>
      <c r="P2772">
        <v>0.85402800000000001</v>
      </c>
      <c r="Q2772">
        <v>4.2910429999999999E-2</v>
      </c>
      <c r="R2772">
        <v>-0.51845479999999999</v>
      </c>
      <c r="S2772">
        <v>2.73468</v>
      </c>
      <c r="T2772">
        <v>-0.41732720000000001</v>
      </c>
      <c r="U2772">
        <v>-1.3194269999999999</v>
      </c>
      <c r="V2772">
        <v>-0.34367690000000001</v>
      </c>
      <c r="W2772">
        <v>5.3334020000000003E-2</v>
      </c>
      <c r="X2772">
        <v>0.93757219999999997</v>
      </c>
      <c r="Y2772">
        <v>-0.42340549999999999</v>
      </c>
      <c r="Z2772">
        <v>0.1255879</v>
      </c>
      <c r="AA2772">
        <v>0.89719309999999997</v>
      </c>
      <c r="AB2772">
        <v>16</v>
      </c>
      <c r="AC2772">
        <v>0.81349999999997602</v>
      </c>
      <c r="AD2772">
        <v>-0.13970769999999899</v>
      </c>
      <c r="AE2772">
        <v>-0.32229999999998399</v>
      </c>
      <c r="AF2772">
        <v>-0.423420122763702</v>
      </c>
      <c r="AG2772">
        <v>-0.13970769999999899</v>
      </c>
      <c r="AH2772">
        <v>0.74079819843748196</v>
      </c>
      <c r="AI2772">
        <v>99.298671067210805</v>
      </c>
      <c r="AJ2772">
        <v>119.75111175664</v>
      </c>
      <c r="AK2772">
        <v>0.86462987029638205</v>
      </c>
    </row>
    <row r="2773" spans="1:37" x14ac:dyDescent="0.2">
      <c r="A2773" t="str">
        <f>"20200111153703368"</f>
        <v>20200111153703368</v>
      </c>
      <c r="B2773" t="str">
        <f>"1578728223355963"</f>
        <v>1578728223355963</v>
      </c>
      <c r="C2773" t="s">
        <v>37</v>
      </c>
      <c r="D2773">
        <v>5.4325089999999996</v>
      </c>
      <c r="E2773">
        <v>0.45851839999999999</v>
      </c>
      <c r="F2773" t="s">
        <v>38</v>
      </c>
      <c r="G2773">
        <v>-483.8845</v>
      </c>
      <c r="H2773">
        <v>0.96294049999999998</v>
      </c>
      <c r="I2773">
        <v>222.50620000000001</v>
      </c>
      <c r="J2773">
        <v>-484.70620000000002</v>
      </c>
      <c r="K2773">
        <v>1.1070439999999999</v>
      </c>
      <c r="L2773">
        <v>222.82730000000001</v>
      </c>
      <c r="M2773">
        <v>0.62808019999999998</v>
      </c>
      <c r="N2773">
        <v>0</v>
      </c>
      <c r="O2773">
        <v>-0.77804059999999997</v>
      </c>
      <c r="P2773">
        <v>0.8565469</v>
      </c>
      <c r="Q2773">
        <v>4.2959400000000002E-2</v>
      </c>
      <c r="R2773">
        <v>-0.51427840000000002</v>
      </c>
      <c r="S2773">
        <v>2.7435</v>
      </c>
      <c r="T2773">
        <v>-0.42813809999999902</v>
      </c>
      <c r="U2773">
        <v>-1.302643</v>
      </c>
      <c r="V2773">
        <v>-0.3437288</v>
      </c>
      <c r="W2773">
        <v>5.3352589999999998E-2</v>
      </c>
      <c r="X2773">
        <v>0.93755219999999995</v>
      </c>
      <c r="Y2773">
        <v>-0.4242032</v>
      </c>
      <c r="Z2773">
        <v>0.1285057</v>
      </c>
      <c r="AA2773">
        <v>0.89640280000000006</v>
      </c>
      <c r="AB2773">
        <v>16</v>
      </c>
      <c r="AC2773">
        <v>0.82170000000002097</v>
      </c>
      <c r="AD2773">
        <v>-0.1441035</v>
      </c>
      <c r="AE2773">
        <v>-0.321100000000001</v>
      </c>
      <c r="AF2773">
        <v>-0.42630197615529603</v>
      </c>
      <c r="AG2773">
        <v>-0.1441035</v>
      </c>
      <c r="AH2773">
        <v>0.74608044723365596</v>
      </c>
      <c r="AI2773">
        <v>99.520017420587905</v>
      </c>
      <c r="AJ2773">
        <v>119.743161408636</v>
      </c>
      <c r="AK2773">
        <v>0.87128366639719201</v>
      </c>
    </row>
    <row r="2774" spans="1:37" x14ac:dyDescent="0.2">
      <c r="A2774" t="str">
        <f>"20200111153703389"</f>
        <v>20200111153703389</v>
      </c>
      <c r="B2774" t="str">
        <f>"1578728223386019"</f>
        <v>1578728223386019</v>
      </c>
      <c r="C2774" t="s">
        <v>37</v>
      </c>
      <c r="D2774">
        <v>5.4037579999999998</v>
      </c>
      <c r="E2774">
        <v>0.373401599999999</v>
      </c>
      <c r="F2774" t="s">
        <v>44</v>
      </c>
      <c r="G2774">
        <v>-477.70409999999998</v>
      </c>
      <c r="H2774" s="1">
        <v>2.7571350000000002E-6</v>
      </c>
      <c r="I2774">
        <v>219.53829999999999</v>
      </c>
      <c r="J2774">
        <v>-484.60590000000002</v>
      </c>
      <c r="K2774">
        <v>1.107048</v>
      </c>
      <c r="L2774">
        <v>222.71209999999999</v>
      </c>
      <c r="M2774">
        <v>0.63179490000000005</v>
      </c>
      <c r="N2774">
        <v>0</v>
      </c>
      <c r="O2774">
        <v>-0.77502789999999999</v>
      </c>
      <c r="P2774">
        <v>0.85890650000000002</v>
      </c>
      <c r="Q2774">
        <v>4.295272E-2</v>
      </c>
      <c r="R2774">
        <v>-0.51032829999999996</v>
      </c>
      <c r="S2774">
        <v>2.74902299999999</v>
      </c>
      <c r="T2774">
        <v>-0.43462650000000003</v>
      </c>
      <c r="U2774">
        <v>-1.291245</v>
      </c>
      <c r="V2774">
        <v>-0.34356329999999902</v>
      </c>
      <c r="W2774">
        <v>5.3308300000000003E-2</v>
      </c>
      <c r="X2774">
        <v>0.93761530000000004</v>
      </c>
      <c r="Y2774">
        <v>-0.42336839999999998</v>
      </c>
      <c r="Z2774">
        <v>0.13006969999999901</v>
      </c>
      <c r="AA2774">
        <v>0.89657189999999998</v>
      </c>
      <c r="AB2774">
        <v>16</v>
      </c>
      <c r="AC2774">
        <v>6.9018000000000299</v>
      </c>
      <c r="AD2774">
        <v>-1.1070452428649999</v>
      </c>
      <c r="AE2774">
        <v>-3.1738</v>
      </c>
      <c r="AF2774">
        <v>-3.27463229232771</v>
      </c>
      <c r="AG2774">
        <v>-1.1070452428649999</v>
      </c>
      <c r="AH2774">
        <v>6.6790315466818102</v>
      </c>
      <c r="AI2774">
        <v>98.464886852250103</v>
      </c>
      <c r="AJ2774">
        <v>116.118043147447</v>
      </c>
      <c r="AK2774">
        <v>7.52052047542431</v>
      </c>
    </row>
    <row r="2775" spans="1:37" x14ac:dyDescent="0.2">
      <c r="A2775" t="str">
        <f>"20200111153703424"</f>
        <v>20200111153703424</v>
      </c>
      <c r="B2775" t="str">
        <f>"1578728223415299"</f>
        <v>1578728223415299</v>
      </c>
      <c r="C2775" t="s">
        <v>37</v>
      </c>
      <c r="D2775">
        <v>5.3494120000000001</v>
      </c>
      <c r="E2775">
        <v>0.37363649999999998</v>
      </c>
      <c r="F2775" t="s">
        <v>38</v>
      </c>
      <c r="G2775">
        <v>-483.6617</v>
      </c>
      <c r="H2775">
        <v>1.0033719999999999</v>
      </c>
      <c r="I2775">
        <v>222.50210000000001</v>
      </c>
      <c r="J2775">
        <v>-484.44839999999999</v>
      </c>
      <c r="K2775">
        <v>1.107059</v>
      </c>
      <c r="L2775">
        <v>222.53360000000001</v>
      </c>
      <c r="M2775">
        <v>0.63761420000000002</v>
      </c>
      <c r="N2775">
        <v>0</v>
      </c>
      <c r="O2775">
        <v>-0.7702485</v>
      </c>
      <c r="P2775">
        <v>0.86286879999999999</v>
      </c>
      <c r="Q2775">
        <v>4.2126120000000003E-2</v>
      </c>
      <c r="R2775">
        <v>-0.50366959999999905</v>
      </c>
      <c r="S2775">
        <v>3.1003419999999999</v>
      </c>
      <c r="T2775">
        <v>-0.34032629999999903</v>
      </c>
      <c r="U2775">
        <v>-0.68916319999999998</v>
      </c>
      <c r="V2775">
        <v>-0.343784599999999</v>
      </c>
      <c r="W2775">
        <v>5.2399300000000003E-2</v>
      </c>
      <c r="X2775">
        <v>0.93758539999999901</v>
      </c>
      <c r="Y2775">
        <v>-0.60697500000000004</v>
      </c>
      <c r="Z2775">
        <v>0.105292899999999</v>
      </c>
      <c r="AA2775">
        <v>0.78771499999999905</v>
      </c>
      <c r="AB2775">
        <v>16</v>
      </c>
      <c r="AC2775">
        <v>0.78669999999999596</v>
      </c>
      <c r="AD2775">
        <v>-0.103687</v>
      </c>
      <c r="AE2775">
        <v>-3.1499999999993998E-2</v>
      </c>
      <c r="AF2775">
        <v>-0.57592951528167702</v>
      </c>
      <c r="AG2775">
        <v>-0.103687</v>
      </c>
      <c r="AH2775">
        <v>0.51695170149268799</v>
      </c>
      <c r="AI2775">
        <v>97.6309558041538</v>
      </c>
      <c r="AJ2775">
        <v>138.088995513518</v>
      </c>
      <c r="AK2775">
        <v>0.78082319523549804</v>
      </c>
    </row>
    <row r="2776" spans="1:37" x14ac:dyDescent="0.2">
      <c r="A2776" t="str">
        <f>"20200111153703446"</f>
        <v>20200111153703446</v>
      </c>
      <c r="B2776" t="str">
        <f>"1578728223435795"</f>
        <v>1578728223435795</v>
      </c>
      <c r="C2776" t="s">
        <v>37</v>
      </c>
      <c r="D2776">
        <v>5.3424100000000001</v>
      </c>
      <c r="E2776">
        <v>0.37475639999999999</v>
      </c>
      <c r="F2776" t="s">
        <v>44</v>
      </c>
      <c r="G2776">
        <v>-473.524</v>
      </c>
      <c r="H2776">
        <v>8.0000189999999999E-2</v>
      </c>
      <c r="I2776">
        <v>220.1985</v>
      </c>
      <c r="J2776">
        <v>-484.34219999999999</v>
      </c>
      <c r="K2776">
        <v>1.107064</v>
      </c>
      <c r="L2776">
        <v>222.41480000000001</v>
      </c>
      <c r="M2776">
        <v>0.64153249999999995</v>
      </c>
      <c r="N2776">
        <v>0</v>
      </c>
      <c r="O2776">
        <v>-0.76698880000000003</v>
      </c>
      <c r="P2776">
        <v>0.86580709999999905</v>
      </c>
      <c r="Q2776">
        <v>4.1919240000000003E-2</v>
      </c>
      <c r="R2776">
        <v>-0.49861919999999998</v>
      </c>
      <c r="S2776">
        <v>3.103729</v>
      </c>
      <c r="T2776">
        <v>-0.29179690000000003</v>
      </c>
      <c r="U2776">
        <v>-0.66342159999999994</v>
      </c>
      <c r="V2776">
        <v>-0.3444932</v>
      </c>
      <c r="W2776">
        <v>5.2121679999999997E-2</v>
      </c>
      <c r="X2776">
        <v>0.93734079999999997</v>
      </c>
      <c r="Y2776">
        <v>-0.61109950000000002</v>
      </c>
      <c r="Z2776">
        <v>9.0416800000000005E-2</v>
      </c>
      <c r="AA2776">
        <v>0.78637279999999998</v>
      </c>
      <c r="AB2776">
        <v>16</v>
      </c>
      <c r="AC2776">
        <v>10.8181999999999</v>
      </c>
      <c r="AD2776">
        <v>-1.02706381</v>
      </c>
      <c r="AE2776">
        <v>-2.2163000000000102</v>
      </c>
      <c r="AF2776">
        <v>-6.81720381972442</v>
      </c>
      <c r="AG2776">
        <v>-1.02706381</v>
      </c>
      <c r="AH2776">
        <v>8.5667094599722198</v>
      </c>
      <c r="AI2776">
        <v>95.359307895289703</v>
      </c>
      <c r="AJ2776">
        <v>128.512022539388</v>
      </c>
      <c r="AK2776">
        <v>10.9962556791416</v>
      </c>
    </row>
    <row r="2777" spans="1:37" x14ac:dyDescent="0.2">
      <c r="A2777" t="str">
        <f>"20200111153703468"</f>
        <v>20200111153703468</v>
      </c>
      <c r="B2777" t="str">
        <f>"1578728223466054"</f>
        <v>1578728223466054</v>
      </c>
      <c r="C2777" t="s">
        <v>37</v>
      </c>
      <c r="D2777">
        <v>5.3505929999999999</v>
      </c>
      <c r="E2777">
        <v>0.37613289999999999</v>
      </c>
      <c r="F2777" t="s">
        <v>44</v>
      </c>
      <c r="G2777">
        <v>-473.2081</v>
      </c>
      <c r="H2777">
        <v>8.0000150000000006E-2</v>
      </c>
      <c r="I2777">
        <v>220.07310000000001</v>
      </c>
      <c r="J2777">
        <v>-484.2371</v>
      </c>
      <c r="K2777">
        <v>1.107075</v>
      </c>
      <c r="L2777">
        <v>222.29849999999999</v>
      </c>
      <c r="M2777">
        <v>0.64540109999999995</v>
      </c>
      <c r="N2777">
        <v>0</v>
      </c>
      <c r="O2777">
        <v>-0.76373729999999995</v>
      </c>
      <c r="P2777">
        <v>0.86856819999999901</v>
      </c>
      <c r="Q2777">
        <v>4.2651479999999999E-2</v>
      </c>
      <c r="R2777">
        <v>-0.49373129999999998</v>
      </c>
      <c r="S2777">
        <v>3.1029659999999999</v>
      </c>
      <c r="T2777">
        <v>-0.28623280000000001</v>
      </c>
      <c r="U2777">
        <v>-0.65260309999999999</v>
      </c>
      <c r="V2777">
        <v>-0.34501890000000002</v>
      </c>
      <c r="W2777">
        <v>5.2780239999999999E-2</v>
      </c>
      <c r="X2777">
        <v>0.93711049999999996</v>
      </c>
      <c r="Y2777">
        <v>-0.60988399999999998</v>
      </c>
      <c r="Z2777">
        <v>8.8561340000000002E-2</v>
      </c>
      <c r="AA2777">
        <v>0.78752679999999997</v>
      </c>
      <c r="AB2777">
        <v>16</v>
      </c>
      <c r="AC2777">
        <v>11.0289999999999</v>
      </c>
      <c r="AD2777">
        <v>-1.02707485</v>
      </c>
      <c r="AE2777">
        <v>-2.2253999999999698</v>
      </c>
      <c r="AF2777">
        <v>-6.9298057761500296</v>
      </c>
      <c r="AG2777">
        <v>-1.02707485</v>
      </c>
      <c r="AH2777">
        <v>8.7455905206172808</v>
      </c>
      <c r="AI2777">
        <v>95.259020112664899</v>
      </c>
      <c r="AJ2777">
        <v>128.39249961839599</v>
      </c>
      <c r="AK2777">
        <v>11.205464934440499</v>
      </c>
    </row>
    <row r="2778" spans="1:37" x14ac:dyDescent="0.2">
      <c r="A2778" t="str">
        <f>"20200111153703490"</f>
        <v>20200111153703490</v>
      </c>
      <c r="B2778" t="str">
        <f>"1578728223485181"</f>
        <v>1578728223485181</v>
      </c>
      <c r="C2778" t="s">
        <v>37</v>
      </c>
      <c r="D2778">
        <v>5.3711120000000001</v>
      </c>
      <c r="E2778">
        <v>0.37687329999999902</v>
      </c>
      <c r="F2778" t="s">
        <v>38</v>
      </c>
      <c r="G2778">
        <v>-483.2842</v>
      </c>
      <c r="H2778">
        <v>1.019225</v>
      </c>
      <c r="I2778">
        <v>222.1002</v>
      </c>
      <c r="J2778">
        <v>-484.13679999999999</v>
      </c>
      <c r="K2778">
        <v>1.107094</v>
      </c>
      <c r="L2778">
        <v>222.18870000000001</v>
      </c>
      <c r="M2778">
        <v>0.64909589999999995</v>
      </c>
      <c r="N2778">
        <v>0</v>
      </c>
      <c r="O2778">
        <v>-0.76060039999999995</v>
      </c>
      <c r="P2778">
        <v>0.87083169999999899</v>
      </c>
      <c r="Q2778">
        <v>4.3725670000000001E-2</v>
      </c>
      <c r="R2778">
        <v>-0.48963259999999997</v>
      </c>
      <c r="S2778">
        <v>3.1014400000000002</v>
      </c>
      <c r="T2778">
        <v>-0.28586630000000002</v>
      </c>
      <c r="U2778">
        <v>-0.64488219999999996</v>
      </c>
      <c r="V2778">
        <v>-0.34486030000000001</v>
      </c>
      <c r="W2778">
        <v>5.3773500000000002E-2</v>
      </c>
      <c r="X2778">
        <v>0.93711250000000001</v>
      </c>
      <c r="Y2778">
        <v>-0.6078713</v>
      </c>
      <c r="Z2778">
        <v>8.8282589999999994E-2</v>
      </c>
      <c r="AA2778">
        <v>0.78911260000000005</v>
      </c>
      <c r="AB2778">
        <v>16</v>
      </c>
      <c r="AC2778">
        <v>0.85259999999999503</v>
      </c>
      <c r="AD2778">
        <v>-8.7868999999999906E-2</v>
      </c>
      <c r="AE2778">
        <v>-8.8500000000010404E-2</v>
      </c>
      <c r="AF2778">
        <v>-0.58494397776614904</v>
      </c>
      <c r="AG2778">
        <v>-8.7868999999999906E-2</v>
      </c>
      <c r="AH2778">
        <v>0.614327000637098</v>
      </c>
      <c r="AI2778">
        <v>95.913975278465699</v>
      </c>
      <c r="AJ2778">
        <v>133.59649196367599</v>
      </c>
      <c r="AK2778">
        <v>0.85280600490243896</v>
      </c>
    </row>
    <row r="2779" spans="1:37" x14ac:dyDescent="0.2">
      <c r="A2779" t="str">
        <f>"20200111153703512"</f>
        <v>20200111153703512</v>
      </c>
      <c r="B2779" t="str">
        <f>"1578728223505677"</f>
        <v>1578728223505677</v>
      </c>
      <c r="C2779" t="s">
        <v>37</v>
      </c>
      <c r="D2779">
        <v>5.3579109999999996</v>
      </c>
      <c r="E2779">
        <v>0.377581</v>
      </c>
      <c r="F2779" t="s">
        <v>38</v>
      </c>
      <c r="G2779">
        <v>-483.19319999999999</v>
      </c>
      <c r="H2779">
        <v>1.020357</v>
      </c>
      <c r="I2779">
        <v>221.99510000000001</v>
      </c>
      <c r="J2779">
        <v>-484.02730000000003</v>
      </c>
      <c r="K2779">
        <v>1.1071200000000001</v>
      </c>
      <c r="L2779">
        <v>222.0701</v>
      </c>
      <c r="M2779">
        <v>0.65314439999999996</v>
      </c>
      <c r="N2779">
        <v>0</v>
      </c>
      <c r="O2779">
        <v>-0.75712869999999999</v>
      </c>
      <c r="P2779">
        <v>0.87326930000000003</v>
      </c>
      <c r="Q2779">
        <v>4.4823979999999999E-2</v>
      </c>
      <c r="R2779">
        <v>-0.4851723</v>
      </c>
      <c r="S2779">
        <v>3.101807</v>
      </c>
      <c r="T2779">
        <v>-0.28505340000000001</v>
      </c>
      <c r="U2779">
        <v>-0.63581849999999995</v>
      </c>
      <c r="V2779">
        <v>-0.34462379999999998</v>
      </c>
      <c r="W2779">
        <v>5.4757680000000003E-2</v>
      </c>
      <c r="X2779">
        <v>0.93714249999999899</v>
      </c>
      <c r="Y2779">
        <v>-0.60591589999999995</v>
      </c>
      <c r="Z2779">
        <v>8.7805140000000004E-2</v>
      </c>
      <c r="AA2779">
        <v>0.79066819999999904</v>
      </c>
      <c r="AB2779">
        <v>16</v>
      </c>
      <c r="AC2779">
        <v>0.83410000000003404</v>
      </c>
      <c r="AD2779">
        <v>-8.6763000000000104E-2</v>
      </c>
      <c r="AE2779">
        <v>-7.4999999999988604E-2</v>
      </c>
      <c r="AF2779">
        <v>-0.57639474517362599</v>
      </c>
      <c r="AG2779">
        <v>-8.6763000000000104E-2</v>
      </c>
      <c r="AH2779">
        <v>0.595231253140036</v>
      </c>
      <c r="AI2779">
        <v>95.977880301784595</v>
      </c>
      <c r="AJ2779">
        <v>134.07892157077899</v>
      </c>
      <c r="AK2779">
        <v>0.83310201364984504</v>
      </c>
    </row>
    <row r="2780" spans="1:37" x14ac:dyDescent="0.2">
      <c r="A2780" t="str">
        <f>"20200111153703534"</f>
        <v>20200111153703534</v>
      </c>
      <c r="B2780" t="str">
        <f>"1578728223525197"</f>
        <v>1578728223525197</v>
      </c>
      <c r="C2780" t="s">
        <v>37</v>
      </c>
      <c r="D2780">
        <v>5.3771089999999999</v>
      </c>
      <c r="E2780">
        <v>0.37813969999999902</v>
      </c>
      <c r="F2780" t="s">
        <v>38</v>
      </c>
      <c r="G2780">
        <v>-483.10610000000003</v>
      </c>
      <c r="H2780">
        <v>1.023183</v>
      </c>
      <c r="I2780">
        <v>221.8844</v>
      </c>
      <c r="J2780">
        <v>-483.91930000000002</v>
      </c>
      <c r="K2780">
        <v>1.1071500000000001</v>
      </c>
      <c r="L2780">
        <v>221.9545</v>
      </c>
      <c r="M2780">
        <v>0.6571534</v>
      </c>
      <c r="N2780">
        <v>0</v>
      </c>
      <c r="O2780">
        <v>-0.75365319999999902</v>
      </c>
      <c r="P2780">
        <v>0.87552180000000002</v>
      </c>
      <c r="Q2780">
        <v>4.5316170000000003E-2</v>
      </c>
      <c r="R2780">
        <v>-0.48104949999999902</v>
      </c>
      <c r="S2780">
        <v>3.102722</v>
      </c>
      <c r="T2780">
        <v>-0.282634</v>
      </c>
      <c r="U2780">
        <v>-0.62492369999999997</v>
      </c>
      <c r="V2780">
        <v>-0.34405790000000003</v>
      </c>
      <c r="W2780">
        <v>5.5120009999999997E-2</v>
      </c>
      <c r="X2780">
        <v>0.93732919999999997</v>
      </c>
      <c r="Y2780">
        <v>-0.60450809999999999</v>
      </c>
      <c r="Z2780">
        <v>8.6852250000000006E-2</v>
      </c>
      <c r="AA2780">
        <v>0.7918501</v>
      </c>
      <c r="AB2780">
        <v>16</v>
      </c>
      <c r="AC2780">
        <v>0.81319999999999404</v>
      </c>
      <c r="AD2780">
        <v>-8.3967000000000097E-2</v>
      </c>
      <c r="AE2780">
        <v>-7.0099999999996498E-2</v>
      </c>
      <c r="AF2780">
        <v>-0.56091250323869701</v>
      </c>
      <c r="AG2780">
        <v>-8.3967000000000097E-2</v>
      </c>
      <c r="AH2780">
        <v>0.58112410583877505</v>
      </c>
      <c r="AI2780">
        <v>95.935275447271295</v>
      </c>
      <c r="AJ2780">
        <v>133.986093234767</v>
      </c>
      <c r="AK2780">
        <v>0.81202125573498296</v>
      </c>
    </row>
    <row r="2781" spans="1:37" x14ac:dyDescent="0.2">
      <c r="A2781" t="str">
        <f>"20200111153703557"</f>
        <v>20200111153703557</v>
      </c>
      <c r="B2781" t="str">
        <f>"1578728223545692"</f>
        <v>1578728223545692</v>
      </c>
      <c r="C2781" t="s">
        <v>37</v>
      </c>
      <c r="D2781">
        <v>5.3792210000000003</v>
      </c>
      <c r="E2781">
        <v>0.37853940000000003</v>
      </c>
      <c r="F2781" t="s">
        <v>38</v>
      </c>
      <c r="G2781">
        <v>-483.0172</v>
      </c>
      <c r="H2781">
        <v>1.0246200000000001</v>
      </c>
      <c r="I2781">
        <v>221.7757</v>
      </c>
      <c r="J2781">
        <v>-483.81180000000001</v>
      </c>
      <c r="K2781">
        <v>1.107189</v>
      </c>
      <c r="L2781">
        <v>221.8408</v>
      </c>
      <c r="M2781">
        <v>0.66116419999999998</v>
      </c>
      <c r="N2781">
        <v>0</v>
      </c>
      <c r="O2781">
        <v>-0.75013890000000005</v>
      </c>
      <c r="P2781">
        <v>0.87786540000000002</v>
      </c>
      <c r="Q2781">
        <v>4.6608209999999997E-2</v>
      </c>
      <c r="R2781">
        <v>-0.47663440000000001</v>
      </c>
      <c r="S2781">
        <v>3.103577</v>
      </c>
      <c r="T2781">
        <v>-0.2838717</v>
      </c>
      <c r="U2781">
        <v>-0.61454770000000003</v>
      </c>
      <c r="V2781">
        <v>-0.34374209999999999</v>
      </c>
      <c r="W2781">
        <v>5.6267399999999898E-2</v>
      </c>
      <c r="X2781">
        <v>0.93737689999999996</v>
      </c>
      <c r="Y2781">
        <v>-0.60283059999999999</v>
      </c>
      <c r="Z2781">
        <v>8.7001229999999999E-2</v>
      </c>
      <c r="AA2781">
        <v>0.79311160000000003</v>
      </c>
      <c r="AB2781">
        <v>16</v>
      </c>
      <c r="AC2781">
        <v>0.79460000000000197</v>
      </c>
      <c r="AD2781">
        <v>-8.2568999999999795E-2</v>
      </c>
      <c r="AE2781">
        <v>-6.5100000000001004E-2</v>
      </c>
      <c r="AF2781">
        <v>-0.54719194122268999</v>
      </c>
      <c r="AG2781">
        <v>-8.2568999999999795E-2</v>
      </c>
      <c r="AH2781">
        <v>0.56814535907728003</v>
      </c>
      <c r="AI2781">
        <v>95.9757589612923</v>
      </c>
      <c r="AJ2781">
        <v>133.92373257814</v>
      </c>
      <c r="AK2781">
        <v>0.79311147346454902</v>
      </c>
    </row>
    <row r="2782" spans="1:37" x14ac:dyDescent="0.2">
      <c r="A2782" t="str">
        <f>"20200111153703580"</f>
        <v>20200111153703580</v>
      </c>
      <c r="B2782" t="str">
        <f>"1578728223575949"</f>
        <v>1578728223575949</v>
      </c>
      <c r="C2782" t="s">
        <v>37</v>
      </c>
      <c r="D2782">
        <v>5.4181460000000001</v>
      </c>
      <c r="E2782">
        <v>0.37917089999999998</v>
      </c>
      <c r="F2782" t="s">
        <v>38</v>
      </c>
      <c r="G2782">
        <v>-482.92660000000001</v>
      </c>
      <c r="H2782">
        <v>1.026621</v>
      </c>
      <c r="I2782">
        <v>221.6687</v>
      </c>
      <c r="J2782">
        <v>-483.70069999999998</v>
      </c>
      <c r="K2782">
        <v>1.1072379999999999</v>
      </c>
      <c r="L2782">
        <v>221.72460000000001</v>
      </c>
      <c r="M2782">
        <v>0.66533920000000002</v>
      </c>
      <c r="N2782">
        <v>0</v>
      </c>
      <c r="O2782">
        <v>-0.746440199999999</v>
      </c>
      <c r="P2782">
        <v>0.88035330000000001</v>
      </c>
      <c r="Q2782">
        <v>4.7750330000000001E-2</v>
      </c>
      <c r="R2782">
        <v>-0.47190900000000002</v>
      </c>
      <c r="S2782">
        <v>3.1054080000000002</v>
      </c>
      <c r="T2782">
        <v>-0.2824972</v>
      </c>
      <c r="U2782">
        <v>-0.60227969999999997</v>
      </c>
      <c r="V2782">
        <v>-0.34351969999999998</v>
      </c>
      <c r="W2782">
        <v>5.7260949999999998E-2</v>
      </c>
      <c r="X2782">
        <v>0.93739819999999996</v>
      </c>
      <c r="Y2782">
        <v>-0.60155669999999895</v>
      </c>
      <c r="Z2782">
        <v>8.6340719999999996E-2</v>
      </c>
      <c r="AA2782">
        <v>0.79415040000000003</v>
      </c>
      <c r="AB2782">
        <v>16</v>
      </c>
      <c r="AC2782">
        <v>0.77409999999997503</v>
      </c>
      <c r="AD2782">
        <v>-8.0616999999999897E-2</v>
      </c>
      <c r="AE2782">
        <v>-5.59000000000082E-2</v>
      </c>
      <c r="AF2782">
        <v>-0.53489640790685</v>
      </c>
      <c r="AG2782">
        <v>-8.0616999999999897E-2</v>
      </c>
      <c r="AH2782">
        <v>0.55086353215388495</v>
      </c>
      <c r="AI2782">
        <v>95.993703310478296</v>
      </c>
      <c r="AJ2782">
        <v>134.15747224108901</v>
      </c>
      <c r="AK2782">
        <v>0.77205174628240103</v>
      </c>
    </row>
    <row r="2783" spans="1:37" x14ac:dyDescent="0.2">
      <c r="A2783" t="str">
        <f>"20200111153703603"</f>
        <v>20200111153703603</v>
      </c>
      <c r="B2783" t="str">
        <f>"1578728223595469"</f>
        <v>1578728223595469</v>
      </c>
      <c r="C2783" t="s">
        <v>37</v>
      </c>
      <c r="D2783">
        <v>5.4211070000000001</v>
      </c>
      <c r="E2783">
        <v>0.37952770000000002</v>
      </c>
      <c r="F2783" t="s">
        <v>44</v>
      </c>
      <c r="G2783">
        <v>-471.5351</v>
      </c>
      <c r="H2783" s="1">
        <v>5.4873489999999998E-6</v>
      </c>
      <c r="I2783">
        <v>219.4128</v>
      </c>
      <c r="J2783">
        <v>-483.58859999999999</v>
      </c>
      <c r="K2783">
        <v>1.1072979999999999</v>
      </c>
      <c r="L2783">
        <v>221.60910000000001</v>
      </c>
      <c r="M2783">
        <v>0.6695856</v>
      </c>
      <c r="N2783">
        <v>0</v>
      </c>
      <c r="O2783">
        <v>-0.74263500000000005</v>
      </c>
      <c r="P2783">
        <v>0.88283880000000003</v>
      </c>
      <c r="Q2783">
        <v>4.9002179999999999E-2</v>
      </c>
      <c r="R2783">
        <v>-0.46711329999999901</v>
      </c>
      <c r="S2783">
        <v>3.106598</v>
      </c>
      <c r="T2783">
        <v>-0.28274179999999999</v>
      </c>
      <c r="U2783">
        <v>-0.59034730000000002</v>
      </c>
      <c r="V2783">
        <v>-0.3432383</v>
      </c>
      <c r="W2783">
        <v>5.8372970000000003E-2</v>
      </c>
      <c r="X2783">
        <v>0.93743269999999901</v>
      </c>
      <c r="Y2783">
        <v>-0.60001719999999903</v>
      </c>
      <c r="Z2783">
        <v>8.6168679999999997E-2</v>
      </c>
      <c r="AA2783">
        <v>0.79533279999999995</v>
      </c>
      <c r="AB2783">
        <v>16</v>
      </c>
      <c r="AC2783">
        <v>12.0534999999999</v>
      </c>
      <c r="AD2783">
        <v>-1.10729251265099</v>
      </c>
      <c r="AE2783">
        <v>-2.1962999999999999</v>
      </c>
      <c r="AF2783">
        <v>-7.4206833674743802</v>
      </c>
      <c r="AG2783">
        <v>-1.10729251265099</v>
      </c>
      <c r="AH2783">
        <v>9.6240106558141694</v>
      </c>
      <c r="AI2783">
        <v>95.206126117162398</v>
      </c>
      <c r="AJ2783">
        <v>127.63435578025501</v>
      </c>
      <c r="AK2783">
        <v>12.203041401720601</v>
      </c>
    </row>
    <row r="2784" spans="1:37" x14ac:dyDescent="0.2">
      <c r="A2784" t="str">
        <f>"20200111153703625"</f>
        <v>20200111153703625</v>
      </c>
      <c r="B2784" t="str">
        <f>"1578728223615965"</f>
        <v>1578728223615965</v>
      </c>
      <c r="C2784" t="s">
        <v>37</v>
      </c>
      <c r="D2784">
        <v>5.4372860000000003</v>
      </c>
      <c r="E2784">
        <v>0.37988149999999998</v>
      </c>
      <c r="F2784" t="s">
        <v>38</v>
      </c>
      <c r="G2784">
        <v>-482.59649999999999</v>
      </c>
      <c r="H2784">
        <v>1.017946</v>
      </c>
      <c r="I2784">
        <v>221.42529999999999</v>
      </c>
      <c r="J2784">
        <v>-483.47919999999999</v>
      </c>
      <c r="K2784">
        <v>1.1073440000000001</v>
      </c>
      <c r="L2784">
        <v>221.49780000000001</v>
      </c>
      <c r="M2784">
        <v>0.67374269999999903</v>
      </c>
      <c r="N2784">
        <v>0</v>
      </c>
      <c r="O2784">
        <v>-0.73886689999999999</v>
      </c>
      <c r="P2784">
        <v>0.88535259999999905</v>
      </c>
      <c r="Q2784">
        <v>4.9921220000000002E-2</v>
      </c>
      <c r="R2784">
        <v>-0.46223199999999998</v>
      </c>
      <c r="S2784">
        <v>3.1088259999999899</v>
      </c>
      <c r="T2784">
        <v>-0.28003319999999998</v>
      </c>
      <c r="U2784">
        <v>-0.57621769999999894</v>
      </c>
      <c r="V2784">
        <v>-0.34312740000000003</v>
      </c>
      <c r="W2784">
        <v>5.9169350000000002E-2</v>
      </c>
      <c r="X2784">
        <v>0.93742329999999996</v>
      </c>
      <c r="Y2784">
        <v>-0.59923709999999997</v>
      </c>
      <c r="Z2784">
        <v>8.5116330000000004E-2</v>
      </c>
      <c r="AA2784">
        <v>0.79603400000000002</v>
      </c>
      <c r="AB2784">
        <v>16</v>
      </c>
      <c r="AC2784">
        <v>0.88269999999999904</v>
      </c>
      <c r="AD2784">
        <v>-8.9398000000000005E-2</v>
      </c>
      <c r="AE2784">
        <v>-7.2500000000019299E-2</v>
      </c>
      <c r="AF2784">
        <v>-0.59730997962040999</v>
      </c>
      <c r="AG2784">
        <v>-8.9398000000000005E-2</v>
      </c>
      <c r="AH2784">
        <v>0.641789159948289</v>
      </c>
      <c r="AI2784">
        <v>95.822122644490804</v>
      </c>
      <c r="AJ2784">
        <v>132.944171323598</v>
      </c>
      <c r="AK2784">
        <v>0.88128573118215503</v>
      </c>
    </row>
    <row r="2785" spans="1:37" x14ac:dyDescent="0.2">
      <c r="A2785" t="str">
        <f>"20200111153703648"</f>
        <v>20200111153703648</v>
      </c>
      <c r="B2785" t="str">
        <f>"1578728223645247"</f>
        <v>1578728223645247</v>
      </c>
      <c r="C2785" t="s">
        <v>37</v>
      </c>
      <c r="D2785">
        <v>5.4054209999999996</v>
      </c>
      <c r="E2785">
        <v>0.38044240000000001</v>
      </c>
      <c r="F2785" t="s">
        <v>38</v>
      </c>
      <c r="G2785">
        <v>-482.50420000000003</v>
      </c>
      <c r="H2785">
        <v>1.019963</v>
      </c>
      <c r="I2785">
        <v>221.32149999999999</v>
      </c>
      <c r="J2785">
        <v>-483.36619999999999</v>
      </c>
      <c r="K2785">
        <v>1.1073770000000001</v>
      </c>
      <c r="L2785">
        <v>221.38409999999999</v>
      </c>
      <c r="M2785">
        <v>0.67806069999999996</v>
      </c>
      <c r="N2785">
        <v>0</v>
      </c>
      <c r="O2785">
        <v>-0.73490769999999905</v>
      </c>
      <c r="P2785">
        <v>0.88824930000000002</v>
      </c>
      <c r="Q2785">
        <v>5.0225260000000001E-2</v>
      </c>
      <c r="R2785">
        <v>-0.45660810000000002</v>
      </c>
      <c r="S2785">
        <v>3.1109309999999999</v>
      </c>
      <c r="T2785">
        <v>-0.27870400000000001</v>
      </c>
      <c r="U2785">
        <v>-0.56178280000000003</v>
      </c>
      <c r="V2785">
        <v>-0.3435762</v>
      </c>
      <c r="W2785">
        <v>5.9346900000000001E-2</v>
      </c>
      <c r="X2785">
        <v>0.93724779999999996</v>
      </c>
      <c r="Y2785">
        <v>-0.59828570000000003</v>
      </c>
      <c r="Z2785">
        <v>8.446795E-2</v>
      </c>
      <c r="AA2785">
        <v>0.79681829999999998</v>
      </c>
      <c r="AB2785">
        <v>16</v>
      </c>
      <c r="AC2785">
        <v>0.86199999999996602</v>
      </c>
      <c r="AD2785">
        <v>-8.7414000000000103E-2</v>
      </c>
      <c r="AE2785">
        <v>-6.2600000000003306E-2</v>
      </c>
      <c r="AF2785">
        <v>-0.58510109305360403</v>
      </c>
      <c r="AG2785">
        <v>-8.7414000000000103E-2</v>
      </c>
      <c r="AH2785">
        <v>0.62415414751457698</v>
      </c>
      <c r="AI2785">
        <v>95.834044319023704</v>
      </c>
      <c r="AJ2785">
        <v>133.150268283185</v>
      </c>
      <c r="AK2785">
        <v>0.859972613719861</v>
      </c>
    </row>
    <row r="2786" spans="1:37" x14ac:dyDescent="0.2">
      <c r="A2786" t="str">
        <f>"20200111153703669"</f>
        <v>20200111153703669</v>
      </c>
      <c r="B2786" t="str">
        <f>"1578728223665741"</f>
        <v>1578728223665741</v>
      </c>
      <c r="C2786" t="s">
        <v>37</v>
      </c>
      <c r="D2786">
        <v>5.4376449999999998</v>
      </c>
      <c r="E2786">
        <v>0.38078600000000001</v>
      </c>
      <c r="F2786" t="s">
        <v>38</v>
      </c>
      <c r="G2786">
        <v>-482.41120000000001</v>
      </c>
      <c r="H2786">
        <v>1.021207</v>
      </c>
      <c r="I2786">
        <v>221.21639999999999</v>
      </c>
      <c r="J2786">
        <v>-483.25799999999998</v>
      </c>
      <c r="K2786">
        <v>1.1074059999999999</v>
      </c>
      <c r="L2786">
        <v>221.2766</v>
      </c>
      <c r="M2786">
        <v>0.68221089999999995</v>
      </c>
      <c r="N2786">
        <v>0</v>
      </c>
      <c r="O2786">
        <v>-0.73105799999999999</v>
      </c>
      <c r="P2786">
        <v>0.89107819999999904</v>
      </c>
      <c r="Q2786">
        <v>4.9920350000000002E-2</v>
      </c>
      <c r="R2786">
        <v>-0.45109549999999998</v>
      </c>
      <c r="S2786">
        <v>3.1125180000000001</v>
      </c>
      <c r="T2786">
        <v>-0.28082970000000002</v>
      </c>
      <c r="U2786">
        <v>-0.54621889999999995</v>
      </c>
      <c r="V2786">
        <v>-0.34409380000000001</v>
      </c>
      <c r="W2786">
        <v>5.8920390000000003E-2</v>
      </c>
      <c r="X2786">
        <v>0.93708469999999999</v>
      </c>
      <c r="Y2786">
        <v>-0.59763650000000001</v>
      </c>
      <c r="Z2786">
        <v>8.4895319999999996E-2</v>
      </c>
      <c r="AA2786">
        <v>0.79725999999999997</v>
      </c>
      <c r="AB2786">
        <v>16</v>
      </c>
      <c r="AC2786">
        <v>0.84680000000002997</v>
      </c>
      <c r="AD2786">
        <v>-8.6198999999999901E-2</v>
      </c>
      <c r="AE2786">
        <v>-6.0200000000008899E-2</v>
      </c>
      <c r="AF2786">
        <v>-0.572133377820495</v>
      </c>
      <c r="AG2786">
        <v>-8.6198999999999901E-2</v>
      </c>
      <c r="AH2786">
        <v>0.61540542670688103</v>
      </c>
      <c r="AI2786">
        <v>95.857163965696202</v>
      </c>
      <c r="AJ2786">
        <v>132.913155065746</v>
      </c>
      <c r="AK2786">
        <v>0.84468379221905698</v>
      </c>
    </row>
    <row r="2787" spans="1:37" x14ac:dyDescent="0.2">
      <c r="A2787" t="str">
        <f>"20200111153703691"</f>
        <v>20200111153703691</v>
      </c>
      <c r="B2787" t="str">
        <f>"1578728223685260"</f>
        <v>1578728223685260</v>
      </c>
      <c r="C2787" t="s">
        <v>37</v>
      </c>
      <c r="D2787">
        <v>5.4354649999999998</v>
      </c>
      <c r="E2787">
        <v>0.38111299999999998</v>
      </c>
      <c r="F2787" t="s">
        <v>38</v>
      </c>
      <c r="G2787">
        <v>-482.31459999999998</v>
      </c>
      <c r="H2787">
        <v>1.02135</v>
      </c>
      <c r="I2787">
        <v>221.11609999999999</v>
      </c>
      <c r="J2787">
        <v>-483.1506</v>
      </c>
      <c r="K2787">
        <v>1.1074360000000001</v>
      </c>
      <c r="L2787">
        <v>221.1712</v>
      </c>
      <c r="M2787">
        <v>0.68634090000000003</v>
      </c>
      <c r="N2787">
        <v>0</v>
      </c>
      <c r="O2787">
        <v>-0.72718349999999998</v>
      </c>
      <c r="P2787">
        <v>0.89368860000000006</v>
      </c>
      <c r="Q2787">
        <v>4.9893270000000003E-2</v>
      </c>
      <c r="R2787">
        <v>-0.445905</v>
      </c>
      <c r="S2787">
        <v>3.1145320000000001</v>
      </c>
      <c r="T2787">
        <v>-0.28403429999999902</v>
      </c>
      <c r="U2787">
        <v>-0.52967830000000005</v>
      </c>
      <c r="V2787">
        <v>-0.34424329999999997</v>
      </c>
      <c r="W2787">
        <v>5.877425E-2</v>
      </c>
      <c r="X2787">
        <v>0.93703899999999996</v>
      </c>
      <c r="Y2787">
        <v>-0.59721389999999996</v>
      </c>
      <c r="Z2787">
        <v>8.5640709999999995E-2</v>
      </c>
      <c r="AA2787">
        <v>0.79749689999999995</v>
      </c>
      <c r="AB2787">
        <v>16</v>
      </c>
      <c r="AC2787">
        <v>0.83600000000001196</v>
      </c>
      <c r="AD2787">
        <v>-8.6086000000000107E-2</v>
      </c>
      <c r="AE2787">
        <v>-5.5100000000010099E-2</v>
      </c>
      <c r="AF2787">
        <v>-0.56419145359393696</v>
      </c>
      <c r="AG2787">
        <v>-8.6086000000000107E-2</v>
      </c>
      <c r="AH2787">
        <v>0.60747829354952998</v>
      </c>
      <c r="AI2787">
        <v>95.928095284298294</v>
      </c>
      <c r="AJ2787">
        <v>132.88419409240899</v>
      </c>
      <c r="AK2787">
        <v>0.83351824985316902</v>
      </c>
    </row>
    <row r="2788" spans="1:37" x14ac:dyDescent="0.2">
      <c r="A2788" t="str">
        <f>"20200111153703714"</f>
        <v>20200111153703714</v>
      </c>
      <c r="B2788" t="str">
        <f>"1578728223705756"</f>
        <v>1578728223705756</v>
      </c>
      <c r="C2788" t="s">
        <v>37</v>
      </c>
      <c r="D2788">
        <v>5.4834069999999997</v>
      </c>
      <c r="E2788">
        <v>0.38155909999999998</v>
      </c>
      <c r="F2788" t="s">
        <v>38</v>
      </c>
      <c r="G2788">
        <v>-482.2165</v>
      </c>
      <c r="H2788">
        <v>1.0220009999999999</v>
      </c>
      <c r="I2788">
        <v>221.01730000000001</v>
      </c>
      <c r="J2788">
        <v>-483.03199999999998</v>
      </c>
      <c r="K2788">
        <v>1.107469</v>
      </c>
      <c r="L2788">
        <v>221.0564</v>
      </c>
      <c r="M2788">
        <v>0.69090669999999899</v>
      </c>
      <c r="N2788">
        <v>0</v>
      </c>
      <c r="O2788">
        <v>-0.72284869999999901</v>
      </c>
      <c r="P2788">
        <v>0.8965632</v>
      </c>
      <c r="Q2788">
        <v>5.0149909999999999E-2</v>
      </c>
      <c r="R2788">
        <v>-0.440067599999999</v>
      </c>
      <c r="S2788">
        <v>3.1165769999999999</v>
      </c>
      <c r="T2788">
        <v>-0.28504059999999998</v>
      </c>
      <c r="U2788">
        <v>-0.5135345</v>
      </c>
      <c r="V2788">
        <v>-0.34445110000000001</v>
      </c>
      <c r="W2788">
        <v>5.8885170000000001E-2</v>
      </c>
      <c r="X2788">
        <v>0.93695569999999895</v>
      </c>
      <c r="Y2788">
        <v>-0.59626440000000003</v>
      </c>
      <c r="Z2788">
        <v>8.5666599999999996E-2</v>
      </c>
      <c r="AA2788">
        <v>0.79820419999999903</v>
      </c>
      <c r="AB2788">
        <v>16</v>
      </c>
      <c r="AC2788">
        <v>0.81549999999998501</v>
      </c>
      <c r="AD2788">
        <v>-8.5468000000000099E-2</v>
      </c>
      <c r="AE2788">
        <v>-3.9099999999990503E-2</v>
      </c>
      <c r="AF2788">
        <v>-0.55640982077145995</v>
      </c>
      <c r="AG2788">
        <v>-8.5468000000000099E-2</v>
      </c>
      <c r="AH2788">
        <v>0.58532410332236995</v>
      </c>
      <c r="AI2788">
        <v>96.041203327765402</v>
      </c>
      <c r="AJ2788">
        <v>133.549300943514</v>
      </c>
      <c r="AK2788">
        <v>0.81209665287148303</v>
      </c>
    </row>
    <row r="2789" spans="1:37" x14ac:dyDescent="0.2">
      <c r="A2789" t="str">
        <f>"20200111153703736"</f>
        <v>20200111153703736</v>
      </c>
      <c r="B2789" t="str">
        <f>"1578728223725276"</f>
        <v>1578728223725276</v>
      </c>
      <c r="C2789" t="s">
        <v>37</v>
      </c>
      <c r="D2789">
        <v>5.495654</v>
      </c>
      <c r="E2789">
        <v>0.38207350000000001</v>
      </c>
      <c r="F2789" t="s">
        <v>38</v>
      </c>
      <c r="G2789">
        <v>-482.12270000000001</v>
      </c>
      <c r="H2789">
        <v>1.024276</v>
      </c>
      <c r="I2789">
        <v>220.91149999999999</v>
      </c>
      <c r="J2789">
        <v>-482.91539999999998</v>
      </c>
      <c r="K2789">
        <v>1.1074889999999999</v>
      </c>
      <c r="L2789">
        <v>220.94499999999999</v>
      </c>
      <c r="M2789">
        <v>0.69539779999999995</v>
      </c>
      <c r="N2789">
        <v>0</v>
      </c>
      <c r="O2789">
        <v>-0.71853159999999905</v>
      </c>
      <c r="P2789">
        <v>0.89933369999999901</v>
      </c>
      <c r="Q2789">
        <v>5.0949719999999997E-2</v>
      </c>
      <c r="R2789">
        <v>-0.43428509999999998</v>
      </c>
      <c r="S2789">
        <v>3.1182560000000001</v>
      </c>
      <c r="T2789">
        <v>-0.28521669999999999</v>
      </c>
      <c r="U2789">
        <v>-0.496658299999999</v>
      </c>
      <c r="V2789">
        <v>-0.3446263</v>
      </c>
      <c r="W2789">
        <v>5.951683E-2</v>
      </c>
      <c r="X2789">
        <v>0.93685130000000005</v>
      </c>
      <c r="Y2789">
        <v>-0.59556229999999999</v>
      </c>
      <c r="Z2789">
        <v>8.5462990000000003E-2</v>
      </c>
      <c r="AA2789">
        <v>0.79874999999999996</v>
      </c>
      <c r="AB2789">
        <v>16</v>
      </c>
      <c r="AC2789">
        <v>0.79269999999996799</v>
      </c>
      <c r="AD2789">
        <v>-8.3212999999999898E-2</v>
      </c>
      <c r="AE2789">
        <v>-3.3500000000003603E-2</v>
      </c>
      <c r="AF2789">
        <v>-0.54037673988212298</v>
      </c>
      <c r="AG2789">
        <v>-8.3212999999999898E-2</v>
      </c>
      <c r="AH2789">
        <v>0.56909130208858305</v>
      </c>
      <c r="AI2789">
        <v>96.0526958995233</v>
      </c>
      <c r="AJ2789">
        <v>133.51743722058799</v>
      </c>
      <c r="AK2789">
        <v>0.78917446390992096</v>
      </c>
    </row>
    <row r="2790" spans="1:37" x14ac:dyDescent="0.2">
      <c r="A2790" t="str">
        <f>"20200111153703758"</f>
        <v>20200111153703758</v>
      </c>
      <c r="B2790" t="str">
        <f>"1578728223755533"</f>
        <v>1578728223755533</v>
      </c>
      <c r="C2790" t="s">
        <v>37</v>
      </c>
      <c r="D2790">
        <v>5.4852749999999997</v>
      </c>
      <c r="E2790">
        <v>0.39145180000000002</v>
      </c>
      <c r="F2790" t="s">
        <v>38</v>
      </c>
      <c r="G2790">
        <v>-482.0265</v>
      </c>
      <c r="H2790">
        <v>1.0264879999999901</v>
      </c>
      <c r="I2790">
        <v>220.8082</v>
      </c>
      <c r="J2790">
        <v>-482.80489999999998</v>
      </c>
      <c r="K2790">
        <v>1.107507</v>
      </c>
      <c r="L2790">
        <v>220.8408</v>
      </c>
      <c r="M2790">
        <v>0.69965350000000004</v>
      </c>
      <c r="N2790">
        <v>0</v>
      </c>
      <c r="O2790">
        <v>-0.714391</v>
      </c>
      <c r="P2790">
        <v>0.90182289999999998</v>
      </c>
      <c r="Q2790">
        <v>5.11444E-2</v>
      </c>
      <c r="R2790">
        <v>-0.42906889999999998</v>
      </c>
      <c r="S2790">
        <v>3.119812</v>
      </c>
      <c r="T2790">
        <v>-0.28433730000000002</v>
      </c>
      <c r="U2790">
        <v>-0.480697599999999</v>
      </c>
      <c r="V2790">
        <v>-0.34448779999999901</v>
      </c>
      <c r="W2790">
        <v>5.9536350000000002E-2</v>
      </c>
      <c r="X2790">
        <v>0.93690099999999998</v>
      </c>
      <c r="Y2790">
        <v>-0.59489720000000001</v>
      </c>
      <c r="Z2790">
        <v>8.4952109999999997E-2</v>
      </c>
      <c r="AA2790">
        <v>0.79930000000000001</v>
      </c>
      <c r="AB2790">
        <v>16</v>
      </c>
      <c r="AC2790">
        <v>0.778399999999976</v>
      </c>
      <c r="AD2790">
        <v>-8.1019000000000105E-2</v>
      </c>
      <c r="AE2790">
        <v>-3.26000000000021E-2</v>
      </c>
      <c r="AF2790">
        <v>-0.527602281804882</v>
      </c>
      <c r="AG2790">
        <v>-8.1019000000000105E-2</v>
      </c>
      <c r="AH2790">
        <v>0.56186023856013501</v>
      </c>
      <c r="AI2790">
        <v>96.000751082639297</v>
      </c>
      <c r="AJ2790">
        <v>133.19893778086799</v>
      </c>
      <c r="AK2790">
        <v>0.77499366049121299</v>
      </c>
    </row>
    <row r="2791" spans="1:37" x14ac:dyDescent="0.2">
      <c r="A2791" t="str">
        <f>"20200111153703780"</f>
        <v>20200111153703780</v>
      </c>
      <c r="B2791" t="str">
        <f>"1578728223775937"</f>
        <v>1578728223775937</v>
      </c>
      <c r="C2791" t="s">
        <v>37</v>
      </c>
      <c r="D2791">
        <v>5.455749</v>
      </c>
      <c r="E2791">
        <v>0.39229209999999998</v>
      </c>
      <c r="F2791" t="s">
        <v>38</v>
      </c>
      <c r="G2791">
        <v>-481.93869999999998</v>
      </c>
      <c r="H2791">
        <v>1.0190459999999999</v>
      </c>
      <c r="I2791">
        <v>220.6917</v>
      </c>
      <c r="J2791">
        <v>-482.69400000000002</v>
      </c>
      <c r="K2791">
        <v>1.1075139999999899</v>
      </c>
      <c r="L2791">
        <v>220.73759999999999</v>
      </c>
      <c r="M2791">
        <v>0.70390819999999998</v>
      </c>
      <c r="N2791">
        <v>0</v>
      </c>
      <c r="O2791">
        <v>-0.71020169999999905</v>
      </c>
      <c r="P2791">
        <v>0.90419139999999998</v>
      </c>
      <c r="Q2791">
        <v>5.1409129999999997E-2</v>
      </c>
      <c r="R2791">
        <v>-0.42402299999999998</v>
      </c>
      <c r="S2791">
        <v>3.0913089999999999</v>
      </c>
      <c r="T2791">
        <v>-0.31568279999999999</v>
      </c>
      <c r="U2791">
        <v>-0.53210449999999998</v>
      </c>
      <c r="V2791">
        <v>-0.34412340000000002</v>
      </c>
      <c r="W2791">
        <v>5.9617259999999998E-2</v>
      </c>
      <c r="X2791">
        <v>0.93702980000000002</v>
      </c>
      <c r="Y2791">
        <v>-0.57485120000000001</v>
      </c>
      <c r="Z2791">
        <v>9.361295E-2</v>
      </c>
      <c r="AA2791">
        <v>0.81288539999999998</v>
      </c>
      <c r="AB2791">
        <v>16</v>
      </c>
      <c r="AC2791">
        <v>0.75530000000003295</v>
      </c>
      <c r="AD2791">
        <v>-8.8467999999999894E-2</v>
      </c>
      <c r="AE2791">
        <v>-4.5899999999988901E-2</v>
      </c>
      <c r="AF2791">
        <v>-0.497339846421053</v>
      </c>
      <c r="AG2791">
        <v>-8.8467999999999894E-2</v>
      </c>
      <c r="AH2791">
        <v>0.55668662096893096</v>
      </c>
      <c r="AI2791">
        <v>96.758713507924199</v>
      </c>
      <c r="AJ2791">
        <v>131.777373846801</v>
      </c>
      <c r="AK2791">
        <v>0.75171371134756104</v>
      </c>
    </row>
    <row r="2792" spans="1:37" x14ac:dyDescent="0.2">
      <c r="A2792" t="str">
        <f>"20200111153703803"</f>
        <v>20200111153703803</v>
      </c>
      <c r="B2792" t="str">
        <f>"1578728223795458"</f>
        <v>1578728223795458</v>
      </c>
      <c r="C2792" t="s">
        <v>37</v>
      </c>
      <c r="D2792">
        <v>5.4868589999999999</v>
      </c>
      <c r="E2792">
        <v>0.39251149999999901</v>
      </c>
      <c r="F2792" t="s">
        <v>38</v>
      </c>
      <c r="G2792">
        <v>-481.68920000000003</v>
      </c>
      <c r="H2792">
        <v>1.005463</v>
      </c>
      <c r="I2792">
        <v>220.56809999999999</v>
      </c>
      <c r="J2792">
        <v>-482.56959999999998</v>
      </c>
      <c r="K2792">
        <v>1.107515</v>
      </c>
      <c r="L2792">
        <v>220.6234</v>
      </c>
      <c r="M2792">
        <v>0.70866580000000001</v>
      </c>
      <c r="N2792">
        <v>0</v>
      </c>
      <c r="O2792">
        <v>-0.70545760000000002</v>
      </c>
      <c r="P2792">
        <v>0.90674319999999897</v>
      </c>
      <c r="Q2792">
        <v>5.1685349999999998E-2</v>
      </c>
      <c r="R2792">
        <v>-0.41850419999999999</v>
      </c>
      <c r="S2792">
        <v>3.0915219999999999</v>
      </c>
      <c r="T2792">
        <v>-0.31385809999999997</v>
      </c>
      <c r="U2792">
        <v>-0.52069089999999996</v>
      </c>
      <c r="V2792">
        <v>-0.34353240000000002</v>
      </c>
      <c r="W2792">
        <v>5.9688190000000002E-2</v>
      </c>
      <c r="X2792">
        <v>0.93724209999999997</v>
      </c>
      <c r="Y2792">
        <v>-0.57238250000000002</v>
      </c>
      <c r="Z2792">
        <v>9.2685480000000001E-2</v>
      </c>
      <c r="AA2792">
        <v>0.81473169999999995</v>
      </c>
      <c r="AB2792">
        <v>16</v>
      </c>
      <c r="AC2792">
        <v>0.880399999999951</v>
      </c>
      <c r="AD2792">
        <v>-0.102052</v>
      </c>
      <c r="AE2792">
        <v>-5.5300000000016697E-2</v>
      </c>
      <c r="AF2792">
        <v>-0.57424578084767897</v>
      </c>
      <c r="AG2792">
        <v>-0.102052</v>
      </c>
      <c r="AH2792">
        <v>0.654206104854412</v>
      </c>
      <c r="AI2792">
        <v>96.686594912635897</v>
      </c>
      <c r="AJ2792">
        <v>131.27585298296799</v>
      </c>
      <c r="AK2792">
        <v>0.87644649303545197</v>
      </c>
    </row>
    <row r="2793" spans="1:37" x14ac:dyDescent="0.2">
      <c r="A2793" t="str">
        <f>"20200111153703825"</f>
        <v>20200111153703825</v>
      </c>
      <c r="B2793" t="str">
        <f>"1578728223815953"</f>
        <v>1578728223815953</v>
      </c>
      <c r="C2793" t="s">
        <v>37</v>
      </c>
      <c r="D2793">
        <v>5.4925980000000001</v>
      </c>
      <c r="E2793">
        <v>0.39329350000000002</v>
      </c>
      <c r="F2793" t="s">
        <v>38</v>
      </c>
      <c r="G2793">
        <v>-481.59129999999999</v>
      </c>
      <c r="H2793">
        <v>1.0079039999999999</v>
      </c>
      <c r="I2793">
        <v>220.464</v>
      </c>
      <c r="J2793">
        <v>-482.45159999999998</v>
      </c>
      <c r="K2793">
        <v>1.1075120000000001</v>
      </c>
      <c r="L2793">
        <v>220.51650000000001</v>
      </c>
      <c r="M2793">
        <v>0.71314239999999995</v>
      </c>
      <c r="N2793">
        <v>0</v>
      </c>
      <c r="O2793">
        <v>-0.70093459999999996</v>
      </c>
      <c r="P2793">
        <v>0.90907839999999995</v>
      </c>
      <c r="Q2793">
        <v>5.1277730000000001E-2</v>
      </c>
      <c r="R2793">
        <v>-0.4134582</v>
      </c>
      <c r="S2793">
        <v>3.0939329999999998</v>
      </c>
      <c r="T2793">
        <v>-0.31496940000000001</v>
      </c>
      <c r="U2793">
        <v>-0.50375369999999997</v>
      </c>
      <c r="V2793">
        <v>-0.34279130000000002</v>
      </c>
      <c r="W2793">
        <v>5.9099390000000002E-2</v>
      </c>
      <c r="X2793">
        <v>0.93755069999999996</v>
      </c>
      <c r="Y2793">
        <v>-0.57160500000000003</v>
      </c>
      <c r="Z2793">
        <v>9.2675480000000005E-2</v>
      </c>
      <c r="AA2793">
        <v>0.81527850000000002</v>
      </c>
      <c r="AB2793">
        <v>16</v>
      </c>
      <c r="AC2793">
        <v>0.86029999999999496</v>
      </c>
      <c r="AD2793">
        <v>-9.9607999999999905E-2</v>
      </c>
      <c r="AE2793">
        <v>-5.2499999999980597E-2</v>
      </c>
      <c r="AF2793">
        <v>-0.55815294925074699</v>
      </c>
      <c r="AG2793">
        <v>-9.9607999999999905E-2</v>
      </c>
      <c r="AH2793">
        <v>0.64178243796620504</v>
      </c>
      <c r="AI2793">
        <v>96.679562442108605</v>
      </c>
      <c r="AJ2793">
        <v>131.013217814711</v>
      </c>
      <c r="AK2793">
        <v>0.85635341191773995</v>
      </c>
    </row>
    <row r="2794" spans="1:37" x14ac:dyDescent="0.2">
      <c r="A2794" t="str">
        <f>"20200111153703848"</f>
        <v>20200111153703848</v>
      </c>
      <c r="B2794" t="str">
        <f>"1578728223835472"</f>
        <v>1578728223835472</v>
      </c>
      <c r="C2794" t="s">
        <v>37</v>
      </c>
      <c r="D2794">
        <v>5.4971439999999996</v>
      </c>
      <c r="E2794">
        <v>0.39429439999999999</v>
      </c>
      <c r="F2794" t="s">
        <v>38</v>
      </c>
      <c r="G2794">
        <v>-481.49029999999999</v>
      </c>
      <c r="H2794">
        <v>1.009172</v>
      </c>
      <c r="I2794">
        <v>220.36340000000001</v>
      </c>
      <c r="J2794">
        <v>-482.33479999999997</v>
      </c>
      <c r="K2794">
        <v>1.107504</v>
      </c>
      <c r="L2794">
        <v>220.41210000000001</v>
      </c>
      <c r="M2794">
        <v>0.71754180000000001</v>
      </c>
      <c r="N2794">
        <v>0</v>
      </c>
      <c r="O2794">
        <v>-0.69643330000000003</v>
      </c>
      <c r="P2794">
        <v>0.91133120000000001</v>
      </c>
      <c r="Q2794">
        <v>5.1604709999999998E-2</v>
      </c>
      <c r="R2794">
        <v>-0.40842699999999998</v>
      </c>
      <c r="S2794">
        <v>3.0941160000000001</v>
      </c>
      <c r="T2794">
        <v>-0.31646360000000001</v>
      </c>
      <c r="U2794">
        <v>-0.4921875</v>
      </c>
      <c r="V2794">
        <v>-0.34206209999999998</v>
      </c>
      <c r="W2794">
        <v>5.925217E-2</v>
      </c>
      <c r="X2794">
        <v>0.93780739999999996</v>
      </c>
      <c r="Y2794">
        <v>-0.56940100000000005</v>
      </c>
      <c r="Z2794">
        <v>9.2741859999999995E-2</v>
      </c>
      <c r="AA2794">
        <v>0.81681179999999998</v>
      </c>
      <c r="AB2794">
        <v>16</v>
      </c>
      <c r="AC2794">
        <v>0.84449999999998204</v>
      </c>
      <c r="AD2794">
        <v>-9.8332000000000003E-2</v>
      </c>
      <c r="AE2794">
        <v>-4.86999999999966E-2</v>
      </c>
      <c r="AF2794">
        <v>-0.54584928112730902</v>
      </c>
      <c r="AG2794">
        <v>-9.8332000000000003E-2</v>
      </c>
      <c r="AH2794">
        <v>0.63138511941054398</v>
      </c>
      <c r="AI2794">
        <v>96.719373328858794</v>
      </c>
      <c r="AJ2794">
        <v>130.84428935881999</v>
      </c>
      <c r="AK2794">
        <v>0.84039739941545999</v>
      </c>
    </row>
    <row r="2795" spans="1:37" x14ac:dyDescent="0.2">
      <c r="A2795" t="str">
        <f>"20200111153703869"</f>
        <v>20200111153703869</v>
      </c>
      <c r="B2795" t="str">
        <f>"1578728223865729"</f>
        <v>1578728223865729</v>
      </c>
      <c r="C2795" t="s">
        <v>37</v>
      </c>
      <c r="D2795">
        <v>5.5130800000000004</v>
      </c>
      <c r="E2795">
        <v>0.39548749999999999</v>
      </c>
      <c r="F2795" t="s">
        <v>38</v>
      </c>
      <c r="G2795">
        <v>-481.38760000000002</v>
      </c>
      <c r="H2795">
        <v>1.0108619999999999</v>
      </c>
      <c r="I2795">
        <v>220.2645</v>
      </c>
      <c r="J2795">
        <v>-482.21559999999999</v>
      </c>
      <c r="K2795">
        <v>1.1074919999999999</v>
      </c>
      <c r="L2795">
        <v>220.30690000000001</v>
      </c>
      <c r="M2795">
        <v>0.72199480000000005</v>
      </c>
      <c r="N2795">
        <v>0</v>
      </c>
      <c r="O2795">
        <v>-0.69181840000000006</v>
      </c>
      <c r="P2795">
        <v>0.91380049999999902</v>
      </c>
      <c r="Q2795">
        <v>5.215264E-2</v>
      </c>
      <c r="R2795">
        <v>-0.40280139999999998</v>
      </c>
      <c r="S2795">
        <v>3.0936889999999999</v>
      </c>
      <c r="T2795">
        <v>-0.31567899999999999</v>
      </c>
      <c r="U2795">
        <v>-0.48223879999999902</v>
      </c>
      <c r="V2795">
        <v>-0.34181240000000002</v>
      </c>
      <c r="W2795">
        <v>5.961251E-2</v>
      </c>
      <c r="X2795">
        <v>0.93787559999999903</v>
      </c>
      <c r="Y2795">
        <v>-0.5667394</v>
      </c>
      <c r="Z2795">
        <v>9.2119010000000001E-2</v>
      </c>
      <c r="AA2795">
        <v>0.81873109999999905</v>
      </c>
      <c r="AB2795">
        <v>16</v>
      </c>
      <c r="AC2795">
        <v>0.82799999999997398</v>
      </c>
      <c r="AD2795">
        <v>-9.6629999999999702E-2</v>
      </c>
      <c r="AE2795">
        <v>-4.2400000000014801E-2</v>
      </c>
      <c r="AF2795">
        <v>-0.53497601410850004</v>
      </c>
      <c r="AG2795">
        <v>-9.6629999999999702E-2</v>
      </c>
      <c r="AH2795">
        <v>0.61877414965939903</v>
      </c>
      <c r="AI2795">
        <v>96.737320098009405</v>
      </c>
      <c r="AJ2795">
        <v>130.84583943744201</v>
      </c>
      <c r="AK2795">
        <v>0.82366142367973705</v>
      </c>
    </row>
    <row r="2796" spans="1:37" x14ac:dyDescent="0.2">
      <c r="A2796" t="str">
        <f>"20200111153703892"</f>
        <v>20200111153703892</v>
      </c>
      <c r="B2796" t="str">
        <f>"1578728223885920"</f>
        <v>1578728223885920</v>
      </c>
      <c r="C2796" t="s">
        <v>37</v>
      </c>
      <c r="D2796">
        <v>5.5451879999999996</v>
      </c>
      <c r="E2796">
        <v>0.39574389999999998</v>
      </c>
      <c r="F2796" t="s">
        <v>38</v>
      </c>
      <c r="G2796">
        <v>-481.28460000000001</v>
      </c>
      <c r="H2796">
        <v>1.012408</v>
      </c>
      <c r="I2796">
        <v>220.16460000000001</v>
      </c>
      <c r="J2796">
        <v>-482.09179999999998</v>
      </c>
      <c r="K2796">
        <v>1.107491</v>
      </c>
      <c r="L2796">
        <v>220.19909999999999</v>
      </c>
      <c r="M2796">
        <v>0.72658109999999998</v>
      </c>
      <c r="N2796">
        <v>0</v>
      </c>
      <c r="O2796">
        <v>-0.68700280000000002</v>
      </c>
      <c r="P2796">
        <v>0.91624219999999901</v>
      </c>
      <c r="Q2796">
        <v>5.1934859999999999E-2</v>
      </c>
      <c r="R2796">
        <v>-0.3972445</v>
      </c>
      <c r="S2796">
        <v>3.0928040000000001</v>
      </c>
      <c r="T2796">
        <v>-0.31578329999999999</v>
      </c>
      <c r="U2796">
        <v>-0.47224430000000001</v>
      </c>
      <c r="V2796">
        <v>-0.34128049999999999</v>
      </c>
      <c r="W2796">
        <v>5.9200290000000003E-2</v>
      </c>
      <c r="X2796">
        <v>0.93809540000000002</v>
      </c>
      <c r="Y2796">
        <v>-0.56384230000000002</v>
      </c>
      <c r="Z2796">
        <v>9.1738319999999998E-2</v>
      </c>
      <c r="AA2796">
        <v>0.82077160000000005</v>
      </c>
      <c r="AB2796">
        <v>16</v>
      </c>
      <c r="AC2796">
        <v>0.80719999999996594</v>
      </c>
      <c r="AD2796">
        <v>-9.5083000000000001E-2</v>
      </c>
      <c r="AE2796">
        <v>-3.4499999999979901E-2</v>
      </c>
      <c r="AF2796">
        <v>-0.52227641123280399</v>
      </c>
      <c r="AG2796">
        <v>-9.5083000000000001E-2</v>
      </c>
      <c r="AH2796">
        <v>0.60189427051889399</v>
      </c>
      <c r="AI2796">
        <v>96.804143263994007</v>
      </c>
      <c r="AJ2796">
        <v>130.94886879608299</v>
      </c>
      <c r="AK2796">
        <v>0.802552265900913</v>
      </c>
    </row>
    <row r="2797" spans="1:37" x14ac:dyDescent="0.2">
      <c r="A2797" t="str">
        <f>"20200111153703915"</f>
        <v>20200111153703915</v>
      </c>
      <c r="B2797" t="str">
        <f>"1578728223905439"</f>
        <v>1578728223905439</v>
      </c>
      <c r="C2797" t="s">
        <v>37</v>
      </c>
      <c r="D2797">
        <v>5.5149480000000004</v>
      </c>
      <c r="E2797">
        <v>0.40158159999999998</v>
      </c>
      <c r="F2797" t="s">
        <v>38</v>
      </c>
      <c r="G2797">
        <v>-481.18049999999999</v>
      </c>
      <c r="H2797">
        <v>1.0141659999999999</v>
      </c>
      <c r="I2797">
        <v>220.0651</v>
      </c>
      <c r="J2797">
        <v>-481.96449999999999</v>
      </c>
      <c r="K2797">
        <v>1.107502</v>
      </c>
      <c r="L2797">
        <v>220.0898</v>
      </c>
      <c r="M2797">
        <v>0.73125830000000003</v>
      </c>
      <c r="N2797">
        <v>0</v>
      </c>
      <c r="O2797">
        <v>-0.68202529999999995</v>
      </c>
      <c r="P2797">
        <v>0.91873579999999999</v>
      </c>
      <c r="Q2797">
        <v>5.1804940000000001E-2</v>
      </c>
      <c r="R2797">
        <v>-0.39145990000000003</v>
      </c>
      <c r="S2797">
        <v>3.0949399999999998</v>
      </c>
      <c r="T2797">
        <v>-0.31696350000000001</v>
      </c>
      <c r="U2797">
        <v>-0.45507809999999999</v>
      </c>
      <c r="V2797">
        <v>-0.34079499999999902</v>
      </c>
      <c r="W2797">
        <v>5.8869459999999998E-2</v>
      </c>
      <c r="X2797">
        <v>0.93829269999999998</v>
      </c>
      <c r="Y2797">
        <v>-0.56273629999999997</v>
      </c>
      <c r="Z2797">
        <v>9.1682219999999995E-2</v>
      </c>
      <c r="AA2797">
        <v>0.8215365</v>
      </c>
      <c r="AB2797">
        <v>16</v>
      </c>
      <c r="AC2797">
        <v>0.78399999999999104</v>
      </c>
      <c r="AD2797">
        <v>-9.3336000000000002E-2</v>
      </c>
      <c r="AE2797">
        <v>-2.4699999999995701E-2</v>
      </c>
      <c r="AF2797">
        <v>-0.50945883565135097</v>
      </c>
      <c r="AG2797">
        <v>-9.3336000000000002E-2</v>
      </c>
      <c r="AH2797">
        <v>0.58194307965403702</v>
      </c>
      <c r="AI2797">
        <v>96.880997622243001</v>
      </c>
      <c r="AJ2797">
        <v>131.200344502782</v>
      </c>
      <c r="AK2797">
        <v>0.77904920388666998</v>
      </c>
    </row>
    <row r="2798" spans="1:37" x14ac:dyDescent="0.2">
      <c r="A2798" t="str">
        <f>"20200111153703937"</f>
        <v>20200111153703937</v>
      </c>
      <c r="B2798" t="str">
        <f>"1578728223935693"</f>
        <v>1578728223935693</v>
      </c>
      <c r="C2798" t="s">
        <v>37</v>
      </c>
      <c r="D2798">
        <v>5.5190479999999997</v>
      </c>
      <c r="E2798">
        <v>0.40202850000000001</v>
      </c>
      <c r="F2798" t="s">
        <v>38</v>
      </c>
      <c r="G2798">
        <v>-481.08330000000001</v>
      </c>
      <c r="H2798">
        <v>1.0143719999999901</v>
      </c>
      <c r="I2798">
        <v>219.95259999999999</v>
      </c>
      <c r="J2798">
        <v>-481.83940000000001</v>
      </c>
      <c r="K2798">
        <v>1.1075250000000001</v>
      </c>
      <c r="L2798">
        <v>219.9838</v>
      </c>
      <c r="M2798">
        <v>0.73582009999999998</v>
      </c>
      <c r="N2798">
        <v>0</v>
      </c>
      <c r="O2798">
        <v>-0.67710389999999998</v>
      </c>
      <c r="P2798">
        <v>0.92112090000000002</v>
      </c>
      <c r="Q2798">
        <v>5.2230970000000002E-2</v>
      </c>
      <c r="R2798">
        <v>-0.38575709999999902</v>
      </c>
      <c r="S2798">
        <v>3.0796809999999999</v>
      </c>
      <c r="T2798">
        <v>-0.32544709999999899</v>
      </c>
      <c r="U2798">
        <v>-0.47874449999999902</v>
      </c>
      <c r="V2798">
        <v>-0.34030589999999999</v>
      </c>
      <c r="W2798">
        <v>5.9096530000000001E-2</v>
      </c>
      <c r="X2798">
        <v>0.93845590000000001</v>
      </c>
      <c r="Y2798">
        <v>-0.55011869999999996</v>
      </c>
      <c r="Z2798">
        <v>9.3464420000000006E-2</v>
      </c>
      <c r="AA2798">
        <v>0.82983969999999996</v>
      </c>
      <c r="AB2798">
        <v>16</v>
      </c>
      <c r="AC2798">
        <v>0.75610000000000299</v>
      </c>
      <c r="AD2798">
        <v>-9.3153000000000194E-2</v>
      </c>
      <c r="AE2798">
        <v>-3.1200000000012499E-2</v>
      </c>
      <c r="AF2798">
        <v>-0.48172535468281402</v>
      </c>
      <c r="AG2798">
        <v>-9.3153000000000194E-2</v>
      </c>
      <c r="AH2798">
        <v>0.56888752480522498</v>
      </c>
      <c r="AI2798">
        <v>97.122899801996695</v>
      </c>
      <c r="AJ2798">
        <v>130.25742174287501</v>
      </c>
      <c r="AK2798">
        <v>0.75124550889326402</v>
      </c>
    </row>
    <row r="2799" spans="1:37" x14ac:dyDescent="0.2">
      <c r="A2799" t="str">
        <f>"20200111153703962"</f>
        <v>20200111153703962</v>
      </c>
      <c r="B2799" t="str">
        <f>"1578728223955216"</f>
        <v>1578728223955216</v>
      </c>
      <c r="C2799" t="s">
        <v>37</v>
      </c>
      <c r="D2799">
        <v>5.6140819999999998</v>
      </c>
      <c r="E2799">
        <v>0.4046245</v>
      </c>
      <c r="F2799" t="s">
        <v>38</v>
      </c>
      <c r="G2799">
        <v>-480.97680000000003</v>
      </c>
      <c r="H2799">
        <v>1.0171030000000001</v>
      </c>
      <c r="I2799">
        <v>219.85400000000001</v>
      </c>
      <c r="J2799">
        <v>-481.70979999999997</v>
      </c>
      <c r="K2799">
        <v>1.107558</v>
      </c>
      <c r="L2799">
        <v>219.87559999999999</v>
      </c>
      <c r="M2799">
        <v>0.74052510000000005</v>
      </c>
      <c r="N2799">
        <v>0</v>
      </c>
      <c r="O2799">
        <v>-0.67195740000000004</v>
      </c>
      <c r="P2799">
        <v>0.9236856</v>
      </c>
      <c r="Q2799">
        <v>5.2927950000000001E-2</v>
      </c>
      <c r="R2799">
        <v>-0.379478599999999</v>
      </c>
      <c r="S2799">
        <v>3.0812680000000001</v>
      </c>
      <c r="T2799">
        <v>-0.32294709999999899</v>
      </c>
      <c r="U2799">
        <v>-0.46310420000000002</v>
      </c>
      <c r="V2799">
        <v>-0.3401342</v>
      </c>
      <c r="W2799">
        <v>5.957871E-2</v>
      </c>
      <c r="X2799">
        <v>0.93848759999999998</v>
      </c>
      <c r="Y2799">
        <v>-0.5486105</v>
      </c>
      <c r="Z2799">
        <v>9.2314289999999993E-2</v>
      </c>
      <c r="AA2799">
        <v>0.83096610000000004</v>
      </c>
      <c r="AB2799">
        <v>17</v>
      </c>
      <c r="AC2799">
        <v>0.73299999999994703</v>
      </c>
      <c r="AD2799">
        <v>-9.0454999999999897E-2</v>
      </c>
      <c r="AE2799">
        <v>-2.1599999999978001E-2</v>
      </c>
      <c r="AF2799">
        <v>-0.46942975718309199</v>
      </c>
      <c r="AG2799">
        <v>-9.0454999999999897E-2</v>
      </c>
      <c r="AH2799">
        <v>0.548992798811617</v>
      </c>
      <c r="AI2799">
        <v>97.137826867882197</v>
      </c>
      <c r="AJ2799">
        <v>130.53290918986201</v>
      </c>
      <c r="AK2799">
        <v>0.72796943418043902</v>
      </c>
    </row>
    <row r="2800" spans="1:37" x14ac:dyDescent="0.2">
      <c r="A2800" t="str">
        <f>"20200111153703984"</f>
        <v>20200111153703984</v>
      </c>
      <c r="B2800" t="str">
        <f>"1578728223975709"</f>
        <v>1578728223975709</v>
      </c>
      <c r="C2800" t="s">
        <v>37</v>
      </c>
      <c r="D2800">
        <v>5.6620889999999999</v>
      </c>
      <c r="E2800">
        <v>0.4062479</v>
      </c>
      <c r="F2800" t="s">
        <v>38</v>
      </c>
      <c r="G2800">
        <v>-480.721</v>
      </c>
      <c r="H2800">
        <v>1.0021439999999999</v>
      </c>
      <c r="I2800">
        <v>219.72710000000001</v>
      </c>
      <c r="J2800">
        <v>-481.58010000000002</v>
      </c>
      <c r="K2800">
        <v>1.107604</v>
      </c>
      <c r="L2800">
        <v>219.76900000000001</v>
      </c>
      <c r="M2800">
        <v>0.74520920000000002</v>
      </c>
      <c r="N2800">
        <v>0</v>
      </c>
      <c r="O2800">
        <v>-0.66676159999999995</v>
      </c>
      <c r="P2800">
        <v>0.92611659999999996</v>
      </c>
      <c r="Q2800">
        <v>5.3991230000000001E-2</v>
      </c>
      <c r="R2800">
        <v>-0.3733534</v>
      </c>
      <c r="S2800">
        <v>3.07693499999999</v>
      </c>
      <c r="T2800">
        <v>-0.3279958</v>
      </c>
      <c r="U2800">
        <v>-0.46168519999999902</v>
      </c>
      <c r="V2800">
        <v>-0.33975749999999999</v>
      </c>
      <c r="W2800">
        <v>6.0424529999999997E-2</v>
      </c>
      <c r="X2800">
        <v>0.93857000000000002</v>
      </c>
      <c r="Y2800">
        <v>-0.54282019999999997</v>
      </c>
      <c r="Z2800">
        <v>9.3190010000000004E-2</v>
      </c>
      <c r="AA2800">
        <v>0.83466269999999998</v>
      </c>
      <c r="AB2800">
        <v>17</v>
      </c>
      <c r="AC2800">
        <v>0.85910000000001197</v>
      </c>
      <c r="AD2800">
        <v>-0.105459999999999</v>
      </c>
      <c r="AE2800">
        <v>-4.1899999999998203E-2</v>
      </c>
      <c r="AF2800">
        <v>-0.533593885941404</v>
      </c>
      <c r="AG2800">
        <v>-0.105459999999999</v>
      </c>
      <c r="AH2800">
        <v>0.65828116173208695</v>
      </c>
      <c r="AI2800">
        <v>97.094205466459002</v>
      </c>
      <c r="AJ2800">
        <v>129.02776107333801</v>
      </c>
      <c r="AK2800">
        <v>0.85391939584798904</v>
      </c>
    </row>
    <row r="2801" spans="1:37" x14ac:dyDescent="0.2">
      <c r="A2801" t="str">
        <f>"20200111153704005"</f>
        <v>20200111153704005</v>
      </c>
      <c r="B2801" t="str">
        <f>"1578728223995230"</f>
        <v>1578728223995230</v>
      </c>
      <c r="C2801" t="s">
        <v>37</v>
      </c>
      <c r="D2801">
        <v>5.6729839999999996</v>
      </c>
      <c r="E2801">
        <v>0.41689999999999999</v>
      </c>
      <c r="F2801" t="s">
        <v>38</v>
      </c>
      <c r="G2801">
        <v>-480.61360000000002</v>
      </c>
      <c r="H2801">
        <v>1.0042199999999999</v>
      </c>
      <c r="I2801">
        <v>219.62610000000001</v>
      </c>
      <c r="J2801">
        <v>-481.45530000000002</v>
      </c>
      <c r="K2801">
        <v>1.1076489999999899</v>
      </c>
      <c r="L2801">
        <v>219.6679</v>
      </c>
      <c r="M2801">
        <v>0.74969069999999904</v>
      </c>
      <c r="N2801">
        <v>0</v>
      </c>
      <c r="O2801">
        <v>-0.66172119999999901</v>
      </c>
      <c r="P2801">
        <v>0.92841359999999995</v>
      </c>
      <c r="Q2801">
        <v>5.4764399999999998E-2</v>
      </c>
      <c r="R2801">
        <v>-0.3674906</v>
      </c>
      <c r="S2801">
        <v>3.0756839999999999</v>
      </c>
      <c r="T2801">
        <v>-0.32886359999999998</v>
      </c>
      <c r="U2801">
        <v>-0.45349119999999998</v>
      </c>
      <c r="V2801">
        <v>-0.33934419999999998</v>
      </c>
      <c r="W2801">
        <v>6.0994720000000002E-2</v>
      </c>
      <c r="X2801">
        <v>0.93868269999999998</v>
      </c>
      <c r="Y2801">
        <v>-0.53929309999999997</v>
      </c>
      <c r="Z2801">
        <v>9.2936500000000005E-2</v>
      </c>
      <c r="AA2801">
        <v>0.8369742</v>
      </c>
      <c r="AB2801">
        <v>17</v>
      </c>
      <c r="AC2801">
        <v>0.841700000000003</v>
      </c>
      <c r="AD2801">
        <v>-0.10342899999999899</v>
      </c>
      <c r="AE2801">
        <v>-4.1799999999994897E-2</v>
      </c>
      <c r="AF2801">
        <v>-0.51785675638613304</v>
      </c>
      <c r="AG2801">
        <v>-0.10342899999999899</v>
      </c>
      <c r="AH2801">
        <v>0.64892932159255201</v>
      </c>
      <c r="AI2801">
        <v>97.101234073554593</v>
      </c>
      <c r="AJ2801">
        <v>128.59046902041399</v>
      </c>
      <c r="AK2801">
        <v>0.83664953391389496</v>
      </c>
    </row>
    <row r="2802" spans="1:37" x14ac:dyDescent="0.2">
      <c r="A2802" t="str">
        <f>"20200111153704028"</f>
        <v>20200111153704028</v>
      </c>
      <c r="B2802" t="str">
        <f>"1578728224015726"</f>
        <v>1578728224015726</v>
      </c>
      <c r="C2802" t="s">
        <v>37</v>
      </c>
      <c r="D2802">
        <v>5.6499860000000002</v>
      </c>
      <c r="E2802">
        <v>0.41601579999999899</v>
      </c>
      <c r="F2802" t="s">
        <v>38</v>
      </c>
      <c r="G2802">
        <v>-480.51409999999998</v>
      </c>
      <c r="H2802">
        <v>1.000669</v>
      </c>
      <c r="I2802">
        <v>219.50919999999999</v>
      </c>
      <c r="J2802">
        <v>-481.325999999999</v>
      </c>
      <c r="K2802">
        <v>1.1076900000000001</v>
      </c>
      <c r="L2802">
        <v>219.56479999999999</v>
      </c>
      <c r="M2802">
        <v>0.754308599999999</v>
      </c>
      <c r="N2802">
        <v>0</v>
      </c>
      <c r="O2802">
        <v>-0.65645500000000001</v>
      </c>
      <c r="P2802">
        <v>0.93065259999999905</v>
      </c>
      <c r="Q2802">
        <v>5.5793040000000002E-2</v>
      </c>
      <c r="R2802">
        <v>-0.361626</v>
      </c>
      <c r="S2802">
        <v>3.0482179999999999</v>
      </c>
      <c r="T2802">
        <v>-0.34651779999999999</v>
      </c>
      <c r="U2802">
        <v>-0.51405329999999905</v>
      </c>
      <c r="V2802">
        <v>-0.33866629999999998</v>
      </c>
      <c r="W2802">
        <v>6.181714E-2</v>
      </c>
      <c r="X2802">
        <v>0.93887359999999898</v>
      </c>
      <c r="Y2802">
        <v>-0.51532690000000003</v>
      </c>
      <c r="Z2802">
        <v>9.6719159999999998E-2</v>
      </c>
      <c r="AA2802">
        <v>0.85151849999999996</v>
      </c>
      <c r="AB2802">
        <v>17</v>
      </c>
      <c r="AC2802">
        <v>0.81189999999997997</v>
      </c>
      <c r="AD2802">
        <v>-0.10702100000000001</v>
      </c>
      <c r="AE2802">
        <v>-5.5599999999998297E-2</v>
      </c>
      <c r="AF2802">
        <v>-0.48270913925599102</v>
      </c>
      <c r="AG2802">
        <v>-0.10702100000000001</v>
      </c>
      <c r="AH2802">
        <v>0.637917466010823</v>
      </c>
      <c r="AI2802">
        <v>97.619888853789405</v>
      </c>
      <c r="AJ2802">
        <v>127.114621111872</v>
      </c>
      <c r="AK2802">
        <v>0.80709373743322399</v>
      </c>
    </row>
    <row r="2803" spans="1:37" x14ac:dyDescent="0.2">
      <c r="A2803" t="str">
        <f>"20200111153704049"</f>
        <v>20200111153704049</v>
      </c>
      <c r="B2803" t="str">
        <f>"1578728224045982"</f>
        <v>1578728224045982</v>
      </c>
      <c r="C2803" t="s">
        <v>37</v>
      </c>
      <c r="D2803">
        <v>5.6745599999999996</v>
      </c>
      <c r="E2803">
        <v>0.4159447</v>
      </c>
      <c r="F2803" t="s">
        <v>38</v>
      </c>
      <c r="G2803">
        <v>-480.3999</v>
      </c>
      <c r="H2803">
        <v>1.0028459999999999</v>
      </c>
      <c r="I2803">
        <v>219.41669999999999</v>
      </c>
      <c r="J2803">
        <v>-481.19819999999999</v>
      </c>
      <c r="K2803">
        <v>1.1077349999999999</v>
      </c>
      <c r="L2803">
        <v>219.46430000000001</v>
      </c>
      <c r="M2803">
        <v>0.75886129999999996</v>
      </c>
      <c r="N2803">
        <v>0</v>
      </c>
      <c r="O2803">
        <v>-0.65118889999999996</v>
      </c>
      <c r="P2803">
        <v>0.9327472</v>
      </c>
      <c r="Q2803">
        <v>5.6501530000000001E-2</v>
      </c>
      <c r="R2803">
        <v>-0.35607559999999999</v>
      </c>
      <c r="S2803">
        <v>3.0546259999999998</v>
      </c>
      <c r="T2803">
        <v>-0.34575079999999903</v>
      </c>
      <c r="U2803">
        <v>-0.4880524</v>
      </c>
      <c r="V2803">
        <v>-0.33770840000000002</v>
      </c>
      <c r="W2803">
        <v>6.2316379999999998E-2</v>
      </c>
      <c r="X2803">
        <v>0.93918570000000001</v>
      </c>
      <c r="Y2803">
        <v>-0.51678590000000002</v>
      </c>
      <c r="Z2803">
        <v>9.6075740000000007E-2</v>
      </c>
      <c r="AA2803">
        <v>0.85070669999999904</v>
      </c>
      <c r="AB2803">
        <v>17</v>
      </c>
      <c r="AC2803">
        <v>0.79829999999998302</v>
      </c>
      <c r="AD2803">
        <v>-0.104889</v>
      </c>
      <c r="AE2803">
        <v>-4.76000000000169E-2</v>
      </c>
      <c r="AF2803">
        <v>-0.47556151850471101</v>
      </c>
      <c r="AG2803">
        <v>-0.104889</v>
      </c>
      <c r="AH2803">
        <v>0.62605231638959402</v>
      </c>
      <c r="AI2803">
        <v>97.599168473417805</v>
      </c>
      <c r="AJ2803">
        <v>127.22101064246699</v>
      </c>
      <c r="AK2803">
        <v>0.79315948147915605</v>
      </c>
    </row>
    <row r="2804" spans="1:37" x14ac:dyDescent="0.2">
      <c r="A2804" t="str">
        <f>"20200111153704071"</f>
        <v>20200111153704071</v>
      </c>
      <c r="B2804" t="str">
        <f>"1578728224065501"</f>
        <v>1578728224065501</v>
      </c>
      <c r="C2804" t="s">
        <v>37</v>
      </c>
      <c r="D2804">
        <v>5.6971400000000001</v>
      </c>
      <c r="E2804">
        <v>0.41916709999999902</v>
      </c>
      <c r="F2804" t="s">
        <v>38</v>
      </c>
      <c r="G2804">
        <v>-480.28469999999999</v>
      </c>
      <c r="H2804">
        <v>1.005147</v>
      </c>
      <c r="I2804">
        <v>219.32409999999999</v>
      </c>
      <c r="J2804">
        <v>-481.06819999999999</v>
      </c>
      <c r="K2804">
        <v>1.1077809999999999</v>
      </c>
      <c r="L2804">
        <v>219.36359999999999</v>
      </c>
      <c r="M2804">
        <v>0.76348169999999904</v>
      </c>
      <c r="N2804">
        <v>0</v>
      </c>
      <c r="O2804">
        <v>-0.64576829999999996</v>
      </c>
      <c r="P2804">
        <v>0.93489469999999997</v>
      </c>
      <c r="Q2804">
        <v>5.710279E-2</v>
      </c>
      <c r="R2804">
        <v>-0.350302</v>
      </c>
      <c r="S2804">
        <v>3.0579529999999999</v>
      </c>
      <c r="T2804">
        <v>-0.34341339999999998</v>
      </c>
      <c r="U2804">
        <v>-0.46932979999999902</v>
      </c>
      <c r="V2804">
        <v>-0.33681489999999997</v>
      </c>
      <c r="W2804">
        <v>6.2688530000000006E-2</v>
      </c>
      <c r="X2804">
        <v>0.93948169999999898</v>
      </c>
      <c r="Y2804">
        <v>-0.51605540000000005</v>
      </c>
      <c r="Z2804">
        <v>9.492449E-2</v>
      </c>
      <c r="AA2804">
        <v>0.85127909999999996</v>
      </c>
      <c r="AB2804">
        <v>17</v>
      </c>
      <c r="AC2804">
        <v>0.78350000000000297</v>
      </c>
      <c r="AD2804">
        <v>-0.102633999999999</v>
      </c>
      <c r="AE2804">
        <v>-3.9500000000003803E-2</v>
      </c>
      <c r="AF2804">
        <v>-0.46781363574649099</v>
      </c>
      <c r="AG2804">
        <v>-0.102633999999999</v>
      </c>
      <c r="AH2804">
        <v>0.61322445113597301</v>
      </c>
      <c r="AI2804">
        <v>97.579669605290604</v>
      </c>
      <c r="AJ2804">
        <v>127.33910654060401</v>
      </c>
      <c r="AK2804">
        <v>0.77809225880827604</v>
      </c>
    </row>
    <row r="2805" spans="1:37" x14ac:dyDescent="0.2">
      <c r="A2805" t="str">
        <f>"20200111153704094"</f>
        <v>20200111153704094</v>
      </c>
      <c r="B2805" t="str">
        <f>"1578728224085530"</f>
        <v>1578728224085530</v>
      </c>
      <c r="C2805" t="s">
        <v>37</v>
      </c>
      <c r="D2805">
        <v>5.7179709999999897</v>
      </c>
      <c r="E2805">
        <v>0.42005119999999901</v>
      </c>
      <c r="F2805" t="s">
        <v>38</v>
      </c>
      <c r="G2805">
        <v>-480.17239999999998</v>
      </c>
      <c r="H2805">
        <v>1.005601</v>
      </c>
      <c r="I2805">
        <v>219.22399999999999</v>
      </c>
      <c r="J2805">
        <v>-480.93090000000001</v>
      </c>
      <c r="K2805">
        <v>1.107831</v>
      </c>
      <c r="L2805">
        <v>219.25890000000001</v>
      </c>
      <c r="M2805">
        <v>0.76834569999999902</v>
      </c>
      <c r="N2805">
        <v>0</v>
      </c>
      <c r="O2805">
        <v>-0.63997660000000001</v>
      </c>
      <c r="P2805">
        <v>0.93712960000000001</v>
      </c>
      <c r="Q2805">
        <v>5.7134259999999999E-2</v>
      </c>
      <c r="R2805">
        <v>-0.3442731</v>
      </c>
      <c r="S2805">
        <v>3.0522459999999998</v>
      </c>
      <c r="T2805">
        <v>-0.34808429999999901</v>
      </c>
      <c r="U2805">
        <v>-0.47488399999999997</v>
      </c>
      <c r="V2805">
        <v>-0.33576899999999998</v>
      </c>
      <c r="W2805">
        <v>6.246343E-2</v>
      </c>
      <c r="X2805">
        <v>0.93987099999999901</v>
      </c>
      <c r="Y2805">
        <v>-0.50770249999999995</v>
      </c>
      <c r="Z2805">
        <v>9.5404340000000004E-2</v>
      </c>
      <c r="AA2805">
        <v>0.85623369999999999</v>
      </c>
      <c r="AB2805">
        <v>17</v>
      </c>
      <c r="AC2805">
        <v>0.75850000000002604</v>
      </c>
      <c r="AD2805">
        <v>-0.10223</v>
      </c>
      <c r="AE2805">
        <v>-3.48999999999932E-2</v>
      </c>
      <c r="AF2805">
        <v>-0.45045866172917898</v>
      </c>
      <c r="AG2805">
        <v>-0.10223</v>
      </c>
      <c r="AH2805">
        <v>0.59437379856074002</v>
      </c>
      <c r="AI2805">
        <v>97.805305171471403</v>
      </c>
      <c r="AJ2805">
        <v>127.157432737343</v>
      </c>
      <c r="AK2805">
        <v>0.75275772413331399</v>
      </c>
    </row>
    <row r="2806" spans="1:37" x14ac:dyDescent="0.2">
      <c r="A2806" t="str">
        <f>"20200111153704116"</f>
        <v>20200111153704116</v>
      </c>
      <c r="B2806" t="str">
        <f>"1578728224106026"</f>
        <v>1578728224106026</v>
      </c>
      <c r="C2806" t="s">
        <v>37</v>
      </c>
      <c r="D2806">
        <v>5.8658760000000001</v>
      </c>
      <c r="E2806">
        <v>0.45121790000000001</v>
      </c>
      <c r="F2806" t="s">
        <v>38</v>
      </c>
      <c r="G2806">
        <v>-480.0573</v>
      </c>
      <c r="H2806">
        <v>1.00824</v>
      </c>
      <c r="I2806">
        <v>219.12690000000001</v>
      </c>
      <c r="J2806">
        <v>-480.79739999999998</v>
      </c>
      <c r="K2806">
        <v>1.107872</v>
      </c>
      <c r="L2806">
        <v>219.15870000000001</v>
      </c>
      <c r="M2806">
        <v>0.77305570000000001</v>
      </c>
      <c r="N2806">
        <v>0</v>
      </c>
      <c r="O2806">
        <v>-0.63428189999999995</v>
      </c>
      <c r="P2806">
        <v>0.93937749999999998</v>
      </c>
      <c r="Q2806">
        <v>5.7120789999999998E-2</v>
      </c>
      <c r="R2806">
        <v>-0.33809349999999999</v>
      </c>
      <c r="S2806">
        <v>3.0529790000000001</v>
      </c>
      <c r="T2806">
        <v>-0.34803390000000001</v>
      </c>
      <c r="U2806">
        <v>-0.46136470000000002</v>
      </c>
      <c r="V2806">
        <v>-0.3350245</v>
      </c>
      <c r="W2806">
        <v>6.2183120000000001E-2</v>
      </c>
      <c r="X2806">
        <v>0.94015519999999997</v>
      </c>
      <c r="Y2806">
        <v>-0.50512849999999998</v>
      </c>
      <c r="Z2806">
        <v>9.4798060000000003E-2</v>
      </c>
      <c r="AA2806">
        <v>0.85782199999999997</v>
      </c>
      <c r="AB2806">
        <v>17</v>
      </c>
      <c r="AC2806">
        <v>0.74009999999998399</v>
      </c>
      <c r="AD2806">
        <v>-9.9631999999999901E-2</v>
      </c>
      <c r="AE2806">
        <v>-3.1800000000003999E-2</v>
      </c>
      <c r="AF2806">
        <v>-0.436960532657442</v>
      </c>
      <c r="AG2806">
        <v>-9.9631999999999901E-2</v>
      </c>
      <c r="AH2806">
        <v>0.58180551052115703</v>
      </c>
      <c r="AI2806">
        <v>97.796934226062305</v>
      </c>
      <c r="AJ2806">
        <v>126.908097923364</v>
      </c>
      <c r="AK2806">
        <v>0.73441044014710199</v>
      </c>
    </row>
    <row r="2807" spans="1:37" x14ac:dyDescent="0.2">
      <c r="A2807" t="str">
        <f>"20200111153704140"</f>
        <v>20200111153704140</v>
      </c>
      <c r="B2807" t="str">
        <f>"1578728224135306"</f>
        <v>1578728224135306</v>
      </c>
      <c r="C2807" t="s">
        <v>37</v>
      </c>
      <c r="D2807">
        <v>5.5382410000000002</v>
      </c>
      <c r="E2807">
        <v>0.45666190000000001</v>
      </c>
      <c r="F2807" t="s">
        <v>45</v>
      </c>
      <c r="G2807">
        <v>-469.24509999999998</v>
      </c>
      <c r="H2807" s="1">
        <v>3.2987389999999999E-6</v>
      </c>
      <c r="I2807">
        <v>216.54429999999999</v>
      </c>
      <c r="J2807">
        <v>-480.65300000000002</v>
      </c>
      <c r="K2807">
        <v>1.1079190000000001</v>
      </c>
      <c r="L2807">
        <v>219.0522</v>
      </c>
      <c r="M2807">
        <v>0.778124699999999</v>
      </c>
      <c r="N2807">
        <v>0</v>
      </c>
      <c r="O2807">
        <v>-0.62805639999999996</v>
      </c>
      <c r="P2807">
        <v>0.94164309999999996</v>
      </c>
      <c r="Q2807">
        <v>5.732508E-2</v>
      </c>
      <c r="R2807">
        <v>-0.3316963</v>
      </c>
      <c r="S2807">
        <v>2.9690859999999999</v>
      </c>
      <c r="T2807">
        <v>-0.2847364</v>
      </c>
      <c r="U2807">
        <v>-0.67193599999999998</v>
      </c>
      <c r="V2807">
        <v>-0.3338757</v>
      </c>
      <c r="W2807">
        <v>6.2096989999999998E-2</v>
      </c>
      <c r="X2807">
        <v>0.94056949999999995</v>
      </c>
      <c r="Y2807">
        <v>-0.43667159999999899</v>
      </c>
      <c r="Z2807">
        <v>7.5288190000000005E-2</v>
      </c>
      <c r="AA2807">
        <v>0.89646510000000001</v>
      </c>
      <c r="AB2807">
        <v>17</v>
      </c>
      <c r="AC2807">
        <v>11.4079</v>
      </c>
      <c r="AD2807">
        <v>-1.1079157012609999</v>
      </c>
      <c r="AE2807">
        <v>-2.5078999999999998</v>
      </c>
      <c r="AF2807">
        <v>-5.1670321127456802</v>
      </c>
      <c r="AG2807">
        <v>-1.1079157012609999</v>
      </c>
      <c r="AH2807">
        <v>10.3590206043002</v>
      </c>
      <c r="AI2807">
        <v>95.466935786769596</v>
      </c>
      <c r="AJ2807">
        <v>116.509811050195</v>
      </c>
      <c r="AK2807">
        <v>11.6290586865645</v>
      </c>
    </row>
    <row r="2808" spans="1:37" x14ac:dyDescent="0.2">
      <c r="A2808" t="str">
        <f>"20200111153704161"</f>
        <v>20200111153704161</v>
      </c>
      <c r="B2808" t="str">
        <f>"1578728224155802"</f>
        <v>1578728224155802</v>
      </c>
      <c r="C2808" t="s">
        <v>37</v>
      </c>
      <c r="D2808">
        <v>5.5374049999999997</v>
      </c>
      <c r="E2808">
        <v>0.45778639999999998</v>
      </c>
      <c r="F2808" t="s">
        <v>38</v>
      </c>
      <c r="G2808">
        <v>-479.65839999999997</v>
      </c>
      <c r="H2808">
        <v>1.021439</v>
      </c>
      <c r="I2808">
        <v>218.81970000000001</v>
      </c>
      <c r="J2808">
        <v>-480.52159999999998</v>
      </c>
      <c r="K2808">
        <v>1.1079619999999999</v>
      </c>
      <c r="L2808">
        <v>218.95699999999999</v>
      </c>
      <c r="M2808">
        <v>0.78271199999999996</v>
      </c>
      <c r="N2808">
        <v>0</v>
      </c>
      <c r="O2808">
        <v>-0.62233289999999997</v>
      </c>
      <c r="P2808">
        <v>0.94368159999999901</v>
      </c>
      <c r="Q2808">
        <v>5.7551749999999999E-2</v>
      </c>
      <c r="R2808">
        <v>-0.32581149999999998</v>
      </c>
      <c r="S2808">
        <v>2.9580989999999998</v>
      </c>
      <c r="T2808">
        <v>-0.25714100000000001</v>
      </c>
      <c r="U2808">
        <v>-0.69125369999999997</v>
      </c>
      <c r="V2808">
        <v>-0.33285140000000002</v>
      </c>
      <c r="W2808">
        <v>6.2058910000000002E-2</v>
      </c>
      <c r="X2808">
        <v>0.94093499999999997</v>
      </c>
      <c r="Y2808">
        <v>-0.42456490000000002</v>
      </c>
      <c r="Z2808">
        <v>6.7304069999999994E-2</v>
      </c>
      <c r="AA2808">
        <v>0.90289249999999899</v>
      </c>
      <c r="AB2808">
        <v>17</v>
      </c>
      <c r="AC2808">
        <v>0.86320000000000596</v>
      </c>
      <c r="AD2808">
        <v>-8.65230000000001E-2</v>
      </c>
      <c r="AE2808">
        <v>-0.13729999999998199</v>
      </c>
      <c r="AF2808">
        <v>-0.42557480574305401</v>
      </c>
      <c r="AG2808">
        <v>-8.65230000000001E-2</v>
      </c>
      <c r="AH2808">
        <v>0.75372169372767595</v>
      </c>
      <c r="AI2808">
        <v>95.708369037739402</v>
      </c>
      <c r="AJ2808">
        <v>119.450429477898</v>
      </c>
      <c r="AK2808">
        <v>0.86988305904181995</v>
      </c>
    </row>
    <row r="2809" spans="1:37" x14ac:dyDescent="0.2">
      <c r="A2809" t="str">
        <f>"20200111153704184"</f>
        <v>20200111153704184</v>
      </c>
      <c r="B2809" t="str">
        <f>"1578728224175829"</f>
        <v>1578728224175829</v>
      </c>
      <c r="C2809" t="s">
        <v>37</v>
      </c>
      <c r="D2809">
        <v>5.5804369999999999</v>
      </c>
      <c r="E2809">
        <v>0.45793649999999902</v>
      </c>
      <c r="F2809" t="s">
        <v>38</v>
      </c>
      <c r="G2809">
        <v>-479.5059</v>
      </c>
      <c r="H2809">
        <v>1.0222719999999901</v>
      </c>
      <c r="I2809">
        <v>218.7234</v>
      </c>
      <c r="J2809">
        <v>-480.37439999999998</v>
      </c>
      <c r="K2809">
        <v>1.1080099999999999</v>
      </c>
      <c r="L2809">
        <v>218.85230000000001</v>
      </c>
      <c r="M2809">
        <v>0.7878058</v>
      </c>
      <c r="N2809">
        <v>0</v>
      </c>
      <c r="O2809">
        <v>-0.61587519999999996</v>
      </c>
      <c r="P2809">
        <v>0.94597679999999995</v>
      </c>
      <c r="Q2809">
        <v>5.7812990000000002E-2</v>
      </c>
      <c r="R2809">
        <v>-0.31903870000000001</v>
      </c>
      <c r="S2809">
        <v>2.95919799999999</v>
      </c>
      <c r="T2809">
        <v>-0.24965899999999999</v>
      </c>
      <c r="U2809">
        <v>-0.68072509999999997</v>
      </c>
      <c r="V2809">
        <v>-0.3318584</v>
      </c>
      <c r="W2809">
        <v>6.2035590000000002E-2</v>
      </c>
      <c r="X2809">
        <v>0.94128719999999999</v>
      </c>
      <c r="Y2809">
        <v>-0.42046359999999899</v>
      </c>
      <c r="Z2809">
        <v>6.4791689999999999E-2</v>
      </c>
      <c r="AA2809">
        <v>0.90499309999999999</v>
      </c>
      <c r="AB2809">
        <v>18</v>
      </c>
      <c r="AC2809">
        <v>0.86849999999998295</v>
      </c>
      <c r="AD2809">
        <v>-8.5737999999999995E-2</v>
      </c>
      <c r="AE2809">
        <v>-0.128900000000015</v>
      </c>
      <c r="AF2809">
        <v>-0.42925918208571601</v>
      </c>
      <c r="AG2809">
        <v>-8.5737999999999995E-2</v>
      </c>
      <c r="AH2809">
        <v>0.75640574443042796</v>
      </c>
      <c r="AI2809">
        <v>95.630091999016997</v>
      </c>
      <c r="AJ2809">
        <v>119.574848739847</v>
      </c>
      <c r="AK2809">
        <v>0.87393598178370502</v>
      </c>
    </row>
    <row r="2810" spans="1:37" x14ac:dyDescent="0.2">
      <c r="A2810" t="str">
        <f>"20200111153704206"</f>
        <v>20200111153704206</v>
      </c>
      <c r="B2810" t="str">
        <f>"1578728224195349"</f>
        <v>1578728224195349</v>
      </c>
      <c r="C2810" t="s">
        <v>37</v>
      </c>
      <c r="D2810">
        <v>5.5438080000000003</v>
      </c>
      <c r="E2810">
        <v>0.45737079999999902</v>
      </c>
      <c r="F2810" t="s">
        <v>45</v>
      </c>
      <c r="G2810">
        <v>-467.32420000000002</v>
      </c>
      <c r="H2810" s="1">
        <v>2.3028970000000001E-6</v>
      </c>
      <c r="I2810">
        <v>215.94139999999999</v>
      </c>
      <c r="J2810">
        <v>-480.23559999999998</v>
      </c>
      <c r="K2810">
        <v>1.1080369999999999</v>
      </c>
      <c r="L2810">
        <v>218.7551</v>
      </c>
      <c r="M2810">
        <v>0.79255710000000001</v>
      </c>
      <c r="N2810">
        <v>0</v>
      </c>
      <c r="O2810">
        <v>-0.60975179999999995</v>
      </c>
      <c r="P2810">
        <v>0.94806990000000002</v>
      </c>
      <c r="Q2810">
        <v>5.7983449999999999E-2</v>
      </c>
      <c r="R2810">
        <v>-0.31273229999999902</v>
      </c>
      <c r="S2810">
        <v>2.9637150000000001</v>
      </c>
      <c r="T2810">
        <v>-0.2516313</v>
      </c>
      <c r="U2810">
        <v>-0.66105649999999905</v>
      </c>
      <c r="V2810">
        <v>-0.33083249999999997</v>
      </c>
      <c r="W2810">
        <v>6.1954679999999998E-2</v>
      </c>
      <c r="X2810">
        <v>0.94165359999999998</v>
      </c>
      <c r="Y2810">
        <v>-0.41942380000000001</v>
      </c>
      <c r="Z2810">
        <v>6.484173E-2</v>
      </c>
      <c r="AA2810">
        <v>0.90547180000000005</v>
      </c>
      <c r="AB2810">
        <v>18</v>
      </c>
      <c r="AC2810">
        <v>12.911399999999899</v>
      </c>
      <c r="AD2810">
        <v>-1.108034697103</v>
      </c>
      <c r="AE2810">
        <v>-2.8137000000000101</v>
      </c>
      <c r="AF2810">
        <v>-5.6034919458208403</v>
      </c>
      <c r="AG2810">
        <v>-1.108034697103</v>
      </c>
      <c r="AH2810">
        <v>11.865589304392101</v>
      </c>
      <c r="AI2810">
        <v>94.826600331669596</v>
      </c>
      <c r="AJ2810">
        <v>115.278894852658</v>
      </c>
      <c r="AK2810">
        <v>13.1688675449853</v>
      </c>
    </row>
    <row r="2811" spans="1:37" x14ac:dyDescent="0.2">
      <c r="A2811" t="str">
        <f>"20200111153704228"</f>
        <v>20200111153704228</v>
      </c>
      <c r="B2811" t="str">
        <f>"1578728224225605"</f>
        <v>1578728224225605</v>
      </c>
      <c r="C2811" t="s">
        <v>37</v>
      </c>
      <c r="D2811">
        <v>5.5309860000000004</v>
      </c>
      <c r="E2811">
        <v>0.4578467</v>
      </c>
      <c r="F2811" t="s">
        <v>45</v>
      </c>
      <c r="G2811">
        <v>-467.38330000000002</v>
      </c>
      <c r="H2811" s="1">
        <v>2.3317189999999999E-6</v>
      </c>
      <c r="I2811">
        <v>216.00030000000001</v>
      </c>
      <c r="J2811">
        <v>-480.08920000000001</v>
      </c>
      <c r="K2811">
        <v>1.1080649999999901</v>
      </c>
      <c r="L2811">
        <v>218.65440000000001</v>
      </c>
      <c r="M2811">
        <v>0.79751439999999996</v>
      </c>
      <c r="N2811">
        <v>0</v>
      </c>
      <c r="O2811">
        <v>-0.60325600000000001</v>
      </c>
      <c r="P2811">
        <v>0.95034929999999995</v>
      </c>
      <c r="Q2811">
        <v>5.8208500000000003E-2</v>
      </c>
      <c r="R2811">
        <v>-0.305693099999999</v>
      </c>
      <c r="S2811">
        <v>2.9700009999999999</v>
      </c>
      <c r="T2811">
        <v>-0.25605129999999998</v>
      </c>
      <c r="U2811">
        <v>-0.63659670000000002</v>
      </c>
      <c r="V2811">
        <v>-0.33012140000000001</v>
      </c>
      <c r="W2811">
        <v>6.1918979999999998E-2</v>
      </c>
      <c r="X2811">
        <v>0.9419054</v>
      </c>
      <c r="Y2811">
        <v>-0.41944709999999902</v>
      </c>
      <c r="Z2811">
        <v>6.5503309999999995E-2</v>
      </c>
      <c r="AA2811">
        <v>0.90541340000000003</v>
      </c>
      <c r="AB2811">
        <v>18</v>
      </c>
      <c r="AC2811">
        <v>12.7058999999999</v>
      </c>
      <c r="AD2811">
        <v>-1.10806266828099</v>
      </c>
      <c r="AE2811">
        <v>-2.6541000000000001</v>
      </c>
      <c r="AF2811">
        <v>-5.5082339925372796</v>
      </c>
      <c r="AG2811">
        <v>-1.10806266828099</v>
      </c>
      <c r="AH2811">
        <v>11.6496557022066</v>
      </c>
      <c r="AI2811">
        <v>94.9146642195563</v>
      </c>
      <c r="AJ2811">
        <v>115.305896928035</v>
      </c>
      <c r="AK2811">
        <v>12.933789953966899</v>
      </c>
    </row>
    <row r="2812" spans="1:37" x14ac:dyDescent="0.2">
      <c r="A2812" t="str">
        <f>"20200111153704250"</f>
        <v>20200111153704250</v>
      </c>
      <c r="B2812" t="str">
        <f>"1578728224246101"</f>
        <v>1578728224246101</v>
      </c>
      <c r="C2812" t="s">
        <v>37</v>
      </c>
      <c r="D2812">
        <v>5.5618239999999997</v>
      </c>
      <c r="E2812">
        <v>0.45827570000000001</v>
      </c>
      <c r="F2812" t="s">
        <v>45</v>
      </c>
      <c r="G2812">
        <v>-466.99439999999998</v>
      </c>
      <c r="H2812" s="1">
        <v>2.1278019999999998E-6</v>
      </c>
      <c r="I2812">
        <v>215.93180000000001</v>
      </c>
      <c r="J2812">
        <v>-479.94869999999997</v>
      </c>
      <c r="K2812">
        <v>1.1080909999999999</v>
      </c>
      <c r="L2812">
        <v>218.55940000000001</v>
      </c>
      <c r="M2812">
        <v>0.80221239999999905</v>
      </c>
      <c r="N2812">
        <v>0</v>
      </c>
      <c r="O2812">
        <v>-0.59699729999999995</v>
      </c>
      <c r="P2812">
        <v>0.95244379999999995</v>
      </c>
      <c r="Q2812">
        <v>5.8373029999999999E-2</v>
      </c>
      <c r="R2812">
        <v>-0.29907159999999999</v>
      </c>
      <c r="S2812">
        <v>2.9733580000000002</v>
      </c>
      <c r="T2812">
        <v>-0.25160189999999999</v>
      </c>
      <c r="U2812">
        <v>-0.61819460000000004</v>
      </c>
      <c r="V2812">
        <v>-0.32930729999999903</v>
      </c>
      <c r="W2812">
        <v>6.1839499999999999E-2</v>
      </c>
      <c r="X2812">
        <v>0.94219560000000002</v>
      </c>
      <c r="Y2812">
        <v>-0.4180585</v>
      </c>
      <c r="Z2812">
        <v>6.3895789999999994E-2</v>
      </c>
      <c r="AA2812">
        <v>0.90617019999999904</v>
      </c>
      <c r="AB2812">
        <v>18</v>
      </c>
      <c r="AC2812">
        <v>12.9542999999999</v>
      </c>
      <c r="AD2812">
        <v>-1.108088872198</v>
      </c>
      <c r="AE2812">
        <v>-2.6276000000000002</v>
      </c>
      <c r="AF2812">
        <v>-5.5866668053800002</v>
      </c>
      <c r="AG2812">
        <v>-1.108088872198</v>
      </c>
      <c r="AH2812">
        <v>11.8775944068862</v>
      </c>
      <c r="AI2812">
        <v>94.825485950961493</v>
      </c>
      <c r="AJ2812">
        <v>115.19010659849999</v>
      </c>
      <c r="AK2812">
        <v>13.172545533704501</v>
      </c>
    </row>
    <row r="2813" spans="1:37" x14ac:dyDescent="0.2">
      <c r="A2813" t="str">
        <f>"20200111153704273"</f>
        <v>20200111153704273</v>
      </c>
      <c r="B2813" t="str">
        <f>"1578728224265622"</f>
        <v>1578728224265622</v>
      </c>
      <c r="C2813" t="s">
        <v>37</v>
      </c>
      <c r="D2813">
        <v>5.5182289999999998</v>
      </c>
      <c r="E2813">
        <v>0.4587929</v>
      </c>
      <c r="F2813" t="s">
        <v>45</v>
      </c>
      <c r="G2813">
        <v>-466.49270000000001</v>
      </c>
      <c r="H2813" s="1">
        <v>1.8645779999999999E-6</v>
      </c>
      <c r="I2813">
        <v>215.8459</v>
      </c>
      <c r="J2813">
        <v>-479.796999999999</v>
      </c>
      <c r="K2813">
        <v>1.1081159999999901</v>
      </c>
      <c r="L2813">
        <v>218.45849999999999</v>
      </c>
      <c r="M2813">
        <v>0.80721279999999995</v>
      </c>
      <c r="N2813">
        <v>0</v>
      </c>
      <c r="O2813">
        <v>-0.59022129999999995</v>
      </c>
      <c r="P2813">
        <v>0.95451140000000001</v>
      </c>
      <c r="Q2813">
        <v>5.8547269999999998E-2</v>
      </c>
      <c r="R2813">
        <v>-0.29237029999999897</v>
      </c>
      <c r="S2813">
        <v>2.9763489999999999</v>
      </c>
      <c r="T2813">
        <v>-0.2450997</v>
      </c>
      <c r="U2813">
        <v>-0.60020450000000003</v>
      </c>
      <c r="V2813">
        <v>-0.3279957</v>
      </c>
      <c r="W2813">
        <v>6.1765260000000002E-2</v>
      </c>
      <c r="X2813">
        <v>0.94265789999999905</v>
      </c>
      <c r="Y2813">
        <v>-0.41603760000000001</v>
      </c>
      <c r="Z2813">
        <v>6.1731609999999999E-2</v>
      </c>
      <c r="AA2813">
        <v>0.90724969999999905</v>
      </c>
      <c r="AB2813">
        <v>18</v>
      </c>
      <c r="AC2813">
        <v>13.3042999999999</v>
      </c>
      <c r="AD2813">
        <v>-1.1081141354220001</v>
      </c>
      <c r="AE2813">
        <v>-2.61259999999998</v>
      </c>
      <c r="AF2813">
        <v>-5.7055789269413903</v>
      </c>
      <c r="AG2813">
        <v>-1.1081141354220001</v>
      </c>
      <c r="AH2813">
        <v>12.2002049673959</v>
      </c>
      <c r="AI2813">
        <v>94.703412285374398</v>
      </c>
      <c r="AJ2813">
        <v>115.063731210914</v>
      </c>
      <c r="AK2813">
        <v>13.513939065836899</v>
      </c>
    </row>
    <row r="2814" spans="1:37" x14ac:dyDescent="0.2">
      <c r="A2814" t="str">
        <f>"20200111153704294"</f>
        <v>20200111153704294</v>
      </c>
      <c r="B2814" t="str">
        <f>"1578728224286117"</f>
        <v>1578728224286117</v>
      </c>
      <c r="C2814" t="s">
        <v>37</v>
      </c>
      <c r="D2814">
        <v>5.4717609999999999</v>
      </c>
      <c r="E2814">
        <v>0.45903769999999999</v>
      </c>
      <c r="F2814" t="s">
        <v>45</v>
      </c>
      <c r="G2814">
        <v>-466.11750000000001</v>
      </c>
      <c r="H2814" s="1">
        <v>1.6676999999999999E-6</v>
      </c>
      <c r="I2814">
        <v>215.78149999999999</v>
      </c>
      <c r="J2814">
        <v>-479.64789999999999</v>
      </c>
      <c r="K2814">
        <v>1.1081529999999999</v>
      </c>
      <c r="L2814">
        <v>218.3612</v>
      </c>
      <c r="M2814">
        <v>0.81205300000000002</v>
      </c>
      <c r="N2814">
        <v>0</v>
      </c>
      <c r="O2814">
        <v>-0.58354659999999903</v>
      </c>
      <c r="P2814">
        <v>0.95637799999999995</v>
      </c>
      <c r="Q2814">
        <v>5.8679349999999998E-2</v>
      </c>
      <c r="R2814">
        <v>-0.28617870000000001</v>
      </c>
      <c r="S2814">
        <v>2.979187</v>
      </c>
      <c r="T2814">
        <v>-0.24132970000000001</v>
      </c>
      <c r="U2814">
        <v>-0.58302310000000002</v>
      </c>
      <c r="V2814">
        <v>-0.32633400000000001</v>
      </c>
      <c r="W2814">
        <v>6.1670059999999999E-2</v>
      </c>
      <c r="X2814">
        <v>0.94324059999999899</v>
      </c>
      <c r="Y2814">
        <v>-0.41386119999999998</v>
      </c>
      <c r="Z2814">
        <v>6.0270560000000001E-2</v>
      </c>
      <c r="AA2814">
        <v>0.90834269999999995</v>
      </c>
      <c r="AB2814">
        <v>18</v>
      </c>
      <c r="AC2814">
        <v>13.530399999999901</v>
      </c>
      <c r="AD2814">
        <v>-1.1081513323000001</v>
      </c>
      <c r="AE2814">
        <v>-2.5796999999999999</v>
      </c>
      <c r="AF2814">
        <v>-5.7635867204345699</v>
      </c>
      <c r="AG2814">
        <v>-1.1081513323000001</v>
      </c>
      <c r="AH2814">
        <v>12.412706636886799</v>
      </c>
      <c r="AI2814">
        <v>94.629275758842198</v>
      </c>
      <c r="AJ2814">
        <v>114.906835867201</v>
      </c>
      <c r="AK2814">
        <v>13.730339300711501</v>
      </c>
    </row>
    <row r="2815" spans="1:37" x14ac:dyDescent="0.2">
      <c r="A2815" t="str">
        <f>"20200111153704316"</f>
        <v>20200111153704316</v>
      </c>
      <c r="B2815" t="str">
        <f>"1578728224305636"</f>
        <v>1578728224305636</v>
      </c>
      <c r="C2815" t="s">
        <v>37</v>
      </c>
      <c r="D2815">
        <v>5.5558629999999898</v>
      </c>
      <c r="E2815">
        <v>0.45966269999999998</v>
      </c>
      <c r="F2815" t="s">
        <v>45</v>
      </c>
      <c r="G2815">
        <v>-465.825999999999</v>
      </c>
      <c r="H2815" s="1">
        <v>1.5143700000000001E-6</v>
      </c>
      <c r="I2815">
        <v>215.74080000000001</v>
      </c>
      <c r="J2815">
        <v>-479.50229999999999</v>
      </c>
      <c r="K2815">
        <v>1.1081939999999999</v>
      </c>
      <c r="L2815">
        <v>218.26779999999999</v>
      </c>
      <c r="M2815">
        <v>0.81670169999999997</v>
      </c>
      <c r="N2815">
        <v>0</v>
      </c>
      <c r="O2815">
        <v>-0.5770246</v>
      </c>
      <c r="P2815">
        <v>0.95819270000000001</v>
      </c>
      <c r="Q2815">
        <v>5.957718E-2</v>
      </c>
      <c r="R2815">
        <v>-0.279852299999999</v>
      </c>
      <c r="S2815">
        <v>2.982361</v>
      </c>
      <c r="T2815">
        <v>-0.23910689999999901</v>
      </c>
      <c r="U2815">
        <v>-0.56539919999999899</v>
      </c>
      <c r="V2815">
        <v>-0.32499479999999997</v>
      </c>
      <c r="W2815">
        <v>6.2354449999999999E-2</v>
      </c>
      <c r="X2815">
        <v>0.94365789999999905</v>
      </c>
      <c r="Y2815">
        <v>-0.412008599999999</v>
      </c>
      <c r="Z2815">
        <v>5.9220080000000001E-2</v>
      </c>
      <c r="AA2815">
        <v>0.90925349999999905</v>
      </c>
      <c r="AB2815">
        <v>18</v>
      </c>
      <c r="AC2815">
        <v>13.676299999999999</v>
      </c>
      <c r="AD2815">
        <v>-1.1081924856299901</v>
      </c>
      <c r="AE2815">
        <v>-2.5269999999999802</v>
      </c>
      <c r="AF2815">
        <v>-5.7911072189779196</v>
      </c>
      <c r="AG2815">
        <v>-1.1081924856299901</v>
      </c>
      <c r="AH2815">
        <v>12.548187204362099</v>
      </c>
      <c r="AI2815">
        <v>94.584582607409402</v>
      </c>
      <c r="AJ2815">
        <v>114.77377113804801</v>
      </c>
      <c r="AK2815">
        <v>13.8644154410715</v>
      </c>
    </row>
    <row r="2816" spans="1:37" x14ac:dyDescent="0.2">
      <c r="A2816" t="str">
        <f>"20200111153704340"</f>
        <v>20200111153704340</v>
      </c>
      <c r="B2816" t="str">
        <f>"1578728224335893"</f>
        <v>1578728224335893</v>
      </c>
      <c r="C2816" t="s">
        <v>37</v>
      </c>
      <c r="D2816">
        <v>5.5101100000000001</v>
      </c>
      <c r="E2816">
        <v>0.46048709999999998</v>
      </c>
      <c r="F2816" t="s">
        <v>45</v>
      </c>
      <c r="G2816">
        <v>-465.23180000000002</v>
      </c>
      <c r="H2816" s="1">
        <v>1.2027149999999999E-6</v>
      </c>
      <c r="I2816">
        <v>215.63659999999999</v>
      </c>
      <c r="J2816">
        <v>-479.34370000000001</v>
      </c>
      <c r="K2816">
        <v>1.1082299999999901</v>
      </c>
      <c r="L2816">
        <v>218.1679</v>
      </c>
      <c r="M2816">
        <v>0.82167539999999994</v>
      </c>
      <c r="N2816">
        <v>0</v>
      </c>
      <c r="O2816">
        <v>-0.56992229999999999</v>
      </c>
      <c r="P2816">
        <v>0.96020539999999999</v>
      </c>
      <c r="Q2816">
        <v>6.0344910000000002E-2</v>
      </c>
      <c r="R2816">
        <v>-0.27269909999999897</v>
      </c>
      <c r="S2816">
        <v>2.9845890000000002</v>
      </c>
      <c r="T2816">
        <v>-0.23177239999999999</v>
      </c>
      <c r="U2816">
        <v>-0.55029300000000003</v>
      </c>
      <c r="V2816">
        <v>-0.32383649999999897</v>
      </c>
      <c r="W2816">
        <v>6.2900310000000001E-2</v>
      </c>
      <c r="X2816">
        <v>0.94401990000000002</v>
      </c>
      <c r="Y2816">
        <v>-0.40887790000000002</v>
      </c>
      <c r="Z2816">
        <v>5.6848660000000002E-2</v>
      </c>
      <c r="AA2816">
        <v>0.91081669999999904</v>
      </c>
      <c r="AB2816">
        <v>18</v>
      </c>
      <c r="AC2816">
        <v>14.111899999999901</v>
      </c>
      <c r="AD2816">
        <v>-1.10822879728499</v>
      </c>
      <c r="AE2816">
        <v>-2.5313000000000101</v>
      </c>
      <c r="AF2816">
        <v>-5.92747678109441</v>
      </c>
      <c r="AG2816">
        <v>-1.10822879728499</v>
      </c>
      <c r="AH2816">
        <v>12.960853324226999</v>
      </c>
      <c r="AI2816">
        <v>94.446354283608997</v>
      </c>
      <c r="AJ2816">
        <v>114.57636779422501</v>
      </c>
      <c r="AK2816">
        <v>14.294994611739799</v>
      </c>
    </row>
    <row r="2817" spans="1:37" x14ac:dyDescent="0.2">
      <c r="A2817" t="str">
        <f>"20200111153704362"</f>
        <v>20200111153704362</v>
      </c>
      <c r="B2817" t="str">
        <f>"1578728224355413"</f>
        <v>1578728224355413</v>
      </c>
      <c r="C2817" t="s">
        <v>37</v>
      </c>
      <c r="D2817">
        <v>5.7485339999999896</v>
      </c>
      <c r="E2817">
        <v>0.46110079999999998</v>
      </c>
      <c r="F2817" t="s">
        <v>45</v>
      </c>
      <c r="G2817">
        <v>-464.5548</v>
      </c>
      <c r="H2817" s="1">
        <v>8.4735649999999999E-7</v>
      </c>
      <c r="I2817">
        <v>215.52500000000001</v>
      </c>
      <c r="J2817">
        <v>-479.18880000000001</v>
      </c>
      <c r="K2817">
        <v>1.108271</v>
      </c>
      <c r="L2817">
        <v>218.07230000000001</v>
      </c>
      <c r="M2817">
        <v>0.82644810000000002</v>
      </c>
      <c r="N2817">
        <v>0</v>
      </c>
      <c r="O2817">
        <v>-0.5629807</v>
      </c>
      <c r="P2817">
        <v>0.96216029999999997</v>
      </c>
      <c r="Q2817">
        <v>6.0981140000000003E-2</v>
      </c>
      <c r="R2817">
        <v>-0.2655729</v>
      </c>
      <c r="S2817">
        <v>2.986847</v>
      </c>
      <c r="T2817">
        <v>-0.22382449999999901</v>
      </c>
      <c r="U2817">
        <v>-0.53378300000000001</v>
      </c>
      <c r="V2817">
        <v>-0.32287309999999902</v>
      </c>
      <c r="W2817">
        <v>6.3335730000000007E-2</v>
      </c>
      <c r="X2817">
        <v>0.94432070000000001</v>
      </c>
      <c r="Y2817">
        <v>-0.40638970000000002</v>
      </c>
      <c r="Z2817">
        <v>5.4395819999999998E-2</v>
      </c>
      <c r="AA2817">
        <v>0.91207929999999904</v>
      </c>
      <c r="AB2817">
        <v>19</v>
      </c>
      <c r="AC2817">
        <v>14.634</v>
      </c>
      <c r="AD2817">
        <v>-1.1082701526434999</v>
      </c>
      <c r="AE2817">
        <v>-2.5472999999999999</v>
      </c>
      <c r="AF2817">
        <v>-6.0996045757649897</v>
      </c>
      <c r="AG2817">
        <v>-1.1082701526434999</v>
      </c>
      <c r="AH2817">
        <v>13.4536743287884</v>
      </c>
      <c r="AI2817">
        <v>94.290634427890097</v>
      </c>
      <c r="AJ2817">
        <v>114.38851029892101</v>
      </c>
      <c r="AK2817">
        <v>14.813331551579999</v>
      </c>
    </row>
    <row r="2818" spans="1:37" x14ac:dyDescent="0.2">
      <c r="A2818" t="str">
        <f>"20200111153704385"</f>
        <v>20200111153704385</v>
      </c>
      <c r="B2818" t="str">
        <f>"1578728224375908"</f>
        <v>1578728224375908</v>
      </c>
      <c r="C2818" t="s">
        <v>37</v>
      </c>
      <c r="D2818">
        <v>5.5452409999999999</v>
      </c>
      <c r="E2818">
        <v>0.46161930000000001</v>
      </c>
      <c r="F2818" t="s">
        <v>45</v>
      </c>
      <c r="G2818">
        <v>-464.07130000000001</v>
      </c>
      <c r="H2818" s="1">
        <v>5.9277530000000004E-7</v>
      </c>
      <c r="I2818">
        <v>215.46190000000001</v>
      </c>
      <c r="J2818">
        <v>-479.02420000000001</v>
      </c>
      <c r="K2818">
        <v>1.108311</v>
      </c>
      <c r="L2818">
        <v>217.9726</v>
      </c>
      <c r="M2818">
        <v>0.83142569999999905</v>
      </c>
      <c r="N2818">
        <v>0</v>
      </c>
      <c r="O2818">
        <v>-0.55560520000000002</v>
      </c>
      <c r="P2818">
        <v>0.96411539999999996</v>
      </c>
      <c r="Q2818">
        <v>6.151181E-2</v>
      </c>
      <c r="R2818">
        <v>-0.25825949999999998</v>
      </c>
      <c r="S2818">
        <v>2.9893489999999998</v>
      </c>
      <c r="T2818">
        <v>-0.2191495</v>
      </c>
      <c r="U2818">
        <v>-0.51617429999999997</v>
      </c>
      <c r="V2818">
        <v>-0.32163389999999997</v>
      </c>
      <c r="W2818">
        <v>6.3673140000000003E-2</v>
      </c>
      <c r="X2818">
        <v>0.94472080000000003</v>
      </c>
      <c r="Y2818">
        <v>-0.40373029999999999</v>
      </c>
      <c r="Z2818">
        <v>5.2726559999999999E-2</v>
      </c>
      <c r="AA2818">
        <v>0.91335739999999999</v>
      </c>
      <c r="AB2818">
        <v>19</v>
      </c>
      <c r="AC2818">
        <v>14.9529</v>
      </c>
      <c r="AD2818">
        <v>-1.1083104072247001</v>
      </c>
      <c r="AE2818">
        <v>-2.5106999999999799</v>
      </c>
      <c r="AF2818">
        <v>-6.18749404951636</v>
      </c>
      <c r="AG2818">
        <v>-1.1083104072247001</v>
      </c>
      <c r="AH2818">
        <v>13.7539302322593</v>
      </c>
      <c r="AI2818">
        <v>94.202964157335401</v>
      </c>
      <c r="AJ2818">
        <v>114.22159749768601</v>
      </c>
      <c r="AK2818">
        <v>15.1223024505338</v>
      </c>
    </row>
    <row r="2819" spans="1:37" x14ac:dyDescent="0.2">
      <c r="A2819" t="str">
        <f>"20200111153704407"</f>
        <v>20200111153704407</v>
      </c>
      <c r="B2819" t="str">
        <f>"1578728224395428"</f>
        <v>1578728224395428</v>
      </c>
      <c r="C2819" t="s">
        <v>37</v>
      </c>
      <c r="D2819">
        <v>5.473554</v>
      </c>
      <c r="E2819">
        <v>0.46216839999999998</v>
      </c>
      <c r="F2819" t="s">
        <v>45</v>
      </c>
      <c r="G2819">
        <v>-463.67419999999998</v>
      </c>
      <c r="H2819" s="1">
        <v>3.832716E-7</v>
      </c>
      <c r="I2819">
        <v>215.42099999999999</v>
      </c>
      <c r="J2819">
        <v>-478.86579999999998</v>
      </c>
      <c r="K2819">
        <v>1.1083510000000001</v>
      </c>
      <c r="L2819">
        <v>217.8785</v>
      </c>
      <c r="M2819">
        <v>0.83612569999999997</v>
      </c>
      <c r="N2819">
        <v>0</v>
      </c>
      <c r="O2819">
        <v>-0.54850859999999901</v>
      </c>
      <c r="P2819">
        <v>0.96584439999999905</v>
      </c>
      <c r="Q2819">
        <v>6.1649429999999998E-2</v>
      </c>
      <c r="R2819">
        <v>-0.25168259999999998</v>
      </c>
      <c r="S2819">
        <v>2.9921880000000001</v>
      </c>
      <c r="T2819">
        <v>-0.2160445</v>
      </c>
      <c r="U2819">
        <v>-0.49739070000000002</v>
      </c>
      <c r="V2819">
        <v>-0.32003399999999999</v>
      </c>
      <c r="W2819">
        <v>6.3642679999999993E-2</v>
      </c>
      <c r="X2819">
        <v>0.94526599999999905</v>
      </c>
      <c r="Y2819">
        <v>-0.40175149999999998</v>
      </c>
      <c r="Z2819">
        <v>5.148635E-2</v>
      </c>
      <c r="AA2819">
        <v>0.91430020000000001</v>
      </c>
      <c r="AB2819">
        <v>19</v>
      </c>
      <c r="AC2819">
        <v>15.1915999999999</v>
      </c>
      <c r="AD2819">
        <v>-1.1083506167284001</v>
      </c>
      <c r="AE2819">
        <v>-2.4575000000000098</v>
      </c>
      <c r="AF2819">
        <v>-6.2456480986578997</v>
      </c>
      <c r="AG2819">
        <v>-1.1083506167284001</v>
      </c>
      <c r="AH2819">
        <v>13.977768041193</v>
      </c>
      <c r="AI2819">
        <v>94.140729361311202</v>
      </c>
      <c r="AJ2819">
        <v>114.07639477353101</v>
      </c>
      <c r="AK2819">
        <v>15.349741387895399</v>
      </c>
    </row>
    <row r="2820" spans="1:37" x14ac:dyDescent="0.2">
      <c r="A2820" t="str">
        <f>"20200111153704430"</f>
        <v>20200111153704430</v>
      </c>
      <c r="B2820" t="str">
        <f>"1578728224425685"</f>
        <v>1578728224425685</v>
      </c>
      <c r="C2820" t="s">
        <v>37</v>
      </c>
      <c r="D2820">
        <v>5.4935589999999896</v>
      </c>
      <c r="E2820">
        <v>0.46304780000000001</v>
      </c>
      <c r="F2820" t="s">
        <v>45</v>
      </c>
      <c r="G2820">
        <v>-463.43360000000001</v>
      </c>
      <c r="H2820" s="1">
        <v>2.5614260000000002E-7</v>
      </c>
      <c r="I2820">
        <v>215.40020000000001</v>
      </c>
      <c r="J2820">
        <v>-478.70060000000001</v>
      </c>
      <c r="K2820">
        <v>1.1083879999999999</v>
      </c>
      <c r="L2820">
        <v>217.78219999999999</v>
      </c>
      <c r="M2820">
        <v>0.84093779999999996</v>
      </c>
      <c r="N2820">
        <v>0</v>
      </c>
      <c r="O2820">
        <v>-0.54110360000000002</v>
      </c>
      <c r="P2820">
        <v>0.96726599999999996</v>
      </c>
      <c r="Q2820">
        <v>6.192346E-2</v>
      </c>
      <c r="R2820">
        <v>-0.2460937</v>
      </c>
      <c r="S2820">
        <v>2.9945680000000001</v>
      </c>
      <c r="T2820">
        <v>-0.21507209999999999</v>
      </c>
      <c r="U2820">
        <v>-0.48091129999999999</v>
      </c>
      <c r="V2820">
        <v>-0.31714929999999902</v>
      </c>
      <c r="W2820">
        <v>6.376308E-2</v>
      </c>
      <c r="X2820">
        <v>0.9462296</v>
      </c>
      <c r="Y2820">
        <v>-0.39872879999999999</v>
      </c>
      <c r="Z2820">
        <v>5.070533E-2</v>
      </c>
      <c r="AA2820">
        <v>0.91566599999999998</v>
      </c>
      <c r="AB2820">
        <v>19</v>
      </c>
      <c r="AC2820">
        <v>15.2669999999999</v>
      </c>
      <c r="AD2820">
        <v>-1.1083877438573999</v>
      </c>
      <c r="AE2820">
        <v>-2.3819999999999699</v>
      </c>
      <c r="AF2820">
        <v>-6.2259743191410903</v>
      </c>
      <c r="AG2820">
        <v>-1.1083877438573999</v>
      </c>
      <c r="AH2820">
        <v>14.055399138804701</v>
      </c>
      <c r="AI2820">
        <v>94.123974543635697</v>
      </c>
      <c r="AJ2820">
        <v>113.891408716773</v>
      </c>
      <c r="AK2820">
        <v>15.412511948558199</v>
      </c>
    </row>
    <row r="2821" spans="1:37" x14ac:dyDescent="0.2">
      <c r="A2821" t="str">
        <f>"20200111153704462"</f>
        <v>20200111153704462</v>
      </c>
      <c r="B2821" t="str">
        <f>"1578728224455940"</f>
        <v>1578728224455940</v>
      </c>
      <c r="C2821" t="s">
        <v>37</v>
      </c>
      <c r="D2821">
        <v>5.4435969999999996</v>
      </c>
      <c r="E2821">
        <v>0.46391919999999998</v>
      </c>
      <c r="F2821" t="s">
        <v>45</v>
      </c>
      <c r="G2821">
        <v>-463.17099999999999</v>
      </c>
      <c r="H2821" s="1">
        <v>1.187641E-7</v>
      </c>
      <c r="I2821">
        <v>215.3459</v>
      </c>
      <c r="J2821">
        <v>-478.46</v>
      </c>
      <c r="K2821">
        <v>1.108439</v>
      </c>
      <c r="L2821">
        <v>217.64519999999999</v>
      </c>
      <c r="M2821">
        <v>0.84778880000000001</v>
      </c>
      <c r="N2821">
        <v>0</v>
      </c>
      <c r="O2821">
        <v>-0.53030769999999905</v>
      </c>
      <c r="P2821">
        <v>0.96901190000000004</v>
      </c>
      <c r="Q2821">
        <v>6.2854279999999998E-2</v>
      </c>
      <c r="R2821">
        <v>-0.2388836</v>
      </c>
      <c r="S2821">
        <v>2.9956669999999899</v>
      </c>
      <c r="T2821">
        <v>-0.213808</v>
      </c>
      <c r="U2821">
        <v>-0.46997070000000002</v>
      </c>
      <c r="V2821">
        <v>-0.31207950000000001</v>
      </c>
      <c r="W2821">
        <v>6.4471619999999993E-2</v>
      </c>
      <c r="X2821">
        <v>0.94786589999999904</v>
      </c>
      <c r="Y2821">
        <v>-0.39037620000000001</v>
      </c>
      <c r="Z2821">
        <v>4.9476079999999999E-2</v>
      </c>
      <c r="AA2821">
        <v>0.91932510000000001</v>
      </c>
      <c r="AB2821">
        <v>19</v>
      </c>
      <c r="AC2821">
        <v>15.2889999999999</v>
      </c>
      <c r="AD2821">
        <v>-1.1084388812358901</v>
      </c>
      <c r="AE2821">
        <v>-2.2992999999999801</v>
      </c>
      <c r="AF2821">
        <v>-6.1271467770340298</v>
      </c>
      <c r="AG2821">
        <v>-1.1084388812358901</v>
      </c>
      <c r="AH2821">
        <v>14.108859502488301</v>
      </c>
      <c r="AI2821">
        <v>94.121689444279795</v>
      </c>
      <c r="AJ2821">
        <v>113.474175660903</v>
      </c>
      <c r="AK2821">
        <v>15.4217534943893</v>
      </c>
    </row>
    <row r="2822" spans="1:37" x14ac:dyDescent="0.2">
      <c r="A2822" t="str">
        <f>"20200111153704486"</f>
        <v>20200111153704486</v>
      </c>
      <c r="B2822" t="str">
        <f>"1578728224475462"</f>
        <v>1578728224475462</v>
      </c>
      <c r="C2822" t="s">
        <v>37</v>
      </c>
      <c r="D2822">
        <v>5.4738550000000004</v>
      </c>
      <c r="E2822">
        <v>0.46416809999999997</v>
      </c>
      <c r="F2822" t="s">
        <v>45</v>
      </c>
      <c r="G2822">
        <v>-462.68290000000002</v>
      </c>
      <c r="H2822" s="1">
        <v>-1.370581E-7</v>
      </c>
      <c r="I2822">
        <v>215.25640000000001</v>
      </c>
      <c r="J2822">
        <v>-478.2817</v>
      </c>
      <c r="K2822">
        <v>1.1084670000000001</v>
      </c>
      <c r="L2822">
        <v>217.54640000000001</v>
      </c>
      <c r="M2822">
        <v>0.85273829999999995</v>
      </c>
      <c r="N2822">
        <v>0</v>
      </c>
      <c r="O2822">
        <v>-0.52231349999999999</v>
      </c>
      <c r="P2822">
        <v>0.97032929999999995</v>
      </c>
      <c r="Q2822">
        <v>6.3001329999999994E-2</v>
      </c>
      <c r="R2822">
        <v>-0.23343609999999901</v>
      </c>
      <c r="S2822">
        <v>2.9977109999999998</v>
      </c>
      <c r="T2822">
        <v>-0.210608399999999</v>
      </c>
      <c r="U2822">
        <v>-0.45388790000000001</v>
      </c>
      <c r="V2822">
        <v>-0.30849409999999999</v>
      </c>
      <c r="W2822">
        <v>6.444308E-2</v>
      </c>
      <c r="X2822">
        <v>0.94904080000000002</v>
      </c>
      <c r="Y2822">
        <v>-0.38672399999999901</v>
      </c>
      <c r="Z2822">
        <v>4.8137909999999999E-2</v>
      </c>
      <c r="AA2822">
        <v>0.92093829999999999</v>
      </c>
      <c r="AB2822">
        <v>19</v>
      </c>
      <c r="AC2822">
        <v>15.598799999999899</v>
      </c>
      <c r="AD2822">
        <v>-1.1084671370581001</v>
      </c>
      <c r="AE2822">
        <v>-2.2899999999999898</v>
      </c>
      <c r="AF2822">
        <v>-6.16430264687164</v>
      </c>
      <c r="AG2822">
        <v>-1.1084671370581001</v>
      </c>
      <c r="AH2822">
        <v>14.426667566337001</v>
      </c>
      <c r="AI2822">
        <v>94.041516703035597</v>
      </c>
      <c r="AJ2822">
        <v>113.136305294442</v>
      </c>
      <c r="AK2822">
        <v>15.7275574577163</v>
      </c>
    </row>
    <row r="2823" spans="1:37" x14ac:dyDescent="0.2">
      <c r="A2823" t="str">
        <f>"20200111153704508"</f>
        <v>20200111153704508</v>
      </c>
      <c r="B2823" t="str">
        <f>"1578728224495957"</f>
        <v>1578728224495957</v>
      </c>
      <c r="C2823" t="s">
        <v>37</v>
      </c>
      <c r="D2823">
        <v>5.4353769999999999</v>
      </c>
      <c r="E2823">
        <v>0.47579369999999999</v>
      </c>
      <c r="F2823" t="s">
        <v>45</v>
      </c>
      <c r="G2823">
        <v>-462.42660000000001</v>
      </c>
      <c r="H2823" s="1">
        <v>-2.7224940000000001E-7</v>
      </c>
      <c r="I2823">
        <v>215.2294</v>
      </c>
      <c r="J2823">
        <v>-478.11239999999998</v>
      </c>
      <c r="K2823">
        <v>1.1084989999999999</v>
      </c>
      <c r="L2823">
        <v>217.45439999999999</v>
      </c>
      <c r="M2823">
        <v>0.85734049999999995</v>
      </c>
      <c r="N2823">
        <v>0</v>
      </c>
      <c r="O2823">
        <v>-0.51472629999999997</v>
      </c>
      <c r="P2823">
        <v>0.97152709999999998</v>
      </c>
      <c r="Q2823">
        <v>6.3040490000000005E-2</v>
      </c>
      <c r="R2823">
        <v>-0.22838800000000001</v>
      </c>
      <c r="S2823">
        <v>2.9998779999999998</v>
      </c>
      <c r="T2823">
        <v>-0.20972859999999999</v>
      </c>
      <c r="U2823">
        <v>-0.43838500000000002</v>
      </c>
      <c r="V2823">
        <v>-0.30500949999999999</v>
      </c>
      <c r="W2823">
        <v>6.4317929999999995E-2</v>
      </c>
      <c r="X2823">
        <v>0.95017489999999905</v>
      </c>
      <c r="Y2823">
        <v>-0.38333809999999902</v>
      </c>
      <c r="Z2823">
        <v>4.7366510000000001E-2</v>
      </c>
      <c r="AA2823">
        <v>0.92239269999999995</v>
      </c>
      <c r="AB2823">
        <v>20</v>
      </c>
      <c r="AC2823">
        <v>15.685799999999899</v>
      </c>
      <c r="AD2823">
        <v>-1.10849927224939</v>
      </c>
      <c r="AE2823">
        <v>-2.2249999999999899</v>
      </c>
      <c r="AF2823">
        <v>-6.1363444168928902</v>
      </c>
      <c r="AG2823">
        <v>-1.10849927224939</v>
      </c>
      <c r="AH2823">
        <v>14.522417573765701</v>
      </c>
      <c r="AI2823">
        <v>94.021910129309205</v>
      </c>
      <c r="AJ2823">
        <v>112.90614338720501</v>
      </c>
      <c r="AK2823">
        <v>15.804559646701</v>
      </c>
    </row>
    <row r="2824" spans="1:37" x14ac:dyDescent="0.2">
      <c r="A2824" t="str">
        <f>"20200111153704530"</f>
        <v>20200111153704530</v>
      </c>
      <c r="B2824" t="str">
        <f>"1578728224526213"</f>
        <v>1578728224526213</v>
      </c>
      <c r="C2824" t="s">
        <v>37</v>
      </c>
      <c r="D2824">
        <v>5.6911930000000002</v>
      </c>
      <c r="E2824">
        <v>0.47637190000000001</v>
      </c>
      <c r="F2824" t="s">
        <v>45</v>
      </c>
      <c r="G2824">
        <v>-462.7885</v>
      </c>
      <c r="H2824" s="1">
        <v>-6.1613910000000003E-8</v>
      </c>
      <c r="I2824">
        <v>214.81659999999999</v>
      </c>
      <c r="J2824">
        <v>-477.94569999999999</v>
      </c>
      <c r="K2824">
        <v>1.1085320000000001</v>
      </c>
      <c r="L2824">
        <v>217.3657</v>
      </c>
      <c r="M2824">
        <v>0.86178080000000001</v>
      </c>
      <c r="N2824">
        <v>0</v>
      </c>
      <c r="O2824">
        <v>-0.50725880000000001</v>
      </c>
      <c r="P2824">
        <v>0.97270089999999998</v>
      </c>
      <c r="Q2824">
        <v>6.303222E-2</v>
      </c>
      <c r="R2824">
        <v>-0.22333809999999901</v>
      </c>
      <c r="S2824">
        <v>2.9812319999999999</v>
      </c>
      <c r="T2824">
        <v>-0.21565719999999999</v>
      </c>
      <c r="U2824">
        <v>-0.51318359999999996</v>
      </c>
      <c r="V2824">
        <v>-0.30169639999999998</v>
      </c>
      <c r="W2824">
        <v>6.4138539999999994E-2</v>
      </c>
      <c r="X2824">
        <v>0.95124419999999899</v>
      </c>
      <c r="Y2824">
        <v>-0.35167619999999999</v>
      </c>
      <c r="Z2824">
        <v>4.7256670000000001E-2</v>
      </c>
      <c r="AA2824">
        <v>0.93492819999999899</v>
      </c>
      <c r="AB2824">
        <v>20</v>
      </c>
      <c r="AC2824">
        <v>15.1571999999999</v>
      </c>
      <c r="AD2824">
        <v>-1.1085320616139001</v>
      </c>
      <c r="AE2824">
        <v>-2.5491000000000099</v>
      </c>
      <c r="AF2824">
        <v>-5.4634995470113497</v>
      </c>
      <c r="AG2824">
        <v>-1.1085320616139001</v>
      </c>
      <c r="AH2824">
        <v>14.281111748883299</v>
      </c>
      <c r="AI2824">
        <v>94.146574812323095</v>
      </c>
      <c r="AJ2824">
        <v>110.935262460464</v>
      </c>
      <c r="AK2824">
        <v>15.3306498040987</v>
      </c>
    </row>
    <row r="2825" spans="1:37" x14ac:dyDescent="0.2">
      <c r="A2825" t="str">
        <f>"20200111153704553"</f>
        <v>20200111153704553</v>
      </c>
      <c r="B2825" t="str">
        <f>"1578728224545732"</f>
        <v>1578728224545732</v>
      </c>
      <c r="C2825" t="s">
        <v>37</v>
      </c>
      <c r="D2825">
        <v>5.5240460000000002</v>
      </c>
      <c r="E2825">
        <v>0.4770258</v>
      </c>
      <c r="F2825" t="s">
        <v>45</v>
      </c>
      <c r="G2825">
        <v>-463.0145</v>
      </c>
      <c r="H2825" s="1">
        <v>5.7028159999999998E-8</v>
      </c>
      <c r="I2825">
        <v>214.85329999999999</v>
      </c>
      <c r="J2825">
        <v>-477.75850000000003</v>
      </c>
      <c r="K2825">
        <v>1.108568</v>
      </c>
      <c r="L2825">
        <v>217.2681</v>
      </c>
      <c r="M2825">
        <v>0.86666639999999995</v>
      </c>
      <c r="N2825">
        <v>0</v>
      </c>
      <c r="O2825">
        <v>-0.49886759999999902</v>
      </c>
      <c r="P2825">
        <v>0.97413019999999995</v>
      </c>
      <c r="Q2825">
        <v>6.3154760000000004E-2</v>
      </c>
      <c r="R2825">
        <v>-0.2169836</v>
      </c>
      <c r="S2825">
        <v>2.983276</v>
      </c>
      <c r="T2825">
        <v>-0.22148599999999999</v>
      </c>
      <c r="U2825">
        <v>-0.50198359999999997</v>
      </c>
      <c r="V2825">
        <v>-0.298674</v>
      </c>
      <c r="W2825">
        <v>6.4044770000000001E-2</v>
      </c>
      <c r="X2825">
        <v>0.95220380000000004</v>
      </c>
      <c r="Y2825">
        <v>-0.346026</v>
      </c>
      <c r="Z2825">
        <v>4.7782480000000002E-2</v>
      </c>
      <c r="AA2825">
        <v>0.93700740000000005</v>
      </c>
      <c r="AB2825">
        <v>20</v>
      </c>
      <c r="AC2825">
        <v>14.744</v>
      </c>
      <c r="AD2825">
        <v>-1.10856794297184</v>
      </c>
      <c r="AE2825">
        <v>-2.4148000000000098</v>
      </c>
      <c r="AF2825">
        <v>-5.2337174333332097</v>
      </c>
      <c r="AG2825">
        <v>-1.10856794297184</v>
      </c>
      <c r="AH2825">
        <v>13.906376259536</v>
      </c>
      <c r="AI2825">
        <v>94.266798192309594</v>
      </c>
      <c r="AJ2825">
        <v>110.624018482624</v>
      </c>
      <c r="AK2825">
        <v>14.899933614883899</v>
      </c>
    </row>
    <row r="2826" spans="1:37" x14ac:dyDescent="0.2">
      <c r="A2826" t="str">
        <f>"20200111153704575"</f>
        <v>20200111153704575</v>
      </c>
      <c r="B2826" t="str">
        <f>"1578728224566229"</f>
        <v>1578728224566229</v>
      </c>
      <c r="C2826" t="s">
        <v>37</v>
      </c>
      <c r="D2826">
        <v>5.4745439999999999</v>
      </c>
      <c r="E2826">
        <v>0.47754629999999998</v>
      </c>
      <c r="F2826" t="s">
        <v>45</v>
      </c>
      <c r="G2826">
        <v>-463.08049999999997</v>
      </c>
      <c r="H2826" s="1">
        <v>9.1272669999999994E-8</v>
      </c>
      <c r="I2826">
        <v>214.87280000000001</v>
      </c>
      <c r="J2826">
        <v>-477.58819999999997</v>
      </c>
      <c r="K2826">
        <v>1.1086009999999999</v>
      </c>
      <c r="L2826">
        <v>217.18129999999999</v>
      </c>
      <c r="M2826">
        <v>0.87101379999999995</v>
      </c>
      <c r="N2826">
        <v>0</v>
      </c>
      <c r="O2826">
        <v>-0.4912396</v>
      </c>
      <c r="P2826">
        <v>0.975294199999999</v>
      </c>
      <c r="Q2826">
        <v>6.3713409999999998E-2</v>
      </c>
      <c r="R2826">
        <v>-0.21152319999999999</v>
      </c>
      <c r="S2826">
        <v>2.9857480000000001</v>
      </c>
      <c r="T2826">
        <v>-0.22550139999999999</v>
      </c>
      <c r="U2826">
        <v>-0.4872437</v>
      </c>
      <c r="V2826">
        <v>-0.29564229999999903</v>
      </c>
      <c r="W2826">
        <v>6.4394060000000003E-2</v>
      </c>
      <c r="X2826">
        <v>0.95312589999999997</v>
      </c>
      <c r="Y2826">
        <v>-0.34237040000000002</v>
      </c>
      <c r="Z2826">
        <v>4.8005810000000003E-2</v>
      </c>
      <c r="AA2826">
        <v>0.93833789999999995</v>
      </c>
      <c r="AB2826">
        <v>20</v>
      </c>
      <c r="AC2826">
        <v>14.5077</v>
      </c>
      <c r="AD2826">
        <v>-1.1086009087273301</v>
      </c>
      <c r="AE2826">
        <v>-2.30849999999998</v>
      </c>
      <c r="AF2826">
        <v>-5.0870979711000199</v>
      </c>
      <c r="AG2826">
        <v>-1.1086009087273301</v>
      </c>
      <c r="AH2826">
        <v>13.692582404917699</v>
      </c>
      <c r="AI2826">
        <v>94.340143690689501</v>
      </c>
      <c r="AJ2826">
        <v>110.381147878202</v>
      </c>
      <c r="AK2826">
        <v>14.649040059261999</v>
      </c>
    </row>
    <row r="2827" spans="1:37" x14ac:dyDescent="0.2">
      <c r="A2827" t="str">
        <f>"20200111153704597"</f>
        <v>20200111153704597</v>
      </c>
      <c r="B2827" t="str">
        <f>"1578728224585749"</f>
        <v>1578728224585749</v>
      </c>
      <c r="C2827" t="s">
        <v>37</v>
      </c>
      <c r="D2827">
        <v>5.7608459999999999</v>
      </c>
      <c r="E2827">
        <v>0.4778366</v>
      </c>
      <c r="F2827" t="s">
        <v>45</v>
      </c>
      <c r="G2827">
        <v>-463.01990000000001</v>
      </c>
      <c r="H2827" s="1">
        <v>5.93004899999999E-8</v>
      </c>
      <c r="I2827">
        <v>214.86709999999999</v>
      </c>
      <c r="J2827">
        <v>-477.41390000000001</v>
      </c>
      <c r="K2827">
        <v>1.108633</v>
      </c>
      <c r="L2827">
        <v>217.0943</v>
      </c>
      <c r="M2827">
        <v>0.87537259999999995</v>
      </c>
      <c r="N2827">
        <v>0</v>
      </c>
      <c r="O2827">
        <v>-0.48343130000000001</v>
      </c>
      <c r="P2827">
        <v>0.97654839999999998</v>
      </c>
      <c r="Q2827">
        <v>6.3679929999999996E-2</v>
      </c>
      <c r="R2827">
        <v>-0.20566519999999999</v>
      </c>
      <c r="S2827">
        <v>2.987946</v>
      </c>
      <c r="T2827">
        <v>-0.22737350000000001</v>
      </c>
      <c r="U2827">
        <v>-0.4746399</v>
      </c>
      <c r="V2827">
        <v>-0.29284739999999998</v>
      </c>
      <c r="W2827">
        <v>6.4126630000000004E-2</v>
      </c>
      <c r="X2827">
        <v>0.95400640000000003</v>
      </c>
      <c r="Y2827">
        <v>-0.33793240000000002</v>
      </c>
      <c r="Z2827">
        <v>4.771276E-2</v>
      </c>
      <c r="AA2827">
        <v>0.93996019999999902</v>
      </c>
      <c r="AB2827">
        <v>20</v>
      </c>
      <c r="AC2827">
        <v>14.394</v>
      </c>
      <c r="AD2827">
        <v>-1.1086329406995099</v>
      </c>
      <c r="AE2827">
        <v>-2.2272000000000101</v>
      </c>
      <c r="AF2827">
        <v>-4.9800710305519997</v>
      </c>
      <c r="AG2827">
        <v>-1.1086329406995099</v>
      </c>
      <c r="AH2827">
        <v>13.5981473800798</v>
      </c>
      <c r="AI2827">
        <v>94.377778750778305</v>
      </c>
      <c r="AJ2827">
        <v>110.114326145638</v>
      </c>
      <c r="AK2827">
        <v>14.523766269012899</v>
      </c>
    </row>
    <row r="2828" spans="1:37" x14ac:dyDescent="0.2">
      <c r="A2828" t="str">
        <f>"20200111153704621"</f>
        <v>20200111153704621</v>
      </c>
      <c r="B2828" t="str">
        <f>"1578728224616005"</f>
        <v>1578728224616005</v>
      </c>
      <c r="C2828" t="s">
        <v>37</v>
      </c>
      <c r="D2828">
        <v>5.8515470000000001</v>
      </c>
      <c r="E2828">
        <v>0.47702919999999999</v>
      </c>
      <c r="F2828" t="s">
        <v>45</v>
      </c>
      <c r="G2828">
        <v>-463.11849999999998</v>
      </c>
      <c r="H2828" s="1">
        <v>1.10266699999999E-7</v>
      </c>
      <c r="I2828">
        <v>214.9008</v>
      </c>
      <c r="J2828">
        <v>-477.214</v>
      </c>
      <c r="K2828">
        <v>1.1086639999999901</v>
      </c>
      <c r="L2828">
        <v>216.99680000000001</v>
      </c>
      <c r="M2828">
        <v>0.88025719999999996</v>
      </c>
      <c r="N2828">
        <v>0</v>
      </c>
      <c r="O2828">
        <v>-0.47448119999999999</v>
      </c>
      <c r="P2828">
        <v>0.97797780000000001</v>
      </c>
      <c r="Q2828">
        <v>6.3841919999999996E-2</v>
      </c>
      <c r="R2828">
        <v>-0.198704399999999</v>
      </c>
      <c r="S2828">
        <v>2.99057</v>
      </c>
      <c r="T2828">
        <v>-0.23192359999999901</v>
      </c>
      <c r="U2828">
        <v>-0.4588776</v>
      </c>
      <c r="V2828">
        <v>-0.28991879999999998</v>
      </c>
      <c r="W2828">
        <v>6.3997680000000001E-2</v>
      </c>
      <c r="X2828">
        <v>0.95490909999999996</v>
      </c>
      <c r="Y2828">
        <v>-0.33324979999999998</v>
      </c>
      <c r="Z2828">
        <v>4.7869929999999998E-2</v>
      </c>
      <c r="AA2828">
        <v>0.94162259999999998</v>
      </c>
      <c r="AB2828">
        <v>20</v>
      </c>
      <c r="AC2828">
        <v>14.095499999999999</v>
      </c>
      <c r="AD2828">
        <v>-1.1086638897333001</v>
      </c>
      <c r="AE2828">
        <v>-2.0960000000000001</v>
      </c>
      <c r="AF2828">
        <v>-4.8139299373446303</v>
      </c>
      <c r="AG2828">
        <v>-1.1086638897333001</v>
      </c>
      <c r="AH2828">
        <v>13.3216471628491</v>
      </c>
      <c r="AI2828">
        <v>94.475371171360806</v>
      </c>
      <c r="AJ2828">
        <v>109.867902858684</v>
      </c>
      <c r="AK2828">
        <v>14.2080730640543</v>
      </c>
    </row>
    <row r="2829" spans="1:37" x14ac:dyDescent="0.2">
      <c r="A2829" t="str">
        <f>"20200111153704643"</f>
        <v>20200111153704643</v>
      </c>
      <c r="B2829" t="str">
        <f>"1578728224635525"</f>
        <v>1578728224635525</v>
      </c>
      <c r="C2829" t="s">
        <v>37</v>
      </c>
      <c r="D2829">
        <v>5.6110689999999996</v>
      </c>
      <c r="E2829">
        <v>0.47671409999999997</v>
      </c>
      <c r="F2829" t="s">
        <v>45</v>
      </c>
      <c r="G2829">
        <v>-463.39589999999998</v>
      </c>
      <c r="H2829" s="1">
        <v>2.5325109999999999E-7</v>
      </c>
      <c r="I2829">
        <v>215.0069</v>
      </c>
      <c r="J2829">
        <v>-477.03769999999997</v>
      </c>
      <c r="K2829">
        <v>1.1086849999999999</v>
      </c>
      <c r="L2829">
        <v>216.91290000000001</v>
      </c>
      <c r="M2829">
        <v>0.88445849999999904</v>
      </c>
      <c r="N2829">
        <v>0</v>
      </c>
      <c r="O2829">
        <v>-0.46660499999999999</v>
      </c>
      <c r="P2829">
        <v>0.97902939999999905</v>
      </c>
      <c r="Q2829">
        <v>6.4333989999999994E-2</v>
      </c>
      <c r="R2829">
        <v>-0.19329470000000001</v>
      </c>
      <c r="S2829">
        <v>2.9956049999999999</v>
      </c>
      <c r="T2829">
        <v>-0.24034510000000001</v>
      </c>
      <c r="U2829">
        <v>-0.43139650000000002</v>
      </c>
      <c r="V2829">
        <v>-0.28667090000000001</v>
      </c>
      <c r="W2829">
        <v>6.4232739999999997E-2</v>
      </c>
      <c r="X2829">
        <v>0.95587339999999998</v>
      </c>
      <c r="Y2829">
        <v>-0.33338499999999999</v>
      </c>
      <c r="Z2829">
        <v>4.9025470000000002E-2</v>
      </c>
      <c r="AA2829">
        <v>0.94151530000000005</v>
      </c>
      <c r="AB2829">
        <v>21</v>
      </c>
      <c r="AC2829">
        <v>13.6417999999999</v>
      </c>
      <c r="AD2829">
        <v>-1.1086847467489001</v>
      </c>
      <c r="AE2829">
        <v>-1.9059999999999999</v>
      </c>
      <c r="AF2829">
        <v>-4.6494627619476496</v>
      </c>
      <c r="AG2829">
        <v>-1.1086847467489001</v>
      </c>
      <c r="AH2829">
        <v>12.871649494467</v>
      </c>
      <c r="AI2829">
        <v>94.631461810746899</v>
      </c>
      <c r="AJ2829">
        <v>109.86059762365601</v>
      </c>
      <c r="AK2829">
        <v>13.7304787444147</v>
      </c>
    </row>
    <row r="2830" spans="1:37" x14ac:dyDescent="0.2">
      <c r="A2830" t="str">
        <f>"20200111153704663"</f>
        <v>20200111153704663</v>
      </c>
      <c r="B2830" t="str">
        <f>"1578728224656020"</f>
        <v>1578728224656020</v>
      </c>
      <c r="C2830" t="s">
        <v>37</v>
      </c>
      <c r="D2830">
        <v>5.5287660000000001</v>
      </c>
      <c r="E2830">
        <v>0.4765741</v>
      </c>
      <c r="F2830" t="s">
        <v>45</v>
      </c>
      <c r="G2830">
        <v>-463.47269999999997</v>
      </c>
      <c r="H2830" s="1">
        <v>2.9234570000000001E-7</v>
      </c>
      <c r="I2830">
        <v>215.04730000000001</v>
      </c>
      <c r="J2830">
        <v>-476.85950000000003</v>
      </c>
      <c r="K2830">
        <v>1.108708</v>
      </c>
      <c r="L2830">
        <v>216.82980000000001</v>
      </c>
      <c r="M2830">
        <v>0.88860039999999996</v>
      </c>
      <c r="N2830">
        <v>0</v>
      </c>
      <c r="O2830">
        <v>-0.45867029999999998</v>
      </c>
      <c r="P2830">
        <v>0.980151199999999</v>
      </c>
      <c r="Q2830">
        <v>6.4280210000000004E-2</v>
      </c>
      <c r="R2830">
        <v>-0.1875405</v>
      </c>
      <c r="S2830">
        <v>2.9989619999999899</v>
      </c>
      <c r="T2830">
        <v>-0.24510899999999999</v>
      </c>
      <c r="U2830">
        <v>-0.41242979999999901</v>
      </c>
      <c r="V2830">
        <v>-0.2837363</v>
      </c>
      <c r="W2830">
        <v>6.3914869999999999E-2</v>
      </c>
      <c r="X2830">
        <v>0.95676989999999995</v>
      </c>
      <c r="Y2830">
        <v>-0.33087480000000002</v>
      </c>
      <c r="Z2830">
        <v>4.9300759999999999E-2</v>
      </c>
      <c r="AA2830">
        <v>0.94238599999999995</v>
      </c>
      <c r="AB2830">
        <v>21</v>
      </c>
      <c r="AC2830">
        <v>13.386799999999999</v>
      </c>
      <c r="AD2830">
        <v>-1.1087077076542999</v>
      </c>
      <c r="AE2830">
        <v>-1.78249999999999</v>
      </c>
      <c r="AF2830">
        <v>-4.5257196371887298</v>
      </c>
      <c r="AG2830">
        <v>-1.1087077076542999</v>
      </c>
      <c r="AH2830">
        <v>12.6280540708972</v>
      </c>
      <c r="AI2830">
        <v>94.724740270482599</v>
      </c>
      <c r="AJ2830">
        <v>109.7169761154</v>
      </c>
      <c r="AK2830">
        <v>13.4602793668241</v>
      </c>
    </row>
    <row r="2831" spans="1:37" x14ac:dyDescent="0.2">
      <c r="A2831" t="str">
        <f>"20200111153704687"</f>
        <v>20200111153704687</v>
      </c>
      <c r="B2831" t="str">
        <f>"1578728224675541"</f>
        <v>1578728224675541</v>
      </c>
      <c r="C2831" t="s">
        <v>37</v>
      </c>
      <c r="D2831">
        <v>5.5305239999999998</v>
      </c>
      <c r="E2831">
        <v>0.4764854</v>
      </c>
      <c r="F2831" t="s">
        <v>45</v>
      </c>
      <c r="G2831">
        <v>-463.49149999999997</v>
      </c>
      <c r="H2831" s="1">
        <v>3.0104349999999999E-7</v>
      </c>
      <c r="I2831">
        <v>215.07769999999999</v>
      </c>
      <c r="J2831">
        <v>-476.66449999999998</v>
      </c>
      <c r="K2831">
        <v>1.108738</v>
      </c>
      <c r="L2831">
        <v>216.74109999999999</v>
      </c>
      <c r="M2831">
        <v>0.8930091</v>
      </c>
      <c r="N2831">
        <v>0</v>
      </c>
      <c r="O2831">
        <v>-0.4500287</v>
      </c>
      <c r="P2831">
        <v>0.98138760000000003</v>
      </c>
      <c r="Q2831">
        <v>6.3862760000000005E-2</v>
      </c>
      <c r="R2831">
        <v>-0.18110789999999999</v>
      </c>
      <c r="S2831">
        <v>3.0018310000000001</v>
      </c>
      <c r="T2831">
        <v>-0.24896399999999999</v>
      </c>
      <c r="U2831">
        <v>-0.39346310000000001</v>
      </c>
      <c r="V2831">
        <v>-0.28074280000000001</v>
      </c>
      <c r="W2831">
        <v>6.3216300000000003E-2</v>
      </c>
      <c r="X2831">
        <v>0.95769889999999902</v>
      </c>
      <c r="Y2831">
        <v>-0.3276539</v>
      </c>
      <c r="Z2831">
        <v>4.929215E-2</v>
      </c>
      <c r="AA2831">
        <v>0.94351109999999905</v>
      </c>
      <c r="AB2831">
        <v>21</v>
      </c>
      <c r="AC2831">
        <v>13.173</v>
      </c>
      <c r="AD2831">
        <v>-1.1087376989565001</v>
      </c>
      <c r="AE2831">
        <v>-1.66339999999999</v>
      </c>
      <c r="AF2831">
        <v>-4.4120514148432903</v>
      </c>
      <c r="AG2831">
        <v>-1.1087376989565001</v>
      </c>
      <c r="AH2831">
        <v>12.425599015738801</v>
      </c>
      <c r="AI2831">
        <v>94.806500920380103</v>
      </c>
      <c r="AJ2831">
        <v>109.54880887527</v>
      </c>
      <c r="AK2831">
        <v>13.2321958824768</v>
      </c>
    </row>
    <row r="2832" spans="1:37" x14ac:dyDescent="0.2">
      <c r="A2832" t="str">
        <f>"20200111153704708"</f>
        <v>20200111153704708</v>
      </c>
      <c r="B2832" t="str">
        <f>"1578728224705796"</f>
        <v>1578728224705796</v>
      </c>
      <c r="C2832" t="s">
        <v>37</v>
      </c>
      <c r="D2832">
        <v>5.8434419999999996</v>
      </c>
      <c r="E2832">
        <v>0.47644880000000001</v>
      </c>
      <c r="F2832" t="s">
        <v>45</v>
      </c>
      <c r="G2832">
        <v>-463.55029999999999</v>
      </c>
      <c r="H2832" s="1">
        <v>3.3082749999999999E-7</v>
      </c>
      <c r="I2832">
        <v>215.11179999999999</v>
      </c>
      <c r="J2832">
        <v>-476.47500000000002</v>
      </c>
      <c r="K2832">
        <v>1.108771</v>
      </c>
      <c r="L2832">
        <v>216.65690000000001</v>
      </c>
      <c r="M2832">
        <v>0.89716149999999995</v>
      </c>
      <c r="N2832">
        <v>0</v>
      </c>
      <c r="O2832">
        <v>-0.4416947</v>
      </c>
      <c r="P2832">
        <v>0.98237419999999998</v>
      </c>
      <c r="Q2832">
        <v>6.3981369999999996E-2</v>
      </c>
      <c r="R2832">
        <v>-0.17563480000000001</v>
      </c>
      <c r="S2832">
        <v>3.0045470000000001</v>
      </c>
      <c r="T2832">
        <v>-0.25401829999999997</v>
      </c>
      <c r="U2832">
        <v>-0.37329099999999998</v>
      </c>
      <c r="V2832">
        <v>-0.27716740000000001</v>
      </c>
      <c r="W2832">
        <v>6.3088279999999997E-2</v>
      </c>
      <c r="X2832">
        <v>0.95874820000000005</v>
      </c>
      <c r="Y2832">
        <v>-0.32513700000000001</v>
      </c>
      <c r="Z2832">
        <v>4.954509E-2</v>
      </c>
      <c r="AA2832">
        <v>0.94436810000000004</v>
      </c>
      <c r="AB2832">
        <v>21</v>
      </c>
      <c r="AC2832">
        <v>12.9247</v>
      </c>
      <c r="AD2832">
        <v>-1.1087706691724999</v>
      </c>
      <c r="AE2832">
        <v>-1.5451000000000099</v>
      </c>
      <c r="AF2832">
        <v>-4.29144498744449</v>
      </c>
      <c r="AG2832">
        <v>-1.1087706691724999</v>
      </c>
      <c r="AH2832">
        <v>12.1896046930637</v>
      </c>
      <c r="AI2832">
        <v>94.903881741980896</v>
      </c>
      <c r="AJ2832">
        <v>109.39501328612501</v>
      </c>
      <c r="AK2832">
        <v>12.970440819426299</v>
      </c>
    </row>
    <row r="2833" spans="1:37" x14ac:dyDescent="0.2">
      <c r="A2833" t="str">
        <f>"20200111153704731"</f>
        <v>20200111153704731</v>
      </c>
      <c r="B2833" t="str">
        <f>"1578728224725317"</f>
        <v>1578728224725317</v>
      </c>
      <c r="C2833" t="s">
        <v>37</v>
      </c>
      <c r="D2833">
        <v>5.5469499999999998</v>
      </c>
      <c r="E2833">
        <v>0.47638019999999998</v>
      </c>
      <c r="F2833" t="s">
        <v>45</v>
      </c>
      <c r="G2833">
        <v>-463.49869999999999</v>
      </c>
      <c r="H2833" s="1">
        <v>3.0302259999999998E-7</v>
      </c>
      <c r="I2833">
        <v>215.11969999999999</v>
      </c>
      <c r="J2833">
        <v>-476.2783</v>
      </c>
      <c r="K2833">
        <v>1.1088089999999999</v>
      </c>
      <c r="L2833">
        <v>216.57149999999999</v>
      </c>
      <c r="M2833">
        <v>0.901335199999999</v>
      </c>
      <c r="N2833">
        <v>0</v>
      </c>
      <c r="O2833">
        <v>-0.43311549999999999</v>
      </c>
      <c r="P2833">
        <v>0.98319579999999995</v>
      </c>
      <c r="Q2833">
        <v>6.4304340000000001E-2</v>
      </c>
      <c r="R2833">
        <v>-0.170854799999999</v>
      </c>
      <c r="S2833">
        <v>3.006866</v>
      </c>
      <c r="T2833">
        <v>-0.25692339999999902</v>
      </c>
      <c r="U2833">
        <v>-0.3562012</v>
      </c>
      <c r="V2833">
        <v>-0.27268199999999998</v>
      </c>
      <c r="W2833">
        <v>6.3189170000000003E-2</v>
      </c>
      <c r="X2833">
        <v>0.96002690000000002</v>
      </c>
      <c r="Y2833">
        <v>-0.32147900000000001</v>
      </c>
      <c r="Z2833">
        <v>4.9286789999999997E-2</v>
      </c>
      <c r="AA2833">
        <v>0.94563319999999995</v>
      </c>
      <c r="AB2833">
        <v>21</v>
      </c>
      <c r="AC2833">
        <v>12.7796</v>
      </c>
      <c r="AD2833">
        <v>-1.10880869697739</v>
      </c>
      <c r="AE2833">
        <v>-1.45179999999999</v>
      </c>
      <c r="AF2833">
        <v>-4.1953168167039996</v>
      </c>
      <c r="AG2833">
        <v>-1.10880869697739</v>
      </c>
      <c r="AH2833">
        <v>12.057920460786301</v>
      </c>
      <c r="AI2833">
        <v>94.963692555640606</v>
      </c>
      <c r="AJ2833">
        <v>109.18433835600899</v>
      </c>
      <c r="AK2833">
        <v>12.814975058799799</v>
      </c>
    </row>
    <row r="2834" spans="1:37" x14ac:dyDescent="0.2">
      <c r="A2834" t="str">
        <f>"20200111153704753"</f>
        <v>20200111153704753</v>
      </c>
      <c r="B2834" t="str">
        <f>"1578728224745812"</f>
        <v>1578728224745812</v>
      </c>
      <c r="C2834" t="s">
        <v>37</v>
      </c>
      <c r="D2834">
        <v>5.5257129999999997</v>
      </c>
      <c r="E2834">
        <v>0.47635959999999899</v>
      </c>
      <c r="F2834" t="s">
        <v>45</v>
      </c>
      <c r="G2834">
        <v>-463.38709999999998</v>
      </c>
      <c r="H2834" s="1">
        <v>2.4398279999999998E-7</v>
      </c>
      <c r="I2834">
        <v>215.11279999999999</v>
      </c>
      <c r="J2834">
        <v>-476.07589999999999</v>
      </c>
      <c r="K2834">
        <v>1.1088450000000001</v>
      </c>
      <c r="L2834">
        <v>216.48580000000001</v>
      </c>
      <c r="M2834">
        <v>0.90547979999999995</v>
      </c>
      <c r="N2834">
        <v>0</v>
      </c>
      <c r="O2834">
        <v>-0.42438339999999902</v>
      </c>
      <c r="P2834">
        <v>0.98405499999999901</v>
      </c>
      <c r="Q2834">
        <v>6.4763080000000001E-2</v>
      </c>
      <c r="R2834">
        <v>-0.16565559999999999</v>
      </c>
      <c r="S2834">
        <v>3.009064</v>
      </c>
      <c r="T2834">
        <v>-0.25881999999999999</v>
      </c>
      <c r="U2834">
        <v>-0.34049990000000002</v>
      </c>
      <c r="V2834">
        <v>-0.26847349999999998</v>
      </c>
      <c r="W2834">
        <v>6.3443769999999997E-2</v>
      </c>
      <c r="X2834">
        <v>0.96119549999999998</v>
      </c>
      <c r="Y2834">
        <v>-0.31728499999999998</v>
      </c>
      <c r="Z2834">
        <v>4.8781379999999999E-2</v>
      </c>
      <c r="AA2834">
        <v>0.94707479999999999</v>
      </c>
      <c r="AB2834">
        <v>22</v>
      </c>
      <c r="AC2834">
        <v>12.688800000000001</v>
      </c>
      <c r="AD2834">
        <v>-1.1088447560171999</v>
      </c>
      <c r="AE2834">
        <v>-1.37300000000001</v>
      </c>
      <c r="AF2834">
        <v>-4.1106744943236198</v>
      </c>
      <c r="AG2834">
        <v>-1.1088447560171999</v>
      </c>
      <c r="AH2834">
        <v>11.981720290948701</v>
      </c>
      <c r="AI2834">
        <v>95.002710465482295</v>
      </c>
      <c r="AJ2834">
        <v>108.936008970789</v>
      </c>
      <c r="AK2834">
        <v>12.715691197169001</v>
      </c>
    </row>
    <row r="2835" spans="1:37" x14ac:dyDescent="0.2">
      <c r="A2835" t="str">
        <f>"20200111153704775"</f>
        <v>20200111153704775</v>
      </c>
      <c r="B2835" t="str">
        <f>"1578728224765333"</f>
        <v>1578728224765333</v>
      </c>
      <c r="C2835" t="s">
        <v>37</v>
      </c>
      <c r="D2835">
        <v>5.6007769999999999</v>
      </c>
      <c r="E2835">
        <v>0.4765604</v>
      </c>
      <c r="F2835" t="s">
        <v>45</v>
      </c>
      <c r="G2835">
        <v>-463.231999999999</v>
      </c>
      <c r="H2835" s="1">
        <v>1.61914E-7</v>
      </c>
      <c r="I2835">
        <v>215.1019</v>
      </c>
      <c r="J2835">
        <v>-475.8852</v>
      </c>
      <c r="K2835">
        <v>1.108867</v>
      </c>
      <c r="L2835">
        <v>216.40710000000001</v>
      </c>
      <c r="M2835">
        <v>0.909244099999999</v>
      </c>
      <c r="N2835">
        <v>0</v>
      </c>
      <c r="O2835">
        <v>-0.41625829999999903</v>
      </c>
      <c r="P2835">
        <v>0.9846644</v>
      </c>
      <c r="Q2835">
        <v>6.5515249999999997E-2</v>
      </c>
      <c r="R2835">
        <v>-0.16169</v>
      </c>
      <c r="S2835">
        <v>3.0111080000000001</v>
      </c>
      <c r="T2835">
        <v>-0.25995780000000002</v>
      </c>
      <c r="U2835">
        <v>-0.324447599999999</v>
      </c>
      <c r="V2835">
        <v>-0.26372779999999901</v>
      </c>
      <c r="W2835">
        <v>6.4045249999999998E-2</v>
      </c>
      <c r="X2835">
        <v>0.96246860000000001</v>
      </c>
      <c r="Y2835">
        <v>-0.31387340000000002</v>
      </c>
      <c r="Z2835">
        <v>4.8203709999999997E-2</v>
      </c>
      <c r="AA2835">
        <v>0.94824039999999998</v>
      </c>
      <c r="AB2835">
        <v>22</v>
      </c>
      <c r="AC2835">
        <v>12.6532</v>
      </c>
      <c r="AD2835">
        <v>-1.1088668380859901</v>
      </c>
      <c r="AE2835">
        <v>-1.3052000000000099</v>
      </c>
      <c r="AF2835">
        <v>-4.0494902488785902</v>
      </c>
      <c r="AG2835">
        <v>-1.1088668380859901</v>
      </c>
      <c r="AH2835">
        <v>11.9573084145206</v>
      </c>
      <c r="AI2835">
        <v>95.019702402189793</v>
      </c>
      <c r="AJ2835">
        <v>108.709305605727</v>
      </c>
      <c r="AK2835">
        <v>12.6730099605553</v>
      </c>
    </row>
    <row r="2836" spans="1:37" x14ac:dyDescent="0.2">
      <c r="A2836" t="str">
        <f>"20200111153704798"</f>
        <v>20200111153704798</v>
      </c>
      <c r="B2836" t="str">
        <f>"1578728224795589"</f>
        <v>1578728224795589</v>
      </c>
      <c r="C2836" t="s">
        <v>37</v>
      </c>
      <c r="D2836">
        <v>5.482094</v>
      </c>
      <c r="E2836">
        <v>0.47668459999999901</v>
      </c>
      <c r="F2836" t="s">
        <v>45</v>
      </c>
      <c r="G2836">
        <v>-463.03710000000001</v>
      </c>
      <c r="H2836" s="1">
        <v>5.9696449999999999E-8</v>
      </c>
      <c r="I2836">
        <v>215.06710000000001</v>
      </c>
      <c r="J2836">
        <v>-475.67160000000001</v>
      </c>
      <c r="K2836">
        <v>1.1088739999999999</v>
      </c>
      <c r="L2836">
        <v>216.32089999999999</v>
      </c>
      <c r="M2836">
        <v>0.91330129999999998</v>
      </c>
      <c r="N2836">
        <v>0</v>
      </c>
      <c r="O2836">
        <v>-0.40728009999999998</v>
      </c>
      <c r="P2836">
        <v>0.98527379999999998</v>
      </c>
      <c r="Q2836">
        <v>6.6111160000000002E-2</v>
      </c>
      <c r="R2836">
        <v>-0.1576864</v>
      </c>
      <c r="S2836">
        <v>3.0124209999999998</v>
      </c>
      <c r="T2836">
        <v>-0.25998969999999999</v>
      </c>
      <c r="U2836">
        <v>-0.31417849999999897</v>
      </c>
      <c r="V2836">
        <v>-0.25814559999999998</v>
      </c>
      <c r="W2836">
        <v>6.4507780000000001E-2</v>
      </c>
      <c r="X2836">
        <v>0.96394999999999997</v>
      </c>
      <c r="Y2836">
        <v>-0.30781069999999999</v>
      </c>
      <c r="Z2836">
        <v>4.723712E-2</v>
      </c>
      <c r="AA2836">
        <v>0.95027430000000002</v>
      </c>
      <c r="AB2836">
        <v>22</v>
      </c>
      <c r="AC2836">
        <v>12.634499999999999</v>
      </c>
      <c r="AD2836">
        <v>-1.1088739403035499</v>
      </c>
      <c r="AE2836">
        <v>-1.25379999999998</v>
      </c>
      <c r="AF2836">
        <v>-3.9704055940946699</v>
      </c>
      <c r="AG2836">
        <v>-1.1088739403035499</v>
      </c>
      <c r="AH2836">
        <v>11.9585590615561</v>
      </c>
      <c r="AI2836">
        <v>95.029229867405903</v>
      </c>
      <c r="AJ2836">
        <v>108.36687408811</v>
      </c>
      <c r="AK2836">
        <v>12.6491445096429</v>
      </c>
    </row>
    <row r="2837" spans="1:37" x14ac:dyDescent="0.2">
      <c r="A2837" t="str">
        <f>"20200111153704821"</f>
        <v>20200111153704821</v>
      </c>
      <c r="B2837" t="str">
        <f>"1578728224816085"</f>
        <v>1578728224816085</v>
      </c>
      <c r="C2837" t="s">
        <v>37</v>
      </c>
      <c r="D2837">
        <v>5.5542959999999999</v>
      </c>
      <c r="E2837">
        <v>0.48197269999999998</v>
      </c>
      <c r="F2837" t="s">
        <v>45</v>
      </c>
      <c r="G2837">
        <v>-462.68549999999999</v>
      </c>
      <c r="H2837" s="1">
        <v>-1.250845E-7</v>
      </c>
      <c r="I2837">
        <v>215.0146</v>
      </c>
      <c r="J2837">
        <v>-475.46370000000002</v>
      </c>
      <c r="K2837">
        <v>1.1088559999999901</v>
      </c>
      <c r="L2837">
        <v>216.23929999999999</v>
      </c>
      <c r="M2837">
        <v>0.91707619999999901</v>
      </c>
      <c r="N2837">
        <v>0</v>
      </c>
      <c r="O2837">
        <v>-0.39870850000000002</v>
      </c>
      <c r="P2837">
        <v>0.98586249999999997</v>
      </c>
      <c r="Q2837">
        <v>6.6859299999999997E-2</v>
      </c>
      <c r="R2837">
        <v>-0.1536402</v>
      </c>
      <c r="S2837">
        <v>3.013611</v>
      </c>
      <c r="T2837">
        <v>-0.25733159999999999</v>
      </c>
      <c r="U2837">
        <v>-0.30316159999999998</v>
      </c>
      <c r="V2837">
        <v>-0.25305919999999998</v>
      </c>
      <c r="W2837">
        <v>6.5153030000000001E-2</v>
      </c>
      <c r="X2837">
        <v>0.96525439999999996</v>
      </c>
      <c r="Y2837">
        <v>-0.3024752</v>
      </c>
      <c r="Z2837">
        <v>4.5855630000000001E-2</v>
      </c>
      <c r="AA2837">
        <v>0.95205360000000006</v>
      </c>
      <c r="AB2837">
        <v>22</v>
      </c>
      <c r="AC2837">
        <v>12.7782</v>
      </c>
      <c r="AD2837">
        <v>-1.1088561250844999</v>
      </c>
      <c r="AE2837">
        <v>-1.2246999999999799</v>
      </c>
      <c r="AF2837">
        <v>-3.9422234137902001</v>
      </c>
      <c r="AG2837">
        <v>-1.1088561250844999</v>
      </c>
      <c r="AH2837">
        <v>12.116488301818199</v>
      </c>
      <c r="AI2837">
        <v>94.9736856799354</v>
      </c>
      <c r="AJ2837">
        <v>108.022827464667</v>
      </c>
      <c r="AK2837">
        <v>12.789838783912399</v>
      </c>
    </row>
    <row r="2838" spans="1:37" x14ac:dyDescent="0.2">
      <c r="A2838" t="str">
        <f>"20200111153704843"</f>
        <v>20200111153704843</v>
      </c>
      <c r="B2838" t="str">
        <f>"1578728224835605"</f>
        <v>1578728224835605</v>
      </c>
      <c r="C2838" t="s">
        <v>37</v>
      </c>
      <c r="D2838">
        <v>5.7325059999999999</v>
      </c>
      <c r="E2838">
        <v>0.48178379999999998</v>
      </c>
      <c r="F2838" t="s">
        <v>45</v>
      </c>
      <c r="G2838">
        <v>-459.62419999999997</v>
      </c>
      <c r="H2838" s="1">
        <v>3.5901209999999899E-6</v>
      </c>
      <c r="I2838">
        <v>214.49260000000001</v>
      </c>
      <c r="J2838">
        <v>-475.25099999999998</v>
      </c>
      <c r="K2838">
        <v>1.108824</v>
      </c>
      <c r="L2838">
        <v>216.15790000000001</v>
      </c>
      <c r="M2838">
        <v>0.92076589999999903</v>
      </c>
      <c r="N2838">
        <v>0</v>
      </c>
      <c r="O2838">
        <v>-0.39011289999999998</v>
      </c>
      <c r="P2838">
        <v>0.98662659999999902</v>
      </c>
      <c r="Q2838">
        <v>6.8133609999999997E-2</v>
      </c>
      <c r="R2838">
        <v>-0.14807490000000001</v>
      </c>
      <c r="S2838">
        <v>3.005646</v>
      </c>
      <c r="T2838">
        <v>-0.210411499999999</v>
      </c>
      <c r="U2838">
        <v>-0.33145140000000001</v>
      </c>
      <c r="V2838">
        <v>-0.24945309999999901</v>
      </c>
      <c r="W2838">
        <v>6.632826E-2</v>
      </c>
      <c r="X2838">
        <v>0.96611270000000005</v>
      </c>
      <c r="Y2838">
        <v>-0.28525889999999998</v>
      </c>
      <c r="Z2838">
        <v>3.6431850000000002E-2</v>
      </c>
      <c r="AA2838">
        <v>0.95775779999999999</v>
      </c>
      <c r="AB2838">
        <v>23</v>
      </c>
      <c r="AC2838">
        <v>15.626799999999999</v>
      </c>
      <c r="AD2838">
        <v>-1.108820409879</v>
      </c>
      <c r="AE2838">
        <v>-1.6653</v>
      </c>
      <c r="AF2838">
        <v>-4.5402669104727504</v>
      </c>
      <c r="AG2838">
        <v>-1.108820409879</v>
      </c>
      <c r="AH2838">
        <v>14.963801464018101</v>
      </c>
      <c r="AI2838">
        <v>94.055944767044593</v>
      </c>
      <c r="AJ2838">
        <v>106.878672306062</v>
      </c>
      <c r="AK2838">
        <v>15.676698012472199</v>
      </c>
    </row>
    <row r="2839" spans="1:37" x14ac:dyDescent="0.2">
      <c r="A2839" t="str">
        <f>"20200111153704864"</f>
        <v>20200111153704864</v>
      </c>
      <c r="B2839" t="str">
        <f>"1578728224856101"</f>
        <v>1578728224856101</v>
      </c>
      <c r="C2839" t="s">
        <v>37</v>
      </c>
      <c r="D2839">
        <v>5.8639010000000003</v>
      </c>
      <c r="E2839">
        <v>0.48101830000000001</v>
      </c>
      <c r="F2839" t="s">
        <v>45</v>
      </c>
      <c r="G2839">
        <v>-457.17559999999997</v>
      </c>
      <c r="H2839" s="1">
        <v>2.2964230000000002E-6</v>
      </c>
      <c r="I2839">
        <v>214.2799</v>
      </c>
      <c r="J2839">
        <v>-475.04640000000001</v>
      </c>
      <c r="K2839">
        <v>1.1087989999999901</v>
      </c>
      <c r="L2839">
        <v>216.08150000000001</v>
      </c>
      <c r="M2839">
        <v>0.92416359999999997</v>
      </c>
      <c r="N2839">
        <v>0</v>
      </c>
      <c r="O2839">
        <v>-0.38199440000000001</v>
      </c>
      <c r="P2839">
        <v>0.98723399999999994</v>
      </c>
      <c r="Q2839">
        <v>6.8930459999999999E-2</v>
      </c>
      <c r="R2839">
        <v>-0.14358899999999999</v>
      </c>
      <c r="S2839">
        <v>3.0065</v>
      </c>
      <c r="T2839">
        <v>-0.18443190000000001</v>
      </c>
      <c r="U2839">
        <v>-0.31237789999999999</v>
      </c>
      <c r="V2839">
        <v>-0.24532409999999999</v>
      </c>
      <c r="W2839">
        <v>6.705477E-2</v>
      </c>
      <c r="X2839">
        <v>0.96711930000000002</v>
      </c>
      <c r="Y2839">
        <v>-0.28324490000000002</v>
      </c>
      <c r="Z2839">
        <v>3.1430340000000001E-2</v>
      </c>
      <c r="AA2839">
        <v>0.95853250000000001</v>
      </c>
      <c r="AB2839">
        <v>23</v>
      </c>
      <c r="AC2839">
        <v>17.870799999999999</v>
      </c>
      <c r="AD2839">
        <v>-1.1087967035770001</v>
      </c>
      <c r="AE2839">
        <v>-1.8016000000000001</v>
      </c>
      <c r="AF2839">
        <v>-5.1419819000489202</v>
      </c>
      <c r="AG2839">
        <v>-1.1087967035770001</v>
      </c>
      <c r="AH2839">
        <v>17.138448051135999</v>
      </c>
      <c r="AI2839">
        <v>93.545942802222896</v>
      </c>
      <c r="AJ2839">
        <v>106.700616694069</v>
      </c>
      <c r="AK2839">
        <v>17.927515432758099</v>
      </c>
    </row>
    <row r="2840" spans="1:37" x14ac:dyDescent="0.2">
      <c r="A2840" t="str">
        <f>"20200111153704909"</f>
        <v>20200111153704909</v>
      </c>
      <c r="B2840" t="str">
        <f>"1578728224905877"</f>
        <v>1578728224905877</v>
      </c>
      <c r="C2840" t="s">
        <v>37</v>
      </c>
      <c r="D2840">
        <v>5.5766470000000004</v>
      </c>
      <c r="E2840">
        <v>0.48020639999999998</v>
      </c>
      <c r="F2840" t="s">
        <v>45</v>
      </c>
      <c r="G2840">
        <v>-455.5874</v>
      </c>
      <c r="H2840" s="1">
        <v>1.4550710000000001E-6</v>
      </c>
      <c r="I2840">
        <v>214.1926</v>
      </c>
      <c r="J2840">
        <v>-474.61070000000001</v>
      </c>
      <c r="K2840">
        <v>1.1087320000000001</v>
      </c>
      <c r="L2840">
        <v>215.9246</v>
      </c>
      <c r="M2840">
        <v>0.930919099999999</v>
      </c>
      <c r="N2840">
        <v>0</v>
      </c>
      <c r="O2840">
        <v>-0.36522369999999998</v>
      </c>
      <c r="P2840">
        <v>0.98842559999999902</v>
      </c>
      <c r="Q2840">
        <v>7.0770189999999997E-2</v>
      </c>
      <c r="R2840">
        <v>-0.1341878</v>
      </c>
      <c r="S2840">
        <v>3.0083009999999999</v>
      </c>
      <c r="T2840">
        <v>-0.17141629999999899</v>
      </c>
      <c r="U2840">
        <v>-0.29200739999999997</v>
      </c>
      <c r="V2840">
        <v>-0.23699980000000001</v>
      </c>
      <c r="W2840">
        <v>6.8782650000000001E-2</v>
      </c>
      <c r="X2840">
        <v>0.96907169999999898</v>
      </c>
      <c r="Y2840">
        <v>-0.27258130000000003</v>
      </c>
      <c r="Z2840">
        <v>2.8024859999999999E-2</v>
      </c>
      <c r="AA2840">
        <v>0.96172449999999998</v>
      </c>
      <c r="AB2840">
        <v>23</v>
      </c>
      <c r="AC2840">
        <v>19.023299999999999</v>
      </c>
      <c r="AD2840">
        <v>-1.1087305449289999</v>
      </c>
      <c r="AE2840">
        <v>-1.73199999999999</v>
      </c>
      <c r="AF2840">
        <v>-5.3174971368237403</v>
      </c>
      <c r="AG2840">
        <v>-1.1087305449289999</v>
      </c>
      <c r="AH2840">
        <v>18.280147506821798</v>
      </c>
      <c r="AI2840">
        <v>93.333040299075293</v>
      </c>
      <c r="AJ2840">
        <v>106.21914194354299</v>
      </c>
      <c r="AK2840">
        <v>19.070103620393699</v>
      </c>
    </row>
    <row r="2841" spans="1:37" x14ac:dyDescent="0.2">
      <c r="A2841" t="str">
        <f>"20200111153704931"</f>
        <v>20200111153704931</v>
      </c>
      <c r="B2841" t="str">
        <f>"1578728224925397"</f>
        <v>1578728224925397</v>
      </c>
      <c r="C2841" t="s">
        <v>37</v>
      </c>
      <c r="D2841">
        <v>5.601934</v>
      </c>
      <c r="E2841">
        <v>0.48001139999999998</v>
      </c>
      <c r="F2841" t="s">
        <v>45</v>
      </c>
      <c r="G2841">
        <v>-453.78059999999999</v>
      </c>
      <c r="H2841" s="1">
        <v>4.9530149999999998E-7</v>
      </c>
      <c r="I2841">
        <v>214.15299999999999</v>
      </c>
      <c r="J2841">
        <v>-474.39830000000001</v>
      </c>
      <c r="K2841">
        <v>1.108689</v>
      </c>
      <c r="L2841">
        <v>215.8509</v>
      </c>
      <c r="M2841">
        <v>0.93398130000000001</v>
      </c>
      <c r="N2841">
        <v>0</v>
      </c>
      <c r="O2841">
        <v>-0.35732049999999999</v>
      </c>
      <c r="P2841">
        <v>0.98896399999999995</v>
      </c>
      <c r="Q2841">
        <v>7.0940199999999995E-2</v>
      </c>
      <c r="R2841">
        <v>-0.1300695</v>
      </c>
      <c r="S2841">
        <v>3.011841</v>
      </c>
      <c r="T2841">
        <v>-0.1603125</v>
      </c>
      <c r="U2841">
        <v>-0.25614929999999902</v>
      </c>
      <c r="V2841">
        <v>-0.23281299999999999</v>
      </c>
      <c r="W2841">
        <v>6.8920129999999996E-2</v>
      </c>
      <c r="X2841">
        <v>0.97007639999999995</v>
      </c>
      <c r="Y2841">
        <v>-0.27602209999999899</v>
      </c>
      <c r="Z2841">
        <v>2.5903949999999999E-2</v>
      </c>
      <c r="AA2841">
        <v>0.96080209999999999</v>
      </c>
      <c r="AB2841">
        <v>23</v>
      </c>
      <c r="AC2841">
        <v>20.617699999999999</v>
      </c>
      <c r="AD2841">
        <v>-1.1086885046985</v>
      </c>
      <c r="AE2841">
        <v>-1.6979</v>
      </c>
      <c r="AF2841">
        <v>-5.76476576296551</v>
      </c>
      <c r="AG2841">
        <v>-1.1086885046985</v>
      </c>
      <c r="AH2841">
        <v>19.806364223312698</v>
      </c>
      <c r="AI2841">
        <v>93.076466533823407</v>
      </c>
      <c r="AJ2841">
        <v>106.227966217692</v>
      </c>
      <c r="AK2841">
        <v>20.658019707823701</v>
      </c>
    </row>
    <row r="2842" spans="1:37" x14ac:dyDescent="0.2">
      <c r="A2842" t="str">
        <f>"20200111153704955"</f>
        <v>20200111153704955</v>
      </c>
      <c r="B2842" t="str">
        <f>"1578728224945893"</f>
        <v>1578728224945893</v>
      </c>
      <c r="C2842" t="s">
        <v>37</v>
      </c>
      <c r="D2842">
        <v>5.5857449999999904</v>
      </c>
      <c r="E2842">
        <v>0.48014579999999901</v>
      </c>
      <c r="F2842" t="s">
        <v>45</v>
      </c>
      <c r="G2842">
        <v>-453.21089999999998</v>
      </c>
      <c r="H2842" s="1">
        <v>1.921326E-7</v>
      </c>
      <c r="I2842">
        <v>214.15389999999999</v>
      </c>
      <c r="J2842">
        <v>-474.15710000000001</v>
      </c>
      <c r="K2842">
        <v>1.1086400000000001</v>
      </c>
      <c r="L2842">
        <v>215.76929999999999</v>
      </c>
      <c r="M2842">
        <v>0.93728659999999997</v>
      </c>
      <c r="N2842">
        <v>0</v>
      </c>
      <c r="O2842">
        <v>-0.348558799999999</v>
      </c>
      <c r="P2842">
        <v>0.98961559999999904</v>
      </c>
      <c r="Q2842">
        <v>7.0716280000000006E-2</v>
      </c>
      <c r="R2842">
        <v>-0.12514220000000001</v>
      </c>
      <c r="S2842">
        <v>3.0130619999999899</v>
      </c>
      <c r="T2842">
        <v>-0.15766739999999899</v>
      </c>
      <c r="U2842">
        <v>-0.24133299999999999</v>
      </c>
      <c r="V2842">
        <v>-0.22855400000000001</v>
      </c>
      <c r="W2842">
        <v>6.8667999999999896E-2</v>
      </c>
      <c r="X2842">
        <v>0.97110649999999998</v>
      </c>
      <c r="Y2842">
        <v>-0.27179109999999901</v>
      </c>
      <c r="Z2842">
        <v>2.4935189999999999E-2</v>
      </c>
      <c r="AA2842">
        <v>0.96203320000000003</v>
      </c>
      <c r="AB2842">
        <v>24</v>
      </c>
      <c r="AC2842">
        <v>20.946200000000001</v>
      </c>
      <c r="AD2842">
        <v>-1.10863980786739</v>
      </c>
      <c r="AE2842">
        <v>-1.61539999999999</v>
      </c>
      <c r="AF2842">
        <v>-5.7708206575396304</v>
      </c>
      <c r="AG2842">
        <v>-1.10863980786739</v>
      </c>
      <c r="AH2842">
        <v>20.1395756252616</v>
      </c>
      <c r="AI2842">
        <v>93.029165474133706</v>
      </c>
      <c r="AJ2842">
        <v>105.98919582175699</v>
      </c>
      <c r="AK2842">
        <v>20.979369858284699</v>
      </c>
    </row>
    <row r="2843" spans="1:37" x14ac:dyDescent="0.2">
      <c r="A2843" t="str">
        <f>"20200111153704977"</f>
        <v>20200111153704977</v>
      </c>
      <c r="B2843" t="str">
        <f>"1578728224965413"</f>
        <v>1578728224965413</v>
      </c>
      <c r="C2843" t="s">
        <v>37</v>
      </c>
      <c r="D2843">
        <v>5.5492780000000002</v>
      </c>
      <c r="E2843">
        <v>0.48015159999999901</v>
      </c>
      <c r="F2843" t="s">
        <v>45</v>
      </c>
      <c r="G2843">
        <v>-452.83879999999999</v>
      </c>
      <c r="H2843" s="1">
        <v>-6.2382139999999997E-9</v>
      </c>
      <c r="I2843">
        <v>214.16099999999901</v>
      </c>
      <c r="J2843">
        <v>-473.93950000000001</v>
      </c>
      <c r="K2843">
        <v>1.108589</v>
      </c>
      <c r="L2843">
        <v>215.69749999999999</v>
      </c>
      <c r="M2843">
        <v>0.94011789999999995</v>
      </c>
      <c r="N2843">
        <v>0</v>
      </c>
      <c r="O2843">
        <v>-0.3408486</v>
      </c>
      <c r="P2843">
        <v>0.99000809999999995</v>
      </c>
      <c r="Q2843">
        <v>7.070862E-2</v>
      </c>
      <c r="R2843">
        <v>-0.12200219999999901</v>
      </c>
      <c r="S2843">
        <v>3.013916</v>
      </c>
      <c r="T2843">
        <v>-0.15673580000000001</v>
      </c>
      <c r="U2843">
        <v>-0.2273712</v>
      </c>
      <c r="V2843">
        <v>-0.2236493</v>
      </c>
      <c r="W2843">
        <v>6.8660390000000002E-2</v>
      </c>
      <c r="X2843">
        <v>0.97224829999999995</v>
      </c>
      <c r="Y2843">
        <v>-0.26836159999999998</v>
      </c>
      <c r="Z2843">
        <v>2.4322360000000001E-2</v>
      </c>
      <c r="AA2843">
        <v>0.96301109999999901</v>
      </c>
      <c r="AB2843">
        <v>24</v>
      </c>
      <c r="AC2843">
        <v>21.1007</v>
      </c>
      <c r="AD2843">
        <v>-1.10858900623821</v>
      </c>
      <c r="AE2843">
        <v>-1.53650000000001</v>
      </c>
      <c r="AF2843">
        <v>-5.7319164906346698</v>
      </c>
      <c r="AG2843">
        <v>-1.10858900623821</v>
      </c>
      <c r="AH2843">
        <v>20.305113963521698</v>
      </c>
      <c r="AI2843">
        <v>93.007735175114902</v>
      </c>
      <c r="AJ2843">
        <v>105.763805569502</v>
      </c>
      <c r="AK2843">
        <v>21.1277421726024</v>
      </c>
    </row>
    <row r="2844" spans="1:37" x14ac:dyDescent="0.2">
      <c r="A2844" t="str">
        <f>"20200111153704998"</f>
        <v>20200111153704998</v>
      </c>
      <c r="B2844" t="str">
        <f>"1578728224995668"</f>
        <v>1578728224995668</v>
      </c>
      <c r="C2844" t="s">
        <v>37</v>
      </c>
      <c r="D2844">
        <v>5.5666399999999996</v>
      </c>
      <c r="E2844">
        <v>0.48040749999999999</v>
      </c>
      <c r="F2844" t="s">
        <v>45</v>
      </c>
      <c r="G2844">
        <v>-452.6789</v>
      </c>
      <c r="H2844" s="1">
        <v>-9.1608679999999895E-8</v>
      </c>
      <c r="I2844">
        <v>214.1679</v>
      </c>
      <c r="J2844">
        <v>-473.71730000000002</v>
      </c>
      <c r="K2844">
        <v>1.108549</v>
      </c>
      <c r="L2844">
        <v>215.62599999999901</v>
      </c>
      <c r="M2844">
        <v>0.94287189999999999</v>
      </c>
      <c r="N2844">
        <v>0</v>
      </c>
      <c r="O2844">
        <v>-0.33315489999999998</v>
      </c>
      <c r="P2844">
        <v>0.99040819999999996</v>
      </c>
      <c r="Q2844">
        <v>7.0675890000000005E-2</v>
      </c>
      <c r="R2844">
        <v>-0.11873069999999999</v>
      </c>
      <c r="S2844">
        <v>3.0147400000000002</v>
      </c>
      <c r="T2844">
        <v>-0.15719720000000001</v>
      </c>
      <c r="U2844">
        <v>-0.2169037</v>
      </c>
      <c r="V2844">
        <v>-0.21890809999999999</v>
      </c>
      <c r="W2844">
        <v>6.8633760000000002E-2</v>
      </c>
      <c r="X2844">
        <v>0.97332859999999999</v>
      </c>
      <c r="Y2844">
        <v>-0.26384459999999998</v>
      </c>
      <c r="Z2844">
        <v>2.3896239999999999E-2</v>
      </c>
      <c r="AA2844">
        <v>0.96426919999999905</v>
      </c>
      <c r="AB2844">
        <v>24</v>
      </c>
      <c r="AC2844">
        <v>21.038399999999999</v>
      </c>
      <c r="AD2844">
        <v>-1.10854909160868</v>
      </c>
      <c r="AE2844">
        <v>-1.45809999999997</v>
      </c>
      <c r="AF2844">
        <v>-5.61872031015763</v>
      </c>
      <c r="AG2844">
        <v>-1.10854909160868</v>
      </c>
      <c r="AH2844">
        <v>20.266294663572999</v>
      </c>
      <c r="AI2844">
        <v>93.017316950642197</v>
      </c>
      <c r="AJ2844">
        <v>105.495745400361</v>
      </c>
      <c r="AK2844">
        <v>21.059952478651301</v>
      </c>
    </row>
    <row r="2845" spans="1:37" x14ac:dyDescent="0.2">
      <c r="A2845" t="str">
        <f>"20200111153705022"</f>
        <v>20200111153705022</v>
      </c>
      <c r="B2845" t="str">
        <f>"1578728225016164"</f>
        <v>1578728225016164</v>
      </c>
      <c r="C2845" t="s">
        <v>37</v>
      </c>
      <c r="D2845">
        <v>5.6565159999999999</v>
      </c>
      <c r="E2845">
        <v>0.48059639999999998</v>
      </c>
      <c r="F2845" t="s">
        <v>45</v>
      </c>
      <c r="G2845">
        <v>-452.72269999999997</v>
      </c>
      <c r="H2845" s="1">
        <v>-6.8373399999999995E-8</v>
      </c>
      <c r="I2845">
        <v>214.1696</v>
      </c>
      <c r="J2845">
        <v>-473.48039999999997</v>
      </c>
      <c r="K2845">
        <v>1.1085049999999901</v>
      </c>
      <c r="L2845">
        <v>215.55179999999999</v>
      </c>
      <c r="M2845">
        <v>0.945662</v>
      </c>
      <c r="N2845">
        <v>0</v>
      </c>
      <c r="O2845">
        <v>-0.32515109999999903</v>
      </c>
      <c r="P2845">
        <v>0.99075759999999902</v>
      </c>
      <c r="Q2845">
        <v>7.1690260000000006E-2</v>
      </c>
      <c r="R2845">
        <v>-0.11515359999999999</v>
      </c>
      <c r="S2845">
        <v>3.0153810000000001</v>
      </c>
      <c r="T2845">
        <v>-0.15921679999999999</v>
      </c>
      <c r="U2845">
        <v>-0.2091827</v>
      </c>
      <c r="V2845">
        <v>-0.21415339999999999</v>
      </c>
      <c r="W2845">
        <v>6.9660299999999994E-2</v>
      </c>
      <c r="X2845">
        <v>0.97431299999999899</v>
      </c>
      <c r="Y2845">
        <v>-0.2581349</v>
      </c>
      <c r="Z2845">
        <v>2.3650689999999999E-2</v>
      </c>
      <c r="AA2845">
        <v>0.96581939999999999</v>
      </c>
      <c r="AB2845">
        <v>24</v>
      </c>
      <c r="AC2845">
        <v>20.7577</v>
      </c>
      <c r="AD2845">
        <v>-1.1085050683733999</v>
      </c>
      <c r="AE2845">
        <v>-1.3821999999999799</v>
      </c>
      <c r="AF2845">
        <v>-5.4268873604639598</v>
      </c>
      <c r="AG2845">
        <v>-1.1085050683733999</v>
      </c>
      <c r="AH2845">
        <v>20.0223460046134</v>
      </c>
      <c r="AI2845">
        <v>93.058713974473605</v>
      </c>
      <c r="AJ2845">
        <v>105.165181240164</v>
      </c>
      <c r="AK2845">
        <v>20.774364718042101</v>
      </c>
    </row>
    <row r="2846" spans="1:37" x14ac:dyDescent="0.2">
      <c r="A2846" t="str">
        <f>"20200111153705044"</f>
        <v>20200111153705044</v>
      </c>
      <c r="B2846" t="str">
        <f>"1578728225035684"</f>
        <v>1578728225035684</v>
      </c>
      <c r="C2846" t="s">
        <v>37</v>
      </c>
      <c r="D2846">
        <v>5.5976359999999996</v>
      </c>
      <c r="E2846">
        <v>0.48078759999999998</v>
      </c>
      <c r="F2846" t="s">
        <v>45</v>
      </c>
      <c r="G2846">
        <v>-452.17500000000001</v>
      </c>
      <c r="H2846" s="1">
        <v>-3.584917E-7</v>
      </c>
      <c r="I2846">
        <v>214.1386</v>
      </c>
      <c r="J2846">
        <v>-473.24180000000001</v>
      </c>
      <c r="K2846">
        <v>1.108474</v>
      </c>
      <c r="L2846">
        <v>215.47900000000001</v>
      </c>
      <c r="M2846">
        <v>0.94833230000000002</v>
      </c>
      <c r="N2846">
        <v>0</v>
      </c>
      <c r="O2846">
        <v>-0.31727810000000001</v>
      </c>
      <c r="P2846">
        <v>0.991174</v>
      </c>
      <c r="Q2846">
        <v>7.1600780000000003E-2</v>
      </c>
      <c r="R2846">
        <v>-0.11156779999999999</v>
      </c>
      <c r="S2846">
        <v>3.0160520000000002</v>
      </c>
      <c r="T2846">
        <v>-0.1569229</v>
      </c>
      <c r="U2846">
        <v>-0.20005799999999899</v>
      </c>
      <c r="V2846">
        <v>-0.20957310000000001</v>
      </c>
      <c r="W2846">
        <v>6.958752E-2</v>
      </c>
      <c r="X2846">
        <v>0.9753136</v>
      </c>
      <c r="Y2846">
        <v>-0.2530637</v>
      </c>
      <c r="Z2846">
        <v>2.2788570000000001E-2</v>
      </c>
      <c r="AA2846">
        <v>0.96718110000000002</v>
      </c>
      <c r="AB2846">
        <v>25</v>
      </c>
      <c r="AC2846">
        <v>21.066800000000001</v>
      </c>
      <c r="AD2846">
        <v>-1.1084743584917001</v>
      </c>
      <c r="AE2846">
        <v>-1.34040000000001</v>
      </c>
      <c r="AF2846">
        <v>-5.3980064407808399</v>
      </c>
      <c r="AG2846">
        <v>-1.1084743584917001</v>
      </c>
      <c r="AH2846">
        <v>20.347504932852001</v>
      </c>
      <c r="AI2846">
        <v>93.014167540682806</v>
      </c>
      <c r="AJ2846">
        <v>104.857795787082</v>
      </c>
      <c r="AK2846">
        <v>21.080515789007201</v>
      </c>
    </row>
    <row r="2847" spans="1:37" x14ac:dyDescent="0.2">
      <c r="A2847" t="str">
        <f>"20200111153705065"</f>
        <v>20200111153705065</v>
      </c>
      <c r="B2847" t="str">
        <f>"1578728225056181"</f>
        <v>1578728225056181</v>
      </c>
      <c r="C2847" t="s">
        <v>37</v>
      </c>
      <c r="D2847">
        <v>5.6294149999999998</v>
      </c>
      <c r="E2847">
        <v>0.48103390000000001</v>
      </c>
      <c r="F2847" t="s">
        <v>45</v>
      </c>
      <c r="G2847">
        <v>-452.29950000000002</v>
      </c>
      <c r="H2847" s="1">
        <v>-2.9291170000000002E-7</v>
      </c>
      <c r="I2847">
        <v>214.154</v>
      </c>
      <c r="J2847">
        <v>-473.01190000000003</v>
      </c>
      <c r="K2847">
        <v>1.108457</v>
      </c>
      <c r="L2847">
        <v>215.41069999999999</v>
      </c>
      <c r="M2847">
        <v>0.95078960000000001</v>
      </c>
      <c r="N2847">
        <v>0</v>
      </c>
      <c r="O2847">
        <v>-0.30983690000000003</v>
      </c>
      <c r="P2847">
        <v>0.99154409999999904</v>
      </c>
      <c r="Q2847">
        <v>7.1335460000000003E-2</v>
      </c>
      <c r="R2847">
        <v>-0.1084036</v>
      </c>
      <c r="S2847">
        <v>3.0167540000000002</v>
      </c>
      <c r="T2847">
        <v>-0.15967629999999999</v>
      </c>
      <c r="U2847">
        <v>-0.19087219999999999</v>
      </c>
      <c r="V2847">
        <v>-0.20504139999999901</v>
      </c>
      <c r="W2847">
        <v>6.9342539999999994E-2</v>
      </c>
      <c r="X2847">
        <v>0.97629379999999999</v>
      </c>
      <c r="Y2847">
        <v>-0.24841779999999999</v>
      </c>
      <c r="Z2847">
        <v>2.268856E-2</v>
      </c>
      <c r="AA2847">
        <v>0.968387199999999</v>
      </c>
      <c r="AB2847">
        <v>25</v>
      </c>
      <c r="AC2847">
        <v>20.712399999999999</v>
      </c>
      <c r="AD2847">
        <v>-1.1084572929117</v>
      </c>
      <c r="AE2847">
        <v>-1.25669999999996</v>
      </c>
      <c r="AF2847">
        <v>-5.2077486967639803</v>
      </c>
      <c r="AG2847">
        <v>-1.1084572929117</v>
      </c>
      <c r="AH2847">
        <v>20.025366047106601</v>
      </c>
      <c r="AI2847">
        <v>93.066449548261801</v>
      </c>
      <c r="AJ2847">
        <v>104.5773075919</v>
      </c>
      <c r="AK2847">
        <v>20.721115061199399</v>
      </c>
    </row>
    <row r="2848" spans="1:37" x14ac:dyDescent="0.2">
      <c r="A2848" t="str">
        <f>"20200111153705089"</f>
        <v>20200111153705089</v>
      </c>
      <c r="B2848" t="str">
        <f>"1578728225085461"</f>
        <v>1578728225085461</v>
      </c>
      <c r="C2848" t="s">
        <v>37</v>
      </c>
      <c r="D2848">
        <v>5.6206870000000002</v>
      </c>
      <c r="E2848">
        <v>0.48142879999999899</v>
      </c>
      <c r="F2848" t="s">
        <v>45</v>
      </c>
      <c r="G2848">
        <v>-452.45830000000001</v>
      </c>
      <c r="H2848" s="1">
        <v>-2.087285E-7</v>
      </c>
      <c r="I2848">
        <v>214.1611</v>
      </c>
      <c r="J2848">
        <v>-472.76479999999998</v>
      </c>
      <c r="K2848">
        <v>1.10843799999999</v>
      </c>
      <c r="L2848">
        <v>215.33920000000001</v>
      </c>
      <c r="M2848">
        <v>0.95330939999999997</v>
      </c>
      <c r="N2848">
        <v>0</v>
      </c>
      <c r="O2848">
        <v>-0.30199499999999901</v>
      </c>
      <c r="P2848">
        <v>0.99196949999999995</v>
      </c>
      <c r="Q2848">
        <v>7.0370639999999998E-2</v>
      </c>
      <c r="R2848">
        <v>-0.1050951</v>
      </c>
      <c r="S2848">
        <v>3.017242</v>
      </c>
      <c r="T2848">
        <v>-0.16271969999999999</v>
      </c>
      <c r="U2848">
        <v>-0.1834412</v>
      </c>
      <c r="V2848">
        <v>-0.2002621</v>
      </c>
      <c r="W2848">
        <v>6.8404919999999994E-2</v>
      </c>
      <c r="X2848">
        <v>0.97735139999999998</v>
      </c>
      <c r="Y2848">
        <v>-0.24281159999999999</v>
      </c>
      <c r="Z2848">
        <v>2.2564879999999999E-2</v>
      </c>
      <c r="AA2848">
        <v>0.96981099999999998</v>
      </c>
      <c r="AB2848">
        <v>25</v>
      </c>
      <c r="AC2848">
        <v>20.3064999999999</v>
      </c>
      <c r="AD2848">
        <v>-1.1084382087285001</v>
      </c>
      <c r="AE2848">
        <v>-1.1780999999999999</v>
      </c>
      <c r="AF2848">
        <v>-4.9945365599271003</v>
      </c>
      <c r="AG2848">
        <v>-1.1084382087285001</v>
      </c>
      <c r="AH2848">
        <v>19.655790451224199</v>
      </c>
      <c r="AI2848">
        <v>93.1284214660011</v>
      </c>
      <c r="AJ2848">
        <v>104.25712415521799</v>
      </c>
      <c r="AK2848">
        <v>20.3106900171672</v>
      </c>
    </row>
    <row r="2849" spans="1:37" x14ac:dyDescent="0.2">
      <c r="A2849" t="str">
        <f>"20200111153705111"</f>
        <v>20200111153705111</v>
      </c>
      <c r="B2849" t="str">
        <f>"1578728225105956"</f>
        <v>1578728225105956</v>
      </c>
      <c r="C2849" t="s">
        <v>37</v>
      </c>
      <c r="D2849">
        <v>5.5686980000000004</v>
      </c>
      <c r="E2849">
        <v>0.48154049999999998</v>
      </c>
      <c r="F2849" t="s">
        <v>45</v>
      </c>
      <c r="G2849">
        <v>-453.01010000000002</v>
      </c>
      <c r="H2849" s="1">
        <v>8.3901579999999898E-8</v>
      </c>
      <c r="I2849">
        <v>214.18450000000001</v>
      </c>
      <c r="J2849">
        <v>-472.51679999999999</v>
      </c>
      <c r="K2849">
        <v>1.1084240000000001</v>
      </c>
      <c r="L2849">
        <v>215.26939999999999</v>
      </c>
      <c r="M2849">
        <v>0.95571640000000002</v>
      </c>
      <c r="N2849">
        <v>0</v>
      </c>
      <c r="O2849">
        <v>-0.29428909999999903</v>
      </c>
      <c r="P2849">
        <v>0.99228439999999996</v>
      </c>
      <c r="Q2849">
        <v>6.8050529999999998E-2</v>
      </c>
      <c r="R2849">
        <v>-0.103639699999999</v>
      </c>
      <c r="S2849">
        <v>3.0176090000000002</v>
      </c>
      <c r="T2849">
        <v>-0.16931779999999999</v>
      </c>
      <c r="U2849">
        <v>-0.17639160000000001</v>
      </c>
      <c r="V2849">
        <v>-0.19381789999999999</v>
      </c>
      <c r="W2849">
        <v>6.6140320000000002E-2</v>
      </c>
      <c r="X2849">
        <v>0.97880540000000005</v>
      </c>
      <c r="Y2849">
        <v>-0.2371982</v>
      </c>
      <c r="Z2849">
        <v>2.2907219999999999E-2</v>
      </c>
      <c r="AA2849">
        <v>0.97119120000000003</v>
      </c>
      <c r="AB2849">
        <v>25</v>
      </c>
      <c r="AC2849">
        <v>19.506699999999899</v>
      </c>
      <c r="AD2849">
        <v>-1.1084239160984199</v>
      </c>
      <c r="AE2849">
        <v>-1.08489999999997</v>
      </c>
      <c r="AF2849">
        <v>-4.68866050364832</v>
      </c>
      <c r="AG2849">
        <v>-1.1084239160984199</v>
      </c>
      <c r="AH2849">
        <v>18.901307410900799</v>
      </c>
      <c r="AI2849">
        <v>93.257627561891098</v>
      </c>
      <c r="AJ2849">
        <v>103.93158670203999</v>
      </c>
      <c r="AK2849">
        <v>19.505680268517299</v>
      </c>
    </row>
    <row r="2850" spans="1:37" x14ac:dyDescent="0.2">
      <c r="A2850" t="str">
        <f>"20200111153705132"</f>
        <v>20200111153705132</v>
      </c>
      <c r="B2850" t="str">
        <f>"1578728225125477"</f>
        <v>1578728225125477</v>
      </c>
      <c r="C2850" t="s">
        <v>37</v>
      </c>
      <c r="D2850">
        <v>5.806349</v>
      </c>
      <c r="E2850">
        <v>0.48523630000000001</v>
      </c>
      <c r="F2850" t="s">
        <v>45</v>
      </c>
      <c r="G2850">
        <v>-453.64879999999999</v>
      </c>
      <c r="H2850" s="1">
        <v>4.234243E-7</v>
      </c>
      <c r="I2850">
        <v>214.1927</v>
      </c>
      <c r="J2850">
        <v>-472.28280000000001</v>
      </c>
      <c r="K2850">
        <v>1.108401</v>
      </c>
      <c r="L2850">
        <v>215.20529999999999</v>
      </c>
      <c r="M2850">
        <v>0.9578778</v>
      </c>
      <c r="N2850">
        <v>0</v>
      </c>
      <c r="O2850">
        <v>-0.28717599999999999</v>
      </c>
      <c r="P2850">
        <v>0.99242949999999996</v>
      </c>
      <c r="Q2850">
        <v>6.5466460000000004E-2</v>
      </c>
      <c r="R2850">
        <v>-0.1039143</v>
      </c>
      <c r="S2850">
        <v>3.017487</v>
      </c>
      <c r="T2850">
        <v>-0.17726529999999999</v>
      </c>
      <c r="U2850">
        <v>-0.1721954</v>
      </c>
      <c r="V2850">
        <v>-0.18627869999999999</v>
      </c>
      <c r="W2850">
        <v>6.3634599999999999E-2</v>
      </c>
      <c r="X2850">
        <v>0.98043400000000003</v>
      </c>
      <c r="Y2850">
        <v>-0.23125960000000001</v>
      </c>
      <c r="Z2850">
        <v>2.340807E-2</v>
      </c>
      <c r="AA2850">
        <v>0.97261039999999999</v>
      </c>
      <c r="AB2850">
        <v>25</v>
      </c>
      <c r="AC2850">
        <v>18.634</v>
      </c>
      <c r="AD2850">
        <v>-1.1084005765756999</v>
      </c>
      <c r="AE2850">
        <v>-1.01259999999999</v>
      </c>
      <c r="AF2850">
        <v>-4.3658887989554698</v>
      </c>
      <c r="AG2850">
        <v>-1.1084005765756999</v>
      </c>
      <c r="AH2850">
        <v>18.076121468607599</v>
      </c>
      <c r="AI2850">
        <v>93.411056182056797</v>
      </c>
      <c r="AJ2850">
        <v>103.578482364255</v>
      </c>
      <c r="AK2850">
        <v>18.628894336241601</v>
      </c>
    </row>
    <row r="2851" spans="1:37" x14ac:dyDescent="0.2">
      <c r="A2851" t="str">
        <f>"20200111153705155"</f>
        <v>20200111153705155</v>
      </c>
      <c r="B2851" t="str">
        <f>"1578728225145972"</f>
        <v>1578728225145972</v>
      </c>
      <c r="C2851" t="s">
        <v>37</v>
      </c>
      <c r="D2851">
        <v>5.8001100000000001</v>
      </c>
      <c r="E2851">
        <v>0.48456949999999999</v>
      </c>
      <c r="F2851" t="s">
        <v>45</v>
      </c>
      <c r="G2851">
        <v>-457.84210000000002</v>
      </c>
      <c r="H2851" s="1">
        <v>2.6528470000000001E-6</v>
      </c>
      <c r="I2851">
        <v>214.24010000000001</v>
      </c>
      <c r="J2851">
        <v>-472.02769999999998</v>
      </c>
      <c r="K2851">
        <v>1.1083609999999999</v>
      </c>
      <c r="L2851">
        <v>215.13730000000001</v>
      </c>
      <c r="M2851">
        <v>0.9601153</v>
      </c>
      <c r="N2851">
        <v>0</v>
      </c>
      <c r="O2851">
        <v>-0.27960449999999998</v>
      </c>
      <c r="P2851">
        <v>0.99253389999999997</v>
      </c>
      <c r="Q2851">
        <v>6.4792069999999993E-2</v>
      </c>
      <c r="R2851">
        <v>-0.1033385</v>
      </c>
      <c r="S2851">
        <v>3.0170590000000002</v>
      </c>
      <c r="T2851">
        <v>-0.23157510000000001</v>
      </c>
      <c r="U2851">
        <v>-0.20167539999999901</v>
      </c>
      <c r="V2851">
        <v>-0.1790997</v>
      </c>
      <c r="W2851">
        <v>6.3034980000000004E-2</v>
      </c>
      <c r="X2851">
        <v>0.981809499999999</v>
      </c>
      <c r="Y2851">
        <v>-0.2135252</v>
      </c>
      <c r="Z2851">
        <v>2.9311569999999999E-2</v>
      </c>
      <c r="AA2851">
        <v>0.97649769999999902</v>
      </c>
      <c r="AB2851">
        <v>26</v>
      </c>
      <c r="AC2851">
        <v>14.1855999999999</v>
      </c>
      <c r="AD2851">
        <v>-1.1083583471530001</v>
      </c>
      <c r="AE2851">
        <v>-0.897199999999997</v>
      </c>
      <c r="AF2851">
        <v>-3.0861768984298901</v>
      </c>
      <c r="AG2851">
        <v>-1.1083583471530001</v>
      </c>
      <c r="AH2851">
        <v>13.7868429708435</v>
      </c>
      <c r="AI2851">
        <v>94.485721468775495</v>
      </c>
      <c r="AJ2851">
        <v>102.617621610722</v>
      </c>
      <c r="AK2851">
        <v>14.1714496497995</v>
      </c>
    </row>
    <row r="2852" spans="1:37" x14ac:dyDescent="0.2">
      <c r="A2852" t="str">
        <f>"20200111153705178"</f>
        <v>20200111153705178</v>
      </c>
      <c r="B2852" t="str">
        <f>"1578728225176229"</f>
        <v>1578728225176229</v>
      </c>
      <c r="C2852" t="s">
        <v>37</v>
      </c>
      <c r="D2852">
        <v>5.8522989999999897</v>
      </c>
      <c r="E2852">
        <v>0.48384830000000001</v>
      </c>
      <c r="F2852" t="s">
        <v>45</v>
      </c>
      <c r="G2852">
        <v>-457.72519999999997</v>
      </c>
      <c r="H2852" s="1">
        <v>2.5916950000000002E-6</v>
      </c>
      <c r="I2852">
        <v>214.2157</v>
      </c>
      <c r="J2852">
        <v>-471.77550000000002</v>
      </c>
      <c r="K2852">
        <v>1.1083080000000001</v>
      </c>
      <c r="L2852">
        <v>215.0718</v>
      </c>
      <c r="M2852">
        <v>0.96220669999999897</v>
      </c>
      <c r="N2852">
        <v>0</v>
      </c>
      <c r="O2852">
        <v>-0.27231959999999999</v>
      </c>
      <c r="P2852">
        <v>0.99248799999999904</v>
      </c>
      <c r="Q2852">
        <v>6.6343460000000007E-2</v>
      </c>
      <c r="R2852">
        <v>-0.10279199999999999</v>
      </c>
      <c r="S2852">
        <v>3.0175779999999999</v>
      </c>
      <c r="T2852">
        <v>-0.2338442</v>
      </c>
      <c r="U2852">
        <v>-0.1944427</v>
      </c>
      <c r="V2852">
        <v>-0.17217769999999999</v>
      </c>
      <c r="W2852">
        <v>6.4657679999999995E-2</v>
      </c>
      <c r="X2852">
        <v>0.98294159999999997</v>
      </c>
      <c r="Y2852">
        <v>-0.208469299999999</v>
      </c>
      <c r="Z2852">
        <v>2.8858129999999999E-2</v>
      </c>
      <c r="AA2852">
        <v>0.97760309999999995</v>
      </c>
      <c r="AB2852">
        <v>26</v>
      </c>
      <c r="AC2852">
        <v>14.0503</v>
      </c>
      <c r="AD2852">
        <v>-1.1083054083049999</v>
      </c>
      <c r="AE2852">
        <v>-0.85609999999999697</v>
      </c>
      <c r="AF2852">
        <v>-2.9839292843732799</v>
      </c>
      <c r="AG2852">
        <v>-1.1083054083049999</v>
      </c>
      <c r="AH2852">
        <v>13.667698362654001</v>
      </c>
      <c r="AI2852">
        <v>94.529702225497104</v>
      </c>
      <c r="AJ2852">
        <v>102.315562581968</v>
      </c>
      <c r="AK2852">
        <v>14.033465480226701</v>
      </c>
    </row>
    <row r="2853" spans="1:37" x14ac:dyDescent="0.2">
      <c r="A2853" t="str">
        <f>"20200111153705202"</f>
        <v>20200111153705202</v>
      </c>
      <c r="B2853" t="str">
        <f>"1578728225195749"</f>
        <v>1578728225195749</v>
      </c>
      <c r="C2853" t="s">
        <v>37</v>
      </c>
      <c r="D2853">
        <v>5.5900650000000001</v>
      </c>
      <c r="E2853">
        <v>0.48454009999999997</v>
      </c>
      <c r="F2853" t="s">
        <v>45</v>
      </c>
      <c r="G2853">
        <v>-457.49599999999998</v>
      </c>
      <c r="H2853" s="1">
        <v>2.4710979999999999E-6</v>
      </c>
      <c r="I2853">
        <v>214.18369999999999</v>
      </c>
      <c r="J2853">
        <v>-471.505</v>
      </c>
      <c r="K2853">
        <v>1.1082289999999999</v>
      </c>
      <c r="L2853">
        <v>215.00360000000001</v>
      </c>
      <c r="M2853">
        <v>0.96431309999999903</v>
      </c>
      <c r="N2853">
        <v>0</v>
      </c>
      <c r="O2853">
        <v>-0.264764099999999</v>
      </c>
      <c r="P2853">
        <v>0.99251999999999996</v>
      </c>
      <c r="Q2853">
        <v>6.8778229999999996E-2</v>
      </c>
      <c r="R2853">
        <v>-0.10086539999999999</v>
      </c>
      <c r="S2853">
        <v>3.01892099999999</v>
      </c>
      <c r="T2853">
        <v>-0.2343141</v>
      </c>
      <c r="U2853">
        <v>-0.1877441</v>
      </c>
      <c r="V2853">
        <v>-0.1663471</v>
      </c>
      <c r="W2853">
        <v>6.7149909999999993E-2</v>
      </c>
      <c r="X2853">
        <v>0.98377819999999905</v>
      </c>
      <c r="Y2853">
        <v>-0.20301810000000001</v>
      </c>
      <c r="Z2853">
        <v>2.813003E-2</v>
      </c>
      <c r="AA2853">
        <v>0.9787709</v>
      </c>
      <c r="AB2853">
        <v>26</v>
      </c>
      <c r="AC2853">
        <v>14.009</v>
      </c>
      <c r="AD2853">
        <v>-1.1082265289019999</v>
      </c>
      <c r="AE2853">
        <v>-0.81990000000001795</v>
      </c>
      <c r="AF2853">
        <v>-2.9003515396554902</v>
      </c>
      <c r="AG2853">
        <v>-1.1082265289019999</v>
      </c>
      <c r="AH2853">
        <v>13.641067976175499</v>
      </c>
      <c r="AI2853">
        <v>94.543494490162601</v>
      </c>
      <c r="AJ2853">
        <v>102.00342802060401</v>
      </c>
      <c r="AK2853">
        <v>13.989958564041</v>
      </c>
    </row>
    <row r="2854" spans="1:37" x14ac:dyDescent="0.2">
      <c r="A2854" t="str">
        <f>"20200111153705224"</f>
        <v>20200111153705224</v>
      </c>
      <c r="B2854" t="str">
        <f>"1578728225215268"</f>
        <v>1578728225215268</v>
      </c>
      <c r="C2854" t="s">
        <v>37</v>
      </c>
      <c r="D2854">
        <v>5.6270089999999904</v>
      </c>
      <c r="E2854">
        <v>0.48494870000000001</v>
      </c>
      <c r="F2854" t="s">
        <v>45</v>
      </c>
      <c r="G2854">
        <v>-456.2704</v>
      </c>
      <c r="H2854" s="1">
        <v>1.8244109999999999E-6</v>
      </c>
      <c r="I2854">
        <v>214.05779999999999</v>
      </c>
      <c r="J2854">
        <v>-471.26089999999999</v>
      </c>
      <c r="K2854">
        <v>1.108152</v>
      </c>
      <c r="L2854">
        <v>214.94370000000001</v>
      </c>
      <c r="M2854">
        <v>0.96610030000000002</v>
      </c>
      <c r="N2854">
        <v>0</v>
      </c>
      <c r="O2854">
        <v>-0.25816660000000002</v>
      </c>
      <c r="P2854">
        <v>0.99264030000000003</v>
      </c>
      <c r="Q2854">
        <v>7.020564E-2</v>
      </c>
      <c r="R2854">
        <v>-9.8675689999999996E-2</v>
      </c>
      <c r="S2854">
        <v>3.018799</v>
      </c>
      <c r="T2854">
        <v>-0.21959999999999999</v>
      </c>
      <c r="U2854">
        <v>-0.187408399999999</v>
      </c>
      <c r="V2854">
        <v>-0.1617712</v>
      </c>
      <c r="W2854">
        <v>6.8621860000000007E-2</v>
      </c>
      <c r="X2854">
        <v>0.98443950000000002</v>
      </c>
      <c r="Y2854">
        <v>-0.1966292</v>
      </c>
      <c r="Z2854">
        <v>2.5673870000000001E-2</v>
      </c>
      <c r="AA2854">
        <v>0.98014179999999995</v>
      </c>
      <c r="AB2854">
        <v>27</v>
      </c>
      <c r="AC2854">
        <v>14.9904999999999</v>
      </c>
      <c r="AD2854">
        <v>-1.108150175589</v>
      </c>
      <c r="AE2854">
        <v>-0.88590000000002</v>
      </c>
      <c r="AF2854">
        <v>-2.9978531863748801</v>
      </c>
      <c r="AG2854">
        <v>-1.108150175589</v>
      </c>
      <c r="AH2854">
        <v>14.631360456355401</v>
      </c>
      <c r="AI2854">
        <v>94.243376987892901</v>
      </c>
      <c r="AJ2854">
        <v>101.57920455081999</v>
      </c>
      <c r="AK2854">
        <v>14.9763757078445</v>
      </c>
    </row>
    <row r="2855" spans="1:37" x14ac:dyDescent="0.2">
      <c r="A2855" t="str">
        <f>"20200111153705246"</f>
        <v>20200111153705246</v>
      </c>
      <c r="B2855" t="str">
        <f>"1578728225235765"</f>
        <v>1578728225235765</v>
      </c>
      <c r="C2855" t="s">
        <v>37</v>
      </c>
      <c r="D2855">
        <v>5.5621529999999897</v>
      </c>
      <c r="E2855">
        <v>0.484842</v>
      </c>
      <c r="F2855" t="s">
        <v>45</v>
      </c>
      <c r="G2855">
        <v>-455.40230000000003</v>
      </c>
      <c r="H2855" s="1">
        <v>1.3660149999999999E-6</v>
      </c>
      <c r="I2855">
        <v>213.97640000000001</v>
      </c>
      <c r="J2855">
        <v>-470.99310000000003</v>
      </c>
      <c r="K2855">
        <v>1.10808</v>
      </c>
      <c r="L2855">
        <v>214.87979999999999</v>
      </c>
      <c r="M2855">
        <v>0.96795049999999905</v>
      </c>
      <c r="N2855">
        <v>0</v>
      </c>
      <c r="O2855">
        <v>-0.25114049999999999</v>
      </c>
      <c r="P2855">
        <v>0.9930078</v>
      </c>
      <c r="Q2855">
        <v>6.9504750000000004E-2</v>
      </c>
      <c r="R2855">
        <v>-9.5417109999999999E-2</v>
      </c>
      <c r="S2855">
        <v>3.0188290000000002</v>
      </c>
      <c r="T2855">
        <v>-0.210946999999999</v>
      </c>
      <c r="U2855">
        <v>-0.18412779999999901</v>
      </c>
      <c r="V2855">
        <v>-0.1578416</v>
      </c>
      <c r="W2855">
        <v>6.7955370000000001E-2</v>
      </c>
      <c r="X2855">
        <v>0.98512339999999998</v>
      </c>
      <c r="Y2855">
        <v>-0.19068650000000001</v>
      </c>
      <c r="Z2855">
        <v>2.3983350000000001E-2</v>
      </c>
      <c r="AA2855">
        <v>0.98135799999999995</v>
      </c>
      <c r="AB2855">
        <v>27</v>
      </c>
      <c r="AC2855">
        <v>15.5908</v>
      </c>
      <c r="AD2855">
        <v>-1.108078633985</v>
      </c>
      <c r="AE2855">
        <v>-0.903399999999976</v>
      </c>
      <c r="AF2855">
        <v>-3.0258021193072602</v>
      </c>
      <c r="AG2855">
        <v>-1.108078633985</v>
      </c>
      <c r="AH2855">
        <v>15.2412742853576</v>
      </c>
      <c r="AI2855">
        <v>94.078902612818894</v>
      </c>
      <c r="AJ2855">
        <v>101.228750411611</v>
      </c>
      <c r="AK2855">
        <v>15.578182132899901</v>
      </c>
    </row>
    <row r="2856" spans="1:37" x14ac:dyDescent="0.2">
      <c r="A2856" t="str">
        <f>"20200111153705268"</f>
        <v>20200111153705268</v>
      </c>
      <c r="B2856" t="str">
        <f>"1578728225266020"</f>
        <v>1578728225266020</v>
      </c>
      <c r="C2856" t="s">
        <v>37</v>
      </c>
      <c r="D2856">
        <v>5.5634160000000001</v>
      </c>
      <c r="E2856">
        <v>0.4847205</v>
      </c>
      <c r="F2856" t="s">
        <v>45</v>
      </c>
      <c r="G2856">
        <v>-455.3578</v>
      </c>
      <c r="H2856" s="1">
        <v>1.3419630000000001E-6</v>
      </c>
      <c r="I2856">
        <v>213.9845</v>
      </c>
      <c r="J2856">
        <v>-470.73149999999998</v>
      </c>
      <c r="K2856">
        <v>1.108015</v>
      </c>
      <c r="L2856">
        <v>214.81909999999999</v>
      </c>
      <c r="M2856">
        <v>0.96965440000000003</v>
      </c>
      <c r="N2856">
        <v>0</v>
      </c>
      <c r="O2856">
        <v>-0.24447929999999901</v>
      </c>
      <c r="P2856">
        <v>0.99342180000000002</v>
      </c>
      <c r="Q2856">
        <v>6.8274100000000004E-2</v>
      </c>
      <c r="R2856">
        <v>-9.1934139999999998E-2</v>
      </c>
      <c r="S2856">
        <v>3.0194700000000001</v>
      </c>
      <c r="T2856">
        <v>-0.21398989999999901</v>
      </c>
      <c r="U2856">
        <v>-0.1728973</v>
      </c>
      <c r="V2856">
        <v>-0.1545195</v>
      </c>
      <c r="W2856">
        <v>6.6752660000000005E-2</v>
      </c>
      <c r="X2856">
        <v>0.9857321</v>
      </c>
      <c r="Y2856">
        <v>-0.1875801</v>
      </c>
      <c r="Z2856">
        <v>2.3760170000000001E-2</v>
      </c>
      <c r="AA2856">
        <v>0.98196190000000005</v>
      </c>
      <c r="AB2856">
        <v>27</v>
      </c>
      <c r="AC2856">
        <v>15.3736999999999</v>
      </c>
      <c r="AD2856">
        <v>-1.1080136580369999</v>
      </c>
      <c r="AE2856">
        <v>-0.83459999999999401</v>
      </c>
      <c r="AF2856">
        <v>-2.9340822280990699</v>
      </c>
      <c r="AG2856">
        <v>-1.1080136580369999</v>
      </c>
      <c r="AH2856">
        <v>15.0333604367892</v>
      </c>
      <c r="AI2856">
        <v>94.137499473313895</v>
      </c>
      <c r="AJ2856">
        <v>101.043670275948</v>
      </c>
      <c r="AK2856">
        <v>15.357032877807599</v>
      </c>
    </row>
    <row r="2857" spans="1:37" x14ac:dyDescent="0.2">
      <c r="A2857" t="str">
        <f>"20200111153705290"</f>
        <v>20200111153705290</v>
      </c>
      <c r="B2857" t="str">
        <f>"1578728225285540"</f>
        <v>1578728225285540</v>
      </c>
      <c r="C2857" t="s">
        <v>37</v>
      </c>
      <c r="D2857">
        <v>5.4912179999999999</v>
      </c>
      <c r="E2857">
        <v>0.45916179999999901</v>
      </c>
      <c r="F2857" t="s">
        <v>45</v>
      </c>
      <c r="G2857">
        <v>-455.40710000000001</v>
      </c>
      <c r="H2857" s="1">
        <v>1.3674119999999999E-6</v>
      </c>
      <c r="I2857">
        <v>214.0027</v>
      </c>
      <c r="J2857">
        <v>-470.48059999999998</v>
      </c>
      <c r="K2857">
        <v>1.1079559999999999</v>
      </c>
      <c r="L2857">
        <v>214.76230000000001</v>
      </c>
      <c r="M2857">
        <v>0.97119829999999996</v>
      </c>
      <c r="N2857">
        <v>0</v>
      </c>
      <c r="O2857">
        <v>-0.23827280000000001</v>
      </c>
      <c r="P2857">
        <v>0.99379289999999998</v>
      </c>
      <c r="Q2857">
        <v>6.7964780000000002E-2</v>
      </c>
      <c r="R2857">
        <v>-8.8072609999999996E-2</v>
      </c>
      <c r="S2857">
        <v>3.0199889999999998</v>
      </c>
      <c r="T2857">
        <v>-0.2183562</v>
      </c>
      <c r="U2857">
        <v>-0.1608734</v>
      </c>
      <c r="V2857">
        <v>-0.15203920000000001</v>
      </c>
      <c r="W2857">
        <v>6.646386E-2</v>
      </c>
      <c r="X2857">
        <v>0.98613719999999905</v>
      </c>
      <c r="Y2857">
        <v>-0.18518370000000001</v>
      </c>
      <c r="Z2857">
        <v>2.3721780000000001E-2</v>
      </c>
      <c r="AA2857">
        <v>0.9824176</v>
      </c>
      <c r="AB2857">
        <v>27</v>
      </c>
      <c r="AC2857">
        <v>15.0734999999999</v>
      </c>
      <c r="AD2857">
        <v>-1.1079546325880001</v>
      </c>
      <c r="AE2857">
        <v>-0.75960000000000505</v>
      </c>
      <c r="AF2857">
        <v>-2.8385853782305799</v>
      </c>
      <c r="AG2857">
        <v>-1.1079546325880001</v>
      </c>
      <c r="AH2857">
        <v>14.7409092382933</v>
      </c>
      <c r="AI2857">
        <v>94.221115192497095</v>
      </c>
      <c r="AJ2857">
        <v>100.89975145958201</v>
      </c>
      <c r="AK2857">
        <v>15.0525591043177</v>
      </c>
    </row>
    <row r="2858" spans="1:37" x14ac:dyDescent="0.2">
      <c r="A2858" t="str">
        <f>"20200111153705311"</f>
        <v>20200111153705311</v>
      </c>
      <c r="B2858" t="str">
        <f>"1578728225306038"</f>
        <v>1578728225306038</v>
      </c>
      <c r="C2858" t="s">
        <v>37</v>
      </c>
      <c r="D2858">
        <v>5.7004460000000003</v>
      </c>
      <c r="E2858">
        <v>0.44785839999999999</v>
      </c>
      <c r="F2858" t="s">
        <v>45</v>
      </c>
      <c r="G2858">
        <v>-454.14269999999999</v>
      </c>
      <c r="H2858" s="1">
        <v>6.486483E-7</v>
      </c>
      <c r="I2858">
        <v>215.0538</v>
      </c>
      <c r="J2858">
        <v>-470.21600000000001</v>
      </c>
      <c r="K2858">
        <v>1.107898</v>
      </c>
      <c r="L2858">
        <v>214.70410000000001</v>
      </c>
      <c r="M2858">
        <v>0.97273390000000004</v>
      </c>
      <c r="N2858">
        <v>0</v>
      </c>
      <c r="O2858">
        <v>-0.2319243</v>
      </c>
      <c r="P2858">
        <v>0.99415019999999998</v>
      </c>
      <c r="Q2858">
        <v>6.834693E-2</v>
      </c>
      <c r="R2858">
        <v>-8.3630490000000002E-2</v>
      </c>
      <c r="S2858">
        <v>3.0376590000000001</v>
      </c>
      <c r="T2858">
        <v>-0.2059996</v>
      </c>
      <c r="U2858">
        <v>5.4199219999999999E-2</v>
      </c>
      <c r="V2858">
        <v>-0.14999399999999999</v>
      </c>
      <c r="W2858">
        <v>6.6866839999999997E-2</v>
      </c>
      <c r="X2858">
        <v>0.9864231</v>
      </c>
      <c r="Y2858">
        <v>-0.24814449999999999</v>
      </c>
      <c r="Z2858">
        <v>2.4011830000000001E-2</v>
      </c>
      <c r="AA2858">
        <v>0.96842539999999999</v>
      </c>
      <c r="AB2858">
        <v>27</v>
      </c>
      <c r="AC2858">
        <v>16.0733</v>
      </c>
      <c r="AD2858">
        <v>-1.1078973513517001</v>
      </c>
      <c r="AE2858">
        <v>0.34969999999998402</v>
      </c>
      <c r="AF2858">
        <v>-4.0487270747005599</v>
      </c>
      <c r="AG2858">
        <v>-1.1078973513517001</v>
      </c>
      <c r="AH2858">
        <v>15.480425557439901</v>
      </c>
      <c r="AI2858">
        <v>93.960766792197603</v>
      </c>
      <c r="AJ2858">
        <v>104.65675246835301</v>
      </c>
      <c r="AK2858">
        <v>16.039426514248699</v>
      </c>
    </row>
    <row r="2859" spans="1:37" x14ac:dyDescent="0.2">
      <c r="A2859" t="str">
        <f>"20200111153705334"</f>
        <v>20200111153705334</v>
      </c>
      <c r="B2859" t="str">
        <f>"1578728225325557"</f>
        <v>1578728225325557</v>
      </c>
      <c r="C2859" t="s">
        <v>37</v>
      </c>
      <c r="D2859">
        <v>5.6281280000000002</v>
      </c>
      <c r="E2859">
        <v>0.44557349999999901</v>
      </c>
      <c r="F2859" t="s">
        <v>45</v>
      </c>
      <c r="G2859">
        <v>-453.7627</v>
      </c>
      <c r="H2859" s="1">
        <v>4.2446949999999997E-7</v>
      </c>
      <c r="I2859">
        <v>215.55549999999999</v>
      </c>
      <c r="J2859">
        <v>-469.95089999999999</v>
      </c>
      <c r="K2859">
        <v>1.1078319999999999</v>
      </c>
      <c r="L2859">
        <v>214.6474</v>
      </c>
      <c r="M2859">
        <v>0.97418249999999995</v>
      </c>
      <c r="N2859">
        <v>0</v>
      </c>
      <c r="O2859">
        <v>-0.22576199999999999</v>
      </c>
      <c r="P2859">
        <v>0.99446480000000004</v>
      </c>
      <c r="Q2859">
        <v>6.9760929999999999E-2</v>
      </c>
      <c r="R2859">
        <v>-7.8568979999999997E-2</v>
      </c>
      <c r="S2859">
        <v>3.0450740000000001</v>
      </c>
      <c r="T2859">
        <v>-0.20504259999999999</v>
      </c>
      <c r="U2859">
        <v>0.15757750000000001</v>
      </c>
      <c r="V2859">
        <v>-0.1487542</v>
      </c>
      <c r="W2859">
        <v>6.829789E-2</v>
      </c>
      <c r="X2859">
        <v>0.98651279999999997</v>
      </c>
      <c r="Y2859">
        <v>-0.27467839999999999</v>
      </c>
      <c r="Z2859">
        <v>2.432865E-2</v>
      </c>
      <c r="AA2859">
        <v>0.96122830000000004</v>
      </c>
      <c r="AB2859">
        <v>28</v>
      </c>
      <c r="AC2859">
        <v>16.188199999999899</v>
      </c>
      <c r="AD2859">
        <v>-1.1078315755304999</v>
      </c>
      <c r="AE2859">
        <v>0.90809999999999003</v>
      </c>
      <c r="AF2859">
        <v>-4.5182416583968896</v>
      </c>
      <c r="AG2859">
        <v>-1.1078315755304999</v>
      </c>
      <c r="AH2859">
        <v>15.4929163925492</v>
      </c>
      <c r="AI2859">
        <v>93.926970183464803</v>
      </c>
      <c r="AJ2859">
        <v>106.25841323621999</v>
      </c>
      <c r="AK2859">
        <v>16.176286867817801</v>
      </c>
    </row>
    <row r="2860" spans="1:37" x14ac:dyDescent="0.2">
      <c r="A2860" t="str">
        <f>"20200111153705356"</f>
        <v>20200111153705356</v>
      </c>
      <c r="B2860" t="str">
        <f>"1578728225346053"</f>
        <v>1578728225346053</v>
      </c>
      <c r="C2860" t="s">
        <v>37</v>
      </c>
      <c r="D2860">
        <v>5.5511780000000002</v>
      </c>
      <c r="E2860">
        <v>0.44464809999999999</v>
      </c>
      <c r="F2860" t="s">
        <v>45</v>
      </c>
      <c r="G2860">
        <v>-453.50199999999899</v>
      </c>
      <c r="H2860" s="1">
        <v>2.8036940000000001E-7</v>
      </c>
      <c r="I2860">
        <v>215.6788</v>
      </c>
      <c r="J2860">
        <v>-469.68119999999999</v>
      </c>
      <c r="K2860">
        <v>1.107766</v>
      </c>
      <c r="L2860">
        <v>214.59119999999999</v>
      </c>
      <c r="M2860">
        <v>0.97557139999999998</v>
      </c>
      <c r="N2860">
        <v>0</v>
      </c>
      <c r="O2860">
        <v>-0.21968289999999899</v>
      </c>
      <c r="P2860">
        <v>0.99476279999999995</v>
      </c>
      <c r="Q2860">
        <v>7.0693870000000006E-2</v>
      </c>
      <c r="R2860">
        <v>-7.3822680000000002E-2</v>
      </c>
      <c r="S2860">
        <v>3.0462039999999999</v>
      </c>
      <c r="T2860">
        <v>-0.205161499999999</v>
      </c>
      <c r="U2860">
        <v>0.19102479999999999</v>
      </c>
      <c r="V2860">
        <v>-0.14729500000000001</v>
      </c>
      <c r="W2860">
        <v>6.9255490000000003E-2</v>
      </c>
      <c r="X2860">
        <v>0.98666500000000001</v>
      </c>
      <c r="Y2860">
        <v>-0.27918599999999999</v>
      </c>
      <c r="Z2860">
        <v>2.4080250000000001E-2</v>
      </c>
      <c r="AA2860">
        <v>0.95993510000000004</v>
      </c>
      <c r="AB2860">
        <v>28</v>
      </c>
      <c r="AC2860">
        <v>16.179200000000002</v>
      </c>
      <c r="AD2860">
        <v>-1.1077657196306001</v>
      </c>
      <c r="AE2860">
        <v>1.0875999999999999</v>
      </c>
      <c r="AF2860">
        <v>-4.5938857554841697</v>
      </c>
      <c r="AG2860">
        <v>-1.1077657196306001</v>
      </c>
      <c r="AH2860">
        <v>15.472827301346699</v>
      </c>
      <c r="AI2860">
        <v>93.926232528320597</v>
      </c>
      <c r="AJ2860">
        <v>106.53616555544301</v>
      </c>
      <c r="AK2860">
        <v>16.178359494130699</v>
      </c>
    </row>
    <row r="2861" spans="1:37" x14ac:dyDescent="0.2">
      <c r="A2861" t="str">
        <f>"20200111153705380"</f>
        <v>20200111153705380</v>
      </c>
      <c r="B2861" t="str">
        <f>"1578728225375333"</f>
        <v>1578728225375333</v>
      </c>
      <c r="C2861" t="s">
        <v>37</v>
      </c>
      <c r="D2861">
        <v>5.567914</v>
      </c>
      <c r="E2861">
        <v>0.44477870000000003</v>
      </c>
      <c r="F2861" t="s">
        <v>45</v>
      </c>
      <c r="G2861">
        <v>-453.06119999999999</v>
      </c>
      <c r="H2861" s="1">
        <v>4.2564209999999997E-8</v>
      </c>
      <c r="I2861">
        <v>215.75309999999999</v>
      </c>
      <c r="J2861">
        <v>-469.39370000000002</v>
      </c>
      <c r="K2861">
        <v>1.1076900000000001</v>
      </c>
      <c r="L2861">
        <v>214.53280000000001</v>
      </c>
      <c r="M2861">
        <v>0.97696380000000005</v>
      </c>
      <c r="N2861">
        <v>0</v>
      </c>
      <c r="O2861">
        <v>-0.21340580000000001</v>
      </c>
      <c r="P2861">
        <v>0.99512299999999998</v>
      </c>
      <c r="Q2861">
        <v>7.1622249999999998E-2</v>
      </c>
      <c r="R2861">
        <v>-6.7827600000000002E-2</v>
      </c>
      <c r="S2861">
        <v>3.0460509999999998</v>
      </c>
      <c r="T2861">
        <v>-0.20302779999999901</v>
      </c>
      <c r="U2861">
        <v>0.21295169999999999</v>
      </c>
      <c r="V2861">
        <v>-0.14687919999999999</v>
      </c>
      <c r="W2861">
        <v>7.0201609999999998E-2</v>
      </c>
      <c r="X2861">
        <v>0.98666010000000004</v>
      </c>
      <c r="Y2861">
        <v>-0.27993220000000002</v>
      </c>
      <c r="Z2861">
        <v>2.3442279999999999E-2</v>
      </c>
      <c r="AA2861">
        <v>0.95973349999999902</v>
      </c>
      <c r="AB2861">
        <v>28</v>
      </c>
      <c r="AC2861">
        <v>16.3325</v>
      </c>
      <c r="AD2861">
        <v>-1.1076899574357899</v>
      </c>
      <c r="AE2861">
        <v>1.22029999999998</v>
      </c>
      <c r="AF2861">
        <v>-4.6563395049535803</v>
      </c>
      <c r="AG2861">
        <v>-1.1076899574357899</v>
      </c>
      <c r="AH2861">
        <v>15.624371085373699</v>
      </c>
      <c r="AI2861">
        <v>93.8868199721895</v>
      </c>
      <c r="AJ2861">
        <v>106.594989243448</v>
      </c>
      <c r="AK2861">
        <v>16.3410356599775</v>
      </c>
    </row>
    <row r="2862" spans="1:37" x14ac:dyDescent="0.2">
      <c r="A2862" t="str">
        <f>"20200111153705401"</f>
        <v>20200111153705401</v>
      </c>
      <c r="B2862" t="str">
        <f>"1578728225395828"</f>
        <v>1578728225395828</v>
      </c>
      <c r="C2862" t="s">
        <v>37</v>
      </c>
      <c r="D2862">
        <v>5.5490969999999997</v>
      </c>
      <c r="E2862">
        <v>0.44418149999999901</v>
      </c>
      <c r="F2862" t="s">
        <v>45</v>
      </c>
      <c r="G2862">
        <v>-452.6404</v>
      </c>
      <c r="H2862" s="1">
        <v>-1.8336449999999999E-7</v>
      </c>
      <c r="I2862">
        <v>215.79820000000001</v>
      </c>
      <c r="J2862">
        <v>-469.1309</v>
      </c>
      <c r="K2862">
        <v>1.1076299999999999</v>
      </c>
      <c r="L2862">
        <v>214.4811</v>
      </c>
      <c r="M2862">
        <v>0.97815839999999998</v>
      </c>
      <c r="N2862">
        <v>0</v>
      </c>
      <c r="O2862">
        <v>-0.20786089999999999</v>
      </c>
      <c r="P2862">
        <v>0.99540010000000001</v>
      </c>
      <c r="Q2862">
        <v>7.2227570000000005E-2</v>
      </c>
      <c r="R2862">
        <v>-6.2943470000000001E-2</v>
      </c>
      <c r="S2862">
        <v>3.0448909999999998</v>
      </c>
      <c r="T2862">
        <v>-0.20132149999999999</v>
      </c>
      <c r="U2862">
        <v>0.22998049999999901</v>
      </c>
      <c r="V2862">
        <v>-0.14611099999999999</v>
      </c>
      <c r="W2862">
        <v>7.0830900000000002E-2</v>
      </c>
      <c r="X2862">
        <v>0.98672919999999997</v>
      </c>
      <c r="Y2862">
        <v>-0.27988279999999999</v>
      </c>
      <c r="Z2862">
        <v>2.288946E-2</v>
      </c>
      <c r="AA2862">
        <v>0.95976130000000004</v>
      </c>
      <c r="AB2862">
        <v>28</v>
      </c>
      <c r="AC2862">
        <v>16.490499999999901</v>
      </c>
      <c r="AD2862">
        <v>-1.1076301833644999</v>
      </c>
      <c r="AE2862">
        <v>1.3171000000000099</v>
      </c>
      <c r="AF2862">
        <v>-4.69501523683632</v>
      </c>
      <c r="AG2862">
        <v>-1.1076301833644999</v>
      </c>
      <c r="AH2862">
        <v>15.785781158330201</v>
      </c>
      <c r="AI2862">
        <v>93.847616569781096</v>
      </c>
      <c r="AJ2862">
        <v>106.56355794484899</v>
      </c>
      <c r="AK2862">
        <v>16.506389656006501</v>
      </c>
    </row>
    <row r="2863" spans="1:37" x14ac:dyDescent="0.2">
      <c r="A2863" t="str">
        <f>"20200111153705423"</f>
        <v>20200111153705423</v>
      </c>
      <c r="B2863" t="str">
        <f>"1578728225415349"</f>
        <v>1578728225415349</v>
      </c>
      <c r="C2863" t="s">
        <v>37</v>
      </c>
      <c r="D2863">
        <v>5.5572419999999996</v>
      </c>
      <c r="E2863">
        <v>0.44390099999999999</v>
      </c>
      <c r="F2863" t="s">
        <v>45</v>
      </c>
      <c r="G2863">
        <v>-452.84519999999998</v>
      </c>
      <c r="H2863" s="1">
        <v>-7.5103689999999996E-8</v>
      </c>
      <c r="I2863">
        <v>215.8151</v>
      </c>
      <c r="J2863">
        <v>-468.84949999999998</v>
      </c>
      <c r="K2863">
        <v>1.1075680000000001</v>
      </c>
      <c r="L2863">
        <v>214.4273</v>
      </c>
      <c r="M2863">
        <v>0.97936480000000004</v>
      </c>
      <c r="N2863">
        <v>0</v>
      </c>
      <c r="O2863">
        <v>-0.20210039999999899</v>
      </c>
      <c r="P2863">
        <v>0.99569180000000002</v>
      </c>
      <c r="Q2863">
        <v>7.3082069999999999E-2</v>
      </c>
      <c r="R2863">
        <v>-5.7071459999999997E-2</v>
      </c>
      <c r="S2863">
        <v>3.0446169999999899</v>
      </c>
      <c r="T2863">
        <v>-0.2070717</v>
      </c>
      <c r="U2863">
        <v>0.24938959999999999</v>
      </c>
      <c r="V2863">
        <v>-0.14610889999999899</v>
      </c>
      <c r="W2863">
        <v>7.1703199999999995E-2</v>
      </c>
      <c r="X2863">
        <v>0.98666659999999995</v>
      </c>
      <c r="Y2863">
        <v>-0.28027279999999999</v>
      </c>
      <c r="Z2863">
        <v>2.3167630000000002E-2</v>
      </c>
      <c r="AA2863">
        <v>0.95964079999999996</v>
      </c>
      <c r="AB2863">
        <v>29</v>
      </c>
      <c r="AC2863">
        <v>16.004300000000001</v>
      </c>
      <c r="AD2863">
        <v>-1.10756807510368</v>
      </c>
      <c r="AE2863">
        <v>1.3877999999999899</v>
      </c>
      <c r="AF2863">
        <v>-4.5719053578954796</v>
      </c>
      <c r="AG2863">
        <v>-1.10756807510368</v>
      </c>
      <c r="AH2863">
        <v>15.3207459970939</v>
      </c>
      <c r="AI2863">
        <v>93.962743407923696</v>
      </c>
      <c r="AJ2863">
        <v>106.615772118603</v>
      </c>
      <c r="AK2863">
        <v>16.0266741262812</v>
      </c>
    </row>
    <row r="2864" spans="1:37" x14ac:dyDescent="0.2">
      <c r="A2864" t="str">
        <f>"20200111153705445"</f>
        <v>20200111153705445</v>
      </c>
      <c r="B2864" t="str">
        <f>"1578728225435845"</f>
        <v>1578728225435845</v>
      </c>
      <c r="C2864" t="s">
        <v>37</v>
      </c>
      <c r="D2864">
        <v>5.5178250000000002</v>
      </c>
      <c r="E2864">
        <v>0.44382429999999901</v>
      </c>
      <c r="F2864" t="s">
        <v>45</v>
      </c>
      <c r="G2864">
        <v>-452.85750000000002</v>
      </c>
      <c r="H2864" s="1">
        <v>-6.9785960000000001E-8</v>
      </c>
      <c r="I2864">
        <v>215.84219999999999</v>
      </c>
      <c r="J2864">
        <v>-468.57040000000001</v>
      </c>
      <c r="K2864">
        <v>1.1075170000000001</v>
      </c>
      <c r="L2864">
        <v>214.37540000000001</v>
      </c>
      <c r="M2864">
        <v>0.98049799999999998</v>
      </c>
      <c r="N2864">
        <v>0</v>
      </c>
      <c r="O2864">
        <v>-0.1965295</v>
      </c>
      <c r="P2864">
        <v>0.99594269999999996</v>
      </c>
      <c r="Q2864">
        <v>7.3626960000000005E-2</v>
      </c>
      <c r="R2864">
        <v>-5.1744999999999999E-2</v>
      </c>
      <c r="S2864">
        <v>3.0438839999999998</v>
      </c>
      <c r="T2864">
        <v>-0.21081079999999899</v>
      </c>
      <c r="U2864">
        <v>0.26931759999999999</v>
      </c>
      <c r="V2864">
        <v>-0.14576649999999999</v>
      </c>
      <c r="W2864">
        <v>7.2268680000000002E-2</v>
      </c>
      <c r="X2864">
        <v>0.98667590000000005</v>
      </c>
      <c r="Y2864">
        <v>-0.28104440000000003</v>
      </c>
      <c r="Z2864">
        <v>2.323267E-2</v>
      </c>
      <c r="AA2864">
        <v>0.95941350000000003</v>
      </c>
      <c r="AB2864">
        <v>29</v>
      </c>
      <c r="AC2864">
        <v>15.7128999999999</v>
      </c>
      <c r="AD2864">
        <v>-1.10751706978596</v>
      </c>
      <c r="AE2864">
        <v>1.4667999999999699</v>
      </c>
      <c r="AF2864">
        <v>-4.50405926108653</v>
      </c>
      <c r="AG2864">
        <v>-1.10751706978596</v>
      </c>
      <c r="AH2864">
        <v>15.044101698633501</v>
      </c>
      <c r="AI2864">
        <v>94.034111295609193</v>
      </c>
      <c r="AJ2864">
        <v>106.667194002947</v>
      </c>
      <c r="AK2864">
        <v>15.7428758429352</v>
      </c>
    </row>
    <row r="2865" spans="1:37" x14ac:dyDescent="0.2">
      <c r="A2865" t="str">
        <f>"20200111153705468"</f>
        <v>20200111153705468</v>
      </c>
      <c r="B2865" t="str">
        <f>"1578728225455367"</f>
        <v>1578728225455367</v>
      </c>
      <c r="C2865" t="s">
        <v>37</v>
      </c>
      <c r="D2865">
        <v>5.5423879999999999</v>
      </c>
      <c r="E2865">
        <v>0.44397150000000002</v>
      </c>
      <c r="F2865" t="s">
        <v>45</v>
      </c>
      <c r="G2865">
        <v>-452.77699999999999</v>
      </c>
      <c r="H2865" s="1">
        <v>-1.134062E-7</v>
      </c>
      <c r="I2865">
        <v>215.86099999999999</v>
      </c>
      <c r="J2865">
        <v>-468.27850000000001</v>
      </c>
      <c r="K2865">
        <v>1.1074679999999999</v>
      </c>
      <c r="L2865">
        <v>214.32259999999999</v>
      </c>
      <c r="M2865">
        <v>0.98162039999999995</v>
      </c>
      <c r="N2865">
        <v>0</v>
      </c>
      <c r="O2865">
        <v>-0.1908435</v>
      </c>
      <c r="P2865">
        <v>0.99615789999999904</v>
      </c>
      <c r="Q2865">
        <v>7.3978219999999997E-2</v>
      </c>
      <c r="R2865">
        <v>-4.6869229999999998E-2</v>
      </c>
      <c r="S2865">
        <v>3.0428470000000001</v>
      </c>
      <c r="T2865">
        <v>-0.2133813</v>
      </c>
      <c r="U2865">
        <v>0.28623959999999998</v>
      </c>
      <c r="V2865">
        <v>-0.14487039999999901</v>
      </c>
      <c r="W2865">
        <v>7.2646769999999999E-2</v>
      </c>
      <c r="X2865">
        <v>0.98678009999999905</v>
      </c>
      <c r="Y2865">
        <v>-0.2807905</v>
      </c>
      <c r="Z2865">
        <v>2.3116939999999999E-2</v>
      </c>
      <c r="AA2865">
        <v>0.95949069999999903</v>
      </c>
      <c r="AB2865">
        <v>29</v>
      </c>
      <c r="AC2865">
        <v>15.5015</v>
      </c>
      <c r="AD2865">
        <v>-1.1074681134062001</v>
      </c>
      <c r="AE2865">
        <v>1.53839999999999</v>
      </c>
      <c r="AF2865">
        <v>-4.4460143068931997</v>
      </c>
      <c r="AG2865">
        <v>-1.1074681134062001</v>
      </c>
      <c r="AH2865">
        <v>14.847950524721499</v>
      </c>
      <c r="AI2865">
        <v>94.086993733712902</v>
      </c>
      <c r="AJ2865">
        <v>106.669605028075</v>
      </c>
      <c r="AK2865">
        <v>15.538827614202001</v>
      </c>
    </row>
    <row r="2866" spans="1:37" x14ac:dyDescent="0.2">
      <c r="A2866" t="str">
        <f>"20200111153705490"</f>
        <v>20200111153705490</v>
      </c>
      <c r="B2866" t="str">
        <f>"1578728225485620"</f>
        <v>1578728225485620</v>
      </c>
      <c r="C2866" t="s">
        <v>37</v>
      </c>
      <c r="D2866">
        <v>5.7618910000000003</v>
      </c>
      <c r="E2866">
        <v>0.47854179999999902</v>
      </c>
      <c r="F2866" t="s">
        <v>45</v>
      </c>
      <c r="G2866">
        <v>-452.71699999999998</v>
      </c>
      <c r="H2866" s="1">
        <v>-1.4509499999999999E-7</v>
      </c>
      <c r="I2866">
        <v>215.85499999999999</v>
      </c>
      <c r="J2866">
        <v>-467.99799999999999</v>
      </c>
      <c r="K2866">
        <v>1.107434</v>
      </c>
      <c r="L2866">
        <v>214.27340000000001</v>
      </c>
      <c r="M2866">
        <v>0.9826433</v>
      </c>
      <c r="N2866">
        <v>0</v>
      </c>
      <c r="O2866">
        <v>-0.18550520000000001</v>
      </c>
      <c r="P2866">
        <v>0.99630949999999996</v>
      </c>
      <c r="Q2866">
        <v>7.4157509999999996E-2</v>
      </c>
      <c r="R2866">
        <v>-4.322198E-2</v>
      </c>
      <c r="S2866">
        <v>3.0417179999999999</v>
      </c>
      <c r="T2866">
        <v>-0.216469999999999</v>
      </c>
      <c r="U2866">
        <v>0.29953000000000002</v>
      </c>
      <c r="V2866">
        <v>-0.14311279999999901</v>
      </c>
      <c r="W2866">
        <v>7.2862670000000004E-2</v>
      </c>
      <c r="X2866">
        <v>0.98702060000000003</v>
      </c>
      <c r="Y2866">
        <v>-0.27974460000000001</v>
      </c>
      <c r="Z2866">
        <v>2.3043729999999998E-2</v>
      </c>
      <c r="AA2866">
        <v>0.95979789999999998</v>
      </c>
      <c r="AB2866">
        <v>29</v>
      </c>
      <c r="AC2866">
        <v>15.281000000000001</v>
      </c>
      <c r="AD2866">
        <v>-1.107434145095</v>
      </c>
      <c r="AE2866">
        <v>1.5815999999999799</v>
      </c>
      <c r="AF2866">
        <v>-4.3661650810003296</v>
      </c>
      <c r="AG2866">
        <v>-1.107434145095</v>
      </c>
      <c r="AH2866">
        <v>14.6462687572897</v>
      </c>
      <c r="AI2866">
        <v>94.144455824670104</v>
      </c>
      <c r="AJ2866">
        <v>106.599722395516</v>
      </c>
      <c r="AK2866">
        <v>15.323282820956701</v>
      </c>
    </row>
    <row r="2867" spans="1:37" x14ac:dyDescent="0.2">
      <c r="A2867" t="str">
        <f>"20200111153705513"</f>
        <v>20200111153705513</v>
      </c>
      <c r="B2867" t="str">
        <f>"1578728225506119"</f>
        <v>1578728225506119</v>
      </c>
      <c r="C2867" t="s">
        <v>37</v>
      </c>
      <c r="D2867">
        <v>5.6811680000000004</v>
      </c>
      <c r="E2867">
        <v>0.490031099999999</v>
      </c>
      <c r="F2867" t="s">
        <v>45</v>
      </c>
      <c r="G2867">
        <v>-452.00639999999999</v>
      </c>
      <c r="H2867" s="1">
        <v>-4.62243099999999E-7</v>
      </c>
      <c r="I2867">
        <v>214.45949999999999</v>
      </c>
      <c r="J2867">
        <v>-467.71390000000002</v>
      </c>
      <c r="K2867">
        <v>1.1073999999999999</v>
      </c>
      <c r="L2867">
        <v>214.22499999999999</v>
      </c>
      <c r="M2867">
        <v>0.98362499999999997</v>
      </c>
      <c r="N2867">
        <v>0</v>
      </c>
      <c r="O2867">
        <v>-0.1802279</v>
      </c>
      <c r="P2867">
        <v>0.99640969999999995</v>
      </c>
      <c r="Q2867">
        <v>7.4226390000000003E-2</v>
      </c>
      <c r="R2867">
        <v>-4.072605E-2</v>
      </c>
      <c r="S2867">
        <v>3.0282900000000001</v>
      </c>
      <c r="T2867">
        <v>-0.20971190000000001</v>
      </c>
      <c r="U2867">
        <v>3.5247800000000003E-2</v>
      </c>
      <c r="V2867">
        <v>-0.14028099999999999</v>
      </c>
      <c r="W2867">
        <v>7.2982060000000001E-2</v>
      </c>
      <c r="X2867">
        <v>0.98741829999999997</v>
      </c>
      <c r="Y2867">
        <v>-0.19077849999999999</v>
      </c>
      <c r="Z2867">
        <v>1.9015029999999999E-2</v>
      </c>
      <c r="AA2867">
        <v>0.98144889999999996</v>
      </c>
      <c r="AB2867">
        <v>29</v>
      </c>
      <c r="AC2867">
        <v>15.7075</v>
      </c>
      <c r="AD2867">
        <v>-1.1074004622431</v>
      </c>
      <c r="AE2867">
        <v>0.23449999999999699</v>
      </c>
      <c r="AF2867">
        <v>-3.0464505989133901</v>
      </c>
      <c r="AG2867">
        <v>-1.1074004622431</v>
      </c>
      <c r="AH2867">
        <v>15.3318353605602</v>
      </c>
      <c r="AI2867">
        <v>94.052282422439902</v>
      </c>
      <c r="AJ2867">
        <v>101.238348490522</v>
      </c>
      <c r="AK2867">
        <v>15.6707489469623</v>
      </c>
    </row>
    <row r="2868" spans="1:37" x14ac:dyDescent="0.2">
      <c r="A2868" t="str">
        <f>"20200111153705535"</f>
        <v>20200111153705535</v>
      </c>
      <c r="B2868" t="str">
        <f>"1578728225525637"</f>
        <v>1578728225525637</v>
      </c>
      <c r="C2868" t="s">
        <v>37</v>
      </c>
      <c r="D2868">
        <v>5.615094</v>
      </c>
      <c r="E2868">
        <v>0.49725730000000001</v>
      </c>
      <c r="F2868" t="s">
        <v>45</v>
      </c>
      <c r="G2868">
        <v>-451.85950000000003</v>
      </c>
      <c r="H2868" s="1">
        <v>-5.1885929999999998E-7</v>
      </c>
      <c r="I2868">
        <v>213.96719999999999</v>
      </c>
      <c r="J2868">
        <v>-467.40859999999998</v>
      </c>
      <c r="K2868">
        <v>1.107343</v>
      </c>
      <c r="L2868">
        <v>214.17439999999999</v>
      </c>
      <c r="M2868">
        <v>0.98462119999999997</v>
      </c>
      <c r="N2868">
        <v>0</v>
      </c>
      <c r="O2868">
        <v>-0.174703</v>
      </c>
      <c r="P2868">
        <v>0.99650720000000004</v>
      </c>
      <c r="Q2868">
        <v>7.3571490000000003E-2</v>
      </c>
      <c r="R2868">
        <v>-3.9510509999999999E-2</v>
      </c>
      <c r="S2868">
        <v>3.0245359999999999</v>
      </c>
      <c r="T2868">
        <v>-0.21125849999999999</v>
      </c>
      <c r="U2868">
        <v>-4.917908E-2</v>
      </c>
      <c r="V2868">
        <v>-0.1359349</v>
      </c>
      <c r="W2868">
        <v>7.239756E-2</v>
      </c>
      <c r="X2868">
        <v>0.98806899999999998</v>
      </c>
      <c r="Y2868">
        <v>-0.157865899999999</v>
      </c>
      <c r="Z2868">
        <v>1.7641710000000001E-2</v>
      </c>
      <c r="AA2868">
        <v>0.98730300000000004</v>
      </c>
      <c r="AB2868">
        <v>30</v>
      </c>
      <c r="AC2868">
        <v>15.5490999999999</v>
      </c>
      <c r="AD2868">
        <v>-1.1073435188592999</v>
      </c>
      <c r="AE2868">
        <v>-0.2072</v>
      </c>
      <c r="AF2868">
        <v>-2.4997849194759199</v>
      </c>
      <c r="AG2868">
        <v>-1.1073435188592999</v>
      </c>
      <c r="AH2868">
        <v>15.268746738482299</v>
      </c>
      <c r="AI2868">
        <v>94.093718260776598</v>
      </c>
      <c r="AJ2868">
        <v>99.297923331925006</v>
      </c>
      <c r="AK2868">
        <v>15.511600861172001</v>
      </c>
    </row>
    <row r="2869" spans="1:37" x14ac:dyDescent="0.2">
      <c r="A2869" t="str">
        <f>"20200111153705556"</f>
        <v>20200111153705556</v>
      </c>
      <c r="B2869" t="str">
        <f>"1578728225546133"</f>
        <v>1578728225546133</v>
      </c>
      <c r="C2869" t="s">
        <v>37</v>
      </c>
      <c r="D2869">
        <v>5.515479</v>
      </c>
      <c r="E2869">
        <v>0.5005811</v>
      </c>
      <c r="F2869" t="s">
        <v>45</v>
      </c>
      <c r="G2869">
        <v>-450.0197</v>
      </c>
      <c r="H2869" s="1">
        <v>-1.4810769999999899E-6</v>
      </c>
      <c r="I2869">
        <v>213.58160000000001</v>
      </c>
      <c r="J2869">
        <v>-467.12049999999999</v>
      </c>
      <c r="K2869">
        <v>1.1072839999999999</v>
      </c>
      <c r="L2869">
        <v>214.12819999999999</v>
      </c>
      <c r="M2869">
        <v>0.98550550000000003</v>
      </c>
      <c r="N2869">
        <v>0</v>
      </c>
      <c r="O2869">
        <v>-0.16964309999999999</v>
      </c>
      <c r="P2869">
        <v>0.99658979999999997</v>
      </c>
      <c r="Q2869">
        <v>7.2831930000000003E-2</v>
      </c>
      <c r="R2869">
        <v>-3.8784689999999997E-2</v>
      </c>
      <c r="S2869">
        <v>3.0205690000000001</v>
      </c>
      <c r="T2869">
        <v>-0.19235350000000001</v>
      </c>
      <c r="U2869">
        <v>-0.1029663</v>
      </c>
      <c r="V2869">
        <v>-0.13157099999999999</v>
      </c>
      <c r="W2869">
        <v>7.172982E-2</v>
      </c>
      <c r="X2869">
        <v>0.98870820000000004</v>
      </c>
      <c r="Y2869">
        <v>-0.13535620000000001</v>
      </c>
      <c r="Z2869">
        <v>1.504605E-2</v>
      </c>
      <c r="AA2869">
        <v>0.99068279999999997</v>
      </c>
      <c r="AB2869">
        <v>30</v>
      </c>
      <c r="AC2869">
        <v>17.1007999999999</v>
      </c>
      <c r="AD2869">
        <v>-1.1072854810770001</v>
      </c>
      <c r="AE2869">
        <v>-0.54659999999998299</v>
      </c>
      <c r="AF2869">
        <v>-2.3525024677193</v>
      </c>
      <c r="AG2869">
        <v>-1.1072854810770001</v>
      </c>
      <c r="AH2869">
        <v>16.874982140704301</v>
      </c>
      <c r="AI2869">
        <v>93.718338742954202</v>
      </c>
      <c r="AJ2869">
        <v>97.936323832082195</v>
      </c>
      <c r="AK2869">
        <v>17.0741140691492</v>
      </c>
    </row>
    <row r="2870" spans="1:37" x14ac:dyDescent="0.2">
      <c r="A2870" t="str">
        <f>"20200111153705580"</f>
        <v>20200111153705580</v>
      </c>
      <c r="B2870" t="str">
        <f>"1578728225575414"</f>
        <v>1578728225575414</v>
      </c>
      <c r="C2870" t="s">
        <v>37</v>
      </c>
      <c r="D2870">
        <v>5.6015839999999999</v>
      </c>
      <c r="E2870">
        <v>0.50083679999999997</v>
      </c>
      <c r="F2870" t="s">
        <v>45</v>
      </c>
      <c r="G2870">
        <v>-449.8759</v>
      </c>
      <c r="H2870" s="1">
        <v>3.7718130000000002E-6</v>
      </c>
      <c r="I2870">
        <v>213.40099999999899</v>
      </c>
      <c r="J2870">
        <v>-466.8143</v>
      </c>
      <c r="K2870">
        <v>1.107218</v>
      </c>
      <c r="L2870">
        <v>214.0805</v>
      </c>
      <c r="M2870">
        <v>0.98638729999999997</v>
      </c>
      <c r="N2870">
        <v>0</v>
      </c>
      <c r="O2870">
        <v>-0.1644398</v>
      </c>
      <c r="P2870">
        <v>0.99671719999999897</v>
      </c>
      <c r="Q2870">
        <v>7.2216970000000005E-2</v>
      </c>
      <c r="R2870">
        <v>-3.6605599999999898E-2</v>
      </c>
      <c r="S2870">
        <v>3.0194700000000001</v>
      </c>
      <c r="T2870">
        <v>-0.19388150000000001</v>
      </c>
      <c r="U2870">
        <v>-0.1273193</v>
      </c>
      <c r="V2870">
        <v>-0.12850400000000001</v>
      </c>
      <c r="W2870">
        <v>7.1179060000000002E-2</v>
      </c>
      <c r="X2870">
        <v>0.98915129999999996</v>
      </c>
      <c r="Y2870">
        <v>-0.12215280000000001</v>
      </c>
      <c r="Z2870">
        <v>1.441392E-2</v>
      </c>
      <c r="AA2870">
        <v>0.99240669999999898</v>
      </c>
      <c r="AB2870">
        <v>30</v>
      </c>
      <c r="AC2870">
        <v>16.938400000000001</v>
      </c>
      <c r="AD2870">
        <v>-1.1072142281870001</v>
      </c>
      <c r="AE2870">
        <v>-0.67950000000001798</v>
      </c>
      <c r="AF2870">
        <v>-2.1061119042244298</v>
      </c>
      <c r="AG2870">
        <v>-1.1072142281870001</v>
      </c>
      <c r="AH2870">
        <v>16.748109186976102</v>
      </c>
      <c r="AI2870">
        <v>93.752837874863005</v>
      </c>
      <c r="AJ2870">
        <v>97.167448358956506</v>
      </c>
      <c r="AK2870">
        <v>16.9162877735953</v>
      </c>
    </row>
    <row r="2871" spans="1:37" x14ac:dyDescent="0.2">
      <c r="A2871" t="str">
        <f>"20200111153705602"</f>
        <v>20200111153705602</v>
      </c>
      <c r="B2871" t="str">
        <f>"1578728225595909"</f>
        <v>1578728225595909</v>
      </c>
      <c r="C2871" t="s">
        <v>37</v>
      </c>
      <c r="D2871">
        <v>5.5384679999999999</v>
      </c>
      <c r="E2871">
        <v>0.50142589999999998</v>
      </c>
      <c r="F2871" t="s">
        <v>45</v>
      </c>
      <c r="G2871">
        <v>-450.18799999999999</v>
      </c>
      <c r="H2871" s="1">
        <v>-1.3833979999999999E-6</v>
      </c>
      <c r="I2871">
        <v>213.39590000000001</v>
      </c>
      <c r="J2871">
        <v>-466.52109999999999</v>
      </c>
      <c r="K2871">
        <v>1.1071309999999901</v>
      </c>
      <c r="L2871">
        <v>214.03630000000001</v>
      </c>
      <c r="M2871">
        <v>0.98717299999999997</v>
      </c>
      <c r="N2871">
        <v>0</v>
      </c>
      <c r="O2871">
        <v>-0.1596542</v>
      </c>
      <c r="P2871">
        <v>0.9968494</v>
      </c>
      <c r="Q2871">
        <v>7.1301790000000004E-2</v>
      </c>
      <c r="R2871">
        <v>-3.474729E-2</v>
      </c>
      <c r="S2871">
        <v>3.0198969999999998</v>
      </c>
      <c r="T2871">
        <v>-0.20110810000000001</v>
      </c>
      <c r="U2871">
        <v>-0.12434389999999899</v>
      </c>
      <c r="V2871">
        <v>-0.1255385</v>
      </c>
      <c r="W2871">
        <v>7.0328150000000006E-2</v>
      </c>
      <c r="X2871">
        <v>0.9895929</v>
      </c>
      <c r="Y2871">
        <v>-0.11829539999999999</v>
      </c>
      <c r="Z2871">
        <v>1.450571E-2</v>
      </c>
      <c r="AA2871">
        <v>0.99287250000000005</v>
      </c>
      <c r="AB2871">
        <v>30</v>
      </c>
      <c r="AC2871">
        <v>16.333099999999899</v>
      </c>
      <c r="AD2871">
        <v>-1.10713238339799</v>
      </c>
      <c r="AE2871">
        <v>-0.64039999999999897</v>
      </c>
      <c r="AF2871">
        <v>-1.96644099379954</v>
      </c>
      <c r="AG2871">
        <v>-1.10713238339799</v>
      </c>
      <c r="AH2871">
        <v>16.151738629490598</v>
      </c>
      <c r="AI2871">
        <v>93.892592550503593</v>
      </c>
      <c r="AJ2871">
        <v>96.941481116199597</v>
      </c>
      <c r="AK2871">
        <v>16.308626338592699</v>
      </c>
    </row>
    <row r="2872" spans="1:37" x14ac:dyDescent="0.2">
      <c r="A2872" t="str">
        <f>"20200111153705626"</f>
        <v>20200111153705626</v>
      </c>
      <c r="B2872" t="str">
        <f>"1578728225615429"</f>
        <v>1578728225615429</v>
      </c>
      <c r="C2872" t="s">
        <v>37</v>
      </c>
      <c r="D2872">
        <v>5.6159540000000003</v>
      </c>
      <c r="E2872">
        <v>0.50196579999999902</v>
      </c>
      <c r="F2872" t="s">
        <v>45</v>
      </c>
      <c r="G2872">
        <v>-450.6189</v>
      </c>
      <c r="H2872" s="1">
        <v>-1.1535469999999899E-6</v>
      </c>
      <c r="I2872">
        <v>213.3836</v>
      </c>
      <c r="J2872">
        <v>-466.19909999999999</v>
      </c>
      <c r="K2872">
        <v>1.107051</v>
      </c>
      <c r="L2872">
        <v>213.98920000000001</v>
      </c>
      <c r="M2872">
        <v>0.98797950000000001</v>
      </c>
      <c r="N2872">
        <v>0</v>
      </c>
      <c r="O2872">
        <v>-0.1545851</v>
      </c>
      <c r="P2872">
        <v>0.99694269999999996</v>
      </c>
      <c r="Q2872">
        <v>7.0998240000000004E-2</v>
      </c>
      <c r="R2872">
        <v>-3.2628360000000002E-2</v>
      </c>
      <c r="S2872">
        <v>3.0201720000000001</v>
      </c>
      <c r="T2872">
        <v>-0.21026839999999899</v>
      </c>
      <c r="U2872">
        <v>-0.1239624</v>
      </c>
      <c r="V2872">
        <v>-0.1225488</v>
      </c>
      <c r="W2872">
        <v>7.0092680000000004E-2</v>
      </c>
      <c r="X2872">
        <v>0.98998430000000004</v>
      </c>
      <c r="Y2872">
        <v>-0.113293699999999</v>
      </c>
      <c r="Z2872">
        <v>1.4641299999999901E-2</v>
      </c>
      <c r="AA2872">
        <v>0.9934537</v>
      </c>
      <c r="AB2872">
        <v>31</v>
      </c>
      <c r="AC2872">
        <v>15.5801999999999</v>
      </c>
      <c r="AD2872">
        <v>-1.1070521535469999</v>
      </c>
      <c r="AE2872">
        <v>-0.60560000000000902</v>
      </c>
      <c r="AF2872">
        <v>-1.8010667999104799</v>
      </c>
      <c r="AG2872">
        <v>-1.1070521535469999</v>
      </c>
      <c r="AH2872">
        <v>15.408855376217399</v>
      </c>
      <c r="AI2872">
        <v>94.081672694933204</v>
      </c>
      <c r="AJ2872">
        <v>96.666776379671603</v>
      </c>
      <c r="AK2872">
        <v>15.5532064248372</v>
      </c>
    </row>
    <row r="2873" spans="1:37" x14ac:dyDescent="0.2">
      <c r="A2873" t="str">
        <f>"20200111153705648"</f>
        <v>20200111153705648</v>
      </c>
      <c r="B2873" t="str">
        <f>"1578728225635925"</f>
        <v>1578728225635925</v>
      </c>
      <c r="C2873" t="s">
        <v>37</v>
      </c>
      <c r="D2873">
        <v>5.6570199999999904</v>
      </c>
      <c r="E2873">
        <v>0.50191350000000001</v>
      </c>
      <c r="F2873" t="s">
        <v>45</v>
      </c>
      <c r="G2873">
        <v>-449.85379999999998</v>
      </c>
      <c r="H2873" s="1">
        <v>3.76332899999999E-6</v>
      </c>
      <c r="I2873">
        <v>213.32560000000001</v>
      </c>
      <c r="J2873">
        <v>-465.90690000000001</v>
      </c>
      <c r="K2873">
        <v>1.1069819999999999</v>
      </c>
      <c r="L2873">
        <v>213.9477</v>
      </c>
      <c r="M2873">
        <v>0.98866129999999997</v>
      </c>
      <c r="N2873">
        <v>0</v>
      </c>
      <c r="O2873">
        <v>-0.1501625</v>
      </c>
      <c r="P2873">
        <v>0.996992199999999</v>
      </c>
      <c r="Q2873">
        <v>7.0944430000000003E-2</v>
      </c>
      <c r="R2873">
        <v>-3.1198070000000001E-2</v>
      </c>
      <c r="S2873">
        <v>3.0197449999999999</v>
      </c>
      <c r="T2873">
        <v>-0.20452319999999999</v>
      </c>
      <c r="U2873">
        <v>-0.12258910000000001</v>
      </c>
      <c r="V2873">
        <v>-0.11952500000000001</v>
      </c>
      <c r="W2873">
        <v>7.0105050000000002E-2</v>
      </c>
      <c r="X2873">
        <v>0.99035300000000004</v>
      </c>
      <c r="Y2873">
        <v>-0.109345699999999</v>
      </c>
      <c r="Z2873">
        <v>1.3814959999999999E-2</v>
      </c>
      <c r="AA2873">
        <v>0.99390769999999995</v>
      </c>
      <c r="AB2873">
        <v>31</v>
      </c>
      <c r="AC2873">
        <v>16.053100000000001</v>
      </c>
      <c r="AD2873">
        <v>-1.1069782366709999</v>
      </c>
      <c r="AE2873">
        <v>-0.622099999999989</v>
      </c>
      <c r="AF2873">
        <v>-1.78704264790098</v>
      </c>
      <c r="AG2873">
        <v>-1.1069782366709999</v>
      </c>
      <c r="AH2873">
        <v>15.8890543973154</v>
      </c>
      <c r="AI2873">
        <v>93.960423593215395</v>
      </c>
      <c r="AJ2873">
        <v>96.417091825873399</v>
      </c>
      <c r="AK2873">
        <v>16.027506726959299</v>
      </c>
    </row>
    <row r="2874" spans="1:37" x14ac:dyDescent="0.2">
      <c r="A2874" t="str">
        <f>"20200111153705670"</f>
        <v>20200111153705670</v>
      </c>
      <c r="B2874" t="str">
        <f>"1578728225666181"</f>
        <v>1578728225666181</v>
      </c>
      <c r="C2874" t="s">
        <v>37</v>
      </c>
      <c r="D2874">
        <v>5.6527570000000003</v>
      </c>
      <c r="E2874">
        <v>0.50218830000000003</v>
      </c>
      <c r="F2874" t="s">
        <v>45</v>
      </c>
      <c r="G2874">
        <v>-449.18349999999998</v>
      </c>
      <c r="H2874" s="1">
        <v>3.4080100000000001E-6</v>
      </c>
      <c r="I2874">
        <v>213.29390000000001</v>
      </c>
      <c r="J2874">
        <v>-465.60509999999999</v>
      </c>
      <c r="K2874">
        <v>1.106886</v>
      </c>
      <c r="L2874">
        <v>213.90599999999901</v>
      </c>
      <c r="M2874">
        <v>0.98931409999999997</v>
      </c>
      <c r="N2874">
        <v>0</v>
      </c>
      <c r="O2874">
        <v>-0.14580070000000001</v>
      </c>
      <c r="P2874">
        <v>0.99704519999999996</v>
      </c>
      <c r="Q2874">
        <v>7.0817749999999999E-2</v>
      </c>
      <c r="R2874">
        <v>-2.976384E-2</v>
      </c>
      <c r="S2874">
        <v>3.0195919999999998</v>
      </c>
      <c r="T2874">
        <v>-0.199877</v>
      </c>
      <c r="U2874">
        <v>-0.11804199999999999</v>
      </c>
      <c r="V2874">
        <v>-0.116565</v>
      </c>
      <c r="W2874">
        <v>7.0048440000000003E-2</v>
      </c>
      <c r="X2874">
        <v>0.99070979999999997</v>
      </c>
      <c r="Y2874">
        <v>-0.1064958</v>
      </c>
      <c r="Z2874">
        <v>1.312353E-2</v>
      </c>
      <c r="AA2874">
        <v>0.99422649999999901</v>
      </c>
      <c r="AB2874">
        <v>31</v>
      </c>
      <c r="AC2874">
        <v>16.421600000000002</v>
      </c>
      <c r="AD2874">
        <v>-1.1068825919900001</v>
      </c>
      <c r="AE2874">
        <v>-0.612099999999969</v>
      </c>
      <c r="AF2874">
        <v>-1.78064262300432</v>
      </c>
      <c r="AG2874">
        <v>-1.1068825919900001</v>
      </c>
      <c r="AH2874">
        <v>16.261584253352499</v>
      </c>
      <c r="AI2874">
        <v>93.870897875558001</v>
      </c>
      <c r="AJ2874">
        <v>96.248988590225906</v>
      </c>
      <c r="AK2874">
        <v>16.3961885708902</v>
      </c>
    </row>
    <row r="2875" spans="1:37" x14ac:dyDescent="0.2">
      <c r="A2875" t="str">
        <f>"20200111153705690"</f>
        <v>20200111153705690</v>
      </c>
      <c r="B2875" t="str">
        <f>"1578728225685577"</f>
        <v>1578728225685577</v>
      </c>
      <c r="C2875" t="s">
        <v>37</v>
      </c>
      <c r="D2875">
        <v>5.5869400000000002</v>
      </c>
      <c r="E2875">
        <v>0.50229749999999995</v>
      </c>
      <c r="F2875" t="s">
        <v>45</v>
      </c>
      <c r="G2875">
        <v>-449.00389999999999</v>
      </c>
      <c r="H2875" s="1">
        <v>3.3134599999999999E-6</v>
      </c>
      <c r="I2875">
        <v>213.27019999999999</v>
      </c>
      <c r="J2875">
        <v>-465.30849999999998</v>
      </c>
      <c r="K2875">
        <v>1.1067610000000001</v>
      </c>
      <c r="L2875">
        <v>213.86609999999999</v>
      </c>
      <c r="M2875">
        <v>0.98990480000000003</v>
      </c>
      <c r="N2875">
        <v>0</v>
      </c>
      <c r="O2875">
        <v>-0.14173339999999901</v>
      </c>
      <c r="P2875">
        <v>0.99722880000000003</v>
      </c>
      <c r="Q2875">
        <v>6.8658360000000002E-2</v>
      </c>
      <c r="R2875">
        <v>-2.8650990000000001E-2</v>
      </c>
      <c r="S2875">
        <v>3.0197449999999999</v>
      </c>
      <c r="T2875">
        <v>-0.201340299999999</v>
      </c>
      <c r="U2875">
        <v>-0.1156464</v>
      </c>
      <c r="V2875">
        <v>-0.11358210000000001</v>
      </c>
      <c r="W2875">
        <v>6.7962010000000003E-2</v>
      </c>
      <c r="X2875">
        <v>0.99120149999999996</v>
      </c>
      <c r="Y2875">
        <v>-0.10320650000000001</v>
      </c>
      <c r="Z2875">
        <v>1.2841299999999899E-2</v>
      </c>
      <c r="AA2875">
        <v>0.99457709999999999</v>
      </c>
      <c r="AB2875">
        <v>31</v>
      </c>
      <c r="AC2875">
        <v>16.304599999999901</v>
      </c>
      <c r="AD2875">
        <v>-1.10675768654</v>
      </c>
      <c r="AE2875">
        <v>-0.59589999999999999</v>
      </c>
      <c r="AF2875">
        <v>-1.71313912324519</v>
      </c>
      <c r="AG2875">
        <v>-1.10675768654</v>
      </c>
      <c r="AH2875">
        <v>16.150145929155901</v>
      </c>
      <c r="AI2875">
        <v>93.898504836120196</v>
      </c>
      <c r="AJ2875">
        <v>96.055050911203196</v>
      </c>
      <c r="AK2875">
        <v>16.278420432134599</v>
      </c>
    </row>
    <row r="2876" spans="1:37" x14ac:dyDescent="0.2">
      <c r="A2876" t="str">
        <f>"20200111153705712"</f>
        <v>20200111153705712</v>
      </c>
      <c r="B2876" t="str">
        <f>"1578728225706074"</f>
        <v>1578728225706074</v>
      </c>
      <c r="C2876" t="s">
        <v>37</v>
      </c>
      <c r="D2876">
        <v>5.6445019999999904</v>
      </c>
      <c r="E2876">
        <v>0.50269049999999904</v>
      </c>
      <c r="F2876" t="s">
        <v>45</v>
      </c>
      <c r="G2876">
        <v>-449.3458</v>
      </c>
      <c r="H2876" s="1">
        <v>3.4953799999999999E-6</v>
      </c>
      <c r="I2876">
        <v>213.27080000000001</v>
      </c>
      <c r="J2876">
        <v>-464.99650000000003</v>
      </c>
      <c r="K2876">
        <v>1.1066069999999999</v>
      </c>
      <c r="L2876">
        <v>213.8252</v>
      </c>
      <c r="M2876">
        <v>0.99047469999999904</v>
      </c>
      <c r="N2876">
        <v>0</v>
      </c>
      <c r="O2876">
        <v>-0.13769509999999999</v>
      </c>
      <c r="P2876">
        <v>0.99744869999999997</v>
      </c>
      <c r="Q2876">
        <v>6.5623760000000003E-2</v>
      </c>
      <c r="R2876">
        <v>-2.8103320000000001E-2</v>
      </c>
      <c r="S2876">
        <v>3.0195310000000002</v>
      </c>
      <c r="T2876">
        <v>-0.2093554</v>
      </c>
      <c r="U2876">
        <v>-0.1126099</v>
      </c>
      <c r="V2876">
        <v>-0.11006299999999999</v>
      </c>
      <c r="W2876">
        <v>6.5010269999999995E-2</v>
      </c>
      <c r="X2876">
        <v>0.99179629999999996</v>
      </c>
      <c r="Y2876">
        <v>-0.1001187</v>
      </c>
      <c r="Z2876">
        <v>1.296867E-2</v>
      </c>
      <c r="AA2876">
        <v>0.99489099999999997</v>
      </c>
      <c r="AB2876">
        <v>31</v>
      </c>
      <c r="AC2876">
        <v>15.650700000000001</v>
      </c>
      <c r="AD2876">
        <v>-1.10660350461999</v>
      </c>
      <c r="AE2876">
        <v>-0.55439999999998602</v>
      </c>
      <c r="AF2876">
        <v>-1.5979268310430399</v>
      </c>
      <c r="AG2876">
        <v>-1.10660350461999</v>
      </c>
      <c r="AH2876">
        <v>15.500563828089801</v>
      </c>
      <c r="AI2876">
        <v>94.062030809405201</v>
      </c>
      <c r="AJ2876">
        <v>95.885733856837106</v>
      </c>
      <c r="AK2876">
        <v>15.621953157735801</v>
      </c>
    </row>
    <row r="2877" spans="1:37" x14ac:dyDescent="0.2">
      <c r="A2877" t="str">
        <f>"20200111153705735"</f>
        <v>20200111153705735</v>
      </c>
      <c r="B2877" t="str">
        <f>"1578728225725595"</f>
        <v>1578728225725595</v>
      </c>
      <c r="C2877" t="s">
        <v>37</v>
      </c>
      <c r="D2877">
        <v>5.8489190000000004</v>
      </c>
      <c r="E2877">
        <v>0.50300149999999999</v>
      </c>
      <c r="F2877" t="s">
        <v>45</v>
      </c>
      <c r="G2877">
        <v>-449.49669999999998</v>
      </c>
      <c r="H2877" s="1">
        <v>3.577061E-6</v>
      </c>
      <c r="I2877">
        <v>213.23949999999999</v>
      </c>
      <c r="J2877">
        <v>-464.6807</v>
      </c>
      <c r="K2877">
        <v>1.10643</v>
      </c>
      <c r="L2877">
        <v>213.78489999999999</v>
      </c>
      <c r="M2877">
        <v>0.99100049999999995</v>
      </c>
      <c r="N2877">
        <v>0</v>
      </c>
      <c r="O2877">
        <v>-0.133858</v>
      </c>
      <c r="P2877">
        <v>0.99768440000000003</v>
      </c>
      <c r="Q2877">
        <v>6.2097140000000002E-2</v>
      </c>
      <c r="R2877">
        <v>-2.775095E-2</v>
      </c>
      <c r="S2877">
        <v>3.0186769999999998</v>
      </c>
      <c r="T2877">
        <v>-0.21551799999999999</v>
      </c>
      <c r="U2877">
        <v>-0.1140747</v>
      </c>
      <c r="V2877">
        <v>-0.10655000000000001</v>
      </c>
      <c r="W2877">
        <v>6.1567280000000002E-2</v>
      </c>
      <c r="X2877">
        <v>0.99239940000000004</v>
      </c>
      <c r="Y2877">
        <v>-9.5758339999999997E-2</v>
      </c>
      <c r="Z2877">
        <v>1.2926399999999999E-2</v>
      </c>
      <c r="AA2877">
        <v>0.99532069999999995</v>
      </c>
      <c r="AB2877">
        <v>32</v>
      </c>
      <c r="AC2877">
        <v>15.183999999999999</v>
      </c>
      <c r="AD2877">
        <v>-1.106426422939</v>
      </c>
      <c r="AE2877">
        <v>-0.5454</v>
      </c>
      <c r="AF2877">
        <v>-1.4841380102819699</v>
      </c>
      <c r="AG2877">
        <v>-1.106426422939</v>
      </c>
      <c r="AH2877">
        <v>15.04059942113</v>
      </c>
      <c r="AI2877">
        <v>94.186989624713405</v>
      </c>
      <c r="AJ2877">
        <v>95.635443952860001</v>
      </c>
      <c r="AK2877">
        <v>15.1540910651162</v>
      </c>
    </row>
    <row r="2878" spans="1:37" x14ac:dyDescent="0.2">
      <c r="A2878" t="str">
        <f>"20200111153705757"</f>
        <v>20200111153705757</v>
      </c>
      <c r="B2878" t="str">
        <f>"1578728225746105"</f>
        <v>1578728225746105</v>
      </c>
      <c r="C2878" t="s">
        <v>37</v>
      </c>
      <c r="D2878">
        <v>5.6137699999999997</v>
      </c>
      <c r="E2878">
        <v>0.50307380000000002</v>
      </c>
      <c r="F2878" t="s">
        <v>45</v>
      </c>
      <c r="G2878">
        <v>-449.75259999999997</v>
      </c>
      <c r="H2878" s="1">
        <v>3.7142949999999998E-6</v>
      </c>
      <c r="I2878">
        <v>213.2159</v>
      </c>
      <c r="J2878">
        <v>-464.3655</v>
      </c>
      <c r="K2878">
        <v>1.1062430000000001</v>
      </c>
      <c r="L2878">
        <v>213.7457</v>
      </c>
      <c r="M2878">
        <v>0.99148009999999998</v>
      </c>
      <c r="N2878">
        <v>0</v>
      </c>
      <c r="O2878">
        <v>-0.1302585</v>
      </c>
      <c r="P2878">
        <v>0.997973</v>
      </c>
      <c r="Q2878">
        <v>5.5818489999999998E-2</v>
      </c>
      <c r="R2878">
        <v>-3.0568720000000001E-2</v>
      </c>
      <c r="S2878">
        <v>3.0177</v>
      </c>
      <c r="T2878">
        <v>-0.223663999999999</v>
      </c>
      <c r="U2878">
        <v>-0.115035999999999</v>
      </c>
      <c r="V2878">
        <v>-0.1001195</v>
      </c>
      <c r="W2878">
        <v>5.5394239999999997E-2</v>
      </c>
      <c r="X2878">
        <v>0.99343219999999999</v>
      </c>
      <c r="Y2878">
        <v>-9.1789860000000001E-2</v>
      </c>
      <c r="Z2878">
        <v>1.300683E-2</v>
      </c>
      <c r="AA2878">
        <v>0.99569339999999995</v>
      </c>
      <c r="AB2878">
        <v>32</v>
      </c>
      <c r="AC2878">
        <v>14.6129</v>
      </c>
      <c r="AD2878">
        <v>-1.1062392857050001</v>
      </c>
      <c r="AE2878">
        <v>-0.52979999999999405</v>
      </c>
      <c r="AF2878">
        <v>-1.3703252993699599</v>
      </c>
      <c r="AG2878">
        <v>-1.1062392857050001</v>
      </c>
      <c r="AH2878">
        <v>14.474566156913699</v>
      </c>
      <c r="AI2878">
        <v>94.351035687425096</v>
      </c>
      <c r="AJ2878">
        <v>95.408144518404299</v>
      </c>
      <c r="AK2878">
        <v>14.581310716605699</v>
      </c>
    </row>
    <row r="2879" spans="1:37" x14ac:dyDescent="0.2">
      <c r="A2879" t="str">
        <f>"20200111153705782"</f>
        <v>20200111153705782</v>
      </c>
      <c r="B2879" t="str">
        <f>"1578728225775369"</f>
        <v>1578728225775369</v>
      </c>
      <c r="C2879" t="s">
        <v>37</v>
      </c>
      <c r="D2879">
        <v>5.5701609999999997</v>
      </c>
      <c r="E2879">
        <v>0.50302420000000003</v>
      </c>
      <c r="F2879" t="s">
        <v>45</v>
      </c>
      <c r="G2879">
        <v>-450.5385</v>
      </c>
      <c r="H2879" s="1">
        <v>-1.187328E-6</v>
      </c>
      <c r="I2879">
        <v>213.17750000000001</v>
      </c>
      <c r="J2879">
        <v>-464.02109999999999</v>
      </c>
      <c r="K2879">
        <v>1.1060589999999999</v>
      </c>
      <c r="L2879">
        <v>213.7039</v>
      </c>
      <c r="M2879">
        <v>0.99196130000000005</v>
      </c>
      <c r="N2879">
        <v>0</v>
      </c>
      <c r="O2879">
        <v>-0.12654169999999901</v>
      </c>
      <c r="P2879">
        <v>0.99827670000000002</v>
      </c>
      <c r="Q2879">
        <v>4.7402890000000003E-2</v>
      </c>
      <c r="R2879">
        <v>-3.4597120000000002E-2</v>
      </c>
      <c r="S2879">
        <v>3.0158079999999998</v>
      </c>
      <c r="T2879">
        <v>-0.24128260000000001</v>
      </c>
      <c r="U2879">
        <v>-0.1239166</v>
      </c>
      <c r="V2879">
        <v>-9.2358209999999996E-2</v>
      </c>
      <c r="W2879">
        <v>4.709058E-2</v>
      </c>
      <c r="X2879">
        <v>0.99461169999999999</v>
      </c>
      <c r="Y2879">
        <v>-8.5038230000000006E-2</v>
      </c>
      <c r="Z2879">
        <v>1.347167E-2</v>
      </c>
      <c r="AA2879">
        <v>0.99628660000000002</v>
      </c>
      <c r="AB2879">
        <v>32</v>
      </c>
      <c r="AC2879">
        <v>13.4825999999999</v>
      </c>
      <c r="AD2879">
        <v>-1.106060187328</v>
      </c>
      <c r="AE2879">
        <v>-0.52639999999999498</v>
      </c>
      <c r="AF2879">
        <v>-1.1760400677288301</v>
      </c>
      <c r="AG2879">
        <v>-1.106060187328</v>
      </c>
      <c r="AH2879">
        <v>13.3511135879208</v>
      </c>
      <c r="AI2879">
        <v>94.717615612668197</v>
      </c>
      <c r="AJ2879">
        <v>95.033937039636399</v>
      </c>
      <c r="AK2879">
        <v>13.448370660286701</v>
      </c>
    </row>
    <row r="2880" spans="1:37" x14ac:dyDescent="0.2">
      <c r="A2880" t="str">
        <f>"20200111153705802"</f>
        <v>20200111153705802</v>
      </c>
      <c r="B2880" t="str">
        <f>"1578728225795865"</f>
        <v>1578728225795865</v>
      </c>
      <c r="C2880" t="s">
        <v>37</v>
      </c>
      <c r="D2880">
        <v>5.9672910000000003</v>
      </c>
      <c r="E2880">
        <v>0.5030481</v>
      </c>
      <c r="F2880" t="s">
        <v>45</v>
      </c>
      <c r="G2880">
        <v>-451.44709999999998</v>
      </c>
      <c r="H2880" s="1">
        <v>-7.0218369999999998E-7</v>
      </c>
      <c r="I2880">
        <v>213.13929999999999</v>
      </c>
      <c r="J2880">
        <v>-463.72</v>
      </c>
      <c r="K2880">
        <v>1.1059219999999901</v>
      </c>
      <c r="L2880">
        <v>213.66829999999999</v>
      </c>
      <c r="M2880">
        <v>0.99235399999999996</v>
      </c>
      <c r="N2880">
        <v>0</v>
      </c>
      <c r="O2880">
        <v>-0.1234246</v>
      </c>
      <c r="P2880">
        <v>0.99840930000000006</v>
      </c>
      <c r="Q2880">
        <v>3.925505E-2</v>
      </c>
      <c r="R2880">
        <v>-4.0473299999999997E-2</v>
      </c>
      <c r="S2880">
        <v>3.0130619999999899</v>
      </c>
      <c r="T2880">
        <v>-0.26504079999999902</v>
      </c>
      <c r="U2880">
        <v>-0.1352844</v>
      </c>
      <c r="V2880">
        <v>-8.3349560000000003E-2</v>
      </c>
      <c r="W2880">
        <v>3.905049E-2</v>
      </c>
      <c r="X2880">
        <v>0.99575499999999995</v>
      </c>
      <c r="Y2880">
        <v>-7.8015860000000006E-2</v>
      </c>
      <c r="Z2880">
        <v>1.422524E-2</v>
      </c>
      <c r="AA2880">
        <v>0.99685059999999903</v>
      </c>
      <c r="AB2880">
        <v>32</v>
      </c>
      <c r="AC2880">
        <v>12.2729</v>
      </c>
      <c r="AD2880">
        <v>-1.1059227021836999</v>
      </c>
      <c r="AE2880">
        <v>-0.52899999999999603</v>
      </c>
      <c r="AF2880">
        <v>-0.98186452220745302</v>
      </c>
      <c r="AG2880">
        <v>-1.1059227021836999</v>
      </c>
      <c r="AH2880">
        <v>12.1459107451796</v>
      </c>
      <c r="AI2880">
        <v>95.185787524257705</v>
      </c>
      <c r="AJ2880">
        <v>94.621689351248506</v>
      </c>
      <c r="AK2880">
        <v>12.235614851450901</v>
      </c>
    </row>
    <row r="2881" spans="1:37" x14ac:dyDescent="0.2">
      <c r="A2881" t="str">
        <f>"20200111153705825"</f>
        <v>20200111153705825</v>
      </c>
      <c r="B2881" t="str">
        <f>"1578728225815385"</f>
        <v>1578728225815385</v>
      </c>
      <c r="C2881" t="s">
        <v>37</v>
      </c>
      <c r="D2881">
        <v>5.6897190000000002</v>
      </c>
      <c r="E2881">
        <v>0.50297179999999997</v>
      </c>
      <c r="F2881" t="s">
        <v>45</v>
      </c>
      <c r="G2881">
        <v>-452.13490000000002</v>
      </c>
      <c r="H2881" s="1">
        <v>-3.336774E-7</v>
      </c>
      <c r="I2881">
        <v>213.08320000000001</v>
      </c>
      <c r="J2881">
        <v>-463.3981</v>
      </c>
      <c r="K2881">
        <v>1.105812</v>
      </c>
      <c r="L2881">
        <v>213.63120000000001</v>
      </c>
      <c r="M2881">
        <v>0.99275210000000003</v>
      </c>
      <c r="N2881">
        <v>0</v>
      </c>
      <c r="O2881">
        <v>-0.12017989999999899</v>
      </c>
      <c r="P2881">
        <v>0.99831819999999905</v>
      </c>
      <c r="Q2881">
        <v>3.0854940000000001E-2</v>
      </c>
      <c r="R2881">
        <v>-4.9078699999999899E-2</v>
      </c>
      <c r="S2881">
        <v>3.0098569999999998</v>
      </c>
      <c r="T2881">
        <v>-0.28732370000000002</v>
      </c>
      <c r="U2881">
        <v>-0.15200810000000001</v>
      </c>
      <c r="V2881">
        <v>-7.1475269999999994E-2</v>
      </c>
      <c r="W2881">
        <v>3.077481E-2</v>
      </c>
      <c r="X2881">
        <v>0.99696749999999901</v>
      </c>
      <c r="Y2881">
        <v>-6.9098419999999994E-2</v>
      </c>
      <c r="Z2881">
        <v>1.4698279999999999E-2</v>
      </c>
      <c r="AA2881">
        <v>0.99750159999999999</v>
      </c>
      <c r="AB2881">
        <v>32</v>
      </c>
      <c r="AC2881">
        <v>11.2631999999999</v>
      </c>
      <c r="AD2881">
        <v>-1.1058123336774</v>
      </c>
      <c r="AE2881">
        <v>-0.54800000000000104</v>
      </c>
      <c r="AF2881">
        <v>-0.80187101246939596</v>
      </c>
      <c r="AG2881">
        <v>-1.1058123336774</v>
      </c>
      <c r="AH2881">
        <v>11.1402948674837</v>
      </c>
      <c r="AI2881">
        <v>95.654213554426804</v>
      </c>
      <c r="AJ2881">
        <v>94.117011771829695</v>
      </c>
      <c r="AK2881">
        <v>11.223724327175701</v>
      </c>
    </row>
    <row r="2882" spans="1:37" x14ac:dyDescent="0.2">
      <c r="A2882" t="str">
        <f>"20200111153705847"</f>
        <v>20200111153705847</v>
      </c>
      <c r="B2882" t="str">
        <f>"1578728225835881"</f>
        <v>1578728225835881</v>
      </c>
      <c r="C2882" t="s">
        <v>37</v>
      </c>
      <c r="D2882">
        <v>5.6992919999999998</v>
      </c>
      <c r="E2882">
        <v>0.50275930000000002</v>
      </c>
      <c r="F2882" t="s">
        <v>38</v>
      </c>
      <c r="G2882">
        <v>-462.47730000000001</v>
      </c>
      <c r="H2882">
        <v>1.010953</v>
      </c>
      <c r="I2882">
        <v>213.57730000000001</v>
      </c>
      <c r="J2882">
        <v>-463.06670000000003</v>
      </c>
      <c r="K2882">
        <v>1.1057139999999901</v>
      </c>
      <c r="L2882">
        <v>213.5941</v>
      </c>
      <c r="M2882">
        <v>0.99314340000000001</v>
      </c>
      <c r="N2882">
        <v>0</v>
      </c>
      <c r="O2882">
        <v>-0.1169019</v>
      </c>
      <c r="P2882">
        <v>0.99807269999999904</v>
      </c>
      <c r="Q2882">
        <v>2.1191999999999999E-2</v>
      </c>
      <c r="R2882">
        <v>-5.8325439999999999E-2</v>
      </c>
      <c r="S2882">
        <v>3.0060119999999899</v>
      </c>
      <c r="T2882">
        <v>-0.30987140000000002</v>
      </c>
      <c r="U2882">
        <v>-0.17543029999999901</v>
      </c>
      <c r="V2882">
        <v>-5.8901879999999997E-2</v>
      </c>
      <c r="W2882">
        <v>2.1238460000000001E-2</v>
      </c>
      <c r="X2882">
        <v>0.99803779999999997</v>
      </c>
      <c r="Y2882">
        <v>-5.7922599999999998E-2</v>
      </c>
      <c r="Z2882">
        <v>1.495287E-2</v>
      </c>
      <c r="AA2882">
        <v>0.99820909999999996</v>
      </c>
      <c r="AB2882">
        <v>33</v>
      </c>
      <c r="AC2882">
        <v>0.58940000000001103</v>
      </c>
      <c r="AD2882">
        <v>-9.4760999999999804E-2</v>
      </c>
      <c r="AE2882">
        <v>-1.6799999999989199E-2</v>
      </c>
      <c r="AF2882">
        <v>-5.0902478527297998E-2</v>
      </c>
      <c r="AG2882">
        <v>-9.4760999999999804E-2</v>
      </c>
      <c r="AH2882">
        <v>0.572535418336238</v>
      </c>
      <c r="AI2882">
        <v>99.361624684383401</v>
      </c>
      <c r="AJ2882">
        <v>95.080644571508202</v>
      </c>
      <c r="AK2882">
        <v>0.58255258534373799</v>
      </c>
    </row>
    <row r="2883" spans="1:37" x14ac:dyDescent="0.2">
      <c r="A2883" t="str">
        <f>"20200111153705870"</f>
        <v>20200111153705870</v>
      </c>
      <c r="B2883" t="str">
        <f>"1578728225866139"</f>
        <v>1578728225866139</v>
      </c>
      <c r="C2883" t="s">
        <v>37</v>
      </c>
      <c r="D2883">
        <v>5.6400540000000001</v>
      </c>
      <c r="E2883">
        <v>0.50204170000000004</v>
      </c>
      <c r="F2883" t="s">
        <v>38</v>
      </c>
      <c r="G2883">
        <v>-462.18990000000002</v>
      </c>
      <c r="H2883">
        <v>1.00728</v>
      </c>
      <c r="I2883">
        <v>213.53559999999999</v>
      </c>
      <c r="J2883">
        <v>-462.7439</v>
      </c>
      <c r="K2883">
        <v>1.1056239999999999</v>
      </c>
      <c r="L2883">
        <v>213.55889999999999</v>
      </c>
      <c r="M2883">
        <v>0.99350890000000003</v>
      </c>
      <c r="N2883">
        <v>0</v>
      </c>
      <c r="O2883">
        <v>-0.1137537</v>
      </c>
      <c r="P2883">
        <v>0.9976351</v>
      </c>
      <c r="Q2883">
        <v>1.097537E-2</v>
      </c>
      <c r="R2883">
        <v>-6.7854049999999999E-2</v>
      </c>
      <c r="S2883">
        <v>3.0012819999999998</v>
      </c>
      <c r="T2883">
        <v>-0.33720670000000003</v>
      </c>
      <c r="U2883">
        <v>-0.1994476</v>
      </c>
      <c r="V2883">
        <v>-4.6150320000000002E-2</v>
      </c>
      <c r="W2883">
        <v>1.1146140000000001E-2</v>
      </c>
      <c r="X2883">
        <v>0.99887230000000005</v>
      </c>
      <c r="Y2883">
        <v>-4.6625380000000001E-2</v>
      </c>
      <c r="Z2883">
        <v>1.53022E-2</v>
      </c>
      <c r="AA2883">
        <v>0.99879519999999899</v>
      </c>
      <c r="AB2883">
        <v>33</v>
      </c>
      <c r="AC2883">
        <v>0.55399999999997296</v>
      </c>
      <c r="AD2883">
        <v>-9.8344000000000001E-2</v>
      </c>
      <c r="AE2883">
        <v>-2.3300000000006E-2</v>
      </c>
      <c r="AF2883">
        <v>-3.8654854037993798E-2</v>
      </c>
      <c r="AG2883">
        <v>-9.8344000000000001E-2</v>
      </c>
      <c r="AH2883">
        <v>0.53618790817925199</v>
      </c>
      <c r="AI2883">
        <v>100.36697178394201</v>
      </c>
      <c r="AJ2883">
        <v>94.123433203005206</v>
      </c>
      <c r="AK2883">
        <v>0.546500881018815</v>
      </c>
    </row>
    <row r="2884" spans="1:37" x14ac:dyDescent="0.2">
      <c r="A2884" t="str">
        <f>"20200111153705891"</f>
        <v>20200111153705891</v>
      </c>
      <c r="B2884" t="str">
        <f>"1578728225885657"</f>
        <v>1578728225885657</v>
      </c>
      <c r="C2884" t="s">
        <v>37</v>
      </c>
      <c r="D2884">
        <v>5.639068</v>
      </c>
      <c r="E2884">
        <v>0.50178210000000001</v>
      </c>
      <c r="F2884" t="s">
        <v>38</v>
      </c>
      <c r="G2884">
        <v>-461.89879999999999</v>
      </c>
      <c r="H2884">
        <v>1.0033799999999999</v>
      </c>
      <c r="I2884">
        <v>213.49610000000001</v>
      </c>
      <c r="J2884">
        <v>-462.42399999999998</v>
      </c>
      <c r="K2884">
        <v>1.105532</v>
      </c>
      <c r="L2884">
        <v>213.52500000000001</v>
      </c>
      <c r="M2884">
        <v>0.99385650000000003</v>
      </c>
      <c r="N2884">
        <v>0</v>
      </c>
      <c r="O2884">
        <v>-0.110675</v>
      </c>
      <c r="P2884">
        <v>0.99708330000000001</v>
      </c>
      <c r="Q2884">
        <v>9.867621E-4</v>
      </c>
      <c r="R2884">
        <v>-7.6317060000000006E-2</v>
      </c>
      <c r="S2884">
        <v>2.9960019999999998</v>
      </c>
      <c r="T2884">
        <v>-0.36280759999999901</v>
      </c>
      <c r="U2884">
        <v>-0.22158809999999901</v>
      </c>
      <c r="V2884">
        <v>-3.451357E-2</v>
      </c>
      <c r="W2884">
        <v>1.2725029999999999E-3</v>
      </c>
      <c r="X2884">
        <v>0.99940339999999905</v>
      </c>
      <c r="Y2884">
        <v>-3.6005780000000001E-2</v>
      </c>
      <c r="Z2884">
        <v>1.547072E-2</v>
      </c>
      <c r="AA2884">
        <v>0.9992318</v>
      </c>
      <c r="AB2884">
        <v>33</v>
      </c>
      <c r="AC2884">
        <v>0.52520000000003997</v>
      </c>
      <c r="AD2884">
        <v>-0.10215200000000001</v>
      </c>
      <c r="AE2884">
        <v>-2.8899999999993001E-2</v>
      </c>
      <c r="AF2884">
        <v>-2.8335351544080799E-2</v>
      </c>
      <c r="AG2884">
        <v>-0.10215200000000001</v>
      </c>
      <c r="AH2884">
        <v>0.50608429652770603</v>
      </c>
      <c r="AI2884">
        <v>101.39431749702599</v>
      </c>
      <c r="AJ2884">
        <v>93.204609978504806</v>
      </c>
      <c r="AK2884">
        <v>0.51706792439975402</v>
      </c>
    </row>
    <row r="2885" spans="1:37" x14ac:dyDescent="0.2">
      <c r="A2885" t="str">
        <f>"20200111153705914"</f>
        <v>20200111153705914</v>
      </c>
      <c r="B2885" t="str">
        <f>"1578728225906154"</f>
        <v>1578728225906154</v>
      </c>
      <c r="C2885" t="s">
        <v>37</v>
      </c>
      <c r="D2885">
        <v>5.6306370000000001</v>
      </c>
      <c r="E2885">
        <v>0.47099719999999901</v>
      </c>
      <c r="F2885" t="s">
        <v>38</v>
      </c>
      <c r="G2885">
        <v>-461.6062</v>
      </c>
      <c r="H2885">
        <v>0.99853210000000003</v>
      </c>
      <c r="I2885">
        <v>213.4579</v>
      </c>
      <c r="J2885">
        <v>-462.07350000000002</v>
      </c>
      <c r="K2885">
        <v>1.1054299999999999</v>
      </c>
      <c r="L2885">
        <v>213.4889</v>
      </c>
      <c r="M2885">
        <v>0.99421979999999999</v>
      </c>
      <c r="N2885">
        <v>0</v>
      </c>
      <c r="O2885">
        <v>-0.10736369999999899</v>
      </c>
      <c r="P2885">
        <v>0.99645879999999998</v>
      </c>
      <c r="Q2885">
        <v>-9.5818009999999992E-3</v>
      </c>
      <c r="R2885">
        <v>-8.353882E-2</v>
      </c>
      <c r="S2885">
        <v>2.9904169999999999</v>
      </c>
      <c r="T2885">
        <v>-0.3914919</v>
      </c>
      <c r="U2885">
        <v>-0.24429319999999999</v>
      </c>
      <c r="V2885">
        <v>-2.386512E-2</v>
      </c>
      <c r="W2885">
        <v>-9.185347E-3</v>
      </c>
      <c r="X2885">
        <v>0.99967299999999903</v>
      </c>
      <c r="Y2885">
        <v>-2.494072E-2</v>
      </c>
      <c r="Z2885">
        <v>1.5560310000000001E-2</v>
      </c>
      <c r="AA2885">
        <v>0.99956780000000001</v>
      </c>
      <c r="AB2885">
        <v>33</v>
      </c>
      <c r="AC2885">
        <v>0.46730000000002198</v>
      </c>
      <c r="AD2885">
        <v>-0.106897899999999</v>
      </c>
      <c r="AE2885">
        <v>-3.1000000000005901E-2</v>
      </c>
      <c r="AF2885">
        <v>-1.8392015033428001E-2</v>
      </c>
      <c r="AG2885">
        <v>-0.106897899999999</v>
      </c>
      <c r="AH2885">
        <v>0.44475533298838199</v>
      </c>
      <c r="AI2885">
        <v>103.503691441651</v>
      </c>
      <c r="AJ2885">
        <v>92.368009308356207</v>
      </c>
      <c r="AK2885">
        <v>0.45779114611687999</v>
      </c>
    </row>
    <row r="2886" spans="1:37" x14ac:dyDescent="0.2">
      <c r="A2886" t="str">
        <f>"20200111153705936"</f>
        <v>20200111153705936</v>
      </c>
      <c r="B2886" t="str">
        <f>"1578728225925673"</f>
        <v>1578728225925673</v>
      </c>
      <c r="C2886" t="s">
        <v>37</v>
      </c>
      <c r="D2886">
        <v>5.6248309999999897</v>
      </c>
      <c r="E2886">
        <v>0.4701362</v>
      </c>
      <c r="F2886" t="s">
        <v>45</v>
      </c>
      <c r="G2886">
        <v>-452.68689999999998</v>
      </c>
      <c r="H2886" s="1">
        <v>-5.4728309999999899E-8</v>
      </c>
      <c r="I2886">
        <v>213.4211</v>
      </c>
      <c r="J2886">
        <v>-461.75150000000002</v>
      </c>
      <c r="K2886">
        <v>1.105321</v>
      </c>
      <c r="L2886">
        <v>213.45670000000001</v>
      </c>
      <c r="M2886">
        <v>0.99453539999999996</v>
      </c>
      <c r="N2886">
        <v>0</v>
      </c>
      <c r="O2886">
        <v>-0.10439759999999999</v>
      </c>
      <c r="P2886">
        <v>0.99577559999999998</v>
      </c>
      <c r="Q2886">
        <v>-1.7788950000000001E-2</v>
      </c>
      <c r="R2886">
        <v>-9.0080750000000001E-2</v>
      </c>
      <c r="S2886">
        <v>3.0054319999999999</v>
      </c>
      <c r="T2886">
        <v>-0.35393950000000002</v>
      </c>
      <c r="U2886">
        <v>-2.1682739999999999E-2</v>
      </c>
      <c r="V2886">
        <v>-1.42513E-2</v>
      </c>
      <c r="W2886">
        <v>-1.7293449999999998E-2</v>
      </c>
      <c r="X2886">
        <v>0.99974889999999905</v>
      </c>
      <c r="Y2886">
        <v>-9.5838580000000007E-2</v>
      </c>
      <c r="Z2886">
        <v>1.785786E-2</v>
      </c>
      <c r="AA2886">
        <v>0.99523669999999997</v>
      </c>
      <c r="AB2886">
        <v>33</v>
      </c>
      <c r="AC2886">
        <v>9.0646000000000395</v>
      </c>
      <c r="AD2886">
        <v>-1.1053210547283101</v>
      </c>
      <c r="AE2886">
        <v>-3.56000000000165E-2</v>
      </c>
      <c r="AF2886">
        <v>-0.89757152437911603</v>
      </c>
      <c r="AG2886">
        <v>-1.1053210547283101</v>
      </c>
      <c r="AH2886">
        <v>8.8866513798970406</v>
      </c>
      <c r="AI2886">
        <v>97.054505313709896</v>
      </c>
      <c r="AJ2886">
        <v>95.767441951981695</v>
      </c>
      <c r="AK2886">
        <v>8.9999967790676401</v>
      </c>
    </row>
    <row r="2887" spans="1:37" x14ac:dyDescent="0.2">
      <c r="A2887" t="str">
        <f>"20200111153705959"</f>
        <v>20200111153705959</v>
      </c>
      <c r="B2887" t="str">
        <f>"1578728225955929"</f>
        <v>1578728225955929</v>
      </c>
      <c r="C2887" t="s">
        <v>37</v>
      </c>
      <c r="D2887">
        <v>5.6274600000000001</v>
      </c>
      <c r="E2887">
        <v>0.46907579999999999</v>
      </c>
      <c r="F2887" t="s">
        <v>45</v>
      </c>
      <c r="G2887">
        <v>-452.95339999999999</v>
      </c>
      <c r="H2887" s="1">
        <v>9.0141460000000001E-8</v>
      </c>
      <c r="I2887">
        <v>213.35169999999999</v>
      </c>
      <c r="J2887">
        <v>-461.40460000000002</v>
      </c>
      <c r="K2887">
        <v>1.1052029999999999</v>
      </c>
      <c r="L2887">
        <v>213.4229</v>
      </c>
      <c r="M2887">
        <v>0.99485630000000003</v>
      </c>
      <c r="N2887">
        <v>0</v>
      </c>
      <c r="O2887">
        <v>-0.101295</v>
      </c>
      <c r="P2887">
        <v>0.99509159999999997</v>
      </c>
      <c r="Q2887">
        <v>-2.6440459999999999E-2</v>
      </c>
      <c r="R2887">
        <v>-9.5362989999999995E-2</v>
      </c>
      <c r="S2887">
        <v>3.0027159999999999</v>
      </c>
      <c r="T2887">
        <v>-0.37723829999999903</v>
      </c>
      <c r="U2887">
        <v>-3.5812379999999998E-2</v>
      </c>
      <c r="V2887">
        <v>-5.7532939999999999E-3</v>
      </c>
      <c r="W2887">
        <v>-2.58532E-2</v>
      </c>
      <c r="X2887">
        <v>0.99964920000000002</v>
      </c>
      <c r="Y2887">
        <v>-8.7938520000000006E-2</v>
      </c>
      <c r="Z2887">
        <v>1.815949E-2</v>
      </c>
      <c r="AA2887">
        <v>0.99596039999999997</v>
      </c>
      <c r="AB2887">
        <v>34</v>
      </c>
      <c r="AC2887">
        <v>8.4512000000000196</v>
      </c>
      <c r="AD2887">
        <v>-1.1052029098585401</v>
      </c>
      <c r="AE2887">
        <v>-7.1200000000004496E-2</v>
      </c>
      <c r="AF2887">
        <v>-0.77202833657204195</v>
      </c>
      <c r="AG2887">
        <v>-1.1052029098585401</v>
      </c>
      <c r="AH2887">
        <v>8.27346008742213</v>
      </c>
      <c r="AI2887">
        <v>97.576232454308098</v>
      </c>
      <c r="AJ2887">
        <v>95.331051678553393</v>
      </c>
      <c r="AK2887">
        <v>8.3825797367276493</v>
      </c>
    </row>
    <row r="2888" spans="1:37" x14ac:dyDescent="0.2">
      <c r="A2888" t="str">
        <f>"20200111153705981"</f>
        <v>20200111153705981</v>
      </c>
      <c r="B2888" t="str">
        <f>"1578728225975449"</f>
        <v>1578728225975449</v>
      </c>
      <c r="C2888" t="s">
        <v>37</v>
      </c>
      <c r="D2888">
        <v>5.6678489999999897</v>
      </c>
      <c r="E2888">
        <v>0.46908879999999997</v>
      </c>
      <c r="F2888" t="s">
        <v>38</v>
      </c>
      <c r="G2888">
        <v>-460.40390000000002</v>
      </c>
      <c r="H2888">
        <v>0.97600209999999998</v>
      </c>
      <c r="I2888">
        <v>213.4083</v>
      </c>
      <c r="J2888">
        <v>-461.06569999999999</v>
      </c>
      <c r="K2888">
        <v>1.1050869999999999</v>
      </c>
      <c r="L2888">
        <v>213.39099999999999</v>
      </c>
      <c r="M2888">
        <v>0.99514899999999995</v>
      </c>
      <c r="N2888">
        <v>0</v>
      </c>
      <c r="O2888">
        <v>-9.8378670000000001E-2</v>
      </c>
      <c r="P2888">
        <v>0.99441429999999997</v>
      </c>
      <c r="Q2888">
        <v>-3.3632130000000003E-2</v>
      </c>
      <c r="R2888">
        <v>-0.1000461</v>
      </c>
      <c r="S2888">
        <v>3.0002749999999998</v>
      </c>
      <c r="T2888">
        <v>-0.3873934</v>
      </c>
      <c r="U2888">
        <v>-4.4097900000000002E-2</v>
      </c>
      <c r="V2888">
        <v>1.94691E-3</v>
      </c>
      <c r="W2888">
        <v>-3.2961440000000002E-2</v>
      </c>
      <c r="X2888">
        <v>0.99945469999999903</v>
      </c>
      <c r="Y2888">
        <v>-8.2246399999999997E-2</v>
      </c>
      <c r="Z2888">
        <v>1.7919259999999999E-2</v>
      </c>
      <c r="AA2888">
        <v>0.99645090000000003</v>
      </c>
      <c r="AB2888">
        <v>34</v>
      </c>
      <c r="AC2888">
        <v>0.66179999999997097</v>
      </c>
      <c r="AD2888">
        <v>-0.1290849</v>
      </c>
      <c r="AE2888">
        <v>1.73000000000058E-2</v>
      </c>
      <c r="AF2888">
        <v>-7.9307879562842298E-2</v>
      </c>
      <c r="AG2888">
        <v>-0.1290849</v>
      </c>
      <c r="AH2888">
        <v>0.63282819655442302</v>
      </c>
      <c r="AI2888">
        <v>101.4419675874</v>
      </c>
      <c r="AJ2888">
        <v>97.143233120265293</v>
      </c>
      <c r="AK2888">
        <v>0.65071051745233699</v>
      </c>
    </row>
    <row r="2889" spans="1:37" x14ac:dyDescent="0.2">
      <c r="A2889" t="str">
        <f>"20200111153706004"</f>
        <v>20200111153706004</v>
      </c>
      <c r="B2889" t="str">
        <f>"1578728225995570"</f>
        <v>1578728225995570</v>
      </c>
      <c r="C2889" t="s">
        <v>37</v>
      </c>
      <c r="D2889">
        <v>5.6837080000000002</v>
      </c>
      <c r="E2889">
        <v>0.46843699999999999</v>
      </c>
      <c r="F2889" t="s">
        <v>38</v>
      </c>
      <c r="G2889">
        <v>-460.10059999999999</v>
      </c>
      <c r="H2889">
        <v>0.97983149999999997</v>
      </c>
      <c r="I2889">
        <v>213.3715</v>
      </c>
      <c r="J2889">
        <v>-460.72899999999998</v>
      </c>
      <c r="K2889">
        <v>1.105008</v>
      </c>
      <c r="L2889">
        <v>213.36019999999999</v>
      </c>
      <c r="M2889">
        <v>0.99542240000000004</v>
      </c>
      <c r="N2889">
        <v>0</v>
      </c>
      <c r="O2889">
        <v>-9.5572669999999998E-2</v>
      </c>
      <c r="P2889">
        <v>0.99377850000000001</v>
      </c>
      <c r="Q2889">
        <v>-3.7096780000000003E-2</v>
      </c>
      <c r="R2889">
        <v>-0.1050145</v>
      </c>
      <c r="S2889">
        <v>2.997681</v>
      </c>
      <c r="T2889">
        <v>-0.38952809999999999</v>
      </c>
      <c r="U2889">
        <v>-5.9204099999999898E-2</v>
      </c>
      <c r="V2889">
        <v>9.7889740000000006E-3</v>
      </c>
      <c r="W2889">
        <v>-3.6343380000000002E-2</v>
      </c>
      <c r="X2889">
        <v>0.99929140000000005</v>
      </c>
      <c r="Y2889">
        <v>-7.4471789999999996E-2</v>
      </c>
      <c r="Z2889">
        <v>1.7166529999999999E-2</v>
      </c>
      <c r="AA2889">
        <v>0.99707539999999995</v>
      </c>
      <c r="AB2889">
        <v>34</v>
      </c>
      <c r="AC2889">
        <v>0.62840000000005602</v>
      </c>
      <c r="AD2889">
        <v>-0.125176499999999</v>
      </c>
      <c r="AE2889">
        <v>1.1300000000005601E-2</v>
      </c>
      <c r="AF2889">
        <v>-6.8585538467784896E-2</v>
      </c>
      <c r="AG2889">
        <v>-0.125176499999999</v>
      </c>
      <c r="AH2889">
        <v>0.60061857114699901</v>
      </c>
      <c r="AI2889">
        <v>101.69873194543</v>
      </c>
      <c r="AJ2889">
        <v>96.514473483772505</v>
      </c>
      <c r="AK2889">
        <v>0.61734577041219696</v>
      </c>
    </row>
    <row r="2890" spans="1:37" x14ac:dyDescent="0.2">
      <c r="A2890" t="str">
        <f>"20200111153706025"</f>
        <v>20200111153706025</v>
      </c>
      <c r="B2890" t="str">
        <f>"1578728226016066"</f>
        <v>1578728226016066</v>
      </c>
      <c r="C2890" t="s">
        <v>37</v>
      </c>
      <c r="D2890">
        <v>5.7565119999999999</v>
      </c>
      <c r="E2890">
        <v>0.4676804</v>
      </c>
      <c r="F2890" t="s">
        <v>38</v>
      </c>
      <c r="G2890">
        <v>-459.79289999999997</v>
      </c>
      <c r="H2890">
        <v>0.98433280000000001</v>
      </c>
      <c r="I2890">
        <v>213.33840000000001</v>
      </c>
      <c r="J2890">
        <v>-460.39150000000001</v>
      </c>
      <c r="K2890">
        <v>1.10494</v>
      </c>
      <c r="L2890">
        <v>213.33009999999999</v>
      </c>
      <c r="M2890">
        <v>0.99567939999999999</v>
      </c>
      <c r="N2890">
        <v>0</v>
      </c>
      <c r="O2890">
        <v>-9.2855170000000001E-2</v>
      </c>
      <c r="P2890">
        <v>0.993170199999999</v>
      </c>
      <c r="Q2890">
        <v>-3.8938899999999999E-2</v>
      </c>
      <c r="R2890">
        <v>-0.109986899999999</v>
      </c>
      <c r="S2890">
        <v>2.9970699999999999</v>
      </c>
      <c r="T2890">
        <v>-0.38654070000000001</v>
      </c>
      <c r="U2890">
        <v>-6.904602E-2</v>
      </c>
      <c r="V2890">
        <v>1.7530540000000001E-2</v>
      </c>
      <c r="W2890">
        <v>-3.8104649999999997E-2</v>
      </c>
      <c r="X2890">
        <v>0.99912000000000001</v>
      </c>
      <c r="Y2890">
        <v>-6.8564440000000004E-2</v>
      </c>
      <c r="Z2890">
        <v>1.6311369999999999E-2</v>
      </c>
      <c r="AA2890">
        <v>0.99751339999999999</v>
      </c>
      <c r="AB2890">
        <v>34</v>
      </c>
      <c r="AC2890">
        <v>0.59860000000003299</v>
      </c>
      <c r="AD2890">
        <v>-0.120607199999999</v>
      </c>
      <c r="AE2890">
        <v>8.3000000000197308E-3</v>
      </c>
      <c r="AF2890">
        <v>-6.1356948724513999E-2</v>
      </c>
      <c r="AG2890">
        <v>-0.120607199999999</v>
      </c>
      <c r="AH2890">
        <v>0.57202615977829196</v>
      </c>
      <c r="AI2890">
        <v>101.83999923659201</v>
      </c>
      <c r="AJ2890">
        <v>96.122279994480294</v>
      </c>
      <c r="AK2890">
        <v>0.58781349024952001</v>
      </c>
    </row>
    <row r="2891" spans="1:37" x14ac:dyDescent="0.2">
      <c r="A2891" t="str">
        <f>"20200111153706049"</f>
        <v>20200111153706049</v>
      </c>
      <c r="B2891" t="str">
        <f>"1578728226045346"</f>
        <v>1578728226045346</v>
      </c>
      <c r="C2891" t="s">
        <v>37</v>
      </c>
      <c r="D2891">
        <v>5.7059699999999998</v>
      </c>
      <c r="E2891">
        <v>0.4533394</v>
      </c>
      <c r="F2891" t="s">
        <v>38</v>
      </c>
      <c r="G2891">
        <v>-459.48360000000002</v>
      </c>
      <c r="H2891">
        <v>0.9879677</v>
      </c>
      <c r="I2891">
        <v>213.3065</v>
      </c>
      <c r="J2891">
        <v>-460.04129999999998</v>
      </c>
      <c r="K2891">
        <v>1.104862</v>
      </c>
      <c r="L2891">
        <v>213.2998</v>
      </c>
      <c r="M2891">
        <v>0.99592939999999996</v>
      </c>
      <c r="N2891">
        <v>0</v>
      </c>
      <c r="O2891">
        <v>-9.0133130000000006E-2</v>
      </c>
      <c r="P2891">
        <v>0.99265990000000004</v>
      </c>
      <c r="Q2891">
        <v>-4.0334639999999998E-2</v>
      </c>
      <c r="R2891">
        <v>-0.11401500000000001</v>
      </c>
      <c r="S2891">
        <v>2.9969480000000002</v>
      </c>
      <c r="T2891">
        <v>-0.38631359999999998</v>
      </c>
      <c r="U2891">
        <v>-7.7285770000000004E-2</v>
      </c>
      <c r="V2891">
        <v>2.432308E-2</v>
      </c>
      <c r="W2891">
        <v>-3.9425799999999997E-2</v>
      </c>
      <c r="X2891">
        <v>0.99892639999999999</v>
      </c>
      <c r="Y2891">
        <v>-6.3163330000000004E-2</v>
      </c>
      <c r="Z2891">
        <v>1.560693E-2</v>
      </c>
      <c r="AA2891">
        <v>0.99788120000000002</v>
      </c>
      <c r="AB2891">
        <v>35</v>
      </c>
      <c r="AC2891">
        <v>0.55769999999995401</v>
      </c>
      <c r="AD2891">
        <v>-0.11689430000000001</v>
      </c>
      <c r="AE2891">
        <v>6.6999999999950398E-3</v>
      </c>
      <c r="AF2891">
        <v>-5.4544082899160302E-2</v>
      </c>
      <c r="AG2891">
        <v>-0.11689430000000001</v>
      </c>
      <c r="AH2891">
        <v>0.53148025644868002</v>
      </c>
      <c r="AI2891">
        <v>102.34137475848</v>
      </c>
      <c r="AJ2891">
        <v>95.859564723124805</v>
      </c>
      <c r="AK2891">
        <v>0.54691004502253904</v>
      </c>
    </row>
    <row r="2892" spans="1:37" x14ac:dyDescent="0.2">
      <c r="A2892" t="str">
        <f>"20200111153706070"</f>
        <v>20200111153706070</v>
      </c>
      <c r="B2892" t="str">
        <f>"1578728226065842"</f>
        <v>1578728226065842</v>
      </c>
      <c r="C2892" t="s">
        <v>37</v>
      </c>
      <c r="D2892">
        <v>5.7032360000000004</v>
      </c>
      <c r="E2892">
        <v>0.45081840000000001</v>
      </c>
      <c r="F2892" t="s">
        <v>45</v>
      </c>
      <c r="G2892">
        <v>-446.154</v>
      </c>
      <c r="H2892" s="1">
        <v>1.7903099999999899E-6</v>
      </c>
      <c r="I2892">
        <v>213.4211</v>
      </c>
      <c r="J2892">
        <v>-459.71080000000001</v>
      </c>
      <c r="K2892">
        <v>1.104789</v>
      </c>
      <c r="L2892">
        <v>213.27189999999999</v>
      </c>
      <c r="M2892">
        <v>0.99615100000000001</v>
      </c>
      <c r="N2892">
        <v>0</v>
      </c>
      <c r="O2892">
        <v>-8.765146E-2</v>
      </c>
      <c r="P2892">
        <v>0.99237109999999995</v>
      </c>
      <c r="Q2892">
        <v>-4.400275E-2</v>
      </c>
      <c r="R2892">
        <v>-0.11516749999999901</v>
      </c>
      <c r="S2892">
        <v>3.0155029999999998</v>
      </c>
      <c r="T2892">
        <v>-0.2399106</v>
      </c>
      <c r="U2892">
        <v>2.633667E-2</v>
      </c>
      <c r="V2892">
        <v>2.8002519999999999E-2</v>
      </c>
      <c r="W2892">
        <v>-4.3041210000000003E-2</v>
      </c>
      <c r="X2892">
        <v>0.99868080000000004</v>
      </c>
      <c r="Y2892">
        <v>-9.5768839999999994E-2</v>
      </c>
      <c r="Z2892">
        <v>1.075984E-2</v>
      </c>
      <c r="AA2892">
        <v>0.99534549999999999</v>
      </c>
      <c r="AB2892">
        <v>35</v>
      </c>
      <c r="AC2892">
        <v>13.556800000000001</v>
      </c>
      <c r="AD2892">
        <v>-1.10478720969</v>
      </c>
      <c r="AE2892">
        <v>0.14920000000000699</v>
      </c>
      <c r="AF2892">
        <v>-1.32808040894805</v>
      </c>
      <c r="AG2892">
        <v>-1.10478720969</v>
      </c>
      <c r="AH2892">
        <v>13.4025475541302</v>
      </c>
      <c r="AI2892">
        <v>94.689438488006104</v>
      </c>
      <c r="AJ2892">
        <v>95.659058585801205</v>
      </c>
      <c r="AK2892">
        <v>13.513424188267299</v>
      </c>
    </row>
    <row r="2893" spans="1:37" x14ac:dyDescent="0.2">
      <c r="A2893" t="str">
        <f>"20200111153706092"</f>
        <v>20200111153706092</v>
      </c>
      <c r="B2893" t="str">
        <f>"1578728226085897"</f>
        <v>1578728226085897</v>
      </c>
      <c r="C2893" t="s">
        <v>37</v>
      </c>
      <c r="D2893">
        <v>5.7897919999999896</v>
      </c>
      <c r="E2893">
        <v>0.44903480000000001</v>
      </c>
      <c r="F2893" t="s">
        <v>45</v>
      </c>
      <c r="G2893">
        <v>-445.72359999999998</v>
      </c>
      <c r="H2893" s="1">
        <v>1.559137E-6</v>
      </c>
      <c r="I2893">
        <v>213.4699</v>
      </c>
      <c r="J2893">
        <v>-459.34879999999998</v>
      </c>
      <c r="K2893">
        <v>1.104732</v>
      </c>
      <c r="L2893">
        <v>213.2423</v>
      </c>
      <c r="M2893">
        <v>0.9963786</v>
      </c>
      <c r="N2893">
        <v>0</v>
      </c>
      <c r="O2893">
        <v>-8.5022669999999995E-2</v>
      </c>
      <c r="P2893">
        <v>0.99267809999999901</v>
      </c>
      <c r="Q2893">
        <v>-4.5761959999999997E-2</v>
      </c>
      <c r="R2893">
        <v>-0.11178639999999999</v>
      </c>
      <c r="S2893">
        <v>3.017487</v>
      </c>
      <c r="T2893">
        <v>-0.23833779999999899</v>
      </c>
      <c r="U2893">
        <v>4.270935E-2</v>
      </c>
      <c r="V2893">
        <v>2.7247380000000002E-2</v>
      </c>
      <c r="W2893">
        <v>-4.4771569999999997E-2</v>
      </c>
      <c r="X2893">
        <v>0.998625599999999</v>
      </c>
      <c r="Y2893">
        <v>-9.8544179999999995E-2</v>
      </c>
      <c r="Z2893">
        <v>1.0585239999999999E-2</v>
      </c>
      <c r="AA2893">
        <v>0.99507639999999997</v>
      </c>
      <c r="AB2893">
        <v>35</v>
      </c>
      <c r="AC2893">
        <v>13.6252</v>
      </c>
      <c r="AD2893">
        <v>-1.1047304408630001</v>
      </c>
      <c r="AE2893">
        <v>0.227599999999995</v>
      </c>
      <c r="AF2893">
        <v>-1.3761827852609501</v>
      </c>
      <c r="AG2893">
        <v>-1.1047304408630001</v>
      </c>
      <c r="AH2893">
        <v>13.4679988249078</v>
      </c>
      <c r="AI2893">
        <v>94.665081058300302</v>
      </c>
      <c r="AJ2893">
        <v>95.834329803650803</v>
      </c>
      <c r="AK2893">
        <v>13.5831255885063</v>
      </c>
    </row>
    <row r="2894" spans="1:37" x14ac:dyDescent="0.2">
      <c r="A2894" t="str">
        <f>"20200111153706116"</f>
        <v>20200111153706116</v>
      </c>
      <c r="B2894" t="str">
        <f>"1578728226105417"</f>
        <v>1578728226105417</v>
      </c>
      <c r="C2894" t="s">
        <v>37</v>
      </c>
      <c r="D2894">
        <v>5.8782940000000004</v>
      </c>
      <c r="E2894">
        <v>0.4485712</v>
      </c>
      <c r="F2894" t="s">
        <v>45</v>
      </c>
      <c r="G2894">
        <v>-445.22329999999999</v>
      </c>
      <c r="H2894" s="1">
        <v>1.289165E-6</v>
      </c>
      <c r="I2894">
        <v>213.55529999999999</v>
      </c>
      <c r="J2894">
        <v>-458.9907</v>
      </c>
      <c r="K2894">
        <v>1.104719</v>
      </c>
      <c r="L2894">
        <v>213.21379999999999</v>
      </c>
      <c r="M2894">
        <v>0.99659010000000003</v>
      </c>
      <c r="N2894">
        <v>0</v>
      </c>
      <c r="O2894">
        <v>-8.2508819999999997E-2</v>
      </c>
      <c r="P2894">
        <v>0.99348930000000002</v>
      </c>
      <c r="Q2894">
        <v>-4.2314060000000001E-2</v>
      </c>
      <c r="R2894">
        <v>-0.105777</v>
      </c>
      <c r="S2894">
        <v>3.0187379999999999</v>
      </c>
      <c r="T2894">
        <v>-0.23608960000000001</v>
      </c>
      <c r="U2894">
        <v>6.6879270000000005E-2</v>
      </c>
      <c r="V2894">
        <v>2.3685319999999999E-2</v>
      </c>
      <c r="W2894">
        <v>-4.1310159999999999E-2</v>
      </c>
      <c r="X2894">
        <v>0.99886559999999902</v>
      </c>
      <c r="Y2894">
        <v>-0.1039933</v>
      </c>
      <c r="Z2894">
        <v>1.049806E-2</v>
      </c>
      <c r="AA2894">
        <v>0.99452260000000003</v>
      </c>
      <c r="AB2894">
        <v>35</v>
      </c>
      <c r="AC2894">
        <v>13.7674</v>
      </c>
      <c r="AD2894">
        <v>-1.1047177108349999</v>
      </c>
      <c r="AE2894">
        <v>0.34149999999999597</v>
      </c>
      <c r="AF2894">
        <v>-1.4668291147001999</v>
      </c>
      <c r="AG2894">
        <v>-1.1047177108349999</v>
      </c>
      <c r="AH2894">
        <v>13.604737900110599</v>
      </c>
      <c r="AI2894">
        <v>94.615653272311206</v>
      </c>
      <c r="AJ2894">
        <v>96.153717511274493</v>
      </c>
      <c r="AK2894">
        <v>13.7281055576897</v>
      </c>
    </row>
    <row r="2895" spans="1:37" x14ac:dyDescent="0.2">
      <c r="A2895" t="str">
        <f>"20200111153706138"</f>
        <v>20200111153706138</v>
      </c>
      <c r="B2895" t="str">
        <f>"1578728226135673"</f>
        <v>1578728226135673</v>
      </c>
      <c r="C2895" t="s">
        <v>37</v>
      </c>
      <c r="D2895">
        <v>5.9027059999999896</v>
      </c>
      <c r="E2895">
        <v>0.44852999999999998</v>
      </c>
      <c r="F2895" t="s">
        <v>45</v>
      </c>
      <c r="G2895">
        <v>-443.671999999999</v>
      </c>
      <c r="H2895" s="1">
        <v>4.5893920000000002E-7</v>
      </c>
      <c r="I2895">
        <v>213.6634</v>
      </c>
      <c r="J2895">
        <v>-458.63119999999998</v>
      </c>
      <c r="K2895">
        <v>1.1047199999999999</v>
      </c>
      <c r="L2895">
        <v>213.18610000000001</v>
      </c>
      <c r="M2895">
        <v>0.99678929999999999</v>
      </c>
      <c r="N2895">
        <v>0</v>
      </c>
      <c r="O2895">
        <v>-8.0065319999999995E-2</v>
      </c>
      <c r="P2895">
        <v>0.99424369999999995</v>
      </c>
      <c r="Q2895">
        <v>-3.7397819999999998E-2</v>
      </c>
      <c r="R2895">
        <v>-0.10040449999999999</v>
      </c>
      <c r="S2895">
        <v>3.019806</v>
      </c>
      <c r="T2895">
        <v>-0.21777589999999999</v>
      </c>
      <c r="U2895">
        <v>8.8623049999999995E-2</v>
      </c>
      <c r="V2895">
        <v>2.068532E-2</v>
      </c>
      <c r="W2895">
        <v>-3.6375780000000003E-2</v>
      </c>
      <c r="X2895">
        <v>0.99912409999999996</v>
      </c>
      <c r="Y2895">
        <v>-0.108781399999999</v>
      </c>
      <c r="Z2895">
        <v>9.6788159999999998E-3</v>
      </c>
      <c r="AA2895">
        <v>0.99401859999999997</v>
      </c>
      <c r="AB2895">
        <v>35</v>
      </c>
      <c r="AC2895">
        <v>14.959199999999999</v>
      </c>
      <c r="AD2895">
        <v>-1.1047195410607999</v>
      </c>
      <c r="AE2895">
        <v>0.47729999999998501</v>
      </c>
      <c r="AF2895">
        <v>-1.6644133023388601</v>
      </c>
      <c r="AG2895">
        <v>-1.1047195410607999</v>
      </c>
      <c r="AH2895">
        <v>14.792369672614599</v>
      </c>
      <c r="AI2895">
        <v>94.244334388428896</v>
      </c>
      <c r="AJ2895">
        <v>96.419826014221798</v>
      </c>
      <c r="AK2895">
        <v>14.926649906683499</v>
      </c>
    </row>
    <row r="2896" spans="1:37" x14ac:dyDescent="0.2">
      <c r="A2896" t="str">
        <f>"20200111153706160"</f>
        <v>20200111153706160</v>
      </c>
      <c r="B2896" t="str">
        <f>"1578728226156169"</f>
        <v>1578728226156169</v>
      </c>
      <c r="C2896" t="s">
        <v>37</v>
      </c>
      <c r="D2896">
        <v>5.8244749999999996</v>
      </c>
      <c r="E2896">
        <v>0.44842219999999999</v>
      </c>
      <c r="F2896" t="s">
        <v>45</v>
      </c>
      <c r="G2896">
        <v>-441.0009</v>
      </c>
      <c r="H2896" s="1">
        <v>-9.6861310000000001E-7</v>
      </c>
      <c r="I2896">
        <v>213.80269999999999</v>
      </c>
      <c r="J2896">
        <v>-458.29340000000002</v>
      </c>
      <c r="K2896">
        <v>1.1047149999999999</v>
      </c>
      <c r="L2896">
        <v>213.16069999999999</v>
      </c>
      <c r="M2896">
        <v>0.99696569999999995</v>
      </c>
      <c r="N2896">
        <v>0</v>
      </c>
      <c r="O2896">
        <v>-7.7836219999999998E-2</v>
      </c>
      <c r="P2896">
        <v>0.99492780000000003</v>
      </c>
      <c r="Q2896">
        <v>-3.184911E-2</v>
      </c>
      <c r="R2896">
        <v>-9.5418489999999995E-2</v>
      </c>
      <c r="S2896">
        <v>3.020905</v>
      </c>
      <c r="T2896">
        <v>-0.189290299999999</v>
      </c>
      <c r="U2896">
        <v>0.10565190000000001</v>
      </c>
      <c r="V2896">
        <v>1.78601E-2</v>
      </c>
      <c r="W2896">
        <v>-3.0808269999999999E-2</v>
      </c>
      <c r="X2896">
        <v>0.99936569999999902</v>
      </c>
      <c r="Y2896">
        <v>-0.1122625</v>
      </c>
      <c r="Z2896">
        <v>8.3815939999999992E-3</v>
      </c>
      <c r="AA2896">
        <v>0.99364319999999895</v>
      </c>
      <c r="AB2896">
        <v>35</v>
      </c>
      <c r="AC2896">
        <v>17.2925</v>
      </c>
      <c r="AD2896">
        <v>-1.1047159686130901</v>
      </c>
      <c r="AE2896">
        <v>0.64199999999999502</v>
      </c>
      <c r="AF2896">
        <v>-1.9779743660750999</v>
      </c>
      <c r="AG2896">
        <v>-1.1047159686130901</v>
      </c>
      <c r="AH2896">
        <v>17.12029157628</v>
      </c>
      <c r="AI2896">
        <v>93.667659595176801</v>
      </c>
      <c r="AJ2896">
        <v>96.590386537417302</v>
      </c>
      <c r="AK2896">
        <v>17.269544395293199</v>
      </c>
    </row>
    <row r="2897" spans="1:37" x14ac:dyDescent="0.2">
      <c r="A2897" t="str">
        <f>"20200111153706182"</f>
        <v>20200111153706182</v>
      </c>
      <c r="B2897" t="str">
        <f>"1578728226175689"</f>
        <v>1578728226175689</v>
      </c>
      <c r="C2897" t="s">
        <v>37</v>
      </c>
      <c r="D2897">
        <v>5.7809629999999999</v>
      </c>
      <c r="E2897">
        <v>0.448192699999999</v>
      </c>
      <c r="F2897" t="s">
        <v>48</v>
      </c>
      <c r="G2897">
        <v>-438.85550000000001</v>
      </c>
      <c r="H2897" s="1">
        <v>6.2028769999999999E-6</v>
      </c>
      <c r="I2897">
        <v>213.94329999999999</v>
      </c>
      <c r="J2897">
        <v>-457.92829999999998</v>
      </c>
      <c r="K2897">
        <v>1.1046989999999901</v>
      </c>
      <c r="L2897">
        <v>213.13419999999999</v>
      </c>
      <c r="M2897">
        <v>0.99714629999999904</v>
      </c>
      <c r="N2897">
        <v>0</v>
      </c>
      <c r="O2897">
        <v>-7.5487810000000002E-2</v>
      </c>
      <c r="P2897">
        <v>0.99541900000000005</v>
      </c>
      <c r="Q2897">
        <v>-2.8855760000000001E-2</v>
      </c>
      <c r="R2897">
        <v>-9.1153020000000001E-2</v>
      </c>
      <c r="S2897">
        <v>3.0214539999999999</v>
      </c>
      <c r="T2897">
        <v>-0.17171789999999901</v>
      </c>
      <c r="U2897">
        <v>0.1216431</v>
      </c>
      <c r="V2897">
        <v>1.590397E-2</v>
      </c>
      <c r="W2897">
        <v>-2.7787349999999999E-2</v>
      </c>
      <c r="X2897">
        <v>0.99948729999999997</v>
      </c>
      <c r="Y2897">
        <v>-0.1152318</v>
      </c>
      <c r="Z2897">
        <v>7.5540800000000003E-3</v>
      </c>
      <c r="AA2897">
        <v>0.99330989999999997</v>
      </c>
      <c r="AB2897">
        <v>36</v>
      </c>
      <c r="AC2897">
        <v>19.072799999999901</v>
      </c>
      <c r="AD2897">
        <v>-1.1046927971229901</v>
      </c>
      <c r="AE2897">
        <v>0.80910000000000004</v>
      </c>
      <c r="AF2897">
        <v>-2.2390580426810902</v>
      </c>
      <c r="AG2897">
        <v>-1.1046927971229901</v>
      </c>
      <c r="AH2897">
        <v>18.894032775078902</v>
      </c>
      <c r="AI2897">
        <v>93.322950290674399</v>
      </c>
      <c r="AJ2897">
        <v>96.758379169999301</v>
      </c>
      <c r="AK2897">
        <v>19.058284329925002</v>
      </c>
    </row>
    <row r="2898" spans="1:37" x14ac:dyDescent="0.2">
      <c r="A2898" t="str">
        <f>"20200111153706204"</f>
        <v>20200111153706204</v>
      </c>
      <c r="B2898" t="str">
        <f>"1578728226196185"</f>
        <v>1578728226196185</v>
      </c>
      <c r="C2898" t="s">
        <v>37</v>
      </c>
      <c r="D2898">
        <v>5.854692</v>
      </c>
      <c r="E2898">
        <v>0.44756570000000001</v>
      </c>
      <c r="F2898" t="s">
        <v>48</v>
      </c>
      <c r="G2898">
        <v>-437.64479999999998</v>
      </c>
      <c r="H2898" s="1">
        <v>5.6566509999999997E-6</v>
      </c>
      <c r="I2898">
        <v>214.04990000000001</v>
      </c>
      <c r="J2898">
        <v>-457.56099999999998</v>
      </c>
      <c r="K2898">
        <v>1.104681</v>
      </c>
      <c r="L2898">
        <v>213.10820000000001</v>
      </c>
      <c r="M2898">
        <v>0.99731919999999996</v>
      </c>
      <c r="N2898">
        <v>0</v>
      </c>
      <c r="O2898">
        <v>-7.316773E-2</v>
      </c>
      <c r="P2898">
        <v>0.99559940000000002</v>
      </c>
      <c r="Q2898">
        <v>-2.800387E-2</v>
      </c>
      <c r="R2898">
        <v>-8.9430910000000002E-2</v>
      </c>
      <c r="S2898">
        <v>3.021515</v>
      </c>
      <c r="T2898">
        <v>-0.16455929999999999</v>
      </c>
      <c r="U2898">
        <v>0.1364136</v>
      </c>
      <c r="V2898">
        <v>1.6492030000000001E-2</v>
      </c>
      <c r="W2898">
        <v>-2.6892550000000001E-2</v>
      </c>
      <c r="X2898">
        <v>0.99950229999999995</v>
      </c>
      <c r="Y2898">
        <v>-0.1177914</v>
      </c>
      <c r="Z2898">
        <v>7.1825019999999899E-3</v>
      </c>
      <c r="AA2898">
        <v>0.99301240000000002</v>
      </c>
      <c r="AB2898">
        <v>36</v>
      </c>
      <c r="AC2898">
        <v>19.9162</v>
      </c>
      <c r="AD2898">
        <v>-1.104675343349</v>
      </c>
      <c r="AE2898">
        <v>0.94169999999999698</v>
      </c>
      <c r="AF2898">
        <v>-2.3890661521454599</v>
      </c>
      <c r="AG2898">
        <v>-1.104675343349</v>
      </c>
      <c r="AH2898">
        <v>19.733341351495898</v>
      </c>
      <c r="AI2898">
        <v>93.1809032092048</v>
      </c>
      <c r="AJ2898">
        <v>96.903060339128601</v>
      </c>
      <c r="AK2898">
        <v>19.9081065294565</v>
      </c>
    </row>
    <row r="2899" spans="1:37" x14ac:dyDescent="0.2">
      <c r="A2899" t="str">
        <f>"20200111153706227"</f>
        <v>20200111153706227</v>
      </c>
      <c r="B2899" t="str">
        <f>"1578728226215707"</f>
        <v>1578728226215707</v>
      </c>
      <c r="C2899" t="s">
        <v>37</v>
      </c>
      <c r="D2899">
        <v>5.9905879999999998</v>
      </c>
      <c r="E2899">
        <v>0.44830370000000003</v>
      </c>
      <c r="F2899" t="s">
        <v>48</v>
      </c>
      <c r="G2899">
        <v>-435.64280000000002</v>
      </c>
      <c r="H2899" s="1">
        <v>4.7580220000000002E-6</v>
      </c>
      <c r="I2899">
        <v>214.1738</v>
      </c>
      <c r="J2899">
        <v>-457.21089999999998</v>
      </c>
      <c r="K2899">
        <v>1.104663</v>
      </c>
      <c r="L2899">
        <v>213.08430000000001</v>
      </c>
      <c r="M2899">
        <v>0.9974769</v>
      </c>
      <c r="N2899">
        <v>0</v>
      </c>
      <c r="O2899">
        <v>-7.0985530000000005E-2</v>
      </c>
      <c r="P2899">
        <v>0.9956315</v>
      </c>
      <c r="Q2899">
        <v>-2.7924339999999999E-2</v>
      </c>
      <c r="R2899">
        <v>-8.9098430000000006E-2</v>
      </c>
      <c r="S2899">
        <v>3.022186</v>
      </c>
      <c r="T2899">
        <v>-0.15231829999999999</v>
      </c>
      <c r="U2899">
        <v>0.1469269</v>
      </c>
      <c r="V2899">
        <v>1.83430999999999E-2</v>
      </c>
      <c r="W2899">
        <v>-2.676396E-2</v>
      </c>
      <c r="X2899">
        <v>0.99947350000000001</v>
      </c>
      <c r="Y2899">
        <v>-0.119097299999999</v>
      </c>
      <c r="Z2899">
        <v>6.5701659999999997E-3</v>
      </c>
      <c r="AA2899">
        <v>0.99286090000000005</v>
      </c>
      <c r="AB2899">
        <v>36</v>
      </c>
      <c r="AC2899">
        <v>21.568099999999902</v>
      </c>
      <c r="AD2899">
        <v>-1.104658241978</v>
      </c>
      <c r="AE2899">
        <v>1.0894999999999799</v>
      </c>
      <c r="AF2899">
        <v>-2.6109436490156401</v>
      </c>
      <c r="AG2899">
        <v>-1.104658241978</v>
      </c>
      <c r="AH2899">
        <v>21.380409882870801</v>
      </c>
      <c r="AI2899">
        <v>92.935890257102798</v>
      </c>
      <c r="AJ2899">
        <v>96.962401462816104</v>
      </c>
      <c r="AK2899">
        <v>21.567550239409801</v>
      </c>
    </row>
    <row r="2900" spans="1:37" x14ac:dyDescent="0.2">
      <c r="A2900" t="str">
        <f>"20200111153706249"</f>
        <v>20200111153706249</v>
      </c>
      <c r="B2900" t="str">
        <f>"1578728226245961"</f>
        <v>1578728226245961</v>
      </c>
      <c r="C2900" t="s">
        <v>37</v>
      </c>
      <c r="D2900">
        <v>5.9640589999999998</v>
      </c>
      <c r="E2900">
        <v>0.44982669999999902</v>
      </c>
      <c r="F2900" t="s">
        <v>48</v>
      </c>
      <c r="G2900">
        <v>-435.61099999999999</v>
      </c>
      <c r="H2900" s="1">
        <v>4.750367E-6</v>
      </c>
      <c r="I2900">
        <v>214.09989999999999</v>
      </c>
      <c r="J2900">
        <v>-456.84589999999997</v>
      </c>
      <c r="K2900">
        <v>1.1046579999999999</v>
      </c>
      <c r="L2900">
        <v>213.06</v>
      </c>
      <c r="M2900">
        <v>0.99763480000000004</v>
      </c>
      <c r="N2900">
        <v>0</v>
      </c>
      <c r="O2900">
        <v>-6.8729819999999997E-2</v>
      </c>
      <c r="P2900">
        <v>0.99568639999999997</v>
      </c>
      <c r="Q2900">
        <v>-2.7091529999999999E-2</v>
      </c>
      <c r="R2900">
        <v>-8.8739910000000005E-2</v>
      </c>
      <c r="S2900">
        <v>3.0215450000000001</v>
      </c>
      <c r="T2900">
        <v>-0.15452689999999999</v>
      </c>
      <c r="U2900">
        <v>0.1420746</v>
      </c>
      <c r="V2900">
        <v>2.0236239999999999E-2</v>
      </c>
      <c r="W2900">
        <v>-2.5879340000000001E-2</v>
      </c>
      <c r="X2900">
        <v>0.99946019999999902</v>
      </c>
      <c r="Y2900">
        <v>-0.115271499999999</v>
      </c>
      <c r="Z2900">
        <v>6.4541069999999997E-3</v>
      </c>
      <c r="AA2900">
        <v>0.99331309999999995</v>
      </c>
      <c r="AB2900">
        <v>36</v>
      </c>
      <c r="AC2900">
        <v>21.2348999999999</v>
      </c>
      <c r="AD2900">
        <v>-1.1046532496329999</v>
      </c>
      <c r="AE2900">
        <v>1.0398999999999801</v>
      </c>
      <c r="AF2900">
        <v>-2.4901898542984702</v>
      </c>
      <c r="AG2900">
        <v>-1.1046532496329999</v>
      </c>
      <c r="AH2900">
        <v>21.056368498678001</v>
      </c>
      <c r="AI2900">
        <v>92.982336577398399</v>
      </c>
      <c r="AJ2900">
        <v>96.744644826121501</v>
      </c>
      <c r="AK2900">
        <v>21.231861874656602</v>
      </c>
    </row>
    <row r="2901" spans="1:37" x14ac:dyDescent="0.2">
      <c r="A2901" t="str">
        <f>"20200111153706283"</f>
        <v>20200111153706283</v>
      </c>
      <c r="B2901" t="str">
        <f>"1578728226276218"</f>
        <v>1578728226276218</v>
      </c>
      <c r="C2901" t="s">
        <v>37</v>
      </c>
      <c r="D2901">
        <v>5.9069640000000003</v>
      </c>
      <c r="E2901">
        <v>0.45091439999999999</v>
      </c>
      <c r="F2901" t="s">
        <v>48</v>
      </c>
      <c r="G2901">
        <v>-435.68619999999999</v>
      </c>
      <c r="H2901" s="1">
        <v>4.7945109999999997E-6</v>
      </c>
      <c r="I2901">
        <v>213.97649999999999</v>
      </c>
      <c r="J2901">
        <v>-456.29649999999998</v>
      </c>
      <c r="K2901">
        <v>1.1046479999999901</v>
      </c>
      <c r="L2901">
        <v>213.02500000000001</v>
      </c>
      <c r="M2901">
        <v>0.99786129999999995</v>
      </c>
      <c r="N2901">
        <v>0</v>
      </c>
      <c r="O2901">
        <v>-6.5358410000000006E-2</v>
      </c>
      <c r="P2901">
        <v>0.99572969999999905</v>
      </c>
      <c r="Q2901">
        <v>-2.6760880000000001E-2</v>
      </c>
      <c r="R2901">
        <v>-8.8354890000000005E-2</v>
      </c>
      <c r="S2901">
        <v>3.0203250000000001</v>
      </c>
      <c r="T2901">
        <v>-0.1576777</v>
      </c>
      <c r="U2901">
        <v>0.1308136</v>
      </c>
      <c r="V2901">
        <v>2.322397E-2</v>
      </c>
      <c r="W2901">
        <v>-2.546853E-2</v>
      </c>
      <c r="X2901">
        <v>0.99940580000000001</v>
      </c>
      <c r="Y2901">
        <v>-0.10823919999999999</v>
      </c>
      <c r="Z2901">
        <v>6.2296369999999997E-3</v>
      </c>
      <c r="AA2901">
        <v>0.99410529999999997</v>
      </c>
      <c r="AB2901">
        <v>37</v>
      </c>
      <c r="AC2901">
        <v>20.610299999999899</v>
      </c>
      <c r="AD2901">
        <v>-1.1046432054889901</v>
      </c>
      <c r="AE2901">
        <v>0.95149999999998103</v>
      </c>
      <c r="AF2901">
        <v>-2.2899585837069298</v>
      </c>
      <c r="AG2901">
        <v>-1.1046432054889901</v>
      </c>
      <c r="AH2901">
        <v>20.445436856089898</v>
      </c>
      <c r="AI2901">
        <v>93.073437021750905</v>
      </c>
      <c r="AJ2901">
        <v>96.390688098035298</v>
      </c>
      <c r="AK2901">
        <v>20.6029132688289</v>
      </c>
    </row>
    <row r="2902" spans="1:37" x14ac:dyDescent="0.2">
      <c r="A2902" t="str">
        <f>"20200111153706305"</f>
        <v>20200111153706305</v>
      </c>
      <c r="B2902" t="str">
        <f>"1578728226295737"</f>
        <v>1578728226295737</v>
      </c>
      <c r="C2902" t="s">
        <v>37</v>
      </c>
      <c r="D2902">
        <v>5.9410889999999998</v>
      </c>
      <c r="E2902">
        <v>0.45154879999999997</v>
      </c>
      <c r="F2902" t="s">
        <v>48</v>
      </c>
      <c r="G2902">
        <v>-436.22539999999998</v>
      </c>
      <c r="H2902" s="1">
        <v>5.0454750000000002E-6</v>
      </c>
      <c r="I2902">
        <v>213.8409</v>
      </c>
      <c r="J2902">
        <v>-455.92469999999997</v>
      </c>
      <c r="K2902">
        <v>1.1046559999999901</v>
      </c>
      <c r="L2902">
        <v>213.0025</v>
      </c>
      <c r="M2902">
        <v>0.998007599999999</v>
      </c>
      <c r="N2902">
        <v>0</v>
      </c>
      <c r="O2902">
        <v>-6.3083100000000003E-2</v>
      </c>
      <c r="P2902">
        <v>0.9957511</v>
      </c>
      <c r="Q2902">
        <v>-2.744098E-2</v>
      </c>
      <c r="R2902">
        <v>-8.7901399999999894E-2</v>
      </c>
      <c r="S2902">
        <v>3.0192570000000001</v>
      </c>
      <c r="T2902">
        <v>-0.16616900000000001</v>
      </c>
      <c r="U2902">
        <v>0.122726399999999</v>
      </c>
      <c r="V2902">
        <v>2.505226E-2</v>
      </c>
      <c r="W2902">
        <v>-2.609496E-2</v>
      </c>
      <c r="X2902">
        <v>0.9993455</v>
      </c>
      <c r="Y2902">
        <v>-0.1033131</v>
      </c>
      <c r="Z2902">
        <v>6.3068669999999999E-3</v>
      </c>
      <c r="AA2902">
        <v>0.99462890000000004</v>
      </c>
      <c r="AB2902">
        <v>37</v>
      </c>
      <c r="AC2902">
        <v>19.699299999999901</v>
      </c>
      <c r="AD2902">
        <v>-1.1046509545249901</v>
      </c>
      <c r="AE2902">
        <v>0.83840000000000703</v>
      </c>
      <c r="AF2902">
        <v>-2.0729174324691799</v>
      </c>
      <c r="AG2902">
        <v>-1.1046509545249901</v>
      </c>
      <c r="AH2902">
        <v>19.545825216028099</v>
      </c>
      <c r="AI2902">
        <v>93.2166835954568</v>
      </c>
      <c r="AJ2902">
        <v>96.053830605716698</v>
      </c>
      <c r="AK2902">
        <v>19.686455338345901</v>
      </c>
    </row>
    <row r="2903" spans="1:37" x14ac:dyDescent="0.2">
      <c r="A2903" t="str">
        <f>"20200111153706350"</f>
        <v>20200111153706350</v>
      </c>
      <c r="B2903" t="str">
        <f>"1578728226345513"</f>
        <v>1578728226345513</v>
      </c>
      <c r="C2903" t="s">
        <v>37</v>
      </c>
      <c r="D2903">
        <v>5.9788269999999999</v>
      </c>
      <c r="E2903">
        <v>0.45268909999999901</v>
      </c>
      <c r="F2903" t="s">
        <v>48</v>
      </c>
      <c r="G2903">
        <v>-436.45979999999997</v>
      </c>
      <c r="H2903" s="1">
        <v>5.1555790000000003E-6</v>
      </c>
      <c r="I2903">
        <v>213.7705</v>
      </c>
      <c r="J2903">
        <v>-455.18430000000001</v>
      </c>
      <c r="K2903">
        <v>1.1046719999999901</v>
      </c>
      <c r="L2903">
        <v>212.9599</v>
      </c>
      <c r="M2903">
        <v>0.99828439999999996</v>
      </c>
      <c r="N2903">
        <v>0</v>
      </c>
      <c r="O2903">
        <v>-5.8536890000000001E-2</v>
      </c>
      <c r="P2903">
        <v>0.9954712</v>
      </c>
      <c r="Q2903">
        <v>-2.9455530000000001E-2</v>
      </c>
      <c r="R2903">
        <v>-9.0386289999999994E-2</v>
      </c>
      <c r="S2903">
        <v>3.0185849999999999</v>
      </c>
      <c r="T2903">
        <v>-0.1713075</v>
      </c>
      <c r="U2903">
        <v>0.1191101</v>
      </c>
      <c r="V2903">
        <v>3.2112960000000003E-2</v>
      </c>
      <c r="W2903">
        <v>-2.7981229999999999E-2</v>
      </c>
      <c r="X2903">
        <v>0.99909249999999905</v>
      </c>
      <c r="Y2903">
        <v>-9.7601149999999998E-2</v>
      </c>
      <c r="Z2903">
        <v>6.0837779999999998E-3</v>
      </c>
      <c r="AA2903">
        <v>0.99520699999999995</v>
      </c>
      <c r="AB2903">
        <v>37</v>
      </c>
      <c r="AC2903">
        <v>18.724499999999999</v>
      </c>
      <c r="AD2903">
        <v>-1.1046668444209999</v>
      </c>
      <c r="AE2903">
        <v>0.81059999999999299</v>
      </c>
      <c r="AF2903">
        <v>-1.8986889073214299</v>
      </c>
      <c r="AG2903">
        <v>-1.1046668444209999</v>
      </c>
      <c r="AH2903">
        <v>18.580393820962499</v>
      </c>
      <c r="AI2903">
        <v>93.3848359319678</v>
      </c>
      <c r="AJ2903">
        <v>95.834674650334193</v>
      </c>
      <c r="AK2903">
        <v>18.709792701844901</v>
      </c>
    </row>
    <row r="2904" spans="1:37" x14ac:dyDescent="0.2">
      <c r="A2904" t="str">
        <f>"20200111153706370"</f>
        <v>20200111153706370</v>
      </c>
      <c r="B2904" t="str">
        <f>"1578728226366010"</f>
        <v>1578728226366010</v>
      </c>
      <c r="C2904" t="s">
        <v>37</v>
      </c>
      <c r="D2904">
        <v>6.0084669999999996</v>
      </c>
      <c r="E2904">
        <v>0.45285740000000002</v>
      </c>
      <c r="F2904" t="s">
        <v>48</v>
      </c>
      <c r="G2904">
        <v>-437.30939999999998</v>
      </c>
      <c r="H2904" s="1">
        <v>5.5499659999999997E-6</v>
      </c>
      <c r="I2904">
        <v>213.5692</v>
      </c>
      <c r="J2904">
        <v>-454.8245</v>
      </c>
      <c r="K2904">
        <v>1.104714</v>
      </c>
      <c r="L2904">
        <v>212.94049999999999</v>
      </c>
      <c r="M2904">
        <v>0.99841369999999896</v>
      </c>
      <c r="N2904">
        <v>0</v>
      </c>
      <c r="O2904">
        <v>-5.6289859999999997E-2</v>
      </c>
      <c r="P2904">
        <v>0.99545899999999998</v>
      </c>
      <c r="Q2904">
        <v>-2.920474E-2</v>
      </c>
      <c r="R2904">
        <v>-9.0602370000000002E-2</v>
      </c>
      <c r="S2904">
        <v>3.017487</v>
      </c>
      <c r="T2904">
        <v>-0.18648039999999999</v>
      </c>
      <c r="U2904">
        <v>0.1028442</v>
      </c>
      <c r="V2904">
        <v>3.4578360000000002E-2</v>
      </c>
      <c r="W2904">
        <v>-2.7670569999999999E-2</v>
      </c>
      <c r="X2904">
        <v>0.99901879999999998</v>
      </c>
      <c r="Y2904">
        <v>-8.9987410000000004E-2</v>
      </c>
      <c r="Z2904">
        <v>6.2509969999999899E-3</v>
      </c>
      <c r="AA2904">
        <v>0.99592329999999996</v>
      </c>
      <c r="AB2904">
        <v>37</v>
      </c>
      <c r="AC2904">
        <v>17.5151</v>
      </c>
      <c r="AD2904">
        <v>-1.1047084500340001</v>
      </c>
      <c r="AE2904">
        <v>0.62870000000000903</v>
      </c>
      <c r="AF2904">
        <v>-1.6072410028283799</v>
      </c>
      <c r="AG2904">
        <v>-1.1047084500340001</v>
      </c>
      <c r="AH2904">
        <v>17.382878798737799</v>
      </c>
      <c r="AI2904">
        <v>93.620940385911794</v>
      </c>
      <c r="AJ2904">
        <v>95.282614154503094</v>
      </c>
      <c r="AK2904">
        <v>17.491943280617999</v>
      </c>
    </row>
    <row r="2905" spans="1:37" x14ac:dyDescent="0.2">
      <c r="A2905" t="str">
        <f>"20200111153706394"</f>
        <v>20200111153706394</v>
      </c>
      <c r="B2905" t="str">
        <f>"1578728226386036"</f>
        <v>1578728226386036</v>
      </c>
      <c r="C2905" t="s">
        <v>37</v>
      </c>
      <c r="D2905">
        <v>5.950774</v>
      </c>
      <c r="E2905">
        <v>0.45293059999999902</v>
      </c>
      <c r="F2905" t="s">
        <v>48</v>
      </c>
      <c r="G2905">
        <v>-437.5883</v>
      </c>
      <c r="H2905" s="1">
        <v>5.6782150000000003E-6</v>
      </c>
      <c r="I2905">
        <v>213.51650000000001</v>
      </c>
      <c r="J2905">
        <v>-454.43150000000003</v>
      </c>
      <c r="K2905">
        <v>1.1047769999999999</v>
      </c>
      <c r="L2905">
        <v>212.92019999999999</v>
      </c>
      <c r="M2905">
        <v>0.99855169999999904</v>
      </c>
      <c r="N2905">
        <v>0</v>
      </c>
      <c r="O2905">
        <v>-5.3784709999999999E-2</v>
      </c>
      <c r="P2905">
        <v>0.99569430000000003</v>
      </c>
      <c r="Q2905">
        <v>-2.74293E-2</v>
      </c>
      <c r="R2905">
        <v>-8.8548710000000003E-2</v>
      </c>
      <c r="S2905">
        <v>3.0171509999999899</v>
      </c>
      <c r="T2905">
        <v>-0.19337599999999999</v>
      </c>
      <c r="U2905">
        <v>0.10083010000000001</v>
      </c>
      <c r="V2905">
        <v>3.5014429999999999E-2</v>
      </c>
      <c r="W2905">
        <v>-2.583937E-2</v>
      </c>
      <c r="X2905">
        <v>0.99905270000000002</v>
      </c>
      <c r="Y2905">
        <v>-8.6818519999999996E-2</v>
      </c>
      <c r="Z2905">
        <v>6.2207929999999996E-3</v>
      </c>
      <c r="AA2905">
        <v>0.99620469999999905</v>
      </c>
      <c r="AB2905">
        <v>38</v>
      </c>
      <c r="AC2905">
        <v>16.8432</v>
      </c>
      <c r="AD2905">
        <v>-1.1047713217849999</v>
      </c>
      <c r="AE2905">
        <v>0.59630000000001304</v>
      </c>
      <c r="AF2905">
        <v>-1.49492081684121</v>
      </c>
      <c r="AG2905">
        <v>-1.1047713217849999</v>
      </c>
      <c r="AH2905">
        <v>16.714926739244099</v>
      </c>
      <c r="AI2905">
        <v>93.766468264898606</v>
      </c>
      <c r="AJ2905">
        <v>95.1107235157925</v>
      </c>
      <c r="AK2905">
        <v>16.8179690753777</v>
      </c>
    </row>
    <row r="2906" spans="1:37" x14ac:dyDescent="0.2">
      <c r="A2906" t="str">
        <f>"20200111153706417"</f>
        <v>20200111153706417</v>
      </c>
      <c r="B2906" t="str">
        <f>"1578728226405556"</f>
        <v>1578728226405556</v>
      </c>
      <c r="C2906" t="s">
        <v>37</v>
      </c>
      <c r="D2906">
        <v>5.9493390000000002</v>
      </c>
      <c r="E2906">
        <v>0.45293139999999998</v>
      </c>
      <c r="F2906" t="s">
        <v>48</v>
      </c>
      <c r="G2906">
        <v>-437.358</v>
      </c>
      <c r="H2906" s="1">
        <v>5.5755869999999999E-6</v>
      </c>
      <c r="I2906">
        <v>213.5222</v>
      </c>
      <c r="J2906">
        <v>-454.05119999999999</v>
      </c>
      <c r="K2906">
        <v>1.104846</v>
      </c>
      <c r="L2906">
        <v>212.9016</v>
      </c>
      <c r="M2906">
        <v>0.99868259999999898</v>
      </c>
      <c r="N2906">
        <v>0</v>
      </c>
      <c r="O2906">
        <v>-5.129264E-2</v>
      </c>
      <c r="P2906">
        <v>0.99597829999999998</v>
      </c>
      <c r="Q2906">
        <v>-2.7605069999999999E-2</v>
      </c>
      <c r="R2906">
        <v>-8.5237259999999995E-2</v>
      </c>
      <c r="S2906">
        <v>3.0170590000000002</v>
      </c>
      <c r="T2906">
        <v>-0.1952237</v>
      </c>
      <c r="U2906">
        <v>0.1063843</v>
      </c>
      <c r="V2906">
        <v>3.4190579999999998E-2</v>
      </c>
      <c r="W2906">
        <v>-2.596598E-2</v>
      </c>
      <c r="X2906">
        <v>0.99907800000000002</v>
      </c>
      <c r="Y2906">
        <v>-8.6166290000000006E-2</v>
      </c>
      <c r="Z2906">
        <v>6.0981289999999999E-3</v>
      </c>
      <c r="AA2906">
        <v>0.99626209999999904</v>
      </c>
      <c r="AB2906">
        <v>38</v>
      </c>
      <c r="AC2906">
        <v>16.693199999999901</v>
      </c>
      <c r="AD2906">
        <v>-1.1048404244129999</v>
      </c>
      <c r="AE2906">
        <v>0.62059999999999504</v>
      </c>
      <c r="AF2906">
        <v>-1.46959367704002</v>
      </c>
      <c r="AG2906">
        <v>-1.1048404244129999</v>
      </c>
      <c r="AH2906">
        <v>16.566923267746699</v>
      </c>
      <c r="AI2906">
        <v>93.800499872221494</v>
      </c>
      <c r="AJ2906">
        <v>95.069239151947599</v>
      </c>
      <c r="AK2906">
        <v>16.6686329522975</v>
      </c>
    </row>
    <row r="2907" spans="1:37" x14ac:dyDescent="0.2">
      <c r="A2907" t="str">
        <f>"20200111153706441"</f>
        <v>20200111153706441</v>
      </c>
      <c r="B2907" t="str">
        <f>"1578728226435812"</f>
        <v>1578728226435812</v>
      </c>
      <c r="C2907" t="s">
        <v>37</v>
      </c>
      <c r="D2907">
        <v>5.9895360000000002</v>
      </c>
      <c r="E2907">
        <v>0.45095289999999999</v>
      </c>
      <c r="F2907" t="s">
        <v>48</v>
      </c>
      <c r="G2907">
        <v>-437.63440000000003</v>
      </c>
      <c r="H2907" s="1">
        <v>5.6971729999999997E-6</v>
      </c>
      <c r="I2907">
        <v>213.53370000000001</v>
      </c>
      <c r="J2907">
        <v>-453.65370000000001</v>
      </c>
      <c r="K2907">
        <v>1.10493</v>
      </c>
      <c r="L2907">
        <v>212.88310000000001</v>
      </c>
      <c r="M2907">
        <v>0.99881739999999997</v>
      </c>
      <c r="N2907">
        <v>0</v>
      </c>
      <c r="O2907">
        <v>-4.8599330000000003E-2</v>
      </c>
      <c r="P2907">
        <v>0.99628779999999995</v>
      </c>
      <c r="Q2907">
        <v>-2.810824E-2</v>
      </c>
      <c r="R2907">
        <v>-8.1367019999999998E-2</v>
      </c>
      <c r="S2907">
        <v>3.0163880000000001</v>
      </c>
      <c r="T2907">
        <v>-0.2030014</v>
      </c>
      <c r="U2907">
        <v>0.1161499</v>
      </c>
      <c r="V2907">
        <v>3.3012039999999999E-2</v>
      </c>
      <c r="W2907">
        <v>-2.6417619999999999E-2</v>
      </c>
      <c r="X2907">
        <v>0.99910580000000004</v>
      </c>
      <c r="Y2907">
        <v>-8.6690039999999996E-2</v>
      </c>
      <c r="Z2907">
        <v>6.17833599999999E-3</v>
      </c>
      <c r="AA2907">
        <v>0.9962162</v>
      </c>
      <c r="AB2907">
        <v>38</v>
      </c>
      <c r="AC2907">
        <v>16.019299999999902</v>
      </c>
      <c r="AD2907">
        <v>-1.1049243028269999</v>
      </c>
      <c r="AE2907">
        <v>0.65059999999999696</v>
      </c>
      <c r="AF2907">
        <v>-1.4216070636020499</v>
      </c>
      <c r="AG2907">
        <v>-1.1049243028269999</v>
      </c>
      <c r="AH2907">
        <v>15.893264523873</v>
      </c>
      <c r="AI2907">
        <v>93.961128378417897</v>
      </c>
      <c r="AJ2907">
        <v>95.111341007677296</v>
      </c>
      <c r="AK2907">
        <v>15.9949267451921</v>
      </c>
    </row>
    <row r="2908" spans="1:37" x14ac:dyDescent="0.2">
      <c r="A2908" t="str">
        <f>"20200111153706463"</f>
        <v>20200111153706463</v>
      </c>
      <c r="B2908" t="str">
        <f>"1578728226455332"</f>
        <v>1578728226455332</v>
      </c>
      <c r="C2908" t="s">
        <v>37</v>
      </c>
      <c r="D2908">
        <v>5.9708690000000004</v>
      </c>
      <c r="E2908">
        <v>0.45088210000000001</v>
      </c>
      <c r="F2908" t="s">
        <v>45</v>
      </c>
      <c r="G2908">
        <v>-444.13279999999997</v>
      </c>
      <c r="H2908" s="1">
        <v>7.1877689999999996E-7</v>
      </c>
      <c r="I2908">
        <v>213.3288</v>
      </c>
      <c r="J2908">
        <v>-453.26089999999999</v>
      </c>
      <c r="K2908">
        <v>1.105032</v>
      </c>
      <c r="L2908">
        <v>212.86619999999999</v>
      </c>
      <c r="M2908">
        <v>0.99894830000000001</v>
      </c>
      <c r="N2908">
        <v>0</v>
      </c>
      <c r="O2908">
        <v>-4.582518E-2</v>
      </c>
      <c r="P2908">
        <v>0.9966798</v>
      </c>
      <c r="Q2908">
        <v>-2.765594E-2</v>
      </c>
      <c r="R2908">
        <v>-7.6580179999999998E-2</v>
      </c>
      <c r="S2908">
        <v>3.0128169999999899</v>
      </c>
      <c r="T2908">
        <v>-0.3496494</v>
      </c>
      <c r="U2908">
        <v>0.141037</v>
      </c>
      <c r="V2908">
        <v>3.0989780000000001E-2</v>
      </c>
      <c r="W2908">
        <v>-2.5918279999999998E-2</v>
      </c>
      <c r="X2908">
        <v>0.99918359999999995</v>
      </c>
      <c r="Y2908">
        <v>-9.1566649999999999E-2</v>
      </c>
      <c r="Z2908">
        <v>1.0590260000000001E-2</v>
      </c>
      <c r="AA2908">
        <v>0.99574259999999903</v>
      </c>
      <c r="AB2908">
        <v>38</v>
      </c>
      <c r="AC2908">
        <v>9.1281000000000105</v>
      </c>
      <c r="AD2908">
        <v>-1.1050312812231</v>
      </c>
      <c r="AE2908">
        <v>0.462600000000009</v>
      </c>
      <c r="AF2908">
        <v>-0.867727300930485</v>
      </c>
      <c r="AG2908">
        <v>-1.1050312812231</v>
      </c>
      <c r="AH2908">
        <v>8.9662474150741893</v>
      </c>
      <c r="AI2908">
        <v>96.993552586845098</v>
      </c>
      <c r="AJ2908">
        <v>95.527704362929697</v>
      </c>
      <c r="AK2908">
        <v>9.0756618221254897</v>
      </c>
    </row>
    <row r="2909" spans="1:37" x14ac:dyDescent="0.2">
      <c r="A2909" t="str">
        <f>"20200111153706484"</f>
        <v>20200111153706484</v>
      </c>
      <c r="B2909" t="str">
        <f>"1578728226475828"</f>
        <v>1578728226475828</v>
      </c>
      <c r="C2909" t="s">
        <v>37</v>
      </c>
      <c r="D2909">
        <v>6.0678339999999897</v>
      </c>
      <c r="E2909">
        <v>0.45312059999999998</v>
      </c>
      <c r="F2909" t="s">
        <v>45</v>
      </c>
      <c r="G2909">
        <v>-443.50490000000002</v>
      </c>
      <c r="H2909" s="1">
        <v>3.82706099999999E-7</v>
      </c>
      <c r="I2909">
        <v>213.37299999999999</v>
      </c>
      <c r="J2909">
        <v>-452.89679999999998</v>
      </c>
      <c r="K2909">
        <v>1.105135</v>
      </c>
      <c r="L2909">
        <v>212.85140000000001</v>
      </c>
      <c r="M2909">
        <v>0.99906640000000002</v>
      </c>
      <c r="N2909">
        <v>0</v>
      </c>
      <c r="O2909">
        <v>-4.3173089999999997E-2</v>
      </c>
      <c r="P2909">
        <v>0.997185399999999</v>
      </c>
      <c r="Q2909">
        <v>-2.6539420000000001E-2</v>
      </c>
      <c r="R2909">
        <v>-7.0121879999999998E-2</v>
      </c>
      <c r="S2909">
        <v>3.012543</v>
      </c>
      <c r="T2909">
        <v>-0.34122359999999902</v>
      </c>
      <c r="U2909">
        <v>0.15650939999999999</v>
      </c>
      <c r="V2909">
        <v>2.716638E-2</v>
      </c>
      <c r="W2909">
        <v>-2.4771230000000002E-2</v>
      </c>
      <c r="X2909">
        <v>0.99932399999999999</v>
      </c>
      <c r="Y2909">
        <v>-9.407364E-2</v>
      </c>
      <c r="Z2909">
        <v>1.017873E-2</v>
      </c>
      <c r="AA2909">
        <v>0.99551319999999999</v>
      </c>
      <c r="AB2909">
        <v>38</v>
      </c>
      <c r="AC2909">
        <v>9.3918999999999606</v>
      </c>
      <c r="AD2909">
        <v>-1.1051346172939001</v>
      </c>
      <c r="AE2909">
        <v>0.52159999999997797</v>
      </c>
      <c r="AF2909">
        <v>-0.91397552896433498</v>
      </c>
      <c r="AG2909">
        <v>-1.1051346172939001</v>
      </c>
      <c r="AH2909">
        <v>9.2331747542477505</v>
      </c>
      <c r="AI2909">
        <v>96.792475623126506</v>
      </c>
      <c r="AJ2909">
        <v>95.6531906199464</v>
      </c>
      <c r="AK2909">
        <v>9.3438851572761195</v>
      </c>
    </row>
    <row r="2910" spans="1:37" x14ac:dyDescent="0.2">
      <c r="A2910" t="str">
        <f>"20200111153706507"</f>
        <v>20200111153706507</v>
      </c>
      <c r="B2910" t="str">
        <f>"1578728226495856"</f>
        <v>1578728226495856</v>
      </c>
      <c r="C2910" t="s">
        <v>37</v>
      </c>
      <c r="D2910">
        <v>6.0317339999999904</v>
      </c>
      <c r="E2910">
        <v>0.45553900000000003</v>
      </c>
      <c r="F2910" t="s">
        <v>45</v>
      </c>
      <c r="G2910">
        <v>-442.8057</v>
      </c>
      <c r="H2910" s="1">
        <v>1.021927E-8</v>
      </c>
      <c r="I2910">
        <v>213.38200000000001</v>
      </c>
      <c r="J2910">
        <v>-452.4898</v>
      </c>
      <c r="K2910">
        <v>1.1052360000000001</v>
      </c>
      <c r="L2910">
        <v>212.83609999999999</v>
      </c>
      <c r="M2910">
        <v>0.99919409999999897</v>
      </c>
      <c r="N2910">
        <v>0</v>
      </c>
      <c r="O2910">
        <v>-4.010611E-2</v>
      </c>
      <c r="P2910">
        <v>0.99770360000000002</v>
      </c>
      <c r="Q2910">
        <v>-2.6364149999999999E-2</v>
      </c>
      <c r="R2910">
        <v>-6.2391009999999997E-2</v>
      </c>
      <c r="S2910">
        <v>3.010834</v>
      </c>
      <c r="T2910">
        <v>-0.329733099999999</v>
      </c>
      <c r="U2910">
        <v>0.1583099</v>
      </c>
      <c r="V2910">
        <v>2.2493229999999999E-2</v>
      </c>
      <c r="W2910">
        <v>-2.456612E-2</v>
      </c>
      <c r="X2910">
        <v>0.99944509999999898</v>
      </c>
      <c r="Y2910">
        <v>-9.1729779999999997E-2</v>
      </c>
      <c r="Z2910">
        <v>9.3809510000000002E-3</v>
      </c>
      <c r="AA2910">
        <v>0.99573979999999995</v>
      </c>
      <c r="AB2910">
        <v>39</v>
      </c>
      <c r="AC2910">
        <v>9.6841000000000008</v>
      </c>
      <c r="AD2910">
        <v>-1.10523598978073</v>
      </c>
      <c r="AE2910">
        <v>0.54590000000001704</v>
      </c>
      <c r="AF2910">
        <v>-0.92188300582854199</v>
      </c>
      <c r="AG2910">
        <v>-1.10523598978073</v>
      </c>
      <c r="AH2910">
        <v>9.5306668085153596</v>
      </c>
      <c r="AI2910">
        <v>96.584372303727903</v>
      </c>
      <c r="AJ2910">
        <v>95.524921972958893</v>
      </c>
      <c r="AK2910">
        <v>9.6387252624233692</v>
      </c>
    </row>
    <row r="2911" spans="1:37" x14ac:dyDescent="0.2">
      <c r="A2911" t="str">
        <f>"20200111153706530"</f>
        <v>20200111153706530</v>
      </c>
      <c r="B2911" t="str">
        <f>"1578728226526111"</f>
        <v>1578728226526111</v>
      </c>
      <c r="C2911" t="s">
        <v>37</v>
      </c>
      <c r="D2911">
        <v>5.8618739999999896</v>
      </c>
      <c r="E2911">
        <v>0.45900829999999998</v>
      </c>
      <c r="F2911" t="s">
        <v>45</v>
      </c>
      <c r="G2911">
        <v>-441.74759999999998</v>
      </c>
      <c r="H2911" s="1">
        <v>-5.5439650000000005E-7</v>
      </c>
      <c r="I2911">
        <v>213.4178</v>
      </c>
      <c r="J2911">
        <v>-452.10969999999998</v>
      </c>
      <c r="K2911">
        <v>1.1053409999999999</v>
      </c>
      <c r="L2911">
        <v>212.82299999999901</v>
      </c>
      <c r="M2911">
        <v>0.99930849999999904</v>
      </c>
      <c r="N2911">
        <v>0</v>
      </c>
      <c r="O2911">
        <v>-3.714609E-2</v>
      </c>
      <c r="P2911">
        <v>0.99810379999999999</v>
      </c>
      <c r="Q2911">
        <v>-2.641305E-2</v>
      </c>
      <c r="R2911">
        <v>-5.5598330000000001E-2</v>
      </c>
      <c r="S2911">
        <v>3.0089419999999998</v>
      </c>
      <c r="T2911">
        <v>-0.30958359999999902</v>
      </c>
      <c r="U2911">
        <v>0.162933299999999</v>
      </c>
      <c r="V2911">
        <v>1.865725E-2</v>
      </c>
      <c r="W2911">
        <v>-2.4585579999999999E-2</v>
      </c>
      <c r="X2911">
        <v>0.99952359999999896</v>
      </c>
      <c r="Y2911">
        <v>-9.0453080000000005E-2</v>
      </c>
      <c r="Z2911">
        <v>8.446996E-3</v>
      </c>
      <c r="AA2911">
        <v>0.99586489999999905</v>
      </c>
      <c r="AB2911">
        <v>39</v>
      </c>
      <c r="AC2911">
        <v>10.3620999999999</v>
      </c>
      <c r="AD2911">
        <v>-1.1053415543964999</v>
      </c>
      <c r="AE2911">
        <v>0.59480000000001998</v>
      </c>
      <c r="AF2911">
        <v>-0.96831936049670997</v>
      </c>
      <c r="AG2911">
        <v>-1.1053415543964999</v>
      </c>
      <c r="AH2911">
        <v>10.216978595565999</v>
      </c>
      <c r="AI2911">
        <v>96.147293321976306</v>
      </c>
      <c r="AJ2911">
        <v>95.4140649631955</v>
      </c>
      <c r="AK2911">
        <v>10.3221157694555</v>
      </c>
    </row>
    <row r="2912" spans="1:37" x14ac:dyDescent="0.2">
      <c r="A2912" t="str">
        <f>"20200111153706550"</f>
        <v>20200111153706550</v>
      </c>
      <c r="B2912" t="str">
        <f>"1578728226545631"</f>
        <v>1578728226545631</v>
      </c>
      <c r="C2912" t="s">
        <v>37</v>
      </c>
      <c r="D2912">
        <v>6.0566649999999997</v>
      </c>
      <c r="E2912">
        <v>0.47206599999999999</v>
      </c>
      <c r="F2912" t="s">
        <v>45</v>
      </c>
      <c r="G2912">
        <v>-440.8623</v>
      </c>
      <c r="H2912" s="1">
        <v>-1.0250669999999899E-6</v>
      </c>
      <c r="I2912">
        <v>213.4075</v>
      </c>
      <c r="J2912">
        <v>-451.74160000000001</v>
      </c>
      <c r="K2912">
        <v>1.10545</v>
      </c>
      <c r="L2912">
        <v>212.81139999999999</v>
      </c>
      <c r="M2912">
        <v>0.99941399999999903</v>
      </c>
      <c r="N2912">
        <v>0</v>
      </c>
      <c r="O2912">
        <v>-3.418906E-2</v>
      </c>
      <c r="P2912">
        <v>0.99838760000000004</v>
      </c>
      <c r="Q2912">
        <v>-2.5690069999999999E-2</v>
      </c>
      <c r="R2912">
        <v>-5.0620409999999998E-2</v>
      </c>
      <c r="S2912">
        <v>3.0065919999999999</v>
      </c>
      <c r="T2912">
        <v>-0.29547329999999999</v>
      </c>
      <c r="U2912">
        <v>0.15625</v>
      </c>
      <c r="V2912">
        <v>1.6630559999999999E-2</v>
      </c>
      <c r="W2912">
        <v>-2.382337E-2</v>
      </c>
      <c r="X2912">
        <v>0.99957779999999996</v>
      </c>
      <c r="Y2912">
        <v>-8.5436860000000003E-2</v>
      </c>
      <c r="Z2912">
        <v>7.5351430000000002E-3</v>
      </c>
      <c r="AA2912">
        <v>0.99631510000000001</v>
      </c>
      <c r="AB2912">
        <v>39</v>
      </c>
      <c r="AC2912">
        <v>10.879300000000001</v>
      </c>
      <c r="AD2912">
        <v>-1.105451025067</v>
      </c>
      <c r="AE2912">
        <v>0.59610000000000696</v>
      </c>
      <c r="AF2912">
        <v>-0.95784520781474602</v>
      </c>
      <c r="AG2912">
        <v>-1.105451025067</v>
      </c>
      <c r="AH2912">
        <v>10.741983925600501</v>
      </c>
      <c r="AI2912">
        <v>95.852531994849599</v>
      </c>
      <c r="AJ2912">
        <v>95.095495080934498</v>
      </c>
      <c r="AK2912">
        <v>10.8411119387642</v>
      </c>
    </row>
    <row r="2913" spans="1:37" x14ac:dyDescent="0.2">
      <c r="A2913" t="str">
        <f>"20200111153706573"</f>
        <v>20200111153706573</v>
      </c>
      <c r="B2913" t="str">
        <f>"1578728226566128"</f>
        <v>1578728226566128</v>
      </c>
      <c r="C2913" t="s">
        <v>37</v>
      </c>
      <c r="D2913">
        <v>5.8700429999999999</v>
      </c>
      <c r="E2913">
        <v>0.47244579999999903</v>
      </c>
      <c r="F2913" t="s">
        <v>48</v>
      </c>
      <c r="G2913">
        <v>-438.14800000000002</v>
      </c>
      <c r="H2913" s="1">
        <v>5.9610869999999998E-6</v>
      </c>
      <c r="I2913">
        <v>213.12010000000001</v>
      </c>
      <c r="J2913">
        <v>-451.32479999999998</v>
      </c>
      <c r="K2913">
        <v>1.1055790000000001</v>
      </c>
      <c r="L2913">
        <v>212.79949999999999</v>
      </c>
      <c r="M2913">
        <v>0.99952569999999996</v>
      </c>
      <c r="N2913">
        <v>0</v>
      </c>
      <c r="O2913">
        <v>-3.0747549999999998E-2</v>
      </c>
      <c r="P2913">
        <v>0.99861440000000001</v>
      </c>
      <c r="Q2913">
        <v>-2.4908070000000001E-2</v>
      </c>
      <c r="R2913">
        <v>-4.6361920000000001E-2</v>
      </c>
      <c r="S2913">
        <v>3.0020449999999999</v>
      </c>
      <c r="T2913">
        <v>-0.2441294</v>
      </c>
      <c r="U2913">
        <v>6.819153E-2</v>
      </c>
      <c r="V2913">
        <v>1.5809219999999999E-2</v>
      </c>
      <c r="W2913">
        <v>-2.2987179999999999E-2</v>
      </c>
      <c r="X2913">
        <v>0.99961080000000002</v>
      </c>
      <c r="Y2913">
        <v>-5.3161229999999997E-2</v>
      </c>
      <c r="Z2913">
        <v>4.6536320000000004E-3</v>
      </c>
      <c r="AA2913">
        <v>0.99857510000000005</v>
      </c>
      <c r="AB2913">
        <v>39</v>
      </c>
      <c r="AC2913">
        <v>13.176799999999901</v>
      </c>
      <c r="AD2913">
        <v>-1.1055730389130001</v>
      </c>
      <c r="AE2913">
        <v>0.32060000000001299</v>
      </c>
      <c r="AF2913">
        <v>-0.72053397966037802</v>
      </c>
      <c r="AG2913">
        <v>-1.1055730389130001</v>
      </c>
      <c r="AH2913">
        <v>13.0687661420409</v>
      </c>
      <c r="AI2913">
        <v>94.8282161883307</v>
      </c>
      <c r="AJ2913">
        <v>93.155753264285195</v>
      </c>
      <c r="AK2913">
        <v>13.1352239963988</v>
      </c>
    </row>
    <row r="2914" spans="1:37" x14ac:dyDescent="0.2">
      <c r="A2914" t="str">
        <f>"20200111153706596"</f>
        <v>20200111153706596</v>
      </c>
      <c r="B2914" t="str">
        <f>"1578728226586156"</f>
        <v>1578728226586156</v>
      </c>
      <c r="C2914" t="s">
        <v>37</v>
      </c>
      <c r="D2914">
        <v>6.2359830000000001</v>
      </c>
      <c r="E2914">
        <v>0.47364909999999999</v>
      </c>
      <c r="F2914" t="s">
        <v>48</v>
      </c>
      <c r="G2914">
        <v>-437.21199999999999</v>
      </c>
      <c r="H2914" s="1">
        <v>5.5418159999999996E-6</v>
      </c>
      <c r="I2914">
        <v>213.16820000000001</v>
      </c>
      <c r="J2914">
        <v>-450.93380000000002</v>
      </c>
      <c r="K2914">
        <v>1.1056999999999999</v>
      </c>
      <c r="L2914">
        <v>212.78980000000001</v>
      </c>
      <c r="M2914">
        <v>0.9996216</v>
      </c>
      <c r="N2914">
        <v>0</v>
      </c>
      <c r="O2914">
        <v>-2.7442350000000001E-2</v>
      </c>
      <c r="P2914">
        <v>0.99879240000000002</v>
      </c>
      <c r="Q2914">
        <v>-2.33569E-2</v>
      </c>
      <c r="R2914">
        <v>-4.3225890000000003E-2</v>
      </c>
      <c r="S2914">
        <v>3.0018919999999998</v>
      </c>
      <c r="T2914">
        <v>-0.23516300000000001</v>
      </c>
      <c r="U2914">
        <v>7.8414919999999999E-2</v>
      </c>
      <c r="V2914">
        <v>1.5968070000000001E-2</v>
      </c>
      <c r="W2914">
        <v>-2.1378790000000002E-2</v>
      </c>
      <c r="X2914">
        <v>0.99964390000000003</v>
      </c>
      <c r="Y2914">
        <v>-5.328894E-2</v>
      </c>
      <c r="Z2914">
        <v>4.2298639999999998E-3</v>
      </c>
      <c r="AA2914">
        <v>0.99857019999999996</v>
      </c>
      <c r="AB2914">
        <v>39</v>
      </c>
      <c r="AC2914">
        <v>13.7218</v>
      </c>
      <c r="AD2914">
        <v>-1.10569445818399</v>
      </c>
      <c r="AE2914">
        <v>0.37839999999999901</v>
      </c>
      <c r="AF2914">
        <v>-0.74995083987114497</v>
      </c>
      <c r="AG2914">
        <v>-1.10569445818399</v>
      </c>
      <c r="AH2914">
        <v>13.617893639238799</v>
      </c>
      <c r="AI2914">
        <v>94.634911851699101</v>
      </c>
      <c r="AJ2914">
        <v>93.1521510573982</v>
      </c>
      <c r="AK2914">
        <v>13.683274961305999</v>
      </c>
    </row>
    <row r="2915" spans="1:37" x14ac:dyDescent="0.2">
      <c r="A2915" t="str">
        <f>"20200111153706619"</f>
        <v>20200111153706619</v>
      </c>
      <c r="B2915" t="str">
        <f>"1578728226615435"</f>
        <v>1578728226615435</v>
      </c>
      <c r="C2915" t="s">
        <v>37</v>
      </c>
      <c r="D2915">
        <v>5.8535680000000001</v>
      </c>
      <c r="E2915">
        <v>0.46811549999999902</v>
      </c>
      <c r="F2915" t="s">
        <v>48</v>
      </c>
      <c r="G2915">
        <v>-436.51159999999999</v>
      </c>
      <c r="H2915" s="1">
        <v>5.231271E-6</v>
      </c>
      <c r="I2915">
        <v>213.16749999999999</v>
      </c>
      <c r="J2915">
        <v>-450.53399999999999</v>
      </c>
      <c r="K2915">
        <v>1.105815</v>
      </c>
      <c r="L2915">
        <v>212.78110000000001</v>
      </c>
      <c r="M2915">
        <v>0.99971010000000005</v>
      </c>
      <c r="N2915">
        <v>0</v>
      </c>
      <c r="O2915">
        <v>-2.4005160000000001E-2</v>
      </c>
      <c r="P2915">
        <v>0.99894059999999996</v>
      </c>
      <c r="Q2915">
        <v>-2.1988580000000001E-2</v>
      </c>
      <c r="R2915">
        <v>-4.0425999999999997E-2</v>
      </c>
      <c r="S2915">
        <v>3.001617</v>
      </c>
      <c r="T2915">
        <v>-0.23012179999999999</v>
      </c>
      <c r="U2915">
        <v>7.8613279999999994E-2</v>
      </c>
      <c r="V2915">
        <v>1.6596139999999999E-2</v>
      </c>
      <c r="W2915">
        <v>-1.9949689999999999E-2</v>
      </c>
      <c r="X2915">
        <v>0.99966319999999997</v>
      </c>
      <c r="Y2915">
        <v>-4.9953850000000001E-2</v>
      </c>
      <c r="Z2915">
        <v>3.7491299999999998E-3</v>
      </c>
      <c r="AA2915">
        <v>0.99874449999999904</v>
      </c>
      <c r="AB2915">
        <v>40</v>
      </c>
      <c r="AC2915">
        <v>14.022399999999999</v>
      </c>
      <c r="AD2915">
        <v>-1.1058097687290001</v>
      </c>
      <c r="AE2915">
        <v>0.38639999999997998</v>
      </c>
      <c r="AF2915">
        <v>-0.71843468199017702</v>
      </c>
      <c r="AG2915">
        <v>-1.1058097687290001</v>
      </c>
      <c r="AH2915">
        <v>13.9225657453441</v>
      </c>
      <c r="AI2915">
        <v>94.535216118282804</v>
      </c>
      <c r="AJ2915">
        <v>92.953966807386394</v>
      </c>
      <c r="AK2915">
        <v>13.9848775672271</v>
      </c>
    </row>
    <row r="2916" spans="1:37" x14ac:dyDescent="0.2">
      <c r="A2916" t="str">
        <f>"20200111153706641"</f>
        <v>20200111153706641</v>
      </c>
      <c r="B2916" t="str">
        <f>"1578728226635933"</f>
        <v>1578728226635933</v>
      </c>
      <c r="C2916" t="s">
        <v>37</v>
      </c>
      <c r="D2916">
        <v>6.0010870000000001</v>
      </c>
      <c r="E2916">
        <v>0.46876019999999902</v>
      </c>
      <c r="F2916" t="s">
        <v>45</v>
      </c>
      <c r="G2916">
        <v>-440.4991</v>
      </c>
      <c r="H2916" s="1">
        <v>-1.209975E-6</v>
      </c>
      <c r="I2916">
        <v>213.2157</v>
      </c>
      <c r="J2916">
        <v>-450.14170000000001</v>
      </c>
      <c r="K2916">
        <v>1.105907</v>
      </c>
      <c r="L2916">
        <v>212.774</v>
      </c>
      <c r="M2916">
        <v>0.99978609999999901</v>
      </c>
      <c r="N2916">
        <v>0</v>
      </c>
      <c r="O2916">
        <v>-2.0590279999999999E-2</v>
      </c>
      <c r="P2916">
        <v>0.99907979999999996</v>
      </c>
      <c r="Q2916">
        <v>-2.1136220000000001E-2</v>
      </c>
      <c r="R2916">
        <v>-3.7323210000000002E-2</v>
      </c>
      <c r="S2916">
        <v>3.00116</v>
      </c>
      <c r="T2916">
        <v>-0.33071970000000001</v>
      </c>
      <c r="U2916">
        <v>0.12995909999999999</v>
      </c>
      <c r="V2916">
        <v>1.6902250000000001E-2</v>
      </c>
      <c r="W2916">
        <v>-1.904194E-2</v>
      </c>
      <c r="X2916">
        <v>0.9996758</v>
      </c>
      <c r="Y2916">
        <v>-6.3317209999999999E-2</v>
      </c>
      <c r="Z2916">
        <v>5.7377819999999899E-3</v>
      </c>
      <c r="AA2916">
        <v>0.997977</v>
      </c>
      <c r="AB2916">
        <v>40</v>
      </c>
      <c r="AC2916">
        <v>9.6426000000000105</v>
      </c>
      <c r="AD2916">
        <v>-1.1059082099749999</v>
      </c>
      <c r="AE2916">
        <v>0.44169999999999698</v>
      </c>
      <c r="AF2916">
        <v>-0.63185668173498799</v>
      </c>
      <c r="AG2916">
        <v>-1.1059082099749999</v>
      </c>
      <c r="AH2916">
        <v>9.5066743366501392</v>
      </c>
      <c r="AI2916">
        <v>96.620896851682105</v>
      </c>
      <c r="AJ2916">
        <v>93.802544588320899</v>
      </c>
      <c r="AK2916">
        <v>9.5916178394609606</v>
      </c>
    </row>
    <row r="2917" spans="1:37" x14ac:dyDescent="0.2">
      <c r="A2917" t="str">
        <f>"20200111153706662"</f>
        <v>20200111153706662</v>
      </c>
      <c r="B2917" t="str">
        <f>"1578728226655452"</f>
        <v>1578728226655452</v>
      </c>
      <c r="C2917" t="s">
        <v>37</v>
      </c>
      <c r="D2917">
        <v>5.883381</v>
      </c>
      <c r="E2917">
        <v>0.46925609999999901</v>
      </c>
      <c r="F2917" t="s">
        <v>38</v>
      </c>
      <c r="G2917">
        <v>-449.10610000000003</v>
      </c>
      <c r="H2917">
        <v>0.99418619999999902</v>
      </c>
      <c r="I2917">
        <v>212.8201</v>
      </c>
      <c r="J2917">
        <v>-449.755</v>
      </c>
      <c r="K2917">
        <v>1.1059870000000001</v>
      </c>
      <c r="L2917">
        <v>212.76840000000001</v>
      </c>
      <c r="M2917">
        <v>0.99985020000000002</v>
      </c>
      <c r="N2917">
        <v>0</v>
      </c>
      <c r="O2917">
        <v>-1.7199409999999998E-2</v>
      </c>
      <c r="P2917">
        <v>0.99918869999999904</v>
      </c>
      <c r="Q2917">
        <v>-2.04242E-2</v>
      </c>
      <c r="R2917">
        <v>-3.4719159999999999E-2</v>
      </c>
      <c r="S2917">
        <v>3.0009160000000001</v>
      </c>
      <c r="T2917">
        <v>-0.32384540000000001</v>
      </c>
      <c r="U2917">
        <v>0.1336212</v>
      </c>
      <c r="V2917">
        <v>1.7683839999999999E-2</v>
      </c>
      <c r="W2917">
        <v>-1.8272770000000001E-2</v>
      </c>
      <c r="X2917">
        <v>0.99967659999999903</v>
      </c>
      <c r="Y2917">
        <v>-6.1204199999999903E-2</v>
      </c>
      <c r="Z2917">
        <v>5.1411800000000004E-3</v>
      </c>
      <c r="AA2917">
        <v>0.998112</v>
      </c>
      <c r="AB2917">
        <v>40</v>
      </c>
      <c r="AC2917">
        <v>0.64889999999996895</v>
      </c>
      <c r="AD2917">
        <v>-0.11180080000000001</v>
      </c>
      <c r="AE2917">
        <v>5.1699999999982503E-2</v>
      </c>
      <c r="AF2917">
        <v>-6.1052179974656902E-2</v>
      </c>
      <c r="AG2917">
        <v>-0.11180080000000001</v>
      </c>
      <c r="AH2917">
        <v>0.62935049588410696</v>
      </c>
      <c r="AI2917">
        <v>100.02710014157999</v>
      </c>
      <c r="AJ2917">
        <v>95.540824947247799</v>
      </c>
      <c r="AK2917">
        <v>0.64211278933678795</v>
      </c>
    </row>
    <row r="2918" spans="1:37" x14ac:dyDescent="0.2">
      <c r="A2918" t="str">
        <f>"20200111153706684"</f>
        <v>20200111153706684</v>
      </c>
      <c r="B2918" t="str">
        <f>"1578728226675948"</f>
        <v>1578728226675948</v>
      </c>
      <c r="C2918" t="s">
        <v>37</v>
      </c>
      <c r="D2918">
        <v>6.1763000000000003</v>
      </c>
      <c r="E2918">
        <v>0.47020600000000001</v>
      </c>
      <c r="F2918" t="s">
        <v>38</v>
      </c>
      <c r="G2918">
        <v>-448.74579999999997</v>
      </c>
      <c r="H2918">
        <v>0.99736360000000002</v>
      </c>
      <c r="I2918">
        <v>212.81399999999999</v>
      </c>
      <c r="J2918">
        <v>-449.35509999999999</v>
      </c>
      <c r="K2918">
        <v>1.1060649999999901</v>
      </c>
      <c r="L2918">
        <v>212.76390000000001</v>
      </c>
      <c r="M2918">
        <v>0.99990429999999997</v>
      </c>
      <c r="N2918">
        <v>0</v>
      </c>
      <c r="O2918">
        <v>-1.36776E-2</v>
      </c>
      <c r="P2918">
        <v>0.99931569999999903</v>
      </c>
      <c r="Q2918">
        <v>-1.92774E-2</v>
      </c>
      <c r="R2918">
        <v>-3.1567089999999999E-2</v>
      </c>
      <c r="S2918">
        <v>3.0005489999999999</v>
      </c>
      <c r="T2918">
        <v>-0.32328129999999999</v>
      </c>
      <c r="U2918">
        <v>0.13667299999999999</v>
      </c>
      <c r="V2918">
        <v>1.8043880000000002E-2</v>
      </c>
      <c r="W2918">
        <v>-1.7071550000000001E-2</v>
      </c>
      <c r="X2918">
        <v>0.99969140000000001</v>
      </c>
      <c r="Y2918">
        <v>-5.8743030000000002E-2</v>
      </c>
      <c r="Z2918">
        <v>4.62246599999999E-3</v>
      </c>
      <c r="AA2918">
        <v>0.99826250000000005</v>
      </c>
      <c r="AB2918">
        <v>40</v>
      </c>
      <c r="AC2918">
        <v>0.60930000000001805</v>
      </c>
      <c r="AD2918">
        <v>-0.108701399999999</v>
      </c>
      <c r="AE2918">
        <v>5.0100000000014598E-2</v>
      </c>
      <c r="AF2918">
        <v>-5.6638514601630101E-2</v>
      </c>
      <c r="AG2918">
        <v>-0.108701399999999</v>
      </c>
      <c r="AH2918">
        <v>0.58990830480131895</v>
      </c>
      <c r="AI2918">
        <v>100.393927901105</v>
      </c>
      <c r="AJ2918">
        <v>95.484294661876902</v>
      </c>
      <c r="AK2918">
        <v>0.60250786199999495</v>
      </c>
    </row>
    <row r="2919" spans="1:37" x14ac:dyDescent="0.2">
      <c r="A2919" t="str">
        <f>"20200111153706707"</f>
        <v>20200111153706707</v>
      </c>
      <c r="B2919" t="str">
        <f>"1578728226695467"</f>
        <v>1578728226695467</v>
      </c>
      <c r="C2919" t="s">
        <v>37</v>
      </c>
      <c r="D2919">
        <v>6.1717779999999998</v>
      </c>
      <c r="E2919">
        <v>0.47599029999999998</v>
      </c>
      <c r="F2919" t="s">
        <v>38</v>
      </c>
      <c r="G2919">
        <v>-448.38330000000002</v>
      </c>
      <c r="H2919">
        <v>1.0015750000000001</v>
      </c>
      <c r="I2919">
        <v>212.8083</v>
      </c>
      <c r="J2919">
        <v>-448.94970000000001</v>
      </c>
      <c r="K2919">
        <v>1.106131</v>
      </c>
      <c r="L2919">
        <v>212.76079999999999</v>
      </c>
      <c r="M2919">
        <v>0.99994680000000002</v>
      </c>
      <c r="N2919">
        <v>0</v>
      </c>
      <c r="O2919">
        <v>-1.0101010000000001E-2</v>
      </c>
      <c r="P2919">
        <v>0.99946009999999996</v>
      </c>
      <c r="Q2919">
        <v>-1.817937E-2</v>
      </c>
      <c r="R2919">
        <v>-2.736301E-2</v>
      </c>
      <c r="S2919">
        <v>3.0001530000000001</v>
      </c>
      <c r="T2919">
        <v>-0.32274540000000002</v>
      </c>
      <c r="U2919">
        <v>0.13769529999999999</v>
      </c>
      <c r="V2919">
        <v>1.7406769999999998E-2</v>
      </c>
      <c r="W2919">
        <v>-1.5927609999999998E-2</v>
      </c>
      <c r="X2919">
        <v>0.99972159999999999</v>
      </c>
      <c r="Y2919">
        <v>-5.5557830000000002E-2</v>
      </c>
      <c r="Z2919">
        <v>4.0611939999999997E-3</v>
      </c>
      <c r="AA2919">
        <v>0.99844719999999998</v>
      </c>
      <c r="AB2919">
        <v>40</v>
      </c>
      <c r="AC2919">
        <v>0.56639999999998702</v>
      </c>
      <c r="AD2919">
        <v>-0.104555999999999</v>
      </c>
      <c r="AE2919">
        <v>4.7500000000013601E-2</v>
      </c>
      <c r="AF2919">
        <v>-5.1476913270921298E-2</v>
      </c>
      <c r="AG2919">
        <v>-0.104555999999999</v>
      </c>
      <c r="AH2919">
        <v>0.54736929324360295</v>
      </c>
      <c r="AI2919">
        <v>100.76771754257101</v>
      </c>
      <c r="AJ2919">
        <v>95.372534763337001</v>
      </c>
      <c r="AK2919">
        <v>0.55963825183943905</v>
      </c>
    </row>
    <row r="2920" spans="1:37" x14ac:dyDescent="0.2">
      <c r="A2920" t="str">
        <f>"20200111153706730"</f>
        <v>20200111153706730</v>
      </c>
      <c r="B2920" t="str">
        <f>"1578728226725724"</f>
        <v>1578728226725724</v>
      </c>
      <c r="C2920" t="s">
        <v>37</v>
      </c>
      <c r="D2920">
        <v>5.9697849999999999</v>
      </c>
      <c r="E2920">
        <v>0.4763502</v>
      </c>
      <c r="F2920" t="s">
        <v>38</v>
      </c>
      <c r="G2920">
        <v>-448.01119999999997</v>
      </c>
      <c r="H2920">
        <v>1.0211760000000001</v>
      </c>
      <c r="I2920">
        <v>212.79329999999999</v>
      </c>
      <c r="J2920">
        <v>-448.53570000000002</v>
      </c>
      <c r="K2920">
        <v>1.1061920000000001</v>
      </c>
      <c r="L2920">
        <v>212.75899999999999</v>
      </c>
      <c r="M2920">
        <v>0.999977</v>
      </c>
      <c r="N2920">
        <v>0</v>
      </c>
      <c r="O2920">
        <v>-6.4553299999999996E-3</v>
      </c>
      <c r="P2920">
        <v>0.99961889999999998</v>
      </c>
      <c r="Q2920">
        <v>-1.7301E-2</v>
      </c>
      <c r="R2920">
        <v>-2.151047E-2</v>
      </c>
      <c r="S2920">
        <v>2.9995729999999998</v>
      </c>
      <c r="T2920">
        <v>-0.27168959999999998</v>
      </c>
      <c r="U2920">
        <v>0.1045837</v>
      </c>
      <c r="V2920">
        <v>1.519185E-2</v>
      </c>
      <c r="W2920">
        <v>-1.5017239999999999E-2</v>
      </c>
      <c r="X2920">
        <v>0.99977179999999999</v>
      </c>
      <c r="Y2920">
        <v>-4.1101279999999997E-2</v>
      </c>
      <c r="Z2920">
        <v>2.4403770000000001E-3</v>
      </c>
      <c r="AA2920">
        <v>0.99915200000000004</v>
      </c>
      <c r="AB2920">
        <v>41</v>
      </c>
      <c r="AC2920">
        <v>0.52450000000004504</v>
      </c>
      <c r="AD2920">
        <v>-8.5015999999999897E-2</v>
      </c>
      <c r="AE2920">
        <v>3.4299999999973303E-2</v>
      </c>
      <c r="AF2920">
        <v>-3.6724361312834797E-2</v>
      </c>
      <c r="AG2920">
        <v>-8.5015999999999897E-2</v>
      </c>
      <c r="AH2920">
        <v>0.51090186727750098</v>
      </c>
      <c r="AI2920">
        <v>99.423789252080496</v>
      </c>
      <c r="AJ2920">
        <v>94.111431624660796</v>
      </c>
      <c r="AK2920">
        <v>0.51922742315624304</v>
      </c>
    </row>
    <row r="2921" spans="1:37" x14ac:dyDescent="0.2">
      <c r="A2921" t="str">
        <f>"20200111153706751"</f>
        <v>20200111153706751</v>
      </c>
      <c r="B2921" t="str">
        <f>"1578728226746220"</f>
        <v>1578728226746220</v>
      </c>
      <c r="C2921" t="s">
        <v>37</v>
      </c>
      <c r="D2921">
        <v>5.8456149999999996</v>
      </c>
      <c r="E2921">
        <v>0.4762807</v>
      </c>
      <c r="F2921" t="s">
        <v>38</v>
      </c>
      <c r="G2921">
        <v>-447.64210000000003</v>
      </c>
      <c r="H2921">
        <v>1.0283789999999999</v>
      </c>
      <c r="I2921">
        <v>212.79429999999999</v>
      </c>
      <c r="J2921">
        <v>-448.1447</v>
      </c>
      <c r="K2921">
        <v>1.106247</v>
      </c>
      <c r="L2921">
        <v>212.7587</v>
      </c>
      <c r="M2921">
        <v>0.99999309999999997</v>
      </c>
      <c r="N2921">
        <v>0</v>
      </c>
      <c r="O2921">
        <v>-3.0300909999999999E-3</v>
      </c>
      <c r="P2921">
        <v>0.99975429999999998</v>
      </c>
      <c r="Q2921">
        <v>-1.5351450000000001E-2</v>
      </c>
      <c r="R2921">
        <v>-1.6004520000000001E-2</v>
      </c>
      <c r="S2921">
        <v>2.9991759999999998</v>
      </c>
      <c r="T2921">
        <v>-0.26135049999999999</v>
      </c>
      <c r="U2921">
        <v>0.1190491</v>
      </c>
      <c r="V2921">
        <v>1.309314E-2</v>
      </c>
      <c r="W2921">
        <v>-1.303867E-2</v>
      </c>
      <c r="X2921">
        <v>0.99982929999999903</v>
      </c>
      <c r="Y2921">
        <v>-4.2517890000000003E-2</v>
      </c>
      <c r="Z2921">
        <v>2.1117390000000001E-3</v>
      </c>
      <c r="AA2921">
        <v>0.99909349999999997</v>
      </c>
      <c r="AB2921">
        <v>41</v>
      </c>
      <c r="AC2921">
        <v>0.50259999999997196</v>
      </c>
      <c r="AD2921">
        <v>-7.7867999999999798E-2</v>
      </c>
      <c r="AE2921">
        <v>3.5599999999988002E-2</v>
      </c>
      <c r="AF2921">
        <v>-3.6256820776000197E-2</v>
      </c>
      <c r="AG2921">
        <v>-7.7867999999999798E-2</v>
      </c>
      <c r="AH2921">
        <v>0.49076850732412902</v>
      </c>
      <c r="AI2921">
        <v>98.991602967899894</v>
      </c>
      <c r="AJ2921">
        <v>94.225201405534307</v>
      </c>
      <c r="AK2921">
        <v>0.49822857230184697</v>
      </c>
    </row>
    <row r="2922" spans="1:37" x14ac:dyDescent="0.2">
      <c r="A2922" t="str">
        <f>"20200111153706773"</f>
        <v>20200111153706773</v>
      </c>
      <c r="B2922" t="str">
        <f>"1578728226765740"</f>
        <v>1578728226765740</v>
      </c>
      <c r="C2922" t="s">
        <v>37</v>
      </c>
      <c r="D2922">
        <v>5.8828480000000001</v>
      </c>
      <c r="E2922">
        <v>0.47628989999999999</v>
      </c>
      <c r="F2922" t="s">
        <v>38</v>
      </c>
      <c r="G2922">
        <v>-447.26499999999999</v>
      </c>
      <c r="H2922">
        <v>1.0305469999999901</v>
      </c>
      <c r="I2922">
        <v>212.79820000000001</v>
      </c>
      <c r="J2922">
        <v>-447.74160000000001</v>
      </c>
      <c r="K2922">
        <v>1.1062860000000001</v>
      </c>
      <c r="L2922">
        <v>212.75970000000001</v>
      </c>
      <c r="M2922">
        <v>0.99999729999999998</v>
      </c>
      <c r="N2922">
        <v>0</v>
      </c>
      <c r="O2922">
        <v>4.6921069999999998E-4</v>
      </c>
      <c r="P2922">
        <v>0.99982789999999999</v>
      </c>
      <c r="Q2922">
        <v>-1.471012E-2</v>
      </c>
      <c r="R2922">
        <v>-1.1318770000000001E-2</v>
      </c>
      <c r="S2922">
        <v>2.9989319999999999</v>
      </c>
      <c r="T2922">
        <v>-0.25858769999999998</v>
      </c>
      <c r="U2922">
        <v>0.13645940000000001</v>
      </c>
      <c r="V2922">
        <v>1.1900600000000001E-2</v>
      </c>
      <c r="W2922">
        <v>-1.23602E-2</v>
      </c>
      <c r="X2922">
        <v>0.99985279999999999</v>
      </c>
      <c r="Y2922">
        <v>-4.4822649999999999E-2</v>
      </c>
      <c r="Z2922">
        <v>1.887519E-3</v>
      </c>
      <c r="AA2922">
        <v>0.99899319999999903</v>
      </c>
      <c r="AB2922">
        <v>41</v>
      </c>
      <c r="AC2922">
        <v>0.47660000000001901</v>
      </c>
      <c r="AD2922">
        <v>-7.5739000000000195E-2</v>
      </c>
      <c r="AE2922">
        <v>3.8499999999999E-2</v>
      </c>
      <c r="AF2922">
        <v>-3.73395089668501E-2</v>
      </c>
      <c r="AG2922">
        <v>-7.5739000000000195E-2</v>
      </c>
      <c r="AH2922">
        <v>0.46495221036425899</v>
      </c>
      <c r="AI2922">
        <v>99.222827183841005</v>
      </c>
      <c r="AJ2922">
        <v>94.591471239257203</v>
      </c>
      <c r="AK2922">
        <v>0.47255813713605199</v>
      </c>
    </row>
    <row r="2923" spans="1:37" x14ac:dyDescent="0.2">
      <c r="A2923" t="str">
        <f>"20200111153706796"</f>
        <v>20200111153706796</v>
      </c>
      <c r="B2923" t="str">
        <f>"1578728226786237"</f>
        <v>1578728226786237</v>
      </c>
      <c r="C2923" t="s">
        <v>37</v>
      </c>
      <c r="D2923">
        <v>6.1586239999999997</v>
      </c>
      <c r="E2923">
        <v>0.47638509999999901</v>
      </c>
      <c r="F2923" t="s">
        <v>48</v>
      </c>
      <c r="G2923">
        <v>-435.18650000000002</v>
      </c>
      <c r="H2923" s="1">
        <v>4.6242620000000001E-6</v>
      </c>
      <c r="I2923">
        <v>213.38910000000001</v>
      </c>
      <c r="J2923">
        <v>-447.31819999999999</v>
      </c>
      <c r="K2923">
        <v>1.1063080000000001</v>
      </c>
      <c r="L2923">
        <v>212.76230000000001</v>
      </c>
      <c r="M2923">
        <v>0.99998920000000002</v>
      </c>
      <c r="N2923">
        <v>0</v>
      </c>
      <c r="O2923">
        <v>4.0983859999999999E-3</v>
      </c>
      <c r="P2923">
        <v>0.99989939999999999</v>
      </c>
      <c r="Q2923">
        <v>-1.299108E-2</v>
      </c>
      <c r="R2923">
        <v>-5.7346280000000003E-3</v>
      </c>
      <c r="S2923">
        <v>2.9983219999999999</v>
      </c>
      <c r="T2923">
        <v>-0.26419309999999901</v>
      </c>
      <c r="U2923">
        <v>0.15029909999999999</v>
      </c>
      <c r="V2923">
        <v>9.9299519999999902E-3</v>
      </c>
      <c r="W2923">
        <v>-1.06098999999999E-2</v>
      </c>
      <c r="X2923">
        <v>0.99989439999999996</v>
      </c>
      <c r="Y2923">
        <v>-4.5810009999999998E-2</v>
      </c>
      <c r="Z2923">
        <v>1.6528929999999999E-3</v>
      </c>
      <c r="AA2923">
        <v>0.99894879999999997</v>
      </c>
      <c r="AB2923">
        <v>41</v>
      </c>
      <c r="AC2923">
        <v>12.131699999999899</v>
      </c>
      <c r="AD2923">
        <v>-1.1063033757380001</v>
      </c>
      <c r="AE2923">
        <v>0.62680000000000202</v>
      </c>
      <c r="AF2923">
        <v>-0.57232752443394996</v>
      </c>
      <c r="AG2923">
        <v>-1.1063033757380001</v>
      </c>
      <c r="AH2923">
        <v>12.034357848150499</v>
      </c>
      <c r="AI2923">
        <v>95.246469801460705</v>
      </c>
      <c r="AJ2923">
        <v>92.7228094116888</v>
      </c>
      <c r="AK2923">
        <v>12.0986459891897</v>
      </c>
    </row>
    <row r="2924" spans="1:37" x14ac:dyDescent="0.2">
      <c r="A2924" t="str">
        <f>"20200111153706818"</f>
        <v>20200111153706818</v>
      </c>
      <c r="B2924" t="str">
        <f>"1578728226805758"</f>
        <v>1578728226805758</v>
      </c>
      <c r="C2924" t="s">
        <v>37</v>
      </c>
      <c r="D2924">
        <v>5.8590939999999998</v>
      </c>
      <c r="E2924">
        <v>0.47683130000000001</v>
      </c>
      <c r="F2924" t="s">
        <v>48</v>
      </c>
      <c r="G2924">
        <v>-434.60770000000002</v>
      </c>
      <c r="H2924" s="1">
        <v>4.3607929999999998E-6</v>
      </c>
      <c r="I2924">
        <v>213.46700000000001</v>
      </c>
      <c r="J2924">
        <v>-446.91469999999998</v>
      </c>
      <c r="K2924">
        <v>1.1063190000000001</v>
      </c>
      <c r="L2924">
        <v>212.76609999999999</v>
      </c>
      <c r="M2924">
        <v>0.999969199999999</v>
      </c>
      <c r="N2924">
        <v>0</v>
      </c>
      <c r="O2924">
        <v>7.4981290000000001E-3</v>
      </c>
      <c r="P2924">
        <v>0.99992449999999999</v>
      </c>
      <c r="Q2924">
        <v>-1.2263390000000001E-2</v>
      </c>
      <c r="R2924">
        <v>-7.9351029999999998E-4</v>
      </c>
      <c r="S2924">
        <v>2.9978639999999999</v>
      </c>
      <c r="T2924">
        <v>-0.26092979999999999</v>
      </c>
      <c r="U2924">
        <v>0.166214</v>
      </c>
      <c r="V2924">
        <v>8.3817230000000006E-3</v>
      </c>
      <c r="W2924">
        <v>-9.8507590000000006E-3</v>
      </c>
      <c r="X2924">
        <v>0.99991640000000004</v>
      </c>
      <c r="Y2924">
        <v>-4.7719329999999997E-2</v>
      </c>
      <c r="Z2924">
        <v>1.4203499999999999E-3</v>
      </c>
      <c r="AA2924">
        <v>0.99885979999999996</v>
      </c>
      <c r="AB2924">
        <v>41</v>
      </c>
      <c r="AC2924">
        <v>12.306999999999899</v>
      </c>
      <c r="AD2924">
        <v>-1.106314639207</v>
      </c>
      <c r="AE2924">
        <v>0.70090000000001795</v>
      </c>
      <c r="AF2924">
        <v>-0.60373768025055496</v>
      </c>
      <c r="AG2924">
        <v>-1.106314639207</v>
      </c>
      <c r="AH2924">
        <v>12.213533765228</v>
      </c>
      <c r="AI2924">
        <v>95.169508961425393</v>
      </c>
      <c r="AJ2924">
        <v>92.829933411223706</v>
      </c>
      <c r="AK2924">
        <v>12.2783890760084</v>
      </c>
    </row>
    <row r="2925" spans="1:37" x14ac:dyDescent="0.2">
      <c r="A2925" t="str">
        <f>"20200111153706840"</f>
        <v>20200111153706840</v>
      </c>
      <c r="B2925" t="str">
        <f>"1578728226836013"</f>
        <v>1578728226836013</v>
      </c>
      <c r="C2925" t="s">
        <v>37</v>
      </c>
      <c r="D2925">
        <v>5.8731619999999998</v>
      </c>
      <c r="E2925">
        <v>0.47699029999999998</v>
      </c>
      <c r="F2925" t="s">
        <v>48</v>
      </c>
      <c r="G2925">
        <v>-434.08429999999998</v>
      </c>
      <c r="H2925" s="1">
        <v>4.1237189999999902E-6</v>
      </c>
      <c r="I2925">
        <v>213.52369999999999</v>
      </c>
      <c r="J2925">
        <v>-446.51119999999997</v>
      </c>
      <c r="K2925">
        <v>1.1063149999999999</v>
      </c>
      <c r="L2925">
        <v>212.77109999999999</v>
      </c>
      <c r="M2925">
        <v>0.99993869999999896</v>
      </c>
      <c r="N2925">
        <v>0</v>
      </c>
      <c r="O2925">
        <v>1.082515E-2</v>
      </c>
      <c r="P2925">
        <v>0.99992969999999903</v>
      </c>
      <c r="Q2925">
        <v>-1.1339180000000001E-2</v>
      </c>
      <c r="R2925">
        <v>3.495284E-3</v>
      </c>
      <c r="S2925">
        <v>2.9971919999999899</v>
      </c>
      <c r="T2925">
        <v>-0.25843579999999999</v>
      </c>
      <c r="U2925">
        <v>0.1769867</v>
      </c>
      <c r="V2925">
        <v>7.4106950000000001E-3</v>
      </c>
      <c r="W2925">
        <v>-8.8907610000000005E-3</v>
      </c>
      <c r="X2925">
        <v>0.99993299999999996</v>
      </c>
      <c r="Y2925">
        <v>-4.8000889999999997E-2</v>
      </c>
      <c r="Z2925">
        <v>1.133053E-3</v>
      </c>
      <c r="AA2925">
        <v>0.99884669999999898</v>
      </c>
      <c r="AB2925">
        <v>41</v>
      </c>
      <c r="AC2925">
        <v>12.4268999999999</v>
      </c>
      <c r="AD2925">
        <v>-1.1063108762809899</v>
      </c>
      <c r="AE2925">
        <v>0.75260000000000105</v>
      </c>
      <c r="AF2925">
        <v>-0.61319037766290396</v>
      </c>
      <c r="AG2925">
        <v>-1.1063108762809899</v>
      </c>
      <c r="AH2925">
        <v>12.336899632738101</v>
      </c>
      <c r="AI2925">
        <v>95.1180053481785</v>
      </c>
      <c r="AJ2925">
        <v>92.845474368952196</v>
      </c>
      <c r="AK2925">
        <v>12.4015732365894</v>
      </c>
    </row>
    <row r="2926" spans="1:37" x14ac:dyDescent="0.2">
      <c r="A2926" t="str">
        <f>"20200111153706863"</f>
        <v>20200111153706863</v>
      </c>
      <c r="B2926" t="str">
        <f>"1578728226855532"</f>
        <v>1578728226855532</v>
      </c>
      <c r="C2926" t="s">
        <v>37</v>
      </c>
      <c r="D2926">
        <v>5.9127289999999997</v>
      </c>
      <c r="E2926">
        <v>0.47875760000000001</v>
      </c>
      <c r="F2926" t="s">
        <v>38</v>
      </c>
      <c r="G2926">
        <v>-445.4384</v>
      </c>
      <c r="H2926">
        <v>1.0117</v>
      </c>
      <c r="I2926">
        <v>212.83840000000001</v>
      </c>
      <c r="J2926">
        <v>-446.07900000000001</v>
      </c>
      <c r="K2926">
        <v>1.106298</v>
      </c>
      <c r="L2926">
        <v>212.77809999999999</v>
      </c>
      <c r="M2926">
        <v>0.99989499999999998</v>
      </c>
      <c r="N2926">
        <v>0</v>
      </c>
      <c r="O2926">
        <v>1.4289990000000001E-2</v>
      </c>
      <c r="P2926">
        <v>0.99992369999999997</v>
      </c>
      <c r="Q2926">
        <v>-9.4007109999999904E-3</v>
      </c>
      <c r="R2926">
        <v>8.032605E-3</v>
      </c>
      <c r="S2926">
        <v>2.996521</v>
      </c>
      <c r="T2926">
        <v>-0.26436129999999902</v>
      </c>
      <c r="U2926">
        <v>0.18832399999999999</v>
      </c>
      <c r="V2926">
        <v>6.3200039999999997E-3</v>
      </c>
      <c r="W2926">
        <v>-6.9152179999999999E-3</v>
      </c>
      <c r="X2926">
        <v>0.99995610000000001</v>
      </c>
      <c r="Y2926">
        <v>-4.832384E-2</v>
      </c>
      <c r="Z2926">
        <v>8.6855759999999896E-4</v>
      </c>
      <c r="AA2926">
        <v>0.99883129999999998</v>
      </c>
      <c r="AB2926">
        <v>42</v>
      </c>
      <c r="AC2926">
        <v>0.64060000000000605</v>
      </c>
      <c r="AD2926">
        <v>-9.4597999999999904E-2</v>
      </c>
      <c r="AE2926">
        <v>6.0300000000012198E-2</v>
      </c>
      <c r="AF2926">
        <v>-5.0057643743490102E-2</v>
      </c>
      <c r="AG2926">
        <v>-9.4597999999999904E-2</v>
      </c>
      <c r="AH2926">
        <v>0.62782571156641898</v>
      </c>
      <c r="AI2926">
        <v>98.541911346880397</v>
      </c>
      <c r="AJ2926">
        <v>94.558649178216797</v>
      </c>
      <c r="AK2926">
        <v>0.63688277838628204</v>
      </c>
    </row>
    <row r="2927" spans="1:37" x14ac:dyDescent="0.2">
      <c r="A2927" t="str">
        <f>"20200111153706886"</f>
        <v>20200111153706886</v>
      </c>
      <c r="B2927" t="str">
        <f>"1578728226876028"</f>
        <v>1578728226876028</v>
      </c>
      <c r="C2927" t="s">
        <v>37</v>
      </c>
      <c r="D2927">
        <v>5.914676</v>
      </c>
      <c r="E2927">
        <v>0.47741479999999997</v>
      </c>
      <c r="F2927" t="s">
        <v>38</v>
      </c>
      <c r="G2927">
        <v>-445.07659999999998</v>
      </c>
      <c r="H2927">
        <v>0.98855400000000004</v>
      </c>
      <c r="I2927">
        <v>212.8398</v>
      </c>
      <c r="J2927">
        <v>-445.64839999999998</v>
      </c>
      <c r="K2927">
        <v>1.1062719999999999</v>
      </c>
      <c r="L2927">
        <v>212.78639999999999</v>
      </c>
      <c r="M2927">
        <v>0.99984110000000004</v>
      </c>
      <c r="N2927">
        <v>0</v>
      </c>
      <c r="O2927">
        <v>1.7655569999999999E-2</v>
      </c>
      <c r="P2927">
        <v>0.9998937</v>
      </c>
      <c r="Q2927">
        <v>-9.0734430000000005E-3</v>
      </c>
      <c r="R2927">
        <v>1.1413660000000001E-2</v>
      </c>
      <c r="S2927">
        <v>2.995422</v>
      </c>
      <c r="T2927">
        <v>-0.35204049999999998</v>
      </c>
      <c r="U2927">
        <v>0.1850281</v>
      </c>
      <c r="V2927">
        <v>6.30102099999999E-3</v>
      </c>
      <c r="W2927">
        <v>-6.5413140000000003E-3</v>
      </c>
      <c r="X2927">
        <v>0.99995879999999904</v>
      </c>
      <c r="Y2927">
        <v>-4.3841619999999998E-2</v>
      </c>
      <c r="Z2927">
        <v>4.9944200000000001E-4</v>
      </c>
      <c r="AA2927">
        <v>0.99903839999999999</v>
      </c>
      <c r="AB2927">
        <v>42</v>
      </c>
      <c r="AC2927">
        <v>0.57179999999999598</v>
      </c>
      <c r="AD2927">
        <v>-0.117717999999999</v>
      </c>
      <c r="AE2927">
        <v>5.3400000000010502E-2</v>
      </c>
      <c r="AF2927">
        <v>-4.1550364793180597E-2</v>
      </c>
      <c r="AG2927">
        <v>-0.117717999999999</v>
      </c>
      <c r="AH2927">
        <v>0.54956264977705105</v>
      </c>
      <c r="AI2927">
        <v>102.056828957913</v>
      </c>
      <c r="AJ2927">
        <v>94.323692381892698</v>
      </c>
      <c r="AK2927">
        <v>0.56356283267122997</v>
      </c>
    </row>
    <row r="2928" spans="1:37" x14ac:dyDescent="0.2">
      <c r="A2928" t="str">
        <f>"20200111153706909"</f>
        <v>20200111153706909</v>
      </c>
      <c r="B2928" t="str">
        <f>"1578728226895547"</f>
        <v>1578728226895547</v>
      </c>
      <c r="C2928" t="s">
        <v>37</v>
      </c>
      <c r="D2928">
        <v>6.0031169999999996</v>
      </c>
      <c r="E2928">
        <v>0.47407250000000001</v>
      </c>
      <c r="F2928" t="s">
        <v>38</v>
      </c>
      <c r="G2928">
        <v>-444.69319999999999</v>
      </c>
      <c r="H2928">
        <v>1.006108</v>
      </c>
      <c r="I2928">
        <v>212.852</v>
      </c>
      <c r="J2928">
        <v>-445.22770000000003</v>
      </c>
      <c r="K2928">
        <v>1.1062239999999901</v>
      </c>
      <c r="L2928">
        <v>212.79580000000001</v>
      </c>
      <c r="M2928">
        <v>0.99977929999999904</v>
      </c>
      <c r="N2928">
        <v>0</v>
      </c>
      <c r="O2928">
        <v>2.085393E-2</v>
      </c>
      <c r="P2928">
        <v>0.99985609999999903</v>
      </c>
      <c r="Q2928">
        <v>-9.6547179999999996E-3</v>
      </c>
      <c r="R2928">
        <v>1.395091E-2</v>
      </c>
      <c r="S2928">
        <v>2.995117</v>
      </c>
      <c r="T2928">
        <v>-0.31427569999999999</v>
      </c>
      <c r="U2928">
        <v>0.20660400000000001</v>
      </c>
      <c r="V2928">
        <v>6.966206E-3</v>
      </c>
      <c r="W2928">
        <v>-7.0707399999999998E-3</v>
      </c>
      <c r="X2928">
        <v>0.99995080000000003</v>
      </c>
      <c r="Y2928">
        <v>-4.7849759999999998E-2</v>
      </c>
      <c r="Z2928">
        <v>3.2147459999999899E-4</v>
      </c>
      <c r="AA2928">
        <v>0.99885449999999998</v>
      </c>
      <c r="AB2928">
        <v>42</v>
      </c>
      <c r="AC2928">
        <v>0.53450000000003595</v>
      </c>
      <c r="AD2928">
        <v>-0.100115999999999</v>
      </c>
      <c r="AE2928">
        <v>5.61999999999898E-2</v>
      </c>
      <c r="AF2928">
        <v>-4.3530774105058401E-2</v>
      </c>
      <c r="AG2928">
        <v>-0.100115999999999</v>
      </c>
      <c r="AH2928">
        <v>0.51759492041661803</v>
      </c>
      <c r="AI2928">
        <v>100.909683846094</v>
      </c>
      <c r="AJ2928">
        <v>94.807377193860006</v>
      </c>
      <c r="AK2928">
        <v>0.52898264942365603</v>
      </c>
    </row>
    <row r="2929" spans="1:37" x14ac:dyDescent="0.2">
      <c r="A2929" t="str">
        <f>"20200111153706952"</f>
        <v>20200111153706952</v>
      </c>
      <c r="B2929" t="str">
        <f>"1578728226946299"</f>
        <v>1578728226946299</v>
      </c>
      <c r="C2929" t="s">
        <v>37</v>
      </c>
      <c r="D2929">
        <v>5.9319239999999898</v>
      </c>
      <c r="E2929">
        <v>0.47287770000000001</v>
      </c>
      <c r="F2929" t="s">
        <v>38</v>
      </c>
      <c r="G2929">
        <v>-444.31279999999998</v>
      </c>
      <c r="H2929">
        <v>1.011196</v>
      </c>
      <c r="I2929">
        <v>212.86920000000001</v>
      </c>
      <c r="J2929">
        <v>-444.40960000000001</v>
      </c>
      <c r="K2929">
        <v>1.1061129999999999</v>
      </c>
      <c r="L2929">
        <v>212.8177</v>
      </c>
      <c r="M2929">
        <v>0.99963780000000002</v>
      </c>
      <c r="N2929">
        <v>0</v>
      </c>
      <c r="O2929">
        <v>2.6785650000000001E-2</v>
      </c>
      <c r="P2929">
        <v>0.9998108</v>
      </c>
      <c r="Q2929">
        <v>-1.1118660000000001E-2</v>
      </c>
      <c r="R2929">
        <v>1.5966459999999998E-2</v>
      </c>
      <c r="S2929">
        <v>2.994049</v>
      </c>
      <c r="T2929">
        <v>-0.31113829999999998</v>
      </c>
      <c r="U2929">
        <v>0.24076839999999899</v>
      </c>
      <c r="V2929">
        <v>1.089296E-2</v>
      </c>
      <c r="W2929">
        <v>-8.4121939999999996E-3</v>
      </c>
      <c r="X2929">
        <v>0.9999053</v>
      </c>
      <c r="Y2929">
        <v>-5.3286849999999997E-2</v>
      </c>
      <c r="Z2929" s="1">
        <v>-1.373398E-5</v>
      </c>
      <c r="AA2929">
        <v>0.99857929999999995</v>
      </c>
      <c r="AB2929">
        <v>42</v>
      </c>
      <c r="AC2929">
        <v>9.6800000000030195E-2</v>
      </c>
      <c r="AD2929">
        <v>-9.4916999999999904E-2</v>
      </c>
      <c r="AE2929">
        <v>5.1500000000004299E-2</v>
      </c>
      <c r="AF2929">
        <v>-2.7946513972661201E-2</v>
      </c>
      <c r="AG2929">
        <v>-9.4916999999999904E-2</v>
      </c>
      <c r="AH2929">
        <v>5.6103052519778297E-2</v>
      </c>
      <c r="AI2929">
        <v>146.56131223992301</v>
      </c>
      <c r="AJ2929">
        <v>116.479191114044</v>
      </c>
      <c r="AK2929">
        <v>0.11374443737722301</v>
      </c>
    </row>
    <row r="2930" spans="1:37" x14ac:dyDescent="0.2">
      <c r="A2930" t="str">
        <f>"20200111153706974"</f>
        <v>20200111153706974</v>
      </c>
      <c r="B2930" t="str">
        <f>"1578728226965822"</f>
        <v>1578728226965822</v>
      </c>
      <c r="C2930" t="s">
        <v>37</v>
      </c>
      <c r="D2930">
        <v>5.9783189999999999</v>
      </c>
      <c r="E2930">
        <v>0.47257899999999903</v>
      </c>
      <c r="F2930" t="s">
        <v>38</v>
      </c>
      <c r="G2930">
        <v>-443.5489</v>
      </c>
      <c r="H2930">
        <v>1.0200940000000001</v>
      </c>
      <c r="I2930">
        <v>212.8914</v>
      </c>
      <c r="J2930">
        <v>-443.9819</v>
      </c>
      <c r="K2930">
        <v>1.1060490000000001</v>
      </c>
      <c r="L2930">
        <v>212.83090000000001</v>
      </c>
      <c r="M2930">
        <v>0.99955450000000001</v>
      </c>
      <c r="N2930">
        <v>0</v>
      </c>
      <c r="O2930">
        <v>2.9729330000000002E-2</v>
      </c>
      <c r="P2930">
        <v>0.9997703</v>
      </c>
      <c r="Q2930">
        <v>-1.2258399999999999E-2</v>
      </c>
      <c r="R2930">
        <v>1.7588079999999999E-2</v>
      </c>
      <c r="S2930">
        <v>2.9931640000000002</v>
      </c>
      <c r="T2930">
        <v>-0.29933019999999999</v>
      </c>
      <c r="U2930">
        <v>0.25712590000000002</v>
      </c>
      <c r="V2930">
        <v>1.2223029999999999E-2</v>
      </c>
      <c r="W2930">
        <v>-9.495425E-3</v>
      </c>
      <c r="X2930">
        <v>0.9998802</v>
      </c>
      <c r="Y2930">
        <v>-5.580193E-2</v>
      </c>
      <c r="Z2930">
        <v>-1.8079899999999999E-4</v>
      </c>
      <c r="AA2930">
        <v>0.99844179999999905</v>
      </c>
      <c r="AB2930">
        <v>42</v>
      </c>
      <c r="AC2930">
        <v>0.432999999999992</v>
      </c>
      <c r="AD2930">
        <v>-8.5954999999999906E-2</v>
      </c>
      <c r="AE2930">
        <v>6.0499999999990402E-2</v>
      </c>
      <c r="AF2930">
        <v>-4.5829038513759503E-2</v>
      </c>
      <c r="AG2930">
        <v>-8.5954999999999906E-2</v>
      </c>
      <c r="AH2930">
        <v>0.41843401076113301</v>
      </c>
      <c r="AI2930">
        <v>101.541107608986</v>
      </c>
      <c r="AJ2930">
        <v>96.250414215389497</v>
      </c>
      <c r="AK2930">
        <v>0.42962260666513302</v>
      </c>
    </row>
    <row r="2931" spans="1:37" x14ac:dyDescent="0.2">
      <c r="A2931" t="str">
        <f>"20200111153706998"</f>
        <v>20200111153706998</v>
      </c>
      <c r="B2931" t="str">
        <f>"1578728226986316"</f>
        <v>1578728226986316</v>
      </c>
      <c r="C2931" t="s">
        <v>37</v>
      </c>
      <c r="D2931">
        <v>5.9089679999999998</v>
      </c>
      <c r="E2931">
        <v>0.47238019999999997</v>
      </c>
      <c r="F2931" t="s">
        <v>38</v>
      </c>
      <c r="G2931">
        <v>-443.15989999999999</v>
      </c>
      <c r="H2931">
        <v>1.0238750000000001</v>
      </c>
      <c r="I2931">
        <v>212.90350000000001</v>
      </c>
      <c r="J2931">
        <v>-443.53519999999997</v>
      </c>
      <c r="K2931">
        <v>1.105977</v>
      </c>
      <c r="L2931">
        <v>212.8459</v>
      </c>
      <c r="M2931">
        <v>0.99946179999999996</v>
      </c>
      <c r="N2931">
        <v>0</v>
      </c>
      <c r="O2931">
        <v>3.2695450000000001E-2</v>
      </c>
      <c r="P2931">
        <v>0.99973349999999905</v>
      </c>
      <c r="Q2931">
        <v>-1.248965E-2</v>
      </c>
      <c r="R2931">
        <v>1.9424230000000001E-2</v>
      </c>
      <c r="S2931">
        <v>2.9923709999999999</v>
      </c>
      <c r="T2931">
        <v>-0.29906909999999998</v>
      </c>
      <c r="U2931">
        <v>0.26431270000000001</v>
      </c>
      <c r="V2931">
        <v>1.335358E-2</v>
      </c>
      <c r="W2931">
        <v>-9.6701410000000002E-3</v>
      </c>
      <c r="X2931">
        <v>0.99986409999999903</v>
      </c>
      <c r="Y2931">
        <v>-5.5259009999999997E-2</v>
      </c>
      <c r="Z2931">
        <v>-5.0248489999999996E-4</v>
      </c>
      <c r="AA2931">
        <v>0.99847189999999997</v>
      </c>
      <c r="AB2931">
        <v>43</v>
      </c>
      <c r="AC2931">
        <v>0.37529999999998098</v>
      </c>
      <c r="AD2931">
        <v>-8.2101999999999897E-2</v>
      </c>
      <c r="AE2931">
        <v>5.7600000000007798E-2</v>
      </c>
      <c r="AF2931">
        <v>-4.32751764336749E-2</v>
      </c>
      <c r="AG2931">
        <v>-8.2101999999999897E-2</v>
      </c>
      <c r="AH2931">
        <v>0.36014366972801198</v>
      </c>
      <c r="AI2931">
        <v>102.753545813598</v>
      </c>
      <c r="AJ2931">
        <v>96.851859530002102</v>
      </c>
      <c r="AK2931">
        <v>0.37190985755223699</v>
      </c>
    </row>
    <row r="2932" spans="1:37" x14ac:dyDescent="0.2">
      <c r="A2932" t="str">
        <f>"20200111153707042"</f>
        <v>20200111153707042</v>
      </c>
      <c r="B2932" t="str">
        <f>"1578728227036091"</f>
        <v>1578728227036091</v>
      </c>
      <c r="C2932" t="s">
        <v>37</v>
      </c>
      <c r="D2932">
        <v>6.0104220000000002</v>
      </c>
      <c r="E2932">
        <v>0.472271099999999</v>
      </c>
      <c r="F2932" t="s">
        <v>48</v>
      </c>
      <c r="G2932">
        <v>-432.74970000000002</v>
      </c>
      <c r="H2932" s="1">
        <v>3.5057099999999899E-6</v>
      </c>
      <c r="I2932">
        <v>213.82320000000001</v>
      </c>
      <c r="J2932">
        <v>-442.68369999999999</v>
      </c>
      <c r="K2932">
        <v>1.1058509999999999</v>
      </c>
      <c r="L2932">
        <v>212.87809999999999</v>
      </c>
      <c r="M2932">
        <v>0.99927160000000004</v>
      </c>
      <c r="N2932">
        <v>0</v>
      </c>
      <c r="O2932">
        <v>3.8057840000000003E-2</v>
      </c>
      <c r="P2932">
        <v>0.99969430000000004</v>
      </c>
      <c r="Q2932">
        <v>-1.021802E-2</v>
      </c>
      <c r="R2932">
        <v>2.2514590000000001E-2</v>
      </c>
      <c r="S2932">
        <v>2.9916990000000001</v>
      </c>
      <c r="T2932">
        <v>-0.30677680000000002</v>
      </c>
      <c r="U2932">
        <v>0.27108759999999998</v>
      </c>
      <c r="V2932">
        <v>1.560655E-2</v>
      </c>
      <c r="W2932">
        <v>-7.2895629999999998E-3</v>
      </c>
      <c r="X2932">
        <v>0.99985159999999995</v>
      </c>
      <c r="Y2932">
        <v>-5.2201900000000002E-2</v>
      </c>
      <c r="Z2932">
        <v>-1.218048E-3</v>
      </c>
      <c r="AA2932">
        <v>0.99863579999999996</v>
      </c>
      <c r="AB2932">
        <v>43</v>
      </c>
      <c r="AC2932">
        <v>9.9339999999999602</v>
      </c>
      <c r="AD2932">
        <v>-1.1058474942899901</v>
      </c>
      <c r="AE2932">
        <v>0.94510000000002403</v>
      </c>
      <c r="AF2932">
        <v>-0.55947638141706602</v>
      </c>
      <c r="AG2932">
        <v>-1.1058474942899901</v>
      </c>
      <c r="AH2932">
        <v>9.8419046428943204</v>
      </c>
      <c r="AI2932">
        <v>96.400681579568399</v>
      </c>
      <c r="AJ2932">
        <v>93.253554469788696</v>
      </c>
      <c r="AK2932">
        <v>9.9196269840057898</v>
      </c>
    </row>
    <row r="2933" spans="1:37" x14ac:dyDescent="0.2">
      <c r="A2933" t="str">
        <f>"20200111153707063"</f>
        <v>20200111153707063</v>
      </c>
      <c r="B2933" t="str">
        <f>"1578728227055611"</f>
        <v>1578728227055611</v>
      </c>
      <c r="C2933" t="s">
        <v>37</v>
      </c>
      <c r="D2933">
        <v>5.9674699999999996</v>
      </c>
      <c r="E2933">
        <v>0.4724429</v>
      </c>
      <c r="F2933" t="s">
        <v>38</v>
      </c>
      <c r="G2933">
        <v>-441.63909999999998</v>
      </c>
      <c r="H2933">
        <v>1.005809</v>
      </c>
      <c r="I2933">
        <v>212.97630000000001</v>
      </c>
      <c r="J2933">
        <v>-442.2586</v>
      </c>
      <c r="K2933">
        <v>1.105785</v>
      </c>
      <c r="L2933">
        <v>212.89580000000001</v>
      </c>
      <c r="M2933">
        <v>0.99917109999999998</v>
      </c>
      <c r="N2933">
        <v>0</v>
      </c>
      <c r="O2933">
        <v>4.061099E-2</v>
      </c>
      <c r="P2933">
        <v>0.99966790000000005</v>
      </c>
      <c r="Q2933">
        <v>-9.8459050000000003E-3</v>
      </c>
      <c r="R2933">
        <v>2.3814160000000001E-2</v>
      </c>
      <c r="S2933">
        <v>2.9916689999999999</v>
      </c>
      <c r="T2933">
        <v>-0.28654209999999902</v>
      </c>
      <c r="U2933">
        <v>0.2812347</v>
      </c>
      <c r="V2933">
        <v>1.6857270000000001E-2</v>
      </c>
      <c r="W2933">
        <v>-6.8617209999999899E-3</v>
      </c>
      <c r="X2933">
        <v>0.99983440000000001</v>
      </c>
      <c r="Y2933">
        <v>-5.3026900000000002E-2</v>
      </c>
      <c r="Z2933">
        <v>-1.3416139999999899E-3</v>
      </c>
      <c r="AA2933">
        <v>0.99859219999999904</v>
      </c>
      <c r="AB2933">
        <v>43</v>
      </c>
      <c r="AC2933">
        <v>0.61950000000001604</v>
      </c>
      <c r="AD2933">
        <v>-9.9975999999999995E-2</v>
      </c>
      <c r="AE2933">
        <v>8.0500000000000599E-2</v>
      </c>
      <c r="AF2933">
        <v>-5.3894653522887699E-2</v>
      </c>
      <c r="AG2933">
        <v>-9.9975999999999995E-2</v>
      </c>
      <c r="AH2933">
        <v>0.60671907314871398</v>
      </c>
      <c r="AI2933">
        <v>99.321135059418594</v>
      </c>
      <c r="AJ2933">
        <v>95.076241305570704</v>
      </c>
      <c r="AK2933">
        <v>0.617258347838882</v>
      </c>
    </row>
    <row r="2934" spans="1:37" x14ac:dyDescent="0.2">
      <c r="A2934" t="str">
        <f>"20200111153707085"</f>
        <v>20200111153707085</v>
      </c>
      <c r="B2934" t="str">
        <f>"1578728227076107"</f>
        <v>1578728227076107</v>
      </c>
      <c r="C2934" t="s">
        <v>37</v>
      </c>
      <c r="D2934">
        <v>5.6130279999999999</v>
      </c>
      <c r="E2934">
        <v>0.47256549999999897</v>
      </c>
      <c r="F2934" t="s">
        <v>38</v>
      </c>
      <c r="G2934">
        <v>-441.24770000000001</v>
      </c>
      <c r="H2934">
        <v>1.0121610000000001</v>
      </c>
      <c r="I2934">
        <v>212.9914</v>
      </c>
      <c r="J2934">
        <v>-441.8254</v>
      </c>
      <c r="K2934">
        <v>1.1057219999999901</v>
      </c>
      <c r="L2934">
        <v>212.91489999999999</v>
      </c>
      <c r="M2934">
        <v>0.99906439999999996</v>
      </c>
      <c r="N2934">
        <v>0</v>
      </c>
      <c r="O2934">
        <v>4.3150439999999998E-2</v>
      </c>
      <c r="P2934">
        <v>0.99960349999999998</v>
      </c>
      <c r="Q2934">
        <v>-1.105215E-2</v>
      </c>
      <c r="R2934">
        <v>2.5904199999999999E-2</v>
      </c>
      <c r="S2934">
        <v>2.9915470000000002</v>
      </c>
      <c r="T2934">
        <v>-0.2773004</v>
      </c>
      <c r="U2934">
        <v>0.28376770000000001</v>
      </c>
      <c r="V2934">
        <v>1.7315319999999999E-2</v>
      </c>
      <c r="W2934">
        <v>-8.0171300000000008E-3</v>
      </c>
      <c r="X2934">
        <v>0.99981790000000004</v>
      </c>
      <c r="Y2934">
        <v>-5.1351979999999998E-2</v>
      </c>
      <c r="Z2934">
        <v>-1.6097889999999999E-3</v>
      </c>
      <c r="AA2934">
        <v>0.99867929999999905</v>
      </c>
      <c r="AB2934">
        <v>43</v>
      </c>
      <c r="AC2934">
        <v>0.577699999999992</v>
      </c>
      <c r="AD2934">
        <v>-9.35609999999997E-2</v>
      </c>
      <c r="AE2934">
        <v>7.6500000000009893E-2</v>
      </c>
      <c r="AF2934">
        <v>-5.0206452038108397E-2</v>
      </c>
      <c r="AG2934">
        <v>-9.35609999999997E-2</v>
      </c>
      <c r="AH2934">
        <v>0.565876246200262</v>
      </c>
      <c r="AI2934">
        <v>99.352167463726403</v>
      </c>
      <c r="AJ2934">
        <v>95.070198982484797</v>
      </c>
      <c r="AK2934">
        <v>0.57575192102237505</v>
      </c>
    </row>
    <row r="2935" spans="1:37" x14ac:dyDescent="0.2">
      <c r="A2935" t="str">
        <f>"20200111153707109"</f>
        <v>20200111153707109</v>
      </c>
      <c r="B2935" t="str">
        <f>"1578728227106364"</f>
        <v>1578728227106364</v>
      </c>
      <c r="C2935" t="s">
        <v>37</v>
      </c>
      <c r="D2935">
        <v>5.9946000000000002</v>
      </c>
      <c r="E2935">
        <v>0.47249859999999999</v>
      </c>
      <c r="F2935" t="s">
        <v>38</v>
      </c>
      <c r="G2935">
        <v>-440.85559999999998</v>
      </c>
      <c r="H2935">
        <v>1.0167619999999999</v>
      </c>
      <c r="I2935">
        <v>213.00839999999999</v>
      </c>
      <c r="J2935">
        <v>-441.38799999999998</v>
      </c>
      <c r="K2935">
        <v>1.1056709999999901</v>
      </c>
      <c r="L2935">
        <v>212.93530000000001</v>
      </c>
      <c r="M2935">
        <v>0.99895259999999997</v>
      </c>
      <c r="N2935">
        <v>0</v>
      </c>
      <c r="O2935">
        <v>4.5661409999999999E-2</v>
      </c>
      <c r="P2935">
        <v>0.99950239999999901</v>
      </c>
      <c r="Q2935">
        <v>-1.2180689999999999E-2</v>
      </c>
      <c r="R2935">
        <v>2.909258E-2</v>
      </c>
      <c r="S2935">
        <v>2.9906619999999999</v>
      </c>
      <c r="T2935">
        <v>-0.27452870000000001</v>
      </c>
      <c r="U2935">
        <v>0.2888947</v>
      </c>
      <c r="V2935">
        <v>1.6645650000000001E-2</v>
      </c>
      <c r="W2935">
        <v>-9.1020400000000005E-3</v>
      </c>
      <c r="X2935">
        <v>0.99982000000000004</v>
      </c>
      <c r="Y2935">
        <v>-5.0580439999999997E-2</v>
      </c>
      <c r="Z2935">
        <v>-1.8583899999999999E-3</v>
      </c>
      <c r="AA2935">
        <v>0.99871829999999995</v>
      </c>
      <c r="AB2935">
        <v>44</v>
      </c>
      <c r="AC2935">
        <v>0.53240000000005205</v>
      </c>
      <c r="AD2935">
        <v>-8.8908999999999599E-2</v>
      </c>
      <c r="AE2935">
        <v>7.3099999999982401E-2</v>
      </c>
      <c r="AF2935">
        <v>-4.7415658680699198E-2</v>
      </c>
      <c r="AG2935">
        <v>-8.8908999999999599E-2</v>
      </c>
      <c r="AH2935">
        <v>0.52092389822006802</v>
      </c>
      <c r="AI2935">
        <v>99.646538300494001</v>
      </c>
      <c r="AJ2935">
        <v>95.200858515170907</v>
      </c>
      <c r="AK2935">
        <v>0.53057964784367295</v>
      </c>
    </row>
    <row r="2936" spans="1:37" x14ac:dyDescent="0.2">
      <c r="A2936" t="str">
        <f>"20200111153707132"</f>
        <v>20200111153707132</v>
      </c>
      <c r="B2936" t="str">
        <f>"1578728227125884"</f>
        <v>1578728227125884</v>
      </c>
      <c r="C2936" t="s">
        <v>37</v>
      </c>
      <c r="D2936">
        <v>5.9750990000000002</v>
      </c>
      <c r="E2936">
        <v>0.42775590000000002</v>
      </c>
      <c r="F2936" t="s">
        <v>38</v>
      </c>
      <c r="G2936">
        <v>-440.46210000000002</v>
      </c>
      <c r="H2936">
        <v>1.0211299999999901</v>
      </c>
      <c r="I2936">
        <v>213.0273</v>
      </c>
      <c r="J2936">
        <v>-440.9332</v>
      </c>
      <c r="K2936">
        <v>1.1056239999999999</v>
      </c>
      <c r="L2936">
        <v>212.95760000000001</v>
      </c>
      <c r="M2936">
        <v>0.9988321</v>
      </c>
      <c r="N2936">
        <v>0</v>
      </c>
      <c r="O2936">
        <v>4.8223540000000002E-2</v>
      </c>
      <c r="P2936">
        <v>0.99938369999999999</v>
      </c>
      <c r="Q2936">
        <v>-1.278864E-2</v>
      </c>
      <c r="R2936">
        <v>3.2694939999999999E-2</v>
      </c>
      <c r="S2936">
        <v>2.989471</v>
      </c>
      <c r="T2936">
        <v>-0.27341409999999899</v>
      </c>
      <c r="U2936">
        <v>0.29856869999999902</v>
      </c>
      <c r="V2936">
        <v>1.5609120000000001E-2</v>
      </c>
      <c r="W2936">
        <v>-9.6660050000000001E-3</v>
      </c>
      <c r="X2936">
        <v>0.99983140000000004</v>
      </c>
      <c r="Y2936">
        <v>-5.1265690000000003E-2</v>
      </c>
      <c r="Z2936">
        <v>-2.052847E-3</v>
      </c>
      <c r="AA2936">
        <v>0.99868289999999904</v>
      </c>
      <c r="AB2936">
        <v>44</v>
      </c>
      <c r="AC2936">
        <v>0.47109999999997798</v>
      </c>
      <c r="AD2936">
        <v>-8.4494E-2</v>
      </c>
      <c r="AE2936">
        <v>6.9699999999983206E-2</v>
      </c>
      <c r="AF2936">
        <v>-4.54693649072083E-2</v>
      </c>
      <c r="AG2936">
        <v>-8.4494E-2</v>
      </c>
      <c r="AH2936">
        <v>0.459450050298226</v>
      </c>
      <c r="AI2936">
        <v>100.37084825095801</v>
      </c>
      <c r="AJ2936">
        <v>95.651859648224601</v>
      </c>
      <c r="AK2936">
        <v>0.46936238441113598</v>
      </c>
    </row>
    <row r="2937" spans="1:37" x14ac:dyDescent="0.2">
      <c r="A2937" t="str">
        <f>"20200111153707152"</f>
        <v>20200111153707152</v>
      </c>
      <c r="B2937" t="str">
        <f>"1578728227145405"</f>
        <v>1578728227145405</v>
      </c>
      <c r="C2937" t="s">
        <v>37</v>
      </c>
      <c r="D2937">
        <v>5.9649140000000003</v>
      </c>
      <c r="E2937">
        <v>0.42127569999999998</v>
      </c>
      <c r="F2937" t="s">
        <v>48</v>
      </c>
      <c r="G2937">
        <v>-428.0829</v>
      </c>
      <c r="H2937" s="1">
        <v>2.4241210000000002E-6</v>
      </c>
      <c r="I2937">
        <v>215.83690000000001</v>
      </c>
      <c r="J2937">
        <v>-440.5351</v>
      </c>
      <c r="K2937">
        <v>1.105586</v>
      </c>
      <c r="L2937">
        <v>212.97810000000001</v>
      </c>
      <c r="M2937">
        <v>0.99872299999999903</v>
      </c>
      <c r="N2937">
        <v>0</v>
      </c>
      <c r="O2937">
        <v>5.043094E-2</v>
      </c>
      <c r="P2937">
        <v>0.99929089999999998</v>
      </c>
      <c r="Q2937">
        <v>-1.336123E-2</v>
      </c>
      <c r="R2937">
        <v>3.5205500000000001E-2</v>
      </c>
      <c r="S2937">
        <v>2.9767459999999999</v>
      </c>
      <c r="T2937">
        <v>-0.25611450000000002</v>
      </c>
      <c r="U2937">
        <v>0.66697689999999998</v>
      </c>
      <c r="V2937">
        <v>1.530952E-2</v>
      </c>
      <c r="W2937">
        <v>-1.0195340000000001E-2</v>
      </c>
      <c r="X2937">
        <v>0.99983080000000002</v>
      </c>
      <c r="Y2937">
        <v>-0.168737</v>
      </c>
      <c r="Z2937">
        <v>2.8863359999999898E-3</v>
      </c>
      <c r="AA2937">
        <v>0.98565689999999995</v>
      </c>
      <c r="AB2937">
        <v>44</v>
      </c>
      <c r="AC2937">
        <v>12.452199999999999</v>
      </c>
      <c r="AD2937">
        <v>-1.105583575879</v>
      </c>
      <c r="AE2937">
        <v>2.8588</v>
      </c>
      <c r="AF2937">
        <v>-2.2106294315469199</v>
      </c>
      <c r="AG2937">
        <v>-1.105583575879</v>
      </c>
      <c r="AH2937">
        <v>12.4870211526883</v>
      </c>
      <c r="AI2937">
        <v>94.982616599165596</v>
      </c>
      <c r="AJ2937">
        <v>100.03929243421101</v>
      </c>
      <c r="AK2937">
        <v>12.7292927845407</v>
      </c>
    </row>
    <row r="2938" spans="1:37" x14ac:dyDescent="0.2">
      <c r="A2938" t="str">
        <f>"20200111153707175"</f>
        <v>20200111153707175</v>
      </c>
      <c r="B2938" t="str">
        <f>"1578728227165900"</f>
        <v>1578728227165900</v>
      </c>
      <c r="C2938" t="s">
        <v>37</v>
      </c>
      <c r="D2938">
        <v>5.8936140000000004</v>
      </c>
      <c r="E2938">
        <v>0.41980879999999998</v>
      </c>
      <c r="F2938" t="s">
        <v>48</v>
      </c>
      <c r="G2938">
        <v>-428.13170000000002</v>
      </c>
      <c r="H2938" s="1">
        <v>2.4005429999999998E-6</v>
      </c>
      <c r="I2938">
        <v>216.0077</v>
      </c>
      <c r="J2938">
        <v>-440.07819999999998</v>
      </c>
      <c r="K2938">
        <v>1.1055469999999901</v>
      </c>
      <c r="L2938">
        <v>213.0026</v>
      </c>
      <c r="M2938">
        <v>0.99859370000000003</v>
      </c>
      <c r="N2938">
        <v>0</v>
      </c>
      <c r="O2938">
        <v>5.2926189999999998E-2</v>
      </c>
      <c r="P2938">
        <v>0.99918280000000004</v>
      </c>
      <c r="Q2938">
        <v>-1.451744E-2</v>
      </c>
      <c r="R2938">
        <v>3.7726870000000003E-2</v>
      </c>
      <c r="S2938">
        <v>2.9730219999999998</v>
      </c>
      <c r="T2938">
        <v>-0.26500079999999998</v>
      </c>
      <c r="U2938">
        <v>0.72618099999999997</v>
      </c>
      <c r="V2938">
        <v>1.529117E-2</v>
      </c>
      <c r="W2938">
        <v>-1.1299689999999999E-2</v>
      </c>
      <c r="X2938">
        <v>0.99981919999999902</v>
      </c>
      <c r="Y2938">
        <v>-0.1850407</v>
      </c>
      <c r="Z2938">
        <v>3.4804789999999999E-3</v>
      </c>
      <c r="AA2938">
        <v>0.98272469999999901</v>
      </c>
      <c r="AB2938">
        <v>44</v>
      </c>
      <c r="AC2938">
        <v>11.946499999999901</v>
      </c>
      <c r="AD2938">
        <v>-1.1055445994569999</v>
      </c>
      <c r="AE2938">
        <v>3.0050999999999899</v>
      </c>
      <c r="AF2938">
        <v>-2.34967748142962</v>
      </c>
      <c r="AG2938">
        <v>-1.1055445994569999</v>
      </c>
      <c r="AH2938">
        <v>11.992216838753</v>
      </c>
      <c r="AI2938">
        <v>95.169380968279398</v>
      </c>
      <c r="AJ2938">
        <v>101.085728409266</v>
      </c>
      <c r="AK2938">
        <v>12.270145795213599</v>
      </c>
    </row>
    <row r="2939" spans="1:37" x14ac:dyDescent="0.2">
      <c r="A2939" t="str">
        <f>"20200111153707198"</f>
        <v>20200111153707198</v>
      </c>
      <c r="B2939" t="str">
        <f>"1578728227196156"</f>
        <v>1578728227196156</v>
      </c>
      <c r="C2939" t="s">
        <v>37</v>
      </c>
      <c r="D2939">
        <v>5.9150130000000001</v>
      </c>
      <c r="E2939">
        <v>0.42004709999999901</v>
      </c>
      <c r="F2939" t="s">
        <v>48</v>
      </c>
      <c r="G2939">
        <v>-427.7362</v>
      </c>
      <c r="H2939" s="1">
        <v>2.4625740000000001E-6</v>
      </c>
      <c r="I2939">
        <v>216.10059999999999</v>
      </c>
      <c r="J2939">
        <v>-439.62009999999998</v>
      </c>
      <c r="K2939">
        <v>1.105507</v>
      </c>
      <c r="L2939">
        <v>213.0283</v>
      </c>
      <c r="M2939">
        <v>0.99846000000000001</v>
      </c>
      <c r="N2939">
        <v>0</v>
      </c>
      <c r="O2939">
        <v>5.5388340000000001E-2</v>
      </c>
      <c r="P2939">
        <v>0.99911419999999995</v>
      </c>
      <c r="Q2939">
        <v>-1.296105E-2</v>
      </c>
      <c r="R2939">
        <v>4.0040230000000003E-2</v>
      </c>
      <c r="S2939">
        <v>2.9703979999999999</v>
      </c>
      <c r="T2939">
        <v>-0.2660747</v>
      </c>
      <c r="U2939">
        <v>0.74560550000000003</v>
      </c>
      <c r="V2939">
        <v>1.543019E-2</v>
      </c>
      <c r="W2939">
        <v>-9.6905729999999992E-3</v>
      </c>
      <c r="X2939">
        <v>0.999834</v>
      </c>
      <c r="Y2939">
        <v>-0.18886229999999901</v>
      </c>
      <c r="Z2939">
        <v>3.44744E-3</v>
      </c>
      <c r="AA2939">
        <v>0.98199749999999997</v>
      </c>
      <c r="AB2939">
        <v>44</v>
      </c>
      <c r="AC2939">
        <v>11.883899999999899</v>
      </c>
      <c r="AD2939">
        <v>-1.105504537426</v>
      </c>
      <c r="AE2939">
        <v>3.0722999999999798</v>
      </c>
      <c r="AF2939">
        <v>-2.38996453198504</v>
      </c>
      <c r="AG2939">
        <v>-1.105504537426</v>
      </c>
      <c r="AH2939">
        <v>11.938983102157501</v>
      </c>
      <c r="AI2939">
        <v>95.187938574439002</v>
      </c>
      <c r="AJ2939">
        <v>101.319935890393</v>
      </c>
      <c r="AK2939">
        <v>12.2259309772311</v>
      </c>
    </row>
    <row r="2940" spans="1:37" x14ac:dyDescent="0.2">
      <c r="A2940" t="str">
        <f>"20200111153707219"</f>
        <v>20200111153707219</v>
      </c>
      <c r="B2940" t="str">
        <f>"1578728227215675"</f>
        <v>1578728227215675</v>
      </c>
      <c r="C2940" t="s">
        <v>37</v>
      </c>
      <c r="D2940">
        <v>5.9106100000000001</v>
      </c>
      <c r="E2940">
        <v>0.42021819999999999</v>
      </c>
      <c r="F2940" t="s">
        <v>48</v>
      </c>
      <c r="G2940">
        <v>-427.16719999999998</v>
      </c>
      <c r="H2940" s="1">
        <v>2.557128E-6</v>
      </c>
      <c r="I2940">
        <v>216.17349999999999</v>
      </c>
      <c r="J2940">
        <v>-439.2149</v>
      </c>
      <c r="K2940">
        <v>1.1054729999999999</v>
      </c>
      <c r="L2940">
        <v>213.05189999999999</v>
      </c>
      <c r="M2940">
        <v>0.99833890000000003</v>
      </c>
      <c r="N2940">
        <v>0</v>
      </c>
      <c r="O2940">
        <v>5.7524829999999999E-2</v>
      </c>
      <c r="P2940">
        <v>0.99903390000000003</v>
      </c>
      <c r="Q2940">
        <v>-1.262166E-2</v>
      </c>
      <c r="R2940">
        <v>4.2093430000000001E-2</v>
      </c>
      <c r="S2940">
        <v>2.9691770000000002</v>
      </c>
      <c r="T2940">
        <v>-0.26358819999999999</v>
      </c>
      <c r="U2940">
        <v>0.74992369999999997</v>
      </c>
      <c r="V2940">
        <v>1.5511779999999999E-2</v>
      </c>
      <c r="W2940">
        <v>-9.3053879999999995E-3</v>
      </c>
      <c r="X2940">
        <v>0.99983639999999996</v>
      </c>
      <c r="Y2940">
        <v>-0.18821879999999999</v>
      </c>
      <c r="Z2940">
        <v>3.202575E-3</v>
      </c>
      <c r="AA2940">
        <v>0.98212189999999999</v>
      </c>
      <c r="AB2940">
        <v>44</v>
      </c>
      <c r="AC2940">
        <v>12.047700000000001</v>
      </c>
      <c r="AD2940">
        <v>-1.1054704428719999</v>
      </c>
      <c r="AE2940">
        <v>3.1215999999999999</v>
      </c>
      <c r="AF2940">
        <v>-2.4044149504221202</v>
      </c>
      <c r="AG2940">
        <v>-1.1054704428719999</v>
      </c>
      <c r="AH2940">
        <v>12.1117606100372</v>
      </c>
      <c r="AI2940">
        <v>95.115791464780401</v>
      </c>
      <c r="AJ2940">
        <v>101.22831946520201</v>
      </c>
      <c r="AK2940">
        <v>12.3975006041026</v>
      </c>
    </row>
    <row r="2941" spans="1:37" x14ac:dyDescent="0.2">
      <c r="A2941" t="str">
        <f>"20200111153707243"</f>
        <v>20200111153707243</v>
      </c>
      <c r="B2941" t="str">
        <f>"1578728227236172"</f>
        <v>1578728227236172</v>
      </c>
      <c r="C2941" t="s">
        <v>37</v>
      </c>
      <c r="D2941">
        <v>5.8796390000000001</v>
      </c>
      <c r="E2941">
        <v>0.42050129999999902</v>
      </c>
      <c r="F2941" t="s">
        <v>48</v>
      </c>
      <c r="G2941">
        <v>-426.7946</v>
      </c>
      <c r="H2941" s="1">
        <v>2.6201079999999999E-6</v>
      </c>
      <c r="I2941">
        <v>216.209</v>
      </c>
      <c r="J2941">
        <v>-438.7407</v>
      </c>
      <c r="K2941">
        <v>1.1054269999999999</v>
      </c>
      <c r="L2941">
        <v>213.08070000000001</v>
      </c>
      <c r="M2941">
        <v>0.99819559999999996</v>
      </c>
      <c r="N2941">
        <v>0</v>
      </c>
      <c r="O2941">
        <v>5.9957620000000003E-2</v>
      </c>
      <c r="P2941">
        <v>0.99885939999999995</v>
      </c>
      <c r="Q2941">
        <v>-1.269753E-2</v>
      </c>
      <c r="R2941">
        <v>4.6029979999999998E-2</v>
      </c>
      <c r="S2941">
        <v>2.96777299999999</v>
      </c>
      <c r="T2941">
        <v>-0.26414769999999999</v>
      </c>
      <c r="U2941">
        <v>0.75436400000000003</v>
      </c>
      <c r="V2941">
        <v>1.4007169999999999E-2</v>
      </c>
      <c r="W2941">
        <v>-9.3396539999999993E-3</v>
      </c>
      <c r="X2941">
        <v>0.99985829999999998</v>
      </c>
      <c r="Y2941">
        <v>-0.18732670000000001</v>
      </c>
      <c r="Z2941">
        <v>2.959592E-3</v>
      </c>
      <c r="AA2941">
        <v>0.98229319999999898</v>
      </c>
      <c r="AB2941">
        <v>44</v>
      </c>
      <c r="AC2941">
        <v>11.946099999999999</v>
      </c>
      <c r="AD2941">
        <v>-1.105424379892</v>
      </c>
      <c r="AE2941">
        <v>3.1282999999999901</v>
      </c>
      <c r="AF2941">
        <v>-2.38727884160022</v>
      </c>
      <c r="AG2941">
        <v>-1.105424379892</v>
      </c>
      <c r="AH2941">
        <v>12.015889652258201</v>
      </c>
      <c r="AI2941">
        <v>95.156021247352101</v>
      </c>
      <c r="AJ2941">
        <v>101.237017640814</v>
      </c>
      <c r="AK2941">
        <v>12.300514926719799</v>
      </c>
    </row>
    <row r="2942" spans="1:37" x14ac:dyDescent="0.2">
      <c r="A2942" t="str">
        <f>"20200111153707264"</f>
        <v>20200111153707264</v>
      </c>
      <c r="B2942" t="str">
        <f>"1578728227255692"</f>
        <v>1578728227255692</v>
      </c>
      <c r="C2942" t="s">
        <v>37</v>
      </c>
      <c r="D2942">
        <v>5.9225219999999998</v>
      </c>
      <c r="E2942">
        <v>0.4206454</v>
      </c>
      <c r="F2942" t="s">
        <v>48</v>
      </c>
      <c r="G2942">
        <v>-426.46339999999998</v>
      </c>
      <c r="H2942" s="1">
        <v>2.6759259999999999E-6</v>
      </c>
      <c r="I2942">
        <v>216.24260000000001</v>
      </c>
      <c r="J2942">
        <v>-438.30149999999998</v>
      </c>
      <c r="K2942">
        <v>1.1053789999999999</v>
      </c>
      <c r="L2942">
        <v>213.10830000000001</v>
      </c>
      <c r="M2942">
        <v>0.99806240000000002</v>
      </c>
      <c r="N2942">
        <v>0</v>
      </c>
      <c r="O2942">
        <v>6.2134689999999999E-2</v>
      </c>
      <c r="P2942">
        <v>0.998650499999999</v>
      </c>
      <c r="Q2942">
        <v>-1.130244E-2</v>
      </c>
      <c r="R2942">
        <v>5.0693929999999998E-2</v>
      </c>
      <c r="S2942">
        <v>2.9648439999999998</v>
      </c>
      <c r="T2942">
        <v>-0.26694869999999998</v>
      </c>
      <c r="U2942">
        <v>0.76358029999999999</v>
      </c>
      <c r="V2942">
        <v>1.150909E-2</v>
      </c>
      <c r="W2942">
        <v>-7.914239E-3</v>
      </c>
      <c r="X2942">
        <v>0.99990239999999997</v>
      </c>
      <c r="Y2942">
        <v>-0.1882759</v>
      </c>
      <c r="Z2942">
        <v>2.8431770000000001E-3</v>
      </c>
      <c r="AA2942">
        <v>0.98211209999999904</v>
      </c>
      <c r="AB2942">
        <v>45</v>
      </c>
      <c r="AC2942">
        <v>11.838099999999899</v>
      </c>
      <c r="AD2942">
        <v>-1.105376324074</v>
      </c>
      <c r="AE2942">
        <v>3.1342999999999899</v>
      </c>
      <c r="AF2942">
        <v>-2.3733459625062401</v>
      </c>
      <c r="AG2942">
        <v>-1.105376324074</v>
      </c>
      <c r="AH2942">
        <v>11.912913497200201</v>
      </c>
      <c r="AI2942">
        <v>95.1995799748249</v>
      </c>
      <c r="AJ2942">
        <v>101.267210180417</v>
      </c>
      <c r="AK2942">
        <v>12.1972183659776</v>
      </c>
    </row>
    <row r="2943" spans="1:37" x14ac:dyDescent="0.2">
      <c r="A2943" t="str">
        <f>"20200111153707287"</f>
        <v>20200111153707287</v>
      </c>
      <c r="B2943" t="str">
        <f>"1578728227276187"</f>
        <v>1578728227276187</v>
      </c>
      <c r="C2943" t="s">
        <v>37</v>
      </c>
      <c r="D2943">
        <v>5.9065059999999896</v>
      </c>
      <c r="E2943">
        <v>0.42082029999999898</v>
      </c>
      <c r="F2943" t="s">
        <v>48</v>
      </c>
      <c r="G2943">
        <v>-425.94459999999998</v>
      </c>
      <c r="H2943" s="1">
        <v>2.7588690000000002E-6</v>
      </c>
      <c r="I2943">
        <v>216.34649999999999</v>
      </c>
      <c r="J2943">
        <v>-437.83749999999998</v>
      </c>
      <c r="K2943">
        <v>1.1053029999999999</v>
      </c>
      <c r="L2943">
        <v>213.13839999999999</v>
      </c>
      <c r="M2943">
        <v>0.99792150000000002</v>
      </c>
      <c r="N2943">
        <v>0</v>
      </c>
      <c r="O2943">
        <v>6.4354750000000002E-2</v>
      </c>
      <c r="P2943">
        <v>0.99836759999999902</v>
      </c>
      <c r="Q2943">
        <v>-1.07829E-2</v>
      </c>
      <c r="R2943">
        <v>5.6089739999999999E-2</v>
      </c>
      <c r="S2943">
        <v>2.9616699999999998</v>
      </c>
      <c r="T2943">
        <v>-0.264934</v>
      </c>
      <c r="U2943">
        <v>0.77613829999999995</v>
      </c>
      <c r="V2943">
        <v>8.3256240000000002E-3</v>
      </c>
      <c r="W2943">
        <v>-7.3657050000000002E-3</v>
      </c>
      <c r="X2943">
        <v>0.9999382</v>
      </c>
      <c r="Y2943">
        <v>-0.1902537</v>
      </c>
      <c r="Z2943">
        <v>2.7164059999999898E-3</v>
      </c>
      <c r="AA2943">
        <v>0.98173120000000003</v>
      </c>
      <c r="AB2943">
        <v>45</v>
      </c>
      <c r="AC2943">
        <v>11.8928999999999</v>
      </c>
      <c r="AD2943">
        <v>-1.105300241131</v>
      </c>
      <c r="AE2943">
        <v>3.2081</v>
      </c>
      <c r="AF2943">
        <v>-2.4166233232005601</v>
      </c>
      <c r="AG2943">
        <v>-1.105300241131</v>
      </c>
      <c r="AH2943">
        <v>11.978260574107299</v>
      </c>
      <c r="AI2943">
        <v>95.168510567340604</v>
      </c>
      <c r="AJ2943">
        <v>101.40635364148</v>
      </c>
      <c r="AK2943">
        <v>12.2694940111846</v>
      </c>
    </row>
    <row r="2944" spans="1:37" x14ac:dyDescent="0.2">
      <c r="A2944" t="str">
        <f>"20200111153707320"</f>
        <v>20200111153707320</v>
      </c>
      <c r="B2944" t="str">
        <f>"1578728227316204"</f>
        <v>1578728227316204</v>
      </c>
      <c r="C2944" t="s">
        <v>37</v>
      </c>
      <c r="D2944">
        <v>5.8457169999999996</v>
      </c>
      <c r="E2944">
        <v>0.4212089</v>
      </c>
      <c r="F2944" t="s">
        <v>48</v>
      </c>
      <c r="G2944">
        <v>-425.46129999999999</v>
      </c>
      <c r="H2944" s="1">
        <v>2.8355100000000001E-6</v>
      </c>
      <c r="I2944">
        <v>216.45050000000001</v>
      </c>
      <c r="J2944">
        <v>-437.19290000000001</v>
      </c>
      <c r="K2944">
        <v>1.105173</v>
      </c>
      <c r="L2944">
        <v>213.18180000000001</v>
      </c>
      <c r="M2944">
        <v>0.99772850000000002</v>
      </c>
      <c r="N2944">
        <v>0</v>
      </c>
      <c r="O2944">
        <v>6.7277160000000003E-2</v>
      </c>
      <c r="P2944">
        <v>0.99798229999999999</v>
      </c>
      <c r="Q2944">
        <v>-1.568638E-2</v>
      </c>
      <c r="R2944">
        <v>6.1529599999999997E-2</v>
      </c>
      <c r="S2944">
        <v>2.9575809999999998</v>
      </c>
      <c r="T2944">
        <v>-0.26413819999999999</v>
      </c>
      <c r="U2944">
        <v>0.79148859999999999</v>
      </c>
      <c r="V2944">
        <v>5.829346E-3</v>
      </c>
      <c r="W2944">
        <v>-1.221642E-2</v>
      </c>
      <c r="X2944">
        <v>0.99990840000000003</v>
      </c>
      <c r="Y2944">
        <v>-0.19247700000000001</v>
      </c>
      <c r="Z2944">
        <v>2.5532559999999998E-3</v>
      </c>
      <c r="AA2944">
        <v>0.98129809999999995</v>
      </c>
      <c r="AB2944">
        <v>45</v>
      </c>
      <c r="AC2944">
        <v>11.7316</v>
      </c>
      <c r="AD2944">
        <v>-1.1051701644900001</v>
      </c>
      <c r="AE2944">
        <v>3.2686999999999902</v>
      </c>
      <c r="AF2944">
        <v>-2.4518294997482601</v>
      </c>
      <c r="AG2944">
        <v>-1.1051701644900001</v>
      </c>
      <c r="AH2944">
        <v>11.827527874768</v>
      </c>
      <c r="AI2944">
        <v>95.227738155062994</v>
      </c>
      <c r="AJ2944">
        <v>101.71145530616801</v>
      </c>
      <c r="AK2944">
        <v>12.129438759346201</v>
      </c>
    </row>
    <row r="2945" spans="1:37" x14ac:dyDescent="0.2">
      <c r="A2945" t="str">
        <f>"20200111153707342"</f>
        <v>20200111153707342</v>
      </c>
      <c r="B2945" t="str">
        <f>"1578728227335724"</f>
        <v>1578728227335724</v>
      </c>
      <c r="C2945" t="s">
        <v>37</v>
      </c>
      <c r="D2945">
        <v>5.8767899999999997</v>
      </c>
      <c r="E2945">
        <v>0.42149319999999901</v>
      </c>
      <c r="F2945" t="s">
        <v>48</v>
      </c>
      <c r="G2945">
        <v>-425.7405</v>
      </c>
      <c r="H2945" s="1">
        <v>2.799006E-6</v>
      </c>
      <c r="I2945">
        <v>216.3015</v>
      </c>
      <c r="J2945">
        <v>-436.73540000000003</v>
      </c>
      <c r="K2945">
        <v>1.1050679999999999</v>
      </c>
      <c r="L2945">
        <v>213.21369999999999</v>
      </c>
      <c r="M2945">
        <v>0.99759779999999998</v>
      </c>
      <c r="N2945">
        <v>0</v>
      </c>
      <c r="O2945">
        <v>6.9185280000000002E-2</v>
      </c>
      <c r="P2945">
        <v>0.997811</v>
      </c>
      <c r="Q2945">
        <v>-1.7964910000000001E-2</v>
      </c>
      <c r="R2945">
        <v>6.3643249999999998E-2</v>
      </c>
      <c r="S2945">
        <v>2.9519959999999998</v>
      </c>
      <c r="T2945">
        <v>-0.28487049999999903</v>
      </c>
      <c r="U2945">
        <v>0.80415340000000002</v>
      </c>
      <c r="V2945">
        <v>5.6323739999999999E-3</v>
      </c>
      <c r="W2945">
        <v>-1.444812E-2</v>
      </c>
      <c r="X2945">
        <v>0.99987979999999999</v>
      </c>
      <c r="Y2945">
        <v>-0.194908</v>
      </c>
      <c r="Z2945">
        <v>2.6921890000000002E-3</v>
      </c>
      <c r="AA2945">
        <v>0.98081790000000002</v>
      </c>
      <c r="AB2945">
        <v>45</v>
      </c>
      <c r="AC2945">
        <v>10.994899999999999</v>
      </c>
      <c r="AD2945">
        <v>-1.1050652009940001</v>
      </c>
      <c r="AE2945">
        <v>3.0878000000000099</v>
      </c>
      <c r="AF2945">
        <v>-2.29819278512351</v>
      </c>
      <c r="AG2945">
        <v>-1.1050652009940001</v>
      </c>
      <c r="AH2945">
        <v>11.0784559127333</v>
      </c>
      <c r="AI2945">
        <v>95.578362409764594</v>
      </c>
      <c r="AJ2945">
        <v>101.719611306639</v>
      </c>
      <c r="AK2945">
        <v>11.368159243537001</v>
      </c>
    </row>
    <row r="2946" spans="1:37" x14ac:dyDescent="0.2">
      <c r="A2946" t="str">
        <f>"20200111153707365"</f>
        <v>20200111153707365</v>
      </c>
      <c r="B2946" t="str">
        <f>"1578728227356220"</f>
        <v>1578728227356220</v>
      </c>
      <c r="C2946" t="s">
        <v>37</v>
      </c>
      <c r="D2946">
        <v>5.8312780000000002</v>
      </c>
      <c r="E2946">
        <v>0.42170410000000003</v>
      </c>
      <c r="F2946" t="s">
        <v>48</v>
      </c>
      <c r="G2946">
        <v>-425.71190000000001</v>
      </c>
      <c r="H2946" s="1">
        <v>2.8101049999999999E-6</v>
      </c>
      <c r="I2946">
        <v>216.23259999999999</v>
      </c>
      <c r="J2946">
        <v>-436.2688</v>
      </c>
      <c r="K2946">
        <v>1.1049719999999901</v>
      </c>
      <c r="L2946">
        <v>213.24700000000001</v>
      </c>
      <c r="M2946">
        <v>0.99746979999999996</v>
      </c>
      <c r="N2946">
        <v>0</v>
      </c>
      <c r="O2946">
        <v>7.1003609999999995E-2</v>
      </c>
      <c r="P2946">
        <v>0.99768169999999901</v>
      </c>
      <c r="Q2946">
        <v>-1.7014769999999999E-2</v>
      </c>
      <c r="R2946">
        <v>6.5895280000000001E-2</v>
      </c>
      <c r="S2946">
        <v>2.9497070000000001</v>
      </c>
      <c r="T2946">
        <v>-0.29569899999999999</v>
      </c>
      <c r="U2946">
        <v>0.80781559999999997</v>
      </c>
      <c r="V2946">
        <v>5.1896390000000002E-3</v>
      </c>
      <c r="W2946">
        <v>-1.3451690000000001E-2</v>
      </c>
      <c r="X2946">
        <v>0.99989599999999901</v>
      </c>
      <c r="Y2946">
        <v>-0.1944147</v>
      </c>
      <c r="Z2946">
        <v>2.59414E-3</v>
      </c>
      <c r="AA2946">
        <v>0.98091600000000001</v>
      </c>
      <c r="AB2946">
        <v>45</v>
      </c>
      <c r="AC2946">
        <v>10.556899999999899</v>
      </c>
      <c r="AD2946">
        <v>-1.10496918989499</v>
      </c>
      <c r="AE2946">
        <v>2.9855999999999701</v>
      </c>
      <c r="AF2946">
        <v>-2.2061029303017601</v>
      </c>
      <c r="AG2946">
        <v>-1.10496918989499</v>
      </c>
      <c r="AH2946">
        <v>10.6343688611411</v>
      </c>
      <c r="AI2946">
        <v>95.809245683497807</v>
      </c>
      <c r="AJ2946">
        <v>101.719790474227</v>
      </c>
      <c r="AK2946">
        <v>10.9168515664779</v>
      </c>
    </row>
    <row r="2947" spans="1:37" x14ac:dyDescent="0.2">
      <c r="A2947" t="str">
        <f>"20200111153707387"</f>
        <v>20200111153707387</v>
      </c>
      <c r="B2947" t="str">
        <f>"1578728227375742"</f>
        <v>1578728227375742</v>
      </c>
      <c r="C2947" t="s">
        <v>37</v>
      </c>
      <c r="D2947">
        <v>5.8726310000000002</v>
      </c>
      <c r="E2947">
        <v>0.42173640000000001</v>
      </c>
      <c r="F2947" t="s">
        <v>48</v>
      </c>
      <c r="G2947">
        <v>-425.28039999999999</v>
      </c>
      <c r="H2947" s="1">
        <v>2.8830549999999998E-6</v>
      </c>
      <c r="I2947">
        <v>216.27369999999999</v>
      </c>
      <c r="J2947">
        <v>-435.81920000000002</v>
      </c>
      <c r="K2947">
        <v>1.104884</v>
      </c>
      <c r="L2947">
        <v>213.27979999999999</v>
      </c>
      <c r="M2947">
        <v>0.9973535</v>
      </c>
      <c r="N2947">
        <v>0</v>
      </c>
      <c r="O2947">
        <v>7.2618890000000005E-2</v>
      </c>
      <c r="P2947">
        <v>0.99769289999999999</v>
      </c>
      <c r="Q2947">
        <v>-1.4710610000000001E-2</v>
      </c>
      <c r="R2947">
        <v>6.6277840000000005E-2</v>
      </c>
      <c r="S2947">
        <v>2.9482729999999999</v>
      </c>
      <c r="T2947">
        <v>-0.2964717</v>
      </c>
      <c r="U2947">
        <v>0.81210329999999997</v>
      </c>
      <c r="V2947">
        <v>6.4112400000000003E-3</v>
      </c>
      <c r="W2947">
        <v>-1.1093560000000001E-2</v>
      </c>
      <c r="X2947">
        <v>0.99991790000000003</v>
      </c>
      <c r="Y2947">
        <v>-0.19427920000000001</v>
      </c>
      <c r="Z2947">
        <v>2.4370260000000001E-3</v>
      </c>
      <c r="AA2947">
        <v>0.98094329999999996</v>
      </c>
      <c r="AB2947">
        <v>46</v>
      </c>
      <c r="AC2947">
        <v>10.5388</v>
      </c>
      <c r="AD2947">
        <v>-1.1048811169449999</v>
      </c>
      <c r="AE2947">
        <v>2.9938999999999898</v>
      </c>
      <c r="AF2947">
        <v>-2.19831658218096</v>
      </c>
      <c r="AG2947">
        <v>-1.1048811169449999</v>
      </c>
      <c r="AH2947">
        <v>10.6203752672495</v>
      </c>
      <c r="AI2947">
        <v>95.816914896769603</v>
      </c>
      <c r="AJ2947">
        <v>101.694529900243</v>
      </c>
      <c r="AK2947">
        <v>10.9016388169522</v>
      </c>
    </row>
    <row r="2948" spans="1:37" x14ac:dyDescent="0.2">
      <c r="A2948" t="str">
        <f>"20200111153707409"</f>
        <v>20200111153707409</v>
      </c>
      <c r="B2948" t="str">
        <f>"1578728227405995"</f>
        <v>1578728227405995</v>
      </c>
      <c r="C2948" t="s">
        <v>37</v>
      </c>
      <c r="D2948">
        <v>5.8941980000000003</v>
      </c>
      <c r="E2948">
        <v>0.42190280000000002</v>
      </c>
      <c r="F2948" t="s">
        <v>48</v>
      </c>
      <c r="G2948">
        <v>-424.71129999999999</v>
      </c>
      <c r="H2948" s="1">
        <v>2.978148E-6</v>
      </c>
      <c r="I2948">
        <v>216.3407</v>
      </c>
      <c r="J2948">
        <v>-435.36489999999998</v>
      </c>
      <c r="K2948">
        <v>1.1047709999999999</v>
      </c>
      <c r="L2948">
        <v>213.31360000000001</v>
      </c>
      <c r="M2948">
        <v>0.99724419999999903</v>
      </c>
      <c r="N2948">
        <v>0</v>
      </c>
      <c r="O2948">
        <v>7.4100810000000003E-2</v>
      </c>
      <c r="P2948">
        <v>0.99773719999999999</v>
      </c>
      <c r="Q2948">
        <v>-1.2898929999999999E-2</v>
      </c>
      <c r="R2948">
        <v>6.5988030000000003E-2</v>
      </c>
      <c r="S2948">
        <v>2.948639</v>
      </c>
      <c r="T2948">
        <v>-0.29329499999999997</v>
      </c>
      <c r="U2948">
        <v>0.81253050000000004</v>
      </c>
      <c r="V2948">
        <v>8.1760029999999994E-3</v>
      </c>
      <c r="W2948">
        <v>-9.2254219999999901E-3</v>
      </c>
      <c r="X2948">
        <v>0.99992399999999904</v>
      </c>
      <c r="Y2948">
        <v>-0.1929476</v>
      </c>
      <c r="Z2948">
        <v>2.2024779999999999E-3</v>
      </c>
      <c r="AA2948">
        <v>0.98120659999999904</v>
      </c>
      <c r="AB2948">
        <v>46</v>
      </c>
      <c r="AC2948">
        <v>10.6535999999999</v>
      </c>
      <c r="AD2948">
        <v>-1.104768021852</v>
      </c>
      <c r="AE2948">
        <v>3.0270999999999901</v>
      </c>
      <c r="AF2948">
        <v>-2.2073684233476398</v>
      </c>
      <c r="AG2948">
        <v>-1.104768021852</v>
      </c>
      <c r="AH2948">
        <v>10.7417402099335</v>
      </c>
      <c r="AI2948">
        <v>95.752742004355497</v>
      </c>
      <c r="AJ2948">
        <v>101.61231311286301</v>
      </c>
      <c r="AK2948">
        <v>11.021704517732401</v>
      </c>
    </row>
    <row r="2949" spans="1:37" x14ac:dyDescent="0.2">
      <c r="A2949" t="str">
        <f>"20200111153707432"</f>
        <v>20200111153707432</v>
      </c>
      <c r="B2949" t="str">
        <f>"1578728227425516"</f>
        <v>1578728227425516</v>
      </c>
      <c r="C2949" t="s">
        <v>37</v>
      </c>
      <c r="D2949">
        <v>5.8925199999999904</v>
      </c>
      <c r="E2949">
        <v>0.42208869999999998</v>
      </c>
      <c r="F2949" t="s">
        <v>48</v>
      </c>
      <c r="G2949">
        <v>-424.18310000000002</v>
      </c>
      <c r="H2949" s="1">
        <v>3.0680309999999999E-6</v>
      </c>
      <c r="I2949">
        <v>216.38419999999999</v>
      </c>
      <c r="J2949">
        <v>-434.89659999999998</v>
      </c>
      <c r="K2949">
        <v>1.10463</v>
      </c>
      <c r="L2949">
        <v>213.34899999999999</v>
      </c>
      <c r="M2949">
        <v>0.99714199999999997</v>
      </c>
      <c r="N2949">
        <v>0</v>
      </c>
      <c r="O2949">
        <v>7.5461100000000003E-2</v>
      </c>
      <c r="P2949">
        <v>0.99774280000000004</v>
      </c>
      <c r="Q2949">
        <v>-1.2943710000000001E-2</v>
      </c>
      <c r="R2949">
        <v>6.5892149999999997E-2</v>
      </c>
      <c r="S2949">
        <v>2.9494319999999998</v>
      </c>
      <c r="T2949">
        <v>-0.29140509999999997</v>
      </c>
      <c r="U2949">
        <v>0.80993649999999995</v>
      </c>
      <c r="V2949">
        <v>9.6328549999999992E-3</v>
      </c>
      <c r="W2949">
        <v>-9.2152109999999992E-3</v>
      </c>
      <c r="X2949">
        <v>0.99991109999999905</v>
      </c>
      <c r="Y2949">
        <v>-0.19076189999999901</v>
      </c>
      <c r="Z2949">
        <v>1.951492E-3</v>
      </c>
      <c r="AA2949">
        <v>0.98163440000000002</v>
      </c>
      <c r="AB2949">
        <v>46</v>
      </c>
      <c r="AC2949">
        <v>10.7134999999999</v>
      </c>
      <c r="AD2949">
        <v>-1.1046269319690001</v>
      </c>
      <c r="AE2949">
        <v>3.0351999999999699</v>
      </c>
      <c r="AF2949">
        <v>-2.1964723389040999</v>
      </c>
      <c r="AG2949">
        <v>-1.1046269319690001</v>
      </c>
      <c r="AH2949">
        <v>10.8056552919121</v>
      </c>
      <c r="AI2949">
        <v>95.720694242092506</v>
      </c>
      <c r="AJ2949">
        <v>101.490004381209</v>
      </c>
      <c r="AK2949">
        <v>11.0818264596604</v>
      </c>
    </row>
    <row r="2950" spans="1:37" x14ac:dyDescent="0.2">
      <c r="A2950" t="str">
        <f>"20200111153707453"</f>
        <v>20200111153707453</v>
      </c>
      <c r="B2950" t="str">
        <f>"1578728227446012"</f>
        <v>1578728227446012</v>
      </c>
      <c r="C2950" t="s">
        <v>37</v>
      </c>
      <c r="D2950">
        <v>5.8711169999999999</v>
      </c>
      <c r="E2950">
        <v>0.42223440000000001</v>
      </c>
      <c r="F2950" t="s">
        <v>48</v>
      </c>
      <c r="G2950">
        <v>-423.80689999999998</v>
      </c>
      <c r="H2950" s="1">
        <v>3.134547E-6</v>
      </c>
      <c r="I2950">
        <v>216.38669999999999</v>
      </c>
      <c r="J2950">
        <v>-434.44909999999999</v>
      </c>
      <c r="K2950">
        <v>1.1044780000000001</v>
      </c>
      <c r="L2950">
        <v>213.38339999999999</v>
      </c>
      <c r="M2950">
        <v>0.99705569999999899</v>
      </c>
      <c r="N2950">
        <v>0</v>
      </c>
      <c r="O2950">
        <v>7.6590759999999994E-2</v>
      </c>
      <c r="P2950">
        <v>0.99768919999999905</v>
      </c>
      <c r="Q2950">
        <v>-1.2809330000000001E-2</v>
      </c>
      <c r="R2950">
        <v>6.672604E-2</v>
      </c>
      <c r="S2950">
        <v>2.949646</v>
      </c>
      <c r="T2950">
        <v>-0.29380909999999999</v>
      </c>
      <c r="U2950">
        <v>0.80796809999999997</v>
      </c>
      <c r="V2950">
        <v>9.92588199999999E-3</v>
      </c>
      <c r="W2950">
        <v>-9.0345430000000008E-3</v>
      </c>
      <c r="X2950">
        <v>0.99990990000000002</v>
      </c>
      <c r="Y2950">
        <v>-0.18902669999999999</v>
      </c>
      <c r="Z2950">
        <v>1.77341E-3</v>
      </c>
      <c r="AA2950">
        <v>0.98197040000000002</v>
      </c>
      <c r="AB2950">
        <v>46</v>
      </c>
      <c r="AC2950">
        <v>10.642200000000001</v>
      </c>
      <c r="AD2950">
        <v>-1.1044748654530001</v>
      </c>
      <c r="AE2950">
        <v>3.0032999999999901</v>
      </c>
      <c r="AF2950">
        <v>-2.1578508471551499</v>
      </c>
      <c r="AG2950">
        <v>-1.1044748654530001</v>
      </c>
      <c r="AH2950">
        <v>10.733881477039001</v>
      </c>
      <c r="AI2950">
        <v>95.760390282448299</v>
      </c>
      <c r="AJ2950">
        <v>101.366761779912</v>
      </c>
      <c r="AK2950">
        <v>11.0041990426431</v>
      </c>
    </row>
    <row r="2951" spans="1:37" x14ac:dyDescent="0.2">
      <c r="A2951" t="str">
        <f>"20200111153707477"</f>
        <v>20200111153707477</v>
      </c>
      <c r="B2951" t="str">
        <f>"1578728227465531"</f>
        <v>1578728227465531</v>
      </c>
      <c r="C2951" t="s">
        <v>37</v>
      </c>
      <c r="D2951">
        <v>5.8469519999999999</v>
      </c>
      <c r="E2951">
        <v>0.42224729999999999</v>
      </c>
      <c r="F2951" t="s">
        <v>48</v>
      </c>
      <c r="G2951">
        <v>-423.44199999999898</v>
      </c>
      <c r="H2951" s="1">
        <v>3.197849E-6</v>
      </c>
      <c r="I2951">
        <v>216.40289999999999</v>
      </c>
      <c r="J2951">
        <v>-433.97829999999999</v>
      </c>
      <c r="K2951">
        <v>1.104306</v>
      </c>
      <c r="L2951">
        <v>213.42</v>
      </c>
      <c r="M2951">
        <v>0.99697809999999898</v>
      </c>
      <c r="N2951">
        <v>0</v>
      </c>
      <c r="O2951">
        <v>7.7591060000000003E-2</v>
      </c>
      <c r="P2951">
        <v>0.99757940000000001</v>
      </c>
      <c r="Q2951">
        <v>-1.2971659999999999E-2</v>
      </c>
      <c r="R2951">
        <v>6.8316150000000006E-2</v>
      </c>
      <c r="S2951">
        <v>2.9490660000000002</v>
      </c>
      <c r="T2951">
        <v>-0.29591689999999998</v>
      </c>
      <c r="U2951">
        <v>0.80900569999999905</v>
      </c>
      <c r="V2951">
        <v>9.3318269999999991E-3</v>
      </c>
      <c r="W2951">
        <v>-9.1522040000000006E-3</v>
      </c>
      <c r="X2951">
        <v>0.99991459999999999</v>
      </c>
      <c r="Y2951">
        <v>-0.1884121</v>
      </c>
      <c r="Z2951">
        <v>1.658557E-3</v>
      </c>
      <c r="AA2951">
        <v>0.98208869999999904</v>
      </c>
      <c r="AB2951">
        <v>46</v>
      </c>
      <c r="AC2951">
        <v>10.536300000000001</v>
      </c>
      <c r="AD2951">
        <v>-1.104302802151</v>
      </c>
      <c r="AE2951">
        <v>2.9828999999999999</v>
      </c>
      <c r="AF2951">
        <v>-2.1346693526040998</v>
      </c>
      <c r="AG2951">
        <v>-1.104302802151</v>
      </c>
      <c r="AH2951">
        <v>10.627898917242799</v>
      </c>
      <c r="AI2951">
        <v>95.816738305653502</v>
      </c>
      <c r="AJ2951">
        <v>101.35704253374099</v>
      </c>
      <c r="AK2951">
        <v>10.8962623554555</v>
      </c>
    </row>
    <row r="2952" spans="1:37" x14ac:dyDescent="0.2">
      <c r="A2952" t="str">
        <f>"20200111153707498"</f>
        <v>20200111153707498</v>
      </c>
      <c r="B2952" t="str">
        <f>"1578728227495787"</f>
        <v>1578728227495787</v>
      </c>
      <c r="C2952" t="s">
        <v>37</v>
      </c>
      <c r="D2952">
        <v>5.8346109999999998</v>
      </c>
      <c r="E2952">
        <v>0.4223768</v>
      </c>
      <c r="F2952" t="s">
        <v>48</v>
      </c>
      <c r="G2952">
        <v>-423.12199999999899</v>
      </c>
      <c r="H2952" s="1">
        <v>3.25354899999999E-6</v>
      </c>
      <c r="I2952">
        <v>216.4152</v>
      </c>
      <c r="J2952">
        <v>-433.53750000000002</v>
      </c>
      <c r="K2952">
        <v>1.1041239999999899</v>
      </c>
      <c r="L2952">
        <v>213.4546</v>
      </c>
      <c r="M2952">
        <v>0.99691960000000002</v>
      </c>
      <c r="N2952">
        <v>0</v>
      </c>
      <c r="O2952">
        <v>7.8338759999999993E-2</v>
      </c>
      <c r="P2952">
        <v>0.99754609999999899</v>
      </c>
      <c r="Q2952">
        <v>-1.3134430000000001E-2</v>
      </c>
      <c r="R2952">
        <v>6.8771440000000003E-2</v>
      </c>
      <c r="S2952">
        <v>2.947632</v>
      </c>
      <c r="T2952">
        <v>-0.29983369999999998</v>
      </c>
      <c r="U2952">
        <v>0.81323239999999997</v>
      </c>
      <c r="V2952">
        <v>9.6216870000000003E-3</v>
      </c>
      <c r="W2952">
        <v>-9.2696589999999995E-3</v>
      </c>
      <c r="X2952">
        <v>0.99991079999999999</v>
      </c>
      <c r="Y2952">
        <v>-0.18909289999999901</v>
      </c>
      <c r="Z2952">
        <v>1.6409739999999999E-3</v>
      </c>
      <c r="AA2952">
        <v>0.98195789999999905</v>
      </c>
      <c r="AB2952">
        <v>46</v>
      </c>
      <c r="AC2952">
        <v>10.4155</v>
      </c>
      <c r="AD2952">
        <v>-1.1041207464509999</v>
      </c>
      <c r="AE2952">
        <v>2.9605999999999901</v>
      </c>
      <c r="AF2952">
        <v>-2.1135821881199202</v>
      </c>
      <c r="AG2952">
        <v>-1.1041207464509999</v>
      </c>
      <c r="AH2952">
        <v>10.5061840594265</v>
      </c>
      <c r="AI2952">
        <v>95.882331453686405</v>
      </c>
      <c r="AJ2952">
        <v>101.37465423208501</v>
      </c>
      <c r="AK2952">
        <v>10.7734031660952</v>
      </c>
    </row>
    <row r="2953" spans="1:37" x14ac:dyDescent="0.2">
      <c r="A2953" t="str">
        <f>"20200111153707522"</f>
        <v>20200111153707522</v>
      </c>
      <c r="B2953" t="str">
        <f>"1578728227516284"</f>
        <v>1578728227516284</v>
      </c>
      <c r="C2953" t="s">
        <v>37</v>
      </c>
      <c r="D2953">
        <v>5.8495330000000001</v>
      </c>
      <c r="E2953">
        <v>0.42242659999999999</v>
      </c>
      <c r="F2953" t="s">
        <v>48</v>
      </c>
      <c r="G2953">
        <v>-422.85570000000001</v>
      </c>
      <c r="H2953" s="1">
        <v>3.3019909999999999E-6</v>
      </c>
      <c r="I2953">
        <v>216.4014</v>
      </c>
      <c r="J2953">
        <v>-433.0557</v>
      </c>
      <c r="K2953">
        <v>1.1039190000000001</v>
      </c>
      <c r="L2953">
        <v>213.49270000000001</v>
      </c>
      <c r="M2953">
        <v>0.99687119999999996</v>
      </c>
      <c r="N2953">
        <v>0</v>
      </c>
      <c r="O2953">
        <v>7.894864E-2</v>
      </c>
      <c r="P2953">
        <v>0.99757469999999904</v>
      </c>
      <c r="Q2953">
        <v>-1.2927259999999999E-2</v>
      </c>
      <c r="R2953">
        <v>6.8394360000000001E-2</v>
      </c>
      <c r="S2953">
        <v>2.947327</v>
      </c>
      <c r="T2953">
        <v>-0.30464949999999902</v>
      </c>
      <c r="U2953">
        <v>0.81309509999999996</v>
      </c>
      <c r="V2953">
        <v>1.060616E-2</v>
      </c>
      <c r="W2953">
        <v>-9.0110299999999997E-3</v>
      </c>
      <c r="X2953">
        <v>0.99990309999999905</v>
      </c>
      <c r="Y2953">
        <v>-0.18846470000000001</v>
      </c>
      <c r="Z2953">
        <v>1.574317E-3</v>
      </c>
      <c r="AA2953">
        <v>0.98207869999999997</v>
      </c>
      <c r="AB2953">
        <v>46</v>
      </c>
      <c r="AC2953">
        <v>10.1999999999999</v>
      </c>
      <c r="AD2953">
        <v>-1.1039156980089999</v>
      </c>
      <c r="AE2953">
        <v>2.9086999999999801</v>
      </c>
      <c r="AF2953">
        <v>-2.0718955425235102</v>
      </c>
      <c r="AG2953">
        <v>-1.1039156980089999</v>
      </c>
      <c r="AH2953">
        <v>10.2863774904868</v>
      </c>
      <c r="AI2953">
        <v>96.005728196917403</v>
      </c>
      <c r="AJ2953">
        <v>101.388213510781</v>
      </c>
      <c r="AK2953">
        <v>10.5508740341373</v>
      </c>
    </row>
    <row r="2954" spans="1:37" x14ac:dyDescent="0.2">
      <c r="A2954" t="str">
        <f>"20200111153707543"</f>
        <v>20200111153707543</v>
      </c>
      <c r="B2954" t="str">
        <f>"1578728227535803"</f>
        <v>1578728227535803</v>
      </c>
      <c r="C2954" t="s">
        <v>37</v>
      </c>
      <c r="D2954">
        <v>5.8567279999999897</v>
      </c>
      <c r="E2954">
        <v>0.42244409999999999</v>
      </c>
      <c r="F2954" t="s">
        <v>48</v>
      </c>
      <c r="G2954">
        <v>-422.48059999999998</v>
      </c>
      <c r="H2954" s="1">
        <v>3.3684440000000002E-6</v>
      </c>
      <c r="I2954">
        <v>216.4024</v>
      </c>
      <c r="J2954">
        <v>-432.59429999999998</v>
      </c>
      <c r="K2954">
        <v>1.1037299999999901</v>
      </c>
      <c r="L2954">
        <v>213.52930000000001</v>
      </c>
      <c r="M2954">
        <v>0.99683829999999995</v>
      </c>
      <c r="N2954">
        <v>0</v>
      </c>
      <c r="O2954">
        <v>7.9359269999999996E-2</v>
      </c>
      <c r="P2954">
        <v>0.99758029999999998</v>
      </c>
      <c r="Q2954">
        <v>-1.300374E-2</v>
      </c>
      <c r="R2954">
        <v>6.8298910000000004E-2</v>
      </c>
      <c r="S2954">
        <v>2.9477229999999999</v>
      </c>
      <c r="T2954">
        <v>-0.30770639999999999</v>
      </c>
      <c r="U2954">
        <v>0.81105039999999995</v>
      </c>
      <c r="V2954">
        <v>1.1109519999999999E-2</v>
      </c>
      <c r="W2954">
        <v>-9.0396969999999993E-3</v>
      </c>
      <c r="X2954">
        <v>0.99989740000000005</v>
      </c>
      <c r="Y2954">
        <v>-0.18738959999999999</v>
      </c>
      <c r="Z2954">
        <v>1.49331299999999E-3</v>
      </c>
      <c r="AA2954">
        <v>0.98228449999999901</v>
      </c>
      <c r="AB2954">
        <v>47</v>
      </c>
      <c r="AC2954">
        <v>10.1136999999999</v>
      </c>
      <c r="AD2954">
        <v>-1.1037266315559999</v>
      </c>
      <c r="AE2954">
        <v>2.8730999999999902</v>
      </c>
      <c r="AF2954">
        <v>-2.0389462631181701</v>
      </c>
      <c r="AG2954">
        <v>-1.1037266315559999</v>
      </c>
      <c r="AH2954">
        <v>10.1974308663321</v>
      </c>
      <c r="AI2954">
        <v>96.058405236645001</v>
      </c>
      <c r="AJ2954">
        <v>101.307015554575</v>
      </c>
      <c r="AK2954">
        <v>10.457681894890101</v>
      </c>
    </row>
    <row r="2955" spans="1:37" x14ac:dyDescent="0.2">
      <c r="A2955" t="str">
        <f>"20200111153707566"</f>
        <v>20200111153707566</v>
      </c>
      <c r="B2955" t="str">
        <f>"1578728227556299"</f>
        <v>1578728227556299</v>
      </c>
      <c r="C2955" t="s">
        <v>37</v>
      </c>
      <c r="D2955">
        <v>5.8863300000000001</v>
      </c>
      <c r="E2955">
        <v>0.42241980000000001</v>
      </c>
      <c r="F2955" t="s">
        <v>48</v>
      </c>
      <c r="G2955">
        <v>-422.1678</v>
      </c>
      <c r="H2955" s="1">
        <v>3.4247099999999999E-6</v>
      </c>
      <c r="I2955">
        <v>216.39340000000001</v>
      </c>
      <c r="J2955">
        <v>-432.12009999999998</v>
      </c>
      <c r="K2955">
        <v>1.10355</v>
      </c>
      <c r="L2955">
        <v>213.56720000000001</v>
      </c>
      <c r="M2955">
        <v>0.99681540000000002</v>
      </c>
      <c r="N2955">
        <v>0</v>
      </c>
      <c r="O2955">
        <v>7.9644549999999995E-2</v>
      </c>
      <c r="P2955">
        <v>0.99748060000000005</v>
      </c>
      <c r="Q2955">
        <v>-1.371173E-2</v>
      </c>
      <c r="R2955">
        <v>6.9604230000000003E-2</v>
      </c>
      <c r="S2955">
        <v>2.9477540000000002</v>
      </c>
      <c r="T2955">
        <v>-0.31204340000000003</v>
      </c>
      <c r="U2955">
        <v>0.80973819999999996</v>
      </c>
      <c r="V2955">
        <v>1.0084070000000001E-2</v>
      </c>
      <c r="W2955">
        <v>-9.6866590000000002E-3</v>
      </c>
      <c r="X2955">
        <v>0.99990219999999896</v>
      </c>
      <c r="Y2955">
        <v>-0.18668889999999999</v>
      </c>
      <c r="Z2955">
        <v>1.448628E-3</v>
      </c>
      <c r="AA2955">
        <v>0.98241800000000001</v>
      </c>
      <c r="AB2955">
        <v>47</v>
      </c>
      <c r="AC2955">
        <v>9.9522999999999797</v>
      </c>
      <c r="AD2955">
        <v>-1.10354657529</v>
      </c>
      <c r="AE2955">
        <v>2.8262</v>
      </c>
      <c r="AF2955">
        <v>-2.0017935110435801</v>
      </c>
      <c r="AG2955">
        <v>-1.10354657529</v>
      </c>
      <c r="AH2955">
        <v>10.031640956344599</v>
      </c>
      <c r="AI2955">
        <v>96.1572391664116</v>
      </c>
      <c r="AJ2955">
        <v>101.28502660453201</v>
      </c>
      <c r="AK2955">
        <v>10.288771189102301</v>
      </c>
    </row>
    <row r="2956" spans="1:37" x14ac:dyDescent="0.2">
      <c r="A2956" t="str">
        <f>"20200111153707588"</f>
        <v>20200111153707588</v>
      </c>
      <c r="B2956" t="str">
        <f>"1578728227585579"</f>
        <v>1578728227585579</v>
      </c>
      <c r="C2956" t="s">
        <v>37</v>
      </c>
      <c r="D2956">
        <v>5.9071610000000003</v>
      </c>
      <c r="E2956">
        <v>0.42238909999999902</v>
      </c>
      <c r="F2956" t="s">
        <v>48</v>
      </c>
      <c r="G2956">
        <v>-421.86590000000001</v>
      </c>
      <c r="H2956" s="1">
        <v>3.4779479999999998E-6</v>
      </c>
      <c r="I2956">
        <v>216.39699999999999</v>
      </c>
      <c r="J2956">
        <v>-431.64940000000001</v>
      </c>
      <c r="K2956">
        <v>1.103416</v>
      </c>
      <c r="L2956">
        <v>213.60480000000001</v>
      </c>
      <c r="M2956">
        <v>0.99680249999999904</v>
      </c>
      <c r="N2956">
        <v>0</v>
      </c>
      <c r="O2956">
        <v>7.9798380000000002E-2</v>
      </c>
      <c r="P2956">
        <v>0.99736089999999999</v>
      </c>
      <c r="Q2956">
        <v>-1.432391E-2</v>
      </c>
      <c r="R2956">
        <v>7.1176390000000006E-2</v>
      </c>
      <c r="S2956">
        <v>2.9465029999999999</v>
      </c>
      <c r="T2956">
        <v>-0.31710060000000001</v>
      </c>
      <c r="U2956">
        <v>0.81315609999999905</v>
      </c>
      <c r="V2956">
        <v>8.6589100000000006E-3</v>
      </c>
      <c r="W2956">
        <v>-1.015016E-2</v>
      </c>
      <c r="X2956">
        <v>0.99991099999999999</v>
      </c>
      <c r="Y2956">
        <v>-0.18768029999999999</v>
      </c>
      <c r="Z2956">
        <v>1.5085910000000001E-3</v>
      </c>
      <c r="AA2956">
        <v>0.98222900000000002</v>
      </c>
      <c r="AB2956">
        <v>47</v>
      </c>
      <c r="AC2956">
        <v>9.7835000000000001</v>
      </c>
      <c r="AD2956">
        <v>-1.1034125220519999</v>
      </c>
      <c r="AE2956">
        <v>2.7921999999999998</v>
      </c>
      <c r="AF2956">
        <v>-1.97930103805031</v>
      </c>
      <c r="AG2956">
        <v>-1.1034125220519999</v>
      </c>
      <c r="AH2956">
        <v>9.8591520618187101</v>
      </c>
      <c r="AI2956">
        <v>96.2619115564857</v>
      </c>
      <c r="AJ2956">
        <v>101.35167159974699</v>
      </c>
      <c r="AK2956">
        <v>10.1162261328576</v>
      </c>
    </row>
    <row r="2957" spans="1:37" x14ac:dyDescent="0.2">
      <c r="A2957" t="str">
        <f>"20200111153707612"</f>
        <v>20200111153707612</v>
      </c>
      <c r="B2957" t="str">
        <f>"1578728227606078"</f>
        <v>1578728227606078</v>
      </c>
      <c r="C2957" t="s">
        <v>37</v>
      </c>
      <c r="D2957">
        <v>6.0727650000000004</v>
      </c>
      <c r="E2957">
        <v>0.42237370000000002</v>
      </c>
      <c r="F2957" t="s">
        <v>48</v>
      </c>
      <c r="G2957">
        <v>-421.54250000000002</v>
      </c>
      <c r="H2957" s="1">
        <v>3.5340369999999999E-6</v>
      </c>
      <c r="I2957">
        <v>216.41159999999999</v>
      </c>
      <c r="J2957">
        <v>-431.1352</v>
      </c>
      <c r="K2957">
        <v>1.103321</v>
      </c>
      <c r="L2957">
        <v>213.64590000000001</v>
      </c>
      <c r="M2957">
        <v>0.99679879999999998</v>
      </c>
      <c r="N2957">
        <v>0</v>
      </c>
      <c r="O2957">
        <v>7.9824889999999996E-2</v>
      </c>
      <c r="P2957">
        <v>0.99732790000000004</v>
      </c>
      <c r="Q2957">
        <v>-1.388409E-2</v>
      </c>
      <c r="R2957">
        <v>7.1724620000000003E-2</v>
      </c>
      <c r="S2957">
        <v>2.9449459999999998</v>
      </c>
      <c r="T2957">
        <v>-0.3215134</v>
      </c>
      <c r="U2957">
        <v>0.81784060000000003</v>
      </c>
      <c r="V2957">
        <v>8.1305279999999997E-3</v>
      </c>
      <c r="W2957">
        <v>-9.3576119999999995E-3</v>
      </c>
      <c r="X2957">
        <v>0.99992320000000001</v>
      </c>
      <c r="Y2957">
        <v>-0.1892134</v>
      </c>
      <c r="Z2957">
        <v>1.6091409999999999E-3</v>
      </c>
      <c r="AA2957">
        <v>0.98193469999999905</v>
      </c>
      <c r="AB2957">
        <v>47</v>
      </c>
      <c r="AC2957">
        <v>9.5926999999999794</v>
      </c>
      <c r="AD2957">
        <v>-1.1033174659630001</v>
      </c>
      <c r="AE2957">
        <v>2.7656999999999798</v>
      </c>
      <c r="AF2957">
        <v>-1.9671049882302101</v>
      </c>
      <c r="AG2957">
        <v>-1.1033174659630001</v>
      </c>
      <c r="AH2957">
        <v>9.6648205557864006</v>
      </c>
      <c r="AI2957">
        <v>96.382832379800604</v>
      </c>
      <c r="AJ2957">
        <v>101.504411861134</v>
      </c>
      <c r="AK2957">
        <v>9.9244933291816206</v>
      </c>
    </row>
    <row r="2958" spans="1:37" x14ac:dyDescent="0.2">
      <c r="A2958" t="str">
        <f>"20200111153707634"</f>
        <v>20200111153707634</v>
      </c>
      <c r="B2958" t="str">
        <f>"1578728227625596"</f>
        <v>1578728227625596</v>
      </c>
      <c r="C2958" t="s">
        <v>37</v>
      </c>
      <c r="D2958">
        <v>5.9435029999999998</v>
      </c>
      <c r="E2958">
        <v>0.42325299999999999</v>
      </c>
      <c r="F2958" t="s">
        <v>48</v>
      </c>
      <c r="G2958">
        <v>-421.00029999999998</v>
      </c>
      <c r="H2958" s="1">
        <v>3.625292E-6</v>
      </c>
      <c r="I2958">
        <v>216.46799999999999</v>
      </c>
      <c r="J2958">
        <v>-430.69709999999998</v>
      </c>
      <c r="K2958">
        <v>1.1032919999999999</v>
      </c>
      <c r="L2958">
        <v>213.68090000000001</v>
      </c>
      <c r="M2958">
        <v>0.99680360000000001</v>
      </c>
      <c r="N2958">
        <v>0</v>
      </c>
      <c r="O2958">
        <v>7.9733970000000001E-2</v>
      </c>
      <c r="P2958">
        <v>0.99743369999999998</v>
      </c>
      <c r="Q2958">
        <v>-1.1784640000000001E-2</v>
      </c>
      <c r="R2958">
        <v>7.0620799999999997E-2</v>
      </c>
      <c r="S2958">
        <v>2.9446409999999998</v>
      </c>
      <c r="T2958">
        <v>-0.32056249999999997</v>
      </c>
      <c r="U2958">
        <v>0.81993099999999997</v>
      </c>
      <c r="V2958">
        <v>9.1419280000000006E-3</v>
      </c>
      <c r="W2958">
        <v>-6.7513259999999898E-3</v>
      </c>
      <c r="X2958">
        <v>0.99993539999999903</v>
      </c>
      <c r="Y2958">
        <v>-0.1899749</v>
      </c>
      <c r="Z2958">
        <v>1.6546359999999999E-3</v>
      </c>
      <c r="AA2958">
        <v>0.98178759999999998</v>
      </c>
      <c r="AB2958">
        <v>47</v>
      </c>
      <c r="AC2958">
        <v>9.6967999999999908</v>
      </c>
      <c r="AD2958">
        <v>-1.103288374708</v>
      </c>
      <c r="AE2958">
        <v>2.7870999999999801</v>
      </c>
      <c r="AF2958">
        <v>-1.9813595725028501</v>
      </c>
      <c r="AG2958">
        <v>-1.103288374708</v>
      </c>
      <c r="AH2958">
        <v>9.7713131600135696</v>
      </c>
      <c r="AI2958">
        <v>96.314596744461696</v>
      </c>
      <c r="AJ2958">
        <v>101.46262720353801</v>
      </c>
      <c r="AK2958">
        <v>10.031031445687301</v>
      </c>
    </row>
    <row r="2959" spans="1:37" x14ac:dyDescent="0.2">
      <c r="A2959" t="str">
        <f>"20200111153707655"</f>
        <v>20200111153707655</v>
      </c>
      <c r="B2959" t="str">
        <f>"1578728227646092"</f>
        <v>1578728227646092</v>
      </c>
      <c r="C2959" t="s">
        <v>37</v>
      </c>
      <c r="D2959">
        <v>5.9633989999999999</v>
      </c>
      <c r="E2959">
        <v>0.49227890000000002</v>
      </c>
      <c r="F2959" t="s">
        <v>48</v>
      </c>
      <c r="G2959">
        <v>-420.3691</v>
      </c>
      <c r="H2959" s="1">
        <v>3.7327459999999999E-6</v>
      </c>
      <c r="I2959">
        <v>216.51949999999999</v>
      </c>
      <c r="J2959">
        <v>-430.2244</v>
      </c>
      <c r="K2959">
        <v>1.1032949999999999</v>
      </c>
      <c r="L2959">
        <v>213.71860000000001</v>
      </c>
      <c r="M2959">
        <v>0.99681540000000002</v>
      </c>
      <c r="N2959">
        <v>0</v>
      </c>
      <c r="O2959">
        <v>7.9533759999999995E-2</v>
      </c>
      <c r="P2959">
        <v>0.99761819999999901</v>
      </c>
      <c r="Q2959">
        <v>-1.0178100000000001E-2</v>
      </c>
      <c r="R2959">
        <v>6.8223690000000003E-2</v>
      </c>
      <c r="S2959">
        <v>2.9466549999999998</v>
      </c>
      <c r="T2959">
        <v>-0.31477810000000001</v>
      </c>
      <c r="U2959">
        <v>0.80987549999999997</v>
      </c>
      <c r="V2959">
        <v>1.1341199999999999E-2</v>
      </c>
      <c r="W2959">
        <v>-4.3936449999999998E-3</v>
      </c>
      <c r="X2959">
        <v>0.99992599999999998</v>
      </c>
      <c r="Y2959">
        <v>-0.18692159999999999</v>
      </c>
      <c r="Z2959">
        <v>1.4853729999999999E-3</v>
      </c>
      <c r="AA2959">
        <v>0.98237369999999902</v>
      </c>
      <c r="AB2959">
        <v>47</v>
      </c>
      <c r="AC2959">
        <v>9.8552999999999997</v>
      </c>
      <c r="AD2959">
        <v>-1.1032912672540001</v>
      </c>
      <c r="AE2959">
        <v>2.80089999999998</v>
      </c>
      <c r="AF2959">
        <v>-1.9851648588848501</v>
      </c>
      <c r="AG2959">
        <v>-1.1032912672540001</v>
      </c>
      <c r="AH2959">
        <v>9.9316814494570504</v>
      </c>
      <c r="AI2959">
        <v>96.216903610035104</v>
      </c>
      <c r="AJ2959">
        <v>101.303434273988</v>
      </c>
      <c r="AK2959">
        <v>10.1880531776605</v>
      </c>
    </row>
    <row r="2960" spans="1:37" x14ac:dyDescent="0.2">
      <c r="A2960" t="str">
        <f>"20200111153707679"</f>
        <v>20200111153707679</v>
      </c>
      <c r="B2960" t="str">
        <f>"1578728227676348"</f>
        <v>1578728227676348</v>
      </c>
      <c r="C2960" t="s">
        <v>37</v>
      </c>
      <c r="D2960">
        <v>5.9174829999999998</v>
      </c>
      <c r="E2960">
        <v>0.49495879999999998</v>
      </c>
      <c r="F2960" t="s">
        <v>38</v>
      </c>
      <c r="G2960">
        <v>-429.4171</v>
      </c>
      <c r="H2960">
        <v>1.0444020000000001</v>
      </c>
      <c r="I2960">
        <v>213.78799999999899</v>
      </c>
      <c r="J2960">
        <v>-429.7491</v>
      </c>
      <c r="K2960">
        <v>1.103237</v>
      </c>
      <c r="L2960">
        <v>213.75630000000001</v>
      </c>
      <c r="M2960">
        <v>0.99683569999999999</v>
      </c>
      <c r="N2960">
        <v>0</v>
      </c>
      <c r="O2960">
        <v>7.9233590000000007E-2</v>
      </c>
      <c r="P2960">
        <v>0.99763040000000003</v>
      </c>
      <c r="Q2960">
        <v>-1.1438149999999999E-2</v>
      </c>
      <c r="R2960">
        <v>6.7845299999999997E-2</v>
      </c>
      <c r="S2960">
        <v>2.9873660000000002</v>
      </c>
      <c r="T2960">
        <v>-0.21797059999999999</v>
      </c>
      <c r="U2960">
        <v>0.25706479999999998</v>
      </c>
      <c r="V2960">
        <v>1.141732E-2</v>
      </c>
      <c r="W2960">
        <v>-5.0505790000000004E-3</v>
      </c>
      <c r="X2960">
        <v>0.99992199999999998</v>
      </c>
      <c r="Y2960">
        <v>-6.7115419999999896E-3</v>
      </c>
      <c r="Z2960">
        <v>-5.5095409999999997E-3</v>
      </c>
      <c r="AA2960">
        <v>0.99996229999999997</v>
      </c>
      <c r="AB2960">
        <v>47</v>
      </c>
      <c r="AC2960">
        <v>0.33199999999999302</v>
      </c>
      <c r="AD2960">
        <v>-5.8834999999999901E-2</v>
      </c>
      <c r="AE2960">
        <v>3.1699999999972299E-2</v>
      </c>
      <c r="AF2960">
        <v>-5.1344577560707601E-3</v>
      </c>
      <c r="AG2960">
        <v>-5.8834999999999901E-2</v>
      </c>
      <c r="AH2960">
        <v>0.32340328861809797</v>
      </c>
      <c r="AI2960">
        <v>100.309474825816</v>
      </c>
      <c r="AJ2960">
        <v>90.909570361749502</v>
      </c>
      <c r="AK2960">
        <v>0.32875158854437497</v>
      </c>
    </row>
    <row r="2961" spans="1:37" x14ac:dyDescent="0.2">
      <c r="A2961" t="str">
        <f>"20200111153707700"</f>
        <v>20200111153707700</v>
      </c>
      <c r="B2961" t="str">
        <f>"1578728227695868"</f>
        <v>1578728227695868</v>
      </c>
      <c r="C2961" t="s">
        <v>37</v>
      </c>
      <c r="D2961">
        <v>5.8636759999999999</v>
      </c>
      <c r="E2961">
        <v>0.4944615</v>
      </c>
      <c r="F2961" t="s">
        <v>48</v>
      </c>
      <c r="G2961">
        <v>-414.82490000000001</v>
      </c>
      <c r="H2961" s="1">
        <v>3.0344219999999999E-6</v>
      </c>
      <c r="I2961">
        <v>214.9272</v>
      </c>
      <c r="J2961">
        <v>-429.29199999999997</v>
      </c>
      <c r="K2961">
        <v>1.1031469999999901</v>
      </c>
      <c r="L2961">
        <v>213.79249999999999</v>
      </c>
      <c r="M2961">
        <v>0.99686180000000002</v>
      </c>
      <c r="N2961">
        <v>0</v>
      </c>
      <c r="O2961">
        <v>7.8864660000000003E-2</v>
      </c>
      <c r="P2961">
        <v>0.99751259999999997</v>
      </c>
      <c r="Q2961">
        <v>-1.218531E-2</v>
      </c>
      <c r="R2961">
        <v>6.9425029999999999E-2</v>
      </c>
      <c r="S2961">
        <v>2.9886469999999998</v>
      </c>
      <c r="T2961">
        <v>-0.22092870000000001</v>
      </c>
      <c r="U2961">
        <v>0.23448179999999899</v>
      </c>
      <c r="V2961">
        <v>9.4617840000000009E-3</v>
      </c>
      <c r="W2961">
        <v>-5.3385439999999998E-3</v>
      </c>
      <c r="X2961">
        <v>0.99994099999999997</v>
      </c>
      <c r="Y2961">
        <v>4.3698949999999999E-4</v>
      </c>
      <c r="Z2961">
        <v>-5.8202710000000001E-3</v>
      </c>
      <c r="AA2961">
        <v>0.99998299999999996</v>
      </c>
      <c r="AB2961">
        <v>47</v>
      </c>
      <c r="AC2961">
        <v>14.467099999999901</v>
      </c>
      <c r="AD2961">
        <v>-1.103143965578</v>
      </c>
      <c r="AE2961">
        <v>1.1347</v>
      </c>
      <c r="AF2961">
        <v>9.7477379552526298E-3</v>
      </c>
      <c r="AG2961">
        <v>-1.103143965578</v>
      </c>
      <c r="AH2961">
        <v>14.4281500551732</v>
      </c>
      <c r="AI2961">
        <v>94.372199280824404</v>
      </c>
      <c r="AJ2961">
        <v>89.961290660443296</v>
      </c>
      <c r="AK2961">
        <v>14.470263841470899</v>
      </c>
    </row>
    <row r="2962" spans="1:37" x14ac:dyDescent="0.2">
      <c r="A2962" t="str">
        <f>"20200111153707722"</f>
        <v>20200111153707722</v>
      </c>
      <c r="B2962" t="str">
        <f>"1578728227716363"</f>
        <v>1578728227716363</v>
      </c>
      <c r="C2962" t="s">
        <v>37</v>
      </c>
      <c r="D2962">
        <v>5.9419329999999997</v>
      </c>
      <c r="E2962">
        <v>0.49498419999999999</v>
      </c>
      <c r="F2962" t="s">
        <v>38</v>
      </c>
      <c r="G2962">
        <v>-428.17869999999999</v>
      </c>
      <c r="H2962">
        <v>1.0182340000000001</v>
      </c>
      <c r="I2962">
        <v>213.8827</v>
      </c>
      <c r="J2962">
        <v>-428.8349</v>
      </c>
      <c r="K2962">
        <v>1.1030759999999999</v>
      </c>
      <c r="L2962">
        <v>213.82839999999999</v>
      </c>
      <c r="M2962">
        <v>0.996892</v>
      </c>
      <c r="N2962">
        <v>0</v>
      </c>
      <c r="O2962">
        <v>7.8437960000000001E-2</v>
      </c>
      <c r="P2962">
        <v>0.99736199999999997</v>
      </c>
      <c r="Q2962">
        <v>-1.190094E-2</v>
      </c>
      <c r="R2962">
        <v>7.1607879999999999E-2</v>
      </c>
      <c r="S2962">
        <v>2.9877319999999998</v>
      </c>
      <c r="T2962">
        <v>-0.22794320000000001</v>
      </c>
      <c r="U2962">
        <v>0.24291989999999999</v>
      </c>
      <c r="V2962">
        <v>6.8445059999999898E-3</v>
      </c>
      <c r="W2962">
        <v>-4.5604019999999999E-3</v>
      </c>
      <c r="X2962">
        <v>0.99996620000000003</v>
      </c>
      <c r="Y2962">
        <v>-2.8242100000000002E-3</v>
      </c>
      <c r="Z2962">
        <v>-5.8492040000000002E-3</v>
      </c>
      <c r="AA2962">
        <v>0.9999789</v>
      </c>
      <c r="AB2962">
        <v>47</v>
      </c>
      <c r="AC2962">
        <v>0.656200000000012</v>
      </c>
      <c r="AD2962">
        <v>-8.4841999999999806E-2</v>
      </c>
      <c r="AE2962">
        <v>5.4300000000011998E-2</v>
      </c>
      <c r="AF2962">
        <v>-2.61687004262903E-3</v>
      </c>
      <c r="AG2962">
        <v>-8.4841999999999806E-2</v>
      </c>
      <c r="AH2962">
        <v>0.64768395787572397</v>
      </c>
      <c r="AI2962">
        <v>97.462788324802403</v>
      </c>
      <c r="AJ2962">
        <v>90.231493757550297</v>
      </c>
      <c r="AK2962">
        <v>0.65322241408449999</v>
      </c>
    </row>
    <row r="2963" spans="1:37" x14ac:dyDescent="0.2">
      <c r="A2963" t="str">
        <f>"20200111153707746"</f>
        <v>20200111153707746</v>
      </c>
      <c r="B2963" t="str">
        <f>"1578728227735884"</f>
        <v>1578728227735884</v>
      </c>
      <c r="C2963" t="s">
        <v>37</v>
      </c>
      <c r="D2963">
        <v>5.9246970000000001</v>
      </c>
      <c r="E2963">
        <v>0.49492910000000001</v>
      </c>
      <c r="F2963" t="s">
        <v>38</v>
      </c>
      <c r="G2963">
        <v>-427.75310000000002</v>
      </c>
      <c r="H2963">
        <v>1.026556</v>
      </c>
      <c r="I2963">
        <v>213.91739999999999</v>
      </c>
      <c r="J2963">
        <v>-428.33609999999999</v>
      </c>
      <c r="K2963">
        <v>1.10301</v>
      </c>
      <c r="L2963">
        <v>213.8674</v>
      </c>
      <c r="M2963">
        <v>0.99692749999999997</v>
      </c>
      <c r="N2963">
        <v>0</v>
      </c>
      <c r="O2963">
        <v>7.7927780000000002E-2</v>
      </c>
      <c r="P2963">
        <v>0.99727060000000001</v>
      </c>
      <c r="Q2963">
        <v>-1.311726E-2</v>
      </c>
      <c r="R2963">
        <v>7.2658490000000006E-2</v>
      </c>
      <c r="S2963">
        <v>2.9877009999999999</v>
      </c>
      <c r="T2963">
        <v>-0.21140539999999999</v>
      </c>
      <c r="U2963">
        <v>0.24647520000000001</v>
      </c>
      <c r="V2963">
        <v>5.2768880000000004E-3</v>
      </c>
      <c r="W2963">
        <v>-5.1942940000000003E-3</v>
      </c>
      <c r="X2963">
        <v>0.99997259999999999</v>
      </c>
      <c r="Y2963">
        <v>-4.4826800000000002E-3</v>
      </c>
      <c r="Z2963">
        <v>-5.3313219999999899E-3</v>
      </c>
      <c r="AA2963">
        <v>0.99997569999999902</v>
      </c>
      <c r="AB2963">
        <v>47</v>
      </c>
      <c r="AC2963">
        <v>0.58299999999996999</v>
      </c>
      <c r="AD2963">
        <v>-7.6453999999999994E-2</v>
      </c>
      <c r="AE2963">
        <v>4.9999999999982898E-2</v>
      </c>
      <c r="AF2963">
        <v>-4.3405172616586604E-3</v>
      </c>
      <c r="AG2963">
        <v>-7.6453999999999994E-2</v>
      </c>
      <c r="AH2963">
        <v>0.57530203002107605</v>
      </c>
      <c r="AI2963">
        <v>97.569678344496694</v>
      </c>
      <c r="AJ2963">
        <v>90.4322748545178</v>
      </c>
      <c r="AK2963">
        <v>0.58037615384547803</v>
      </c>
    </row>
    <row r="2964" spans="1:37" x14ac:dyDescent="0.2">
      <c r="A2964" t="str">
        <f>"20200111153707768"</f>
        <v>20200111153707768</v>
      </c>
      <c r="B2964" t="str">
        <f>"1578728227766140"</f>
        <v>1578728227766140</v>
      </c>
      <c r="C2964" t="s">
        <v>37</v>
      </c>
      <c r="D2964">
        <v>5.7555339999999999</v>
      </c>
      <c r="E2964">
        <v>0.49459929999999902</v>
      </c>
      <c r="F2964" t="s">
        <v>38</v>
      </c>
      <c r="G2964">
        <v>-427.32900000000001</v>
      </c>
      <c r="H2964">
        <v>1.0314049999999999</v>
      </c>
      <c r="I2964">
        <v>213.95150000000001</v>
      </c>
      <c r="J2964">
        <v>-427.86090000000002</v>
      </c>
      <c r="K2964">
        <v>1.102957</v>
      </c>
      <c r="L2964">
        <v>213.90430000000001</v>
      </c>
      <c r="M2964">
        <v>0.99696289999999999</v>
      </c>
      <c r="N2964">
        <v>0</v>
      </c>
      <c r="O2964">
        <v>7.741663E-2</v>
      </c>
      <c r="P2964">
        <v>0.99719290000000005</v>
      </c>
      <c r="Q2964">
        <v>-1.515464E-2</v>
      </c>
      <c r="R2964">
        <v>7.3326890000000006E-2</v>
      </c>
      <c r="S2964">
        <v>2.9871829999999999</v>
      </c>
      <c r="T2964">
        <v>-0.21245929999999999</v>
      </c>
      <c r="U2964">
        <v>0.25038149999999998</v>
      </c>
      <c r="V2964">
        <v>4.0896400000000003E-3</v>
      </c>
      <c r="W2964">
        <v>-6.6834469999999899E-3</v>
      </c>
      <c r="X2964">
        <v>0.99996929999999995</v>
      </c>
      <c r="Y2964">
        <v>-6.3039580000000001E-3</v>
      </c>
      <c r="Z2964">
        <v>-5.2577450000000003E-3</v>
      </c>
      <c r="AA2964">
        <v>0.99996629999999997</v>
      </c>
      <c r="AB2964">
        <v>47</v>
      </c>
      <c r="AC2964">
        <v>0.53190000000000703</v>
      </c>
      <c r="AD2964">
        <v>-7.1552000000000004E-2</v>
      </c>
      <c r="AE2964">
        <v>4.72000000000036E-2</v>
      </c>
      <c r="AF2964">
        <v>-5.77526114310822E-3</v>
      </c>
      <c r="AG2964">
        <v>-7.1552000000000004E-2</v>
      </c>
      <c r="AH2964">
        <v>0.52453982596179605</v>
      </c>
      <c r="AI2964">
        <v>97.767257701042197</v>
      </c>
      <c r="AJ2964">
        <v>90.630809526411696</v>
      </c>
      <c r="AK2964">
        <v>0.529429005028344</v>
      </c>
    </row>
    <row r="2965" spans="1:37" x14ac:dyDescent="0.2">
      <c r="A2965" t="str">
        <f>"20200111153707790"</f>
        <v>20200111153707790</v>
      </c>
      <c r="B2965" t="str">
        <f>"1578728227785660"</f>
        <v>1578728227785660</v>
      </c>
      <c r="C2965" t="s">
        <v>37</v>
      </c>
      <c r="D2965">
        <v>5.9137649999999997</v>
      </c>
      <c r="E2965">
        <v>0.49435859999999898</v>
      </c>
      <c r="F2965" t="s">
        <v>38</v>
      </c>
      <c r="G2965">
        <v>-426.90570000000002</v>
      </c>
      <c r="H2965">
        <v>1.0331649999999999</v>
      </c>
      <c r="I2965">
        <v>213.98570000000001</v>
      </c>
      <c r="J2965">
        <v>-427.41180000000003</v>
      </c>
      <c r="K2965">
        <v>1.1029169999999999</v>
      </c>
      <c r="L2965">
        <v>213.93889999999999</v>
      </c>
      <c r="M2965">
        <v>0.99699720000000003</v>
      </c>
      <c r="N2965">
        <v>0</v>
      </c>
      <c r="O2965">
        <v>7.6918570000000006E-2</v>
      </c>
      <c r="P2965">
        <v>0.99718759999999995</v>
      </c>
      <c r="Q2965">
        <v>-1.4783879999999999E-2</v>
      </c>
      <c r="R2965">
        <v>7.3473620000000003E-2</v>
      </c>
      <c r="S2965">
        <v>2.986389</v>
      </c>
      <c r="T2965">
        <v>-0.2182817</v>
      </c>
      <c r="U2965">
        <v>0.25502010000000003</v>
      </c>
      <c r="V2965">
        <v>3.44340599999999E-3</v>
      </c>
      <c r="W2965">
        <v>-5.8306529999999999E-3</v>
      </c>
      <c r="X2965">
        <v>0.99997709999999995</v>
      </c>
      <c r="Y2965">
        <v>-8.3706240000000001E-3</v>
      </c>
      <c r="Z2965">
        <v>-5.2910279999999997E-3</v>
      </c>
      <c r="AA2965">
        <v>0.99995089999999998</v>
      </c>
      <c r="AB2965">
        <v>47</v>
      </c>
      <c r="AC2965">
        <v>0.50610000000000299</v>
      </c>
      <c r="AD2965">
        <v>-6.9751999999999995E-2</v>
      </c>
      <c r="AE2965">
        <v>4.6800000000018799E-2</v>
      </c>
      <c r="AF2965">
        <v>-7.5883709459989004E-3</v>
      </c>
      <c r="AG2965">
        <v>-6.9751999999999995E-2</v>
      </c>
      <c r="AH2965">
        <v>0.498805915029717</v>
      </c>
      <c r="AI2965">
        <v>97.9595950613311</v>
      </c>
      <c r="AJ2965">
        <v>90.871577658839499</v>
      </c>
      <c r="AK2965">
        <v>0.50371645371800899</v>
      </c>
    </row>
    <row r="2966" spans="1:37" x14ac:dyDescent="0.2">
      <c r="A2966" t="str">
        <f>"20200111153707812"</f>
        <v>20200111153707812</v>
      </c>
      <c r="B2966" t="str">
        <f>"1578728227805688"</f>
        <v>1578728227805688</v>
      </c>
      <c r="C2966" t="s">
        <v>37</v>
      </c>
      <c r="D2966">
        <v>5.9751570000000003</v>
      </c>
      <c r="E2966">
        <v>0.49439109999999997</v>
      </c>
      <c r="F2966" t="s">
        <v>38</v>
      </c>
      <c r="G2966">
        <v>-426.48349999999999</v>
      </c>
      <c r="H2966">
        <v>1.033776</v>
      </c>
      <c r="I2966">
        <v>214.01830000000001</v>
      </c>
      <c r="J2966">
        <v>-426.93759999999997</v>
      </c>
      <c r="K2966">
        <v>1.1028879999999901</v>
      </c>
      <c r="L2966">
        <v>213.9751</v>
      </c>
      <c r="M2966">
        <v>0.99703430000000004</v>
      </c>
      <c r="N2966">
        <v>0</v>
      </c>
      <c r="O2966">
        <v>7.6381850000000001E-2</v>
      </c>
      <c r="P2966">
        <v>0.99736659999999899</v>
      </c>
      <c r="Q2966">
        <v>-1.293527E-2</v>
      </c>
      <c r="R2966">
        <v>7.1364289999999997E-2</v>
      </c>
      <c r="S2966">
        <v>2.9862060000000001</v>
      </c>
      <c r="T2966">
        <v>-0.222577</v>
      </c>
      <c r="U2966">
        <v>0.25712590000000002</v>
      </c>
      <c r="V2966">
        <v>5.0239589999999997E-3</v>
      </c>
      <c r="W2966">
        <v>-3.5244489999999998E-3</v>
      </c>
      <c r="X2966">
        <v>0.99998120000000001</v>
      </c>
      <c r="Y2966">
        <v>-9.6160669999999903E-3</v>
      </c>
      <c r="Z2966">
        <v>-5.3090219999999896E-3</v>
      </c>
      <c r="AA2966">
        <v>0.99993969999999899</v>
      </c>
      <c r="AB2966">
        <v>47</v>
      </c>
      <c r="AC2966">
        <v>0.45409999999998202</v>
      </c>
      <c r="AD2966">
        <v>-6.9111999999999799E-2</v>
      </c>
      <c r="AE2966">
        <v>4.3200000000012999E-2</v>
      </c>
      <c r="AF2966">
        <v>-8.1990395440496595E-3</v>
      </c>
      <c r="AG2966">
        <v>-6.9111999999999799E-2</v>
      </c>
      <c r="AH2966">
        <v>0.445838584724772</v>
      </c>
      <c r="AI2966">
        <v>98.810147611781503</v>
      </c>
      <c r="AJ2966">
        <v>91.053559360611899</v>
      </c>
      <c r="AK2966">
        <v>0.45123800418718402</v>
      </c>
    </row>
    <row r="2967" spans="1:37" x14ac:dyDescent="0.2">
      <c r="A2967" t="str">
        <f>"20200111153707834"</f>
        <v>20200111153707834</v>
      </c>
      <c r="B2967" t="str">
        <f>"1578728227826185"</f>
        <v>1578728227826185</v>
      </c>
      <c r="C2967" t="s">
        <v>37</v>
      </c>
      <c r="D2967">
        <v>6.1769109999999996</v>
      </c>
      <c r="E2967">
        <v>0.49444049999999901</v>
      </c>
      <c r="F2967" t="s">
        <v>38</v>
      </c>
      <c r="G2967">
        <v>-426.05860000000001</v>
      </c>
      <c r="H2967">
        <v>1.038154</v>
      </c>
      <c r="I2967">
        <v>214.04849999999999</v>
      </c>
      <c r="J2967">
        <v>-426.46210000000002</v>
      </c>
      <c r="K2967">
        <v>1.102862</v>
      </c>
      <c r="L2967">
        <v>214.0112</v>
      </c>
      <c r="M2967">
        <v>0.99707179999999995</v>
      </c>
      <c r="N2967">
        <v>0</v>
      </c>
      <c r="O2967">
        <v>7.5836169999999994E-2</v>
      </c>
      <c r="P2967">
        <v>0.99758559999999996</v>
      </c>
      <c r="Q2967">
        <v>-1.04587999999999E-2</v>
      </c>
      <c r="R2967">
        <v>6.8656969999999998E-2</v>
      </c>
      <c r="S2967">
        <v>2.9871829999999999</v>
      </c>
      <c r="T2967">
        <v>-0.22006120000000001</v>
      </c>
      <c r="U2967">
        <v>0.25004579999999998</v>
      </c>
      <c r="V2967">
        <v>7.1965040000000003E-3</v>
      </c>
      <c r="W2967">
        <v>-6.4005919999999997E-4</v>
      </c>
      <c r="X2967">
        <v>0.99997389999999997</v>
      </c>
      <c r="Y2967">
        <v>-7.781306E-3</v>
      </c>
      <c r="Z2967">
        <v>-5.275592E-3</v>
      </c>
      <c r="AA2967">
        <v>0.99995579999999995</v>
      </c>
      <c r="AB2967">
        <v>47</v>
      </c>
      <c r="AC2967">
        <v>0.40350000000000802</v>
      </c>
      <c r="AD2967">
        <v>-6.4707999999999904E-2</v>
      </c>
      <c r="AE2967">
        <v>3.72999999999876E-2</v>
      </c>
      <c r="AF2967">
        <v>-6.4273084202679104E-3</v>
      </c>
      <c r="AG2967">
        <v>-6.4707999999999904E-2</v>
      </c>
      <c r="AH2967">
        <v>0.39509205980898898</v>
      </c>
      <c r="AI2967">
        <v>99.300089457081796</v>
      </c>
      <c r="AJ2967">
        <v>90.931998394875606</v>
      </c>
      <c r="AK2967">
        <v>0.400407506525088</v>
      </c>
    </row>
    <row r="2968" spans="1:37" x14ac:dyDescent="0.2">
      <c r="A2968" t="str">
        <f>"20200111153707857"</f>
        <v>20200111153707857</v>
      </c>
      <c r="B2968" t="str">
        <f>"1578728227845704"</f>
        <v>1578728227845704</v>
      </c>
      <c r="C2968" t="s">
        <v>37</v>
      </c>
      <c r="D2968">
        <v>5.986097</v>
      </c>
      <c r="E2968">
        <v>0.49468050000000002</v>
      </c>
      <c r="F2968" t="s">
        <v>48</v>
      </c>
      <c r="G2968">
        <v>-410.88350000000003</v>
      </c>
      <c r="H2968" s="1">
        <v>2.3051639999999998E-6</v>
      </c>
      <c r="I2968">
        <v>215.27180000000001</v>
      </c>
      <c r="J2968">
        <v>-425.99349999999998</v>
      </c>
      <c r="K2968">
        <v>1.102843</v>
      </c>
      <c r="L2968">
        <v>214.04650000000001</v>
      </c>
      <c r="M2968">
        <v>0.99710949999999998</v>
      </c>
      <c r="N2968">
        <v>0</v>
      </c>
      <c r="O2968">
        <v>7.5291189999999994E-2</v>
      </c>
      <c r="P2968">
        <v>0.9977471</v>
      </c>
      <c r="Q2968">
        <v>-8.762911E-3</v>
      </c>
      <c r="R2968">
        <v>6.6515829999999998E-2</v>
      </c>
      <c r="S2968">
        <v>2.9884029999999999</v>
      </c>
      <c r="T2968">
        <v>-0.21155879999999899</v>
      </c>
      <c r="U2968">
        <v>0.24182129999999899</v>
      </c>
      <c r="V2968">
        <v>8.8004840000000008E-3</v>
      </c>
      <c r="W2968">
        <v>1.41269299999999E-3</v>
      </c>
      <c r="X2968">
        <v>0.99996030000000002</v>
      </c>
      <c r="Y2968">
        <v>-5.5504040000000001E-3</v>
      </c>
      <c r="Z2968">
        <v>-5.1113560000000001E-3</v>
      </c>
      <c r="AA2968">
        <v>0.99997150000000001</v>
      </c>
      <c r="AB2968">
        <v>47</v>
      </c>
      <c r="AC2968">
        <v>15.1099999999999</v>
      </c>
      <c r="AD2968">
        <v>-1.1028406948359999</v>
      </c>
      <c r="AE2968">
        <v>1.2253000000000001</v>
      </c>
      <c r="AF2968">
        <v>-8.3669946235019804E-2</v>
      </c>
      <c r="AG2968">
        <v>-1.1028406948359999</v>
      </c>
      <c r="AH2968">
        <v>15.079559659205101</v>
      </c>
      <c r="AI2968">
        <v>94.182804625028396</v>
      </c>
      <c r="AJ2968">
        <v>90.317906205770797</v>
      </c>
      <c r="AK2968">
        <v>15.120065402425199</v>
      </c>
    </row>
    <row r="2969" spans="1:37" x14ac:dyDescent="0.2">
      <c r="A2969" t="str">
        <f>"20200111153707879"</f>
        <v>20200111153707879</v>
      </c>
      <c r="B2969" t="str">
        <f>"1578728227875961"</f>
        <v>1578728227875961</v>
      </c>
      <c r="C2969" t="s">
        <v>37</v>
      </c>
      <c r="D2969">
        <v>5.9912010000000002</v>
      </c>
      <c r="E2969">
        <v>0.49485299999999999</v>
      </c>
      <c r="F2969" t="s">
        <v>48</v>
      </c>
      <c r="G2969">
        <v>-409.7337</v>
      </c>
      <c r="H2969" s="1">
        <v>3.9414650000000004E-6</v>
      </c>
      <c r="I2969">
        <v>215.31469999999999</v>
      </c>
      <c r="J2969">
        <v>-425.52679999999998</v>
      </c>
      <c r="K2969">
        <v>1.1028389999999999</v>
      </c>
      <c r="L2969">
        <v>214.0813</v>
      </c>
      <c r="M2969">
        <v>0.99714780000000003</v>
      </c>
      <c r="N2969">
        <v>0</v>
      </c>
      <c r="O2969">
        <v>7.4741150000000006E-2</v>
      </c>
      <c r="P2969">
        <v>0.99786260000000004</v>
      </c>
      <c r="Q2969">
        <v>-8.1866769999999998E-3</v>
      </c>
      <c r="R2969">
        <v>6.4834959999999997E-2</v>
      </c>
      <c r="S2969">
        <v>2.9894409999999998</v>
      </c>
      <c r="T2969">
        <v>-0.20276150000000001</v>
      </c>
      <c r="U2969">
        <v>0.2331696</v>
      </c>
      <c r="V2969">
        <v>9.9353940000000002E-3</v>
      </c>
      <c r="W2969">
        <v>2.3039010000000001E-3</v>
      </c>
      <c r="X2969">
        <v>0.99994799999999995</v>
      </c>
      <c r="Y2969">
        <v>-3.1880139999999999E-3</v>
      </c>
      <c r="Z2969">
        <v>-4.9411519999999999E-3</v>
      </c>
      <c r="AA2969">
        <v>0.999982699999999</v>
      </c>
      <c r="AB2969">
        <v>47</v>
      </c>
      <c r="AC2969">
        <v>15.7930999999999</v>
      </c>
      <c r="AD2969">
        <v>-1.102835058535</v>
      </c>
      <c r="AE2969">
        <v>1.2333999999999801</v>
      </c>
      <c r="AF2969">
        <v>-4.9251655453879703E-2</v>
      </c>
      <c r="AG2969">
        <v>-1.102835058535</v>
      </c>
      <c r="AH2969">
        <v>15.764705446725801</v>
      </c>
      <c r="AI2969">
        <v>94.001642302218599</v>
      </c>
      <c r="AJ2969">
        <v>90.179001302630297</v>
      </c>
      <c r="AK2969">
        <v>15.8033100556157</v>
      </c>
    </row>
    <row r="2970" spans="1:37" x14ac:dyDescent="0.2">
      <c r="A2970" t="str">
        <f>"20200111153707902"</f>
        <v>20200111153707902</v>
      </c>
      <c r="B2970" t="str">
        <f>"1578728227895482"</f>
        <v>1578728227895482</v>
      </c>
      <c r="C2970" t="s">
        <v>37</v>
      </c>
      <c r="D2970">
        <v>6.0173360000000002</v>
      </c>
      <c r="E2970">
        <v>0.49458340000000001</v>
      </c>
      <c r="F2970" t="s">
        <v>48</v>
      </c>
      <c r="G2970">
        <v>-408.94670000000002</v>
      </c>
      <c r="H2970" s="1">
        <v>4.28584799999999E-6</v>
      </c>
      <c r="I2970">
        <v>215.33690000000001</v>
      </c>
      <c r="J2970">
        <v>-425.06630000000001</v>
      </c>
      <c r="K2970">
        <v>1.1028279999999999</v>
      </c>
      <c r="L2970">
        <v>214.11539999999999</v>
      </c>
      <c r="M2970">
        <v>0.99718600000000002</v>
      </c>
      <c r="N2970">
        <v>0</v>
      </c>
      <c r="O2970">
        <v>7.4188630000000005E-2</v>
      </c>
      <c r="P2970">
        <v>0.99803869999999895</v>
      </c>
      <c r="Q2970">
        <v>-5.4120919999999899E-3</v>
      </c>
      <c r="R2970">
        <v>6.2367010000000001E-2</v>
      </c>
      <c r="S2970">
        <v>2.9900820000000001</v>
      </c>
      <c r="T2970">
        <v>-0.19888710000000001</v>
      </c>
      <c r="U2970">
        <v>0.22644039999999999</v>
      </c>
      <c r="V2970">
        <v>1.186104E-2</v>
      </c>
      <c r="W2970">
        <v>5.3480059999999998E-3</v>
      </c>
      <c r="X2970">
        <v>0.99991540000000001</v>
      </c>
      <c r="Y2970">
        <v>-1.484364E-3</v>
      </c>
      <c r="Z2970">
        <v>-4.8664320000000004E-3</v>
      </c>
      <c r="AA2970">
        <v>0.99998709999999902</v>
      </c>
      <c r="AB2970">
        <v>47</v>
      </c>
      <c r="AC2970">
        <v>16.119599999999899</v>
      </c>
      <c r="AD2970">
        <v>-1.1028237141520001</v>
      </c>
      <c r="AE2970">
        <v>1.22150000000002</v>
      </c>
      <c r="AF2970">
        <v>-2.2070233697056799E-2</v>
      </c>
      <c r="AG2970">
        <v>-1.1028237141520001</v>
      </c>
      <c r="AH2970">
        <v>16.0909140438572</v>
      </c>
      <c r="AI2970">
        <v>93.920748446165703</v>
      </c>
      <c r="AJ2970">
        <v>90.078586613991305</v>
      </c>
      <c r="AK2970">
        <v>16.128677007321901</v>
      </c>
    </row>
    <row r="2971" spans="1:37" x14ac:dyDescent="0.2">
      <c r="A2971" t="str">
        <f>"20200111153707923"</f>
        <v>20200111153707923</v>
      </c>
      <c r="B2971" t="str">
        <f>"1578728227915977"</f>
        <v>1578728227915977</v>
      </c>
      <c r="C2971" t="s">
        <v>37</v>
      </c>
      <c r="D2971">
        <v>6.0042519999999904</v>
      </c>
      <c r="E2971">
        <v>0.49434129999999898</v>
      </c>
      <c r="F2971" t="s">
        <v>38</v>
      </c>
      <c r="G2971">
        <v>-423.95870000000002</v>
      </c>
      <c r="H2971">
        <v>1.0319449999999999</v>
      </c>
      <c r="I2971">
        <v>214.19710000000001</v>
      </c>
      <c r="J2971">
        <v>-424.59570000000002</v>
      </c>
      <c r="K2971">
        <v>1.102827</v>
      </c>
      <c r="L2971">
        <v>214.1499</v>
      </c>
      <c r="M2971">
        <v>0.9972261</v>
      </c>
      <c r="N2971">
        <v>0</v>
      </c>
      <c r="O2971">
        <v>7.3610159999999994E-2</v>
      </c>
      <c r="P2971">
        <v>0.9982858</v>
      </c>
      <c r="Q2971">
        <v>-3.455484E-3</v>
      </c>
      <c r="R2971">
        <v>5.8427979999999997E-2</v>
      </c>
      <c r="S2971">
        <v>2.9910580000000002</v>
      </c>
      <c r="T2971">
        <v>-0.19145319999999999</v>
      </c>
      <c r="U2971">
        <v>0.22140499999999999</v>
      </c>
      <c r="V2971">
        <v>1.523178E-2</v>
      </c>
      <c r="W2971">
        <v>7.5433169999999999E-3</v>
      </c>
      <c r="X2971">
        <v>0.99985550000000001</v>
      </c>
      <c r="Y2971">
        <v>-3.5496330000000002E-4</v>
      </c>
      <c r="Z2971">
        <v>-4.6830190000000001E-3</v>
      </c>
      <c r="AA2971">
        <v>0.99998899999999902</v>
      </c>
      <c r="AB2971">
        <v>47</v>
      </c>
      <c r="AC2971">
        <v>0.63700000000000001</v>
      </c>
      <c r="AD2971">
        <v>-7.0881999999999806E-2</v>
      </c>
      <c r="AE2971">
        <v>4.72000000000036E-2</v>
      </c>
      <c r="AF2971">
        <v>-1.7722844166739101E-4</v>
      </c>
      <c r="AG2971">
        <v>-7.0881999999999806E-2</v>
      </c>
      <c r="AH2971">
        <v>0.63097615193144097</v>
      </c>
      <c r="AI2971">
        <v>96.409566694039995</v>
      </c>
      <c r="AJ2971">
        <v>90.016093225423901</v>
      </c>
      <c r="AK2971">
        <v>0.63494503198318697</v>
      </c>
    </row>
    <row r="2972" spans="1:37" x14ac:dyDescent="0.2">
      <c r="A2972" t="str">
        <f>"20200111153707947"</f>
        <v>20200111153707947</v>
      </c>
      <c r="B2972" t="str">
        <f>"1578728227935496"</f>
        <v>1578728227935496</v>
      </c>
      <c r="C2972" t="s">
        <v>37</v>
      </c>
      <c r="D2972">
        <v>5.9937490000000002</v>
      </c>
      <c r="E2972">
        <v>0.49413439999999997</v>
      </c>
      <c r="F2972" t="s">
        <v>38</v>
      </c>
      <c r="G2972">
        <v>-423.53489999999999</v>
      </c>
      <c r="H2972">
        <v>1.0356799999999999</v>
      </c>
      <c r="I2972">
        <v>214.22479999999999</v>
      </c>
      <c r="J2972">
        <v>-424.1078</v>
      </c>
      <c r="K2972">
        <v>1.1028209999999901</v>
      </c>
      <c r="L2972">
        <v>214.18539999999999</v>
      </c>
      <c r="M2972">
        <v>0.99726879999999996</v>
      </c>
      <c r="N2972">
        <v>0</v>
      </c>
      <c r="O2972">
        <v>7.29963E-2</v>
      </c>
      <c r="P2972">
        <v>0.99844730000000004</v>
      </c>
      <c r="Q2972">
        <v>-2.0789189999999998E-3</v>
      </c>
      <c r="R2972">
        <v>5.5667010000000003E-2</v>
      </c>
      <c r="S2972">
        <v>2.9921570000000002</v>
      </c>
      <c r="T2972">
        <v>-0.1893994</v>
      </c>
      <c r="U2972">
        <v>0.2114105</v>
      </c>
      <c r="V2972">
        <v>1.73852E-2</v>
      </c>
      <c r="W2972">
        <v>9.1420970000000001E-3</v>
      </c>
      <c r="X2972">
        <v>0.99980709999999995</v>
      </c>
      <c r="Y2972">
        <v>2.3785210000000002E-3</v>
      </c>
      <c r="Z2972">
        <v>-4.6795750000000001E-3</v>
      </c>
      <c r="AA2972">
        <v>0.99998619999999905</v>
      </c>
      <c r="AB2972">
        <v>47</v>
      </c>
      <c r="AC2972">
        <v>0.57290000000000396</v>
      </c>
      <c r="AD2972">
        <v>-6.7140999999999895E-2</v>
      </c>
      <c r="AE2972">
        <v>3.9400000000000497E-2</v>
      </c>
      <c r="AF2972">
        <v>2.4932664174853298E-3</v>
      </c>
      <c r="AG2972">
        <v>-6.7140999999999895E-2</v>
      </c>
      <c r="AH2972">
        <v>0.56650355919911699</v>
      </c>
      <c r="AI2972">
        <v>96.759000056997095</v>
      </c>
      <c r="AJ2972">
        <v>89.747834381177199</v>
      </c>
      <c r="AK2972">
        <v>0.57047384939512802</v>
      </c>
    </row>
    <row r="2973" spans="1:37" x14ac:dyDescent="0.2">
      <c r="A2973" t="str">
        <f>"20200111153707967"</f>
        <v>20200111153707967</v>
      </c>
      <c r="B2973" t="str">
        <f>"1578728227955992"</f>
        <v>1578728227955992</v>
      </c>
      <c r="C2973" t="s">
        <v>37</v>
      </c>
      <c r="D2973">
        <v>6.0008410000000003</v>
      </c>
      <c r="E2973">
        <v>0.49395209999999901</v>
      </c>
      <c r="F2973" t="s">
        <v>38</v>
      </c>
      <c r="G2973">
        <v>-423.11079999999998</v>
      </c>
      <c r="H2973">
        <v>1.0397049999999901</v>
      </c>
      <c r="I2973">
        <v>214.25319999999999</v>
      </c>
      <c r="J2973">
        <v>-423.65879999999999</v>
      </c>
      <c r="K2973">
        <v>1.102719</v>
      </c>
      <c r="L2973">
        <v>214.21789999999999</v>
      </c>
      <c r="M2973">
        <v>0.99731299999999901</v>
      </c>
      <c r="N2973">
        <v>0</v>
      </c>
      <c r="O2973">
        <v>7.242353E-2</v>
      </c>
      <c r="P2973">
        <v>0.99851219999999996</v>
      </c>
      <c r="Q2973">
        <v>-1.5898239999999899E-3</v>
      </c>
      <c r="R2973">
        <v>5.4507260000000002E-2</v>
      </c>
      <c r="S2973">
        <v>2.9928590000000002</v>
      </c>
      <c r="T2973">
        <v>-0.18951689999999999</v>
      </c>
      <c r="U2973">
        <v>0.20454410000000001</v>
      </c>
      <c r="V2973">
        <v>1.7972760000000001E-2</v>
      </c>
      <c r="W2973">
        <v>9.4186500000000006E-3</v>
      </c>
      <c r="X2973">
        <v>0.99979409999999902</v>
      </c>
      <c r="Y2973">
        <v>4.1012790000000002E-3</v>
      </c>
      <c r="Z2973">
        <v>-4.7001839999999996E-3</v>
      </c>
      <c r="AA2973">
        <v>0.9999806</v>
      </c>
      <c r="AB2973">
        <v>47</v>
      </c>
      <c r="AC2973">
        <v>0.54800000000000104</v>
      </c>
      <c r="AD2973">
        <v>-6.3014000000000098E-2</v>
      </c>
      <c r="AE2973">
        <v>3.53000000000065E-2</v>
      </c>
      <c r="AF2973">
        <v>4.4249510949628604E-3</v>
      </c>
      <c r="AG2973">
        <v>-6.3014000000000098E-2</v>
      </c>
      <c r="AH2973">
        <v>0.54198074803541796</v>
      </c>
      <c r="AI2973">
        <v>96.631563632528696</v>
      </c>
      <c r="AJ2973">
        <v>89.5322243637127</v>
      </c>
      <c r="AK2973">
        <v>0.54564959051503403</v>
      </c>
    </row>
    <row r="2974" spans="1:37" x14ac:dyDescent="0.2">
      <c r="A2974" t="str">
        <f>"20200111153707991"</f>
        <v>20200111153707991</v>
      </c>
      <c r="B2974" t="str">
        <f>"1578728227986249"</f>
        <v>1578728227986249</v>
      </c>
      <c r="C2974" t="s">
        <v>37</v>
      </c>
      <c r="D2974">
        <v>5.9811100000000001</v>
      </c>
      <c r="E2974">
        <v>0.49346129999999999</v>
      </c>
      <c r="F2974" t="s">
        <v>38</v>
      </c>
      <c r="G2974">
        <v>-422.68619999999999</v>
      </c>
      <c r="H2974">
        <v>1.040402</v>
      </c>
      <c r="I2974">
        <v>214.28319999999999</v>
      </c>
      <c r="J2974">
        <v>-423.18639999999999</v>
      </c>
      <c r="K2974">
        <v>1.102441</v>
      </c>
      <c r="L2974">
        <v>214.2518</v>
      </c>
      <c r="M2974">
        <v>0.99736729999999996</v>
      </c>
      <c r="N2974">
        <v>0</v>
      </c>
      <c r="O2974">
        <v>7.1829829999999997E-2</v>
      </c>
      <c r="P2974">
        <v>0.99851780000000001</v>
      </c>
      <c r="Q2974">
        <v>-4.9711389999999996E-4</v>
      </c>
      <c r="R2974">
        <v>5.4427280000000001E-2</v>
      </c>
      <c r="S2974">
        <v>2.993134</v>
      </c>
      <c r="T2974">
        <v>-0.191914</v>
      </c>
      <c r="U2974">
        <v>0.2021637</v>
      </c>
      <c r="V2974">
        <v>1.7456220000000001E-2</v>
      </c>
      <c r="W2974">
        <v>9.4248500000000002E-3</v>
      </c>
      <c r="X2974">
        <v>0.999803199999999</v>
      </c>
      <c r="Y2974">
        <v>4.2999750000000002E-3</v>
      </c>
      <c r="Z2974">
        <v>-4.7276799999999997E-3</v>
      </c>
      <c r="AA2974">
        <v>0.99997959999999997</v>
      </c>
      <c r="AB2974">
        <v>47</v>
      </c>
      <c r="AC2974">
        <v>0.50020000000000597</v>
      </c>
      <c r="AD2974">
        <v>-6.20389999999999E-2</v>
      </c>
      <c r="AE2974">
        <v>3.1399999999990699E-2</v>
      </c>
      <c r="AF2974">
        <v>4.5425716480654004E-3</v>
      </c>
      <c r="AG2974">
        <v>-6.20389999999999E-2</v>
      </c>
      <c r="AH2974">
        <v>0.49360010806358201</v>
      </c>
      <c r="AI2974">
        <v>97.163456156227099</v>
      </c>
      <c r="AJ2974">
        <v>89.472725325805399</v>
      </c>
      <c r="AK2974">
        <v>0.49750431069344198</v>
      </c>
    </row>
    <row r="2975" spans="1:37" x14ac:dyDescent="0.2">
      <c r="A2975" t="str">
        <f>"20200111153708014"</f>
        <v>20200111153708014</v>
      </c>
      <c r="B2975" t="str">
        <f>"1578728228005768"</f>
        <v>1578728228005768</v>
      </c>
      <c r="C2975" t="s">
        <v>37</v>
      </c>
      <c r="D2975">
        <v>5.981052</v>
      </c>
      <c r="E2975">
        <v>0.49328679999999903</v>
      </c>
      <c r="F2975" t="s">
        <v>38</v>
      </c>
      <c r="G2975">
        <v>-422.25819999999999</v>
      </c>
      <c r="H2975">
        <v>1.041747</v>
      </c>
      <c r="I2975">
        <v>214.315</v>
      </c>
      <c r="J2975">
        <v>-422.68270000000001</v>
      </c>
      <c r="K2975">
        <v>1.1021620000000001</v>
      </c>
      <c r="L2975">
        <v>214.2878</v>
      </c>
      <c r="M2975">
        <v>0.99742559999999902</v>
      </c>
      <c r="N2975">
        <v>0</v>
      </c>
      <c r="O2975">
        <v>7.1194320000000005E-2</v>
      </c>
      <c r="P2975">
        <v>0.99849310000000002</v>
      </c>
      <c r="Q2975">
        <v>1.0782089999999999E-3</v>
      </c>
      <c r="R2975">
        <v>5.4869099999999997E-2</v>
      </c>
      <c r="S2975">
        <v>2.9931640000000002</v>
      </c>
      <c r="T2975">
        <v>-0.19583149999999999</v>
      </c>
      <c r="U2975">
        <v>0.2052002</v>
      </c>
      <c r="V2975">
        <v>1.6375190000000001E-2</v>
      </c>
      <c r="W2975">
        <v>9.6217750000000008E-3</v>
      </c>
      <c r="X2975">
        <v>0.99981960000000003</v>
      </c>
      <c r="Y2975">
        <v>2.651278E-3</v>
      </c>
      <c r="Z2975">
        <v>-4.7284950000000001E-3</v>
      </c>
      <c r="AA2975">
        <v>0.99998529999999997</v>
      </c>
      <c r="AB2975">
        <v>48</v>
      </c>
      <c r="AC2975">
        <v>0.42450000000002303</v>
      </c>
      <c r="AD2975">
        <v>-6.0415000000000101E-2</v>
      </c>
      <c r="AE2975">
        <v>2.71999999999934E-2</v>
      </c>
      <c r="AF2975">
        <v>3.0309843881728901E-3</v>
      </c>
      <c r="AG2975">
        <v>-6.0415000000000101E-2</v>
      </c>
      <c r="AH2975">
        <v>0.41694849636343401</v>
      </c>
      <c r="AI2975">
        <v>98.244448044921398</v>
      </c>
      <c r="AJ2975">
        <v>89.583498787580695</v>
      </c>
      <c r="AK2975">
        <v>0.42131366902948902</v>
      </c>
    </row>
    <row r="2976" spans="1:37" x14ac:dyDescent="0.2">
      <c r="A2976" t="str">
        <f>"20200111153708036"</f>
        <v>20200111153708036</v>
      </c>
      <c r="B2976" t="str">
        <f>"1578728228026264"</f>
        <v>1578728228026264</v>
      </c>
      <c r="C2976" t="s">
        <v>37</v>
      </c>
      <c r="D2976">
        <v>5.9764379999999999</v>
      </c>
      <c r="E2976">
        <v>0.49290600000000001</v>
      </c>
      <c r="F2976" t="s">
        <v>48</v>
      </c>
      <c r="G2976">
        <v>-405.67070000000001</v>
      </c>
      <c r="H2976" s="1">
        <v>5.7112919999999996E-6</v>
      </c>
      <c r="I2976">
        <v>215.4691</v>
      </c>
      <c r="J2976">
        <v>-422.19589999999999</v>
      </c>
      <c r="K2976">
        <v>1.1019639999999999</v>
      </c>
      <c r="L2976">
        <v>214.32230000000001</v>
      </c>
      <c r="M2976">
        <v>0.997480699999999</v>
      </c>
      <c r="N2976">
        <v>0</v>
      </c>
      <c r="O2976">
        <v>7.0556049999999995E-2</v>
      </c>
      <c r="P2976">
        <v>0.99849129999999997</v>
      </c>
      <c r="Q2976">
        <v>3.3701809999999999E-3</v>
      </c>
      <c r="R2976">
        <v>5.480761E-2</v>
      </c>
      <c r="S2976">
        <v>2.993347</v>
      </c>
      <c r="T2976">
        <v>-0.193930399999999</v>
      </c>
      <c r="U2976">
        <v>0.20787049999999899</v>
      </c>
      <c r="V2976">
        <v>1.5797390000000001E-2</v>
      </c>
      <c r="W2976">
        <v>1.069603E-2</v>
      </c>
      <c r="X2976">
        <v>0.99981799999999998</v>
      </c>
      <c r="Y2976">
        <v>1.1345699999999999E-3</v>
      </c>
      <c r="Z2976">
        <v>-4.5920240000000001E-3</v>
      </c>
      <c r="AA2976">
        <v>0.99998880000000001</v>
      </c>
      <c r="AB2976">
        <v>48</v>
      </c>
      <c r="AC2976">
        <v>16.525199999999899</v>
      </c>
      <c r="AD2976">
        <v>-1.1019582887079999</v>
      </c>
      <c r="AE2976">
        <v>1.1467999999999801</v>
      </c>
      <c r="AF2976">
        <v>2.1945450020581299E-2</v>
      </c>
      <c r="AG2976">
        <v>-1.1019582887079999</v>
      </c>
      <c r="AH2976">
        <v>16.491946710592199</v>
      </c>
      <c r="AI2976">
        <v>93.822701670161294</v>
      </c>
      <c r="AJ2976">
        <v>89.923757883431705</v>
      </c>
      <c r="AK2976">
        <v>16.528735583154699</v>
      </c>
    </row>
    <row r="2977" spans="1:37" x14ac:dyDescent="0.2">
      <c r="A2977" t="str">
        <f>"20200111153708058"</f>
        <v>20200111153708058</v>
      </c>
      <c r="B2977" t="str">
        <f>"1578728228045787"</f>
        <v>1578728228045787</v>
      </c>
      <c r="C2977" t="s">
        <v>37</v>
      </c>
      <c r="D2977">
        <v>5.8943379999999896</v>
      </c>
      <c r="E2977">
        <v>0.4924809</v>
      </c>
      <c r="F2977" t="s">
        <v>48</v>
      </c>
      <c r="G2977">
        <v>-404.91210000000001</v>
      </c>
      <c r="H2977" s="1">
        <v>6.0335010000000002E-6</v>
      </c>
      <c r="I2977">
        <v>215.53799999999899</v>
      </c>
      <c r="J2977">
        <v>-421.72359999999998</v>
      </c>
      <c r="K2977">
        <v>1.1018349999999999</v>
      </c>
      <c r="L2977">
        <v>214.35560000000001</v>
      </c>
      <c r="M2977">
        <v>0.99753259999999899</v>
      </c>
      <c r="N2977">
        <v>0</v>
      </c>
      <c r="O2977">
        <v>6.9911219999999996E-2</v>
      </c>
      <c r="P2977">
        <v>0.99850599999999901</v>
      </c>
      <c r="Q2977">
        <v>6.2559149999999999E-3</v>
      </c>
      <c r="R2977">
        <v>5.4285369999999999E-2</v>
      </c>
      <c r="S2977">
        <v>2.9935909999999999</v>
      </c>
      <c r="T2977">
        <v>-0.1908618</v>
      </c>
      <c r="U2977">
        <v>0.21055599999999999</v>
      </c>
      <c r="V2977">
        <v>1.567648E-2</v>
      </c>
      <c r="W2977">
        <v>1.266142E-2</v>
      </c>
      <c r="X2977">
        <v>0.99979689999999999</v>
      </c>
      <c r="Y2977">
        <v>-3.9033680000000003E-4</v>
      </c>
      <c r="Z2977">
        <v>-4.4295430000000002E-3</v>
      </c>
      <c r="AA2977">
        <v>0.99999009999999999</v>
      </c>
      <c r="AB2977">
        <v>48</v>
      </c>
      <c r="AC2977">
        <v>16.811499999999899</v>
      </c>
      <c r="AD2977">
        <v>-1.101828966499</v>
      </c>
      <c r="AE2977">
        <v>1.1823999999999699</v>
      </c>
      <c r="AF2977">
        <v>-4.1524080364014797E-3</v>
      </c>
      <c r="AG2977">
        <v>-1.101828966499</v>
      </c>
      <c r="AH2977">
        <v>16.781299412955999</v>
      </c>
      <c r="AI2977">
        <v>93.756542454042702</v>
      </c>
      <c r="AJ2977">
        <v>90.014177415263902</v>
      </c>
      <c r="AK2977">
        <v>16.817433047322901</v>
      </c>
    </row>
    <row r="2978" spans="1:37" x14ac:dyDescent="0.2">
      <c r="A2978" t="str">
        <f>"20200111153708079"</f>
        <v>20200111153708079</v>
      </c>
      <c r="B2978" t="str">
        <f>"1578728228076040"</f>
        <v>1578728228076040</v>
      </c>
      <c r="C2978" t="s">
        <v>37</v>
      </c>
      <c r="D2978">
        <v>5.9675699999999896</v>
      </c>
      <c r="E2978">
        <v>0.4922723</v>
      </c>
      <c r="F2978" t="s">
        <v>48</v>
      </c>
      <c r="G2978">
        <v>-404.02099999999899</v>
      </c>
      <c r="H2978" s="1">
        <v>6.4139139999999997E-6</v>
      </c>
      <c r="I2978">
        <v>215.60929999999999</v>
      </c>
      <c r="J2978">
        <v>-421.25869999999998</v>
      </c>
      <c r="K2978">
        <v>1.1017649999999899</v>
      </c>
      <c r="L2978">
        <v>214.38800000000001</v>
      </c>
      <c r="M2978">
        <v>0.99758259999999899</v>
      </c>
      <c r="N2978">
        <v>0</v>
      </c>
      <c r="O2978">
        <v>6.9249210000000005E-2</v>
      </c>
      <c r="P2978">
        <v>0.99854449999999995</v>
      </c>
      <c r="Q2978">
        <v>7.398717E-3</v>
      </c>
      <c r="R2978">
        <v>5.3428429999999999E-2</v>
      </c>
      <c r="S2978">
        <v>2.9941709999999899</v>
      </c>
      <c r="T2978">
        <v>-0.18636069999999999</v>
      </c>
      <c r="U2978">
        <v>0.2120514</v>
      </c>
      <c r="V2978">
        <v>1.587276E-2</v>
      </c>
      <c r="W2978">
        <v>1.318542E-2</v>
      </c>
      <c r="X2978">
        <v>0.99978709999999904</v>
      </c>
      <c r="Y2978">
        <v>-1.527587E-3</v>
      </c>
      <c r="Z2978">
        <v>-4.2480399999999998E-3</v>
      </c>
      <c r="AA2978">
        <v>0.99998980000000004</v>
      </c>
      <c r="AB2978">
        <v>48</v>
      </c>
      <c r="AC2978">
        <v>17.2377</v>
      </c>
      <c r="AD2978">
        <v>-1.101758586086</v>
      </c>
      <c r="AE2978">
        <v>1.2212999999999801</v>
      </c>
      <c r="AF2978">
        <v>-2.4551139531645502E-2</v>
      </c>
      <c r="AG2978">
        <v>-1.101758586086</v>
      </c>
      <c r="AH2978">
        <v>17.210934050586999</v>
      </c>
      <c r="AI2978">
        <v>93.662789920311297</v>
      </c>
      <c r="AJ2978">
        <v>90.081731515508494</v>
      </c>
      <c r="AK2978">
        <v>17.246180030201501</v>
      </c>
    </row>
    <row r="2979" spans="1:37" x14ac:dyDescent="0.2">
      <c r="A2979" t="str">
        <f>"20200111153708102"</f>
        <v>20200111153708102</v>
      </c>
      <c r="B2979" t="str">
        <f>"1578728228095565"</f>
        <v>1578728228095565</v>
      </c>
      <c r="C2979" t="s">
        <v>37</v>
      </c>
      <c r="D2979">
        <v>5.6786199999999996</v>
      </c>
      <c r="E2979">
        <v>0.49215550000000002</v>
      </c>
      <c r="F2979" t="s">
        <v>48</v>
      </c>
      <c r="G2979">
        <v>-403.62009999999998</v>
      </c>
      <c r="H2979" s="1">
        <v>6.58822599999999E-6</v>
      </c>
      <c r="I2979">
        <v>215.62610000000001</v>
      </c>
      <c r="J2979">
        <v>-420.76299999999998</v>
      </c>
      <c r="K2979">
        <v>1.1017219999999901</v>
      </c>
      <c r="L2979">
        <v>214.4221</v>
      </c>
      <c r="M2979">
        <v>0.99763670000000004</v>
      </c>
      <c r="N2979">
        <v>0</v>
      </c>
      <c r="O2979">
        <v>6.8495379999999995E-2</v>
      </c>
      <c r="P2979">
        <v>0.99851380000000001</v>
      </c>
      <c r="Q2979">
        <v>7.7575609999999996E-3</v>
      </c>
      <c r="R2979">
        <v>5.3947149999999999E-2</v>
      </c>
      <c r="S2979">
        <v>2.994507</v>
      </c>
      <c r="T2979">
        <v>-0.18704609999999999</v>
      </c>
      <c r="U2979">
        <v>0.21020510000000001</v>
      </c>
      <c r="V2979">
        <v>1.460027E-2</v>
      </c>
      <c r="W2979">
        <v>1.31387E-2</v>
      </c>
      <c r="X2979">
        <v>0.99980709999999995</v>
      </c>
      <c r="Y2979">
        <v>-1.6611760000000001E-3</v>
      </c>
      <c r="Z2979">
        <v>-4.2122549999999998E-3</v>
      </c>
      <c r="AA2979">
        <v>0.99998969999999898</v>
      </c>
      <c r="AB2979">
        <v>49</v>
      </c>
      <c r="AC2979">
        <v>17.142900000000001</v>
      </c>
      <c r="AD2979">
        <v>-1.10171541177399</v>
      </c>
      <c r="AE2979">
        <v>1.204</v>
      </c>
      <c r="AF2979">
        <v>-2.6835242390351E-2</v>
      </c>
      <c r="AG2979">
        <v>-1.10171541177399</v>
      </c>
      <c r="AH2979">
        <v>17.1147669153486</v>
      </c>
      <c r="AI2979">
        <v>93.683169761844994</v>
      </c>
      <c r="AJ2979">
        <v>90.089837324619594</v>
      </c>
      <c r="AK2979">
        <v>17.150211180783899</v>
      </c>
    </row>
    <row r="2980" spans="1:37" x14ac:dyDescent="0.2">
      <c r="A2980" t="str">
        <f>"20200111153708125"</f>
        <v>20200111153708125</v>
      </c>
      <c r="B2980" t="str">
        <f>"1578728228116061"</f>
        <v>1578728228116061</v>
      </c>
      <c r="C2980" t="s">
        <v>37</v>
      </c>
      <c r="D2980">
        <v>5.9325080000000003</v>
      </c>
      <c r="E2980">
        <v>0.49207010000000001</v>
      </c>
      <c r="F2980" t="s">
        <v>38</v>
      </c>
      <c r="G2980">
        <v>-419.66469999999998</v>
      </c>
      <c r="H2980">
        <v>1.032681</v>
      </c>
      <c r="I2980">
        <v>214.49979999999999</v>
      </c>
      <c r="J2980">
        <v>-420.24799999999999</v>
      </c>
      <c r="K2980">
        <v>1.101691</v>
      </c>
      <c r="L2980">
        <v>214.4571</v>
      </c>
      <c r="M2980">
        <v>0.99769669999999899</v>
      </c>
      <c r="N2980">
        <v>0</v>
      </c>
      <c r="O2980">
        <v>6.7637760000000005E-2</v>
      </c>
      <c r="P2980">
        <v>0.99841650000000004</v>
      </c>
      <c r="Q2980">
        <v>9.1170560000000001E-3</v>
      </c>
      <c r="R2980">
        <v>5.5510619999999997E-2</v>
      </c>
      <c r="S2980">
        <v>2.9944459999999999</v>
      </c>
      <c r="T2980">
        <v>-0.1882742</v>
      </c>
      <c r="U2980">
        <v>0.2126007</v>
      </c>
      <c r="V2980">
        <v>1.2179769999999999E-2</v>
      </c>
      <c r="W2980">
        <v>1.422817E-2</v>
      </c>
      <c r="X2980">
        <v>0.99982459999999995</v>
      </c>
      <c r="Y2980">
        <v>-3.315143E-3</v>
      </c>
      <c r="Z2980">
        <v>-4.1342669999999996E-3</v>
      </c>
      <c r="AA2980">
        <v>0.99998589999999998</v>
      </c>
      <c r="AB2980">
        <v>49</v>
      </c>
      <c r="AC2980">
        <v>0.58330000000006499</v>
      </c>
      <c r="AD2980">
        <v>-6.9010000000000002E-2</v>
      </c>
      <c r="AE2980">
        <v>4.2699999999996401E-2</v>
      </c>
      <c r="AF2980">
        <v>-3.1053508645158901E-3</v>
      </c>
      <c r="AG2980">
        <v>-6.9010000000000002E-2</v>
      </c>
      <c r="AH2980">
        <v>0.57682151555675598</v>
      </c>
      <c r="AI2980">
        <v>96.822250247180406</v>
      </c>
      <c r="AJ2980">
        <v>90.308452051069196</v>
      </c>
      <c r="AK2980">
        <v>0.58094327099398002</v>
      </c>
    </row>
    <row r="2981" spans="1:37" x14ac:dyDescent="0.2">
      <c r="A2981" t="str">
        <f>"20200111153708148"</f>
        <v>20200111153708148</v>
      </c>
      <c r="B2981" t="str">
        <f>"1578728228135580"</f>
        <v>1578728228135580</v>
      </c>
      <c r="C2981" t="s">
        <v>37</v>
      </c>
      <c r="D2981">
        <v>6.0326360000000001</v>
      </c>
      <c r="E2981">
        <v>0.49193100000000001</v>
      </c>
      <c r="F2981" t="s">
        <v>38</v>
      </c>
      <c r="G2981">
        <v>-419.22129999999999</v>
      </c>
      <c r="H2981">
        <v>1.0381549999999999</v>
      </c>
      <c r="I2981">
        <v>214.53190000000001</v>
      </c>
      <c r="J2981">
        <v>-419.75810000000001</v>
      </c>
      <c r="K2981">
        <v>1.101656</v>
      </c>
      <c r="L2981">
        <v>214.48990000000001</v>
      </c>
      <c r="M2981">
        <v>0.99775769999999997</v>
      </c>
      <c r="N2981">
        <v>0</v>
      </c>
      <c r="O2981">
        <v>6.6747710000000002E-2</v>
      </c>
      <c r="P2981">
        <v>0.99832359999999898</v>
      </c>
      <c r="Q2981">
        <v>1.0292600000000001E-2</v>
      </c>
      <c r="R2981">
        <v>5.696209E-2</v>
      </c>
      <c r="S2981">
        <v>2.9942929999999999</v>
      </c>
      <c r="T2981">
        <v>-0.18530150000000001</v>
      </c>
      <c r="U2981">
        <v>0.2179413</v>
      </c>
      <c r="V2981">
        <v>9.8384679999999995E-3</v>
      </c>
      <c r="W2981">
        <v>1.5224649999999999E-2</v>
      </c>
      <c r="X2981">
        <v>0.99983569999999999</v>
      </c>
      <c r="Y2981">
        <v>-5.9745769999999896E-3</v>
      </c>
      <c r="Z2981">
        <v>-3.9320969999999998E-3</v>
      </c>
      <c r="AA2981">
        <v>0.99997440000000004</v>
      </c>
      <c r="AB2981">
        <v>49</v>
      </c>
      <c r="AC2981">
        <v>0.53680000000002703</v>
      </c>
      <c r="AD2981">
        <v>-6.3501000000000002E-2</v>
      </c>
      <c r="AE2981">
        <v>4.2000000000001501E-2</v>
      </c>
      <c r="AF2981">
        <v>-5.9923804987427097E-3</v>
      </c>
      <c r="AG2981">
        <v>-6.3501000000000002E-2</v>
      </c>
      <c r="AH2981">
        <v>0.53102049438647503</v>
      </c>
      <c r="AI2981">
        <v>96.818786486528097</v>
      </c>
      <c r="AJ2981">
        <v>90.646535383507498</v>
      </c>
      <c r="AK2981">
        <v>0.53483740621192299</v>
      </c>
    </row>
    <row r="2982" spans="1:37" x14ac:dyDescent="0.2">
      <c r="A2982" t="str">
        <f>"20200111153708168"</f>
        <v>20200111153708168</v>
      </c>
      <c r="B2982" t="str">
        <f>"1578728228165837"</f>
        <v>1578728228165837</v>
      </c>
      <c r="C2982" t="s">
        <v>37</v>
      </c>
      <c r="D2982">
        <v>6.1123209999999997</v>
      </c>
      <c r="E2982">
        <v>0.49189529999999898</v>
      </c>
      <c r="F2982" t="s">
        <v>38</v>
      </c>
      <c r="G2982">
        <v>-418.77370000000002</v>
      </c>
      <c r="H2982">
        <v>1.041256</v>
      </c>
      <c r="I2982">
        <v>214.56309999999999</v>
      </c>
      <c r="J2982">
        <v>-419.30560000000003</v>
      </c>
      <c r="K2982">
        <v>1.101629</v>
      </c>
      <c r="L2982">
        <v>214.5198</v>
      </c>
      <c r="M2982">
        <v>0.99781779999999998</v>
      </c>
      <c r="N2982">
        <v>0</v>
      </c>
      <c r="O2982">
        <v>6.5851690000000004E-2</v>
      </c>
      <c r="P2982">
        <v>0.99830140000000001</v>
      </c>
      <c r="Q2982">
        <v>1.0892519999999999E-2</v>
      </c>
      <c r="R2982">
        <v>5.7236679999999998E-2</v>
      </c>
      <c r="S2982">
        <v>2.9941409999999999</v>
      </c>
      <c r="T2982">
        <v>-0.1837828</v>
      </c>
      <c r="U2982">
        <v>0.2236176</v>
      </c>
      <c r="V2982">
        <v>8.6693129999999997E-3</v>
      </c>
      <c r="W2982">
        <v>1.5713830000000002E-2</v>
      </c>
      <c r="X2982">
        <v>0.99983889999999997</v>
      </c>
      <c r="Y2982">
        <v>-8.7530070000000001E-3</v>
      </c>
      <c r="Z2982">
        <v>-3.7600049999999999E-3</v>
      </c>
      <c r="AA2982">
        <v>0.99995460000000003</v>
      </c>
      <c r="AB2982">
        <v>49</v>
      </c>
      <c r="AC2982">
        <v>0.53190000000000703</v>
      </c>
      <c r="AD2982">
        <v>-6.0373000000000197E-2</v>
      </c>
      <c r="AE2982">
        <v>4.3299999999987897E-2</v>
      </c>
      <c r="AF2982">
        <v>-8.0757348865391192E-3</v>
      </c>
      <c r="AG2982">
        <v>-6.0373000000000197E-2</v>
      </c>
      <c r="AH2982">
        <v>0.52685394634847105</v>
      </c>
      <c r="AI2982">
        <v>96.536336038550701</v>
      </c>
      <c r="AJ2982">
        <v>90.878173724506595</v>
      </c>
      <c r="AK2982">
        <v>0.53036326928428501</v>
      </c>
    </row>
    <row r="2983" spans="1:37" x14ac:dyDescent="0.2">
      <c r="A2983" t="str">
        <f>"20200111153708192"</f>
        <v>20200111153708192</v>
      </c>
      <c r="B2983" t="str">
        <f>"1578728228186333"</f>
        <v>1578728228186333</v>
      </c>
      <c r="C2983" t="s">
        <v>37</v>
      </c>
      <c r="D2983">
        <v>6.2246680000000003</v>
      </c>
      <c r="E2983">
        <v>0.5240245</v>
      </c>
      <c r="F2983" t="s">
        <v>48</v>
      </c>
      <c r="G2983">
        <v>-401.42129999999997</v>
      </c>
      <c r="H2983" s="1">
        <v>7.5143750000000004E-6</v>
      </c>
      <c r="I2983">
        <v>215.8629</v>
      </c>
      <c r="J2983">
        <v>-418.80239999999998</v>
      </c>
      <c r="K2983">
        <v>1.101591</v>
      </c>
      <c r="L2983">
        <v>214.55250000000001</v>
      </c>
      <c r="M2983">
        <v>0.99788929999999998</v>
      </c>
      <c r="N2983">
        <v>0</v>
      </c>
      <c r="O2983">
        <v>6.4763319999999999E-2</v>
      </c>
      <c r="P2983">
        <v>0.99831550000000002</v>
      </c>
      <c r="Q2983">
        <v>1.171932E-2</v>
      </c>
      <c r="R2983">
        <v>5.6825670000000002E-2</v>
      </c>
      <c r="S2983">
        <v>2.9942630000000001</v>
      </c>
      <c r="T2983">
        <v>-0.184438299999999</v>
      </c>
      <c r="U2983">
        <v>0.22486880000000001</v>
      </c>
      <c r="V2983">
        <v>7.9952979999999996E-3</v>
      </c>
      <c r="W2983">
        <v>1.6492400000000001E-2</v>
      </c>
      <c r="X2983">
        <v>0.99983199999999905</v>
      </c>
      <c r="Y2983">
        <v>-1.025207E-2</v>
      </c>
      <c r="Z2983">
        <v>-3.6604109999999902E-3</v>
      </c>
      <c r="AA2983">
        <v>0.99994079999999996</v>
      </c>
      <c r="AB2983">
        <v>49</v>
      </c>
      <c r="AC2983">
        <v>17.3811</v>
      </c>
      <c r="AD2983">
        <v>-1.101583485625</v>
      </c>
      <c r="AE2983">
        <v>1.31039999999998</v>
      </c>
      <c r="AF2983">
        <v>-0.181254510667336</v>
      </c>
      <c r="AG2983">
        <v>-1.101583485625</v>
      </c>
      <c r="AH2983">
        <v>17.360138914238401</v>
      </c>
      <c r="AI2983">
        <v>93.630624751065497</v>
      </c>
      <c r="AJ2983">
        <v>90.598194587616504</v>
      </c>
      <c r="AK2983">
        <v>17.395998462149102</v>
      </c>
    </row>
    <row r="2984" spans="1:37" x14ac:dyDescent="0.2">
      <c r="A2984" t="str">
        <f>"20200111153708214"</f>
        <v>20200111153708214</v>
      </c>
      <c r="B2984" t="str">
        <f>"1578728228205853"</f>
        <v>1578728228205853</v>
      </c>
      <c r="C2984" t="s">
        <v>37</v>
      </c>
      <c r="D2984">
        <v>7.9333710000000002</v>
      </c>
      <c r="E2984">
        <v>0.52532140000000005</v>
      </c>
      <c r="F2984" t="s">
        <v>38</v>
      </c>
      <c r="G2984">
        <v>-417.92599999999999</v>
      </c>
      <c r="H2984">
        <v>0.97751369999999904</v>
      </c>
      <c r="I2984">
        <v>214.5386</v>
      </c>
      <c r="J2984">
        <v>-418.29160000000002</v>
      </c>
      <c r="K2984">
        <v>1.1015600000000001</v>
      </c>
      <c r="L2984">
        <v>214.58510000000001</v>
      </c>
      <c r="M2984">
        <v>0.99796629999999997</v>
      </c>
      <c r="N2984">
        <v>0</v>
      </c>
      <c r="O2984">
        <v>6.3558740000000002E-2</v>
      </c>
      <c r="P2984">
        <v>0.99834009999999995</v>
      </c>
      <c r="Q2984">
        <v>1.202133E-2</v>
      </c>
      <c r="R2984">
        <v>5.6325890000000003E-2</v>
      </c>
      <c r="S2984">
        <v>3.0126949999999999</v>
      </c>
      <c r="T2984">
        <v>-0.42659249999999999</v>
      </c>
      <c r="U2984">
        <v>-4.5593259999999997E-2</v>
      </c>
      <c r="V2984">
        <v>7.2936750000000003E-3</v>
      </c>
      <c r="W2984">
        <v>1.6858080000000001E-2</v>
      </c>
      <c r="X2984">
        <v>0.99983129999999998</v>
      </c>
      <c r="Y2984">
        <v>7.7249620000000005E-2</v>
      </c>
      <c r="Z2984">
        <v>-1.4393019999999999E-2</v>
      </c>
      <c r="AA2984">
        <v>0.99690789999999996</v>
      </c>
      <c r="AB2984">
        <v>49</v>
      </c>
      <c r="AC2984">
        <v>0.36560000000002801</v>
      </c>
      <c r="AD2984">
        <v>-0.1240463</v>
      </c>
      <c r="AE2984">
        <v>-4.6500000000008798E-2</v>
      </c>
      <c r="AF2984">
        <v>6.2556404833727403E-2</v>
      </c>
      <c r="AG2984">
        <v>-0.1240463</v>
      </c>
      <c r="AH2984">
        <v>0.32507768440664297</v>
      </c>
      <c r="AI2984">
        <v>110.541712238324</v>
      </c>
      <c r="AJ2984">
        <v>79.107425348643901</v>
      </c>
      <c r="AK2984">
        <v>0.35351985690848498</v>
      </c>
    </row>
    <row r="2985" spans="1:37" x14ac:dyDescent="0.2">
      <c r="A2985" t="str">
        <f>"20200111153708237"</f>
        <v>20200111153708237</v>
      </c>
      <c r="B2985" t="str">
        <f>"1578728228226349"</f>
        <v>1578728228226349</v>
      </c>
      <c r="C2985" t="s">
        <v>37</v>
      </c>
      <c r="D2985">
        <v>5.9700939999999996</v>
      </c>
      <c r="E2985">
        <v>0.52741130000000003</v>
      </c>
      <c r="F2985" t="s">
        <v>38</v>
      </c>
      <c r="G2985">
        <v>-417.48250000000002</v>
      </c>
      <c r="H2985">
        <v>0.97901569999999905</v>
      </c>
      <c r="I2985">
        <v>214.5692</v>
      </c>
      <c r="J2985">
        <v>-417.80630000000002</v>
      </c>
      <c r="K2985">
        <v>1.1015440000000001</v>
      </c>
      <c r="L2985">
        <v>214.61539999999999</v>
      </c>
      <c r="M2985">
        <v>0.99804349999999997</v>
      </c>
      <c r="N2985">
        <v>0</v>
      </c>
      <c r="O2985">
        <v>6.2318989999999998E-2</v>
      </c>
      <c r="P2985">
        <v>0.99833809999999901</v>
      </c>
      <c r="Q2985">
        <v>1.503693E-2</v>
      </c>
      <c r="R2985">
        <v>5.5631939999999998E-2</v>
      </c>
      <c r="S2985">
        <v>3.0138240000000001</v>
      </c>
      <c r="T2985">
        <v>-0.45640979999999998</v>
      </c>
      <c r="U2985">
        <v>-5.941772E-2</v>
      </c>
      <c r="V2985">
        <v>6.7594309999999998E-3</v>
      </c>
      <c r="W2985">
        <v>2.008476E-2</v>
      </c>
      <c r="X2985">
        <v>0.99977539999999998</v>
      </c>
      <c r="Y2985">
        <v>8.0354659999999994E-2</v>
      </c>
      <c r="Z2985">
        <v>-1.5429409999999999E-2</v>
      </c>
      <c r="AA2985">
        <v>0.9966469</v>
      </c>
      <c r="AB2985">
        <v>50</v>
      </c>
      <c r="AC2985">
        <v>0.32380000000000497</v>
      </c>
      <c r="AD2985">
        <v>-0.12252830000000001</v>
      </c>
      <c r="AE2985">
        <v>-4.6199999999998902E-2</v>
      </c>
      <c r="AF2985">
        <v>5.8131454479575101E-2</v>
      </c>
      <c r="AG2985">
        <v>-0.12252830000000001</v>
      </c>
      <c r="AH2985">
        <v>0.28087480881673099</v>
      </c>
      <c r="AI2985">
        <v>113.131440239307</v>
      </c>
      <c r="AJ2985">
        <v>78.306831005995804</v>
      </c>
      <c r="AK2985">
        <v>0.31190240224890198</v>
      </c>
    </row>
    <row r="2986" spans="1:37" x14ac:dyDescent="0.2">
      <c r="A2986" t="str">
        <f>"20200111153708260"</f>
        <v>20200111153708260</v>
      </c>
      <c r="B2986" t="str">
        <f>"1578728228255629"</f>
        <v>1578728228255629</v>
      </c>
      <c r="C2986" t="s">
        <v>37</v>
      </c>
      <c r="D2986">
        <v>6.0050989999999898</v>
      </c>
      <c r="E2986">
        <v>0.53509189999999995</v>
      </c>
      <c r="F2986" t="s">
        <v>38</v>
      </c>
      <c r="G2986">
        <v>-417.0376</v>
      </c>
      <c r="H2986">
        <v>0.98129390000000005</v>
      </c>
      <c r="I2986">
        <v>214.59469999999999</v>
      </c>
      <c r="J2986">
        <v>-417.28019999999998</v>
      </c>
      <c r="K2986">
        <v>1.1015409999999899</v>
      </c>
      <c r="L2986">
        <v>214.64750000000001</v>
      </c>
      <c r="M2986">
        <v>0.99813069999999904</v>
      </c>
      <c r="N2986">
        <v>0</v>
      </c>
      <c r="O2986">
        <v>6.086797E-2</v>
      </c>
      <c r="P2986">
        <v>0.9983339</v>
      </c>
      <c r="Q2986">
        <v>1.7900570000000001E-2</v>
      </c>
      <c r="R2986">
        <v>5.4859869999999998E-2</v>
      </c>
      <c r="S2986">
        <v>3.0165099999999998</v>
      </c>
      <c r="T2986">
        <v>-0.47197829999999902</v>
      </c>
      <c r="U2986">
        <v>-7.9299930000000005E-2</v>
      </c>
      <c r="V2986">
        <v>6.09479599999999E-3</v>
      </c>
      <c r="W2986">
        <v>2.33837E-2</v>
      </c>
      <c r="X2986">
        <v>0.99970800000000004</v>
      </c>
      <c r="Y2986">
        <v>8.5301479999999999E-2</v>
      </c>
      <c r="Z2986">
        <v>-1.6094000000000001E-2</v>
      </c>
      <c r="AA2986">
        <v>0.99622520000000003</v>
      </c>
      <c r="AB2986">
        <v>50</v>
      </c>
      <c r="AC2986">
        <v>0.242599999999981</v>
      </c>
      <c r="AD2986">
        <v>-0.120247099999999</v>
      </c>
      <c r="AE2986">
        <v>-5.2800000000018998E-2</v>
      </c>
      <c r="AF2986">
        <v>5.4649807558682199E-2</v>
      </c>
      <c r="AG2986">
        <v>-0.120247099999999</v>
      </c>
      <c r="AH2986">
        <v>0.193538418120491</v>
      </c>
      <c r="AI2986">
        <v>120.87639471926801</v>
      </c>
      <c r="AJ2986">
        <v>74.231812309604805</v>
      </c>
      <c r="AK2986">
        <v>0.23431407514955799</v>
      </c>
    </row>
    <row r="2987" spans="1:37" x14ac:dyDescent="0.2">
      <c r="A2987" t="str">
        <f>"20200111153708280"</f>
        <v>20200111153708280</v>
      </c>
      <c r="B2987" t="str">
        <f>"1578728228276125"</f>
        <v>1578728228276125</v>
      </c>
      <c r="C2987" t="s">
        <v>37</v>
      </c>
      <c r="D2987">
        <v>5.9732190000000003</v>
      </c>
      <c r="E2987">
        <v>0.53817979999999999</v>
      </c>
      <c r="F2987" t="s">
        <v>38</v>
      </c>
      <c r="G2987">
        <v>-416.176999999999</v>
      </c>
      <c r="H2987">
        <v>0.91507280000000002</v>
      </c>
      <c r="I2987">
        <v>214.59399999999999</v>
      </c>
      <c r="J2987">
        <v>-416.8322</v>
      </c>
      <c r="K2987">
        <v>1.10154</v>
      </c>
      <c r="L2987">
        <v>214.67410000000001</v>
      </c>
      <c r="M2987">
        <v>0.99820769999999903</v>
      </c>
      <c r="N2987">
        <v>0</v>
      </c>
      <c r="O2987">
        <v>5.9537550000000002E-2</v>
      </c>
      <c r="P2987">
        <v>0.99842889999999995</v>
      </c>
      <c r="Q2987">
        <v>1.7717489999999999E-2</v>
      </c>
      <c r="R2987">
        <v>5.3159680000000001E-2</v>
      </c>
      <c r="S2987">
        <v>3.022125</v>
      </c>
      <c r="T2987">
        <v>-0.5108625</v>
      </c>
      <c r="U2987">
        <v>-0.14489749999999901</v>
      </c>
      <c r="V2987">
        <v>6.4742300000000001E-3</v>
      </c>
      <c r="W2987">
        <v>2.374981E-2</v>
      </c>
      <c r="X2987">
        <v>0.99969699999999995</v>
      </c>
      <c r="Y2987">
        <v>0.10494680000000001</v>
      </c>
      <c r="Z2987">
        <v>-1.8789750000000001E-2</v>
      </c>
      <c r="AA2987">
        <v>0.99430030000000003</v>
      </c>
      <c r="AB2987">
        <v>50</v>
      </c>
      <c r="AC2987">
        <v>0.65520000000003598</v>
      </c>
      <c r="AD2987">
        <v>-0.186467199999999</v>
      </c>
      <c r="AE2987">
        <v>-8.0099999999987403E-2</v>
      </c>
      <c r="AF2987">
        <v>0.110175393359559</v>
      </c>
      <c r="AG2987">
        <v>-0.186467199999999</v>
      </c>
      <c r="AH2987">
        <v>0.60128484039212704</v>
      </c>
      <c r="AI2987">
        <v>106.96360100622999</v>
      </c>
      <c r="AJ2987">
        <v>79.616688516809404</v>
      </c>
      <c r="AK2987">
        <v>0.63910256865636195</v>
      </c>
    </row>
    <row r="2988" spans="1:37" x14ac:dyDescent="0.2">
      <c r="A2988" t="str">
        <f>"20200111153708302"</f>
        <v>20200111153708302</v>
      </c>
      <c r="B2988" t="str">
        <f>"1578728228295645"</f>
        <v>1578728228295645</v>
      </c>
      <c r="C2988" t="s">
        <v>37</v>
      </c>
      <c r="D2988">
        <v>5.8966649999999996</v>
      </c>
      <c r="E2988">
        <v>0.54065940000000001</v>
      </c>
      <c r="F2988" t="s">
        <v>38</v>
      </c>
      <c r="G2988">
        <v>-415.73450000000003</v>
      </c>
      <c r="H2988">
        <v>0.90987830000000003</v>
      </c>
      <c r="I2988">
        <v>214.61019999999999</v>
      </c>
      <c r="J2988">
        <v>-416.32920000000001</v>
      </c>
      <c r="K2988">
        <v>1.101537</v>
      </c>
      <c r="L2988">
        <v>214.70320000000001</v>
      </c>
      <c r="M2988">
        <v>0.99829659999999998</v>
      </c>
      <c r="N2988">
        <v>0</v>
      </c>
      <c r="O2988">
        <v>5.7948739999999999E-2</v>
      </c>
      <c r="P2988">
        <v>0.99855969999999905</v>
      </c>
      <c r="Q2988">
        <v>1.7358160000000001E-2</v>
      </c>
      <c r="R2988">
        <v>5.0767300000000001E-2</v>
      </c>
      <c r="S2988">
        <v>3.0234070000000002</v>
      </c>
      <c r="T2988">
        <v>-0.52790230000000005</v>
      </c>
      <c r="U2988">
        <v>-0.17509459999999999</v>
      </c>
      <c r="V2988">
        <v>7.2891739999999998E-3</v>
      </c>
      <c r="W2988">
        <v>2.4096369999999999E-2</v>
      </c>
      <c r="X2988">
        <v>0.99968310000000005</v>
      </c>
      <c r="Y2988">
        <v>0.112993</v>
      </c>
      <c r="Z2988">
        <v>-1.9816629999999998E-2</v>
      </c>
      <c r="AA2988">
        <v>0.99339809999999995</v>
      </c>
      <c r="AB2988">
        <v>50</v>
      </c>
      <c r="AC2988">
        <v>0.59469999999998802</v>
      </c>
      <c r="AD2988">
        <v>-0.19165869999999899</v>
      </c>
      <c r="AE2988">
        <v>-9.3000000000017694E-2</v>
      </c>
      <c r="AF2988">
        <v>0.11558788664911999</v>
      </c>
      <c r="AG2988">
        <v>-0.19165869999999899</v>
      </c>
      <c r="AH2988">
        <v>0.53415646617347901</v>
      </c>
      <c r="AI2988">
        <v>109.325233681071</v>
      </c>
      <c r="AJ2988">
        <v>77.789837979670395</v>
      </c>
      <c r="AK2988">
        <v>0.57915174797339497</v>
      </c>
    </row>
    <row r="2989" spans="1:37" x14ac:dyDescent="0.2">
      <c r="A2989" t="str">
        <f>"20200111153708325"</f>
        <v>20200111153708325</v>
      </c>
      <c r="B2989" t="str">
        <f>"1578728228316140"</f>
        <v>1578728228316140</v>
      </c>
      <c r="C2989" t="s">
        <v>37</v>
      </c>
      <c r="D2989">
        <v>6.0507220000000004</v>
      </c>
      <c r="E2989">
        <v>0.54255690000000001</v>
      </c>
      <c r="F2989" t="s">
        <v>38</v>
      </c>
      <c r="G2989">
        <v>-415.28989999999999</v>
      </c>
      <c r="H2989">
        <v>0.91203330000000005</v>
      </c>
      <c r="I2989">
        <v>214.6326</v>
      </c>
      <c r="J2989">
        <v>-415.81459999999998</v>
      </c>
      <c r="K2989">
        <v>1.101539</v>
      </c>
      <c r="L2989">
        <v>214.7319</v>
      </c>
      <c r="M2989">
        <v>0.99838919999999998</v>
      </c>
      <c r="N2989">
        <v>0</v>
      </c>
      <c r="O2989">
        <v>5.6229380000000002E-2</v>
      </c>
      <c r="P2989">
        <v>0.99871960000000004</v>
      </c>
      <c r="Q2989">
        <v>1.7865180000000001E-2</v>
      </c>
      <c r="R2989">
        <v>4.733159E-2</v>
      </c>
      <c r="S2989">
        <v>3.0242</v>
      </c>
      <c r="T2989">
        <v>-0.55140089999999997</v>
      </c>
      <c r="U2989">
        <v>-0.2032013</v>
      </c>
      <c r="V2989">
        <v>9.0213299999999993E-3</v>
      </c>
      <c r="W2989">
        <v>2.5400120000000002E-2</v>
      </c>
      <c r="X2989">
        <v>0.99963670000000004</v>
      </c>
      <c r="Y2989">
        <v>0.1201422</v>
      </c>
      <c r="Z2989">
        <v>-2.1009529999999998E-2</v>
      </c>
      <c r="AA2989">
        <v>0.99253429999999998</v>
      </c>
      <c r="AB2989">
        <v>50</v>
      </c>
      <c r="AC2989">
        <v>0.52469999999999495</v>
      </c>
      <c r="AD2989">
        <v>-0.1895057</v>
      </c>
      <c r="AE2989">
        <v>-9.92999999999995E-2</v>
      </c>
      <c r="AF2989">
        <v>0.11425837693752</v>
      </c>
      <c r="AG2989">
        <v>-0.1895057</v>
      </c>
      <c r="AH2989">
        <v>0.46031694326346101</v>
      </c>
      <c r="AI2989">
        <v>111.779695740203</v>
      </c>
      <c r="AJ2989">
        <v>76.059959193659196</v>
      </c>
      <c r="AK2989">
        <v>0.51074364928827398</v>
      </c>
    </row>
    <row r="2990" spans="1:37" x14ac:dyDescent="0.2">
      <c r="A2990" t="str">
        <f>"20200111153708360"</f>
        <v>20200111153708360</v>
      </c>
      <c r="B2990" t="str">
        <f>"1578728228356157"</f>
        <v>1578728228356157</v>
      </c>
      <c r="C2990" t="s">
        <v>37</v>
      </c>
      <c r="D2990">
        <v>5.9544360000000003</v>
      </c>
      <c r="E2990">
        <v>0.54517469999999901</v>
      </c>
      <c r="F2990" t="s">
        <v>38</v>
      </c>
      <c r="G2990">
        <v>-414.84469999999999</v>
      </c>
      <c r="H2990">
        <v>0.91749199999999997</v>
      </c>
      <c r="I2990">
        <v>214.65809999999999</v>
      </c>
      <c r="J2990">
        <v>-415.07279999999997</v>
      </c>
      <c r="K2990">
        <v>1.1015090000000001</v>
      </c>
      <c r="L2990">
        <v>214.77180000000001</v>
      </c>
      <c r="M2990">
        <v>0.99852609999999997</v>
      </c>
      <c r="N2990">
        <v>0</v>
      </c>
      <c r="O2990">
        <v>5.3562619999999998E-2</v>
      </c>
      <c r="P2990">
        <v>0.99899020000000005</v>
      </c>
      <c r="Q2990">
        <v>1.8664409999999999E-2</v>
      </c>
      <c r="R2990">
        <v>4.0870599999999903E-2</v>
      </c>
      <c r="S2990">
        <v>3.0250240000000002</v>
      </c>
      <c r="T2990">
        <v>-0.57396579999999997</v>
      </c>
      <c r="U2990">
        <v>-0.22976679999999899</v>
      </c>
      <c r="V2990">
        <v>1.2839969999999999E-2</v>
      </c>
      <c r="W2990">
        <v>2.7362089999999999E-2</v>
      </c>
      <c r="X2990">
        <v>0.99954310000000002</v>
      </c>
      <c r="Y2990">
        <v>0.12585389999999999</v>
      </c>
      <c r="Z2990">
        <v>-2.187834E-2</v>
      </c>
      <c r="AA2990">
        <v>0.99180749999999995</v>
      </c>
      <c r="AB2990">
        <v>50</v>
      </c>
      <c r="AC2990">
        <v>0.22809999999998301</v>
      </c>
      <c r="AD2990">
        <v>-0.18401699999999999</v>
      </c>
      <c r="AE2990">
        <v>-0.11370000000002201</v>
      </c>
      <c r="AF2990">
        <v>8.2662756986283295E-2</v>
      </c>
      <c r="AG2990">
        <v>-0.18401699999999999</v>
      </c>
      <c r="AH2990">
        <v>0.14571892249882701</v>
      </c>
      <c r="AI2990">
        <v>137.684690062041</v>
      </c>
      <c r="AJ2990">
        <v>60.434825152849903</v>
      </c>
      <c r="AK2990">
        <v>0.24885616740557601</v>
      </c>
    </row>
    <row r="2991" spans="1:37" x14ac:dyDescent="0.2">
      <c r="A2991" t="str">
        <f>"20200111153708382"</f>
        <v>20200111153708382</v>
      </c>
      <c r="B2991" t="str">
        <f>"1578728228375677"</f>
        <v>1578728228375677</v>
      </c>
      <c r="C2991" t="s">
        <v>37</v>
      </c>
      <c r="D2991">
        <v>6.0684319999999996</v>
      </c>
      <c r="E2991">
        <v>0.54626300000000005</v>
      </c>
      <c r="F2991" t="s">
        <v>38</v>
      </c>
      <c r="G2991">
        <v>-414.37950000000001</v>
      </c>
      <c r="H2991">
        <v>0.96989989999999904</v>
      </c>
      <c r="I2991">
        <v>214.70910000000001</v>
      </c>
      <c r="J2991">
        <v>-414.58569999999997</v>
      </c>
      <c r="K2991">
        <v>1.1014429999999999</v>
      </c>
      <c r="L2991">
        <v>214.79660000000001</v>
      </c>
      <c r="M2991">
        <v>0.9986199</v>
      </c>
      <c r="N2991">
        <v>0</v>
      </c>
      <c r="O2991">
        <v>5.165836E-2</v>
      </c>
      <c r="P2991">
        <v>0.99915239999999905</v>
      </c>
      <c r="Q2991">
        <v>1.7976329999999999E-2</v>
      </c>
      <c r="R2991">
        <v>3.7034600000000001E-2</v>
      </c>
      <c r="S2991">
        <v>3.0248110000000001</v>
      </c>
      <c r="T2991">
        <v>-0.5740229</v>
      </c>
      <c r="U2991">
        <v>-0.2710571</v>
      </c>
      <c r="V2991">
        <v>1.478198E-2</v>
      </c>
      <c r="W2991">
        <v>2.7373060000000001E-2</v>
      </c>
      <c r="X2991">
        <v>0.99951599999999996</v>
      </c>
      <c r="Y2991">
        <v>0.1372409</v>
      </c>
      <c r="Z2991">
        <v>-2.2582270000000002E-2</v>
      </c>
      <c r="AA2991">
        <v>0.9902803</v>
      </c>
      <c r="AB2991">
        <v>50</v>
      </c>
      <c r="AC2991">
        <v>0.20619999999996699</v>
      </c>
      <c r="AD2991">
        <v>-0.1315431</v>
      </c>
      <c r="AE2991">
        <v>-8.7500000000005601E-2</v>
      </c>
      <c r="AF2991">
        <v>7.2896132965602004E-2</v>
      </c>
      <c r="AG2991">
        <v>-0.1315431</v>
      </c>
      <c r="AH2991">
        <v>0.14975783765209499</v>
      </c>
      <c r="AI2991">
        <v>128.30090157580099</v>
      </c>
      <c r="AJ2991">
        <v>64.045031346892003</v>
      </c>
      <c r="AK2991">
        <v>0.212237704702015</v>
      </c>
    </row>
    <row r="2992" spans="1:37" x14ac:dyDescent="0.2">
      <c r="A2992" t="str">
        <f>"20200111153708403"</f>
        <v>20200111153708403</v>
      </c>
      <c r="B2992" t="str">
        <f>"1578728228396173"</f>
        <v>1578728228396173</v>
      </c>
      <c r="C2992" t="s">
        <v>37</v>
      </c>
      <c r="D2992">
        <v>5.9748349999999997</v>
      </c>
      <c r="E2992">
        <v>0.54829700000000003</v>
      </c>
      <c r="F2992" t="s">
        <v>38</v>
      </c>
      <c r="G2992">
        <v>-413.5222</v>
      </c>
      <c r="H2992">
        <v>0.89805029999999997</v>
      </c>
      <c r="I2992">
        <v>214.6935</v>
      </c>
      <c r="J2992">
        <v>-414.0806</v>
      </c>
      <c r="K2992">
        <v>1.1013469999999901</v>
      </c>
      <c r="L2992">
        <v>214.82140000000001</v>
      </c>
      <c r="M2992">
        <v>0.99871939999999904</v>
      </c>
      <c r="N2992">
        <v>0</v>
      </c>
      <c r="O2992">
        <v>4.9563940000000001E-2</v>
      </c>
      <c r="P2992">
        <v>0.99928439999999996</v>
      </c>
      <c r="Q2992">
        <v>1.6975219999999999E-2</v>
      </c>
      <c r="R2992">
        <v>3.3805269999999998E-2</v>
      </c>
      <c r="S2992">
        <v>3.0237729999999998</v>
      </c>
      <c r="T2992">
        <v>-0.57821210000000001</v>
      </c>
      <c r="U2992">
        <v>-0.2924042</v>
      </c>
      <c r="V2992">
        <v>1.592507E-2</v>
      </c>
      <c r="W2992">
        <v>2.7032239999999999E-2</v>
      </c>
      <c r="X2992">
        <v>0.999507699999999</v>
      </c>
      <c r="Y2992">
        <v>0.1420276</v>
      </c>
      <c r="Z2992">
        <v>-2.2801490000000001E-2</v>
      </c>
      <c r="AA2992">
        <v>0.98960009999999998</v>
      </c>
      <c r="AB2992">
        <v>49</v>
      </c>
      <c r="AC2992">
        <v>0.558400000000006</v>
      </c>
      <c r="AD2992">
        <v>-0.203296699999999</v>
      </c>
      <c r="AE2992">
        <v>-0.127900000000011</v>
      </c>
      <c r="AF2992">
        <v>0.13803643148588601</v>
      </c>
      <c r="AG2992">
        <v>-0.203296699999999</v>
      </c>
      <c r="AH2992">
        <v>0.48970118502142201</v>
      </c>
      <c r="AI2992">
        <v>111.780344012307</v>
      </c>
      <c r="AJ2992">
        <v>74.257975674292396</v>
      </c>
      <c r="AK2992">
        <v>0.54789675602218402</v>
      </c>
    </row>
    <row r="2993" spans="1:37" x14ac:dyDescent="0.2">
      <c r="A2993" t="str">
        <f>"20200111153708427"</f>
        <v>20200111153708427</v>
      </c>
      <c r="B2993" t="str">
        <f>"1578728228415692"</f>
        <v>1578728228415692</v>
      </c>
      <c r="C2993" t="s">
        <v>37</v>
      </c>
      <c r="D2993">
        <v>5.9187880000000002</v>
      </c>
      <c r="E2993">
        <v>0.54963119999999999</v>
      </c>
      <c r="F2993" t="s">
        <v>38</v>
      </c>
      <c r="G2993">
        <v>-413.07780000000002</v>
      </c>
      <c r="H2993">
        <v>0.90426249999999997</v>
      </c>
      <c r="I2993">
        <v>214.7149</v>
      </c>
      <c r="J2993">
        <v>-413.57139999999998</v>
      </c>
      <c r="K2993">
        <v>1.1012439999999999</v>
      </c>
      <c r="L2993">
        <v>214.845</v>
      </c>
      <c r="M2993">
        <v>0.9988205</v>
      </c>
      <c r="N2993">
        <v>0</v>
      </c>
      <c r="O2993">
        <v>4.734857E-2</v>
      </c>
      <c r="P2993">
        <v>0.99937209999999999</v>
      </c>
      <c r="Q2993">
        <v>1.650476E-2</v>
      </c>
      <c r="R2993">
        <v>3.1355069999999999E-2</v>
      </c>
      <c r="S2993">
        <v>3.0231020000000002</v>
      </c>
      <c r="T2993">
        <v>-0.59406729999999996</v>
      </c>
      <c r="U2993">
        <v>-0.32008359999999902</v>
      </c>
      <c r="V2993">
        <v>1.616946E-2</v>
      </c>
      <c r="W2993">
        <v>2.7165709999999999E-2</v>
      </c>
      <c r="X2993">
        <v>0.99950019999999995</v>
      </c>
      <c r="Y2993">
        <v>0.14855099999999999</v>
      </c>
      <c r="Z2993">
        <v>-2.361336E-2</v>
      </c>
      <c r="AA2993">
        <v>0.98862280000000002</v>
      </c>
      <c r="AB2993">
        <v>49</v>
      </c>
      <c r="AC2993">
        <v>0.49359999999995802</v>
      </c>
      <c r="AD2993">
        <v>-0.1969815</v>
      </c>
      <c r="AE2993">
        <v>-0.130099999999998</v>
      </c>
      <c r="AF2993">
        <v>0.13345372816873899</v>
      </c>
      <c r="AG2993">
        <v>-0.1969815</v>
      </c>
      <c r="AH2993">
        <v>0.42377976526537903</v>
      </c>
      <c r="AI2993">
        <v>113.91039971554601</v>
      </c>
      <c r="AJ2993">
        <v>72.520111133356195</v>
      </c>
      <c r="AK2993">
        <v>0.48600503943145101</v>
      </c>
    </row>
    <row r="2994" spans="1:37" x14ac:dyDescent="0.2">
      <c r="A2994" t="str">
        <f>"20200111153708448"</f>
        <v>20200111153708448</v>
      </c>
      <c r="B2994" t="str">
        <f>"1578728228445949"</f>
        <v>1578728228445949</v>
      </c>
      <c r="C2994" t="s">
        <v>37</v>
      </c>
      <c r="D2994">
        <v>5.9291499999999999</v>
      </c>
      <c r="E2994">
        <v>0.55114929999999995</v>
      </c>
      <c r="F2994" t="s">
        <v>38</v>
      </c>
      <c r="G2994">
        <v>-412.63420000000002</v>
      </c>
      <c r="H2994">
        <v>0.910187999999999</v>
      </c>
      <c r="I2994">
        <v>214.73949999999999</v>
      </c>
      <c r="J2994">
        <v>-413.09949999999998</v>
      </c>
      <c r="K2994">
        <v>1.1011420000000001</v>
      </c>
      <c r="L2994">
        <v>214.86599999999899</v>
      </c>
      <c r="M2994">
        <v>0.99891409999999903</v>
      </c>
      <c r="N2994">
        <v>0</v>
      </c>
      <c r="O2994">
        <v>4.5204630000000003E-2</v>
      </c>
      <c r="P2994">
        <v>0.99941409999999997</v>
      </c>
      <c r="Q2994">
        <v>1.659099E-2</v>
      </c>
      <c r="R2994">
        <v>2.9936319999999999E-2</v>
      </c>
      <c r="S2994">
        <v>3.0227659999999998</v>
      </c>
      <c r="T2994">
        <v>-0.61616740000000003</v>
      </c>
      <c r="U2994">
        <v>-0.33999629999999997</v>
      </c>
      <c r="V2994">
        <v>1.545493E-2</v>
      </c>
      <c r="W2994">
        <v>2.7761060000000001E-2</v>
      </c>
      <c r="X2994">
        <v>0.99949509999999897</v>
      </c>
      <c r="Y2994">
        <v>0.15256229999999901</v>
      </c>
      <c r="Z2994">
        <v>-2.4441089999999999E-2</v>
      </c>
      <c r="AA2994">
        <v>0.98799159999999997</v>
      </c>
      <c r="AB2994">
        <v>49</v>
      </c>
      <c r="AC2994">
        <v>0.46529999999995603</v>
      </c>
      <c r="AD2994">
        <v>-0.19095400000000001</v>
      </c>
      <c r="AE2994">
        <v>-0.12649999999999201</v>
      </c>
      <c r="AF2994">
        <v>0.12742236629668</v>
      </c>
      <c r="AG2994">
        <v>-0.19095400000000001</v>
      </c>
      <c r="AH2994">
        <v>0.39686596712392402</v>
      </c>
      <c r="AI2994">
        <v>114.61350179264601</v>
      </c>
      <c r="AJ2994">
        <v>72.199653960906105</v>
      </c>
      <c r="AK2994">
        <v>0.45847844595995202</v>
      </c>
    </row>
    <row r="2995" spans="1:37" x14ac:dyDescent="0.2">
      <c r="A2995" t="str">
        <f>"20200111153708470"</f>
        <v>20200111153708470</v>
      </c>
      <c r="B2995" t="str">
        <f>"1578728228465469"</f>
        <v>1578728228465469</v>
      </c>
      <c r="C2995" t="s">
        <v>37</v>
      </c>
      <c r="D2995">
        <v>5.9410419999999897</v>
      </c>
      <c r="E2995">
        <v>0.55201480000000003</v>
      </c>
      <c r="F2995" t="s">
        <v>38</v>
      </c>
      <c r="G2995">
        <v>-412.19330000000002</v>
      </c>
      <c r="H2995">
        <v>0.90914950000000005</v>
      </c>
      <c r="I2995">
        <v>214.7585</v>
      </c>
      <c r="J2995">
        <v>-412.61630000000002</v>
      </c>
      <c r="K2995">
        <v>1.1010500000000001</v>
      </c>
      <c r="L2995">
        <v>214.88630000000001</v>
      </c>
      <c r="M2995">
        <v>0.9990097</v>
      </c>
      <c r="N2995">
        <v>0</v>
      </c>
      <c r="O2995">
        <v>4.2918699999999997E-2</v>
      </c>
      <c r="P2995">
        <v>0.99944569999999999</v>
      </c>
      <c r="Q2995">
        <v>1.6770070000000002E-2</v>
      </c>
      <c r="R2995">
        <v>2.8757890000000001E-2</v>
      </c>
      <c r="S2995">
        <v>3.0231319999999999</v>
      </c>
      <c r="T2995">
        <v>-0.64051380000000002</v>
      </c>
      <c r="U2995">
        <v>-0.35859679999999999</v>
      </c>
      <c r="V2995">
        <v>1.4358259999999999E-2</v>
      </c>
      <c r="W2995">
        <v>2.8408820000000001E-2</v>
      </c>
      <c r="X2995">
        <v>0.99949319999999897</v>
      </c>
      <c r="Y2995">
        <v>0.155947</v>
      </c>
      <c r="Z2995">
        <v>-2.5250890000000002E-2</v>
      </c>
      <c r="AA2995">
        <v>0.98744259999999995</v>
      </c>
      <c r="AB2995">
        <v>49</v>
      </c>
      <c r="AC2995">
        <v>0.42300000000000099</v>
      </c>
      <c r="AD2995">
        <v>-0.1919005</v>
      </c>
      <c r="AE2995">
        <v>-0.12780000000000699</v>
      </c>
      <c r="AF2995">
        <v>0.12269766890200599</v>
      </c>
      <c r="AG2995">
        <v>-0.1919005</v>
      </c>
      <c r="AH2995">
        <v>0.35093878326497902</v>
      </c>
      <c r="AI2995">
        <v>117.301925587139</v>
      </c>
      <c r="AJ2995">
        <v>70.728995775909596</v>
      </c>
      <c r="AK2995">
        <v>0.41837608613989902</v>
      </c>
    </row>
    <row r="2996" spans="1:37" x14ac:dyDescent="0.2">
      <c r="A2996" t="str">
        <f>"20200111153708492"</f>
        <v>20200111153708492</v>
      </c>
      <c r="B2996" t="str">
        <f>"1578728228485965"</f>
        <v>1578728228485965</v>
      </c>
      <c r="C2996" t="s">
        <v>37</v>
      </c>
      <c r="D2996">
        <v>5.9547109999999996</v>
      </c>
      <c r="E2996">
        <v>0.55258660000000004</v>
      </c>
      <c r="F2996" t="s">
        <v>38</v>
      </c>
      <c r="G2996">
        <v>-411.75069999999999</v>
      </c>
      <c r="H2996">
        <v>0.91378300000000001</v>
      </c>
      <c r="I2996">
        <v>214.77979999999999</v>
      </c>
      <c r="J2996">
        <v>-412.12880000000001</v>
      </c>
      <c r="K2996">
        <v>1.100956</v>
      </c>
      <c r="L2996">
        <v>214.90559999999999</v>
      </c>
      <c r="M2996">
        <v>0.99910460000000001</v>
      </c>
      <c r="N2996">
        <v>0</v>
      </c>
      <c r="O2996">
        <v>4.0525369999999998E-2</v>
      </c>
      <c r="P2996">
        <v>0.99949569999999999</v>
      </c>
      <c r="Q2996">
        <v>1.6890809999999999E-2</v>
      </c>
      <c r="R2996">
        <v>2.6888370000000002E-2</v>
      </c>
      <c r="S2996">
        <v>3.0233150000000002</v>
      </c>
      <c r="T2996">
        <v>-0.65388250000000003</v>
      </c>
      <c r="U2996">
        <v>-0.37045289999999997</v>
      </c>
      <c r="V2996">
        <v>1.3844560000000001E-2</v>
      </c>
      <c r="W2996">
        <v>2.8946469999999998E-2</v>
      </c>
      <c r="X2996">
        <v>0.99948510000000002</v>
      </c>
      <c r="Y2996">
        <v>0.15723889999999999</v>
      </c>
      <c r="Z2996">
        <v>-2.5386539999999999E-2</v>
      </c>
      <c r="AA2996">
        <v>0.98723419999999895</v>
      </c>
      <c r="AB2996">
        <v>49</v>
      </c>
      <c r="AC2996">
        <v>0.37810000000001698</v>
      </c>
      <c r="AD2996">
        <v>-0.18717300000000001</v>
      </c>
      <c r="AE2996">
        <v>-0.125799999999998</v>
      </c>
      <c r="AF2996">
        <v>0.115530283338377</v>
      </c>
      <c r="AG2996">
        <v>-0.18717300000000001</v>
      </c>
      <c r="AH2996">
        <v>0.305325175361298</v>
      </c>
      <c r="AI2996">
        <v>119.828057047633</v>
      </c>
      <c r="AJ2996">
        <v>69.274139321965706</v>
      </c>
      <c r="AK2996">
        <v>0.376303655319282</v>
      </c>
    </row>
    <row r="2997" spans="1:37" x14ac:dyDescent="0.2">
      <c r="A2997" t="str">
        <f>"20200111153708515"</f>
        <v>20200111153708515</v>
      </c>
      <c r="B2997" t="str">
        <f>"1578728228505484"</f>
        <v>1578728228505484</v>
      </c>
      <c r="C2997" t="s">
        <v>37</v>
      </c>
      <c r="D2997">
        <v>5.9522719999999998</v>
      </c>
      <c r="E2997">
        <v>0.55284449999999996</v>
      </c>
      <c r="F2997" t="s">
        <v>38</v>
      </c>
      <c r="G2997">
        <v>-411.30770000000001</v>
      </c>
      <c r="H2997">
        <v>0.91985130000000004</v>
      </c>
      <c r="I2997">
        <v>214.80240000000001</v>
      </c>
      <c r="J2997">
        <v>-411.6354</v>
      </c>
      <c r="K2997">
        <v>1.1008659999999999</v>
      </c>
      <c r="L2997">
        <v>214.9239</v>
      </c>
      <c r="M2997">
        <v>0.99919829999999998</v>
      </c>
      <c r="N2997">
        <v>0</v>
      </c>
      <c r="O2997">
        <v>3.8028279999999998E-2</v>
      </c>
      <c r="P2997">
        <v>0.99953559999999997</v>
      </c>
      <c r="Q2997">
        <v>1.856725E-2</v>
      </c>
      <c r="R2997">
        <v>2.4174419999999999E-2</v>
      </c>
      <c r="S2997">
        <v>3.02298</v>
      </c>
      <c r="T2997">
        <v>-0.66674199999999995</v>
      </c>
      <c r="U2997">
        <v>-0.379455599999999</v>
      </c>
      <c r="V2997">
        <v>1.4081299999999901E-2</v>
      </c>
      <c r="W2997">
        <v>3.0990230000000001E-2</v>
      </c>
      <c r="X2997">
        <v>0.99942050000000004</v>
      </c>
      <c r="Y2997">
        <v>0.15755739999999999</v>
      </c>
      <c r="Z2997">
        <v>-2.536474E-2</v>
      </c>
      <c r="AA2997">
        <v>0.98718399999999995</v>
      </c>
      <c r="AB2997">
        <v>49</v>
      </c>
      <c r="AC2997">
        <v>0.327699999999993</v>
      </c>
      <c r="AD2997">
        <v>-0.181014699999999</v>
      </c>
      <c r="AE2997">
        <v>-0.121499999999997</v>
      </c>
      <c r="AF2997">
        <v>0.105558996151351</v>
      </c>
      <c r="AG2997">
        <v>-0.181014699999999</v>
      </c>
      <c r="AH2997">
        <v>0.25455764803652398</v>
      </c>
      <c r="AI2997">
        <v>123.29925993149099</v>
      </c>
      <c r="AJ2997">
        <v>67.477378792448107</v>
      </c>
      <c r="AK2997">
        <v>0.32970990197210898</v>
      </c>
    </row>
    <row r="2998" spans="1:37" x14ac:dyDescent="0.2">
      <c r="A2998" t="str">
        <f>"20200111153708537"</f>
        <v>20200111153708537</v>
      </c>
      <c r="B2998" t="str">
        <f>"1578728228535741"</f>
        <v>1578728228535741</v>
      </c>
      <c r="C2998" t="s">
        <v>37</v>
      </c>
      <c r="D2998">
        <v>5.9275479999999998</v>
      </c>
      <c r="E2998">
        <v>0.55327930000000003</v>
      </c>
      <c r="F2998" t="s">
        <v>38</v>
      </c>
      <c r="G2998">
        <v>-410.86329999999998</v>
      </c>
      <c r="H2998">
        <v>0.92925159999999996</v>
      </c>
      <c r="I2998">
        <v>214.82380000000001</v>
      </c>
      <c r="J2998">
        <v>-411.13499999999999</v>
      </c>
      <c r="K2998">
        <v>1.100797</v>
      </c>
      <c r="L2998">
        <v>214.94130000000001</v>
      </c>
      <c r="M2998">
        <v>0.99928930000000005</v>
      </c>
      <c r="N2998">
        <v>0</v>
      </c>
      <c r="O2998">
        <v>3.5435420000000002E-2</v>
      </c>
      <c r="P2998">
        <v>0.99957389999999902</v>
      </c>
      <c r="Q2998">
        <v>1.9533979999999999E-2</v>
      </c>
      <c r="R2998">
        <v>2.1688969999999998E-2</v>
      </c>
      <c r="S2998">
        <v>3.0233150000000002</v>
      </c>
      <c r="T2998">
        <v>-0.67179500000000003</v>
      </c>
      <c r="U2998">
        <v>-0.39024350000000002</v>
      </c>
      <c r="V2998">
        <v>1.398923E-2</v>
      </c>
      <c r="W2998">
        <v>3.228516E-2</v>
      </c>
      <c r="X2998">
        <v>0.99938079999999996</v>
      </c>
      <c r="Y2998">
        <v>0.1584255</v>
      </c>
      <c r="Z2998">
        <v>-2.5071900000000001E-2</v>
      </c>
      <c r="AA2998">
        <v>0.98705259999999995</v>
      </c>
      <c r="AB2998">
        <v>49</v>
      </c>
      <c r="AC2998">
        <v>0.27170000000000899</v>
      </c>
      <c r="AD2998">
        <v>-0.17154539999999999</v>
      </c>
      <c r="AE2998">
        <v>-0.117500000000006</v>
      </c>
      <c r="AF2998">
        <v>9.5112994301759804E-2</v>
      </c>
      <c r="AG2998">
        <v>-0.17154539999999999</v>
      </c>
      <c r="AH2998">
        <v>0.20014921473678399</v>
      </c>
      <c r="AI2998">
        <v>127.744340996449</v>
      </c>
      <c r="AJ2998">
        <v>64.582445489481401</v>
      </c>
      <c r="AK2998">
        <v>0.28023920872347202</v>
      </c>
    </row>
    <row r="2999" spans="1:37" x14ac:dyDescent="0.2">
      <c r="A2999" t="str">
        <f>"20200111153708559"</f>
        <v>20200111153708559</v>
      </c>
      <c r="B2999" t="str">
        <f>"1578728228556237"</f>
        <v>1578728228556237</v>
      </c>
      <c r="C2999" t="s">
        <v>37</v>
      </c>
      <c r="D2999">
        <v>5.9074910000000003</v>
      </c>
      <c r="E2999">
        <v>0.55333480000000002</v>
      </c>
      <c r="F2999" t="s">
        <v>38</v>
      </c>
      <c r="G2999">
        <v>-410.41890000000001</v>
      </c>
      <c r="H2999">
        <v>0.93923639999999997</v>
      </c>
      <c r="I2999">
        <v>214.84549999999999</v>
      </c>
      <c r="J2999">
        <v>-410.66329999999999</v>
      </c>
      <c r="K2999">
        <v>1.1007389999999999</v>
      </c>
      <c r="L2999">
        <v>214.9564</v>
      </c>
      <c r="M2999">
        <v>0.9993708</v>
      </c>
      <c r="N2999">
        <v>0</v>
      </c>
      <c r="O2999">
        <v>3.2949770000000003E-2</v>
      </c>
      <c r="P2999">
        <v>0.99957619999999903</v>
      </c>
      <c r="Q2999">
        <v>2.0289439999999999E-2</v>
      </c>
      <c r="R2999">
        <v>2.0885020000000001E-2</v>
      </c>
      <c r="S2999">
        <v>3.0233759999999998</v>
      </c>
      <c r="T2999">
        <v>-0.68202759999999996</v>
      </c>
      <c r="U2999">
        <v>-0.40359499999999998</v>
      </c>
      <c r="V2999">
        <v>1.2319729999999999E-2</v>
      </c>
      <c r="W2999">
        <v>3.3323150000000003E-2</v>
      </c>
      <c r="X2999">
        <v>0.9993687</v>
      </c>
      <c r="Y2999">
        <v>0.16013559999999999</v>
      </c>
      <c r="Z2999">
        <v>-2.5075119999999999E-2</v>
      </c>
      <c r="AA2999">
        <v>0.98677649999999995</v>
      </c>
      <c r="AB2999">
        <v>49</v>
      </c>
      <c r="AC2999">
        <v>0.24439999999998399</v>
      </c>
      <c r="AD2999">
        <v>-0.161502599999999</v>
      </c>
      <c r="AE2999">
        <v>-0.110900000000015</v>
      </c>
      <c r="AF2999">
        <v>8.7285970137524593E-2</v>
      </c>
      <c r="AG2999">
        <v>-0.161502599999999</v>
      </c>
      <c r="AH2999">
        <v>0.17664669154592699</v>
      </c>
      <c r="AI2999">
        <v>129.340220286065</v>
      </c>
      <c r="AJ2999">
        <v>63.704760859685997</v>
      </c>
      <c r="AK2999">
        <v>0.25476652846033498</v>
      </c>
    </row>
    <row r="3000" spans="1:37" x14ac:dyDescent="0.2">
      <c r="A3000" t="str">
        <f>"20200111153708582"</f>
        <v>20200111153708582</v>
      </c>
      <c r="B3000" t="str">
        <f>"1578728228575757"</f>
        <v>1578728228575757</v>
      </c>
      <c r="C3000" t="s">
        <v>37</v>
      </c>
      <c r="D3000">
        <v>5.9234790000000004</v>
      </c>
      <c r="E3000">
        <v>0.55342049999999998</v>
      </c>
      <c r="F3000" t="s">
        <v>38</v>
      </c>
      <c r="G3000">
        <v>-409.9769</v>
      </c>
      <c r="H3000">
        <v>0.94444349999999999</v>
      </c>
      <c r="I3000">
        <v>214.8638</v>
      </c>
      <c r="J3000">
        <v>-410.17320000000001</v>
      </c>
      <c r="K3000">
        <v>1.100678</v>
      </c>
      <c r="L3000">
        <v>214.9708</v>
      </c>
      <c r="M3000">
        <v>0.99945019999999996</v>
      </c>
      <c r="N3000">
        <v>0</v>
      </c>
      <c r="O3000">
        <v>3.0336269999999999E-2</v>
      </c>
      <c r="P3000">
        <v>0.99957439999999997</v>
      </c>
      <c r="Q3000">
        <v>2.1005699999999999E-2</v>
      </c>
      <c r="R3000">
        <v>2.023782E-2</v>
      </c>
      <c r="S3000">
        <v>3.0237430000000001</v>
      </c>
      <c r="T3000">
        <v>-0.68837079999999995</v>
      </c>
      <c r="U3000">
        <v>-0.40611269999999999</v>
      </c>
      <c r="V3000">
        <v>1.0365350000000001E-2</v>
      </c>
      <c r="W3000">
        <v>3.4297719999999997E-2</v>
      </c>
      <c r="X3000">
        <v>0.99935790000000002</v>
      </c>
      <c r="Y3000">
        <v>0.15837190000000001</v>
      </c>
      <c r="Z3000">
        <v>-2.451561E-2</v>
      </c>
      <c r="AA3000">
        <v>0.98707520000000004</v>
      </c>
      <c r="AB3000">
        <v>49</v>
      </c>
      <c r="AC3000">
        <v>0.196300000000007</v>
      </c>
      <c r="AD3000">
        <v>-0.1562345</v>
      </c>
      <c r="AE3000">
        <v>-0.106999999999999</v>
      </c>
      <c r="AF3000">
        <v>7.5859862058889199E-2</v>
      </c>
      <c r="AG3000">
        <v>-0.1562345</v>
      </c>
      <c r="AH3000">
        <v>0.129648885127398</v>
      </c>
      <c r="AI3000">
        <v>136.12593052455199</v>
      </c>
      <c r="AJ3000">
        <v>59.667340349673701</v>
      </c>
      <c r="AK3000">
        <v>0.21673202595975699</v>
      </c>
    </row>
    <row r="3001" spans="1:37" x14ac:dyDescent="0.2">
      <c r="A3001" t="str">
        <f>"20200111153708605"</f>
        <v>20200111153708605</v>
      </c>
      <c r="B3001" t="str">
        <f>"1578728228596253"</f>
        <v>1578728228596253</v>
      </c>
      <c r="C3001" t="s">
        <v>37</v>
      </c>
      <c r="D3001">
        <v>5.9166280000000002</v>
      </c>
      <c r="E3001">
        <v>0.55330669999999904</v>
      </c>
      <c r="F3001" t="s">
        <v>38</v>
      </c>
      <c r="G3001">
        <v>-409.13029999999998</v>
      </c>
      <c r="H3001">
        <v>0.86171419999999999</v>
      </c>
      <c r="I3001">
        <v>214.82939999999999</v>
      </c>
      <c r="J3001">
        <v>-409.65300000000002</v>
      </c>
      <c r="K3001">
        <v>1.1006229999999999</v>
      </c>
      <c r="L3001">
        <v>214.9846</v>
      </c>
      <c r="M3001">
        <v>0.99952819999999998</v>
      </c>
      <c r="N3001">
        <v>0</v>
      </c>
      <c r="O3001">
        <v>2.7539460000000002E-2</v>
      </c>
      <c r="P3001">
        <v>0.99960939999999998</v>
      </c>
      <c r="Q3001">
        <v>2.030734E-2</v>
      </c>
      <c r="R3001">
        <v>1.9215039999999999E-2</v>
      </c>
      <c r="S3001">
        <v>3.0241389999999999</v>
      </c>
      <c r="T3001">
        <v>-0.69292580000000004</v>
      </c>
      <c r="U3001">
        <v>-0.40930179999999999</v>
      </c>
      <c r="V3001">
        <v>8.5921160000000003E-3</v>
      </c>
      <c r="W3001">
        <v>3.383688E-2</v>
      </c>
      <c r="X3001">
        <v>0.99939040000000001</v>
      </c>
      <c r="Y3001">
        <v>0.156670899999999</v>
      </c>
      <c r="Z3001">
        <v>-2.3847170000000001E-2</v>
      </c>
      <c r="AA3001">
        <v>0.98736290000000004</v>
      </c>
      <c r="AB3001">
        <v>49</v>
      </c>
      <c r="AC3001">
        <v>0.52270000000004302</v>
      </c>
      <c r="AD3001">
        <v>-0.23890879999999901</v>
      </c>
      <c r="AE3001">
        <v>-0.155200000000007</v>
      </c>
      <c r="AF3001">
        <v>0.14223116428287599</v>
      </c>
      <c r="AG3001">
        <v>-0.23890879999999901</v>
      </c>
      <c r="AH3001">
        <v>0.43476003960222098</v>
      </c>
      <c r="AI3001">
        <v>117.577174341457</v>
      </c>
      <c r="AJ3001">
        <v>71.884560812971401</v>
      </c>
      <c r="AK3001">
        <v>0.51606531645289599</v>
      </c>
    </row>
    <row r="3002" spans="1:37" x14ac:dyDescent="0.2">
      <c r="A3002" t="str">
        <f>"20200111153708628"</f>
        <v>20200111153708628</v>
      </c>
      <c r="B3002" t="str">
        <f>"1578728228625534"</f>
        <v>1578728228625534</v>
      </c>
      <c r="C3002" t="s">
        <v>37</v>
      </c>
      <c r="D3002">
        <v>5.910031</v>
      </c>
      <c r="E3002">
        <v>0.55325979999999997</v>
      </c>
      <c r="F3002" t="s">
        <v>38</v>
      </c>
      <c r="G3002">
        <v>-408.68639999999999</v>
      </c>
      <c r="H3002">
        <v>0.87617250000000002</v>
      </c>
      <c r="I3002">
        <v>214.85319999999999</v>
      </c>
      <c r="J3002">
        <v>-409.14229999999998</v>
      </c>
      <c r="K3002">
        <v>1.10057</v>
      </c>
      <c r="L3002">
        <v>214.99680000000001</v>
      </c>
      <c r="M3002">
        <v>0.99959779999999998</v>
      </c>
      <c r="N3002">
        <v>0</v>
      </c>
      <c r="O3002">
        <v>2.4778990000000001E-2</v>
      </c>
      <c r="P3002">
        <v>0.99966860000000002</v>
      </c>
      <c r="Q3002">
        <v>1.820805E-2</v>
      </c>
      <c r="R3002">
        <v>1.8203690000000002E-2</v>
      </c>
      <c r="S3002">
        <v>3.0233460000000001</v>
      </c>
      <c r="T3002">
        <v>-0.70195169999999996</v>
      </c>
      <c r="U3002">
        <v>-0.41059879999999999</v>
      </c>
      <c r="V3002">
        <v>6.8325230000000001E-3</v>
      </c>
      <c r="W3002">
        <v>3.1941999999999998E-2</v>
      </c>
      <c r="X3002">
        <v>0.99946639999999998</v>
      </c>
      <c r="Y3002">
        <v>0.1544037</v>
      </c>
      <c r="Z3002">
        <v>-2.326661E-2</v>
      </c>
      <c r="AA3002">
        <v>0.9877338</v>
      </c>
      <c r="AB3002">
        <v>49</v>
      </c>
      <c r="AC3002">
        <v>0.45589999999998498</v>
      </c>
      <c r="AD3002">
        <v>-0.2243975</v>
      </c>
      <c r="AE3002">
        <v>-0.14360000000001999</v>
      </c>
      <c r="AF3002">
        <v>0.12688749891355899</v>
      </c>
      <c r="AG3002">
        <v>-0.2243975</v>
      </c>
      <c r="AH3002">
        <v>0.37053488155244702</v>
      </c>
      <c r="AI3002">
        <v>119.810183003489</v>
      </c>
      <c r="AJ3002">
        <v>71.096532522161397</v>
      </c>
      <c r="AK3002">
        <v>0.45138760930476901</v>
      </c>
    </row>
    <row r="3003" spans="1:37" x14ac:dyDescent="0.2">
      <c r="A3003" t="str">
        <f>"20200111153708649"</f>
        <v>20200111153708649</v>
      </c>
      <c r="B3003" t="str">
        <f>"1578728228646030"</f>
        <v>1578728228646030</v>
      </c>
      <c r="C3003" t="s">
        <v>37</v>
      </c>
      <c r="D3003">
        <v>5.9030379999999996</v>
      </c>
      <c r="E3003">
        <v>0.55320440000000004</v>
      </c>
      <c r="F3003" t="s">
        <v>38</v>
      </c>
      <c r="G3003">
        <v>-408.2439</v>
      </c>
      <c r="H3003">
        <v>0.88738879999999998</v>
      </c>
      <c r="I3003">
        <v>214.87350000000001</v>
      </c>
      <c r="J3003">
        <v>-408.67309999999998</v>
      </c>
      <c r="K3003">
        <v>1.1005290000000001</v>
      </c>
      <c r="L3003">
        <v>215.0069</v>
      </c>
      <c r="M3003">
        <v>0.99965550000000003</v>
      </c>
      <c r="N3003">
        <v>0</v>
      </c>
      <c r="O3003">
        <v>2.223495E-2</v>
      </c>
      <c r="P3003">
        <v>0.99972139999999998</v>
      </c>
      <c r="Q3003">
        <v>1.6333250000000001E-2</v>
      </c>
      <c r="R3003">
        <v>1.7045350000000001E-2</v>
      </c>
      <c r="S3003">
        <v>3.021576</v>
      </c>
      <c r="T3003">
        <v>-0.71683819999999998</v>
      </c>
      <c r="U3003">
        <v>-0.41354370000000001</v>
      </c>
      <c r="V3003">
        <v>5.4361309999999899E-3</v>
      </c>
      <c r="W3003">
        <v>3.0229559999999999E-2</v>
      </c>
      <c r="X3003">
        <v>0.99952819999999998</v>
      </c>
      <c r="Y3003">
        <v>0.15282319999999999</v>
      </c>
      <c r="Z3003">
        <v>-2.2981850000000002E-2</v>
      </c>
      <c r="AA3003">
        <v>0.98798629999999998</v>
      </c>
      <c r="AB3003">
        <v>49</v>
      </c>
      <c r="AC3003">
        <v>0.42919999999997999</v>
      </c>
      <c r="AD3003">
        <v>-0.2131402</v>
      </c>
      <c r="AE3003">
        <v>-0.133399999999994</v>
      </c>
      <c r="AF3003">
        <v>0.11667308085936801</v>
      </c>
      <c r="AG3003">
        <v>-0.2131402</v>
      </c>
      <c r="AH3003">
        <v>0.34789160895252602</v>
      </c>
      <c r="AI3003">
        <v>120.15087370264</v>
      </c>
      <c r="AJ3003">
        <v>71.459992780656506</v>
      </c>
      <c r="AK3003">
        <v>0.42434646720908797</v>
      </c>
    </row>
    <row r="3004" spans="1:37" x14ac:dyDescent="0.2">
      <c r="A3004" t="str">
        <f>"20200111153708671"</f>
        <v>20200111153708671</v>
      </c>
      <c r="B3004" t="str">
        <f>"1578728228665549"</f>
        <v>1578728228665549</v>
      </c>
      <c r="C3004" t="s">
        <v>37</v>
      </c>
      <c r="D3004">
        <v>5.9132610000000003</v>
      </c>
      <c r="E3004">
        <v>0.55326370000000002</v>
      </c>
      <c r="F3004" t="s">
        <v>38</v>
      </c>
      <c r="G3004">
        <v>-407.80439999999999</v>
      </c>
      <c r="H3004">
        <v>0.89121790000000001</v>
      </c>
      <c r="I3004">
        <v>214.88659999999999</v>
      </c>
      <c r="J3004">
        <v>-408.19580000000002</v>
      </c>
      <c r="K3004">
        <v>1.100498</v>
      </c>
      <c r="L3004">
        <v>215.01580000000001</v>
      </c>
      <c r="M3004">
        <v>0.99970809999999999</v>
      </c>
      <c r="N3004">
        <v>0</v>
      </c>
      <c r="O3004">
        <v>1.9641390000000002E-2</v>
      </c>
      <c r="P3004">
        <v>0.99977340000000003</v>
      </c>
      <c r="Q3004">
        <v>1.463923E-2</v>
      </c>
      <c r="R3004">
        <v>1.547575E-2</v>
      </c>
      <c r="S3004">
        <v>3.0198360000000002</v>
      </c>
      <c r="T3004">
        <v>-0.72760619999999998</v>
      </c>
      <c r="U3004">
        <v>-0.4174042</v>
      </c>
      <c r="V3004">
        <v>4.4020659999999996E-3</v>
      </c>
      <c r="W3004">
        <v>2.8677649999999999E-2</v>
      </c>
      <c r="X3004">
        <v>0.999579</v>
      </c>
      <c r="Y3004">
        <v>0.15153949999999999</v>
      </c>
      <c r="Z3004">
        <v>-2.256325E-2</v>
      </c>
      <c r="AA3004">
        <v>0.98819360000000001</v>
      </c>
      <c r="AB3004">
        <v>49</v>
      </c>
      <c r="AC3004">
        <v>0.391400000000032</v>
      </c>
      <c r="AD3004">
        <v>-0.2092801</v>
      </c>
      <c r="AE3004">
        <v>-0.12920000000002499</v>
      </c>
      <c r="AF3004">
        <v>0.10881108175142901</v>
      </c>
      <c r="AG3004">
        <v>-0.2092801</v>
      </c>
      <c r="AH3004">
        <v>0.309098444365144</v>
      </c>
      <c r="AI3004">
        <v>122.56432904961601</v>
      </c>
      <c r="AJ3004">
        <v>70.606541260692097</v>
      </c>
      <c r="AK3004">
        <v>0.388818543895322</v>
      </c>
    </row>
    <row r="3005" spans="1:37" x14ac:dyDescent="0.2">
      <c r="A3005" t="str">
        <f>"20200111153708695"</f>
        <v>20200111153708695</v>
      </c>
      <c r="B3005" t="str">
        <f>"1578728228686045"</f>
        <v>1578728228686045</v>
      </c>
      <c r="C3005" t="s">
        <v>37</v>
      </c>
      <c r="D3005">
        <v>5.8965550000000002</v>
      </c>
      <c r="E3005">
        <v>0.55337179999999997</v>
      </c>
      <c r="F3005" t="s">
        <v>38</v>
      </c>
      <c r="G3005">
        <v>-407.36430000000001</v>
      </c>
      <c r="H3005">
        <v>0.89721519999999999</v>
      </c>
      <c r="I3005">
        <v>214.89930000000001</v>
      </c>
      <c r="J3005">
        <v>-407.68990000000002</v>
      </c>
      <c r="K3005">
        <v>1.100482</v>
      </c>
      <c r="L3005">
        <v>215.024</v>
      </c>
      <c r="M3005">
        <v>0.999756599999999</v>
      </c>
      <c r="N3005">
        <v>0</v>
      </c>
      <c r="O3005">
        <v>1.6887760000000002E-2</v>
      </c>
      <c r="P3005">
        <v>0.99981030000000004</v>
      </c>
      <c r="Q3005">
        <v>1.4176930000000001E-2</v>
      </c>
      <c r="R3005">
        <v>1.3362270000000001E-2</v>
      </c>
      <c r="S3005">
        <v>3.018005</v>
      </c>
      <c r="T3005">
        <v>-0.73775679999999999</v>
      </c>
      <c r="U3005">
        <v>-0.42160029999999998</v>
      </c>
      <c r="V3005">
        <v>3.7612040000000002E-3</v>
      </c>
      <c r="W3005">
        <v>2.8343520000000001E-2</v>
      </c>
      <c r="X3005">
        <v>0.99959120000000001</v>
      </c>
      <c r="Y3005">
        <v>0.15022820000000001</v>
      </c>
      <c r="Z3005">
        <v>-2.2062579999999998E-2</v>
      </c>
      <c r="AA3005">
        <v>0.98840519999999998</v>
      </c>
      <c r="AB3005">
        <v>49</v>
      </c>
      <c r="AC3005">
        <v>0.32560000000000799</v>
      </c>
      <c r="AD3005">
        <v>-0.2032668</v>
      </c>
      <c r="AE3005">
        <v>-0.12469999999999</v>
      </c>
      <c r="AF3005">
        <v>9.7159178673969004E-2</v>
      </c>
      <c r="AG3005">
        <v>-0.2032668</v>
      </c>
      <c r="AH3005">
        <v>0.24140071041233299</v>
      </c>
      <c r="AI3005">
        <v>127.994669218678</v>
      </c>
      <c r="AJ3005">
        <v>68.0761558493449</v>
      </c>
      <c r="AK3005">
        <v>0.330199335205901</v>
      </c>
    </row>
    <row r="3006" spans="1:37" x14ac:dyDescent="0.2">
      <c r="A3006" t="str">
        <f>"20200111153708717"</f>
        <v>20200111153708717</v>
      </c>
      <c r="B3006" t="str">
        <f>"1578728228705931"</f>
        <v>1578728228705931</v>
      </c>
      <c r="C3006" t="s">
        <v>37</v>
      </c>
      <c r="D3006">
        <v>5.9600770000000001</v>
      </c>
      <c r="E3006">
        <v>0.55343209999999998</v>
      </c>
      <c r="F3006" t="s">
        <v>38</v>
      </c>
      <c r="G3006">
        <v>-406.92129999999997</v>
      </c>
      <c r="H3006">
        <v>0.91117099999999995</v>
      </c>
      <c r="I3006">
        <v>214.91399999999999</v>
      </c>
      <c r="J3006">
        <v>-407.19159999999999</v>
      </c>
      <c r="K3006">
        <v>1.1004700000000001</v>
      </c>
      <c r="L3006">
        <v>215.0307</v>
      </c>
      <c r="M3006">
        <v>0.9997973</v>
      </c>
      <c r="N3006">
        <v>0</v>
      </c>
      <c r="O3006">
        <v>1.4172529999999999E-2</v>
      </c>
      <c r="P3006">
        <v>0.99982549999999903</v>
      </c>
      <c r="Q3006">
        <v>1.467164E-2</v>
      </c>
      <c r="R3006">
        <v>1.1557380000000001E-2</v>
      </c>
      <c r="S3006">
        <v>3.0169069999999998</v>
      </c>
      <c r="T3006">
        <v>-0.74276219999999904</v>
      </c>
      <c r="U3006">
        <v>-0.43038939999999998</v>
      </c>
      <c r="V3006">
        <v>2.8575530000000001E-3</v>
      </c>
      <c r="W3006">
        <v>2.8949329999999999E-2</v>
      </c>
      <c r="X3006">
        <v>0.99957680000000004</v>
      </c>
      <c r="Y3006">
        <v>0.150426</v>
      </c>
      <c r="Z3006">
        <v>-2.1579540000000001E-2</v>
      </c>
      <c r="AA3006">
        <v>0.98838570000000003</v>
      </c>
      <c r="AB3006">
        <v>49</v>
      </c>
      <c r="AC3006">
        <v>0.27030000000002002</v>
      </c>
      <c r="AD3006">
        <v>-0.189299</v>
      </c>
      <c r="AE3006">
        <v>-0.11669999999998</v>
      </c>
      <c r="AF3006">
        <v>8.5269076207414293E-2</v>
      </c>
      <c r="AG3006">
        <v>-0.189299</v>
      </c>
      <c r="AH3006">
        <v>0.19005116558695001</v>
      </c>
      <c r="AI3006">
        <v>132.26350272903699</v>
      </c>
      <c r="AJ3006">
        <v>65.835953206170302</v>
      </c>
      <c r="AK3006">
        <v>0.281468243855722</v>
      </c>
    </row>
    <row r="3007" spans="1:37" x14ac:dyDescent="0.2">
      <c r="A3007" t="str">
        <f>"20200111153708739"</f>
        <v>20200111153708739</v>
      </c>
      <c r="B3007" t="str">
        <f>"1578728228736185"</f>
        <v>1578728228736185</v>
      </c>
      <c r="C3007" t="s">
        <v>37</v>
      </c>
      <c r="D3007">
        <v>6.0121709999999897</v>
      </c>
      <c r="E3007">
        <v>0.50666279999999997</v>
      </c>
      <c r="F3007" t="s">
        <v>38</v>
      </c>
      <c r="G3007">
        <v>-406.47829999999999</v>
      </c>
      <c r="H3007">
        <v>0.92409010000000003</v>
      </c>
      <c r="I3007">
        <v>214.92689999999999</v>
      </c>
      <c r="J3007">
        <v>-406.73270000000002</v>
      </c>
      <c r="K3007">
        <v>1.1004689999999999</v>
      </c>
      <c r="L3007">
        <v>215.03559999999999</v>
      </c>
      <c r="M3007">
        <v>0.99982850000000001</v>
      </c>
      <c r="N3007">
        <v>0</v>
      </c>
      <c r="O3007">
        <v>1.167121E-2</v>
      </c>
      <c r="P3007">
        <v>0.99984010000000001</v>
      </c>
      <c r="Q3007">
        <v>1.5350340000000001E-2</v>
      </c>
      <c r="R3007">
        <v>9.1872350000000002E-3</v>
      </c>
      <c r="S3007">
        <v>3.0165099999999998</v>
      </c>
      <c r="T3007">
        <v>-0.74565429999999999</v>
      </c>
      <c r="U3007">
        <v>-0.43658449999999999</v>
      </c>
      <c r="V3007">
        <v>2.7334450000000001E-3</v>
      </c>
      <c r="W3007">
        <v>2.9710509999999999E-2</v>
      </c>
      <c r="X3007">
        <v>0.99955479999999997</v>
      </c>
      <c r="Y3007">
        <v>0.15001139999999999</v>
      </c>
      <c r="Z3007">
        <v>-2.100424E-2</v>
      </c>
      <c r="AA3007">
        <v>0.98846109999999898</v>
      </c>
      <c r="AB3007">
        <v>49</v>
      </c>
      <c r="AC3007">
        <v>0.25440000000003199</v>
      </c>
      <c r="AD3007">
        <v>-0.17637890000000001</v>
      </c>
      <c r="AE3007">
        <v>-0.10869999999999801</v>
      </c>
      <c r="AF3007">
        <v>7.9391477454487505E-2</v>
      </c>
      <c r="AG3007">
        <v>-0.17637890000000001</v>
      </c>
      <c r="AH3007">
        <v>0.17996341022724299</v>
      </c>
      <c r="AI3007">
        <v>131.88264570446799</v>
      </c>
      <c r="AJ3007">
        <v>66.195161068343396</v>
      </c>
      <c r="AK3007">
        <v>0.26419567005958899</v>
      </c>
    </row>
    <row r="3008" spans="1:37" x14ac:dyDescent="0.2">
      <c r="A3008" t="str">
        <f>"20200111153708761"</f>
        <v>20200111153708761</v>
      </c>
      <c r="B3008" t="str">
        <f>"1578728228755705"</f>
        <v>1578728228755705</v>
      </c>
      <c r="C3008" t="s">
        <v>37</v>
      </c>
      <c r="D3008">
        <v>5.8366759999999998</v>
      </c>
      <c r="E3008">
        <v>0.49914849999999999</v>
      </c>
      <c r="F3008" t="s">
        <v>38</v>
      </c>
      <c r="G3008">
        <v>-406.01479999999998</v>
      </c>
      <c r="H3008">
        <v>0.98034619999999995</v>
      </c>
      <c r="I3008">
        <v>215.0224</v>
      </c>
      <c r="J3008">
        <v>-406.24169999999998</v>
      </c>
      <c r="K3008">
        <v>1.1004750000000001</v>
      </c>
      <c r="L3008">
        <v>215.03960000000001</v>
      </c>
      <c r="M3008">
        <v>0.99985499999999905</v>
      </c>
      <c r="N3008">
        <v>0</v>
      </c>
      <c r="O3008">
        <v>8.997438E-3</v>
      </c>
      <c r="P3008">
        <v>0.99983929999999999</v>
      </c>
      <c r="Q3008">
        <v>1.7063419999999999E-2</v>
      </c>
      <c r="R3008">
        <v>5.5182619999999899E-3</v>
      </c>
      <c r="S3008">
        <v>3.008667</v>
      </c>
      <c r="T3008">
        <v>-0.5034438</v>
      </c>
      <c r="U3008">
        <v>-5.5892940000000002E-2</v>
      </c>
      <c r="V3008">
        <v>3.7443209999999901E-3</v>
      </c>
      <c r="W3008">
        <v>3.1489709999999997E-2</v>
      </c>
      <c r="X3008">
        <v>0.99949709999999903</v>
      </c>
      <c r="Y3008">
        <v>2.706888E-2</v>
      </c>
      <c r="Z3008">
        <v>-3.7441140000000002E-3</v>
      </c>
      <c r="AA3008">
        <v>0.99962659999999903</v>
      </c>
      <c r="AB3008">
        <v>49</v>
      </c>
      <c r="AC3008">
        <v>0.22689999999999999</v>
      </c>
      <c r="AD3008">
        <v>-0.12012879999999999</v>
      </c>
      <c r="AE3008">
        <v>-1.7200000000002501E-2</v>
      </c>
      <c r="AF3008">
        <v>1.50473425477135E-2</v>
      </c>
      <c r="AG3008">
        <v>-0.12012879999999999</v>
      </c>
      <c r="AH3008">
        <v>0.17731763172975901</v>
      </c>
      <c r="AI3008">
        <v>124.02138647293199</v>
      </c>
      <c r="AJ3008">
        <v>85.149447045904196</v>
      </c>
      <c r="AK3008">
        <v>0.214706529079669</v>
      </c>
    </row>
    <row r="3009" spans="1:37" x14ac:dyDescent="0.2">
      <c r="A3009" t="str">
        <f>"20200111153708784"</f>
        <v>20200111153708784</v>
      </c>
      <c r="B3009" t="str">
        <f>"1578728228776201"</f>
        <v>1578728228776201</v>
      </c>
      <c r="C3009" t="s">
        <v>37</v>
      </c>
      <c r="D3009">
        <v>6.0162979999999999</v>
      </c>
      <c r="E3009">
        <v>0.49587680000000001</v>
      </c>
      <c r="F3009" t="s">
        <v>38</v>
      </c>
      <c r="G3009">
        <v>-405.14830000000001</v>
      </c>
      <c r="H3009">
        <v>0.96480730000000003</v>
      </c>
      <c r="I3009">
        <v>215.03980000000001</v>
      </c>
      <c r="J3009">
        <v>-405.74169999999998</v>
      </c>
      <c r="K3009">
        <v>1.1004780000000001</v>
      </c>
      <c r="L3009">
        <v>215.04230000000001</v>
      </c>
      <c r="M3009">
        <v>0.99987479999999995</v>
      </c>
      <c r="N3009">
        <v>0</v>
      </c>
      <c r="O3009">
        <v>6.2832030000000002E-3</v>
      </c>
      <c r="P3009">
        <v>0.99986090000000005</v>
      </c>
      <c r="Q3009">
        <v>1.661729E-2</v>
      </c>
      <c r="R3009">
        <v>1.6034269999999999E-3</v>
      </c>
      <c r="S3009">
        <v>3.0068359999999998</v>
      </c>
      <c r="T3009">
        <v>-0.37306479999999997</v>
      </c>
      <c r="U3009">
        <v>2.89917E-4</v>
      </c>
      <c r="V3009">
        <v>4.9420319999999998E-3</v>
      </c>
      <c r="W3009">
        <v>3.1099379999999999E-2</v>
      </c>
      <c r="X3009">
        <v>0.99950409999999901</v>
      </c>
      <c r="Y3009">
        <v>6.0925529999999997E-3</v>
      </c>
      <c r="Z3009">
        <v>-1.1531860000000001E-3</v>
      </c>
      <c r="AA3009">
        <v>0.99998069999999895</v>
      </c>
      <c r="AB3009">
        <v>49</v>
      </c>
      <c r="AC3009">
        <v>0.59339999999997395</v>
      </c>
      <c r="AD3009">
        <v>-0.13567070000000001</v>
      </c>
      <c r="AE3009">
        <v>-2.4999999999977202E-3</v>
      </c>
      <c r="AF3009">
        <v>5.9193786216374701E-3</v>
      </c>
      <c r="AG3009">
        <v>-0.13567070000000001</v>
      </c>
      <c r="AH3009">
        <v>0.56389655846336895</v>
      </c>
      <c r="AI3009">
        <v>103.527246048964</v>
      </c>
      <c r="AJ3009">
        <v>89.398572396666296</v>
      </c>
      <c r="AK3009">
        <v>0.58001802258946</v>
      </c>
    </row>
    <row r="3010" spans="1:37" x14ac:dyDescent="0.2">
      <c r="A3010" t="str">
        <f>"20200111153708805"</f>
        <v>20200111153708805</v>
      </c>
      <c r="B3010" t="str">
        <f>"1578728228796227"</f>
        <v>1578728228796227</v>
      </c>
      <c r="C3010" t="s">
        <v>37</v>
      </c>
      <c r="D3010">
        <v>6.0527350000000002</v>
      </c>
      <c r="E3010">
        <v>0.49503619999999998</v>
      </c>
      <c r="F3010" t="s">
        <v>38</v>
      </c>
      <c r="G3010">
        <v>-404.69970000000001</v>
      </c>
      <c r="H3010">
        <v>0.98960579999999998</v>
      </c>
      <c r="I3010">
        <v>215.04830000000001</v>
      </c>
      <c r="J3010">
        <v>-405.25790000000001</v>
      </c>
      <c r="K3010">
        <v>1.1004860000000001</v>
      </c>
      <c r="L3010">
        <v>215.0436</v>
      </c>
      <c r="M3010">
        <v>0.99988699999999997</v>
      </c>
      <c r="N3010">
        <v>0</v>
      </c>
      <c r="O3010">
        <v>3.6648539999999999E-3</v>
      </c>
      <c r="P3010">
        <v>0.99986540000000002</v>
      </c>
      <c r="Q3010">
        <v>1.6229839999999999E-2</v>
      </c>
      <c r="R3010">
        <v>-2.4223140000000001E-3</v>
      </c>
      <c r="S3010">
        <v>3.0057369999999999</v>
      </c>
      <c r="T3010">
        <v>-0.319882</v>
      </c>
      <c r="U3010">
        <v>1.7837519999999999E-2</v>
      </c>
      <c r="V3010">
        <v>6.3467269999999999E-3</v>
      </c>
      <c r="W3010">
        <v>3.075431E-2</v>
      </c>
      <c r="X3010">
        <v>0.99950680000000003</v>
      </c>
      <c r="Y3010">
        <v>-2.2770070000000002E-3</v>
      </c>
      <c r="Z3010">
        <v>-2.6814409999999998E-4</v>
      </c>
      <c r="AA3010">
        <v>0.99999740000000004</v>
      </c>
      <c r="AB3010">
        <v>49</v>
      </c>
      <c r="AC3010">
        <v>0.55819999999999903</v>
      </c>
      <c r="AD3010">
        <v>-0.110880199999999</v>
      </c>
      <c r="AE3010">
        <v>4.7000000000139101E-3</v>
      </c>
      <c r="AF3010">
        <v>-2.5532904462900801E-3</v>
      </c>
      <c r="AG3010">
        <v>-0.110880199999999</v>
      </c>
      <c r="AH3010">
        <v>0.53702536107531196</v>
      </c>
      <c r="AI3010">
        <v>101.66586126745401</v>
      </c>
      <c r="AJ3010">
        <v>90.272411090294597</v>
      </c>
      <c r="AK3010">
        <v>0.548358620322698</v>
      </c>
    </row>
    <row r="3011" spans="1:37" x14ac:dyDescent="0.2">
      <c r="A3011" t="str">
        <f>"20200111153708828"</f>
        <v>20200111153708828</v>
      </c>
      <c r="B3011" t="str">
        <f>"1578728228825508"</f>
        <v>1578728228825508</v>
      </c>
      <c r="C3011" t="s">
        <v>37</v>
      </c>
      <c r="D3011">
        <v>5.8595449999999998</v>
      </c>
      <c r="E3011">
        <v>0.4944192</v>
      </c>
      <c r="F3011" t="s">
        <v>38</v>
      </c>
      <c r="G3011">
        <v>-404.25560000000002</v>
      </c>
      <c r="H3011">
        <v>1.0063759999999999</v>
      </c>
      <c r="I3011">
        <v>215.04810000000001</v>
      </c>
      <c r="J3011">
        <v>-404.76670000000001</v>
      </c>
      <c r="K3011">
        <v>1.1005069999999999</v>
      </c>
      <c r="L3011">
        <v>215.0436</v>
      </c>
      <c r="M3011">
        <v>0.99989269999999997</v>
      </c>
      <c r="N3011">
        <v>0</v>
      </c>
      <c r="O3011">
        <v>1.0222110000000001E-3</v>
      </c>
      <c r="P3011">
        <v>0.99985650000000004</v>
      </c>
      <c r="Q3011">
        <v>1.5685109999999999E-2</v>
      </c>
      <c r="R3011">
        <v>-6.4367540000000003E-3</v>
      </c>
      <c r="S3011">
        <v>3.0050050000000001</v>
      </c>
      <c r="T3011">
        <v>-0.28217039999999999</v>
      </c>
      <c r="U3011">
        <v>1.435852E-2</v>
      </c>
      <c r="V3011">
        <v>7.7136560000000002E-3</v>
      </c>
      <c r="W3011">
        <v>3.024481E-2</v>
      </c>
      <c r="X3011">
        <v>0.99951270000000003</v>
      </c>
      <c r="Y3011">
        <v>-3.7438659999999898E-3</v>
      </c>
      <c r="Z3011" s="1">
        <v>7.9603279999999996E-5</v>
      </c>
      <c r="AA3011">
        <v>0.99999300000000002</v>
      </c>
      <c r="AB3011">
        <v>49</v>
      </c>
      <c r="AC3011">
        <v>0.511099999999999</v>
      </c>
      <c r="AD3011">
        <v>-9.4130999999999895E-2</v>
      </c>
      <c r="AE3011">
        <v>4.5000000000072699E-3</v>
      </c>
      <c r="AF3011">
        <v>-3.8470100281362499E-3</v>
      </c>
      <c r="AG3011">
        <v>-9.4130999999999895E-2</v>
      </c>
      <c r="AH3011">
        <v>0.49433778278637203</v>
      </c>
      <c r="AI3011">
        <v>100.78078273351601</v>
      </c>
      <c r="AJ3011">
        <v>90.445875262958495</v>
      </c>
      <c r="AK3011">
        <v>0.503234824050664</v>
      </c>
    </row>
    <row r="3012" spans="1:37" x14ac:dyDescent="0.2">
      <c r="A3012" t="str">
        <f>"20200111153708850"</f>
        <v>20200111153708850</v>
      </c>
      <c r="B3012" t="str">
        <f>"1578728228846004"</f>
        <v>1578728228846004</v>
      </c>
      <c r="C3012" t="s">
        <v>37</v>
      </c>
      <c r="D3012">
        <v>6.0519339999999904</v>
      </c>
      <c r="E3012">
        <v>0.49434159999999999</v>
      </c>
      <c r="F3012" t="s">
        <v>38</v>
      </c>
      <c r="G3012">
        <v>-403.81459999999998</v>
      </c>
      <c r="H3012">
        <v>1.017188</v>
      </c>
      <c r="I3012">
        <v>215.04589999999999</v>
      </c>
      <c r="J3012">
        <v>-404.2989</v>
      </c>
      <c r="K3012">
        <v>1.1005389999999999</v>
      </c>
      <c r="L3012">
        <v>215.04249999999999</v>
      </c>
      <c r="M3012">
        <v>0.99989130000000004</v>
      </c>
      <c r="N3012">
        <v>0</v>
      </c>
      <c r="O3012">
        <v>-1.4695509999999999E-3</v>
      </c>
      <c r="P3012">
        <v>0.99982729999999997</v>
      </c>
      <c r="Q3012">
        <v>1.6161950000000001E-2</v>
      </c>
      <c r="R3012">
        <v>-9.1727349999999996E-3</v>
      </c>
      <c r="S3012">
        <v>3.0046390000000001</v>
      </c>
      <c r="T3012">
        <v>-0.26290479999999999</v>
      </c>
      <c r="U3012">
        <v>8.5144039999999997E-3</v>
      </c>
      <c r="V3012">
        <v>7.9612829999999996E-3</v>
      </c>
      <c r="W3012">
        <v>3.075812E-2</v>
      </c>
      <c r="X3012">
        <v>0.99949509999999897</v>
      </c>
      <c r="Y3012">
        <v>-4.2814690000000004E-3</v>
      </c>
      <c r="Z3012">
        <v>3.1530959999999999E-4</v>
      </c>
      <c r="AA3012">
        <v>0.99999079999999996</v>
      </c>
      <c r="AB3012">
        <v>49</v>
      </c>
      <c r="AC3012">
        <v>0.48430000000001799</v>
      </c>
      <c r="AD3012">
        <v>-8.3350999999999897E-2</v>
      </c>
      <c r="AE3012">
        <v>3.3999999999991802E-3</v>
      </c>
      <c r="AF3012">
        <v>-3.9934929671007697E-3</v>
      </c>
      <c r="AG3012">
        <v>-8.3350999999999897E-2</v>
      </c>
      <c r="AH3012">
        <v>0.47036277615452898</v>
      </c>
      <c r="AI3012">
        <v>100.04847076657001</v>
      </c>
      <c r="AJ3012">
        <v>90.486443244448495</v>
      </c>
      <c r="AK3012">
        <v>0.47770752388765397</v>
      </c>
    </row>
    <row r="3013" spans="1:37" x14ac:dyDescent="0.2">
      <c r="A3013" t="str">
        <f>"20200111153708872"</f>
        <v>20200111153708872</v>
      </c>
      <c r="B3013" t="str">
        <f>"1578728228865524"</f>
        <v>1578728228865524</v>
      </c>
      <c r="C3013" t="s">
        <v>37</v>
      </c>
      <c r="D3013">
        <v>5.7896010000000002</v>
      </c>
      <c r="E3013">
        <v>0.49434979999999901</v>
      </c>
      <c r="F3013" t="s">
        <v>38</v>
      </c>
      <c r="G3013">
        <v>-403.3768</v>
      </c>
      <c r="H3013">
        <v>1.0220899999999999</v>
      </c>
      <c r="I3013">
        <v>215.04300000000001</v>
      </c>
      <c r="J3013">
        <v>-403.81240000000003</v>
      </c>
      <c r="K3013">
        <v>1.1005830000000001</v>
      </c>
      <c r="L3013">
        <v>215.0401</v>
      </c>
      <c r="M3013">
        <v>0.999884</v>
      </c>
      <c r="N3013">
        <v>0</v>
      </c>
      <c r="O3013">
        <v>-4.0231529999999998E-3</v>
      </c>
      <c r="P3013">
        <v>0.99979669999999898</v>
      </c>
      <c r="Q3013">
        <v>1.7100359999999998E-2</v>
      </c>
      <c r="R3013">
        <v>-1.070189E-2</v>
      </c>
      <c r="S3013">
        <v>3.0046390000000001</v>
      </c>
      <c r="T3013">
        <v>-0.25562410000000002</v>
      </c>
      <c r="U3013">
        <v>1.373291E-3</v>
      </c>
      <c r="V3013">
        <v>6.9431850000000002E-3</v>
      </c>
      <c r="W3013">
        <v>3.173898E-2</v>
      </c>
      <c r="X3013">
        <v>0.99947209999999997</v>
      </c>
      <c r="Y3013">
        <v>-4.4500290000000003E-3</v>
      </c>
      <c r="Z3013">
        <v>5.3064979999999996E-4</v>
      </c>
      <c r="AA3013">
        <v>0.99998999999999905</v>
      </c>
      <c r="AB3013">
        <v>49</v>
      </c>
      <c r="AC3013">
        <v>0.43560000000002203</v>
      </c>
      <c r="AD3013">
        <v>-7.8493000000000104E-2</v>
      </c>
      <c r="AE3013">
        <v>2.9000000000110001E-3</v>
      </c>
      <c r="AF3013">
        <v>-4.5063355767474998E-3</v>
      </c>
      <c r="AG3013">
        <v>-7.8493000000000104E-2</v>
      </c>
      <c r="AH3013">
        <v>0.42188663305570101</v>
      </c>
      <c r="AI3013">
        <v>100.538919398253</v>
      </c>
      <c r="AJ3013">
        <v>90.611975281419802</v>
      </c>
      <c r="AK3013">
        <v>0.42915007778212699</v>
      </c>
    </row>
    <row r="3014" spans="1:37" x14ac:dyDescent="0.2">
      <c r="A3014" t="str">
        <f>"20200111153708894"</f>
        <v>20200111153708894</v>
      </c>
      <c r="B3014" t="str">
        <f>"1578728228886020"</f>
        <v>1578728228886020</v>
      </c>
      <c r="C3014" t="s">
        <v>37</v>
      </c>
      <c r="D3014">
        <v>6.0454080000000001</v>
      </c>
      <c r="E3014">
        <v>0.49444199999999999</v>
      </c>
      <c r="F3014" t="s">
        <v>38</v>
      </c>
      <c r="G3014">
        <v>-402.93680000000001</v>
      </c>
      <c r="H3014">
        <v>1.029045</v>
      </c>
      <c r="I3014">
        <v>215.03909999999999</v>
      </c>
      <c r="J3014">
        <v>-403.31650000000002</v>
      </c>
      <c r="K3014">
        <v>1.100644</v>
      </c>
      <c r="L3014">
        <v>215.03649999999999</v>
      </c>
      <c r="M3014">
        <v>0.99987009999999898</v>
      </c>
      <c r="N3014">
        <v>0</v>
      </c>
      <c r="O3014">
        <v>-6.5738050000000003E-3</v>
      </c>
      <c r="P3014">
        <v>0.99977419999999995</v>
      </c>
      <c r="Q3014">
        <v>1.8127830000000001E-2</v>
      </c>
      <c r="R3014">
        <v>-1.108959E-2</v>
      </c>
      <c r="S3014">
        <v>3.004791</v>
      </c>
      <c r="T3014">
        <v>-0.24546779999999899</v>
      </c>
      <c r="U3014">
        <v>-2.89917E-3</v>
      </c>
      <c r="V3014">
        <v>4.786172E-3</v>
      </c>
      <c r="W3014">
        <v>3.2812729999999998E-2</v>
      </c>
      <c r="X3014">
        <v>0.99944999999999995</v>
      </c>
      <c r="Y3014">
        <v>-5.5692329999999998E-3</v>
      </c>
      <c r="Z3014">
        <v>7.632928E-4</v>
      </c>
      <c r="AA3014">
        <v>0.99998419999999899</v>
      </c>
      <c r="AB3014">
        <v>49</v>
      </c>
      <c r="AC3014">
        <v>0.37970000000001303</v>
      </c>
      <c r="AD3014">
        <v>-7.1598999999999899E-2</v>
      </c>
      <c r="AE3014">
        <v>2.6000000000010398E-3</v>
      </c>
      <c r="AF3014">
        <v>-4.9213061519263104E-3</v>
      </c>
      <c r="AG3014">
        <v>-7.1598999999999899E-2</v>
      </c>
      <c r="AH3014">
        <v>0.36663851717085</v>
      </c>
      <c r="AI3014">
        <v>101.048968045991</v>
      </c>
      <c r="AJ3014">
        <v>90.769022147313393</v>
      </c>
      <c r="AK3014">
        <v>0.373596625156707</v>
      </c>
    </row>
    <row r="3015" spans="1:37" x14ac:dyDescent="0.2">
      <c r="A3015" t="str">
        <f>"20200111153708918"</f>
        <v>20200111153708918</v>
      </c>
      <c r="B3015" t="str">
        <f>"1578728228905539"</f>
        <v>1578728228905539</v>
      </c>
      <c r="C3015" t="s">
        <v>37</v>
      </c>
      <c r="D3015">
        <v>5.7842399999999996</v>
      </c>
      <c r="E3015">
        <v>0.49451909999999999</v>
      </c>
      <c r="F3015" t="s">
        <v>45</v>
      </c>
      <c r="G3015">
        <v>-389.1309</v>
      </c>
      <c r="H3015" s="1">
        <v>3.3047709999999999E-6</v>
      </c>
      <c r="I3015">
        <v>215.01509999999999</v>
      </c>
      <c r="J3015">
        <v>-402.82260000000002</v>
      </c>
      <c r="K3015">
        <v>1.1007089999999999</v>
      </c>
      <c r="L3015">
        <v>215.0316</v>
      </c>
      <c r="M3015">
        <v>0.99985029999999997</v>
      </c>
      <c r="N3015">
        <v>0</v>
      </c>
      <c r="O3015">
        <v>-9.0495179999999995E-3</v>
      </c>
      <c r="P3015">
        <v>0.99978210000000001</v>
      </c>
      <c r="Q3015">
        <v>1.7955579999999999E-2</v>
      </c>
      <c r="R3015">
        <v>-1.066333E-2</v>
      </c>
      <c r="S3015">
        <v>3.004883</v>
      </c>
      <c r="T3015">
        <v>-0.233143399999999</v>
      </c>
      <c r="U3015">
        <v>-4.5166019999999998E-3</v>
      </c>
      <c r="V3015">
        <v>1.8786279999999901E-3</v>
      </c>
      <c r="W3015">
        <v>3.268882E-2</v>
      </c>
      <c r="X3015">
        <v>0.99946380000000001</v>
      </c>
      <c r="Y3015">
        <v>-7.4977339999999998E-3</v>
      </c>
      <c r="Z3015">
        <v>9.9158100000000006E-4</v>
      </c>
      <c r="AA3015">
        <v>0.99997139999999995</v>
      </c>
      <c r="AB3015">
        <v>49</v>
      </c>
      <c r="AC3015">
        <v>13.691700000000001</v>
      </c>
      <c r="AD3015">
        <v>-1.100705695229</v>
      </c>
      <c r="AE3015">
        <v>-1.6500000000007699E-2</v>
      </c>
      <c r="AF3015">
        <v>-0.106727667438829</v>
      </c>
      <c r="AG3015">
        <v>-1.100705695229</v>
      </c>
      <c r="AH3015">
        <v>13.603371416982499</v>
      </c>
      <c r="AI3015">
        <v>94.625821494207202</v>
      </c>
      <c r="AJ3015">
        <v>90.449514995134706</v>
      </c>
      <c r="AK3015">
        <v>13.6482474234198</v>
      </c>
    </row>
    <row r="3016" spans="1:37" x14ac:dyDescent="0.2">
      <c r="A3016" t="str">
        <f>"20200111153708940"</f>
        <v>20200111153708940</v>
      </c>
      <c r="B3016" t="str">
        <f>"1578728228935796"</f>
        <v>1578728228935796</v>
      </c>
      <c r="C3016" t="s">
        <v>37</v>
      </c>
      <c r="D3016">
        <v>5.7593769999999997</v>
      </c>
      <c r="E3016">
        <v>0.49435449999999997</v>
      </c>
      <c r="F3016" t="s">
        <v>45</v>
      </c>
      <c r="G3016">
        <v>-388.41840000000002</v>
      </c>
      <c r="H3016" s="1">
        <v>2.9255489999999899E-6</v>
      </c>
      <c r="I3016">
        <v>215.0172</v>
      </c>
      <c r="J3016">
        <v>-402.34519999999998</v>
      </c>
      <c r="K3016">
        <v>1.1007830000000001</v>
      </c>
      <c r="L3016">
        <v>215.02590000000001</v>
      </c>
      <c r="M3016">
        <v>0.99982629999999995</v>
      </c>
      <c r="N3016">
        <v>0</v>
      </c>
      <c r="O3016">
        <v>-1.1363689999999999E-2</v>
      </c>
      <c r="P3016">
        <v>0.99977739999999904</v>
      </c>
      <c r="Q3016">
        <v>1.781986E-2</v>
      </c>
      <c r="R3016">
        <v>-1.1298529999999999E-2</v>
      </c>
      <c r="S3016">
        <v>3.0047609999999998</v>
      </c>
      <c r="T3016">
        <v>-0.22961129999999999</v>
      </c>
      <c r="U3016">
        <v>-3.0212400000000001E-3</v>
      </c>
      <c r="V3016">
        <v>1.9358550000000001E-4</v>
      </c>
      <c r="W3016">
        <v>3.25854E-2</v>
      </c>
      <c r="X3016">
        <v>0.99946889999999999</v>
      </c>
      <c r="Y3016">
        <v>-1.0296349999999999E-2</v>
      </c>
      <c r="Z3016">
        <v>1.26001E-3</v>
      </c>
      <c r="AA3016">
        <v>0.99994620000000001</v>
      </c>
      <c r="AB3016">
        <v>49</v>
      </c>
      <c r="AC3016">
        <v>13.926799999999901</v>
      </c>
      <c r="AD3016">
        <v>-1.1007800744509999</v>
      </c>
      <c r="AE3016">
        <v>-8.7000000000045895E-3</v>
      </c>
      <c r="AF3016">
        <v>-0.14864900405537701</v>
      </c>
      <c r="AG3016">
        <v>-1.1007800744509999</v>
      </c>
      <c r="AH3016">
        <v>13.839538516026201</v>
      </c>
      <c r="AI3016">
        <v>94.547401456364298</v>
      </c>
      <c r="AJ3016">
        <v>90.615384179842195</v>
      </c>
      <c r="AK3016">
        <v>13.884042625809199</v>
      </c>
    </row>
    <row r="3017" spans="1:37" x14ac:dyDescent="0.2">
      <c r="A3017" t="str">
        <f>"20200111153708963"</f>
        <v>20200111153708963</v>
      </c>
      <c r="B3017" t="str">
        <f>"1578728228956292"</f>
        <v>1578728228956292</v>
      </c>
      <c r="C3017" t="s">
        <v>37</v>
      </c>
      <c r="D3017">
        <v>5.729584</v>
      </c>
      <c r="E3017">
        <v>0.49420459999999899</v>
      </c>
      <c r="F3017" t="s">
        <v>38</v>
      </c>
      <c r="G3017">
        <v>-401.20839999999998</v>
      </c>
      <c r="H3017">
        <v>1.015355</v>
      </c>
      <c r="I3017">
        <v>215.02449999999999</v>
      </c>
      <c r="J3017">
        <v>-401.85039999999998</v>
      </c>
      <c r="K3017">
        <v>1.1008719999999901</v>
      </c>
      <c r="L3017">
        <v>215.0187</v>
      </c>
      <c r="M3017">
        <v>0.9997973</v>
      </c>
      <c r="N3017">
        <v>0</v>
      </c>
      <c r="O3017">
        <v>-1.366413E-2</v>
      </c>
      <c r="P3017">
        <v>0.99975599999999998</v>
      </c>
      <c r="Q3017">
        <v>1.7988810000000001E-2</v>
      </c>
      <c r="R3017">
        <v>-1.2821259999999999E-2</v>
      </c>
      <c r="S3017">
        <v>3.0046689999999998</v>
      </c>
      <c r="T3017">
        <v>-0.2258464</v>
      </c>
      <c r="U3017">
        <v>-3.1738280000000001E-3</v>
      </c>
      <c r="V3017">
        <v>-5.8935580000000001E-4</v>
      </c>
      <c r="W3017">
        <v>3.2775550000000001E-2</v>
      </c>
      <c r="X3017">
        <v>0.99946250000000003</v>
      </c>
      <c r="Y3017">
        <v>-1.25355E-2</v>
      </c>
      <c r="Z3017">
        <v>1.4961579999999901E-3</v>
      </c>
      <c r="AA3017">
        <v>0.99992029999999998</v>
      </c>
      <c r="AB3017">
        <v>48</v>
      </c>
      <c r="AC3017">
        <v>0.64199999999999502</v>
      </c>
      <c r="AD3017">
        <v>-8.5516999999999802E-2</v>
      </c>
      <c r="AE3017">
        <v>5.7999999999935803E-3</v>
      </c>
      <c r="AF3017">
        <v>-1.43187476885693E-2</v>
      </c>
      <c r="AG3017">
        <v>-8.5516999999999802E-2</v>
      </c>
      <c r="AH3017">
        <v>0.63067149780609599</v>
      </c>
      <c r="AI3017">
        <v>97.720058427091601</v>
      </c>
      <c r="AJ3017">
        <v>91.300618297002401</v>
      </c>
      <c r="AK3017">
        <v>0.63660405431426004</v>
      </c>
    </row>
    <row r="3018" spans="1:37" x14ac:dyDescent="0.2">
      <c r="A3018" t="str">
        <f>"20200111153708984"</f>
        <v>20200111153708984</v>
      </c>
      <c r="B3018" t="str">
        <f>"1578728228975813"</f>
        <v>1578728228975813</v>
      </c>
      <c r="C3018" t="s">
        <v>37</v>
      </c>
      <c r="D3018">
        <v>5.8141870000000004</v>
      </c>
      <c r="E3018">
        <v>0.49399359999999998</v>
      </c>
      <c r="F3018" t="s">
        <v>38</v>
      </c>
      <c r="G3018">
        <v>-400.77199999999999</v>
      </c>
      <c r="H3018">
        <v>1.0211269999999999</v>
      </c>
      <c r="I3018">
        <v>215.0164</v>
      </c>
      <c r="J3018">
        <v>-401.37810000000002</v>
      </c>
      <c r="K3018">
        <v>1.1009629999999999</v>
      </c>
      <c r="L3018">
        <v>215.01079999999999</v>
      </c>
      <c r="M3018">
        <v>0.99976609999999999</v>
      </c>
      <c r="N3018">
        <v>0</v>
      </c>
      <c r="O3018">
        <v>-1.5779870000000001E-2</v>
      </c>
      <c r="P3018">
        <v>0.99973459999999903</v>
      </c>
      <c r="Q3018">
        <v>1.7232069999999999E-2</v>
      </c>
      <c r="R3018">
        <v>-1.5304430000000001E-2</v>
      </c>
      <c r="S3018">
        <v>3.0046390000000001</v>
      </c>
      <c r="T3018">
        <v>-0.222208399999999</v>
      </c>
      <c r="U3018">
        <v>-6.17981E-3</v>
      </c>
      <c r="V3018">
        <v>-2.343088E-4</v>
      </c>
      <c r="W3018">
        <v>3.2028269999999998E-2</v>
      </c>
      <c r="X3018">
        <v>0.99948689999999996</v>
      </c>
      <c r="Y3018">
        <v>-1.3644710000000001E-2</v>
      </c>
      <c r="Z3018">
        <v>1.669355E-3</v>
      </c>
      <c r="AA3018">
        <v>0.9999055</v>
      </c>
      <c r="AB3018">
        <v>48</v>
      </c>
      <c r="AC3018">
        <v>0.60610000000002595</v>
      </c>
      <c r="AD3018">
        <v>-7.9835999999999796E-2</v>
      </c>
      <c r="AE3018">
        <v>5.6000000000153696E-3</v>
      </c>
      <c r="AF3018">
        <v>-1.4905926606605001E-2</v>
      </c>
      <c r="AG3018">
        <v>-7.9835999999999796E-2</v>
      </c>
      <c r="AH3018">
        <v>0.59560308383789995</v>
      </c>
      <c r="AI3018">
        <v>97.632188652529805</v>
      </c>
      <c r="AJ3018">
        <v>91.4336199208187</v>
      </c>
      <c r="AK3018">
        <v>0.60111480352859303</v>
      </c>
    </row>
    <row r="3019" spans="1:37" x14ac:dyDescent="0.2">
      <c r="A3019" t="str">
        <f>"20200111153709008"</f>
        <v>20200111153709008</v>
      </c>
      <c r="B3019" t="str">
        <f>"1578728228996307"</f>
        <v>1578728228996307</v>
      </c>
      <c r="C3019" t="s">
        <v>37</v>
      </c>
      <c r="D3019">
        <v>5.7436689999999997</v>
      </c>
      <c r="E3019">
        <v>0.49363449999999998</v>
      </c>
      <c r="F3019" t="s">
        <v>38</v>
      </c>
      <c r="G3019">
        <v>-400.33679999999998</v>
      </c>
      <c r="H3019">
        <v>1.024168</v>
      </c>
      <c r="I3019">
        <v>215.00630000000001</v>
      </c>
      <c r="J3019">
        <v>-400.86880000000002</v>
      </c>
      <c r="K3019">
        <v>1.101064</v>
      </c>
      <c r="L3019">
        <v>215.00129999999999</v>
      </c>
      <c r="M3019">
        <v>0.99972899999999998</v>
      </c>
      <c r="N3019">
        <v>0</v>
      </c>
      <c r="O3019">
        <v>-1.7963440000000001E-2</v>
      </c>
      <c r="P3019">
        <v>0.99969169999999996</v>
      </c>
      <c r="Q3019">
        <v>1.6253899999999901E-2</v>
      </c>
      <c r="R3019">
        <v>-1.8771349999999999E-2</v>
      </c>
      <c r="S3019">
        <v>3.0044249999999999</v>
      </c>
      <c r="T3019">
        <v>-0.2216465</v>
      </c>
      <c r="U3019">
        <v>-1.185608E-2</v>
      </c>
      <c r="V3019">
        <v>1.034692E-3</v>
      </c>
      <c r="W3019">
        <v>3.1051240000000001E-2</v>
      </c>
      <c r="X3019">
        <v>0.99951730000000005</v>
      </c>
      <c r="Y3019">
        <v>-1.3933060000000001E-2</v>
      </c>
      <c r="Z3019">
        <v>1.8367450000000001E-3</v>
      </c>
      <c r="AA3019">
        <v>0.99990119999999905</v>
      </c>
      <c r="AB3019">
        <v>48</v>
      </c>
      <c r="AC3019">
        <v>0.532000000000039</v>
      </c>
      <c r="AD3019">
        <v>-7.6896000000000006E-2</v>
      </c>
      <c r="AE3019">
        <v>5.0000000000238699E-3</v>
      </c>
      <c r="AF3019">
        <v>-1.42589170180994E-2</v>
      </c>
      <c r="AG3019">
        <v>-7.6896000000000006E-2</v>
      </c>
      <c r="AH3019">
        <v>0.520941655495197</v>
      </c>
      <c r="AI3019">
        <v>98.393675112621196</v>
      </c>
      <c r="AJ3019">
        <v>91.567875833835103</v>
      </c>
      <c r="AK3019">
        <v>0.52677938452506401</v>
      </c>
    </row>
    <row r="3020" spans="1:37" x14ac:dyDescent="0.2">
      <c r="A3020" t="str">
        <f>"20200111153709031"</f>
        <v>20200111153709031</v>
      </c>
      <c r="B3020" t="str">
        <f>"1578728229025588"</f>
        <v>1578728229025588</v>
      </c>
      <c r="C3020" t="s">
        <v>37</v>
      </c>
      <c r="D3020">
        <v>5.7507359999999998</v>
      </c>
      <c r="E3020">
        <v>0.49317559999999899</v>
      </c>
      <c r="F3020" t="s">
        <v>38</v>
      </c>
      <c r="G3020">
        <v>-399.90100000000001</v>
      </c>
      <c r="H3020">
        <v>1.0283789999999999</v>
      </c>
      <c r="I3020">
        <v>214.99510000000001</v>
      </c>
      <c r="J3020">
        <v>-400.37290000000002</v>
      </c>
      <c r="K3020">
        <v>1.1011739999999901</v>
      </c>
      <c r="L3020">
        <v>214.99099999999899</v>
      </c>
      <c r="M3020">
        <v>0.99969069999999904</v>
      </c>
      <c r="N3020">
        <v>0</v>
      </c>
      <c r="O3020">
        <v>-1.9979449999999999E-2</v>
      </c>
      <c r="P3020">
        <v>0.99961520000000004</v>
      </c>
      <c r="Q3020">
        <v>1.5993690000000001E-2</v>
      </c>
      <c r="R3020">
        <v>-2.2671509999999999E-2</v>
      </c>
      <c r="S3020">
        <v>3.0042419999999899</v>
      </c>
      <c r="T3020">
        <v>-0.22564009999999901</v>
      </c>
      <c r="U3020">
        <v>-1.876831E-2</v>
      </c>
      <c r="V3020">
        <v>2.909409E-3</v>
      </c>
      <c r="W3020">
        <v>3.0786239999999999E-2</v>
      </c>
      <c r="X3020">
        <v>0.99952169999999896</v>
      </c>
      <c r="Y3020">
        <v>-1.3640660000000001E-2</v>
      </c>
      <c r="Z3020">
        <v>2.010071E-3</v>
      </c>
      <c r="AA3020">
        <v>0.99990489999999999</v>
      </c>
      <c r="AB3020">
        <v>48</v>
      </c>
      <c r="AC3020">
        <v>0.47190000000000498</v>
      </c>
      <c r="AD3020">
        <v>-7.2794999999999693E-2</v>
      </c>
      <c r="AE3020">
        <v>4.1000000000224104E-3</v>
      </c>
      <c r="AF3020">
        <v>-1.32140995934821E-2</v>
      </c>
      <c r="AG3020">
        <v>-7.2794999999999693E-2</v>
      </c>
      <c r="AH3020">
        <v>0.46076045149233502</v>
      </c>
      <c r="AI3020">
        <v>98.974256259964704</v>
      </c>
      <c r="AJ3020">
        <v>91.642729247073106</v>
      </c>
      <c r="AK3020">
        <v>0.46666253129267499</v>
      </c>
    </row>
    <row r="3021" spans="1:37" x14ac:dyDescent="0.2">
      <c r="A3021" t="str">
        <f>"20200111153709051"</f>
        <v>20200111153709051</v>
      </c>
      <c r="B3021" t="str">
        <f>"1578728229046084"</f>
        <v>1578728229046084</v>
      </c>
      <c r="C3021" t="s">
        <v>37</v>
      </c>
      <c r="D3021">
        <v>5.7359910000000003</v>
      </c>
      <c r="E3021">
        <v>0.49271329999999902</v>
      </c>
      <c r="F3021" t="s">
        <v>38</v>
      </c>
      <c r="G3021">
        <v>-399.46510000000001</v>
      </c>
      <c r="H3021">
        <v>1.03189</v>
      </c>
      <c r="I3021">
        <v>214.98240000000001</v>
      </c>
      <c r="J3021">
        <v>-399.93520000000001</v>
      </c>
      <c r="K3021">
        <v>1.1012899999999901</v>
      </c>
      <c r="L3021">
        <v>214.9812</v>
      </c>
      <c r="M3021">
        <v>0.99965579999999998</v>
      </c>
      <c r="N3021">
        <v>0</v>
      </c>
      <c r="O3021">
        <v>-2.1650920000000001E-2</v>
      </c>
      <c r="P3021">
        <v>0.99953389999999998</v>
      </c>
      <c r="Q3021">
        <v>1.5782560000000001E-2</v>
      </c>
      <c r="R3021">
        <v>-2.6140409999999999E-2</v>
      </c>
      <c r="S3021">
        <v>3.0042110000000002</v>
      </c>
      <c r="T3021">
        <v>-0.22945479999999999</v>
      </c>
      <c r="U3021">
        <v>-2.7221680000000002E-2</v>
      </c>
      <c r="V3021">
        <v>4.6982070000000003E-3</v>
      </c>
      <c r="W3021">
        <v>3.0568910000000001E-2</v>
      </c>
      <c r="X3021">
        <v>0.99952160000000001</v>
      </c>
      <c r="Y3021">
        <v>-1.24943E-2</v>
      </c>
      <c r="Z3021">
        <v>2.1276929999999999E-3</v>
      </c>
      <c r="AA3021">
        <v>0.99991969999999997</v>
      </c>
      <c r="AB3021">
        <v>48</v>
      </c>
      <c r="AC3021">
        <v>0.47010000000000202</v>
      </c>
      <c r="AD3021">
        <v>-6.9399999999999906E-2</v>
      </c>
      <c r="AE3021">
        <v>1.20000000001141E-3</v>
      </c>
      <c r="AF3021">
        <v>-1.1136231192742201E-2</v>
      </c>
      <c r="AG3021">
        <v>-6.9399999999999906E-2</v>
      </c>
      <c r="AH3021">
        <v>0.45993989710517402</v>
      </c>
      <c r="AI3021">
        <v>98.578113280020702</v>
      </c>
      <c r="AJ3021">
        <v>91.386995148630007</v>
      </c>
      <c r="AK3021">
        <v>0.46527957680763998</v>
      </c>
    </row>
    <row r="3022" spans="1:37" x14ac:dyDescent="0.2">
      <c r="A3022" t="str">
        <f>"20200111153709073"</f>
        <v>20200111153709073</v>
      </c>
      <c r="B3022" t="str">
        <f>"1578728229065605"</f>
        <v>1578728229065605</v>
      </c>
      <c r="C3022" t="s">
        <v>37</v>
      </c>
      <c r="D3022">
        <v>5.9742150000000001</v>
      </c>
      <c r="E3022">
        <v>0.49235489999999998</v>
      </c>
      <c r="F3022" t="s">
        <v>38</v>
      </c>
      <c r="G3022">
        <v>-399.0351</v>
      </c>
      <c r="H3022">
        <v>1.0315879999999999</v>
      </c>
      <c r="I3022">
        <v>214.9709</v>
      </c>
      <c r="J3022">
        <v>-399.45569999999998</v>
      </c>
      <c r="K3022">
        <v>1.101442</v>
      </c>
      <c r="L3022">
        <v>214.96969999999999</v>
      </c>
      <c r="M3022">
        <v>0.99961739999999999</v>
      </c>
      <c r="N3022">
        <v>0</v>
      </c>
      <c r="O3022">
        <v>-2.3351819999999999E-2</v>
      </c>
      <c r="P3022">
        <v>0.99947450000000004</v>
      </c>
      <c r="Q3022">
        <v>1.6136959999999999E-2</v>
      </c>
      <c r="R3022">
        <v>-2.8115480000000002E-2</v>
      </c>
      <c r="S3022">
        <v>3.0041500000000001</v>
      </c>
      <c r="T3022">
        <v>-0.23265140000000001</v>
      </c>
      <c r="U3022">
        <v>-3.3584589999999998E-2</v>
      </c>
      <c r="V3022">
        <v>4.9653090000000002E-3</v>
      </c>
      <c r="W3022">
        <v>3.0927799999999998E-2</v>
      </c>
      <c r="X3022">
        <v>0.99950930000000004</v>
      </c>
      <c r="Y3022">
        <v>-1.2071230000000001E-2</v>
      </c>
      <c r="Z3022">
        <v>2.272404E-3</v>
      </c>
      <c r="AA3022">
        <v>0.99992449999999999</v>
      </c>
      <c r="AB3022">
        <v>48</v>
      </c>
      <c r="AC3022">
        <v>0.42059999999997899</v>
      </c>
      <c r="AD3022">
        <v>-6.9853999999999999E-2</v>
      </c>
      <c r="AE3022">
        <v>1.20000000001141E-3</v>
      </c>
      <c r="AF3022">
        <v>-1.0726654884828501E-2</v>
      </c>
      <c r="AG3022">
        <v>-6.9853999999999999E-2</v>
      </c>
      <c r="AH3022">
        <v>0.409171115137973</v>
      </c>
      <c r="AI3022">
        <v>99.684912195924795</v>
      </c>
      <c r="AJ3022">
        <v>91.501697686906397</v>
      </c>
      <c r="AK3022">
        <v>0.41522962792203399</v>
      </c>
    </row>
    <row r="3023" spans="1:37" x14ac:dyDescent="0.2">
      <c r="A3023" t="str">
        <f>"20200111153709096"</f>
        <v>20200111153709096</v>
      </c>
      <c r="B3023" t="str">
        <f>"1578728229086099"</f>
        <v>1578728229086099</v>
      </c>
      <c r="C3023" t="s">
        <v>37</v>
      </c>
      <c r="D3023">
        <v>5.7713839999999896</v>
      </c>
      <c r="E3023">
        <v>0.49196299999999998</v>
      </c>
      <c r="F3023" t="s">
        <v>45</v>
      </c>
      <c r="G3023">
        <v>-385.1746</v>
      </c>
      <c r="H3023" s="1">
        <v>1.2090429999999999E-6</v>
      </c>
      <c r="I3023">
        <v>214.79499999999999</v>
      </c>
      <c r="J3023">
        <v>-398.96089999999998</v>
      </c>
      <c r="K3023">
        <v>1.1016250000000001</v>
      </c>
      <c r="L3023">
        <v>214.95699999999999</v>
      </c>
      <c r="M3023">
        <v>0.99957879999999999</v>
      </c>
      <c r="N3023">
        <v>0</v>
      </c>
      <c r="O3023">
        <v>-2.494849E-2</v>
      </c>
      <c r="P3023">
        <v>0.99942559999999903</v>
      </c>
      <c r="Q3023">
        <v>1.7127739999999999E-2</v>
      </c>
      <c r="R3023">
        <v>-2.9245819999999999E-2</v>
      </c>
      <c r="S3023">
        <v>3.0042719999999998</v>
      </c>
      <c r="T3023">
        <v>-0.2317063</v>
      </c>
      <c r="U3023">
        <v>-3.6743159999999997E-2</v>
      </c>
      <c r="V3023">
        <v>4.4931570000000002E-3</v>
      </c>
      <c r="W3023">
        <v>3.1925799999999997E-2</v>
      </c>
      <c r="X3023">
        <v>0.99948009999999998</v>
      </c>
      <c r="Y3023">
        <v>-1.261226E-2</v>
      </c>
      <c r="Z3023">
        <v>2.4068549999999998E-3</v>
      </c>
      <c r="AA3023">
        <v>0.99991759999999996</v>
      </c>
      <c r="AB3023">
        <v>48</v>
      </c>
      <c r="AC3023">
        <v>13.786299999999899</v>
      </c>
      <c r="AD3023">
        <v>-1.1016237909569999</v>
      </c>
      <c r="AE3023">
        <v>-0.162000000000006</v>
      </c>
      <c r="AF3023">
        <v>-0.18088081663587</v>
      </c>
      <c r="AG3023">
        <v>-1.1016237909569999</v>
      </c>
      <c r="AH3023">
        <v>13.698594487979401</v>
      </c>
      <c r="AI3023">
        <v>94.5973612203708</v>
      </c>
      <c r="AJ3023">
        <v>90.756508643332694</v>
      </c>
      <c r="AK3023">
        <v>13.744009014575401</v>
      </c>
    </row>
    <row r="3024" spans="1:37" x14ac:dyDescent="0.2">
      <c r="A3024" t="str">
        <f>"20200111153709119"</f>
        <v>20200111153709119</v>
      </c>
      <c r="B3024" t="str">
        <f>"1578728229105619"</f>
        <v>1578728229105619</v>
      </c>
      <c r="C3024" t="s">
        <v>37</v>
      </c>
      <c r="D3024">
        <v>5.7498050000000003</v>
      </c>
      <c r="E3024">
        <v>0.4915949</v>
      </c>
      <c r="F3024" t="s">
        <v>45</v>
      </c>
      <c r="G3024">
        <v>-384.66840000000002</v>
      </c>
      <c r="H3024" s="1">
        <v>9.4045289999999997E-7</v>
      </c>
      <c r="I3024">
        <v>214.77770000000001</v>
      </c>
      <c r="J3024">
        <v>-398.47859999999997</v>
      </c>
      <c r="K3024">
        <v>1.10182</v>
      </c>
      <c r="L3024">
        <v>214.94409999999999</v>
      </c>
      <c r="M3024">
        <v>0.99954349999999903</v>
      </c>
      <c r="N3024">
        <v>0</v>
      </c>
      <c r="O3024">
        <v>-2.6330200000000002E-2</v>
      </c>
      <c r="P3024">
        <v>0.99941469999999899</v>
      </c>
      <c r="Q3024">
        <v>1.777478E-2</v>
      </c>
      <c r="R3024">
        <v>-2.9235290000000001E-2</v>
      </c>
      <c r="S3024">
        <v>3.004578</v>
      </c>
      <c r="T3024">
        <v>-0.2315847</v>
      </c>
      <c r="U3024">
        <v>-3.7689210000000001E-2</v>
      </c>
      <c r="V3024">
        <v>3.090602E-3</v>
      </c>
      <c r="W3024">
        <v>3.2583969999999997E-2</v>
      </c>
      <c r="X3024">
        <v>0.99946420000000002</v>
      </c>
      <c r="Y3024">
        <v>-1.367381E-2</v>
      </c>
      <c r="Z3024">
        <v>2.5525079999999898E-3</v>
      </c>
      <c r="AA3024">
        <v>0.99990330000000005</v>
      </c>
      <c r="AB3024">
        <v>48</v>
      </c>
      <c r="AC3024">
        <v>13.810199999999901</v>
      </c>
      <c r="AD3024">
        <v>-1.1018190595471</v>
      </c>
      <c r="AE3024">
        <v>-0.16639999999998101</v>
      </c>
      <c r="AF3024">
        <v>-0.19607504786780899</v>
      </c>
      <c r="AG3024">
        <v>-1.1018190595471</v>
      </c>
      <c r="AH3024">
        <v>13.722457549700099</v>
      </c>
      <c r="AI3024">
        <v>94.590142596046903</v>
      </c>
      <c r="AJ3024">
        <v>90.8186221903713</v>
      </c>
      <c r="AK3024">
        <v>13.768016991117401</v>
      </c>
    </row>
    <row r="3025" spans="1:37" x14ac:dyDescent="0.2">
      <c r="A3025" t="str">
        <f>"20200111153709140"</f>
        <v>20200111153709140</v>
      </c>
      <c r="B3025" t="str">
        <f>"1578728229135876"</f>
        <v>1578728229135876</v>
      </c>
      <c r="C3025" t="s">
        <v>37</v>
      </c>
      <c r="D3025">
        <v>5.7836230000000004</v>
      </c>
      <c r="E3025">
        <v>0.49144499999999902</v>
      </c>
      <c r="F3025" t="s">
        <v>45</v>
      </c>
      <c r="G3025">
        <v>-384.18669999999997</v>
      </c>
      <c r="H3025" s="1">
        <v>6.8405300000000002E-7</v>
      </c>
      <c r="I3025">
        <v>214.7792</v>
      </c>
      <c r="J3025">
        <v>-398.01929999999999</v>
      </c>
      <c r="K3025">
        <v>1.1020179999999999</v>
      </c>
      <c r="L3025">
        <v>214.93119999999999</v>
      </c>
      <c r="M3025">
        <v>0.99951299999999899</v>
      </c>
      <c r="N3025">
        <v>0</v>
      </c>
      <c r="O3025">
        <v>-2.745504E-2</v>
      </c>
      <c r="P3025">
        <v>0.99940960000000001</v>
      </c>
      <c r="Q3025">
        <v>1.7565399999999998E-2</v>
      </c>
      <c r="R3025">
        <v>-2.953312E-2</v>
      </c>
      <c r="S3025">
        <v>3.0048520000000001</v>
      </c>
      <c r="T3025">
        <v>-0.23165659999999999</v>
      </c>
      <c r="U3025">
        <v>-3.4667969999999999E-2</v>
      </c>
      <c r="V3025">
        <v>2.2470910000000001E-3</v>
      </c>
      <c r="W3025">
        <v>3.2380470000000001E-2</v>
      </c>
      <c r="X3025">
        <v>0.9994731</v>
      </c>
      <c r="Y3025">
        <v>-1.5795710000000001E-2</v>
      </c>
      <c r="Z3025">
        <v>2.7213239999999998E-3</v>
      </c>
      <c r="AA3025">
        <v>0.99987159999999997</v>
      </c>
      <c r="AB3025">
        <v>48</v>
      </c>
      <c r="AC3025">
        <v>13.832599999999999</v>
      </c>
      <c r="AD3025">
        <v>-1.1020173159469999</v>
      </c>
      <c r="AE3025">
        <v>-0.15199999999998601</v>
      </c>
      <c r="AF3025">
        <v>-0.22643665367344101</v>
      </c>
      <c r="AG3025">
        <v>-1.1020173159469999</v>
      </c>
      <c r="AH3025">
        <v>13.7443332397721</v>
      </c>
      <c r="AI3025">
        <v>94.583535658855595</v>
      </c>
      <c r="AJ3025">
        <v>90.943857424516807</v>
      </c>
      <c r="AK3025">
        <v>13.7903013719309</v>
      </c>
    </row>
    <row r="3026" spans="1:37" x14ac:dyDescent="0.2">
      <c r="A3026" t="str">
        <f>"20200111153709163"</f>
        <v>20200111153709163</v>
      </c>
      <c r="B3026" t="str">
        <f>"1578728229156371"</f>
        <v>1578728229156371</v>
      </c>
      <c r="C3026" t="s">
        <v>37</v>
      </c>
      <c r="D3026">
        <v>5.7277420000000001</v>
      </c>
      <c r="E3026">
        <v>0.51203370000000004</v>
      </c>
      <c r="F3026" t="s">
        <v>38</v>
      </c>
      <c r="G3026">
        <v>-396.89429999999999</v>
      </c>
      <c r="H3026">
        <v>1.0144010000000001</v>
      </c>
      <c r="I3026">
        <v>214.91810000000001</v>
      </c>
      <c r="J3026">
        <v>-397.53829999999999</v>
      </c>
      <c r="K3026">
        <v>1.102255</v>
      </c>
      <c r="L3026">
        <v>214.91730000000001</v>
      </c>
      <c r="M3026">
        <v>0.99948630000000005</v>
      </c>
      <c r="N3026">
        <v>0</v>
      </c>
      <c r="O3026">
        <v>-2.8415860000000001E-2</v>
      </c>
      <c r="P3026">
        <v>0.99939880000000003</v>
      </c>
      <c r="Q3026">
        <v>1.6575139999999999E-2</v>
      </c>
      <c r="R3026">
        <v>-3.045407E-2</v>
      </c>
      <c r="S3026">
        <v>3.004883</v>
      </c>
      <c r="T3026">
        <v>-0.2341413</v>
      </c>
      <c r="U3026">
        <v>-3.4164430000000003E-2</v>
      </c>
      <c r="V3026">
        <v>2.1849829999999902E-3</v>
      </c>
      <c r="W3026">
        <v>3.1391530000000001E-2</v>
      </c>
      <c r="X3026">
        <v>0.99950479999999997</v>
      </c>
      <c r="Y3026">
        <v>-1.691546E-2</v>
      </c>
      <c r="Z3026">
        <v>2.8686900000000001E-3</v>
      </c>
      <c r="AA3026">
        <v>0.99985279999999999</v>
      </c>
      <c r="AB3026">
        <v>48</v>
      </c>
      <c r="AC3026">
        <v>0.64400000000000501</v>
      </c>
      <c r="AD3026">
        <v>-8.7853999999999793E-2</v>
      </c>
      <c r="AE3026">
        <v>7.9999999999813499E-4</v>
      </c>
      <c r="AF3026">
        <v>-1.87525133269398E-2</v>
      </c>
      <c r="AG3026">
        <v>-8.7853999999999793E-2</v>
      </c>
      <c r="AH3026">
        <v>0.631956328916911</v>
      </c>
      <c r="AI3026">
        <v>97.911043844009697</v>
      </c>
      <c r="AJ3026">
        <v>91.699681808564407</v>
      </c>
      <c r="AK3026">
        <v>0.63830931665628698</v>
      </c>
    </row>
    <row r="3027" spans="1:37" x14ac:dyDescent="0.2">
      <c r="A3027" t="str">
        <f>"20200111153709185"</f>
        <v>20200111153709185</v>
      </c>
      <c r="B3027" t="str">
        <f>"1578728229175894"</f>
        <v>1578728229175894</v>
      </c>
      <c r="C3027" t="s">
        <v>37</v>
      </c>
      <c r="D3027">
        <v>5.7623470000000001</v>
      </c>
      <c r="E3027">
        <v>0.50837060000000001</v>
      </c>
      <c r="F3027" t="s">
        <v>38</v>
      </c>
      <c r="G3027">
        <v>-396.46980000000002</v>
      </c>
      <c r="H3027">
        <v>1.0109319999999999</v>
      </c>
      <c r="I3027">
        <v>214.84549999999999</v>
      </c>
      <c r="J3027">
        <v>-397.04610000000002</v>
      </c>
      <c r="K3027">
        <v>1.102492</v>
      </c>
      <c r="L3027">
        <v>214.90280000000001</v>
      </c>
      <c r="M3027">
        <v>0.99946360000000001</v>
      </c>
      <c r="N3027">
        <v>0</v>
      </c>
      <c r="O3027">
        <v>-2.9197089999999998E-2</v>
      </c>
      <c r="P3027">
        <v>0.99936970000000003</v>
      </c>
      <c r="Q3027">
        <v>1.6595240000000001E-2</v>
      </c>
      <c r="R3027">
        <v>-3.138084E-2</v>
      </c>
      <c r="S3027">
        <v>2.999908</v>
      </c>
      <c r="T3027">
        <v>-0.25639800000000001</v>
      </c>
      <c r="U3027">
        <v>-0.20190429999999901</v>
      </c>
      <c r="V3027">
        <v>2.3131379999999902E-3</v>
      </c>
      <c r="W3027">
        <v>3.1411069999999999E-2</v>
      </c>
      <c r="X3027">
        <v>0.9995039</v>
      </c>
      <c r="Y3027">
        <v>3.7956759999999999E-2</v>
      </c>
      <c r="Z3027">
        <v>8.7020899999999896E-4</v>
      </c>
      <c r="AA3027">
        <v>0.99927900000000003</v>
      </c>
      <c r="AB3027">
        <v>48</v>
      </c>
      <c r="AC3027">
        <v>0.57630000000000303</v>
      </c>
      <c r="AD3027">
        <v>-9.1560000000000002E-2</v>
      </c>
      <c r="AE3027">
        <v>-5.7300000000026302E-2</v>
      </c>
      <c r="AF3027">
        <v>3.9461125948769403E-2</v>
      </c>
      <c r="AG3027">
        <v>-9.1560000000000002E-2</v>
      </c>
      <c r="AH3027">
        <v>0.56363961878475699</v>
      </c>
      <c r="AI3027">
        <v>99.204628684680102</v>
      </c>
      <c r="AJ3027">
        <v>85.995184442962596</v>
      </c>
      <c r="AK3027">
        <v>0.57238975700563599</v>
      </c>
    </row>
    <row r="3028" spans="1:37" x14ac:dyDescent="0.2">
      <c r="A3028" t="str">
        <f>"20200111153709208"</f>
        <v>20200111153709208</v>
      </c>
      <c r="B3028" t="str">
        <f>"1578728229196387"</f>
        <v>1578728229196387</v>
      </c>
      <c r="C3028" t="s">
        <v>37</v>
      </c>
      <c r="D3028">
        <v>5.801323</v>
      </c>
      <c r="E3028">
        <v>0.50723109999999905</v>
      </c>
      <c r="F3028" t="s">
        <v>38</v>
      </c>
      <c r="G3028">
        <v>-396.0224</v>
      </c>
      <c r="H3028">
        <v>1.0427949999999999</v>
      </c>
      <c r="I3028">
        <v>214.8442</v>
      </c>
      <c r="J3028">
        <v>-396.5659</v>
      </c>
      <c r="K3028">
        <v>1.1027180000000001</v>
      </c>
      <c r="L3028">
        <v>214.88839999999999</v>
      </c>
      <c r="M3028">
        <v>0.99944719999999998</v>
      </c>
      <c r="N3028">
        <v>0</v>
      </c>
      <c r="O3028">
        <v>-2.9758710000000001E-2</v>
      </c>
      <c r="P3028">
        <v>0.99935959999999902</v>
      </c>
      <c r="Q3028">
        <v>1.6233460000000002E-2</v>
      </c>
      <c r="R3028">
        <v>-3.1887659999999998E-2</v>
      </c>
      <c r="S3028">
        <v>2.9994200000000002</v>
      </c>
      <c r="T3028">
        <v>-0.17497409999999999</v>
      </c>
      <c r="U3028">
        <v>-0.17109679999999999</v>
      </c>
      <c r="V3028">
        <v>2.2396009999999999E-3</v>
      </c>
      <c r="W3028">
        <v>3.1050290000000001E-2</v>
      </c>
      <c r="X3028">
        <v>0.9995153</v>
      </c>
      <c r="Y3028">
        <v>2.72161E-2</v>
      </c>
      <c r="Z3028">
        <v>9.4023320000000002E-4</v>
      </c>
      <c r="AA3028">
        <v>0.99962909999999905</v>
      </c>
      <c r="AB3028">
        <v>48</v>
      </c>
      <c r="AC3028">
        <v>0.54349999999999399</v>
      </c>
      <c r="AD3028">
        <v>-5.99229999999999E-2</v>
      </c>
      <c r="AE3028">
        <v>-4.4199999999989303E-2</v>
      </c>
      <c r="AF3028">
        <v>2.7670631910479901E-2</v>
      </c>
      <c r="AG3028">
        <v>-5.99229999999999E-2</v>
      </c>
      <c r="AH3028">
        <v>0.53807686972970803</v>
      </c>
      <c r="AI3028">
        <v>96.346250657210405</v>
      </c>
      <c r="AJ3028">
        <v>87.056154670446105</v>
      </c>
      <c r="AK3028">
        <v>0.54210990355964395</v>
      </c>
    </row>
    <row r="3029" spans="1:37" x14ac:dyDescent="0.2">
      <c r="A3029" t="str">
        <f>"20200111153709230"</f>
        <v>20200111153709230</v>
      </c>
      <c r="B3029" t="str">
        <f>"1578728229225668"</f>
        <v>1578728229225668</v>
      </c>
      <c r="C3029" t="s">
        <v>37</v>
      </c>
      <c r="D3029">
        <v>5.7246899999999998</v>
      </c>
      <c r="E3029">
        <v>0.50150569999999906</v>
      </c>
      <c r="F3029" t="s">
        <v>38</v>
      </c>
      <c r="G3029">
        <v>-395.59629999999999</v>
      </c>
      <c r="H3029">
        <v>1.0395110000000001</v>
      </c>
      <c r="I3029">
        <v>214.83510000000001</v>
      </c>
      <c r="J3029">
        <v>-396.0942</v>
      </c>
      <c r="K3029">
        <v>1.102951</v>
      </c>
      <c r="L3029">
        <v>214.8741</v>
      </c>
      <c r="M3029">
        <v>0.99943669999999996</v>
      </c>
      <c r="N3029">
        <v>0</v>
      </c>
      <c r="O3029">
        <v>-3.0108880000000001E-2</v>
      </c>
      <c r="P3029">
        <v>0.99933050000000001</v>
      </c>
      <c r="Q3029">
        <v>1.60181E-2</v>
      </c>
      <c r="R3029">
        <v>-3.2896920000000003E-2</v>
      </c>
      <c r="S3029">
        <v>2.9998779999999998</v>
      </c>
      <c r="T3029">
        <v>-0.1957245</v>
      </c>
      <c r="U3029">
        <v>-0.16426089999999999</v>
      </c>
      <c r="V3029">
        <v>2.8810909999999901E-3</v>
      </c>
      <c r="W3029">
        <v>3.0832479999999999E-2</v>
      </c>
      <c r="X3029">
        <v>0.99952039999999998</v>
      </c>
      <c r="Y3029">
        <v>2.459368E-2</v>
      </c>
      <c r="Z3029">
        <v>1.159621E-3</v>
      </c>
      <c r="AA3029">
        <v>0.9996969</v>
      </c>
      <c r="AB3029">
        <v>48</v>
      </c>
      <c r="AC3029">
        <v>0.497900000000015</v>
      </c>
      <c r="AD3029">
        <v>-6.3439999999999899E-2</v>
      </c>
      <c r="AE3029">
        <v>-3.8999999999987198E-2</v>
      </c>
      <c r="AF3029">
        <v>2.3608517723253002E-2</v>
      </c>
      <c r="AG3029">
        <v>-6.3439999999999899E-2</v>
      </c>
      <c r="AH3029">
        <v>0.49092717597443097</v>
      </c>
      <c r="AI3029">
        <v>97.354827848846597</v>
      </c>
      <c r="AJ3029">
        <v>87.246786890047602</v>
      </c>
      <c r="AK3029">
        <v>0.49557187956876603</v>
      </c>
    </row>
    <row r="3030" spans="1:37" x14ac:dyDescent="0.2">
      <c r="A3030" t="str">
        <f>"20200111153709252"</f>
        <v>20200111153709252</v>
      </c>
      <c r="B3030" t="str">
        <f>"1578728229246166"</f>
        <v>1578728229246166</v>
      </c>
      <c r="C3030" t="s">
        <v>37</v>
      </c>
      <c r="D3030">
        <v>5.742667</v>
      </c>
      <c r="E3030">
        <v>0.50886009999999904</v>
      </c>
      <c r="F3030" t="s">
        <v>45</v>
      </c>
      <c r="G3030">
        <v>-360.35359999999997</v>
      </c>
      <c r="H3030" s="1">
        <v>-1.3486389999999999E-6</v>
      </c>
      <c r="I3030">
        <v>213.48070000000001</v>
      </c>
      <c r="J3030">
        <v>-395.62699999999899</v>
      </c>
      <c r="K3030">
        <v>1.103192</v>
      </c>
      <c r="L3030">
        <v>214.85980000000001</v>
      </c>
      <c r="M3030">
        <v>0.99943300000000002</v>
      </c>
      <c r="N3030">
        <v>0</v>
      </c>
      <c r="O3030">
        <v>-3.0236969999999998E-2</v>
      </c>
      <c r="P3030">
        <v>0.99926659999999901</v>
      </c>
      <c r="Q3030">
        <v>1.6272370000000001E-2</v>
      </c>
      <c r="R3030">
        <v>-3.4664220000000003E-2</v>
      </c>
      <c r="S3030">
        <v>2.999603</v>
      </c>
      <c r="T3030">
        <v>-9.2567319999999995E-2</v>
      </c>
      <c r="U3030">
        <v>-0.1169434</v>
      </c>
      <c r="V3030">
        <v>4.5039390000000002E-3</v>
      </c>
      <c r="W3030">
        <v>3.108269E-2</v>
      </c>
      <c r="X3030">
        <v>0.99950669999999897</v>
      </c>
      <c r="Y3030">
        <v>8.7317509999999994E-3</v>
      </c>
      <c r="Z3030">
        <v>7.9774369999999998E-4</v>
      </c>
      <c r="AA3030">
        <v>0.99996160000000001</v>
      </c>
      <c r="AB3030">
        <v>48</v>
      </c>
      <c r="AC3030">
        <v>35.273399999999903</v>
      </c>
      <c r="AD3030">
        <v>-1.103193348639</v>
      </c>
      <c r="AE3030">
        <v>-1.37909999999999</v>
      </c>
      <c r="AF3030">
        <v>0.31148730026528099</v>
      </c>
      <c r="AG3030">
        <v>-1.103193348639</v>
      </c>
      <c r="AH3030">
        <v>35.264530766338403</v>
      </c>
      <c r="AI3030">
        <v>91.791750827380596</v>
      </c>
      <c r="AJ3030">
        <v>89.493926526908893</v>
      </c>
      <c r="AK3030">
        <v>35.283157314400498</v>
      </c>
    </row>
    <row r="3031" spans="1:37" x14ac:dyDescent="0.2">
      <c r="A3031" t="str">
        <f>"20200111153709275"</f>
        <v>20200111153709275</v>
      </c>
      <c r="B3031" t="str">
        <f>"1578728229265684"</f>
        <v>1578728229265684</v>
      </c>
      <c r="C3031" t="s">
        <v>37</v>
      </c>
      <c r="D3031">
        <v>5.8061389999999999</v>
      </c>
      <c r="E3031">
        <v>0.50807000000000002</v>
      </c>
      <c r="F3031" t="s">
        <v>38</v>
      </c>
      <c r="G3031">
        <v>-394.74950000000001</v>
      </c>
      <c r="H3031">
        <v>1.024694</v>
      </c>
      <c r="I3031">
        <v>214.80459999999999</v>
      </c>
      <c r="J3031">
        <v>-395.13119999999998</v>
      </c>
      <c r="K3031">
        <v>1.103469</v>
      </c>
      <c r="L3031">
        <v>214.8449</v>
      </c>
      <c r="M3031">
        <v>0.9994364</v>
      </c>
      <c r="N3031">
        <v>0</v>
      </c>
      <c r="O3031">
        <v>-3.012167E-2</v>
      </c>
      <c r="P3031">
        <v>0.99921229999999905</v>
      </c>
      <c r="Q3031">
        <v>1.6267319999999998E-2</v>
      </c>
      <c r="R3031">
        <v>-3.6199229999999999E-2</v>
      </c>
      <c r="S3031">
        <v>3.0000309999999999</v>
      </c>
      <c r="T3031">
        <v>-0.2684877</v>
      </c>
      <c r="U3031">
        <v>-0.187988299999999</v>
      </c>
      <c r="V3031">
        <v>6.1340259999999999E-3</v>
      </c>
      <c r="W3031">
        <v>3.1075539999999999E-2</v>
      </c>
      <c r="X3031">
        <v>0.9994982</v>
      </c>
      <c r="Y3031">
        <v>3.2435859999999997E-2</v>
      </c>
      <c r="Z3031">
        <v>1.2399819999999999E-3</v>
      </c>
      <c r="AA3031">
        <v>0.99947299999999994</v>
      </c>
      <c r="AB3031">
        <v>48</v>
      </c>
      <c r="AC3031">
        <v>0.38169999999996601</v>
      </c>
      <c r="AD3031">
        <v>-7.8774999999999998E-2</v>
      </c>
      <c r="AE3031">
        <v>-4.0300000000002001E-2</v>
      </c>
      <c r="AF3031">
        <v>2.7619588765052199E-2</v>
      </c>
      <c r="AG3031">
        <v>-7.8774999999999998E-2</v>
      </c>
      <c r="AH3031">
        <v>0.36727031260830401</v>
      </c>
      <c r="AI3031">
        <v>102.072741019502</v>
      </c>
      <c r="AJ3031">
        <v>85.699318178307294</v>
      </c>
      <c r="AK3031">
        <v>0.37663752446079002</v>
      </c>
    </row>
    <row r="3032" spans="1:37" x14ac:dyDescent="0.2">
      <c r="A3032" t="str">
        <f>"20200111153709297"</f>
        <v>20200111153709297</v>
      </c>
      <c r="B3032" t="str">
        <f>"1578728229286179"</f>
        <v>1578728229286179</v>
      </c>
      <c r="C3032" t="s">
        <v>37</v>
      </c>
      <c r="D3032">
        <v>5.7418250000000004</v>
      </c>
      <c r="E3032">
        <v>0.50724269999999905</v>
      </c>
      <c r="F3032" t="s">
        <v>38</v>
      </c>
      <c r="G3032">
        <v>-394.31229999999999</v>
      </c>
      <c r="H3032">
        <v>1.041215</v>
      </c>
      <c r="I3032">
        <v>214.79419999999999</v>
      </c>
      <c r="J3032">
        <v>-394.65460000000002</v>
      </c>
      <c r="K3032">
        <v>1.103753</v>
      </c>
      <c r="L3032">
        <v>214.83070000000001</v>
      </c>
      <c r="M3032">
        <v>0.99944739999999999</v>
      </c>
      <c r="N3032">
        <v>0</v>
      </c>
      <c r="O3032">
        <v>-2.9757039999999998E-2</v>
      </c>
      <c r="P3032">
        <v>0.99917749999999905</v>
      </c>
      <c r="Q3032">
        <v>1.6206080000000001E-2</v>
      </c>
      <c r="R3032">
        <v>-3.7177250000000002E-2</v>
      </c>
      <c r="S3032">
        <v>2.9994200000000002</v>
      </c>
      <c r="T3032">
        <v>-0.22828699999999999</v>
      </c>
      <c r="U3032">
        <v>-0.18428039999999901</v>
      </c>
      <c r="V3032">
        <v>7.4554109999999899E-3</v>
      </c>
      <c r="W3032">
        <v>3.101597E-2</v>
      </c>
      <c r="X3032">
        <v>0.99949109999999997</v>
      </c>
      <c r="Y3032">
        <v>3.1586320000000001E-2</v>
      </c>
      <c r="Z3032">
        <v>1.0597479999999999E-3</v>
      </c>
      <c r="AA3032">
        <v>0.99950049999999901</v>
      </c>
      <c r="AB3032">
        <v>48</v>
      </c>
      <c r="AC3032">
        <v>0.34230000000002198</v>
      </c>
      <c r="AD3032">
        <v>-6.2537999999999899E-2</v>
      </c>
      <c r="AE3032">
        <v>-3.65000000000179E-2</v>
      </c>
      <c r="AF3032">
        <v>2.5456712104376202E-2</v>
      </c>
      <c r="AG3032">
        <v>-6.2537999999999899E-2</v>
      </c>
      <c r="AH3032">
        <v>0.33226850981481698</v>
      </c>
      <c r="AI3032">
        <v>100.628802755717</v>
      </c>
      <c r="AJ3032">
        <v>85.618849551647799</v>
      </c>
      <c r="AK3032">
        <v>0.33905959395027402</v>
      </c>
    </row>
    <row r="3033" spans="1:37" x14ac:dyDescent="0.2">
      <c r="A3033" t="str">
        <f>"20200111153709320"</f>
        <v>20200111153709320</v>
      </c>
      <c r="B3033" t="str">
        <f>"1578728229316436"</f>
        <v>1578728229316436</v>
      </c>
      <c r="C3033" t="s">
        <v>37</v>
      </c>
      <c r="D3033">
        <v>5.7671109999999999</v>
      </c>
      <c r="E3033">
        <v>0.506826</v>
      </c>
      <c r="F3033" t="s">
        <v>38</v>
      </c>
      <c r="G3033">
        <v>-393.88060000000002</v>
      </c>
      <c r="H3033">
        <v>1.0462359999999999</v>
      </c>
      <c r="I3033">
        <v>214.78399999999999</v>
      </c>
      <c r="J3033">
        <v>-394.1927</v>
      </c>
      <c r="K3033">
        <v>1.1040490000000001</v>
      </c>
      <c r="L3033">
        <v>214.81729999999999</v>
      </c>
      <c r="M3033">
        <v>0.99946469999999898</v>
      </c>
      <c r="N3033">
        <v>0</v>
      </c>
      <c r="O3033">
        <v>-2.9165859999999998E-2</v>
      </c>
      <c r="P3033">
        <v>0.99919789999999997</v>
      </c>
      <c r="Q3033">
        <v>1.532704E-2</v>
      </c>
      <c r="R3033">
        <v>-3.699844E-2</v>
      </c>
      <c r="S3033">
        <v>2.9993590000000001</v>
      </c>
      <c r="T3033">
        <v>-0.2229323</v>
      </c>
      <c r="U3033">
        <v>-0.1804962</v>
      </c>
      <c r="V3033">
        <v>7.84492E-3</v>
      </c>
      <c r="W3033">
        <v>3.0141859999999999E-2</v>
      </c>
      <c r="X3033">
        <v>0.99951480000000004</v>
      </c>
      <c r="Y3033">
        <v>3.09228E-2</v>
      </c>
      <c r="Z3033">
        <v>1.015822E-3</v>
      </c>
      <c r="AA3033">
        <v>0.99952129999999995</v>
      </c>
      <c r="AB3033">
        <v>48</v>
      </c>
      <c r="AC3033">
        <v>0.312099999999986</v>
      </c>
      <c r="AD3033">
        <v>-5.7812999999999802E-2</v>
      </c>
      <c r="AE3033">
        <v>-3.3299999999968501E-2</v>
      </c>
      <c r="AF3033">
        <v>2.33886554225353E-2</v>
      </c>
      <c r="AG3033">
        <v>-5.7812999999999802E-2</v>
      </c>
      <c r="AH3033">
        <v>0.30266980617128503</v>
      </c>
      <c r="AI3033">
        <v>100.782428522912</v>
      </c>
      <c r="AJ3033">
        <v>85.581279039277206</v>
      </c>
      <c r="AK3033">
        <v>0.30902812774768201</v>
      </c>
    </row>
    <row r="3034" spans="1:37" x14ac:dyDescent="0.2">
      <c r="A3034" t="str">
        <f>"20200111153709341"</f>
        <v>20200111153709341</v>
      </c>
      <c r="B3034" t="str">
        <f>"1578728229335955"</f>
        <v>1578728229335955</v>
      </c>
      <c r="C3034" t="s">
        <v>37</v>
      </c>
      <c r="D3034">
        <v>5.8635149999999996</v>
      </c>
      <c r="E3034">
        <v>0.50632299999999997</v>
      </c>
      <c r="F3034" t="s">
        <v>45</v>
      </c>
      <c r="G3034">
        <v>-378.5847</v>
      </c>
      <c r="H3034" s="1">
        <v>3.0315550000000001E-6</v>
      </c>
      <c r="I3034">
        <v>213.90129999999999</v>
      </c>
      <c r="J3034">
        <v>-393.71839999999997</v>
      </c>
      <c r="K3034">
        <v>1.104358</v>
      </c>
      <c r="L3034">
        <v>214.804</v>
      </c>
      <c r="M3034">
        <v>0.99948930000000002</v>
      </c>
      <c r="N3034">
        <v>0</v>
      </c>
      <c r="O3034">
        <v>-2.8308779999999999E-2</v>
      </c>
      <c r="P3034">
        <v>0.999245099999999</v>
      </c>
      <c r="Q3034">
        <v>1.490463E-2</v>
      </c>
      <c r="R3034">
        <v>-3.5876180000000001E-2</v>
      </c>
      <c r="S3034">
        <v>2.9991759999999998</v>
      </c>
      <c r="T3034">
        <v>-0.21214899999999901</v>
      </c>
      <c r="U3034">
        <v>-0.1760101</v>
      </c>
      <c r="V3034">
        <v>7.5569900000000004E-3</v>
      </c>
      <c r="W3034">
        <v>2.9725290000000001E-2</v>
      </c>
      <c r="X3034">
        <v>0.99952949999999996</v>
      </c>
      <c r="Y3034">
        <v>3.0293670000000002E-2</v>
      </c>
      <c r="Z3034">
        <v>9.2866779999999896E-4</v>
      </c>
      <c r="AA3034">
        <v>0.999540599999999</v>
      </c>
      <c r="AB3034">
        <v>48</v>
      </c>
      <c r="AC3034">
        <v>15.1336999999999</v>
      </c>
      <c r="AD3034">
        <v>-1.104354968445</v>
      </c>
      <c r="AE3034">
        <v>-0.90270000000001005</v>
      </c>
      <c r="AF3034">
        <v>0.47137327049842298</v>
      </c>
      <c r="AG3034">
        <v>-1.104354968445</v>
      </c>
      <c r="AH3034">
        <v>15.0732089598685</v>
      </c>
      <c r="AI3034">
        <v>94.188309985549296</v>
      </c>
      <c r="AJ3034">
        <v>88.208815381474494</v>
      </c>
      <c r="AK3034">
        <v>15.1209596588421</v>
      </c>
    </row>
    <row r="3035" spans="1:37" x14ac:dyDescent="0.2">
      <c r="A3035" t="str">
        <f>"20200111153709364"</f>
        <v>20200111153709364</v>
      </c>
      <c r="B3035" t="str">
        <f>"1578728229356452"</f>
        <v>1578728229356452</v>
      </c>
      <c r="C3035" t="s">
        <v>37</v>
      </c>
      <c r="D3035">
        <v>5.8971359999999997</v>
      </c>
      <c r="E3035">
        <v>0.50604870000000002</v>
      </c>
      <c r="F3035" t="s">
        <v>38</v>
      </c>
      <c r="G3035">
        <v>-392.61610000000002</v>
      </c>
      <c r="H3035">
        <v>1.026608</v>
      </c>
      <c r="I3035">
        <v>214.74189999999999</v>
      </c>
      <c r="J3035">
        <v>-393.2269</v>
      </c>
      <c r="K3035">
        <v>1.1046659999999999</v>
      </c>
      <c r="L3035">
        <v>214.79089999999999</v>
      </c>
      <c r="M3035">
        <v>0.99952070000000004</v>
      </c>
      <c r="N3035">
        <v>0</v>
      </c>
      <c r="O3035">
        <v>-2.718363E-2</v>
      </c>
      <c r="P3035">
        <v>0.99929409999999896</v>
      </c>
      <c r="Q3035">
        <v>1.4679380000000001E-2</v>
      </c>
      <c r="R3035">
        <v>-3.4587039999999999E-2</v>
      </c>
      <c r="S3035">
        <v>2.9993590000000001</v>
      </c>
      <c r="T3035">
        <v>-0.2117097</v>
      </c>
      <c r="U3035">
        <v>-0.16862489999999999</v>
      </c>
      <c r="V3035">
        <v>7.370293E-3</v>
      </c>
      <c r="W3035">
        <v>2.9505090000000001E-2</v>
      </c>
      <c r="X3035">
        <v>0.99953749999999997</v>
      </c>
      <c r="Y3035">
        <v>2.8962749999999999E-2</v>
      </c>
      <c r="Z3035">
        <v>8.9443869999999905E-4</v>
      </c>
      <c r="AA3035">
        <v>0.99958009999999997</v>
      </c>
      <c r="AB3035">
        <v>48</v>
      </c>
      <c r="AC3035">
        <v>0.61079999999998302</v>
      </c>
      <c r="AD3035">
        <v>-7.8057999999999905E-2</v>
      </c>
      <c r="AE3035">
        <v>-4.9000000000006497E-2</v>
      </c>
      <c r="AF3035">
        <v>3.1859309382448901E-2</v>
      </c>
      <c r="AG3035">
        <v>-7.8057999999999905E-2</v>
      </c>
      <c r="AH3035">
        <v>0.60213524710831601</v>
      </c>
      <c r="AI3035">
        <v>97.376160419003099</v>
      </c>
      <c r="AJ3035">
        <v>86.971272803329597</v>
      </c>
      <c r="AK3035">
        <v>0.60800898247354795</v>
      </c>
    </row>
    <row r="3036" spans="1:37" x14ac:dyDescent="0.2">
      <c r="A3036" t="str">
        <f>"20200111153709397"</f>
        <v>20200111153709397</v>
      </c>
      <c r="B3036" t="str">
        <f>"1578728229385734"</f>
        <v>1578728229385734</v>
      </c>
      <c r="C3036" t="s">
        <v>37</v>
      </c>
      <c r="D3036">
        <v>5.8671309999999997</v>
      </c>
      <c r="E3036">
        <v>0.50581109999999996</v>
      </c>
      <c r="F3036" t="s">
        <v>38</v>
      </c>
      <c r="G3036">
        <v>-392.18799999999999</v>
      </c>
      <c r="H3036">
        <v>1.0319290000000001</v>
      </c>
      <c r="I3036">
        <v>214.7346</v>
      </c>
      <c r="J3036">
        <v>-392.52460000000002</v>
      </c>
      <c r="K3036">
        <v>1.1050629999999999</v>
      </c>
      <c r="L3036">
        <v>214.77340000000001</v>
      </c>
      <c r="M3036">
        <v>0.99957129999999905</v>
      </c>
      <c r="N3036">
        <v>0</v>
      </c>
      <c r="O3036">
        <v>-2.5249299999999999E-2</v>
      </c>
      <c r="P3036">
        <v>0.99940689999999999</v>
      </c>
      <c r="Q3036">
        <v>1.273086E-2</v>
      </c>
      <c r="R3036">
        <v>-3.2002650000000001E-2</v>
      </c>
      <c r="S3036">
        <v>2.9996339999999999</v>
      </c>
      <c r="T3036">
        <v>-0.21010599999999999</v>
      </c>
      <c r="U3036">
        <v>-0.16210939999999999</v>
      </c>
      <c r="V3036">
        <v>6.6945249999999998E-3</v>
      </c>
      <c r="W3036">
        <v>2.756229E-2</v>
      </c>
      <c r="X3036">
        <v>0.99959769999999903</v>
      </c>
      <c r="Y3036">
        <v>2.872334E-2</v>
      </c>
      <c r="Z3036">
        <v>7.6087769999999999E-4</v>
      </c>
      <c r="AA3036">
        <v>0.99958709999999995</v>
      </c>
      <c r="AB3036">
        <v>48</v>
      </c>
      <c r="AC3036">
        <v>0.33659999999997497</v>
      </c>
      <c r="AD3036">
        <v>-7.3133999999999796E-2</v>
      </c>
      <c r="AE3036">
        <v>-3.8800000000009001E-2</v>
      </c>
      <c r="AF3036">
        <v>2.8939532498898801E-2</v>
      </c>
      <c r="AG3036">
        <v>-7.3133999999999796E-2</v>
      </c>
      <c r="AH3036">
        <v>0.32245001187658301</v>
      </c>
      <c r="AI3036">
        <v>102.729416185955</v>
      </c>
      <c r="AJ3036">
        <v>84.871507375719801</v>
      </c>
      <c r="AK3036">
        <v>0.33190373402006701</v>
      </c>
    </row>
    <row r="3037" spans="1:37" x14ac:dyDescent="0.2">
      <c r="A3037" t="str">
        <f>"20200111153709419"</f>
        <v>20200111153709419</v>
      </c>
      <c r="B3037" t="str">
        <f>"1578728229415987"</f>
        <v>1578728229415987</v>
      </c>
      <c r="C3037" t="s">
        <v>37</v>
      </c>
      <c r="D3037">
        <v>5.9193150000000001</v>
      </c>
      <c r="E3037">
        <v>0.50566169999999999</v>
      </c>
      <c r="F3037" t="s">
        <v>45</v>
      </c>
      <c r="G3037">
        <v>-376.99560000000002</v>
      </c>
      <c r="H3037" s="1">
        <v>2.1859180000000002E-6</v>
      </c>
      <c r="I3037">
        <v>213.9881</v>
      </c>
      <c r="J3037">
        <v>-392.05799999999999</v>
      </c>
      <c r="K3037">
        <v>1.105302</v>
      </c>
      <c r="L3037">
        <v>214.76259999999999</v>
      </c>
      <c r="M3037">
        <v>0.99960789999999999</v>
      </c>
      <c r="N3037">
        <v>0</v>
      </c>
      <c r="O3037">
        <v>-2.3760969999999999E-2</v>
      </c>
      <c r="P3037">
        <v>0.99948530000000002</v>
      </c>
      <c r="Q3037">
        <v>1.2377249999999999E-2</v>
      </c>
      <c r="R3037">
        <v>-2.9596520000000001E-2</v>
      </c>
      <c r="S3037">
        <v>2.9996640000000001</v>
      </c>
      <c r="T3037">
        <v>-0.21345939999999999</v>
      </c>
      <c r="U3037">
        <v>-0.15168760000000001</v>
      </c>
      <c r="V3037">
        <v>5.76113699999999E-3</v>
      </c>
      <c r="W3037">
        <v>2.7209089999999998E-2</v>
      </c>
      <c r="X3037">
        <v>0.99961319999999998</v>
      </c>
      <c r="Y3037">
        <v>2.6748609999999999E-2</v>
      </c>
      <c r="Z3037">
        <v>7.375366E-4</v>
      </c>
      <c r="AA3037">
        <v>0.99964189999999997</v>
      </c>
      <c r="AB3037">
        <v>48</v>
      </c>
      <c r="AC3037">
        <v>15.0624</v>
      </c>
      <c r="AD3037">
        <v>-1.1052998140820001</v>
      </c>
      <c r="AE3037">
        <v>-0.77449999999998898</v>
      </c>
      <c r="AF3037">
        <v>0.41412068428807097</v>
      </c>
      <c r="AG3037">
        <v>-1.1052998140820001</v>
      </c>
      <c r="AH3037">
        <v>14.9960133499118</v>
      </c>
      <c r="AI3037">
        <v>94.213833451228496</v>
      </c>
      <c r="AJ3037">
        <v>88.418157009352996</v>
      </c>
      <c r="AK3037">
        <v>15.042393426941601</v>
      </c>
    </row>
    <row r="3038" spans="1:37" x14ac:dyDescent="0.2">
      <c r="A3038" t="str">
        <f>"20200111153709442"</f>
        <v>20200111153709442</v>
      </c>
      <c r="B3038" t="str">
        <f>"1578728229435508"</f>
        <v>1578728229435508</v>
      </c>
      <c r="C3038" t="s">
        <v>37</v>
      </c>
      <c r="D3038">
        <v>5.9491550000000002</v>
      </c>
      <c r="E3038">
        <v>0.47950720000000002</v>
      </c>
      <c r="F3038" t="s">
        <v>45</v>
      </c>
      <c r="G3038">
        <v>-376.67309999999998</v>
      </c>
      <c r="H3038" s="1">
        <v>2.0143159999999999E-6</v>
      </c>
      <c r="I3038">
        <v>214.0266</v>
      </c>
      <c r="J3038">
        <v>-391.58370000000002</v>
      </c>
      <c r="K3038">
        <v>1.1055349999999999</v>
      </c>
      <c r="L3038">
        <v>214.7525</v>
      </c>
      <c r="M3038">
        <v>0.99964640000000005</v>
      </c>
      <c r="N3038">
        <v>0</v>
      </c>
      <c r="O3038">
        <v>-2.2087559999999999E-2</v>
      </c>
      <c r="P3038">
        <v>0.999517199999999</v>
      </c>
      <c r="Q3038">
        <v>1.320579E-2</v>
      </c>
      <c r="R3038">
        <v>-2.8134119999999999E-2</v>
      </c>
      <c r="S3038">
        <v>2.9999389999999999</v>
      </c>
      <c r="T3038">
        <v>-0.215525299999999</v>
      </c>
      <c r="U3038">
        <v>-0.14350889999999999</v>
      </c>
      <c r="V3038">
        <v>5.9548830000000002E-3</v>
      </c>
      <c r="W3038">
        <v>2.8039419999999999E-2</v>
      </c>
      <c r="X3038">
        <v>0.99958910000000001</v>
      </c>
      <c r="Y3038">
        <v>2.569695E-2</v>
      </c>
      <c r="Z3038">
        <v>6.6240199999999998E-4</v>
      </c>
      <c r="AA3038">
        <v>0.99966959999999905</v>
      </c>
      <c r="AB3038">
        <v>48</v>
      </c>
      <c r="AC3038">
        <v>14.910600000000001</v>
      </c>
      <c r="AD3038">
        <v>-1.1055329856839999</v>
      </c>
      <c r="AE3038">
        <v>-0.72589999999999499</v>
      </c>
      <c r="AF3038">
        <v>0.394186140328323</v>
      </c>
      <c r="AG3038">
        <v>-1.1055329856839999</v>
      </c>
      <c r="AH3038">
        <v>14.841600217404901</v>
      </c>
      <c r="AI3038">
        <v>94.258530221827797</v>
      </c>
      <c r="AJ3038">
        <v>88.478607866097704</v>
      </c>
      <c r="AK3038">
        <v>14.887937496810499</v>
      </c>
    </row>
    <row r="3039" spans="1:37" x14ac:dyDescent="0.2">
      <c r="A3039" t="str">
        <f>"20200111153709464"</f>
        <v>20200111153709464</v>
      </c>
      <c r="B3039" t="str">
        <f>"1578728229456004"</f>
        <v>1578728229456004</v>
      </c>
      <c r="C3039" t="s">
        <v>37</v>
      </c>
      <c r="D3039">
        <v>5.7440889999999998</v>
      </c>
      <c r="E3039">
        <v>0.47574870000000002</v>
      </c>
      <c r="F3039" t="s">
        <v>45</v>
      </c>
      <c r="G3039">
        <v>-377.1979</v>
      </c>
      <c r="H3039" s="1">
        <v>2.2935769999999999E-6</v>
      </c>
      <c r="I3039">
        <v>215.0814</v>
      </c>
      <c r="J3039">
        <v>-391.09</v>
      </c>
      <c r="K3039">
        <v>1.105756</v>
      </c>
      <c r="L3039">
        <v>214.74299999999999</v>
      </c>
      <c r="M3039">
        <v>0.99968579999999996</v>
      </c>
      <c r="N3039">
        <v>0</v>
      </c>
      <c r="O3039">
        <v>-2.022053E-2</v>
      </c>
      <c r="P3039">
        <v>0.99953539999999996</v>
      </c>
      <c r="Q3039">
        <v>1.479814E-2</v>
      </c>
      <c r="R3039">
        <v>-2.6643099999999999E-2</v>
      </c>
      <c r="S3039">
        <v>3.0064389999999999</v>
      </c>
      <c r="T3039">
        <v>-0.23104179999999899</v>
      </c>
      <c r="U3039">
        <v>6.8725590000000003E-2</v>
      </c>
      <c r="V3039">
        <v>6.3113099999999997E-3</v>
      </c>
      <c r="W3039">
        <v>2.9634730000000001E-2</v>
      </c>
      <c r="X3039">
        <v>0.99954089999999995</v>
      </c>
      <c r="Y3039">
        <v>-4.2880300000000003E-2</v>
      </c>
      <c r="Z3039">
        <v>3.1966329999999999E-3</v>
      </c>
      <c r="AA3039">
        <v>0.99907509999999999</v>
      </c>
      <c r="AB3039">
        <v>48</v>
      </c>
      <c r="AC3039">
        <v>13.8920999999999</v>
      </c>
      <c r="AD3039">
        <v>-1.1057537064229901</v>
      </c>
      <c r="AE3039">
        <v>0.33840000000000697</v>
      </c>
      <c r="AF3039">
        <v>-0.61537087542601998</v>
      </c>
      <c r="AG3039">
        <v>-1.1057537064229901</v>
      </c>
      <c r="AH3039">
        <v>13.795068825774701</v>
      </c>
      <c r="AI3039">
        <v>94.578253211583302</v>
      </c>
      <c r="AJ3039">
        <v>92.554158726308998</v>
      </c>
      <c r="AK3039">
        <v>13.852988720180599</v>
      </c>
    </row>
    <row r="3040" spans="1:37" x14ac:dyDescent="0.2">
      <c r="A3040" t="str">
        <f>"20200111153709487"</f>
        <v>20200111153709487</v>
      </c>
      <c r="B3040" t="str">
        <f>"1578728229475523"</f>
        <v>1578728229475523</v>
      </c>
      <c r="C3040" t="s">
        <v>37</v>
      </c>
      <c r="D3040">
        <v>5.8182660000000004</v>
      </c>
      <c r="E3040">
        <v>0.47480869999999997</v>
      </c>
      <c r="F3040" t="s">
        <v>45</v>
      </c>
      <c r="G3040">
        <v>-376.61130000000003</v>
      </c>
      <c r="H3040" s="1">
        <v>1.9813969999999999E-6</v>
      </c>
      <c r="I3040">
        <v>215.23840000000001</v>
      </c>
      <c r="J3040">
        <v>-390.61250000000001</v>
      </c>
      <c r="K3040">
        <v>1.1059429999999999</v>
      </c>
      <c r="L3040">
        <v>214.7346</v>
      </c>
      <c r="M3040">
        <v>0.99972220000000001</v>
      </c>
      <c r="N3040">
        <v>0</v>
      </c>
      <c r="O3040">
        <v>-1.832957E-2</v>
      </c>
      <c r="P3040">
        <v>0.99953019999999904</v>
      </c>
      <c r="Q3040">
        <v>1.641047E-2</v>
      </c>
      <c r="R3040">
        <v>-2.589023E-2</v>
      </c>
      <c r="S3040">
        <v>3.0075069999999999</v>
      </c>
      <c r="T3040">
        <v>-0.22968549999999999</v>
      </c>
      <c r="U3040">
        <v>0.10290530000000001</v>
      </c>
      <c r="V3040">
        <v>7.4302389999999999E-3</v>
      </c>
      <c r="W3040">
        <v>3.1252370000000002E-2</v>
      </c>
      <c r="X3040">
        <v>0.99948389999999998</v>
      </c>
      <c r="Y3040">
        <v>-5.230576E-2</v>
      </c>
      <c r="Z3040">
        <v>3.3914349999999999E-3</v>
      </c>
      <c r="AA3040">
        <v>0.99862530000000005</v>
      </c>
      <c r="AB3040">
        <v>48</v>
      </c>
      <c r="AC3040">
        <v>14.0011999999999</v>
      </c>
      <c r="AD3040">
        <v>-1.1059410186030001</v>
      </c>
      <c r="AE3040">
        <v>0.50380000000001202</v>
      </c>
      <c r="AF3040">
        <v>-0.75567076166274005</v>
      </c>
      <c r="AG3040">
        <v>-1.1059410186030001</v>
      </c>
      <c r="AH3040">
        <v>13.9029796176053</v>
      </c>
      <c r="AI3040">
        <v>94.541457977978894</v>
      </c>
      <c r="AJ3040">
        <v>93.111144895789806</v>
      </c>
      <c r="AK3040">
        <v>13.967354297941</v>
      </c>
    </row>
    <row r="3041" spans="1:37" x14ac:dyDescent="0.2">
      <c r="A3041" t="str">
        <f>"20200111153709509"</f>
        <v>20200111153709509</v>
      </c>
      <c r="B3041" t="str">
        <f>"1578728229505780"</f>
        <v>1578728229505780</v>
      </c>
      <c r="C3041" t="s">
        <v>37</v>
      </c>
      <c r="D3041">
        <v>5.8164579999999999</v>
      </c>
      <c r="E3041">
        <v>0.47601539999999998</v>
      </c>
      <c r="F3041" t="s">
        <v>45</v>
      </c>
      <c r="G3041">
        <v>-376.19819999999999</v>
      </c>
      <c r="H3041" s="1">
        <v>1.761615E-6</v>
      </c>
      <c r="I3041">
        <v>215.2747</v>
      </c>
      <c r="J3041">
        <v>-390.16199999999998</v>
      </c>
      <c r="K3041">
        <v>1.1060889999999901</v>
      </c>
      <c r="L3041">
        <v>214.7276</v>
      </c>
      <c r="M3041">
        <v>0.99975439999999904</v>
      </c>
      <c r="N3041">
        <v>0</v>
      </c>
      <c r="O3041">
        <v>-1.64905999999999E-2</v>
      </c>
      <c r="P3041">
        <v>0.99950059999999996</v>
      </c>
      <c r="Q3041">
        <v>1.7786570000000002E-2</v>
      </c>
      <c r="R3041">
        <v>-2.612213E-2</v>
      </c>
      <c r="S3041">
        <v>3.00808699999999</v>
      </c>
      <c r="T3041">
        <v>-0.23079740000000001</v>
      </c>
      <c r="U3041">
        <v>0.112716699999999</v>
      </c>
      <c r="V3041">
        <v>9.4843649999999998E-3</v>
      </c>
      <c r="W3041">
        <v>3.2638299999999898E-2</v>
      </c>
      <c r="X3041">
        <v>0.99942229999999999</v>
      </c>
      <c r="Y3041">
        <v>-5.371459E-2</v>
      </c>
      <c r="Z3041">
        <v>3.3200479999999999E-3</v>
      </c>
      <c r="AA3041">
        <v>0.99855079999999996</v>
      </c>
      <c r="AB3041">
        <v>47</v>
      </c>
      <c r="AC3041">
        <v>13.9637999999999</v>
      </c>
      <c r="AD3041">
        <v>-1.10608723838499</v>
      </c>
      <c r="AE3041">
        <v>0.54710000000000003</v>
      </c>
      <c r="AF3041">
        <v>-0.772482841689759</v>
      </c>
      <c r="AG3041">
        <v>-1.10608723838499</v>
      </c>
      <c r="AH3041">
        <v>13.8660103885226</v>
      </c>
      <c r="AI3041">
        <v>94.553777231765693</v>
      </c>
      <c r="AJ3041">
        <v>93.188682326517295</v>
      </c>
      <c r="AK3041">
        <v>13.9314896121786</v>
      </c>
    </row>
    <row r="3042" spans="1:37" x14ac:dyDescent="0.2">
      <c r="A3042" t="str">
        <f>"20200111153709531"</f>
        <v>20200111153709531</v>
      </c>
      <c r="B3042" t="str">
        <f>"1578728229526276"</f>
        <v>1578728229526276</v>
      </c>
      <c r="C3042" t="s">
        <v>37</v>
      </c>
      <c r="D3042">
        <v>5.7434250000000002</v>
      </c>
      <c r="E3042">
        <v>0.47555370000000002</v>
      </c>
      <c r="F3042" t="s">
        <v>45</v>
      </c>
      <c r="G3042">
        <v>-375.90219999999999</v>
      </c>
      <c r="H3042" s="1">
        <v>1.604061E-6</v>
      </c>
      <c r="I3042">
        <v>215.21270000000001</v>
      </c>
      <c r="J3042">
        <v>-389.7022</v>
      </c>
      <c r="K3042">
        <v>1.1062069999999999</v>
      </c>
      <c r="L3042">
        <v>214.72130000000001</v>
      </c>
      <c r="M3042">
        <v>0.99978419999999901</v>
      </c>
      <c r="N3042">
        <v>0</v>
      </c>
      <c r="O3042">
        <v>-1.4576220000000001E-2</v>
      </c>
      <c r="P3042">
        <v>0.99949529999999998</v>
      </c>
      <c r="Q3042">
        <v>1.7349759999999999E-2</v>
      </c>
      <c r="R3042">
        <v>-2.6619569999999999E-2</v>
      </c>
      <c r="S3042">
        <v>3.0083310000000001</v>
      </c>
      <c r="T3042">
        <v>-0.23334669999999999</v>
      </c>
      <c r="U3042">
        <v>0.10234069999999899</v>
      </c>
      <c r="V3042">
        <v>1.188867E-2</v>
      </c>
      <c r="W3042">
        <v>3.2213180000000001E-2</v>
      </c>
      <c r="X3042">
        <v>0.99941029999999997</v>
      </c>
      <c r="Y3042">
        <v>-4.8376299999999997E-2</v>
      </c>
      <c r="Z3042">
        <v>3.00162E-3</v>
      </c>
      <c r="AA3042">
        <v>0.99882469999999901</v>
      </c>
      <c r="AB3042">
        <v>47</v>
      </c>
      <c r="AC3042">
        <v>13.8</v>
      </c>
      <c r="AD3042">
        <v>-1.1062053959389999</v>
      </c>
      <c r="AE3042">
        <v>0.49139999999999801</v>
      </c>
      <c r="AF3042">
        <v>-0.68810576740402496</v>
      </c>
      <c r="AG3042">
        <v>-1.1062053959389999</v>
      </c>
      <c r="AH3042">
        <v>13.703428863689201</v>
      </c>
      <c r="AI3042">
        <v>94.609395485903804</v>
      </c>
      <c r="AJ3042">
        <v>92.874643282641301</v>
      </c>
      <c r="AK3042">
        <v>13.765214947371099</v>
      </c>
    </row>
    <row r="3043" spans="1:37" x14ac:dyDescent="0.2">
      <c r="A3043" t="str">
        <f>"20200111153709553"</f>
        <v>20200111153709553</v>
      </c>
      <c r="B3043" t="str">
        <f>"1578728229545796"</f>
        <v>1578728229545796</v>
      </c>
      <c r="C3043" t="s">
        <v>37</v>
      </c>
      <c r="D3043">
        <v>5.7881499999999999</v>
      </c>
      <c r="E3043">
        <v>0.47535870000000002</v>
      </c>
      <c r="F3043" t="s">
        <v>45</v>
      </c>
      <c r="G3043">
        <v>-375.72140000000002</v>
      </c>
      <c r="H3043" s="1">
        <v>1.507878E-6</v>
      </c>
      <c r="I3043">
        <v>215.20400000000001</v>
      </c>
      <c r="J3043">
        <v>-389.21230000000003</v>
      </c>
      <c r="K3043">
        <v>1.1063019999999999</v>
      </c>
      <c r="L3043">
        <v>214.71549999999999</v>
      </c>
      <c r="M3043">
        <v>0.99981209999999898</v>
      </c>
      <c r="N3043">
        <v>0</v>
      </c>
      <c r="O3043">
        <v>-1.251391E-2</v>
      </c>
      <c r="P3043">
        <v>0.99955740000000004</v>
      </c>
      <c r="Q3043">
        <v>1.5853799999999901E-2</v>
      </c>
      <c r="R3043">
        <v>-2.5170350000000001E-2</v>
      </c>
      <c r="S3043">
        <v>3.0084230000000001</v>
      </c>
      <c r="T3043">
        <v>-0.23803589999999999</v>
      </c>
      <c r="U3043">
        <v>0.1038666</v>
      </c>
      <c r="V3043">
        <v>1.250048E-2</v>
      </c>
      <c r="W3043">
        <v>3.072095E-2</v>
      </c>
      <c r="X3043">
        <v>0.99944979999999894</v>
      </c>
      <c r="Y3043">
        <v>-4.6824570000000003E-2</v>
      </c>
      <c r="Z3043">
        <v>2.83746E-3</v>
      </c>
      <c r="AA3043">
        <v>0.99889910000000004</v>
      </c>
      <c r="AB3043">
        <v>47</v>
      </c>
      <c r="AC3043">
        <v>13.4909</v>
      </c>
      <c r="AD3043">
        <v>-1.1063004921220001</v>
      </c>
      <c r="AE3043">
        <v>0.48850000000001598</v>
      </c>
      <c r="AF3043">
        <v>-0.65291930195868297</v>
      </c>
      <c r="AG3043">
        <v>-1.1063004921220001</v>
      </c>
      <c r="AH3043">
        <v>13.3937802433648</v>
      </c>
      <c r="AI3043">
        <v>94.716227500247498</v>
      </c>
      <c r="AJ3043">
        <v>92.790842391437195</v>
      </c>
      <c r="AK3043">
        <v>13.4552426065564</v>
      </c>
    </row>
    <row r="3044" spans="1:37" x14ac:dyDescent="0.2">
      <c r="A3044" t="str">
        <f>"20200111153709578"</f>
        <v>20200111153709578</v>
      </c>
      <c r="B3044" t="str">
        <f>"1578728229566291"</f>
        <v>1578728229566291</v>
      </c>
      <c r="C3044" t="s">
        <v>37</v>
      </c>
      <c r="D3044">
        <v>5.8229050000000004</v>
      </c>
      <c r="E3044">
        <v>0.47502489999999897</v>
      </c>
      <c r="F3044" t="s">
        <v>45</v>
      </c>
      <c r="G3044">
        <v>-375.89479999999998</v>
      </c>
      <c r="H3044" s="1">
        <v>1.6001339999999901E-6</v>
      </c>
      <c r="I3044">
        <v>215.20079999999999</v>
      </c>
      <c r="J3044">
        <v>-388.71080000000001</v>
      </c>
      <c r="K3044">
        <v>1.106376</v>
      </c>
      <c r="L3044">
        <v>214.7106</v>
      </c>
      <c r="M3044">
        <v>0.99983630000000001</v>
      </c>
      <c r="N3044">
        <v>0</v>
      </c>
      <c r="O3044">
        <v>-1.040088E-2</v>
      </c>
      <c r="P3044">
        <v>0.9996176</v>
      </c>
      <c r="Q3044">
        <v>1.539977E-2</v>
      </c>
      <c r="R3044">
        <v>-2.2971640000000002E-2</v>
      </c>
      <c r="S3044">
        <v>3.0080259999999899</v>
      </c>
      <c r="T3044">
        <v>-0.24987970000000001</v>
      </c>
      <c r="U3044">
        <v>0.1096039</v>
      </c>
      <c r="V3044">
        <v>1.241023E-2</v>
      </c>
      <c r="W3044">
        <v>3.0265779999999999E-2</v>
      </c>
      <c r="X3044">
        <v>0.99946489999999999</v>
      </c>
      <c r="Y3044">
        <v>-4.6609999999999999E-2</v>
      </c>
      <c r="Z3044">
        <v>2.7943679999999898E-3</v>
      </c>
      <c r="AA3044">
        <v>0.99890919999999905</v>
      </c>
      <c r="AB3044">
        <v>47</v>
      </c>
      <c r="AC3044">
        <v>12.816000000000001</v>
      </c>
      <c r="AD3044">
        <v>-1.1063743998660001</v>
      </c>
      <c r="AE3044">
        <v>0.49019999999998698</v>
      </c>
      <c r="AF3044">
        <v>-0.61888032975246199</v>
      </c>
      <c r="AG3044">
        <v>-1.1063743998660001</v>
      </c>
      <c r="AH3044">
        <v>12.715583697896401</v>
      </c>
      <c r="AI3044">
        <v>94.966893603596503</v>
      </c>
      <c r="AJ3044">
        <v>92.786444734542002</v>
      </c>
      <c r="AK3044">
        <v>12.778620659266901</v>
      </c>
    </row>
    <row r="3045" spans="1:37" x14ac:dyDescent="0.2">
      <c r="A3045" t="str">
        <f>"20200111153709600"</f>
        <v>20200111153709600</v>
      </c>
      <c r="B3045" t="str">
        <f>"1578728229595572"</f>
        <v>1578728229595572</v>
      </c>
      <c r="C3045" t="s">
        <v>37</v>
      </c>
      <c r="D3045">
        <v>6.1746249999999998</v>
      </c>
      <c r="E3045">
        <v>0.47545949999999998</v>
      </c>
      <c r="F3045" t="s">
        <v>45</v>
      </c>
      <c r="G3045">
        <v>-375.82760000000002</v>
      </c>
      <c r="H3045" s="1">
        <v>1.5643549999999901E-6</v>
      </c>
      <c r="I3045">
        <v>215.21969999999999</v>
      </c>
      <c r="J3045">
        <v>-388.2373</v>
      </c>
      <c r="K3045">
        <v>1.1064069999999999</v>
      </c>
      <c r="L3045">
        <v>214.70699999999999</v>
      </c>
      <c r="M3045">
        <v>0.99985499999999905</v>
      </c>
      <c r="N3045">
        <v>0</v>
      </c>
      <c r="O3045">
        <v>-8.425063E-3</v>
      </c>
      <c r="P3045">
        <v>0.99966840000000001</v>
      </c>
      <c r="Q3045">
        <v>1.499782E-2</v>
      </c>
      <c r="R3045">
        <v>-2.0934959999999999E-2</v>
      </c>
      <c r="S3045">
        <v>3.0078740000000002</v>
      </c>
      <c r="T3045">
        <v>-0.25830839999999999</v>
      </c>
      <c r="U3045">
        <v>0.1188507</v>
      </c>
      <c r="V3045">
        <v>1.2347510000000001E-2</v>
      </c>
      <c r="W3045">
        <v>2.986256E-2</v>
      </c>
      <c r="X3045">
        <v>0.99947770000000002</v>
      </c>
      <c r="Y3045">
        <v>-4.7694170000000001E-2</v>
      </c>
      <c r="Z3045">
        <v>2.7653869999999998E-3</v>
      </c>
      <c r="AA3045">
        <v>0.99885820000000003</v>
      </c>
      <c r="AB3045">
        <v>47</v>
      </c>
      <c r="AC3045">
        <v>12.4096999999999</v>
      </c>
      <c r="AD3045">
        <v>-1.1064054356449999</v>
      </c>
      <c r="AE3045">
        <v>0.51269999999999505</v>
      </c>
      <c r="AF3045">
        <v>-0.61238626268996599</v>
      </c>
      <c r="AG3045">
        <v>-1.1064054356449999</v>
      </c>
      <c r="AH3045">
        <v>12.3072770704885</v>
      </c>
      <c r="AI3045">
        <v>95.130680701337496</v>
      </c>
      <c r="AJ3045">
        <v>92.848577635141993</v>
      </c>
      <c r="AK3045">
        <v>12.3720741515935</v>
      </c>
    </row>
    <row r="3046" spans="1:37" x14ac:dyDescent="0.2">
      <c r="A3046" t="str">
        <f>"20200111153709620"</f>
        <v>20200111153709620</v>
      </c>
      <c r="B3046" t="str">
        <f>"1578728229616069"</f>
        <v>1578728229616069</v>
      </c>
      <c r="C3046" t="s">
        <v>37</v>
      </c>
      <c r="D3046">
        <v>6.1603979999999998</v>
      </c>
      <c r="E3046">
        <v>0.47574909999999998</v>
      </c>
      <c r="F3046" t="s">
        <v>38</v>
      </c>
      <c r="G3046">
        <v>-387.10539999999997</v>
      </c>
      <c r="H3046">
        <v>1.011881</v>
      </c>
      <c r="I3046">
        <v>214.7527</v>
      </c>
      <c r="J3046">
        <v>-387.79520000000002</v>
      </c>
      <c r="K3046">
        <v>1.106412</v>
      </c>
      <c r="L3046">
        <v>214.7045</v>
      </c>
      <c r="M3046">
        <v>0.9998688</v>
      </c>
      <c r="N3046">
        <v>0</v>
      </c>
      <c r="O3046">
        <v>-6.6138050000000004E-3</v>
      </c>
      <c r="P3046">
        <v>0.99972309999999998</v>
      </c>
      <c r="Q3046">
        <v>1.386099E-2</v>
      </c>
      <c r="R3046">
        <v>-1.9024780000000002E-2</v>
      </c>
      <c r="S3046">
        <v>3.0073240000000001</v>
      </c>
      <c r="T3046">
        <v>-0.25139020000000001</v>
      </c>
      <c r="U3046">
        <v>0.1225281</v>
      </c>
      <c r="V3046">
        <v>1.22522999999999E-2</v>
      </c>
      <c r="W3046">
        <v>2.8722930000000001E-2</v>
      </c>
      <c r="X3046">
        <v>0.99951229999999902</v>
      </c>
      <c r="Y3046">
        <v>-4.7130459999999999E-2</v>
      </c>
      <c r="Z3046">
        <v>2.5173909999999999E-3</v>
      </c>
      <c r="AA3046">
        <v>0.99888559999999904</v>
      </c>
      <c r="AB3046">
        <v>47</v>
      </c>
      <c r="AC3046">
        <v>0.68980000000004704</v>
      </c>
      <c r="AD3046">
        <v>-9.4531000000000101E-2</v>
      </c>
      <c r="AE3046">
        <v>4.8200000000008403E-2</v>
      </c>
      <c r="AF3046">
        <v>-5.1793673441355798E-2</v>
      </c>
      <c r="AG3046">
        <v>-9.4531000000000101E-2</v>
      </c>
      <c r="AH3046">
        <v>0.67681703410690197</v>
      </c>
      <c r="AI3046">
        <v>97.928178184380101</v>
      </c>
      <c r="AJ3046">
        <v>94.376051736368296</v>
      </c>
      <c r="AK3046">
        <v>0.68534662195622797</v>
      </c>
    </row>
    <row r="3047" spans="1:37" x14ac:dyDescent="0.2">
      <c r="A3047" t="str">
        <f>"20200111153709645"</f>
        <v>20200111153709645</v>
      </c>
      <c r="B3047" t="str">
        <f>"1578728229635588"</f>
        <v>1578728229635588</v>
      </c>
      <c r="C3047" t="s">
        <v>37</v>
      </c>
      <c r="D3047">
        <v>5.8978440000000001</v>
      </c>
      <c r="E3047">
        <v>0.4757884</v>
      </c>
      <c r="F3047" t="s">
        <v>45</v>
      </c>
      <c r="G3047">
        <v>-374.45949999999999</v>
      </c>
      <c r="H3047" s="1">
        <v>8.3634059999999898E-7</v>
      </c>
      <c r="I3047">
        <v>215.2645</v>
      </c>
      <c r="J3047">
        <v>-387.29270000000002</v>
      </c>
      <c r="K3047">
        <v>1.1064000000000001</v>
      </c>
      <c r="L3047">
        <v>214.70269999999999</v>
      </c>
      <c r="M3047">
        <v>0.99988009999999905</v>
      </c>
      <c r="N3047">
        <v>0</v>
      </c>
      <c r="O3047">
        <v>-4.5974400000000004E-3</v>
      </c>
      <c r="P3047">
        <v>0.99980469999999899</v>
      </c>
      <c r="Q3047">
        <v>1.1617590000000001E-2</v>
      </c>
      <c r="R3047">
        <v>-1.5986790000000001E-2</v>
      </c>
      <c r="S3047">
        <v>3.006653</v>
      </c>
      <c r="T3047">
        <v>-0.24945000000000001</v>
      </c>
      <c r="U3047">
        <v>0.12623599999999999</v>
      </c>
      <c r="V3047">
        <v>1.124202E-2</v>
      </c>
      <c r="W3047">
        <v>2.6471209999999998E-2</v>
      </c>
      <c r="X3047">
        <v>0.99958630000000004</v>
      </c>
      <c r="Y3047">
        <v>-4.6367239999999997E-2</v>
      </c>
      <c r="Z3047">
        <v>2.2999739999999898E-3</v>
      </c>
      <c r="AA3047">
        <v>0.99892179999999997</v>
      </c>
      <c r="AB3047">
        <v>47</v>
      </c>
      <c r="AC3047">
        <v>12.8332</v>
      </c>
      <c r="AD3047">
        <v>-1.1063991636593999</v>
      </c>
      <c r="AE3047">
        <v>0.56180000000000496</v>
      </c>
      <c r="AF3047">
        <v>-0.61622882137492596</v>
      </c>
      <c r="AG3047">
        <v>-1.1063991636593999</v>
      </c>
      <c r="AH3047">
        <v>12.735997882602399</v>
      </c>
      <c r="AI3047">
        <v>94.959150849874604</v>
      </c>
      <c r="AJ3047">
        <v>92.770085007407701</v>
      </c>
      <c r="AK3047">
        <v>12.798808504516799</v>
      </c>
    </row>
    <row r="3048" spans="1:37" x14ac:dyDescent="0.2">
      <c r="A3048" t="str">
        <f>"20200111153709666"</f>
        <v>20200111153709666</v>
      </c>
      <c r="B3048" t="str">
        <f>"1578728229656086"</f>
        <v>1578728229656086</v>
      </c>
      <c r="C3048" t="s">
        <v>37</v>
      </c>
      <c r="D3048">
        <v>5.9929500000000004</v>
      </c>
      <c r="E3048">
        <v>0.47608210000000001</v>
      </c>
      <c r="F3048" t="s">
        <v>45</v>
      </c>
      <c r="G3048">
        <v>-374.15629999999999</v>
      </c>
      <c r="H3048" s="1">
        <v>6.7499669999999999E-7</v>
      </c>
      <c r="I3048">
        <v>215.29089999999999</v>
      </c>
      <c r="J3048">
        <v>-386.84699999999998</v>
      </c>
      <c r="K3048">
        <v>1.106385</v>
      </c>
      <c r="L3048">
        <v>214.70179999999999</v>
      </c>
      <c r="M3048">
        <v>0.99988670000000002</v>
      </c>
      <c r="N3048">
        <v>0</v>
      </c>
      <c r="O3048">
        <v>-2.8510020000000001E-3</v>
      </c>
      <c r="P3048">
        <v>0.99985499999999905</v>
      </c>
      <c r="Q3048">
        <v>1.0502360000000001E-2</v>
      </c>
      <c r="R3048">
        <v>-1.341433E-2</v>
      </c>
      <c r="S3048">
        <v>3.0056759999999998</v>
      </c>
      <c r="T3048">
        <v>-0.25315090000000001</v>
      </c>
      <c r="U3048">
        <v>0.13458249999999999</v>
      </c>
      <c r="V3048">
        <v>1.0422219999999999E-2</v>
      </c>
      <c r="W3048">
        <v>2.5348639999999999E-2</v>
      </c>
      <c r="X3048">
        <v>0.99962430000000002</v>
      </c>
      <c r="Y3048">
        <v>-4.7402E-2</v>
      </c>
      <c r="Z3048">
        <v>2.231289E-3</v>
      </c>
      <c r="AA3048">
        <v>0.99887340000000002</v>
      </c>
      <c r="AB3048">
        <v>47</v>
      </c>
      <c r="AC3048">
        <v>12.6906999999999</v>
      </c>
      <c r="AD3048">
        <v>-1.1063843250033001</v>
      </c>
      <c r="AE3048">
        <v>0.58910000000000196</v>
      </c>
      <c r="AF3048">
        <v>-0.62057623507047799</v>
      </c>
      <c r="AG3048">
        <v>-1.1063843250033001</v>
      </c>
      <c r="AH3048">
        <v>12.593458214756501</v>
      </c>
      <c r="AI3048">
        <v>95.0147126566483</v>
      </c>
      <c r="AJ3048">
        <v>92.821120298491195</v>
      </c>
      <c r="AK3048">
        <v>12.657187323610399</v>
      </c>
    </row>
    <row r="3049" spans="1:37" x14ac:dyDescent="0.2">
      <c r="A3049" t="str">
        <f>"20200111153709688"</f>
        <v>20200111153709688</v>
      </c>
      <c r="B3049" t="str">
        <f>"1578728229675603"</f>
        <v>1578728229675603</v>
      </c>
      <c r="C3049" t="s">
        <v>37</v>
      </c>
      <c r="D3049">
        <v>5.9947800000000004</v>
      </c>
      <c r="E3049">
        <v>0.47622059999999999</v>
      </c>
      <c r="F3049" t="s">
        <v>45</v>
      </c>
      <c r="G3049">
        <v>-373.66559999999998</v>
      </c>
      <c r="H3049" s="1">
        <v>4.138435E-7</v>
      </c>
      <c r="I3049">
        <v>215.3152</v>
      </c>
      <c r="J3049">
        <v>-386.38220000000001</v>
      </c>
      <c r="K3049">
        <v>1.106363</v>
      </c>
      <c r="L3049">
        <v>214.70179999999999</v>
      </c>
      <c r="M3049">
        <v>0.99988999999999995</v>
      </c>
      <c r="N3049">
        <v>0</v>
      </c>
      <c r="O3049">
        <v>-1.0835039999999899E-3</v>
      </c>
      <c r="P3049">
        <v>0.99988290000000002</v>
      </c>
      <c r="Q3049">
        <v>1.0452940000000001E-2</v>
      </c>
      <c r="R3049">
        <v>-1.117452E-2</v>
      </c>
      <c r="S3049">
        <v>3.0049440000000001</v>
      </c>
      <c r="T3049">
        <v>-0.25222099999999997</v>
      </c>
      <c r="U3049">
        <v>0.1398315</v>
      </c>
      <c r="V3049">
        <v>9.9510689999999999E-3</v>
      </c>
      <c r="W3049">
        <v>2.5292390000000001E-2</v>
      </c>
      <c r="X3049">
        <v>0.99963060000000004</v>
      </c>
      <c r="Y3049">
        <v>-4.7395850000000003E-2</v>
      </c>
      <c r="Z3049">
        <v>2.075281E-3</v>
      </c>
      <c r="AA3049">
        <v>0.99887399999999904</v>
      </c>
      <c r="AB3049">
        <v>47</v>
      </c>
      <c r="AC3049">
        <v>12.7166</v>
      </c>
      <c r="AD3049">
        <v>-1.1063625861565001</v>
      </c>
      <c r="AE3049">
        <v>0.61340000000001205</v>
      </c>
      <c r="AF3049">
        <v>-0.62247887273927105</v>
      </c>
      <c r="AG3049">
        <v>-1.1063625861565001</v>
      </c>
      <c r="AH3049">
        <v>12.620620937998901</v>
      </c>
      <c r="AI3049">
        <v>95.003865836064904</v>
      </c>
      <c r="AJ3049">
        <v>92.823675120895501</v>
      </c>
      <c r="AK3049">
        <v>12.6843049072351</v>
      </c>
    </row>
    <row r="3050" spans="1:37" x14ac:dyDescent="0.2">
      <c r="A3050" t="str">
        <f>"20200111153709709"</f>
        <v>20200111153709709</v>
      </c>
      <c r="B3050" t="str">
        <f>"1578728229705859"</f>
        <v>1578728229705859</v>
      </c>
      <c r="C3050" t="s">
        <v>37</v>
      </c>
      <c r="D3050">
        <v>6.0081660000000001</v>
      </c>
      <c r="E3050">
        <v>0.47633619999999999</v>
      </c>
      <c r="F3050" t="s">
        <v>45</v>
      </c>
      <c r="G3050">
        <v>-373.11950000000002</v>
      </c>
      <c r="H3050" s="1">
        <v>1.23276199999999E-7</v>
      </c>
      <c r="I3050">
        <v>215.34360000000001</v>
      </c>
      <c r="J3050">
        <v>-385.92419999999998</v>
      </c>
      <c r="K3050">
        <v>1.1063350000000001</v>
      </c>
      <c r="L3050">
        <v>214.70240000000001</v>
      </c>
      <c r="M3050">
        <v>0.99989059999999896</v>
      </c>
      <c r="N3050">
        <v>0</v>
      </c>
      <c r="O3050">
        <v>5.9574370000000005E-4</v>
      </c>
      <c r="P3050">
        <v>0.99990029999999996</v>
      </c>
      <c r="Q3050">
        <v>1.0353670000000001E-2</v>
      </c>
      <c r="R3050">
        <v>-9.6124319999999902E-3</v>
      </c>
      <c r="S3050">
        <v>3.0046080000000002</v>
      </c>
      <c r="T3050">
        <v>-0.25064320000000001</v>
      </c>
      <c r="U3050">
        <v>0.145401</v>
      </c>
      <c r="V3050">
        <v>1.007065E-2</v>
      </c>
      <c r="W3050">
        <v>2.5189900000000001E-2</v>
      </c>
      <c r="X3050">
        <v>0.99963189999999902</v>
      </c>
      <c r="Y3050">
        <v>-4.7578179999999998E-2</v>
      </c>
      <c r="Z3050">
        <v>1.9302970000000001E-3</v>
      </c>
      <c r="AA3050">
        <v>0.99886569999999997</v>
      </c>
      <c r="AB3050">
        <v>47</v>
      </c>
      <c r="AC3050">
        <v>12.804699999999899</v>
      </c>
      <c r="AD3050">
        <v>-1.1063348767237999</v>
      </c>
      <c r="AE3050">
        <v>0.64119999999999699</v>
      </c>
      <c r="AF3050">
        <v>-0.62888777948868801</v>
      </c>
      <c r="AG3050">
        <v>-1.1063348767237999</v>
      </c>
      <c r="AH3050">
        <v>12.710432710620699</v>
      </c>
      <c r="AI3050">
        <v>94.968524445507001</v>
      </c>
      <c r="AJ3050">
        <v>92.832575090739198</v>
      </c>
      <c r="AK3050">
        <v>12.773980444241399</v>
      </c>
    </row>
    <row r="3051" spans="1:37" x14ac:dyDescent="0.2">
      <c r="A3051" t="str">
        <f>"20200111153709734"</f>
        <v>20200111153709734</v>
      </c>
      <c r="B3051" t="str">
        <f>"1578728229726355"</f>
        <v>1578728229726355</v>
      </c>
      <c r="C3051" t="s">
        <v>37</v>
      </c>
      <c r="D3051">
        <v>5.9547619999999997</v>
      </c>
      <c r="E3051">
        <v>0.47673739999999998</v>
      </c>
      <c r="F3051" t="s">
        <v>45</v>
      </c>
      <c r="G3051">
        <v>-372.7509</v>
      </c>
      <c r="H3051" s="1">
        <v>-7.2897849999999994E-8</v>
      </c>
      <c r="I3051">
        <v>215.35390000000001</v>
      </c>
      <c r="J3051">
        <v>-385.43009999999998</v>
      </c>
      <c r="K3051">
        <v>1.106298</v>
      </c>
      <c r="L3051">
        <v>214.7039</v>
      </c>
      <c r="M3051">
        <v>0.99988809999999995</v>
      </c>
      <c r="N3051">
        <v>0</v>
      </c>
      <c r="O3051">
        <v>2.3334419999999998E-3</v>
      </c>
      <c r="P3051">
        <v>0.99990990000000002</v>
      </c>
      <c r="Q3051">
        <v>1.07966E-2</v>
      </c>
      <c r="R3051">
        <v>-7.9854709999999992E-3</v>
      </c>
      <c r="S3051">
        <v>3.0043329999999999</v>
      </c>
      <c r="T3051">
        <v>-0.25231399999999998</v>
      </c>
      <c r="U3051">
        <v>0.14857479999999901</v>
      </c>
      <c r="V3051">
        <v>1.018199E-2</v>
      </c>
      <c r="W3051">
        <v>2.5628450000000001E-2</v>
      </c>
      <c r="X3051">
        <v>0.9996197</v>
      </c>
      <c r="Y3051">
        <v>-4.6905639999999998E-2</v>
      </c>
      <c r="Z3051">
        <v>1.7694659999999999E-3</v>
      </c>
      <c r="AA3051">
        <v>0.998897699999999</v>
      </c>
      <c r="AB3051">
        <v>47</v>
      </c>
      <c r="AC3051">
        <v>12.6791999999999</v>
      </c>
      <c r="AD3051">
        <v>-1.10629807289785</v>
      </c>
      <c r="AE3051">
        <v>0.65000000000000502</v>
      </c>
      <c r="AF3051">
        <v>-0.61573347847286197</v>
      </c>
      <c r="AG3051">
        <v>-1.10629807289785</v>
      </c>
      <c r="AH3051">
        <v>12.5851219323861</v>
      </c>
      <c r="AI3051">
        <v>95.017714319876802</v>
      </c>
      <c r="AJ3051">
        <v>92.800991603421807</v>
      </c>
      <c r="AK3051">
        <v>12.6486488288526</v>
      </c>
    </row>
    <row r="3052" spans="1:37" x14ac:dyDescent="0.2">
      <c r="A3052" t="str">
        <f>"20200111153709755"</f>
        <v>20200111153709755</v>
      </c>
      <c r="B3052" t="str">
        <f>"1578728229745875"</f>
        <v>1578728229745875</v>
      </c>
      <c r="C3052" t="s">
        <v>37</v>
      </c>
      <c r="D3052">
        <v>5.976515</v>
      </c>
      <c r="E3052">
        <v>0.47711579999999898</v>
      </c>
      <c r="F3052" t="s">
        <v>45</v>
      </c>
      <c r="G3052">
        <v>-372.01990000000001</v>
      </c>
      <c r="H3052" s="1">
        <v>-4.6189649999999998E-7</v>
      </c>
      <c r="I3052">
        <v>215.37440000000001</v>
      </c>
      <c r="J3052">
        <v>-384.97120000000001</v>
      </c>
      <c r="K3052">
        <v>1.1062559999999999</v>
      </c>
      <c r="L3052">
        <v>214.70609999999999</v>
      </c>
      <c r="M3052">
        <v>0.99988330000000003</v>
      </c>
      <c r="N3052">
        <v>0</v>
      </c>
      <c r="O3052">
        <v>3.8752439999999999E-3</v>
      </c>
      <c r="P3052">
        <v>0.99991669999999999</v>
      </c>
      <c r="Q3052">
        <v>1.0925219999999999E-2</v>
      </c>
      <c r="R3052">
        <v>-6.8902059999999899E-3</v>
      </c>
      <c r="S3052">
        <v>3.0041199999999999</v>
      </c>
      <c r="T3052">
        <v>-0.2478312</v>
      </c>
      <c r="U3052">
        <v>0.150192299999999</v>
      </c>
      <c r="V3052">
        <v>1.063154E-2</v>
      </c>
      <c r="W3052">
        <v>2.5754289999999999E-2</v>
      </c>
      <c r="X3052">
        <v>0.99961180000000005</v>
      </c>
      <c r="Y3052">
        <v>-4.5919389999999997E-2</v>
      </c>
      <c r="Z3052">
        <v>1.5707399999999999E-3</v>
      </c>
      <c r="AA3052">
        <v>0.9989439</v>
      </c>
      <c r="AB3052">
        <v>47</v>
      </c>
      <c r="AC3052">
        <v>12.9513</v>
      </c>
      <c r="AD3052">
        <v>-1.1062564618964901</v>
      </c>
      <c r="AE3052">
        <v>0.66830000000001599</v>
      </c>
      <c r="AF3052">
        <v>-0.61363486079904495</v>
      </c>
      <c r="AG3052">
        <v>-1.1062564618964901</v>
      </c>
      <c r="AH3052">
        <v>12.860213868239599</v>
      </c>
      <c r="AI3052">
        <v>94.911012534640705</v>
      </c>
      <c r="AJ3052">
        <v>92.731839564444101</v>
      </c>
      <c r="AK3052">
        <v>12.9222850858018</v>
      </c>
    </row>
    <row r="3053" spans="1:37" x14ac:dyDescent="0.2">
      <c r="A3053" t="str">
        <f>"20200111153709777"</f>
        <v>20200111153709777</v>
      </c>
      <c r="B3053" t="str">
        <f>"1578728229766371"</f>
        <v>1578728229766371</v>
      </c>
      <c r="C3053" t="s">
        <v>37</v>
      </c>
      <c r="D3053">
        <v>5.977233</v>
      </c>
      <c r="E3053">
        <v>0.47789149999999903</v>
      </c>
      <c r="F3053" t="s">
        <v>45</v>
      </c>
      <c r="G3053">
        <v>-371.32929999999999</v>
      </c>
      <c r="H3053" s="1">
        <v>-8.2938619999999997E-7</v>
      </c>
      <c r="I3053">
        <v>215.3904</v>
      </c>
      <c r="J3053">
        <v>-384.50790000000001</v>
      </c>
      <c r="K3053">
        <v>1.1062069999999999</v>
      </c>
      <c r="L3053">
        <v>214.7089</v>
      </c>
      <c r="M3053">
        <v>0.9998766</v>
      </c>
      <c r="N3053">
        <v>0</v>
      </c>
      <c r="O3053">
        <v>5.3603000000000001E-3</v>
      </c>
      <c r="P3053">
        <v>0.99991759999999996</v>
      </c>
      <c r="Q3053">
        <v>1.0691839999999999E-2</v>
      </c>
      <c r="R3053">
        <v>-7.0965739999999996E-3</v>
      </c>
      <c r="S3053">
        <v>3.0039370000000001</v>
      </c>
      <c r="T3053">
        <v>-0.24359810000000001</v>
      </c>
      <c r="U3053">
        <v>0.15069579999999999</v>
      </c>
      <c r="V3053">
        <v>1.2328240000000001E-2</v>
      </c>
      <c r="W3053">
        <v>2.5523580000000001E-2</v>
      </c>
      <c r="X3053">
        <v>0.99959819999999999</v>
      </c>
      <c r="Y3053">
        <v>-4.4619680000000002E-2</v>
      </c>
      <c r="Z3053">
        <v>1.371347E-3</v>
      </c>
      <c r="AA3053">
        <v>0.99900309999999903</v>
      </c>
      <c r="AB3053">
        <v>47</v>
      </c>
      <c r="AC3053">
        <v>13.178599999999999</v>
      </c>
      <c r="AD3053">
        <v>-1.1062078293862001</v>
      </c>
      <c r="AE3053">
        <v>0.681499999999999</v>
      </c>
      <c r="AF3053">
        <v>-0.60657877529606696</v>
      </c>
      <c r="AG3053">
        <v>-1.1062078293862001</v>
      </c>
      <c r="AH3053">
        <v>13.0900790032457</v>
      </c>
      <c r="AI3053">
        <v>94.825283844816099</v>
      </c>
      <c r="AJ3053">
        <v>92.653120724274203</v>
      </c>
      <c r="AK3053">
        <v>13.1507338914468</v>
      </c>
    </row>
    <row r="3054" spans="1:37" x14ac:dyDescent="0.2">
      <c r="A3054" t="str">
        <f>"20200111153709800"</f>
        <v>20200111153709800</v>
      </c>
      <c r="B3054" t="str">
        <f>"1578728229795652"</f>
        <v>1578728229795652</v>
      </c>
      <c r="C3054" t="s">
        <v>37</v>
      </c>
      <c r="D3054">
        <v>5.9431070000000004</v>
      </c>
      <c r="E3054">
        <v>0.47820509999999899</v>
      </c>
      <c r="F3054" t="s">
        <v>45</v>
      </c>
      <c r="G3054">
        <v>-370.42829999999998</v>
      </c>
      <c r="H3054" s="1">
        <v>-1.3088549999999999E-6</v>
      </c>
      <c r="I3054">
        <v>215.3861</v>
      </c>
      <c r="J3054">
        <v>-384.04320000000001</v>
      </c>
      <c r="K3054">
        <v>1.10615</v>
      </c>
      <c r="L3054">
        <v>214.7124</v>
      </c>
      <c r="M3054">
        <v>0.99986799999999998</v>
      </c>
      <c r="N3054">
        <v>0</v>
      </c>
      <c r="O3054">
        <v>6.7758840000000002E-3</v>
      </c>
      <c r="P3054">
        <v>0.9999152</v>
      </c>
      <c r="Q3054">
        <v>1.0950980000000001E-2</v>
      </c>
      <c r="R3054">
        <v>-7.0811549999999996E-3</v>
      </c>
      <c r="S3054">
        <v>3.0037539999999998</v>
      </c>
      <c r="T3054">
        <v>-0.2359993</v>
      </c>
      <c r="U3054">
        <v>0.14447019999999999</v>
      </c>
      <c r="V3054">
        <v>1.373137E-2</v>
      </c>
      <c r="W3054">
        <v>2.578337E-2</v>
      </c>
      <c r="X3054">
        <v>0.99957320000000005</v>
      </c>
      <c r="Y3054">
        <v>-4.1165399999999998E-2</v>
      </c>
      <c r="Z3054">
        <v>1.0824509999999999E-3</v>
      </c>
      <c r="AA3054">
        <v>0.99915180000000003</v>
      </c>
      <c r="AB3054">
        <v>47</v>
      </c>
      <c r="AC3054">
        <v>13.6149</v>
      </c>
      <c r="AD3054">
        <v>-1.1061513088549999</v>
      </c>
      <c r="AE3054">
        <v>0.67369999999999597</v>
      </c>
      <c r="AF3054">
        <v>-0.57761802753966696</v>
      </c>
      <c r="AG3054">
        <v>-1.1061513088549999</v>
      </c>
      <c r="AH3054">
        <v>13.530060970151499</v>
      </c>
      <c r="AI3054">
        <v>94.669592265531406</v>
      </c>
      <c r="AJ3054">
        <v>92.444555959745102</v>
      </c>
      <c r="AK3054">
        <v>13.587485534852901</v>
      </c>
    </row>
    <row r="3055" spans="1:37" x14ac:dyDescent="0.2">
      <c r="A3055" t="str">
        <f>"20200111153709822"</f>
        <v>20200111153709822</v>
      </c>
      <c r="B3055" t="str">
        <f>"1578728229816147"</f>
        <v>1578728229816147</v>
      </c>
      <c r="C3055" t="s">
        <v>37</v>
      </c>
      <c r="D3055">
        <v>6.1589410000000004</v>
      </c>
      <c r="E3055">
        <v>0.4784371</v>
      </c>
      <c r="F3055" t="s">
        <v>38</v>
      </c>
      <c r="G3055">
        <v>-382.91269999999997</v>
      </c>
      <c r="H3055">
        <v>1.016769</v>
      </c>
      <c r="I3055">
        <v>214.7655</v>
      </c>
      <c r="J3055">
        <v>-383.589</v>
      </c>
      <c r="K3055">
        <v>1.106088</v>
      </c>
      <c r="L3055">
        <v>214.71639999999999</v>
      </c>
      <c r="M3055">
        <v>0.99985840000000004</v>
      </c>
      <c r="N3055">
        <v>0</v>
      </c>
      <c r="O3055">
        <v>8.0828250000000001E-3</v>
      </c>
      <c r="P3055">
        <v>0.99990610000000002</v>
      </c>
      <c r="Q3055">
        <v>1.2153250000000001E-2</v>
      </c>
      <c r="R3055">
        <v>-6.3511089999999997E-3</v>
      </c>
      <c r="S3055">
        <v>3.0038149999999999</v>
      </c>
      <c r="T3055">
        <v>-0.23751259999999999</v>
      </c>
      <c r="U3055">
        <v>0.14144899999999999</v>
      </c>
      <c r="V3055">
        <v>1.430728E-2</v>
      </c>
      <c r="W3055">
        <v>2.6982200000000001E-2</v>
      </c>
      <c r="X3055">
        <v>0.99953349999999996</v>
      </c>
      <c r="Y3055">
        <v>-3.8865509999999999E-2</v>
      </c>
      <c r="Z3055">
        <v>8.9551629999999995E-4</v>
      </c>
      <c r="AA3055">
        <v>0.99924400000000002</v>
      </c>
      <c r="AB3055">
        <v>47</v>
      </c>
      <c r="AC3055">
        <v>0.67630000000002599</v>
      </c>
      <c r="AD3055">
        <v>-8.9318999999999898E-2</v>
      </c>
      <c r="AE3055">
        <v>4.91000000000099E-2</v>
      </c>
      <c r="AF3055">
        <v>-4.2887246787668698E-2</v>
      </c>
      <c r="AG3055">
        <v>-8.9318999999999898E-2</v>
      </c>
      <c r="AH3055">
        <v>0.66513403719904096</v>
      </c>
      <c r="AI3055">
        <v>97.632672868183604</v>
      </c>
      <c r="AJ3055">
        <v>93.689273399121603</v>
      </c>
      <c r="AK3055">
        <v>0.67247340998638905</v>
      </c>
    </row>
    <row r="3056" spans="1:37" x14ac:dyDescent="0.2">
      <c r="A3056" t="str">
        <f>"20200111153709845"</f>
        <v>20200111153709845</v>
      </c>
      <c r="B3056" t="str">
        <f>"1578728229835668"</f>
        <v>1578728229835668</v>
      </c>
      <c r="C3056" t="s">
        <v>37</v>
      </c>
      <c r="D3056">
        <v>5.9263129999999897</v>
      </c>
      <c r="E3056">
        <v>0.4786417</v>
      </c>
      <c r="F3056" t="s">
        <v>38</v>
      </c>
      <c r="G3056">
        <v>-382.4846</v>
      </c>
      <c r="H3056">
        <v>1.020049</v>
      </c>
      <c r="I3056">
        <v>214.7681</v>
      </c>
      <c r="J3056">
        <v>-383.09820000000002</v>
      </c>
      <c r="K3056">
        <v>1.1060140000000001</v>
      </c>
      <c r="L3056">
        <v>214.72139999999999</v>
      </c>
      <c r="M3056">
        <v>0.99984649999999997</v>
      </c>
      <c r="N3056">
        <v>0</v>
      </c>
      <c r="O3056">
        <v>9.4270550000000002E-3</v>
      </c>
      <c r="P3056">
        <v>0.99988149999999998</v>
      </c>
      <c r="Q3056">
        <v>1.445635E-2</v>
      </c>
      <c r="R3056">
        <v>-5.29625199999999E-3</v>
      </c>
      <c r="S3056">
        <v>3.0039980000000002</v>
      </c>
      <c r="T3056">
        <v>-0.2341174</v>
      </c>
      <c r="U3056">
        <v>0.14144899999999999</v>
      </c>
      <c r="V3056">
        <v>1.459159E-2</v>
      </c>
      <c r="W3056">
        <v>2.927869E-2</v>
      </c>
      <c r="X3056">
        <v>0.99946480000000004</v>
      </c>
      <c r="Y3056">
        <v>-3.7530040000000001E-2</v>
      </c>
      <c r="Z3056">
        <v>7.2622349999999997E-4</v>
      </c>
      <c r="AA3056">
        <v>0.99929519999999905</v>
      </c>
      <c r="AB3056">
        <v>47</v>
      </c>
      <c r="AC3056">
        <v>0.61360000000001902</v>
      </c>
      <c r="AD3056">
        <v>-8.5965E-2</v>
      </c>
      <c r="AE3056">
        <v>4.67000000000155E-2</v>
      </c>
      <c r="AF3056">
        <v>-4.0129728632769902E-2</v>
      </c>
      <c r="AG3056">
        <v>-8.5965E-2</v>
      </c>
      <c r="AH3056">
        <v>0.60226003161193398</v>
      </c>
      <c r="AI3056">
        <v>98.105641617941103</v>
      </c>
      <c r="AJ3056">
        <v>93.812091512059197</v>
      </c>
      <c r="AK3056">
        <v>0.60968641285692704</v>
      </c>
    </row>
    <row r="3057" spans="1:37" x14ac:dyDescent="0.2">
      <c r="A3057" t="str">
        <f>"20200111153709867"</f>
        <v>20200111153709867</v>
      </c>
      <c r="B3057" t="str">
        <f>"1578728229856163"</f>
        <v>1578728229856163</v>
      </c>
      <c r="C3057" t="s">
        <v>37</v>
      </c>
      <c r="D3057">
        <v>5.9249299999999998</v>
      </c>
      <c r="E3057">
        <v>0.47876639999999998</v>
      </c>
      <c r="F3057" t="s">
        <v>45</v>
      </c>
      <c r="G3057">
        <v>-368.38959999999997</v>
      </c>
      <c r="H3057" s="1">
        <v>2.9277429999999899E-6</v>
      </c>
      <c r="I3057">
        <v>215.42099999999999</v>
      </c>
      <c r="J3057">
        <v>-382.62880000000001</v>
      </c>
      <c r="K3057">
        <v>1.105942</v>
      </c>
      <c r="L3057">
        <v>214.7268</v>
      </c>
      <c r="M3057">
        <v>0.99983440000000001</v>
      </c>
      <c r="N3057">
        <v>0</v>
      </c>
      <c r="O3057">
        <v>1.064818E-2</v>
      </c>
      <c r="P3057">
        <v>0.99985840000000004</v>
      </c>
      <c r="Q3057">
        <v>1.6370929999999999E-2</v>
      </c>
      <c r="R3057">
        <v>-3.8990409999999998E-3</v>
      </c>
      <c r="S3057">
        <v>3.0043950000000001</v>
      </c>
      <c r="T3057">
        <v>-0.22591509999999901</v>
      </c>
      <c r="U3057">
        <v>0.14289859999999999</v>
      </c>
      <c r="V3057">
        <v>1.441245E-2</v>
      </c>
      <c r="W3057">
        <v>3.118516E-2</v>
      </c>
      <c r="X3057">
        <v>0.99940969999999996</v>
      </c>
      <c r="Y3057">
        <v>-3.6795830000000002E-2</v>
      </c>
      <c r="Z3057">
        <v>5.815665E-4</v>
      </c>
      <c r="AA3057">
        <v>0.99932269999999901</v>
      </c>
      <c r="AB3057">
        <v>47</v>
      </c>
      <c r="AC3057">
        <v>14.2392</v>
      </c>
      <c r="AD3057">
        <v>-1.1059390722569999</v>
      </c>
      <c r="AE3057">
        <v>0.69419999999999404</v>
      </c>
      <c r="AF3057">
        <v>-0.53927712703156605</v>
      </c>
      <c r="AG3057">
        <v>-1.1059390722569999</v>
      </c>
      <c r="AH3057">
        <v>14.160565469166499</v>
      </c>
      <c r="AI3057">
        <v>94.462509193916503</v>
      </c>
      <c r="AJ3057">
        <v>92.180942489805005</v>
      </c>
      <c r="AK3057">
        <v>14.213920481620701</v>
      </c>
    </row>
    <row r="3058" spans="1:37" x14ac:dyDescent="0.2">
      <c r="A3058" t="str">
        <f>"20200111153709889"</f>
        <v>20200111153709889</v>
      </c>
      <c r="B3058" t="str">
        <f>"1578728229886419"</f>
        <v>1578728229886419</v>
      </c>
      <c r="C3058" t="s">
        <v>37</v>
      </c>
      <c r="D3058">
        <v>5.9064819999999996</v>
      </c>
      <c r="E3058">
        <v>0.47884389999999999</v>
      </c>
      <c r="F3058" t="s">
        <v>45</v>
      </c>
      <c r="G3058">
        <v>-367.4615</v>
      </c>
      <c r="H3058" s="1">
        <v>2.4338829999999999E-6</v>
      </c>
      <c r="I3058">
        <v>215.46420000000001</v>
      </c>
      <c r="J3058">
        <v>-382.17489999999998</v>
      </c>
      <c r="K3058">
        <v>1.105864</v>
      </c>
      <c r="L3058">
        <v>214.73249999999999</v>
      </c>
      <c r="M3058">
        <v>0.99982209999999905</v>
      </c>
      <c r="N3058">
        <v>0</v>
      </c>
      <c r="O3058">
        <v>1.1765279999999999E-2</v>
      </c>
      <c r="P3058">
        <v>0.99987239999999999</v>
      </c>
      <c r="Q3058">
        <v>1.5850349999999999E-2</v>
      </c>
      <c r="R3058">
        <v>-2.061106E-3</v>
      </c>
      <c r="S3058">
        <v>3.0046080000000002</v>
      </c>
      <c r="T3058">
        <v>-0.21908520000000001</v>
      </c>
      <c r="U3058">
        <v>0.14607239999999999</v>
      </c>
      <c r="V3058">
        <v>1.3699879999999999E-2</v>
      </c>
      <c r="W3058">
        <v>3.065613E-2</v>
      </c>
      <c r="X3058">
        <v>0.99943609999999905</v>
      </c>
      <c r="Y3058">
        <v>-3.6736600000000001E-2</v>
      </c>
      <c r="Z3058">
        <v>4.805306E-4</v>
      </c>
      <c r="AA3058">
        <v>0.99932489999999996</v>
      </c>
      <c r="AB3058">
        <v>47</v>
      </c>
      <c r="AC3058">
        <v>14.713399999999901</v>
      </c>
      <c r="AD3058">
        <v>-1.1058615661169999</v>
      </c>
      <c r="AE3058">
        <v>0.731700000000017</v>
      </c>
      <c r="AF3058">
        <v>-0.55539355356586195</v>
      </c>
      <c r="AG3058">
        <v>-1.1058615661169999</v>
      </c>
      <c r="AH3058">
        <v>14.63850137971</v>
      </c>
      <c r="AI3058">
        <v>94.317093618786899</v>
      </c>
      <c r="AJ3058">
        <v>92.172794190845494</v>
      </c>
      <c r="AK3058">
        <v>14.6907152462543</v>
      </c>
    </row>
    <row r="3059" spans="1:37" x14ac:dyDescent="0.2">
      <c r="A3059" t="str">
        <f>"20200111153709910"</f>
        <v>20200111153709910</v>
      </c>
      <c r="B3059" t="str">
        <f>"1578728229905940"</f>
        <v>1578728229905940</v>
      </c>
      <c r="C3059" t="s">
        <v>37</v>
      </c>
      <c r="D3059">
        <v>5.9475530000000001</v>
      </c>
      <c r="E3059">
        <v>0.4789678</v>
      </c>
      <c r="F3059" t="s">
        <v>45</v>
      </c>
      <c r="G3059">
        <v>-367.19569999999999</v>
      </c>
      <c r="H3059" s="1">
        <v>2.2923909999999998E-6</v>
      </c>
      <c r="I3059">
        <v>215.48589999999999</v>
      </c>
      <c r="J3059">
        <v>-381.72390000000001</v>
      </c>
      <c r="K3059">
        <v>1.1057809999999999</v>
      </c>
      <c r="L3059">
        <v>214.73859999999999</v>
      </c>
      <c r="M3059">
        <v>0.99980910000000001</v>
      </c>
      <c r="N3059">
        <v>0</v>
      </c>
      <c r="O3059">
        <v>1.281187E-2</v>
      </c>
      <c r="P3059">
        <v>0.99987999999999899</v>
      </c>
      <c r="Q3059">
        <v>1.548534E-2</v>
      </c>
      <c r="R3059">
        <v>-5.9574059999999997E-4</v>
      </c>
      <c r="S3059">
        <v>3.0042110000000002</v>
      </c>
      <c r="T3059">
        <v>-0.2217895</v>
      </c>
      <c r="U3059">
        <v>0.15110779999999999</v>
      </c>
      <c r="V3059">
        <v>1.3288660000000001E-2</v>
      </c>
      <c r="W3059">
        <v>3.0283419999999998E-2</v>
      </c>
      <c r="X3059">
        <v>0.99945300000000004</v>
      </c>
      <c r="Y3059">
        <v>-3.7367289999999997E-2</v>
      </c>
      <c r="Z3059">
        <v>4.3262249999999997E-4</v>
      </c>
      <c r="AA3059">
        <v>0.99930149999999995</v>
      </c>
      <c r="AB3059">
        <v>47</v>
      </c>
      <c r="AC3059">
        <v>14.5282</v>
      </c>
      <c r="AD3059">
        <v>-1.105778707609</v>
      </c>
      <c r="AE3059">
        <v>0.74729999999999497</v>
      </c>
      <c r="AF3059">
        <v>-0.55786175144787997</v>
      </c>
      <c r="AG3059">
        <v>-1.105778707609</v>
      </c>
      <c r="AH3059">
        <v>14.453075177238899</v>
      </c>
      <c r="AI3059">
        <v>94.371830741426194</v>
      </c>
      <c r="AJ3059">
        <v>92.210412983625403</v>
      </c>
      <c r="AK3059">
        <v>14.506044890419</v>
      </c>
    </row>
    <row r="3060" spans="1:37" x14ac:dyDescent="0.2">
      <c r="A3060" t="str">
        <f>"20200111153709933"</f>
        <v>20200111153709933</v>
      </c>
      <c r="B3060" t="str">
        <f>"1578728229926436"</f>
        <v>1578728229926436</v>
      </c>
      <c r="C3060" t="s">
        <v>37</v>
      </c>
      <c r="D3060">
        <v>5.9579940000000002</v>
      </c>
      <c r="E3060">
        <v>0.47936479999999998</v>
      </c>
      <c r="F3060" t="s">
        <v>45</v>
      </c>
      <c r="G3060">
        <v>-366.68680000000001</v>
      </c>
      <c r="H3060" s="1">
        <v>2.02158199999999E-6</v>
      </c>
      <c r="I3060">
        <v>215.51390000000001</v>
      </c>
      <c r="J3060">
        <v>-381.2432</v>
      </c>
      <c r="K3060">
        <v>1.1056790000000001</v>
      </c>
      <c r="L3060">
        <v>214.74549999999999</v>
      </c>
      <c r="M3060">
        <v>0.99979530000000005</v>
      </c>
      <c r="N3060">
        <v>0</v>
      </c>
      <c r="O3060">
        <v>1.385844E-2</v>
      </c>
      <c r="P3060">
        <v>0.99987879999999996</v>
      </c>
      <c r="Q3060">
        <v>1.5585069999999999E-2</v>
      </c>
      <c r="R3060">
        <v>-1.8082379999999999E-4</v>
      </c>
      <c r="S3060">
        <v>3.0039370000000001</v>
      </c>
      <c r="T3060">
        <v>-0.2208996</v>
      </c>
      <c r="U3060">
        <v>0.15487670000000001</v>
      </c>
      <c r="V3060">
        <v>1.3926269999999999E-2</v>
      </c>
      <c r="W3060">
        <v>3.0378260000000001E-2</v>
      </c>
      <c r="X3060">
        <v>0.99944140000000004</v>
      </c>
      <c r="Y3060">
        <v>-3.7579149999999999E-2</v>
      </c>
      <c r="Z3060">
        <v>3.6189540000000002E-4</v>
      </c>
      <c r="AA3060">
        <v>0.9992936</v>
      </c>
      <c r="AB3060">
        <v>47</v>
      </c>
      <c r="AC3060">
        <v>14.556399999999901</v>
      </c>
      <c r="AD3060">
        <v>-1.1056769784180001</v>
      </c>
      <c r="AE3060">
        <v>0.76840000000001396</v>
      </c>
      <c r="AF3060">
        <v>-0.56333407279268699</v>
      </c>
      <c r="AG3060">
        <v>-1.1056769784180001</v>
      </c>
      <c r="AH3060">
        <v>14.4823261970039</v>
      </c>
      <c r="AI3060">
        <v>94.362584498707804</v>
      </c>
      <c r="AJ3060">
        <v>92.227570373407602</v>
      </c>
      <c r="AK3060">
        <v>14.535392630905999</v>
      </c>
    </row>
    <row r="3061" spans="1:37" x14ac:dyDescent="0.2">
      <c r="A3061" t="str">
        <f>"20200111153709955"</f>
        <v>20200111153709955</v>
      </c>
      <c r="B3061" t="str">
        <f>"1578728229945958"</f>
        <v>1578728229945958</v>
      </c>
      <c r="C3061" t="s">
        <v>37</v>
      </c>
      <c r="D3061">
        <v>5.2368420000000002</v>
      </c>
      <c r="E3061">
        <v>0.4796339</v>
      </c>
      <c r="F3061" t="s">
        <v>45</v>
      </c>
      <c r="G3061">
        <v>-365.93029999999999</v>
      </c>
      <c r="H3061" s="1">
        <v>1.6190089999999999E-6</v>
      </c>
      <c r="I3061">
        <v>215.5257</v>
      </c>
      <c r="J3061">
        <v>-380.77699999999999</v>
      </c>
      <c r="K3061">
        <v>1.1055900000000001</v>
      </c>
      <c r="L3061">
        <v>214.7527</v>
      </c>
      <c r="M3061">
        <v>0.99978180000000005</v>
      </c>
      <c r="N3061">
        <v>0</v>
      </c>
      <c r="O3061">
        <v>1.480858E-2</v>
      </c>
      <c r="P3061">
        <v>0.99990540000000006</v>
      </c>
      <c r="Q3061">
        <v>1.374154E-2</v>
      </c>
      <c r="R3061">
        <v>-9.2049539999999896E-4</v>
      </c>
      <c r="S3061">
        <v>3.0038149999999999</v>
      </c>
      <c r="T3061">
        <v>-0.21689149999999999</v>
      </c>
      <c r="U3061">
        <v>0.15304570000000001</v>
      </c>
      <c r="V3061">
        <v>1.5629469999999999E-2</v>
      </c>
      <c r="W3061">
        <v>2.853466E-2</v>
      </c>
      <c r="X3061">
        <v>0.99947059999999999</v>
      </c>
      <c r="Y3061">
        <v>-3.6032750000000002E-2</v>
      </c>
      <c r="Z3061">
        <v>2.3118349999999999E-4</v>
      </c>
      <c r="AA3061">
        <v>0.99935059999999998</v>
      </c>
      <c r="AB3061">
        <v>47</v>
      </c>
      <c r="AC3061">
        <v>14.846699999999901</v>
      </c>
      <c r="AD3061">
        <v>-1.1055883809910001</v>
      </c>
      <c r="AE3061">
        <v>0.77299999999999602</v>
      </c>
      <c r="AF3061">
        <v>-0.54999117521558905</v>
      </c>
      <c r="AG3061">
        <v>-1.1055883809910001</v>
      </c>
      <c r="AH3061">
        <v>14.774810298557499</v>
      </c>
      <c r="AI3061">
        <v>94.276475325198504</v>
      </c>
      <c r="AJ3061">
        <v>92.131846645972999</v>
      </c>
      <c r="AK3061">
        <v>14.8263223801238</v>
      </c>
    </row>
    <row r="3062" spans="1:37" x14ac:dyDescent="0.2">
      <c r="A3062" t="str">
        <f>"20200111153710046"</f>
        <v>20200111153710046</v>
      </c>
      <c r="B3062" t="str">
        <f>"1578728230036255"</f>
        <v>1578728230036255</v>
      </c>
      <c r="C3062" t="s">
        <v>37</v>
      </c>
      <c r="D3062">
        <v>5.5135779999999999</v>
      </c>
      <c r="E3062">
        <v>0.4796339</v>
      </c>
      <c r="F3062" t="s">
        <v>45</v>
      </c>
      <c r="G3062">
        <v>-365.74090000000001</v>
      </c>
      <c r="H3062" s="1">
        <v>1.518257E-6</v>
      </c>
      <c r="I3062">
        <v>215.49870000000001</v>
      </c>
      <c r="J3062">
        <v>-378.91419999999999</v>
      </c>
      <c r="K3062">
        <v>1.105337</v>
      </c>
      <c r="L3062">
        <v>214.78530000000001</v>
      </c>
      <c r="M3062">
        <v>0.99972809999999901</v>
      </c>
      <c r="N3062">
        <v>0</v>
      </c>
      <c r="O3062">
        <v>1.8085170000000001E-2</v>
      </c>
      <c r="P3062">
        <v>0.99983609999999901</v>
      </c>
      <c r="Q3062">
        <v>1.67604999999999E-2</v>
      </c>
      <c r="R3062">
        <v>-6.8651959999999996E-3</v>
      </c>
      <c r="S3062">
        <v>3.0034179999999999</v>
      </c>
      <c r="T3062">
        <v>-0.22083829999999999</v>
      </c>
      <c r="U3062">
        <v>0.1490021</v>
      </c>
      <c r="V3062">
        <v>2.486035E-2</v>
      </c>
      <c r="W3062">
        <v>3.1549769999999998E-2</v>
      </c>
      <c r="X3062">
        <v>0.999193</v>
      </c>
      <c r="Y3062">
        <v>-3.1440919999999997E-2</v>
      </c>
      <c r="Z3062">
        <v>-1.734754E-4</v>
      </c>
      <c r="AA3062">
        <v>0.99950559999999999</v>
      </c>
      <c r="AB3062">
        <v>47</v>
      </c>
      <c r="AC3062">
        <v>13.1732999999999</v>
      </c>
      <c r="AD3062">
        <v>-1.1053354817429999</v>
      </c>
      <c r="AE3062">
        <v>0.71340000000000703</v>
      </c>
      <c r="AF3062">
        <v>-0.47170482354457</v>
      </c>
      <c r="AG3062">
        <v>-1.1053354817429999</v>
      </c>
      <c r="AH3062">
        <v>13.0921436381934</v>
      </c>
      <c r="AI3062">
        <v>94.822773887081794</v>
      </c>
      <c r="AJ3062">
        <v>92.063451995765803</v>
      </c>
      <c r="AK3062">
        <v>13.147185897021499</v>
      </c>
    </row>
    <row r="3063" spans="1:37" x14ac:dyDescent="0.2">
      <c r="A3063" t="str">
        <f>"20200111153710067"</f>
        <v>20200111153710067</v>
      </c>
      <c r="B3063" t="str">
        <f>"1578728230055775"</f>
        <v>1578728230055775</v>
      </c>
      <c r="C3063" t="s">
        <v>37</v>
      </c>
      <c r="D3063">
        <v>6.0800169999999998</v>
      </c>
      <c r="E3063">
        <v>0.47949619999999998</v>
      </c>
      <c r="F3063" t="s">
        <v>45</v>
      </c>
      <c r="G3063">
        <v>-363.1635</v>
      </c>
      <c r="H3063" s="1">
        <v>1.466781E-7</v>
      </c>
      <c r="I3063">
        <v>215.48140000000001</v>
      </c>
      <c r="J3063">
        <v>-378.46719999999999</v>
      </c>
      <c r="K3063">
        <v>1.1052959999999901</v>
      </c>
      <c r="L3063">
        <v>214.79390000000001</v>
      </c>
      <c r="M3063">
        <v>0.99971499999999902</v>
      </c>
      <c r="N3063">
        <v>0</v>
      </c>
      <c r="O3063">
        <v>1.87914E-2</v>
      </c>
      <c r="P3063">
        <v>0.99982579999999999</v>
      </c>
      <c r="Q3063">
        <v>1.7173290000000001E-2</v>
      </c>
      <c r="R3063">
        <v>-7.3161429999999998E-3</v>
      </c>
      <c r="S3063">
        <v>3.0049440000000001</v>
      </c>
      <c r="T3063">
        <v>-0.21087800000000001</v>
      </c>
      <c r="U3063">
        <v>0.1328125</v>
      </c>
      <c r="V3063">
        <v>2.6019899999999999E-2</v>
      </c>
      <c r="W3063">
        <v>3.1958210000000001E-2</v>
      </c>
      <c r="X3063">
        <v>0.99915049999999905</v>
      </c>
      <c r="Y3063">
        <v>-2.5355880000000001E-2</v>
      </c>
      <c r="Z3063">
        <v>-4.2823699999999999E-4</v>
      </c>
      <c r="AA3063">
        <v>0.99967839999999997</v>
      </c>
      <c r="AB3063">
        <v>46</v>
      </c>
      <c r="AC3063">
        <v>15.3036999999999</v>
      </c>
      <c r="AD3063">
        <v>-1.10529585332189</v>
      </c>
      <c r="AE3063">
        <v>0.6875</v>
      </c>
      <c r="AF3063">
        <v>-0.39769910470886799</v>
      </c>
      <c r="AG3063">
        <v>-1.10529585332189</v>
      </c>
      <c r="AH3063">
        <v>15.2346091330691</v>
      </c>
      <c r="AI3063">
        <v>94.148223740474705</v>
      </c>
      <c r="AJ3063">
        <v>91.495365324650905</v>
      </c>
      <c r="AK3063">
        <v>15.279828498338899</v>
      </c>
    </row>
    <row r="3064" spans="1:37" x14ac:dyDescent="0.2">
      <c r="A3064" t="str">
        <f>"20200111153710088"</f>
        <v>20200111153710088</v>
      </c>
      <c r="B3064" t="str">
        <f>"1578728230086032"</f>
        <v>1578728230086032</v>
      </c>
      <c r="C3064" t="s">
        <v>37</v>
      </c>
      <c r="D3064">
        <v>5.9035199999999897</v>
      </c>
      <c r="E3064">
        <v>0.48110049999999999</v>
      </c>
      <c r="F3064" t="s">
        <v>45</v>
      </c>
      <c r="G3064">
        <v>-362.6902</v>
      </c>
      <c r="H3064" s="1">
        <v>-1.052061E-7</v>
      </c>
      <c r="I3064">
        <v>215.48849999999999</v>
      </c>
      <c r="J3064">
        <v>-378.0163</v>
      </c>
      <c r="K3064">
        <v>1.1052679999999999</v>
      </c>
      <c r="L3064">
        <v>214.80289999999999</v>
      </c>
      <c r="M3064">
        <v>0.99970179999999997</v>
      </c>
      <c r="N3064">
        <v>0</v>
      </c>
      <c r="O3064">
        <v>1.948799E-2</v>
      </c>
      <c r="P3064">
        <v>0.9998051</v>
      </c>
      <c r="Q3064">
        <v>1.9250159999999999E-2</v>
      </c>
      <c r="R3064">
        <v>-4.4228649999999998E-3</v>
      </c>
      <c r="S3064">
        <v>3.005096</v>
      </c>
      <c r="T3064">
        <v>-0.21052969999999999</v>
      </c>
      <c r="U3064">
        <v>0.13229369999999999</v>
      </c>
      <c r="V3064">
        <v>2.3821289999999998E-2</v>
      </c>
      <c r="W3064">
        <v>3.402322E-2</v>
      </c>
      <c r="X3064">
        <v>0.999137099999999</v>
      </c>
      <c r="Y3064">
        <v>-2.448869E-2</v>
      </c>
      <c r="Z3064">
        <v>-5.0654360000000002E-4</v>
      </c>
      <c r="AA3064">
        <v>0.99970000000000003</v>
      </c>
      <c r="AB3064">
        <v>46</v>
      </c>
      <c r="AC3064">
        <v>15.326099999999901</v>
      </c>
      <c r="AD3064">
        <v>-1.1052681052061</v>
      </c>
      <c r="AE3064">
        <v>0.68559999999999299</v>
      </c>
      <c r="AF3064">
        <v>-0.384765445527255</v>
      </c>
      <c r="AG3064">
        <v>-1.1052681052061</v>
      </c>
      <c r="AH3064">
        <v>15.2573588912728</v>
      </c>
      <c r="AI3064">
        <v>94.142050227899603</v>
      </c>
      <c r="AJ3064">
        <v>91.444598943594201</v>
      </c>
      <c r="AK3064">
        <v>15.3021783537364</v>
      </c>
    </row>
    <row r="3065" spans="1:37" x14ac:dyDescent="0.2">
      <c r="A3065" t="str">
        <f>"20200111153710113"</f>
        <v>20200111153710113</v>
      </c>
      <c r="B3065" t="str">
        <f>"1578728230105552"</f>
        <v>1578728230105552</v>
      </c>
      <c r="C3065" t="s">
        <v>37</v>
      </c>
      <c r="D3065">
        <v>5.937862</v>
      </c>
      <c r="E3065">
        <v>0.4815371</v>
      </c>
      <c r="F3065" t="s">
        <v>45</v>
      </c>
      <c r="G3065">
        <v>-360.76220000000001</v>
      </c>
      <c r="H3065" s="1">
        <v>-1.1311770000000001E-6</v>
      </c>
      <c r="I3065">
        <v>215.53880000000001</v>
      </c>
      <c r="J3065">
        <v>-377.52980000000002</v>
      </c>
      <c r="K3065">
        <v>1.1052489999999999</v>
      </c>
      <c r="L3065">
        <v>214.81299999999999</v>
      </c>
      <c r="M3065">
        <v>0.99968709999999905</v>
      </c>
      <c r="N3065">
        <v>0</v>
      </c>
      <c r="O3065">
        <v>2.022724E-2</v>
      </c>
      <c r="P3065">
        <v>0.99978140000000004</v>
      </c>
      <c r="Q3065">
        <v>2.059795E-2</v>
      </c>
      <c r="R3065">
        <v>3.5824889999999999E-3</v>
      </c>
      <c r="S3065">
        <v>3.0048520000000001</v>
      </c>
      <c r="T3065">
        <v>-0.192486299999999</v>
      </c>
      <c r="U3065">
        <v>0.12815860000000001</v>
      </c>
      <c r="V3065">
        <v>1.6556379999999999E-2</v>
      </c>
      <c r="W3065">
        <v>3.5349459999999999E-2</v>
      </c>
      <c r="X3065">
        <v>0.99923779999999995</v>
      </c>
      <c r="Y3065">
        <v>-2.2387609999999999E-2</v>
      </c>
      <c r="Z3065">
        <v>-5.7774839999999905E-4</v>
      </c>
      <c r="AA3065">
        <v>0.9997492</v>
      </c>
      <c r="AB3065">
        <v>46</v>
      </c>
      <c r="AC3065">
        <v>16.767600000000002</v>
      </c>
      <c r="AD3065">
        <v>-1.105250131177</v>
      </c>
      <c r="AE3065">
        <v>0.72580000000001998</v>
      </c>
      <c r="AF3065">
        <v>-0.38478375665217601</v>
      </c>
      <c r="AG3065">
        <v>-1.105250131177</v>
      </c>
      <c r="AH3065">
        <v>16.706399458224499</v>
      </c>
      <c r="AI3065">
        <v>93.784017298286301</v>
      </c>
      <c r="AJ3065">
        <v>91.319409857388706</v>
      </c>
      <c r="AK3065">
        <v>16.747340662016001</v>
      </c>
    </row>
    <row r="3066" spans="1:37" x14ac:dyDescent="0.2">
      <c r="A3066" t="str">
        <f>"20200111153710133"</f>
        <v>20200111153710133</v>
      </c>
      <c r="B3066" t="str">
        <f>"1578728230126048"</f>
        <v>1578728230126048</v>
      </c>
      <c r="C3066" t="s">
        <v>37</v>
      </c>
      <c r="D3066">
        <v>5.9272710000000002</v>
      </c>
      <c r="E3066">
        <v>0.48191879999999998</v>
      </c>
      <c r="F3066" t="s">
        <v>45</v>
      </c>
      <c r="G3066">
        <v>-359.84699999999998</v>
      </c>
      <c r="H3066" s="1">
        <v>3.656466E-6</v>
      </c>
      <c r="I3066">
        <v>215.68709999999999</v>
      </c>
      <c r="J3066">
        <v>-377.07839999999999</v>
      </c>
      <c r="K3066">
        <v>1.1052280000000001</v>
      </c>
      <c r="L3066">
        <v>214.8227</v>
      </c>
      <c r="M3066">
        <v>0.99967329999999999</v>
      </c>
      <c r="N3066">
        <v>0</v>
      </c>
      <c r="O3066">
        <v>2.0903089999999999E-2</v>
      </c>
      <c r="P3066">
        <v>0.99967109999999904</v>
      </c>
      <c r="Q3066">
        <v>2.2692690000000001E-2</v>
      </c>
      <c r="R3066">
        <v>1.195742E-2</v>
      </c>
      <c r="S3066">
        <v>3.0039980000000002</v>
      </c>
      <c r="T3066">
        <v>-0.18776139999999999</v>
      </c>
      <c r="U3066">
        <v>0.14848329999999901</v>
      </c>
      <c r="V3066">
        <v>8.8548800000000007E-3</v>
      </c>
      <c r="W3066">
        <v>3.7421379999999997E-2</v>
      </c>
      <c r="X3066">
        <v>0.99926039999999905</v>
      </c>
      <c r="Y3066">
        <v>-2.8462919999999999E-2</v>
      </c>
      <c r="Z3066">
        <v>-4.162444E-4</v>
      </c>
      <c r="AA3066">
        <v>0.99959469999999995</v>
      </c>
      <c r="AB3066">
        <v>46</v>
      </c>
      <c r="AC3066">
        <v>17.231400000000001</v>
      </c>
      <c r="AD3066">
        <v>-1.1052243435339999</v>
      </c>
      <c r="AE3066">
        <v>0.86439999999998895</v>
      </c>
      <c r="AF3066">
        <v>-0.50192291162939195</v>
      </c>
      <c r="AG3066">
        <v>-1.1052243435339999</v>
      </c>
      <c r="AH3066">
        <v>17.175224049826198</v>
      </c>
      <c r="AI3066">
        <v>93.6803355611261</v>
      </c>
      <c r="AJ3066">
        <v>91.673915979786102</v>
      </c>
      <c r="AK3066">
        <v>17.218065182258002</v>
      </c>
    </row>
    <row r="3067" spans="1:37" x14ac:dyDescent="0.2">
      <c r="A3067" t="str">
        <f>"20200111153710158"</f>
        <v>20200111153710158</v>
      </c>
      <c r="B3067" t="str">
        <f>"1578728230145567"</f>
        <v>1578728230145567</v>
      </c>
      <c r="C3067" t="s">
        <v>37</v>
      </c>
      <c r="D3067">
        <v>5.8901149999999998</v>
      </c>
      <c r="E3067">
        <v>0.48227239999999999</v>
      </c>
      <c r="F3067" t="s">
        <v>45</v>
      </c>
      <c r="G3067">
        <v>-358.86970000000002</v>
      </c>
      <c r="H3067" s="1">
        <v>3.1288739999999999E-6</v>
      </c>
      <c r="I3067">
        <v>215.8597</v>
      </c>
      <c r="J3067">
        <v>-376.6026</v>
      </c>
      <c r="K3067">
        <v>1.105205</v>
      </c>
      <c r="L3067">
        <v>214.83320000000001</v>
      </c>
      <c r="M3067">
        <v>0.99965839999999995</v>
      </c>
      <c r="N3067">
        <v>0</v>
      </c>
      <c r="O3067">
        <v>2.1601169999999999E-2</v>
      </c>
      <c r="P3067">
        <v>0.99950749999999999</v>
      </c>
      <c r="Q3067">
        <v>2.5136370000000002E-2</v>
      </c>
      <c r="R3067">
        <v>1.879513E-2</v>
      </c>
      <c r="S3067">
        <v>3.003082</v>
      </c>
      <c r="T3067">
        <v>-0.18228029999999901</v>
      </c>
      <c r="U3067">
        <v>0.17102049999999999</v>
      </c>
      <c r="V3067">
        <v>2.7107899999999998E-3</v>
      </c>
      <c r="W3067">
        <v>3.9846189999999997E-2</v>
      </c>
      <c r="X3067">
        <v>0.99920209999999998</v>
      </c>
      <c r="Y3067">
        <v>-3.5249349999999999E-2</v>
      </c>
      <c r="Z3067">
        <v>-2.40812E-4</v>
      </c>
      <c r="AA3067">
        <v>0.99937849999999995</v>
      </c>
      <c r="AB3067">
        <v>46</v>
      </c>
      <c r="AC3067">
        <v>17.732899999999901</v>
      </c>
      <c r="AD3067">
        <v>-1.1052018711260001</v>
      </c>
      <c r="AE3067">
        <v>1.02649999999999</v>
      </c>
      <c r="AF3067">
        <v>-0.64068720549292302</v>
      </c>
      <c r="AG3067">
        <v>-1.1052018711260001</v>
      </c>
      <c r="AH3067">
        <v>17.6824810430744</v>
      </c>
      <c r="AI3067">
        <v>93.574146195074206</v>
      </c>
      <c r="AJ3067">
        <v>92.075083323203998</v>
      </c>
      <c r="AK3067">
        <v>17.728566978464698</v>
      </c>
    </row>
    <row r="3068" spans="1:37" x14ac:dyDescent="0.2">
      <c r="A3068" t="str">
        <f>"20200111153710179"</f>
        <v>20200111153710179</v>
      </c>
      <c r="B3068" t="str">
        <f>"1578728230166066"</f>
        <v>1578728230166066</v>
      </c>
      <c r="C3068" t="s">
        <v>37</v>
      </c>
      <c r="D3068">
        <v>5.9765769999999998</v>
      </c>
      <c r="E3068">
        <v>0.48283569999999998</v>
      </c>
      <c r="F3068" t="s">
        <v>45</v>
      </c>
      <c r="G3068">
        <v>-357.64109999999999</v>
      </c>
      <c r="H3068" s="1">
        <v>2.467733E-6</v>
      </c>
      <c r="I3068">
        <v>216.02780000000001</v>
      </c>
      <c r="J3068">
        <v>-376.15899999999999</v>
      </c>
      <c r="K3068">
        <v>1.1051739999999901</v>
      </c>
      <c r="L3068">
        <v>214.8432</v>
      </c>
      <c r="M3068">
        <v>0.99964459999999999</v>
      </c>
      <c r="N3068">
        <v>0</v>
      </c>
      <c r="O3068">
        <v>2.2232209999999999E-2</v>
      </c>
      <c r="P3068">
        <v>0.99934049999999996</v>
      </c>
      <c r="Q3068">
        <v>2.619701E-2</v>
      </c>
      <c r="R3068">
        <v>2.5152029999999999E-2</v>
      </c>
      <c r="S3068">
        <v>3.002319</v>
      </c>
      <c r="T3068">
        <v>-0.1749955</v>
      </c>
      <c r="U3068">
        <v>0.18914790000000001</v>
      </c>
      <c r="V3068">
        <v>-3.0166289999999998E-3</v>
      </c>
      <c r="W3068">
        <v>4.0890089999999997E-2</v>
      </c>
      <c r="X3068">
        <v>0.99915909999999997</v>
      </c>
      <c r="Y3068">
        <v>-4.0638689999999998E-2</v>
      </c>
      <c r="Z3068">
        <v>-1.11124E-4</v>
      </c>
      <c r="AA3068">
        <v>0.99917389999999995</v>
      </c>
      <c r="AB3068">
        <v>46</v>
      </c>
      <c r="AC3068">
        <v>18.517900000000001</v>
      </c>
      <c r="AD3068">
        <v>-1.1051715322669999</v>
      </c>
      <c r="AE3068">
        <v>1.1846000000000101</v>
      </c>
      <c r="AF3068">
        <v>-0.76983787557051497</v>
      </c>
      <c r="AG3068">
        <v>-1.1051715322669999</v>
      </c>
      <c r="AH3068">
        <v>18.474127204510001</v>
      </c>
      <c r="AI3068">
        <v>93.420544669649601</v>
      </c>
      <c r="AJ3068">
        <v>92.386199686328297</v>
      </c>
      <c r="AK3068">
        <v>18.523159299612299</v>
      </c>
    </row>
    <row r="3069" spans="1:37" x14ac:dyDescent="0.2">
      <c r="A3069" t="str">
        <f>"20200111153710202"</f>
        <v>20200111153710202</v>
      </c>
      <c r="B3069" t="str">
        <f>"1578728230196320"</f>
        <v>1578728230196320</v>
      </c>
      <c r="C3069" t="s">
        <v>37</v>
      </c>
      <c r="D3069">
        <v>5.9702669999999998</v>
      </c>
      <c r="E3069">
        <v>0.48326910000000001</v>
      </c>
      <c r="F3069" t="s">
        <v>45</v>
      </c>
      <c r="G3069">
        <v>-356.74610000000001</v>
      </c>
      <c r="H3069" s="1">
        <v>1.9855669999999998E-6</v>
      </c>
      <c r="I3069">
        <v>216.16290000000001</v>
      </c>
      <c r="J3069">
        <v>-375.70089999999999</v>
      </c>
      <c r="K3069">
        <v>1.105137</v>
      </c>
      <c r="L3069">
        <v>214.85390000000001</v>
      </c>
      <c r="M3069">
        <v>0.99963069999999898</v>
      </c>
      <c r="N3069">
        <v>0</v>
      </c>
      <c r="O3069">
        <v>2.2852790000000001E-2</v>
      </c>
      <c r="P3069">
        <v>0.99911519999999998</v>
      </c>
      <c r="Q3069">
        <v>2.831094E-2</v>
      </c>
      <c r="R3069">
        <v>3.1104699999999999E-2</v>
      </c>
      <c r="S3069">
        <v>3.001312</v>
      </c>
      <c r="T3069">
        <v>-0.17086470000000001</v>
      </c>
      <c r="U3069">
        <v>0.20402529999999999</v>
      </c>
      <c r="V3069">
        <v>-8.3523859999999998E-3</v>
      </c>
      <c r="W3069">
        <v>4.2988230000000002E-2</v>
      </c>
      <c r="X3069">
        <v>0.999040699999999</v>
      </c>
      <c r="Y3069">
        <v>-4.4966190000000003E-2</v>
      </c>
      <c r="Z3069" s="1">
        <v>-2.0809589999999899E-5</v>
      </c>
      <c r="AA3069">
        <v>0.99898849999999995</v>
      </c>
      <c r="AB3069">
        <v>46</v>
      </c>
      <c r="AC3069">
        <v>18.954799999999899</v>
      </c>
      <c r="AD3069">
        <v>-1.1051350144330001</v>
      </c>
      <c r="AE3069">
        <v>1.3089999999999899</v>
      </c>
      <c r="AF3069">
        <v>-0.87248937416403605</v>
      </c>
      <c r="AG3069">
        <v>-1.1051350144330001</v>
      </c>
      <c r="AH3069">
        <v>18.9157706622251</v>
      </c>
      <c r="AI3069">
        <v>93.340104687932197</v>
      </c>
      <c r="AJ3069">
        <v>92.640894386947593</v>
      </c>
      <c r="AK3069">
        <v>18.968103248718599</v>
      </c>
    </row>
    <row r="3070" spans="1:37" x14ac:dyDescent="0.2">
      <c r="A3070" t="str">
        <f>"20200111153710224"</f>
        <v>20200111153710224</v>
      </c>
      <c r="B3070" t="str">
        <f>"1578728230215840"</f>
        <v>1578728230215840</v>
      </c>
      <c r="C3070" t="s">
        <v>37</v>
      </c>
      <c r="D3070">
        <v>6.0095349999999996</v>
      </c>
      <c r="E3070">
        <v>0.48344880000000001</v>
      </c>
      <c r="F3070" t="s">
        <v>45</v>
      </c>
      <c r="G3070">
        <v>-355.45850000000002</v>
      </c>
      <c r="H3070" s="1">
        <v>1.2930369999999999E-6</v>
      </c>
      <c r="I3070">
        <v>216.33019999999999</v>
      </c>
      <c r="J3070">
        <v>-375.21640000000002</v>
      </c>
      <c r="K3070">
        <v>1.1051</v>
      </c>
      <c r="L3070">
        <v>214.86539999999999</v>
      </c>
      <c r="M3070">
        <v>0.99961669999999903</v>
      </c>
      <c r="N3070">
        <v>0</v>
      </c>
      <c r="O3070">
        <v>2.3464840000000001E-2</v>
      </c>
      <c r="P3070">
        <v>0.99892569999999903</v>
      </c>
      <c r="Q3070">
        <v>3.1953959999999997E-2</v>
      </c>
      <c r="R3070">
        <v>3.3562399999999999E-2</v>
      </c>
      <c r="S3070">
        <v>3.0004879999999998</v>
      </c>
      <c r="T3070">
        <v>-0.1638116</v>
      </c>
      <c r="U3070">
        <v>0.2188263</v>
      </c>
      <c r="V3070">
        <v>-1.0204299999999999E-2</v>
      </c>
      <c r="W3070">
        <v>4.6622360000000002E-2</v>
      </c>
      <c r="X3070">
        <v>0.99886049999999904</v>
      </c>
      <c r="Y3070">
        <v>-4.9273589999999999E-2</v>
      </c>
      <c r="Z3070" s="1">
        <v>6.4073599999999996E-5</v>
      </c>
      <c r="AA3070">
        <v>0.99878529999999999</v>
      </c>
      <c r="AB3070">
        <v>46</v>
      </c>
      <c r="AC3070">
        <v>19.757899999999999</v>
      </c>
      <c r="AD3070">
        <v>-1.1050987069630001</v>
      </c>
      <c r="AE3070">
        <v>1.4647999999999901</v>
      </c>
      <c r="AF3070">
        <v>-0.99762668884705896</v>
      </c>
      <c r="AG3070">
        <v>-1.1050987069630001</v>
      </c>
      <c r="AH3070">
        <v>19.725462173175998</v>
      </c>
      <c r="AI3070">
        <v>93.202500364077196</v>
      </c>
      <c r="AJ3070">
        <v>92.895300338928607</v>
      </c>
      <c r="AK3070">
        <v>19.781566169235099</v>
      </c>
    </row>
    <row r="3071" spans="1:37" x14ac:dyDescent="0.2">
      <c r="A3071" t="str">
        <f>"20200111153710247"</f>
        <v>20200111153710247</v>
      </c>
      <c r="B3071" t="str">
        <f>"1578728230236335"</f>
        <v>1578728230236335</v>
      </c>
      <c r="C3071" t="s">
        <v>37</v>
      </c>
      <c r="D3071">
        <v>5.98583</v>
      </c>
      <c r="E3071">
        <v>0.4839272</v>
      </c>
      <c r="F3071" t="s">
        <v>45</v>
      </c>
      <c r="G3071">
        <v>-353.34160000000003</v>
      </c>
      <c r="H3071" s="1">
        <v>1.583001E-7</v>
      </c>
      <c r="I3071">
        <v>216.51910000000001</v>
      </c>
      <c r="J3071">
        <v>-374.75349999999997</v>
      </c>
      <c r="K3071">
        <v>1.1050659999999899</v>
      </c>
      <c r="L3071">
        <v>214.8767</v>
      </c>
      <c r="M3071">
        <v>0.99960369999999998</v>
      </c>
      <c r="N3071">
        <v>0</v>
      </c>
      <c r="O3071">
        <v>2.4008939999999999E-2</v>
      </c>
      <c r="P3071">
        <v>0.9988165</v>
      </c>
      <c r="Q3071">
        <v>3.4936500000000002E-2</v>
      </c>
      <c r="R3071">
        <v>3.3839760000000003E-2</v>
      </c>
      <c r="S3071">
        <v>3.0004580000000001</v>
      </c>
      <c r="T3071">
        <v>-0.15158150000000001</v>
      </c>
      <c r="U3071">
        <v>0.22682189999999999</v>
      </c>
      <c r="V3071">
        <v>-9.9404319999999904E-3</v>
      </c>
      <c r="W3071">
        <v>4.9601529999999998E-2</v>
      </c>
      <c r="X3071">
        <v>0.99871960000000004</v>
      </c>
      <c r="Y3071">
        <v>-5.1381040000000003E-2</v>
      </c>
      <c r="Z3071" s="1">
        <v>8.5008099999999895E-5</v>
      </c>
      <c r="AA3071">
        <v>0.99867909999999904</v>
      </c>
      <c r="AB3071">
        <v>46</v>
      </c>
      <c r="AC3071">
        <v>21.4118999999999</v>
      </c>
      <c r="AD3071">
        <v>-1.1050658416999</v>
      </c>
      <c r="AE3071">
        <v>1.6424000000000001</v>
      </c>
      <c r="AF3071">
        <v>-1.12481539827248</v>
      </c>
      <c r="AG3071">
        <v>-1.1050658416999</v>
      </c>
      <c r="AH3071">
        <v>21.3885262583727</v>
      </c>
      <c r="AI3071">
        <v>92.953556412777402</v>
      </c>
      <c r="AJ3071">
        <v>93.010392553767304</v>
      </c>
      <c r="AK3071">
        <v>21.446571653758099</v>
      </c>
    </row>
    <row r="3072" spans="1:37" x14ac:dyDescent="0.2">
      <c r="A3072" t="str">
        <f>"20200111153710269"</f>
        <v>20200111153710269</v>
      </c>
      <c r="B3072" t="str">
        <f>"1578728230265616"</f>
        <v>1578728230265616</v>
      </c>
      <c r="C3072" t="s">
        <v>37</v>
      </c>
      <c r="D3072">
        <v>6.0185019999999998</v>
      </c>
      <c r="E3072">
        <v>0.48459079999999899</v>
      </c>
      <c r="F3072" t="s">
        <v>45</v>
      </c>
      <c r="G3072">
        <v>-351.34660000000002</v>
      </c>
      <c r="H3072" s="1">
        <v>-9.0834059999999899E-7</v>
      </c>
      <c r="I3072">
        <v>216.63290000000001</v>
      </c>
      <c r="J3072">
        <v>-374.29759999999999</v>
      </c>
      <c r="K3072">
        <v>1.105048</v>
      </c>
      <c r="L3072">
        <v>214.88800000000001</v>
      </c>
      <c r="M3072">
        <v>0.99959209999999998</v>
      </c>
      <c r="N3072">
        <v>0</v>
      </c>
      <c r="O3072">
        <v>2.449343E-2</v>
      </c>
      <c r="P3072">
        <v>0.99871270000000001</v>
      </c>
      <c r="Q3072">
        <v>3.6372479999999999E-2</v>
      </c>
      <c r="R3072">
        <v>3.5363119999999998E-2</v>
      </c>
      <c r="S3072">
        <v>3.0009459999999999</v>
      </c>
      <c r="T3072">
        <v>-0.1416781</v>
      </c>
      <c r="U3072">
        <v>0.22515869999999999</v>
      </c>
      <c r="V3072">
        <v>-1.097733E-2</v>
      </c>
      <c r="W3072">
        <v>5.1032130000000002E-2</v>
      </c>
      <c r="X3072">
        <v>0.99863670000000004</v>
      </c>
      <c r="Y3072">
        <v>-5.0340459999999997E-2</v>
      </c>
      <c r="Z3072" s="1">
        <v>3.2116659999999899E-5</v>
      </c>
      <c r="AA3072">
        <v>0.99873210000000001</v>
      </c>
      <c r="AB3072">
        <v>46</v>
      </c>
      <c r="AC3072">
        <v>22.950999999999901</v>
      </c>
      <c r="AD3072">
        <v>-1.1050489083406001</v>
      </c>
      <c r="AE3072">
        <v>1.7448999999999999</v>
      </c>
      <c r="AF3072">
        <v>-1.1794485103343799</v>
      </c>
      <c r="AG3072">
        <v>-1.1050489083406001</v>
      </c>
      <c r="AH3072">
        <v>22.933995073372699</v>
      </c>
      <c r="AI3072">
        <v>92.754964334634593</v>
      </c>
      <c r="AJ3072">
        <v>92.944011233363</v>
      </c>
      <c r="AK3072">
        <v>22.990875622817001</v>
      </c>
    </row>
    <row r="3073" spans="1:37" x14ac:dyDescent="0.2">
      <c r="A3073" t="str">
        <f>"20200111153710291"</f>
        <v>20200111153710291</v>
      </c>
      <c r="B3073" t="str">
        <f>"1578728230286112"</f>
        <v>1578728230286112</v>
      </c>
      <c r="C3073" t="s">
        <v>37</v>
      </c>
      <c r="D3073">
        <v>5.9925119999999996</v>
      </c>
      <c r="E3073">
        <v>0.48505529999999902</v>
      </c>
      <c r="F3073" t="s">
        <v>45</v>
      </c>
      <c r="G3073">
        <v>-350.21</v>
      </c>
      <c r="H3073" s="1">
        <v>-1.5153520000000001E-6</v>
      </c>
      <c r="I3073">
        <v>216.68260000000001</v>
      </c>
      <c r="J3073">
        <v>-373.83769999999998</v>
      </c>
      <c r="K3073">
        <v>1.1050340000000001</v>
      </c>
      <c r="L3073">
        <v>214.89949999999999</v>
      </c>
      <c r="M3073">
        <v>0.99958169999999902</v>
      </c>
      <c r="N3073">
        <v>0</v>
      </c>
      <c r="O3073">
        <v>2.4917999999999999E-2</v>
      </c>
      <c r="P3073">
        <v>0.99854699999999996</v>
      </c>
      <c r="Q3073">
        <v>4.0175299999999997E-2</v>
      </c>
      <c r="R3073">
        <v>3.5918899999999997E-2</v>
      </c>
      <c r="S3073">
        <v>3.0009769999999998</v>
      </c>
      <c r="T3073">
        <v>-0.13767360000000001</v>
      </c>
      <c r="U3073">
        <v>0.22358699999999901</v>
      </c>
      <c r="V3073">
        <v>-1.1111279999999999E-2</v>
      </c>
      <c r="W3073">
        <v>5.4830530000000002E-2</v>
      </c>
      <c r="X3073">
        <v>0.99843379999999904</v>
      </c>
      <c r="Y3073">
        <v>-4.9398360000000002E-2</v>
      </c>
      <c r="Z3073" s="1">
        <v>-9.7897140000000004E-6</v>
      </c>
      <c r="AA3073">
        <v>0.99877919999999998</v>
      </c>
      <c r="AB3073">
        <v>46</v>
      </c>
      <c r="AC3073">
        <v>23.627700000000001</v>
      </c>
      <c r="AD3073">
        <v>-1.105035515352</v>
      </c>
      <c r="AE3073">
        <v>1.7831000000000099</v>
      </c>
      <c r="AF3073">
        <v>-1.19113711526155</v>
      </c>
      <c r="AG3073">
        <v>-1.105035515352</v>
      </c>
      <c r="AH3073">
        <v>23.6134407204021</v>
      </c>
      <c r="AI3073">
        <v>92.675912074916496</v>
      </c>
      <c r="AJ3073">
        <v>92.887733866129395</v>
      </c>
      <c r="AK3073">
        <v>23.669273199096899</v>
      </c>
    </row>
    <row r="3074" spans="1:37" x14ac:dyDescent="0.2">
      <c r="A3074" t="str">
        <f>"20200111153710313"</f>
        <v>20200111153710313</v>
      </c>
      <c r="B3074" t="str">
        <f>"1578728230305858"</f>
        <v>1578728230305858</v>
      </c>
      <c r="C3074" t="s">
        <v>37</v>
      </c>
      <c r="D3074">
        <v>6.2596089999999904</v>
      </c>
      <c r="E3074">
        <v>0.48529689999999998</v>
      </c>
      <c r="F3074" t="s">
        <v>45</v>
      </c>
      <c r="G3074">
        <v>-347.56400000000002</v>
      </c>
      <c r="H3074" s="1">
        <v>2.4884059999999999E-6</v>
      </c>
      <c r="I3074">
        <v>216.83590000000001</v>
      </c>
      <c r="J3074">
        <v>-373.38220000000001</v>
      </c>
      <c r="K3074">
        <v>1.1050260000000001</v>
      </c>
      <c r="L3074">
        <v>214.9111</v>
      </c>
      <c r="M3074">
        <v>0.99957289999999999</v>
      </c>
      <c r="N3074">
        <v>0</v>
      </c>
      <c r="O3074">
        <v>2.5268349999999998E-2</v>
      </c>
      <c r="P3074">
        <v>0.99830940000000001</v>
      </c>
      <c r="Q3074">
        <v>4.8750269999999998E-2</v>
      </c>
      <c r="R3074">
        <v>3.165577E-2</v>
      </c>
      <c r="S3074">
        <v>3.001465</v>
      </c>
      <c r="T3074">
        <v>-0.12623699999999999</v>
      </c>
      <c r="U3074">
        <v>0.22120670000000001</v>
      </c>
      <c r="V3074">
        <v>-6.5088350000000001E-3</v>
      </c>
      <c r="W3074">
        <v>6.3404749999999996E-2</v>
      </c>
      <c r="X3074">
        <v>0.99796659999999904</v>
      </c>
      <c r="Y3074">
        <v>-4.8253829999999998E-2</v>
      </c>
      <c r="Z3074" s="1">
        <v>-4.7704200000000003E-5</v>
      </c>
      <c r="AA3074">
        <v>0.99883509999999998</v>
      </c>
      <c r="AB3074">
        <v>46</v>
      </c>
      <c r="AC3074">
        <v>25.818199999999901</v>
      </c>
      <c r="AD3074">
        <v>-1.1050235115939999</v>
      </c>
      <c r="AE3074">
        <v>1.9248000000000001</v>
      </c>
      <c r="AF3074">
        <v>-1.2694191195089499</v>
      </c>
      <c r="AG3074">
        <v>-1.1050235115939999</v>
      </c>
      <c r="AH3074">
        <v>25.811574626534799</v>
      </c>
      <c r="AI3074">
        <v>92.448446383674295</v>
      </c>
      <c r="AJ3074">
        <v>92.815550963413699</v>
      </c>
      <c r="AK3074">
        <v>25.8663852627948</v>
      </c>
    </row>
    <row r="3075" spans="1:37" x14ac:dyDescent="0.2">
      <c r="A3075" t="str">
        <f>"20200111153710336"</f>
        <v>20200111153710336</v>
      </c>
      <c r="B3075" t="str">
        <f>"1578728230326356"</f>
        <v>1578728230326356</v>
      </c>
      <c r="C3075" t="s">
        <v>37</v>
      </c>
      <c r="D3075">
        <v>5.9827899999999996</v>
      </c>
      <c r="E3075">
        <v>0.48565629999999999</v>
      </c>
      <c r="F3075" t="s">
        <v>45</v>
      </c>
      <c r="G3075">
        <v>-340.21969999999999</v>
      </c>
      <c r="H3075" s="1">
        <v>-1.4198599999999999E-6</v>
      </c>
      <c r="I3075">
        <v>217.20429999999999</v>
      </c>
      <c r="J3075">
        <v>-372.91699999999997</v>
      </c>
      <c r="K3075">
        <v>1.1050120000000001</v>
      </c>
      <c r="L3075">
        <v>214.92310000000001</v>
      </c>
      <c r="M3075">
        <v>0.999565699999999</v>
      </c>
      <c r="N3075">
        <v>0</v>
      </c>
      <c r="O3075">
        <v>2.5551689999999998E-2</v>
      </c>
      <c r="P3075">
        <v>0.99799139999999997</v>
      </c>
      <c r="Q3075">
        <v>5.8090540000000003E-2</v>
      </c>
      <c r="R3075">
        <v>2.5270589999999999E-2</v>
      </c>
      <c r="S3075">
        <v>3.003387</v>
      </c>
      <c r="T3075">
        <v>-0.10007769999999901</v>
      </c>
      <c r="U3075">
        <v>0.207687399999999</v>
      </c>
      <c r="V3075">
        <v>1.4914069999999999E-4</v>
      </c>
      <c r="W3075">
        <v>7.2743299999999997E-2</v>
      </c>
      <c r="X3075">
        <v>0.99735069999999904</v>
      </c>
      <c r="Y3075">
        <v>-4.3460329999999998E-2</v>
      </c>
      <c r="Z3075">
        <v>-1.269873E-4</v>
      </c>
      <c r="AA3075">
        <v>0.99905509999999997</v>
      </c>
      <c r="AB3075">
        <v>46</v>
      </c>
      <c r="AC3075">
        <v>32.697299999999899</v>
      </c>
      <c r="AD3075">
        <v>-1.1050134198599999</v>
      </c>
      <c r="AE3075">
        <v>2.2811999999999801</v>
      </c>
      <c r="AF3075">
        <v>-1.44325333095192</v>
      </c>
      <c r="AG3075">
        <v>-1.1050134198599999</v>
      </c>
      <c r="AH3075">
        <v>32.707741720257097</v>
      </c>
      <c r="AI3075">
        <v>91.933091460324306</v>
      </c>
      <c r="AJ3075">
        <v>92.526579743707401</v>
      </c>
      <c r="AK3075">
        <v>32.758211234351997</v>
      </c>
    </row>
    <row r="3076" spans="1:37" x14ac:dyDescent="0.2">
      <c r="A3076" t="str">
        <f>"20200111153710358"</f>
        <v>20200111153710358</v>
      </c>
      <c r="B3076" t="str">
        <f>"1578728230345877"</f>
        <v>1578728230345877</v>
      </c>
      <c r="C3076" t="s">
        <v>37</v>
      </c>
      <c r="D3076">
        <v>6.2492720000000004</v>
      </c>
      <c r="E3076">
        <v>0.48603489999999999</v>
      </c>
      <c r="F3076" t="s">
        <v>45</v>
      </c>
      <c r="G3076">
        <v>-327.74220000000003</v>
      </c>
      <c r="H3076" s="1">
        <v>2.5832209999999899E-6</v>
      </c>
      <c r="I3076">
        <v>217.72399999999999</v>
      </c>
      <c r="J3076">
        <v>-372.46800000000002</v>
      </c>
      <c r="K3076">
        <v>1.1049799999999901</v>
      </c>
      <c r="L3076">
        <v>214.93469999999999</v>
      </c>
      <c r="M3076">
        <v>0.99956060000000002</v>
      </c>
      <c r="N3076">
        <v>0</v>
      </c>
      <c r="O3076">
        <v>2.5755799999999999E-2</v>
      </c>
      <c r="P3076">
        <v>0.99760859999999996</v>
      </c>
      <c r="Q3076">
        <v>6.5730289999999997E-2</v>
      </c>
      <c r="R3076">
        <v>2.137354E-2</v>
      </c>
      <c r="S3076">
        <v>3.005585</v>
      </c>
      <c r="T3076">
        <v>-7.351887E-2</v>
      </c>
      <c r="U3076">
        <v>0.18635560000000001</v>
      </c>
      <c r="V3076">
        <v>4.2439490000000003E-3</v>
      </c>
      <c r="W3076">
        <v>8.0376450000000002E-2</v>
      </c>
      <c r="X3076">
        <v>0.99675550000000002</v>
      </c>
      <c r="Y3076">
        <v>-3.6151429999999998E-2</v>
      </c>
      <c r="Z3076">
        <v>-1.87542599999999E-4</v>
      </c>
      <c r="AA3076">
        <v>0.99934630000000002</v>
      </c>
      <c r="AB3076">
        <v>46</v>
      </c>
      <c r="AC3076">
        <v>44.7257999999999</v>
      </c>
      <c r="AD3076">
        <v>-1.1049774167790001</v>
      </c>
      <c r="AE3076">
        <v>2.7893000000000199</v>
      </c>
      <c r="AF3076">
        <v>-1.63530746528773</v>
      </c>
      <c r="AG3076">
        <v>-1.1049774167790001</v>
      </c>
      <c r="AH3076">
        <v>44.7555965740736</v>
      </c>
      <c r="AI3076">
        <v>91.413353730350096</v>
      </c>
      <c r="AJ3076">
        <v>92.092577453848705</v>
      </c>
      <c r="AK3076">
        <v>44.799091846809198</v>
      </c>
    </row>
    <row r="3077" spans="1:37" x14ac:dyDescent="0.2">
      <c r="A3077" t="str">
        <f>"20200111153710380"</f>
        <v>20200111153710380</v>
      </c>
      <c r="B3077" t="str">
        <f>"1578728230376132"</f>
        <v>1578728230376132</v>
      </c>
      <c r="C3077" t="s">
        <v>37</v>
      </c>
      <c r="D3077">
        <v>6.4818350000000002</v>
      </c>
      <c r="E3077">
        <v>0.48675969999999902</v>
      </c>
      <c r="F3077" t="s">
        <v>48</v>
      </c>
      <c r="G3077">
        <v>-307.33280000000002</v>
      </c>
      <c r="H3077" s="1">
        <v>1.3525359999999999E-6</v>
      </c>
      <c r="I3077">
        <v>218.6662</v>
      </c>
      <c r="J3077">
        <v>-372.02780000000001</v>
      </c>
      <c r="K3077">
        <v>1.1049450000000001</v>
      </c>
      <c r="L3077">
        <v>214.9462</v>
      </c>
      <c r="M3077">
        <v>0.99955680000000002</v>
      </c>
      <c r="N3077">
        <v>0</v>
      </c>
      <c r="O3077">
        <v>2.589642E-2</v>
      </c>
      <c r="P3077">
        <v>0.9972761</v>
      </c>
      <c r="Q3077">
        <v>7.1377090000000004E-2</v>
      </c>
      <c r="R3077">
        <v>1.859125E-2</v>
      </c>
      <c r="S3077">
        <v>3.0068359999999998</v>
      </c>
      <c r="T3077">
        <v>-5.1009180000000001E-2</v>
      </c>
      <c r="U3077">
        <v>0.17225650000000001</v>
      </c>
      <c r="V3077">
        <v>7.1661019999999997E-3</v>
      </c>
      <c r="W3077">
        <v>8.6014969999999996E-2</v>
      </c>
      <c r="X3077">
        <v>0.99626809999999999</v>
      </c>
      <c r="Y3077">
        <v>-3.1317739999999997E-2</v>
      </c>
      <c r="Z3077">
        <v>-1.7344840000000001E-4</v>
      </c>
      <c r="AA3077">
        <v>0.99950949999999905</v>
      </c>
      <c r="AB3077">
        <v>46</v>
      </c>
      <c r="AC3077">
        <v>64.694999999999993</v>
      </c>
      <c r="AD3077">
        <v>-1.104943647464</v>
      </c>
      <c r="AE3077">
        <v>3.71999999999999</v>
      </c>
      <c r="AF3077">
        <v>-2.0426087830180299</v>
      </c>
      <c r="AG3077">
        <v>-1.104943647464</v>
      </c>
      <c r="AH3077">
        <v>64.750818048220296</v>
      </c>
      <c r="AI3077">
        <v>90.977145894768498</v>
      </c>
      <c r="AJ3077">
        <v>91.806835313855103</v>
      </c>
      <c r="AK3077">
        <v>64.792450092725105</v>
      </c>
    </row>
    <row r="3078" spans="1:37" x14ac:dyDescent="0.2">
      <c r="A3078" t="str">
        <f>"20200111153710402"</f>
        <v>20200111153710402</v>
      </c>
      <c r="B3078" t="str">
        <f>"1578728230395651"</f>
        <v>1578728230395651</v>
      </c>
      <c r="C3078" t="s">
        <v>37</v>
      </c>
      <c r="D3078">
        <v>6.132682</v>
      </c>
      <c r="E3078">
        <v>0.54103089999999998</v>
      </c>
      <c r="F3078" t="s">
        <v>48</v>
      </c>
      <c r="G3078">
        <v>-283.30880000000002</v>
      </c>
      <c r="H3078">
        <v>6.5213270000000004E-2</v>
      </c>
      <c r="I3078">
        <v>219.63149999999999</v>
      </c>
      <c r="J3078">
        <v>-371.57229999999998</v>
      </c>
      <c r="K3078">
        <v>1.1049290000000001</v>
      </c>
      <c r="L3078">
        <v>214.9581</v>
      </c>
      <c r="M3078">
        <v>0.99955450000000001</v>
      </c>
      <c r="N3078">
        <v>0</v>
      </c>
      <c r="O3078">
        <v>2.5990139999999998E-2</v>
      </c>
      <c r="P3078">
        <v>0.9966874</v>
      </c>
      <c r="Q3078">
        <v>8.071217E-2</v>
      </c>
      <c r="R3078">
        <v>1.0004580000000001E-2</v>
      </c>
      <c r="S3078">
        <v>3.0077509999999998</v>
      </c>
      <c r="T3078">
        <v>-3.5248990000000001E-2</v>
      </c>
      <c r="U3078">
        <v>0.15884400000000001</v>
      </c>
      <c r="V3078">
        <v>1.583503E-2</v>
      </c>
      <c r="W3078">
        <v>9.533954E-2</v>
      </c>
      <c r="X3078">
        <v>0.99531879999999995</v>
      </c>
      <c r="Y3078">
        <v>-2.676342E-2</v>
      </c>
      <c r="Z3078">
        <v>-1.4761E-4</v>
      </c>
      <c r="AA3078">
        <v>0.99964179999999903</v>
      </c>
      <c r="AB3078">
        <v>46</v>
      </c>
      <c r="AC3078">
        <v>88.263499999999894</v>
      </c>
      <c r="AD3078">
        <v>-1.0397157299999999</v>
      </c>
      <c r="AE3078">
        <v>4.6733999999999796</v>
      </c>
      <c r="AF3078">
        <v>-2.37726430793662</v>
      </c>
      <c r="AG3078">
        <v>-1.0397157299999999</v>
      </c>
      <c r="AH3078">
        <v>88.342929231976498</v>
      </c>
      <c r="AI3078">
        <v>90.674043976010594</v>
      </c>
      <c r="AJ3078">
        <v>91.541428954673194</v>
      </c>
      <c r="AK3078">
        <v>88.381024771582105</v>
      </c>
    </row>
    <row r="3079" spans="1:37" x14ac:dyDescent="0.2">
      <c r="A3079" t="str">
        <f>"20200111153710435"</f>
        <v>20200111153710435</v>
      </c>
      <c r="B3079" t="str">
        <f>"1578728230425909"</f>
        <v>1578728230425909</v>
      </c>
      <c r="C3079" t="s">
        <v>37</v>
      </c>
      <c r="D3079">
        <v>6.1102959999999999</v>
      </c>
      <c r="E3079">
        <v>0.54326370000000002</v>
      </c>
      <c r="F3079" t="s">
        <v>38</v>
      </c>
      <c r="G3079">
        <v>-370.481999999999</v>
      </c>
      <c r="H3079">
        <v>1.0373079999999999</v>
      </c>
      <c r="I3079">
        <v>214.8503</v>
      </c>
      <c r="J3079">
        <v>-370.87090000000001</v>
      </c>
      <c r="K3079">
        <v>1.104887</v>
      </c>
      <c r="L3079">
        <v>214.97640000000001</v>
      </c>
      <c r="M3079">
        <v>0.99955260000000001</v>
      </c>
      <c r="N3079">
        <v>0</v>
      </c>
      <c r="O3079">
        <v>2.6068890000000001E-2</v>
      </c>
      <c r="P3079">
        <v>0.99597259999999999</v>
      </c>
      <c r="Q3079">
        <v>8.9648989999999998E-2</v>
      </c>
      <c r="R3079">
        <v>1.5231019999999999E-3</v>
      </c>
      <c r="S3079">
        <v>3.0282290000000001</v>
      </c>
      <c r="T3079">
        <v>-0.18789839999999999</v>
      </c>
      <c r="U3079">
        <v>-0.2986298</v>
      </c>
      <c r="V3079">
        <v>2.438827E-2</v>
      </c>
      <c r="W3079">
        <v>0.1042583</v>
      </c>
      <c r="X3079">
        <v>0.994251199999999</v>
      </c>
      <c r="Y3079">
        <v>0.12376620000000001</v>
      </c>
      <c r="Z3079">
        <v>-5.439485E-3</v>
      </c>
      <c r="AA3079">
        <v>0.99229650000000003</v>
      </c>
      <c r="AB3079">
        <v>46</v>
      </c>
      <c r="AC3079">
        <v>0.388900000000035</v>
      </c>
      <c r="AD3079">
        <v>-6.7579000000000194E-2</v>
      </c>
      <c r="AE3079">
        <v>-0.12610000000000801</v>
      </c>
      <c r="AF3079">
        <v>0.13257406851241901</v>
      </c>
      <c r="AG3079">
        <v>-6.7579000000000194E-2</v>
      </c>
      <c r="AH3079">
        <v>0.37522773852869501</v>
      </c>
      <c r="AI3079">
        <v>99.637674814624404</v>
      </c>
      <c r="AJ3079">
        <v>70.540856238115396</v>
      </c>
      <c r="AK3079">
        <v>0.40365661228858102</v>
      </c>
    </row>
    <row r="3080" spans="1:37" x14ac:dyDescent="0.2">
      <c r="A3080" t="str">
        <f>"20200111153710459"</f>
        <v>20200111153710459</v>
      </c>
      <c r="B3080" t="str">
        <f>"1578728230446402"</f>
        <v>1578728230446402</v>
      </c>
      <c r="C3080" t="s">
        <v>37</v>
      </c>
      <c r="D3080">
        <v>6.0693929999999998</v>
      </c>
      <c r="E3080">
        <v>0.54244340000000002</v>
      </c>
      <c r="F3080" t="s">
        <v>45</v>
      </c>
      <c r="G3080">
        <v>-351.35059999999999</v>
      </c>
      <c r="H3080" s="1">
        <v>-7.372894E-7</v>
      </c>
      <c r="I3080">
        <v>212.76849999999999</v>
      </c>
      <c r="J3080">
        <v>-370.41340000000002</v>
      </c>
      <c r="K3080">
        <v>1.1048629999999999</v>
      </c>
      <c r="L3080">
        <v>214.98849999999999</v>
      </c>
      <c r="M3080">
        <v>0.99955179999999999</v>
      </c>
      <c r="N3080">
        <v>0</v>
      </c>
      <c r="O3080">
        <v>2.609413E-2</v>
      </c>
      <c r="P3080">
        <v>0.99550680000000003</v>
      </c>
      <c r="Q3080">
        <v>9.4687250000000001E-2</v>
      </c>
      <c r="R3080">
        <v>8.7007499999999999E-4</v>
      </c>
      <c r="S3080">
        <v>3.028076</v>
      </c>
      <c r="T3080">
        <v>-0.1713952</v>
      </c>
      <c r="U3080">
        <v>-0.34249879999999999</v>
      </c>
      <c r="V3080">
        <v>2.5063220000000001E-2</v>
      </c>
      <c r="W3080">
        <v>0.10928350000000001</v>
      </c>
      <c r="X3080">
        <v>0.99369459999999998</v>
      </c>
      <c r="Y3080">
        <v>0.138024799999999</v>
      </c>
      <c r="Z3080">
        <v>-5.3624390000000001E-3</v>
      </c>
      <c r="AA3080">
        <v>0.99041429999999997</v>
      </c>
      <c r="AB3080">
        <v>46</v>
      </c>
      <c r="AC3080">
        <v>19.062799999999999</v>
      </c>
      <c r="AD3080">
        <v>-1.1048637372893999</v>
      </c>
      <c r="AE3080">
        <v>-2.21999999999999</v>
      </c>
      <c r="AF3080">
        <v>2.7077503083116299</v>
      </c>
      <c r="AG3080">
        <v>-1.1048637372893999</v>
      </c>
      <c r="AH3080">
        <v>18.935613761428598</v>
      </c>
      <c r="AI3080">
        <v>93.305781653784095</v>
      </c>
      <c r="AJ3080">
        <v>81.862002297759602</v>
      </c>
      <c r="AK3080">
        <v>19.160117539622298</v>
      </c>
    </row>
    <row r="3081" spans="1:37" x14ac:dyDescent="0.2">
      <c r="A3081" t="str">
        <f>"20200111153710480"</f>
        <v>20200111153710480</v>
      </c>
      <c r="B3081" t="str">
        <f>"1578728230475682"</f>
        <v>1578728230475682</v>
      </c>
      <c r="C3081" t="s">
        <v>37</v>
      </c>
      <c r="D3081">
        <v>6.1196739999999998</v>
      </c>
      <c r="E3081">
        <v>0.54044759999999903</v>
      </c>
      <c r="F3081" t="s">
        <v>45</v>
      </c>
      <c r="G3081">
        <v>-348.71980000000002</v>
      </c>
      <c r="H3081" s="1">
        <v>3.1034849999999998E-6</v>
      </c>
      <c r="I3081">
        <v>212.54730000000001</v>
      </c>
      <c r="J3081">
        <v>-369.97280000000001</v>
      </c>
      <c r="K3081">
        <v>1.1048249999999999</v>
      </c>
      <c r="L3081">
        <v>215</v>
      </c>
      <c r="M3081">
        <v>0.99955179999999999</v>
      </c>
      <c r="N3081">
        <v>0</v>
      </c>
      <c r="O3081">
        <v>2.6106649999999999E-2</v>
      </c>
      <c r="P3081">
        <v>0.99529749999999995</v>
      </c>
      <c r="Q3081">
        <v>9.6844079999999999E-2</v>
      </c>
      <c r="R3081">
        <v>2.1488990000000001E-3</v>
      </c>
      <c r="S3081">
        <v>3.0285340000000001</v>
      </c>
      <c r="T3081">
        <v>-0.1542444</v>
      </c>
      <c r="U3081">
        <v>-0.34080509999999897</v>
      </c>
      <c r="V3081">
        <v>2.3800439999999999E-2</v>
      </c>
      <c r="W3081">
        <v>0.11143169999999999</v>
      </c>
      <c r="X3081">
        <v>0.99348709999999996</v>
      </c>
      <c r="Y3081">
        <v>0.13752349999999999</v>
      </c>
      <c r="Z3081">
        <v>-4.8139100000000002E-3</v>
      </c>
      <c r="AA3081">
        <v>0.9904868</v>
      </c>
      <c r="AB3081">
        <v>46</v>
      </c>
      <c r="AC3081">
        <v>21.252999999999901</v>
      </c>
      <c r="AD3081">
        <v>-1.1048218965149901</v>
      </c>
      <c r="AE3081">
        <v>-2.4526999999999899</v>
      </c>
      <c r="AF3081">
        <v>2.99877077456508</v>
      </c>
      <c r="AG3081">
        <v>-1.1048218965149901</v>
      </c>
      <c r="AH3081">
        <v>21.1253778283284</v>
      </c>
      <c r="AI3081">
        <v>92.964085323857205</v>
      </c>
      <c r="AJ3081">
        <v>81.920777860403106</v>
      </c>
      <c r="AK3081">
        <v>21.365740005228801</v>
      </c>
    </row>
    <row r="3082" spans="1:37" x14ac:dyDescent="0.2">
      <c r="A3082" t="str">
        <f>"20200111153710503"</f>
        <v>20200111153710503</v>
      </c>
      <c r="B3082" t="str">
        <f>"1578728230496178"</f>
        <v>1578728230496178</v>
      </c>
      <c r="C3082" t="s">
        <v>37</v>
      </c>
      <c r="D3082">
        <v>6.1101789999999996</v>
      </c>
      <c r="E3082">
        <v>0.53949999999999998</v>
      </c>
      <c r="F3082" t="s">
        <v>45</v>
      </c>
      <c r="G3082">
        <v>-348.14490000000001</v>
      </c>
      <c r="H3082" s="1">
        <v>2.7975240000000001E-6</v>
      </c>
      <c r="I3082">
        <v>212.67679999999999</v>
      </c>
      <c r="J3082">
        <v>-369.52030000000002</v>
      </c>
      <c r="K3082">
        <v>1.1047819999999999</v>
      </c>
      <c r="L3082">
        <v>215.012</v>
      </c>
      <c r="M3082">
        <v>0.99955149999999904</v>
      </c>
      <c r="N3082">
        <v>0</v>
      </c>
      <c r="O3082">
        <v>2.6114140000000001E-2</v>
      </c>
      <c r="P3082">
        <v>0.99545409999999901</v>
      </c>
      <c r="Q3082">
        <v>9.5091999999999996E-2</v>
      </c>
      <c r="R3082">
        <v>5.3561779999999996E-3</v>
      </c>
      <c r="S3082">
        <v>3.029785</v>
      </c>
      <c r="T3082">
        <v>-0.15335279999999901</v>
      </c>
      <c r="U3082">
        <v>-0.32247919999999902</v>
      </c>
      <c r="V3082">
        <v>2.061458E-2</v>
      </c>
      <c r="W3082">
        <v>0.10967730000000001</v>
      </c>
      <c r="X3082">
        <v>0.99375340000000001</v>
      </c>
      <c r="Y3082">
        <v>0.13157289999999999</v>
      </c>
      <c r="Z3082">
        <v>-4.6360000000000004E-3</v>
      </c>
      <c r="AA3082">
        <v>0.99129560000000005</v>
      </c>
      <c r="AB3082">
        <v>46</v>
      </c>
      <c r="AC3082">
        <v>21.375399999999999</v>
      </c>
      <c r="AD3082">
        <v>-1.1047792024759999</v>
      </c>
      <c r="AE3082">
        <v>-2.3352000000000102</v>
      </c>
      <c r="AF3082">
        <v>2.8850476837594701</v>
      </c>
      <c r="AG3082">
        <v>-1.1047792024759999</v>
      </c>
      <c r="AH3082">
        <v>21.251022137225601</v>
      </c>
      <c r="AI3082">
        <v>92.948959365374904</v>
      </c>
      <c r="AJ3082">
        <v>82.268767543509597</v>
      </c>
      <c r="AK3082">
        <v>21.474402881119701</v>
      </c>
    </row>
    <row r="3083" spans="1:37" x14ac:dyDescent="0.2">
      <c r="A3083" t="str">
        <f>"20200111153710525"</f>
        <v>20200111153710525</v>
      </c>
      <c r="B3083" t="str">
        <f>"1578728230515701"</f>
        <v>1578728230515701</v>
      </c>
      <c r="C3083" t="s">
        <v>37</v>
      </c>
      <c r="D3083">
        <v>6.1751849999999999</v>
      </c>
      <c r="E3083">
        <v>0.53897150000000005</v>
      </c>
      <c r="F3083" t="s">
        <v>45</v>
      </c>
      <c r="G3083">
        <v>-348.71859999999998</v>
      </c>
      <c r="H3083" s="1">
        <v>3.1027989999999999E-6</v>
      </c>
      <c r="I3083">
        <v>212.90270000000001</v>
      </c>
      <c r="J3083">
        <v>-369.0394</v>
      </c>
      <c r="K3083">
        <v>1.1047309999999999</v>
      </c>
      <c r="L3083">
        <v>215.02459999999999</v>
      </c>
      <c r="M3083">
        <v>0.99955139999999998</v>
      </c>
      <c r="N3083">
        <v>0</v>
      </c>
      <c r="O3083">
        <v>2.612037E-2</v>
      </c>
      <c r="P3083">
        <v>0.99590869999999998</v>
      </c>
      <c r="Q3083">
        <v>8.9488949999999998E-2</v>
      </c>
      <c r="R3083">
        <v>1.255534E-2</v>
      </c>
      <c r="S3083">
        <v>3.0307309999999998</v>
      </c>
      <c r="T3083">
        <v>-0.1609622</v>
      </c>
      <c r="U3083">
        <v>-0.30731199999999997</v>
      </c>
      <c r="V3083">
        <v>1.344417E-2</v>
      </c>
      <c r="W3083">
        <v>0.10407809999999899</v>
      </c>
      <c r="X3083">
        <v>0.99447819999999998</v>
      </c>
      <c r="Y3083">
        <v>0.1266236</v>
      </c>
      <c r="Z3083">
        <v>-4.7347750000000001E-3</v>
      </c>
      <c r="AA3083">
        <v>0.99193949999999997</v>
      </c>
      <c r="AB3083">
        <v>46</v>
      </c>
      <c r="AC3083">
        <v>20.320799999999998</v>
      </c>
      <c r="AD3083">
        <v>-1.104727897201</v>
      </c>
      <c r="AE3083">
        <v>-2.1218999999999801</v>
      </c>
      <c r="AF3083">
        <v>2.64428880615728</v>
      </c>
      <c r="AG3083">
        <v>-1.104727897201</v>
      </c>
      <c r="AH3083">
        <v>20.1993792988203</v>
      </c>
      <c r="AI3083">
        <v>93.104023295113095</v>
      </c>
      <c r="AJ3083">
        <v>82.541854489029006</v>
      </c>
      <c r="AK3083">
        <v>20.401657066886401</v>
      </c>
    </row>
    <row r="3084" spans="1:37" x14ac:dyDescent="0.2">
      <c r="A3084" t="str">
        <f>"20200111153710547"</f>
        <v>20200111153710547</v>
      </c>
      <c r="B3084" t="str">
        <f>"1578728230536194"</f>
        <v>1578728230536194</v>
      </c>
      <c r="C3084" t="s">
        <v>37</v>
      </c>
      <c r="D3084">
        <v>6.1760070000000002</v>
      </c>
      <c r="E3084">
        <v>0.53885099999999997</v>
      </c>
      <c r="F3084" t="s">
        <v>38</v>
      </c>
      <c r="G3084">
        <v>-368.02760000000001</v>
      </c>
      <c r="H3084">
        <v>1.0431589999999999</v>
      </c>
      <c r="I3084">
        <v>214.9297</v>
      </c>
      <c r="J3084">
        <v>-368.59859999999998</v>
      </c>
      <c r="K3084">
        <v>1.1046910000000001</v>
      </c>
      <c r="L3084">
        <v>215.03620000000001</v>
      </c>
      <c r="M3084">
        <v>0.99955130000000003</v>
      </c>
      <c r="N3084">
        <v>0</v>
      </c>
      <c r="O3084">
        <v>2.6125700000000002E-2</v>
      </c>
      <c r="P3084">
        <v>0.99617069999999996</v>
      </c>
      <c r="Q3084">
        <v>8.5145429999999994E-2</v>
      </c>
      <c r="R3084">
        <v>1.98523E-2</v>
      </c>
      <c r="S3084">
        <v>3.0325319999999998</v>
      </c>
      <c r="T3084">
        <v>-0.1845176</v>
      </c>
      <c r="U3084">
        <v>-0.28471370000000001</v>
      </c>
      <c r="V3084">
        <v>6.1676480000000004E-3</v>
      </c>
      <c r="W3084">
        <v>9.9736359999999996E-2</v>
      </c>
      <c r="X3084">
        <v>0.99499479999999996</v>
      </c>
      <c r="Y3084">
        <v>0.11919100000000001</v>
      </c>
      <c r="Z3084">
        <v>-5.2000969999999999E-3</v>
      </c>
      <c r="AA3084">
        <v>0.99285769999999995</v>
      </c>
      <c r="AB3084">
        <v>46</v>
      </c>
      <c r="AC3084">
        <v>0.57099999999996898</v>
      </c>
      <c r="AD3084">
        <v>-6.1532000000000101E-2</v>
      </c>
      <c r="AE3084">
        <v>-0.106500000000011</v>
      </c>
      <c r="AF3084">
        <v>0.12003594698488899</v>
      </c>
      <c r="AG3084">
        <v>-6.1532000000000101E-2</v>
      </c>
      <c r="AH3084">
        <v>0.56171864370444802</v>
      </c>
      <c r="AI3084">
        <v>96.114422721632593</v>
      </c>
      <c r="AJ3084">
        <v>77.937656960357501</v>
      </c>
      <c r="AK3084">
        <v>0.57768732916494103</v>
      </c>
    </row>
    <row r="3085" spans="1:37" x14ac:dyDescent="0.2">
      <c r="A3085" t="str">
        <f>"20200111153710570"</f>
        <v>20200111153710570</v>
      </c>
      <c r="B3085" t="str">
        <f>"1578728230555714"</f>
        <v>1578728230555714</v>
      </c>
      <c r="C3085" t="s">
        <v>37</v>
      </c>
      <c r="D3085">
        <v>6.1342650000000001</v>
      </c>
      <c r="E3085">
        <v>0.5385318</v>
      </c>
      <c r="F3085" t="s">
        <v>38</v>
      </c>
      <c r="G3085">
        <v>-367.62299999999999</v>
      </c>
      <c r="H3085">
        <v>1.0417449999999999</v>
      </c>
      <c r="I3085">
        <v>214.95099999999999</v>
      </c>
      <c r="J3085">
        <v>-368.14510000000001</v>
      </c>
      <c r="K3085">
        <v>1.104657</v>
      </c>
      <c r="L3085">
        <v>215.04810000000001</v>
      </c>
      <c r="M3085">
        <v>0.99955130000000003</v>
      </c>
      <c r="N3085">
        <v>0</v>
      </c>
      <c r="O3085">
        <v>2.6131379999999999E-2</v>
      </c>
      <c r="P3085">
        <v>0.99631639999999999</v>
      </c>
      <c r="Q3085">
        <v>8.1544920000000007E-2</v>
      </c>
      <c r="R3085">
        <v>2.6541209999999999E-2</v>
      </c>
      <c r="S3085">
        <v>3.03353899999999</v>
      </c>
      <c r="T3085">
        <v>-0.19586779999999901</v>
      </c>
      <c r="U3085">
        <v>-0.26348879999999902</v>
      </c>
      <c r="V3085">
        <v>-5.0483039999999998E-4</v>
      </c>
      <c r="W3085">
        <v>9.6137399999999998E-2</v>
      </c>
      <c r="X3085">
        <v>0.99536789999999997</v>
      </c>
      <c r="Y3085">
        <v>0.1122532</v>
      </c>
      <c r="Z3085">
        <v>-5.2962360000000002E-3</v>
      </c>
      <c r="AA3085">
        <v>0.99366549999999998</v>
      </c>
      <c r="AB3085">
        <v>46</v>
      </c>
      <c r="AC3085">
        <v>0.52209999999996604</v>
      </c>
      <c r="AD3085">
        <v>-6.2911999999999801E-2</v>
      </c>
      <c r="AE3085">
        <v>-9.7100000000011705E-2</v>
      </c>
      <c r="AF3085">
        <v>0.109179232454192</v>
      </c>
      <c r="AG3085">
        <v>-6.2911999999999801E-2</v>
      </c>
      <c r="AH3085">
        <v>0.51219571613353898</v>
      </c>
      <c r="AI3085">
        <v>96.850071823832707</v>
      </c>
      <c r="AJ3085">
        <v>77.966967638181202</v>
      </c>
      <c r="AK3085">
        <v>0.52746798591842103</v>
      </c>
    </row>
    <row r="3086" spans="1:37" x14ac:dyDescent="0.2">
      <c r="A3086" t="str">
        <f>"20200111153710591"</f>
        <v>20200111153710591</v>
      </c>
      <c r="B3086" t="str">
        <f>"1578728230585971"</f>
        <v>1578728230585971</v>
      </c>
      <c r="C3086" t="s">
        <v>37</v>
      </c>
      <c r="D3086">
        <v>6.1369109999999996</v>
      </c>
      <c r="E3086">
        <v>0.53830009999999995</v>
      </c>
      <c r="F3086" t="s">
        <v>38</v>
      </c>
      <c r="G3086">
        <v>-367.21749999999997</v>
      </c>
      <c r="H3086">
        <v>1.0413889999999999</v>
      </c>
      <c r="I3086">
        <v>214.97409999999999</v>
      </c>
      <c r="J3086">
        <v>-367.700999999999</v>
      </c>
      <c r="K3086">
        <v>1.104633</v>
      </c>
      <c r="L3086">
        <v>215.0598</v>
      </c>
      <c r="M3086">
        <v>0.99955099999999997</v>
      </c>
      <c r="N3086">
        <v>0</v>
      </c>
      <c r="O3086">
        <v>2.6136820000000002E-2</v>
      </c>
      <c r="P3086">
        <v>0.99639369999999905</v>
      </c>
      <c r="Q3086">
        <v>7.871148E-2</v>
      </c>
      <c r="R3086">
        <v>3.1690139999999999E-2</v>
      </c>
      <c r="S3086">
        <v>3.0344849999999899</v>
      </c>
      <c r="T3086">
        <v>-0.20704429999999999</v>
      </c>
      <c r="U3086">
        <v>-0.24174499999999999</v>
      </c>
      <c r="V3086">
        <v>-5.6413349999999999E-3</v>
      </c>
      <c r="W3086">
        <v>9.3303990000000003E-2</v>
      </c>
      <c r="X3086">
        <v>0.99562169999999905</v>
      </c>
      <c r="Y3086">
        <v>0.10514080000000001</v>
      </c>
      <c r="Z3086">
        <v>-5.3560400000000003E-3</v>
      </c>
      <c r="AA3086">
        <v>0.99444290000000002</v>
      </c>
      <c r="AB3086">
        <v>46</v>
      </c>
      <c r="AC3086">
        <v>0.48349999999999199</v>
      </c>
      <c r="AD3086">
        <v>-6.3243999999999995E-2</v>
      </c>
      <c r="AE3086">
        <v>-8.5700000000002705E-2</v>
      </c>
      <c r="AF3086">
        <v>9.6705018868667794E-2</v>
      </c>
      <c r="AG3086">
        <v>-6.3243999999999995E-2</v>
      </c>
      <c r="AH3086">
        <v>0.47324413697544099</v>
      </c>
      <c r="AI3086">
        <v>97.459504803398502</v>
      </c>
      <c r="AJ3086">
        <v>78.450899919620696</v>
      </c>
      <c r="AK3086">
        <v>0.48714646400443001</v>
      </c>
    </row>
    <row r="3087" spans="1:37" x14ac:dyDescent="0.2">
      <c r="A3087" t="str">
        <f>"20200111153710615"</f>
        <v>20200111153710615</v>
      </c>
      <c r="B3087" t="str">
        <f>"1578728230606469"</f>
        <v>1578728230606469</v>
      </c>
      <c r="C3087" t="s">
        <v>37</v>
      </c>
      <c r="D3087">
        <v>6.1547320000000001</v>
      </c>
      <c r="E3087">
        <v>0.53848369999999901</v>
      </c>
      <c r="F3087" t="s">
        <v>38</v>
      </c>
      <c r="G3087">
        <v>-366.81229999999999</v>
      </c>
      <c r="H3087">
        <v>1.0389090000000001</v>
      </c>
      <c r="I3087">
        <v>214.9939</v>
      </c>
      <c r="J3087">
        <v>-367.21589999999998</v>
      </c>
      <c r="K3087">
        <v>1.1046039999999999</v>
      </c>
      <c r="L3087">
        <v>215.07249999999999</v>
      </c>
      <c r="M3087">
        <v>0.99955099999999997</v>
      </c>
      <c r="N3087">
        <v>0</v>
      </c>
      <c r="O3087">
        <v>2.6141830000000001E-2</v>
      </c>
      <c r="P3087">
        <v>0.99637240000000005</v>
      </c>
      <c r="Q3087">
        <v>7.7470600000000001E-2</v>
      </c>
      <c r="R3087">
        <v>3.5219529999999999E-2</v>
      </c>
      <c r="S3087">
        <v>3.035736</v>
      </c>
      <c r="T3087">
        <v>-0.22467100000000001</v>
      </c>
      <c r="U3087">
        <v>-0.22410579999999999</v>
      </c>
      <c r="V3087">
        <v>-9.1621480000000002E-3</v>
      </c>
      <c r="W3087">
        <v>9.2060509999999998E-2</v>
      </c>
      <c r="X3087">
        <v>0.99571129999999997</v>
      </c>
      <c r="Y3087">
        <v>9.9329290000000001E-2</v>
      </c>
      <c r="Z3087">
        <v>-5.595605E-3</v>
      </c>
      <c r="AA3087">
        <v>0.99503889999999995</v>
      </c>
      <c r="AB3087">
        <v>46</v>
      </c>
      <c r="AC3087">
        <v>0.40359999999998297</v>
      </c>
      <c r="AD3087">
        <v>-6.5695000000000003E-2</v>
      </c>
      <c r="AE3087">
        <v>-7.8599999999994397E-2</v>
      </c>
      <c r="AF3087">
        <v>8.6906660469729197E-2</v>
      </c>
      <c r="AG3087">
        <v>-6.5695000000000003E-2</v>
      </c>
      <c r="AH3087">
        <v>0.39141549949170001</v>
      </c>
      <c r="AI3087">
        <v>99.305195994955895</v>
      </c>
      <c r="AJ3087">
        <v>77.481593496192801</v>
      </c>
      <c r="AK3087">
        <v>0.40629385166568599</v>
      </c>
    </row>
    <row r="3088" spans="1:37" x14ac:dyDescent="0.2">
      <c r="A3088" t="str">
        <f>"20200111153710640"</f>
        <v>20200111153710640</v>
      </c>
      <c r="B3088" t="str">
        <f>"1578728230635747"</f>
        <v>1578728230635747</v>
      </c>
      <c r="C3088" t="s">
        <v>37</v>
      </c>
      <c r="D3088">
        <v>6.1532539999999996</v>
      </c>
      <c r="E3088">
        <v>0.53891129999999998</v>
      </c>
      <c r="F3088" t="s">
        <v>38</v>
      </c>
      <c r="G3088">
        <v>-366.40429999999998</v>
      </c>
      <c r="H3088">
        <v>1.0423739999999999</v>
      </c>
      <c r="I3088">
        <v>215.01519999999999</v>
      </c>
      <c r="J3088">
        <v>-366.74990000000003</v>
      </c>
      <c r="K3088">
        <v>1.104579</v>
      </c>
      <c r="L3088">
        <v>215.0847</v>
      </c>
      <c r="M3088">
        <v>0.99955090000000002</v>
      </c>
      <c r="N3088">
        <v>0</v>
      </c>
      <c r="O3088">
        <v>2.6145519999999998E-2</v>
      </c>
      <c r="P3088">
        <v>0.99659500000000001</v>
      </c>
      <c r="Q3088">
        <v>7.3417529999999995E-2</v>
      </c>
      <c r="R3088">
        <v>3.753078E-2</v>
      </c>
      <c r="S3088">
        <v>3.0366209999999998</v>
      </c>
      <c r="T3088">
        <v>-0.2330381</v>
      </c>
      <c r="U3088">
        <v>-0.213501</v>
      </c>
      <c r="V3088">
        <v>-1.146148E-2</v>
      </c>
      <c r="W3088">
        <v>8.8009619999999997E-2</v>
      </c>
      <c r="X3088">
        <v>0.99605370000000004</v>
      </c>
      <c r="Y3088">
        <v>9.5838450000000006E-2</v>
      </c>
      <c r="Z3088">
        <v>-5.6691090000000003E-3</v>
      </c>
      <c r="AA3088">
        <v>0.99538079999999995</v>
      </c>
      <c r="AB3088">
        <v>46</v>
      </c>
      <c r="AC3088">
        <v>0.34560000000004698</v>
      </c>
      <c r="AD3088">
        <v>-6.2205000000000003E-2</v>
      </c>
      <c r="AE3088">
        <v>-6.9500000000005002E-2</v>
      </c>
      <c r="AF3088">
        <v>7.6142208260763594E-2</v>
      </c>
      <c r="AG3088">
        <v>-6.2205000000000003E-2</v>
      </c>
      <c r="AH3088">
        <v>0.333286759753946</v>
      </c>
      <c r="AI3088">
        <v>100.31232932077999</v>
      </c>
      <c r="AJ3088">
        <v>77.131145203899607</v>
      </c>
      <c r="AK3088">
        <v>0.34748692368362599</v>
      </c>
    </row>
    <row r="3089" spans="1:37" x14ac:dyDescent="0.2">
      <c r="A3089" t="str">
        <f>"20200111153710703"</f>
        <v>20200111153710703</v>
      </c>
      <c r="B3089" t="str">
        <f>"1578728230696258"</f>
        <v>1578728230696258</v>
      </c>
      <c r="C3089" t="s">
        <v>37</v>
      </c>
      <c r="D3089">
        <v>6.1033599999999897</v>
      </c>
      <c r="E3089">
        <v>0.56230309999999994</v>
      </c>
      <c r="F3089" t="s">
        <v>38</v>
      </c>
      <c r="G3089">
        <v>-364.79379999999998</v>
      </c>
      <c r="H3089">
        <v>1.008262</v>
      </c>
      <c r="I3089">
        <v>214.96729999999999</v>
      </c>
      <c r="J3089">
        <v>-365.42450000000002</v>
      </c>
      <c r="K3089">
        <v>1.104535</v>
      </c>
      <c r="L3089">
        <v>215.11940000000001</v>
      </c>
      <c r="M3089">
        <v>0.99955090000000002</v>
      </c>
      <c r="N3089">
        <v>0</v>
      </c>
      <c r="O3089">
        <v>2.6151830000000001E-2</v>
      </c>
      <c r="P3089">
        <v>0.99708580000000002</v>
      </c>
      <c r="Q3089">
        <v>6.7073729999999998E-2</v>
      </c>
      <c r="R3089">
        <v>3.634648E-2</v>
      </c>
      <c r="S3089">
        <v>3.042084</v>
      </c>
      <c r="T3089">
        <v>-0.26834659999999999</v>
      </c>
      <c r="U3089">
        <v>-0.38943479999999903</v>
      </c>
      <c r="V3089">
        <v>-1.0255419999999999E-2</v>
      </c>
      <c r="W3089">
        <v>8.1664420000000001E-2</v>
      </c>
      <c r="X3089">
        <v>0.99660709999999997</v>
      </c>
      <c r="Y3089">
        <v>0.1521971</v>
      </c>
      <c r="Z3089">
        <v>-8.9668079999999997E-3</v>
      </c>
      <c r="AA3089">
        <v>0.98830949999999995</v>
      </c>
      <c r="AB3089">
        <v>45</v>
      </c>
      <c r="AC3089">
        <v>0.630700000000047</v>
      </c>
      <c r="AD3089">
        <v>-9.6272999999999997E-2</v>
      </c>
      <c r="AE3089">
        <v>-0.152100000000018</v>
      </c>
      <c r="AF3089">
        <v>0.16491236178142701</v>
      </c>
      <c r="AG3089">
        <v>-9.6272999999999997E-2</v>
      </c>
      <c r="AH3089">
        <v>0.61300783662676295</v>
      </c>
      <c r="AI3089">
        <v>98.623654690331506</v>
      </c>
      <c r="AJ3089">
        <v>74.942685841325499</v>
      </c>
      <c r="AK3089">
        <v>0.64206166788179597</v>
      </c>
    </row>
    <row r="3090" spans="1:37" x14ac:dyDescent="0.2">
      <c r="A3090" t="str">
        <f>"20200111153710726"</f>
        <v>20200111153710726</v>
      </c>
      <c r="B3090" t="str">
        <f>"1578728230716285"</f>
        <v>1578728230716285</v>
      </c>
      <c r="C3090" t="s">
        <v>37</v>
      </c>
      <c r="D3090">
        <v>6.0948539999999998</v>
      </c>
      <c r="E3090">
        <v>0.56261319999999904</v>
      </c>
      <c r="F3090" t="s">
        <v>38</v>
      </c>
      <c r="G3090">
        <v>-364.38569999999999</v>
      </c>
      <c r="H3090">
        <v>1.0148740000000001</v>
      </c>
      <c r="I3090">
        <v>214.9829</v>
      </c>
      <c r="J3090">
        <v>-364.9622</v>
      </c>
      <c r="K3090">
        <v>1.104533</v>
      </c>
      <c r="L3090">
        <v>215.13149999999999</v>
      </c>
      <c r="M3090">
        <v>0.99955099999999997</v>
      </c>
      <c r="N3090">
        <v>0</v>
      </c>
      <c r="O3090">
        <v>2.615311E-2</v>
      </c>
      <c r="P3090">
        <v>0.99711729999999998</v>
      </c>
      <c r="Q3090">
        <v>6.7637760000000005E-2</v>
      </c>
      <c r="R3090">
        <v>3.4383579999999997E-2</v>
      </c>
      <c r="S3090">
        <v>3.040924</v>
      </c>
      <c r="T3090">
        <v>-0.26252409999999998</v>
      </c>
      <c r="U3090">
        <v>-0.39855959999999901</v>
      </c>
      <c r="V3090">
        <v>-8.2904620000000002E-3</v>
      </c>
      <c r="W3090">
        <v>8.2225199999999998E-2</v>
      </c>
      <c r="X3090">
        <v>0.99657929999999995</v>
      </c>
      <c r="Y3090">
        <v>0.15517979999999901</v>
      </c>
      <c r="Z3090">
        <v>-8.9026950000000004E-3</v>
      </c>
      <c r="AA3090">
        <v>0.98784609999999995</v>
      </c>
      <c r="AB3090">
        <v>45</v>
      </c>
      <c r="AC3090">
        <v>0.57650000000001</v>
      </c>
      <c r="AD3090">
        <v>-8.9658999999999905E-2</v>
      </c>
      <c r="AE3090">
        <v>-0.14859999999998699</v>
      </c>
      <c r="AF3090">
        <v>0.159999182884212</v>
      </c>
      <c r="AG3090">
        <v>-8.9658999999999905E-2</v>
      </c>
      <c r="AH3090">
        <v>0.55972125371581605</v>
      </c>
      <c r="AI3090">
        <v>98.755672423828003</v>
      </c>
      <c r="AJ3090">
        <v>74.047144472263398</v>
      </c>
      <c r="AK3090">
        <v>0.58900454723696305</v>
      </c>
    </row>
    <row r="3091" spans="1:37" x14ac:dyDescent="0.2">
      <c r="A3091" t="str">
        <f>"20200111153710748"</f>
        <v>20200111153710748</v>
      </c>
      <c r="B3091" t="str">
        <f>"1578728230735806"</f>
        <v>1578728230735806</v>
      </c>
      <c r="C3091" t="s">
        <v>37</v>
      </c>
      <c r="D3091">
        <v>6.1228689999999997</v>
      </c>
      <c r="E3091">
        <v>0.56280330000000001</v>
      </c>
      <c r="F3091" t="s">
        <v>38</v>
      </c>
      <c r="G3091">
        <v>-363.97809999999998</v>
      </c>
      <c r="H3091">
        <v>1.020583</v>
      </c>
      <c r="I3091">
        <v>214.99950000000001</v>
      </c>
      <c r="J3091">
        <v>-364.51780000000002</v>
      </c>
      <c r="K3091">
        <v>1.104527</v>
      </c>
      <c r="L3091">
        <v>215.1431</v>
      </c>
      <c r="M3091">
        <v>0.99955090000000002</v>
      </c>
      <c r="N3091">
        <v>0</v>
      </c>
      <c r="O3091">
        <v>2.615429E-2</v>
      </c>
      <c r="P3091">
        <v>0.99710449999999995</v>
      </c>
      <c r="Q3091">
        <v>6.8584199999999998E-2</v>
      </c>
      <c r="R3091">
        <v>3.2850869999999997E-2</v>
      </c>
      <c r="S3091">
        <v>3.0403439999999899</v>
      </c>
      <c r="T3091">
        <v>-0.25943099999999902</v>
      </c>
      <c r="U3091">
        <v>-0.40690609999999999</v>
      </c>
      <c r="V3091">
        <v>-6.75690699999999E-3</v>
      </c>
      <c r="W3091">
        <v>8.3168010000000001E-2</v>
      </c>
      <c r="X3091">
        <v>0.99651270000000003</v>
      </c>
      <c r="Y3091">
        <v>0.15787570000000001</v>
      </c>
      <c r="Z3091">
        <v>-8.9126929999999993E-3</v>
      </c>
      <c r="AA3091">
        <v>0.98741880000000004</v>
      </c>
      <c r="AB3091">
        <v>45</v>
      </c>
      <c r="AC3091">
        <v>0.53970000000003804</v>
      </c>
      <c r="AD3091">
        <v>-8.3944000000000005E-2</v>
      </c>
      <c r="AE3091">
        <v>-0.14359999999999201</v>
      </c>
      <c r="AF3091">
        <v>0.15418440572731601</v>
      </c>
      <c r="AG3091">
        <v>-8.3944000000000005E-2</v>
      </c>
      <c r="AH3091">
        <v>0.52392236247328705</v>
      </c>
      <c r="AI3091">
        <v>98.738236159739202</v>
      </c>
      <c r="AJ3091">
        <v>73.601442314375205</v>
      </c>
      <c r="AK3091">
        <v>0.55255232150908196</v>
      </c>
    </row>
    <row r="3092" spans="1:37" x14ac:dyDescent="0.2">
      <c r="A3092" t="str">
        <f>"20200111153710770"</f>
        <v>20200111153710770</v>
      </c>
      <c r="B3092" t="str">
        <f>"1578728230766062"</f>
        <v>1578728230766062</v>
      </c>
      <c r="C3092" t="s">
        <v>37</v>
      </c>
      <c r="D3092">
        <v>6.1223539999999996</v>
      </c>
      <c r="E3092">
        <v>0.56302200000000002</v>
      </c>
      <c r="F3092" t="s">
        <v>38</v>
      </c>
      <c r="G3092">
        <v>-363.57139999999998</v>
      </c>
      <c r="H3092">
        <v>1.0243580000000001</v>
      </c>
      <c r="I3092">
        <v>215.01419999999999</v>
      </c>
      <c r="J3092">
        <v>-364.06180000000001</v>
      </c>
      <c r="K3092">
        <v>1.1045320000000001</v>
      </c>
      <c r="L3092">
        <v>215.155</v>
      </c>
      <c r="M3092">
        <v>0.99955090000000002</v>
      </c>
      <c r="N3092">
        <v>0</v>
      </c>
      <c r="O3092">
        <v>2.6155049999999999E-2</v>
      </c>
      <c r="P3092">
        <v>0.99702729999999995</v>
      </c>
      <c r="Q3092">
        <v>7.0356769999999999E-2</v>
      </c>
      <c r="R3092">
        <v>3.1415940000000003E-2</v>
      </c>
      <c r="S3092">
        <v>3.0400700000000001</v>
      </c>
      <c r="T3092">
        <v>-0.25752739999999902</v>
      </c>
      <c r="U3092">
        <v>-0.41340640000000001</v>
      </c>
      <c r="V3092">
        <v>-5.323454E-3</v>
      </c>
      <c r="W3092">
        <v>8.4936040000000004E-2</v>
      </c>
      <c r="X3092">
        <v>0.99637219999999904</v>
      </c>
      <c r="Y3092">
        <v>0.15996379999999999</v>
      </c>
      <c r="Z3092">
        <v>-8.9350179999999994E-3</v>
      </c>
      <c r="AA3092">
        <v>0.98708240000000003</v>
      </c>
      <c r="AB3092">
        <v>45</v>
      </c>
      <c r="AC3092">
        <v>0.49040000000002198</v>
      </c>
      <c r="AD3092">
        <v>-8.0173999999999898E-2</v>
      </c>
      <c r="AE3092">
        <v>-0.140800000000012</v>
      </c>
      <c r="AF3092">
        <v>0.14987875063484299</v>
      </c>
      <c r="AG3092">
        <v>-8.0173999999999898E-2</v>
      </c>
      <c r="AH3092">
        <v>0.474824570869607</v>
      </c>
      <c r="AI3092">
        <v>99.147171767542304</v>
      </c>
      <c r="AJ3092">
        <v>72.481657390429802</v>
      </c>
      <c r="AK3092">
        <v>0.50433112462881802</v>
      </c>
    </row>
    <row r="3093" spans="1:37" x14ac:dyDescent="0.2">
      <c r="A3093" t="str">
        <f>"20200111153710793"</f>
        <v>20200111153710793</v>
      </c>
      <c r="B3093" t="str">
        <f>"1578728230785584"</f>
        <v>1578728230785584</v>
      </c>
      <c r="C3093" t="s">
        <v>37</v>
      </c>
      <c r="D3093">
        <v>6.115469</v>
      </c>
      <c r="E3093">
        <v>0.56311350000000004</v>
      </c>
      <c r="F3093" t="s">
        <v>38</v>
      </c>
      <c r="G3093">
        <v>-363.1635</v>
      </c>
      <c r="H3093">
        <v>1.030413</v>
      </c>
      <c r="I3093">
        <v>215.0309</v>
      </c>
      <c r="J3093">
        <v>-363.60500000000002</v>
      </c>
      <c r="K3093">
        <v>1.1045370000000001</v>
      </c>
      <c r="L3093">
        <v>215.167</v>
      </c>
      <c r="M3093">
        <v>0.99955090000000002</v>
      </c>
      <c r="N3093">
        <v>0</v>
      </c>
      <c r="O3093">
        <v>2.6156059999999998E-2</v>
      </c>
      <c r="P3093">
        <v>0.99693129999999996</v>
      </c>
      <c r="Q3093">
        <v>7.2393299999999994E-2</v>
      </c>
      <c r="R3093">
        <v>2.9786199999999999E-2</v>
      </c>
      <c r="S3093">
        <v>3.0398559999999999</v>
      </c>
      <c r="T3093">
        <v>-0.25091669999999999</v>
      </c>
      <c r="U3093">
        <v>-0.41899110000000001</v>
      </c>
      <c r="V3093">
        <v>-3.6950799999999999E-3</v>
      </c>
      <c r="W3093">
        <v>8.6967439999999993E-2</v>
      </c>
      <c r="X3093">
        <v>0.99620429999999904</v>
      </c>
      <c r="Y3093">
        <v>0.16178100000000001</v>
      </c>
      <c r="Z3093">
        <v>-8.7805829999999998E-3</v>
      </c>
      <c r="AA3093">
        <v>0.98678759999999999</v>
      </c>
      <c r="AB3093">
        <v>45</v>
      </c>
      <c r="AC3093">
        <v>0.44150000000001899</v>
      </c>
      <c r="AD3093">
        <v>-7.4123999999999995E-2</v>
      </c>
      <c r="AE3093">
        <v>-0.136099999999999</v>
      </c>
      <c r="AF3093">
        <v>0.143898426774208</v>
      </c>
      <c r="AG3093">
        <v>-7.4123999999999995E-2</v>
      </c>
      <c r="AH3093">
        <v>0.42680224542578399</v>
      </c>
      <c r="AI3093">
        <v>99.345453488547093</v>
      </c>
      <c r="AJ3093">
        <v>71.368218958116302</v>
      </c>
      <c r="AK3093">
        <v>0.45646607902952002</v>
      </c>
    </row>
    <row r="3094" spans="1:37" x14ac:dyDescent="0.2">
      <c r="A3094" t="str">
        <f>"20200111153710815"</f>
        <v>20200111153710815</v>
      </c>
      <c r="B3094" t="str">
        <f>"1578728230805620"</f>
        <v>1578728230805620</v>
      </c>
      <c r="C3094" t="s">
        <v>37</v>
      </c>
      <c r="D3094">
        <v>6.13659</v>
      </c>
      <c r="E3094">
        <v>0.5631775</v>
      </c>
      <c r="F3094" t="s">
        <v>38</v>
      </c>
      <c r="G3094">
        <v>-362.75670000000002</v>
      </c>
      <c r="H3094">
        <v>1.0358019999999999</v>
      </c>
      <c r="I3094">
        <v>215.04849999999999</v>
      </c>
      <c r="J3094">
        <v>-363.15589999999997</v>
      </c>
      <c r="K3094">
        <v>1.104535</v>
      </c>
      <c r="L3094">
        <v>215.1788</v>
      </c>
      <c r="M3094">
        <v>0.99955110000000003</v>
      </c>
      <c r="N3094">
        <v>0</v>
      </c>
      <c r="O3094">
        <v>2.6156599999999999E-2</v>
      </c>
      <c r="P3094">
        <v>0.99696459999999998</v>
      </c>
      <c r="Q3094">
        <v>7.2242109999999998E-2</v>
      </c>
      <c r="R3094">
        <v>2.9035769999999999E-2</v>
      </c>
      <c r="S3094">
        <v>3.0397949999999998</v>
      </c>
      <c r="T3094">
        <v>-0.2463552</v>
      </c>
      <c r="U3094">
        <v>-0.42373660000000002</v>
      </c>
      <c r="V3094">
        <v>-2.9436250000000001E-3</v>
      </c>
      <c r="W3094">
        <v>8.681353E-2</v>
      </c>
      <c r="X3094">
        <v>0.996220199999999</v>
      </c>
      <c r="Y3094">
        <v>0.16331319999999999</v>
      </c>
      <c r="Z3094">
        <v>-8.6824780000000004E-3</v>
      </c>
      <c r="AA3094">
        <v>0.98653609999999903</v>
      </c>
      <c r="AB3094">
        <v>45</v>
      </c>
      <c r="AC3094">
        <v>0.39919999999994998</v>
      </c>
      <c r="AD3094">
        <v>-6.8732999999999905E-2</v>
      </c>
      <c r="AE3094">
        <v>-0.130300000000005</v>
      </c>
      <c r="AF3094">
        <v>0.137027193960402</v>
      </c>
      <c r="AG3094">
        <v>-6.8732999999999905E-2</v>
      </c>
      <c r="AH3094">
        <v>0.38533154483619397</v>
      </c>
      <c r="AI3094">
        <v>99.540172797943598</v>
      </c>
      <c r="AJ3094">
        <v>70.424178363406398</v>
      </c>
      <c r="AK3094">
        <v>0.41470601227798698</v>
      </c>
    </row>
    <row r="3095" spans="1:37" x14ac:dyDescent="0.2">
      <c r="A3095" t="str">
        <f>"20200111153710837"</f>
        <v>20200111153710837</v>
      </c>
      <c r="B3095" t="str">
        <f>"1578728230826106"</f>
        <v>1578728230826106</v>
      </c>
      <c r="C3095" t="s">
        <v>37</v>
      </c>
      <c r="D3095">
        <v>6.1889580000000004</v>
      </c>
      <c r="E3095">
        <v>0.56339019999999995</v>
      </c>
      <c r="F3095" t="s">
        <v>38</v>
      </c>
      <c r="G3095">
        <v>-362.35140000000001</v>
      </c>
      <c r="H3095">
        <v>1.0390709999999901</v>
      </c>
      <c r="I3095">
        <v>215.0659</v>
      </c>
      <c r="J3095">
        <v>-362.72140000000002</v>
      </c>
      <c r="K3095">
        <v>1.1045209999999901</v>
      </c>
      <c r="L3095">
        <v>215.1902</v>
      </c>
      <c r="M3095">
        <v>0.99955110000000003</v>
      </c>
      <c r="N3095">
        <v>0</v>
      </c>
      <c r="O3095">
        <v>2.616044E-2</v>
      </c>
      <c r="P3095">
        <v>0.99691099999999999</v>
      </c>
      <c r="Q3095">
        <v>7.2299450000000001E-2</v>
      </c>
      <c r="R3095">
        <v>3.068241E-2</v>
      </c>
      <c r="S3095">
        <v>3.0394290000000002</v>
      </c>
      <c r="T3095">
        <v>-0.247430499999999</v>
      </c>
      <c r="U3095">
        <v>-0.42550659999999901</v>
      </c>
      <c r="V3095">
        <v>-4.587219E-3</v>
      </c>
      <c r="W3095">
        <v>8.686816E-2</v>
      </c>
      <c r="X3095">
        <v>0.99620929999999996</v>
      </c>
      <c r="Y3095">
        <v>0.16388939999999999</v>
      </c>
      <c r="Z3095">
        <v>-8.7445579999999995E-3</v>
      </c>
      <c r="AA3095">
        <v>0.98643989999999904</v>
      </c>
      <c r="AB3095">
        <v>45</v>
      </c>
      <c r="AC3095">
        <v>0.37000000000000399</v>
      </c>
      <c r="AD3095">
        <v>-6.5449999999999994E-2</v>
      </c>
      <c r="AE3095">
        <v>-0.124300000000005</v>
      </c>
      <c r="AF3095">
        <v>0.13027485250590601</v>
      </c>
      <c r="AG3095">
        <v>-6.5449999999999994E-2</v>
      </c>
      <c r="AH3095">
        <v>0.35659473039056799</v>
      </c>
      <c r="AI3095">
        <v>99.781488893243605</v>
      </c>
      <c r="AJ3095">
        <v>69.931220723635505</v>
      </c>
      <c r="AK3095">
        <v>0.38524672800395998</v>
      </c>
    </row>
    <row r="3096" spans="1:37" x14ac:dyDescent="0.2">
      <c r="A3096" t="str">
        <f>"20200111153710860"</f>
        <v>20200111153710860</v>
      </c>
      <c r="B3096" t="str">
        <f>"1578728230856362"</f>
        <v>1578728230856362</v>
      </c>
      <c r="C3096" t="s">
        <v>37</v>
      </c>
      <c r="D3096">
        <v>6.1539349999999997</v>
      </c>
      <c r="E3096">
        <v>0.56355859999999902</v>
      </c>
      <c r="F3096" t="s">
        <v>38</v>
      </c>
      <c r="G3096">
        <v>-361.93979999999999</v>
      </c>
      <c r="H3096">
        <v>1.042581</v>
      </c>
      <c r="I3096">
        <v>215.08080000000001</v>
      </c>
      <c r="J3096">
        <v>-362.27109999999999</v>
      </c>
      <c r="K3096">
        <v>1.1045119999999999</v>
      </c>
      <c r="L3096">
        <v>215.202</v>
      </c>
      <c r="M3096">
        <v>0.99955059999999996</v>
      </c>
      <c r="N3096">
        <v>0</v>
      </c>
      <c r="O3096">
        <v>2.6175159999999999E-2</v>
      </c>
      <c r="P3096">
        <v>0.99678829999999996</v>
      </c>
      <c r="Q3096">
        <v>7.2461170000000005E-2</v>
      </c>
      <c r="R3096">
        <v>3.4097879999999997E-2</v>
      </c>
      <c r="S3096">
        <v>3.039825</v>
      </c>
      <c r="T3096">
        <v>-0.24102689999999999</v>
      </c>
      <c r="U3096">
        <v>-0.4239655</v>
      </c>
      <c r="V3096">
        <v>-7.9916120000000004E-3</v>
      </c>
      <c r="W3096">
        <v>8.7026829999999999E-2</v>
      </c>
      <c r="X3096">
        <v>0.99617389999999995</v>
      </c>
      <c r="Y3096">
        <v>0.16342870000000001</v>
      </c>
      <c r="Z3096">
        <v>-8.5011589999999995E-3</v>
      </c>
      <c r="AA3096">
        <v>0.98651849999999996</v>
      </c>
      <c r="AB3096">
        <v>45</v>
      </c>
      <c r="AC3096">
        <v>0.33129999999999798</v>
      </c>
      <c r="AD3096">
        <v>-6.1931000000000097E-2</v>
      </c>
      <c r="AE3096">
        <v>-0.121199999999987</v>
      </c>
      <c r="AF3096">
        <v>0.125949530569995</v>
      </c>
      <c r="AG3096">
        <v>-6.1931000000000097E-2</v>
      </c>
      <c r="AH3096">
        <v>0.31820675068777798</v>
      </c>
      <c r="AI3096">
        <v>100.25752364735</v>
      </c>
      <c r="AJ3096">
        <v>68.405827217485395</v>
      </c>
      <c r="AK3096">
        <v>0.34778480299615699</v>
      </c>
    </row>
    <row r="3097" spans="1:37" x14ac:dyDescent="0.2">
      <c r="A3097" t="str">
        <f>"20200111153710882"</f>
        <v>20200111153710882</v>
      </c>
      <c r="B3097" t="str">
        <f>"1578728230875883"</f>
        <v>1578728230875883</v>
      </c>
      <c r="C3097" t="s">
        <v>37</v>
      </c>
      <c r="D3097">
        <v>6.0289519999999897</v>
      </c>
      <c r="E3097">
        <v>0.56375659999999905</v>
      </c>
      <c r="F3097" t="s">
        <v>45</v>
      </c>
      <c r="G3097">
        <v>-348.10480000000001</v>
      </c>
      <c r="H3097" s="1">
        <v>2.7761800000000001E-6</v>
      </c>
      <c r="I3097">
        <v>213.25470000000001</v>
      </c>
      <c r="J3097">
        <v>-361.81509999999997</v>
      </c>
      <c r="K3097">
        <v>1.1045149999999999</v>
      </c>
      <c r="L3097">
        <v>215.214</v>
      </c>
      <c r="M3097">
        <v>0.99954979999999904</v>
      </c>
      <c r="N3097">
        <v>0</v>
      </c>
      <c r="O3097">
        <v>2.6207330000000001E-2</v>
      </c>
      <c r="P3097">
        <v>0.99669839999999998</v>
      </c>
      <c r="Q3097">
        <v>7.2050810000000007E-2</v>
      </c>
      <c r="R3097">
        <v>3.7431939999999997E-2</v>
      </c>
      <c r="S3097">
        <v>3.0411990000000002</v>
      </c>
      <c r="T3097">
        <v>-0.23711499999999999</v>
      </c>
      <c r="U3097">
        <v>-0.418045</v>
      </c>
      <c r="V3097">
        <v>-1.1297110000000001E-2</v>
      </c>
      <c r="W3097">
        <v>8.6613540000000003E-2</v>
      </c>
      <c r="X3097">
        <v>0.99617789999999995</v>
      </c>
      <c r="Y3097">
        <v>0.1615395</v>
      </c>
      <c r="Z3097">
        <v>-8.2902589999999995E-3</v>
      </c>
      <c r="AA3097">
        <v>0.98683140000000003</v>
      </c>
      <c r="AB3097">
        <v>45</v>
      </c>
      <c r="AC3097">
        <v>13.710299999999901</v>
      </c>
      <c r="AD3097">
        <v>-1.10451222381999</v>
      </c>
      <c r="AE3097">
        <v>-1.95930000000001</v>
      </c>
      <c r="AF3097">
        <v>2.30332609794403</v>
      </c>
      <c r="AG3097">
        <v>-1.10451222381999</v>
      </c>
      <c r="AH3097">
        <v>13.5679422999417</v>
      </c>
      <c r="AI3097">
        <v>94.588595186323502</v>
      </c>
      <c r="AJ3097">
        <v>80.365187737996393</v>
      </c>
      <c r="AK3097">
        <v>13.806314374973001</v>
      </c>
    </row>
    <row r="3098" spans="1:37" x14ac:dyDescent="0.2">
      <c r="A3098" t="str">
        <f>"20200111153710905"</f>
        <v>20200111153710905</v>
      </c>
      <c r="B3098" t="str">
        <f>"1578728230896378"</f>
        <v>1578728230896378</v>
      </c>
      <c r="C3098" t="s">
        <v>37</v>
      </c>
      <c r="D3098">
        <v>6.013433</v>
      </c>
      <c r="E3098">
        <v>0.56375399999999998</v>
      </c>
      <c r="F3098" t="s">
        <v>38</v>
      </c>
      <c r="G3098">
        <v>-360.74610000000001</v>
      </c>
      <c r="H3098">
        <v>1.0217860000000001</v>
      </c>
      <c r="I3098">
        <v>215.06909999999999</v>
      </c>
      <c r="J3098">
        <v>-361.35480000000001</v>
      </c>
      <c r="K3098">
        <v>1.104522</v>
      </c>
      <c r="L3098">
        <v>215.22620000000001</v>
      </c>
      <c r="M3098">
        <v>0.99954869999999996</v>
      </c>
      <c r="N3098">
        <v>0</v>
      </c>
      <c r="O3098">
        <v>2.6255509999999999E-2</v>
      </c>
      <c r="P3098">
        <v>0.99669609999999997</v>
      </c>
      <c r="Q3098">
        <v>7.0571949999999994E-2</v>
      </c>
      <c r="R3098">
        <v>4.0212629999999999E-2</v>
      </c>
      <c r="S3098">
        <v>3.04241899999999</v>
      </c>
      <c r="T3098">
        <v>-0.23547170000000001</v>
      </c>
      <c r="U3098">
        <v>-0.411987299999999</v>
      </c>
      <c r="V3098">
        <v>-1.4031149999999999E-2</v>
      </c>
      <c r="W3098">
        <v>8.5132260000000001E-2</v>
      </c>
      <c r="X3098">
        <v>0.99627080000000001</v>
      </c>
      <c r="Y3098">
        <v>0.159617799999999</v>
      </c>
      <c r="Z3098">
        <v>-8.1605870000000004E-3</v>
      </c>
      <c r="AA3098">
        <v>0.98714519999999994</v>
      </c>
      <c r="AB3098">
        <v>45</v>
      </c>
      <c r="AC3098">
        <v>0.60869999999999802</v>
      </c>
      <c r="AD3098">
        <v>-8.2735999999999907E-2</v>
      </c>
      <c r="AE3098">
        <v>-0.15710000000001401</v>
      </c>
      <c r="AF3098">
        <v>0.170083227315807</v>
      </c>
      <c r="AG3098">
        <v>-8.2735999999999907E-2</v>
      </c>
      <c r="AH3098">
        <v>0.59407488253052199</v>
      </c>
      <c r="AI3098">
        <v>97.625946025350601</v>
      </c>
      <c r="AJ3098">
        <v>74.023619381863796</v>
      </c>
      <c r="AK3098">
        <v>0.62345690786438002</v>
      </c>
    </row>
    <row r="3099" spans="1:37" x14ac:dyDescent="0.2">
      <c r="A3099" t="str">
        <f>"20200111153710927"</f>
        <v>20200111153710927</v>
      </c>
      <c r="B3099" t="str">
        <f>"1578728230916406"</f>
        <v>1578728230916406</v>
      </c>
      <c r="C3099" t="s">
        <v>37</v>
      </c>
      <c r="D3099">
        <v>6.0427929999999996</v>
      </c>
      <c r="E3099">
        <v>0.54584909999999998</v>
      </c>
      <c r="F3099" t="s">
        <v>38</v>
      </c>
      <c r="G3099">
        <v>-360.34390000000002</v>
      </c>
      <c r="H3099">
        <v>1.025253</v>
      </c>
      <c r="I3099">
        <v>215.0915</v>
      </c>
      <c r="J3099">
        <v>-360.91730000000001</v>
      </c>
      <c r="K3099">
        <v>1.104528</v>
      </c>
      <c r="L3099">
        <v>215.23769999999999</v>
      </c>
      <c r="M3099">
        <v>0.99954719999999997</v>
      </c>
      <c r="N3099">
        <v>0</v>
      </c>
      <c r="O3099">
        <v>2.6312789999999999E-2</v>
      </c>
      <c r="P3099">
        <v>0.99665469999999901</v>
      </c>
      <c r="Q3099">
        <v>6.9845039999999997E-2</v>
      </c>
      <c r="R3099">
        <v>4.2444469999999998E-2</v>
      </c>
      <c r="S3099">
        <v>3.0432130000000002</v>
      </c>
      <c r="T3099">
        <v>-0.23871100000000001</v>
      </c>
      <c r="U3099">
        <v>-0.4046631</v>
      </c>
      <c r="V3099">
        <v>-1.6208839999999999E-2</v>
      </c>
      <c r="W3099">
        <v>8.4402000000000005E-2</v>
      </c>
      <c r="X3099">
        <v>0.99629990000000002</v>
      </c>
      <c r="Y3099">
        <v>0.15729779999999999</v>
      </c>
      <c r="Z3099">
        <v>-8.1856930000000008E-3</v>
      </c>
      <c r="AA3099">
        <v>0.98751730000000004</v>
      </c>
      <c r="AB3099">
        <v>45</v>
      </c>
      <c r="AC3099">
        <v>0.57339999999999203</v>
      </c>
      <c r="AD3099">
        <v>-7.9275000000000206E-2</v>
      </c>
      <c r="AE3099">
        <v>-0.146199999999993</v>
      </c>
      <c r="AF3099">
        <v>0.15839592214467399</v>
      </c>
      <c r="AG3099">
        <v>-7.9275000000000206E-2</v>
      </c>
      <c r="AH3099">
        <v>0.55931577426216295</v>
      </c>
      <c r="AI3099">
        <v>97.765670128596199</v>
      </c>
      <c r="AJ3099">
        <v>74.188096636728105</v>
      </c>
      <c r="AK3099">
        <v>0.58669236326676799</v>
      </c>
    </row>
    <row r="3100" spans="1:37" x14ac:dyDescent="0.2">
      <c r="A3100" t="str">
        <f>"20200111153710948"</f>
        <v>20200111153710948</v>
      </c>
      <c r="B3100" t="str">
        <f>"1578728230935929"</f>
        <v>1578728230935929</v>
      </c>
      <c r="C3100" t="s">
        <v>37</v>
      </c>
      <c r="D3100">
        <v>5.9985390000000001</v>
      </c>
      <c r="E3100">
        <v>0.54570010000000002</v>
      </c>
      <c r="F3100" t="s">
        <v>38</v>
      </c>
      <c r="G3100">
        <v>-359.94720000000001</v>
      </c>
      <c r="H3100">
        <v>1.0251269999999999</v>
      </c>
      <c r="I3100">
        <v>215.15610000000001</v>
      </c>
      <c r="J3100">
        <v>-360.49009999999998</v>
      </c>
      <c r="K3100">
        <v>1.1045479999999901</v>
      </c>
      <c r="L3100">
        <v>215.249</v>
      </c>
      <c r="M3100">
        <v>0.99954549999999998</v>
      </c>
      <c r="N3100">
        <v>0</v>
      </c>
      <c r="O3100">
        <v>2.637892E-2</v>
      </c>
      <c r="P3100">
        <v>0.99648630000000005</v>
      </c>
      <c r="Q3100">
        <v>7.147133E-2</v>
      </c>
      <c r="R3100">
        <v>4.3669699999999902E-2</v>
      </c>
      <c r="S3100">
        <v>3.0384220000000002</v>
      </c>
      <c r="T3100">
        <v>-0.24872329999999901</v>
      </c>
      <c r="U3100">
        <v>-0.2554321</v>
      </c>
      <c r="V3100">
        <v>-1.737462E-2</v>
      </c>
      <c r="W3100">
        <v>8.6023530000000001E-2</v>
      </c>
      <c r="X3100">
        <v>0.99614159999999996</v>
      </c>
      <c r="Y3100">
        <v>0.10957989999999999</v>
      </c>
      <c r="Z3100">
        <v>-6.6223539999999996E-3</v>
      </c>
      <c r="AA3100">
        <v>0.9939559</v>
      </c>
      <c r="AB3100">
        <v>45</v>
      </c>
      <c r="AC3100">
        <v>0.54289999999997396</v>
      </c>
      <c r="AD3100">
        <v>-7.94209999999997E-2</v>
      </c>
      <c r="AE3100">
        <v>-9.2900000000014402E-2</v>
      </c>
      <c r="AF3100">
        <v>0.10500699744116</v>
      </c>
      <c r="AG3100">
        <v>-7.94209999999997E-2</v>
      </c>
      <c r="AH3100">
        <v>0.52925587240423899</v>
      </c>
      <c r="AI3100">
        <v>98.373383654106206</v>
      </c>
      <c r="AJ3100">
        <v>78.777967761124799</v>
      </c>
      <c r="AK3100">
        <v>0.545386049717977</v>
      </c>
    </row>
    <row r="3101" spans="1:37" x14ac:dyDescent="0.2">
      <c r="A3101" t="str">
        <f>"20200111153710971"</f>
        <v>20200111153710971</v>
      </c>
      <c r="B3101" t="str">
        <f>"1578728230966182"</f>
        <v>1578728230966182</v>
      </c>
      <c r="C3101" t="s">
        <v>37</v>
      </c>
      <c r="D3101">
        <v>5.9813450000000001</v>
      </c>
      <c r="E3101">
        <v>0.54729130000000004</v>
      </c>
      <c r="F3101" t="s">
        <v>38</v>
      </c>
      <c r="G3101">
        <v>-359.5444</v>
      </c>
      <c r="H3101">
        <v>1.0282990000000001</v>
      </c>
      <c r="I3101">
        <v>215.17080000000001</v>
      </c>
      <c r="J3101">
        <v>-360.029</v>
      </c>
      <c r="K3101">
        <v>1.1045769999999999</v>
      </c>
      <c r="L3101">
        <v>215.26130000000001</v>
      </c>
      <c r="M3101">
        <v>0.99954330000000002</v>
      </c>
      <c r="N3101">
        <v>0</v>
      </c>
      <c r="O3101">
        <v>2.6460770000000002E-2</v>
      </c>
      <c r="P3101">
        <v>0.99627410000000005</v>
      </c>
      <c r="Q3101">
        <v>7.4395210000000003E-2</v>
      </c>
      <c r="R3101">
        <v>4.3629849999999998E-2</v>
      </c>
      <c r="S3101">
        <v>3.0390929999999998</v>
      </c>
      <c r="T3101">
        <v>-0.24509499999999901</v>
      </c>
      <c r="U3101">
        <v>-0.25050349999999999</v>
      </c>
      <c r="V3101">
        <v>-1.7260930000000001E-2</v>
      </c>
      <c r="W3101">
        <v>8.8940549999999993E-2</v>
      </c>
      <c r="X3101">
        <v>0.99588729999999903</v>
      </c>
      <c r="Y3101">
        <v>0.1080598</v>
      </c>
      <c r="Z3101">
        <v>-6.4705439999999999E-3</v>
      </c>
      <c r="AA3101">
        <v>0.99412330000000004</v>
      </c>
      <c r="AB3101">
        <v>45</v>
      </c>
      <c r="AC3101">
        <v>0.48459999999999998</v>
      </c>
      <c r="AD3101">
        <v>-7.6277999999999999E-2</v>
      </c>
      <c r="AE3101">
        <v>-9.0499999999991601E-2</v>
      </c>
      <c r="AF3101">
        <v>0.100877447220282</v>
      </c>
      <c r="AG3101">
        <v>-7.6277999999999999E-2</v>
      </c>
      <c r="AH3101">
        <v>0.47076472213908299</v>
      </c>
      <c r="AI3101">
        <v>99.002734137222802</v>
      </c>
      <c r="AJ3101">
        <v>77.905325253747606</v>
      </c>
      <c r="AK3101">
        <v>0.48745668141114701</v>
      </c>
    </row>
    <row r="3102" spans="1:37" x14ac:dyDescent="0.2">
      <c r="A3102" t="str">
        <f>"20200111153710993"</f>
        <v>20200111153710993</v>
      </c>
      <c r="B3102" t="str">
        <f>"1578728230985702"</f>
        <v>1578728230985702</v>
      </c>
      <c r="C3102" t="s">
        <v>37</v>
      </c>
      <c r="D3102">
        <v>5.9369249999999996</v>
      </c>
      <c r="E3102">
        <v>0.54829719999999904</v>
      </c>
      <c r="F3102" t="s">
        <v>38</v>
      </c>
      <c r="G3102">
        <v>-359.13920000000002</v>
      </c>
      <c r="H3102">
        <v>1.0367040000000001</v>
      </c>
      <c r="I3102">
        <v>215.1842</v>
      </c>
      <c r="J3102">
        <v>-359.5736</v>
      </c>
      <c r="K3102">
        <v>1.1046069999999999</v>
      </c>
      <c r="L3102">
        <v>215.27340000000001</v>
      </c>
      <c r="M3102">
        <v>0.99954089999999995</v>
      </c>
      <c r="N3102">
        <v>0</v>
      </c>
      <c r="O3102">
        <v>2.654927E-2</v>
      </c>
      <c r="P3102">
        <v>0.99584280000000003</v>
      </c>
      <c r="Q3102">
        <v>8.0347710000000003E-2</v>
      </c>
      <c r="R3102">
        <v>4.2912649999999997E-2</v>
      </c>
      <c r="S3102">
        <v>3.0400390000000002</v>
      </c>
      <c r="T3102">
        <v>-0.231923299999999</v>
      </c>
      <c r="U3102">
        <v>-0.2627563</v>
      </c>
      <c r="V3102">
        <v>-1.6470200000000001E-2</v>
      </c>
      <c r="W3102">
        <v>9.488241E-2</v>
      </c>
      <c r="X3102">
        <v>0.99535219999999902</v>
      </c>
      <c r="Y3102">
        <v>0.1121337</v>
      </c>
      <c r="Z3102">
        <v>-6.2825619999999898E-3</v>
      </c>
      <c r="AA3102">
        <v>0.99367329999999998</v>
      </c>
      <c r="AB3102">
        <v>45</v>
      </c>
      <c r="AC3102">
        <v>0.43439999999998202</v>
      </c>
      <c r="AD3102">
        <v>-6.7902999999999797E-2</v>
      </c>
      <c r="AE3102">
        <v>-8.9200000000005206E-2</v>
      </c>
      <c r="AF3102">
        <v>9.8395830756791106E-2</v>
      </c>
      <c r="AG3102">
        <v>-6.7902999999999797E-2</v>
      </c>
      <c r="AH3102">
        <v>0.42198469993621002</v>
      </c>
      <c r="AI3102">
        <v>98.9063652947017</v>
      </c>
      <c r="AJ3102">
        <v>76.874639579644395</v>
      </c>
      <c r="AK3102">
        <v>0.43859279964401099</v>
      </c>
    </row>
    <row r="3103" spans="1:37" x14ac:dyDescent="0.2">
      <c r="A3103" t="str">
        <f>"20200111153711015"</f>
        <v>20200111153711015</v>
      </c>
      <c r="B3103" t="str">
        <f>"1578728231006198"</f>
        <v>1578728231006198</v>
      </c>
      <c r="C3103" t="s">
        <v>37</v>
      </c>
      <c r="D3103">
        <v>5.9553409999999998</v>
      </c>
      <c r="E3103">
        <v>0.54872100000000001</v>
      </c>
      <c r="F3103" t="s">
        <v>38</v>
      </c>
      <c r="G3103">
        <v>-358.731999999999</v>
      </c>
      <c r="H3103">
        <v>1.045712</v>
      </c>
      <c r="I3103">
        <v>215.1978</v>
      </c>
      <c r="J3103">
        <v>-359.12290000000002</v>
      </c>
      <c r="K3103">
        <v>1.104638</v>
      </c>
      <c r="L3103">
        <v>215.28540000000001</v>
      </c>
      <c r="M3103">
        <v>0.999538699999999</v>
      </c>
      <c r="N3103">
        <v>0</v>
      </c>
      <c r="O3103">
        <v>2.6641560000000002E-2</v>
      </c>
      <c r="P3103">
        <v>0.99539609999999901</v>
      </c>
      <c r="Q3103">
        <v>8.6018860000000003E-2</v>
      </c>
      <c r="R3103">
        <v>4.2278349999999999E-2</v>
      </c>
      <c r="S3103">
        <v>3.0414430000000001</v>
      </c>
      <c r="T3103">
        <v>-0.21304239999999999</v>
      </c>
      <c r="U3103">
        <v>-0.27218629999999999</v>
      </c>
      <c r="V3103">
        <v>-1.5758479999999998E-2</v>
      </c>
      <c r="W3103">
        <v>0.10054339999999901</v>
      </c>
      <c r="X3103">
        <v>0.99480789999999997</v>
      </c>
      <c r="Y3103">
        <v>0.115297699999999</v>
      </c>
      <c r="Z3103">
        <v>-5.8858919999999898E-3</v>
      </c>
      <c r="AA3103">
        <v>0.99331360000000002</v>
      </c>
      <c r="AB3103">
        <v>45</v>
      </c>
      <c r="AC3103">
        <v>0.39090000000004399</v>
      </c>
      <c r="AD3103">
        <v>-5.8925999999999999E-2</v>
      </c>
      <c r="AE3103">
        <v>-8.7600000000008907E-2</v>
      </c>
      <c r="AF3103">
        <v>9.5908985135573305E-2</v>
      </c>
      <c r="AG3103">
        <v>-5.8925999999999999E-2</v>
      </c>
      <c r="AH3103">
        <v>0.380200670735028</v>
      </c>
      <c r="AI3103">
        <v>98.546390444437705</v>
      </c>
      <c r="AJ3103">
        <v>75.842011777514301</v>
      </c>
      <c r="AK3103">
        <v>0.396514005973434</v>
      </c>
    </row>
    <row r="3104" spans="1:37" x14ac:dyDescent="0.2">
      <c r="A3104" t="str">
        <f>"20200111153711038"</f>
        <v>20200111153711038</v>
      </c>
      <c r="B3104" t="str">
        <f>"1578728231025721"</f>
        <v>1578728231025721</v>
      </c>
      <c r="C3104" t="s">
        <v>37</v>
      </c>
      <c r="D3104">
        <v>5.935403</v>
      </c>
      <c r="E3104">
        <v>0.54844490000000001</v>
      </c>
      <c r="F3104" t="s">
        <v>45</v>
      </c>
      <c r="G3104">
        <v>-342.13819999999998</v>
      </c>
      <c r="H3104" s="1">
        <v>-3.9897490000000002E-7</v>
      </c>
      <c r="I3104">
        <v>213.7432</v>
      </c>
      <c r="J3104">
        <v>-358.69529999999997</v>
      </c>
      <c r="K3104">
        <v>1.1046559999999901</v>
      </c>
      <c r="L3104">
        <v>215.29679999999999</v>
      </c>
      <c r="M3104">
        <v>0.99953630000000004</v>
      </c>
      <c r="N3104">
        <v>0</v>
      </c>
      <c r="O3104">
        <v>2.6731330000000001E-2</v>
      </c>
      <c r="P3104">
        <v>0.99527589999999999</v>
      </c>
      <c r="Q3104">
        <v>8.7878120000000004E-2</v>
      </c>
      <c r="R3104">
        <v>4.1273049999999999E-2</v>
      </c>
      <c r="S3104">
        <v>3.042694</v>
      </c>
      <c r="T3104">
        <v>-0.19788829999999999</v>
      </c>
      <c r="U3104">
        <v>-0.27627560000000001</v>
      </c>
      <c r="V3104">
        <v>-1.466892E-2</v>
      </c>
      <c r="W3104">
        <v>0.1023968</v>
      </c>
      <c r="X3104">
        <v>0.99463550000000001</v>
      </c>
      <c r="Y3104">
        <v>0.1167192</v>
      </c>
      <c r="Z3104">
        <v>-5.5174780000000001E-3</v>
      </c>
      <c r="AA3104">
        <v>0.99314959999999997</v>
      </c>
      <c r="AB3104">
        <v>45</v>
      </c>
      <c r="AC3104">
        <v>16.557099999999899</v>
      </c>
      <c r="AD3104">
        <v>-1.1046563989748901</v>
      </c>
      <c r="AE3104">
        <v>-1.5535999999999801</v>
      </c>
      <c r="AF3104">
        <v>1.98691791680968</v>
      </c>
      <c r="AG3104">
        <v>-1.1046563989748901</v>
      </c>
      <c r="AH3104">
        <v>16.437120112112101</v>
      </c>
      <c r="AI3104">
        <v>93.817077276530497</v>
      </c>
      <c r="AJ3104">
        <v>83.107531226289396</v>
      </c>
      <c r="AK3104">
        <v>16.593583884981999</v>
      </c>
    </row>
    <row r="3105" spans="1:37" x14ac:dyDescent="0.2">
      <c r="A3105" t="str">
        <f>"20200111153711059"</f>
        <v>20200111153711059</v>
      </c>
      <c r="B3105" t="str">
        <f>"1578728231055975"</f>
        <v>1578728231055975</v>
      </c>
      <c r="C3105" t="s">
        <v>37</v>
      </c>
      <c r="D3105">
        <v>5.9472899999999997</v>
      </c>
      <c r="E3105">
        <v>0.55299219999999905</v>
      </c>
      <c r="F3105" t="s">
        <v>45</v>
      </c>
      <c r="G3105">
        <v>-341.13780000000003</v>
      </c>
      <c r="H3105" s="1">
        <v>-9.3132829999999898E-7</v>
      </c>
      <c r="I3105">
        <v>213.6978</v>
      </c>
      <c r="J3105">
        <v>-358.25360000000001</v>
      </c>
      <c r="K3105">
        <v>1.1046450000000001</v>
      </c>
      <c r="L3105">
        <v>215.30869999999999</v>
      </c>
      <c r="M3105">
        <v>0.99953380000000003</v>
      </c>
      <c r="N3105">
        <v>0</v>
      </c>
      <c r="O3105">
        <v>2.6825020000000002E-2</v>
      </c>
      <c r="P3105">
        <v>0.99554390000000004</v>
      </c>
      <c r="Q3105">
        <v>8.4694610000000004E-2</v>
      </c>
      <c r="R3105">
        <v>4.1468140000000001E-2</v>
      </c>
      <c r="S3105">
        <v>3.0426329999999999</v>
      </c>
      <c r="T3105">
        <v>-0.1914313</v>
      </c>
      <c r="U3105">
        <v>-0.277099599999999</v>
      </c>
      <c r="V3105">
        <v>-1.4764289999999999E-2</v>
      </c>
      <c r="W3105">
        <v>9.9214910000000003E-2</v>
      </c>
      <c r="X3105">
        <v>0.99495650000000002</v>
      </c>
      <c r="Y3105">
        <v>0.1170992</v>
      </c>
      <c r="Z3105">
        <v>-5.35564599999999E-3</v>
      </c>
      <c r="AA3105">
        <v>0.99310580000000004</v>
      </c>
      <c r="AB3105">
        <v>45</v>
      </c>
      <c r="AC3105">
        <v>17.115799999999901</v>
      </c>
      <c r="AD3105">
        <v>-1.1046459313282999</v>
      </c>
      <c r="AE3105">
        <v>-1.61089999999998</v>
      </c>
      <c r="AF3105">
        <v>2.06099129783507</v>
      </c>
      <c r="AG3105">
        <v>-1.1046459313282999</v>
      </c>
      <c r="AH3105">
        <v>16.9962486923861</v>
      </c>
      <c r="AI3105">
        <v>93.691656852778195</v>
      </c>
      <c r="AJ3105">
        <v>83.085982384566094</v>
      </c>
      <c r="AK3105">
        <v>17.156351517055999</v>
      </c>
    </row>
    <row r="3106" spans="1:37" x14ac:dyDescent="0.2">
      <c r="A3106" t="str">
        <f>"20200111153711082"</f>
        <v>20200111153711082</v>
      </c>
      <c r="B3106" t="str">
        <f>"1578728231076471"</f>
        <v>1578728231076471</v>
      </c>
      <c r="C3106" t="s">
        <v>37</v>
      </c>
      <c r="D3106">
        <v>5.9385599999999998</v>
      </c>
      <c r="E3106">
        <v>0.55350310000000003</v>
      </c>
      <c r="F3106" t="s">
        <v>38</v>
      </c>
      <c r="G3106">
        <v>-357.1429</v>
      </c>
      <c r="H3106">
        <v>1.0226979999999899</v>
      </c>
      <c r="I3106">
        <v>215.19380000000001</v>
      </c>
      <c r="J3106">
        <v>-357.80630000000002</v>
      </c>
      <c r="K3106">
        <v>1.1046260000000001</v>
      </c>
      <c r="L3106">
        <v>215.32079999999999</v>
      </c>
      <c r="M3106">
        <v>0.99953130000000001</v>
      </c>
      <c r="N3106">
        <v>0</v>
      </c>
      <c r="O3106">
        <v>2.6919950000000002E-2</v>
      </c>
      <c r="P3106">
        <v>0.99580550000000001</v>
      </c>
      <c r="Q3106">
        <v>8.1208379999999997E-2</v>
      </c>
      <c r="R3106">
        <v>4.2150680000000003E-2</v>
      </c>
      <c r="S3106">
        <v>3.0456240000000001</v>
      </c>
      <c r="T3106">
        <v>-0.22483989999999901</v>
      </c>
      <c r="U3106">
        <v>-0.31417849999999897</v>
      </c>
      <c r="V3106">
        <v>-1.5345030000000001E-2</v>
      </c>
      <c r="W3106">
        <v>9.5730159999999995E-2</v>
      </c>
      <c r="X3106">
        <v>0.99528899999999998</v>
      </c>
      <c r="Y3106">
        <v>0.12893640000000001</v>
      </c>
      <c r="Z3106">
        <v>-6.7204219999999898E-3</v>
      </c>
      <c r="AA3106">
        <v>0.99163009999999996</v>
      </c>
      <c r="AB3106">
        <v>45</v>
      </c>
      <c r="AC3106">
        <v>0.66340000000002397</v>
      </c>
      <c r="AD3106">
        <v>-8.1928000000000195E-2</v>
      </c>
      <c r="AE3106">
        <v>-0.12699999999998099</v>
      </c>
      <c r="AF3106">
        <v>0.14271488479717701</v>
      </c>
      <c r="AG3106">
        <v>-8.1928000000000195E-2</v>
      </c>
      <c r="AH3106">
        <v>0.650174728446273</v>
      </c>
      <c r="AI3106">
        <v>97.016620706515795</v>
      </c>
      <c r="AJ3106">
        <v>77.619780889354701</v>
      </c>
      <c r="AK3106">
        <v>0.67067645928335395</v>
      </c>
    </row>
    <row r="3107" spans="1:37" x14ac:dyDescent="0.2">
      <c r="A3107" t="str">
        <f>"20200111153711105"</f>
        <v>20200111153711105</v>
      </c>
      <c r="B3107" t="str">
        <f>"1578728231095993"</f>
        <v>1578728231095993</v>
      </c>
      <c r="C3107" t="s">
        <v>37</v>
      </c>
      <c r="D3107">
        <v>5.9526510000000004</v>
      </c>
      <c r="E3107">
        <v>0.55340780000000001</v>
      </c>
      <c r="F3107" t="s">
        <v>38</v>
      </c>
      <c r="G3107">
        <v>-356.73469999999998</v>
      </c>
      <c r="H3107">
        <v>1.0361129999999901</v>
      </c>
      <c r="I3107">
        <v>215.20959999999999</v>
      </c>
      <c r="J3107">
        <v>-357.33460000000002</v>
      </c>
      <c r="K3107">
        <v>1.104609</v>
      </c>
      <c r="L3107">
        <v>215.33349999999999</v>
      </c>
      <c r="M3107">
        <v>0.99952849999999904</v>
      </c>
      <c r="N3107">
        <v>0</v>
      </c>
      <c r="O3107">
        <v>2.702065E-2</v>
      </c>
      <c r="P3107">
        <v>0.99593019999999999</v>
      </c>
      <c r="Q3107">
        <v>8.0002229999999994E-2</v>
      </c>
      <c r="R3107">
        <v>4.1507969999999998E-2</v>
      </c>
      <c r="S3107">
        <v>3.0418400000000001</v>
      </c>
      <c r="T3107">
        <v>-0.19458399999999901</v>
      </c>
      <c r="U3107">
        <v>-0.31500240000000002</v>
      </c>
      <c r="V3107">
        <v>-1.4599239999999999E-2</v>
      </c>
      <c r="W3107">
        <v>9.4522620000000002E-2</v>
      </c>
      <c r="X3107">
        <v>0.99541569999999902</v>
      </c>
      <c r="Y3107">
        <v>0.12953110000000001</v>
      </c>
      <c r="Z3107">
        <v>-5.850526E-3</v>
      </c>
      <c r="AA3107">
        <v>0.9915581</v>
      </c>
      <c r="AB3107">
        <v>45</v>
      </c>
      <c r="AC3107">
        <v>0.59990000000004695</v>
      </c>
      <c r="AD3107">
        <v>-6.8496000000000098E-2</v>
      </c>
      <c r="AE3107">
        <v>-0.123899999999991</v>
      </c>
      <c r="AF3107">
        <v>0.13833647373303301</v>
      </c>
      <c r="AG3107">
        <v>-6.8496000000000098E-2</v>
      </c>
      <c r="AH3107">
        <v>0.58896853503163604</v>
      </c>
      <c r="AI3107">
        <v>96.459360221237404</v>
      </c>
      <c r="AJ3107">
        <v>76.782006668109204</v>
      </c>
      <c r="AK3107">
        <v>0.60886173901650398</v>
      </c>
    </row>
    <row r="3108" spans="1:37" x14ac:dyDescent="0.2">
      <c r="A3108" t="str">
        <f>"20200111153711128"</f>
        <v>20200111153711128</v>
      </c>
      <c r="B3108" t="str">
        <f>"1578728231116018"</f>
        <v>1578728231116018</v>
      </c>
      <c r="C3108" t="s">
        <v>37</v>
      </c>
      <c r="D3108">
        <v>5.9650749999999997</v>
      </c>
      <c r="E3108">
        <v>0.55339689999999997</v>
      </c>
      <c r="F3108" t="s">
        <v>38</v>
      </c>
      <c r="G3108">
        <v>-356.33760000000001</v>
      </c>
      <c r="H3108">
        <v>1.0358369999999999</v>
      </c>
      <c r="I3108">
        <v>215.2302</v>
      </c>
      <c r="J3108">
        <v>-356.88319999999999</v>
      </c>
      <c r="K3108">
        <v>1.1045940000000001</v>
      </c>
      <c r="L3108">
        <v>215.3458</v>
      </c>
      <c r="M3108">
        <v>0.99952609999999997</v>
      </c>
      <c r="N3108">
        <v>0</v>
      </c>
      <c r="O3108">
        <v>2.7116979999999999E-2</v>
      </c>
      <c r="P3108">
        <v>0.99601810000000002</v>
      </c>
      <c r="Q3108">
        <v>7.9949279999999998E-2</v>
      </c>
      <c r="R3108">
        <v>3.9448089999999998E-2</v>
      </c>
      <c r="S3108">
        <v>3.0422060000000002</v>
      </c>
      <c r="T3108">
        <v>-0.20983539999999901</v>
      </c>
      <c r="U3108">
        <v>-0.3150482</v>
      </c>
      <c r="V3108">
        <v>-1.2442460000000001E-2</v>
      </c>
      <c r="W3108">
        <v>9.4467549999999997E-2</v>
      </c>
      <c r="X3108">
        <v>0.99545019999999995</v>
      </c>
      <c r="Y3108">
        <v>0.12957739999999901</v>
      </c>
      <c r="Z3108">
        <v>-6.3155019999999997E-3</v>
      </c>
      <c r="AA3108">
        <v>0.99154920000000002</v>
      </c>
      <c r="AB3108">
        <v>45</v>
      </c>
      <c r="AC3108">
        <v>0.54559999999997899</v>
      </c>
      <c r="AD3108">
        <v>-6.8756999999999902E-2</v>
      </c>
      <c r="AE3108">
        <v>-0.11559999999999999</v>
      </c>
      <c r="AF3108">
        <v>0.12840249167022</v>
      </c>
      <c r="AG3108">
        <v>-6.8756999999999902E-2</v>
      </c>
      <c r="AH3108">
        <v>0.53414580734706196</v>
      </c>
      <c r="AI3108">
        <v>97.133920649951605</v>
      </c>
      <c r="AJ3108">
        <v>76.483223276883805</v>
      </c>
      <c r="AK3108">
        <v>0.55364832558454002</v>
      </c>
    </row>
    <row r="3109" spans="1:37" x14ac:dyDescent="0.2">
      <c r="A3109" t="str">
        <f>"20200111153711150"</f>
        <v>20200111153711150</v>
      </c>
      <c r="B3109" t="str">
        <f>"1578728231136512"</f>
        <v>1578728231136512</v>
      </c>
      <c r="C3109" t="s">
        <v>37</v>
      </c>
      <c r="D3109">
        <v>5.9692210000000001</v>
      </c>
      <c r="E3109">
        <v>0.55342389999999997</v>
      </c>
      <c r="F3109" t="s">
        <v>38</v>
      </c>
      <c r="G3109">
        <v>-355.93799999999999</v>
      </c>
      <c r="H3109">
        <v>1.0375809999999901</v>
      </c>
      <c r="I3109">
        <v>215.24629999999999</v>
      </c>
      <c r="J3109">
        <v>-356.4633</v>
      </c>
      <c r="K3109">
        <v>1.1045750000000001</v>
      </c>
      <c r="L3109">
        <v>215.35720000000001</v>
      </c>
      <c r="M3109">
        <v>0.99952359999999896</v>
      </c>
      <c r="N3109">
        <v>0</v>
      </c>
      <c r="O3109">
        <v>2.720668E-2</v>
      </c>
      <c r="P3109">
        <v>0.99624579999999996</v>
      </c>
      <c r="Q3109">
        <v>7.7846449999999998E-2</v>
      </c>
      <c r="R3109">
        <v>3.7873530000000002E-2</v>
      </c>
      <c r="S3109">
        <v>3.0419309999999999</v>
      </c>
      <c r="T3109">
        <v>-0.21577640000000001</v>
      </c>
      <c r="U3109">
        <v>-0.3196716</v>
      </c>
      <c r="V3109">
        <v>-1.07727999999999E-2</v>
      </c>
      <c r="W3109">
        <v>9.2365340000000004E-2</v>
      </c>
      <c r="X3109">
        <v>0.99566690000000002</v>
      </c>
      <c r="Y3109">
        <v>0.13114089999999901</v>
      </c>
      <c r="Z3109">
        <v>-6.555529E-3</v>
      </c>
      <c r="AA3109">
        <v>0.9913421</v>
      </c>
      <c r="AB3109">
        <v>45</v>
      </c>
      <c r="AC3109">
        <v>0.52529999999995802</v>
      </c>
      <c r="AD3109">
        <v>-6.6994000000000206E-2</v>
      </c>
      <c r="AE3109">
        <v>-0.110900000000015</v>
      </c>
      <c r="AF3109">
        <v>0.12323324925524699</v>
      </c>
      <c r="AG3109">
        <v>-6.6994000000000206E-2</v>
      </c>
      <c r="AH3109">
        <v>0.51408312846607096</v>
      </c>
      <c r="AI3109">
        <v>97.222436085308999</v>
      </c>
      <c r="AJ3109">
        <v>76.519727475504297</v>
      </c>
      <c r="AK3109">
        <v>0.53287530692599105</v>
      </c>
    </row>
    <row r="3110" spans="1:37" x14ac:dyDescent="0.2">
      <c r="A3110" t="str">
        <f>"20200111153711172"</f>
        <v>20200111153711172</v>
      </c>
      <c r="B3110" t="str">
        <f>"1578728231165793"</f>
        <v>1578728231165793</v>
      </c>
      <c r="C3110" t="s">
        <v>37</v>
      </c>
      <c r="D3110">
        <v>5.9706739999999998</v>
      </c>
      <c r="E3110">
        <v>0.55334510000000003</v>
      </c>
      <c r="F3110" t="s">
        <v>38</v>
      </c>
      <c r="G3110">
        <v>-355.54149999999998</v>
      </c>
      <c r="H3110">
        <v>1.0357129999999899</v>
      </c>
      <c r="I3110">
        <v>215.2586</v>
      </c>
      <c r="J3110">
        <v>-356.00599999999997</v>
      </c>
      <c r="K3110">
        <v>1.1045559999999901</v>
      </c>
      <c r="L3110">
        <v>215.3698</v>
      </c>
      <c r="M3110">
        <v>0.99952099999999899</v>
      </c>
      <c r="N3110">
        <v>0</v>
      </c>
      <c r="O3110">
        <v>2.730465E-2</v>
      </c>
      <c r="P3110">
        <v>0.99648910000000002</v>
      </c>
      <c r="Q3110">
        <v>7.4497300000000002E-2</v>
      </c>
      <c r="R3110">
        <v>3.8203830000000001E-2</v>
      </c>
      <c r="S3110">
        <v>3.041382</v>
      </c>
      <c r="T3110">
        <v>-0.22738749999999999</v>
      </c>
      <c r="U3110">
        <v>-0.32420349999999998</v>
      </c>
      <c r="V3110">
        <v>-1.099836E-2</v>
      </c>
      <c r="W3110">
        <v>8.9017009999999994E-2</v>
      </c>
      <c r="X3110">
        <v>0.9959694</v>
      </c>
      <c r="Y3110">
        <v>0.13266929999999999</v>
      </c>
      <c r="Z3110">
        <v>-6.9722409999999997E-3</v>
      </c>
      <c r="AA3110">
        <v>0.99113580000000001</v>
      </c>
      <c r="AB3110">
        <v>45</v>
      </c>
      <c r="AC3110">
        <v>0.46449999999998598</v>
      </c>
      <c r="AD3110">
        <v>-6.8842999999999904E-2</v>
      </c>
      <c r="AE3110">
        <v>-0.111199999999996</v>
      </c>
      <c r="AF3110">
        <v>0.121322389334986</v>
      </c>
      <c r="AG3110">
        <v>-6.8842999999999904E-2</v>
      </c>
      <c r="AH3110">
        <v>0.45190182466990098</v>
      </c>
      <c r="AI3110">
        <v>98.369907666046203</v>
      </c>
      <c r="AJ3110">
        <v>74.972126213197697</v>
      </c>
      <c r="AK3110">
        <v>0.47294158195588498</v>
      </c>
    </row>
    <row r="3111" spans="1:37" x14ac:dyDescent="0.2">
      <c r="A3111" t="str">
        <f>"20200111153711195"</f>
        <v>20200111153711195</v>
      </c>
      <c r="B3111" t="str">
        <f>"1578728231186288"</f>
        <v>1578728231186288</v>
      </c>
      <c r="C3111" t="s">
        <v>37</v>
      </c>
      <c r="D3111">
        <v>5.9792740000000002</v>
      </c>
      <c r="E3111">
        <v>0.55330550000000001</v>
      </c>
      <c r="F3111" t="s">
        <v>38</v>
      </c>
      <c r="G3111">
        <v>-355.14370000000002</v>
      </c>
      <c r="H3111">
        <v>1.0366709999999999</v>
      </c>
      <c r="I3111">
        <v>215.27809999999999</v>
      </c>
      <c r="J3111">
        <v>-355.55169999999998</v>
      </c>
      <c r="K3111">
        <v>1.104535</v>
      </c>
      <c r="L3111">
        <v>215.38229999999999</v>
      </c>
      <c r="M3111">
        <v>0.99951840000000003</v>
      </c>
      <c r="N3111">
        <v>0</v>
      </c>
      <c r="O3111">
        <v>2.7402260000000001E-2</v>
      </c>
      <c r="P3111">
        <v>0.99672070000000001</v>
      </c>
      <c r="Q3111">
        <v>7.1095710000000006E-2</v>
      </c>
      <c r="R3111">
        <v>3.864596E-2</v>
      </c>
      <c r="S3111">
        <v>3.04089399999999</v>
      </c>
      <c r="T3111">
        <v>-0.23948649999999999</v>
      </c>
      <c r="U3111">
        <v>-0.3226929</v>
      </c>
      <c r="V3111">
        <v>-1.133609E-2</v>
      </c>
      <c r="W3111">
        <v>8.5616380000000006E-2</v>
      </c>
      <c r="X3111">
        <v>0.99626369999999898</v>
      </c>
      <c r="Y3111">
        <v>0.13224859999999999</v>
      </c>
      <c r="Z3111">
        <v>-7.3346349999999999E-3</v>
      </c>
      <c r="AA3111">
        <v>0.9911894</v>
      </c>
      <c r="AB3111">
        <v>45</v>
      </c>
      <c r="AC3111">
        <v>0.40799999999995801</v>
      </c>
      <c r="AD3111">
        <v>-6.7864000000000105E-2</v>
      </c>
      <c r="AE3111">
        <v>-0.10419999999999099</v>
      </c>
      <c r="AF3111">
        <v>0.112422261009456</v>
      </c>
      <c r="AG3111">
        <v>-6.7864000000000105E-2</v>
      </c>
      <c r="AH3111">
        <v>0.39473870840595499</v>
      </c>
      <c r="AI3111">
        <v>99.388697767783199</v>
      </c>
      <c r="AJ3111">
        <v>74.102956062686701</v>
      </c>
      <c r="AK3111">
        <v>0.41600833546995097</v>
      </c>
    </row>
    <row r="3112" spans="1:37" x14ac:dyDescent="0.2">
      <c r="A3112" t="str">
        <f>"20200111153711217"</f>
        <v>20200111153711217</v>
      </c>
      <c r="B3112" t="str">
        <f>"1578728231205811"</f>
        <v>1578728231205811</v>
      </c>
      <c r="C3112" t="s">
        <v>37</v>
      </c>
      <c r="D3112">
        <v>5.9817460000000002</v>
      </c>
      <c r="E3112">
        <v>0.55342080000000005</v>
      </c>
      <c r="F3112" t="s">
        <v>38</v>
      </c>
      <c r="G3112">
        <v>-354.74529999999999</v>
      </c>
      <c r="H3112">
        <v>1.038402</v>
      </c>
      <c r="I3112">
        <v>215.29679999999999</v>
      </c>
      <c r="J3112">
        <v>-355.11810000000003</v>
      </c>
      <c r="K3112">
        <v>1.1045309999999999</v>
      </c>
      <c r="L3112">
        <v>215.39420000000001</v>
      </c>
      <c r="M3112">
        <v>0.99951579999999995</v>
      </c>
      <c r="N3112">
        <v>0</v>
      </c>
      <c r="O3112">
        <v>2.7498580000000002E-2</v>
      </c>
      <c r="P3112">
        <v>0.99680849999999899</v>
      </c>
      <c r="Q3112">
        <v>6.9906350000000006E-2</v>
      </c>
      <c r="R3112">
        <v>3.8548869999999999E-2</v>
      </c>
      <c r="S3112">
        <v>3.0401310000000001</v>
      </c>
      <c r="T3112">
        <v>-0.249437399999999</v>
      </c>
      <c r="U3112">
        <v>-0.32167049999999903</v>
      </c>
      <c r="V3112">
        <v>-1.114103E-2</v>
      </c>
      <c r="W3112">
        <v>8.4426219999999996E-2</v>
      </c>
      <c r="X3112">
        <v>0.99636749999999996</v>
      </c>
      <c r="Y3112">
        <v>0.13199939999999999</v>
      </c>
      <c r="Z3112">
        <v>-7.6381340000000004E-3</v>
      </c>
      <c r="AA3112">
        <v>0.9912204</v>
      </c>
      <c r="AB3112">
        <v>45</v>
      </c>
      <c r="AC3112">
        <v>0.37280000000003999</v>
      </c>
      <c r="AD3112">
        <v>-6.6128999999999799E-2</v>
      </c>
      <c r="AE3112">
        <v>-9.7400000000021594E-2</v>
      </c>
      <c r="AF3112">
        <v>0.104536618479457</v>
      </c>
      <c r="AG3112">
        <v>-6.6128999999999799E-2</v>
      </c>
      <c r="AH3112">
        <v>0.35939447758887999</v>
      </c>
      <c r="AI3112">
        <v>100.019557552571</v>
      </c>
      <c r="AJ3112">
        <v>73.781937931227901</v>
      </c>
      <c r="AK3112">
        <v>0.38008596365230801</v>
      </c>
    </row>
    <row r="3113" spans="1:37" x14ac:dyDescent="0.2">
      <c r="A3113" t="str">
        <f>"20200111153711238"</f>
        <v>20200111153711238</v>
      </c>
      <c r="B3113" t="str">
        <f>"1578728231226305"</f>
        <v>1578728231226305</v>
      </c>
      <c r="C3113" t="s">
        <v>37</v>
      </c>
      <c r="D3113">
        <v>5.9730850000000002</v>
      </c>
      <c r="E3113">
        <v>0.55346600000000001</v>
      </c>
      <c r="F3113" t="s">
        <v>38</v>
      </c>
      <c r="G3113">
        <v>-354.34629999999999</v>
      </c>
      <c r="H3113">
        <v>1.0412110000000001</v>
      </c>
      <c r="I3113">
        <v>215.31190000000001</v>
      </c>
      <c r="J3113">
        <v>-354.69139999999999</v>
      </c>
      <c r="K3113">
        <v>1.1045479999999901</v>
      </c>
      <c r="L3113">
        <v>215.40599999999901</v>
      </c>
      <c r="M3113">
        <v>0.99951290000000004</v>
      </c>
      <c r="N3113">
        <v>0</v>
      </c>
      <c r="O3113">
        <v>2.760174E-2</v>
      </c>
      <c r="P3113">
        <v>0.99678719999999998</v>
      </c>
      <c r="Q3113">
        <v>7.0721939999999997E-2</v>
      </c>
      <c r="R3113">
        <v>3.7601420000000003E-2</v>
      </c>
      <c r="S3113">
        <v>3.0395810000000001</v>
      </c>
      <c r="T3113">
        <v>-0.2494931</v>
      </c>
      <c r="U3113">
        <v>-0.32299800000000001</v>
      </c>
      <c r="V3113">
        <v>-1.009271E-2</v>
      </c>
      <c r="W3113">
        <v>8.5238209999999995E-2</v>
      </c>
      <c r="X3113">
        <v>0.99630949999999996</v>
      </c>
      <c r="Y3113">
        <v>0.132546</v>
      </c>
      <c r="Z3113">
        <v>-7.6717969999999898E-3</v>
      </c>
      <c r="AA3113">
        <v>0.99114720000000001</v>
      </c>
      <c r="AB3113">
        <v>45</v>
      </c>
      <c r="AC3113">
        <v>0.34510000000000202</v>
      </c>
      <c r="AD3113">
        <v>-6.3336999999999699E-2</v>
      </c>
      <c r="AE3113">
        <v>-9.4099999999969E-2</v>
      </c>
      <c r="AF3113">
        <v>0.100441375588434</v>
      </c>
      <c r="AG3113">
        <v>-6.3336999999999699E-2</v>
      </c>
      <c r="AH3113">
        <v>0.33196286758961202</v>
      </c>
      <c r="AI3113">
        <v>100.349271979977</v>
      </c>
      <c r="AJ3113">
        <v>73.165859119373906</v>
      </c>
      <c r="AK3113">
        <v>0.35256118753687998</v>
      </c>
    </row>
    <row r="3114" spans="1:37" x14ac:dyDescent="0.2">
      <c r="A3114" t="str">
        <f>"20200111153711261"</f>
        <v>20200111153711261</v>
      </c>
      <c r="B3114" t="str">
        <f>"1578728231256561"</f>
        <v>1578728231256561</v>
      </c>
      <c r="C3114" t="s">
        <v>37</v>
      </c>
      <c r="D3114">
        <v>5.9630010000000002</v>
      </c>
      <c r="E3114">
        <v>0.55355549999999998</v>
      </c>
      <c r="F3114" t="s">
        <v>38</v>
      </c>
      <c r="G3114">
        <v>-353.94639999999998</v>
      </c>
      <c r="H3114">
        <v>1.0444869999999999</v>
      </c>
      <c r="I3114">
        <v>215.32570000000001</v>
      </c>
      <c r="J3114">
        <v>-354.25</v>
      </c>
      <c r="K3114">
        <v>1.104579</v>
      </c>
      <c r="L3114">
        <v>215.41829999999999</v>
      </c>
      <c r="M3114">
        <v>0.9995098</v>
      </c>
      <c r="N3114">
        <v>0</v>
      </c>
      <c r="O3114">
        <v>2.7719810000000001E-2</v>
      </c>
      <c r="P3114">
        <v>0.99661869999999997</v>
      </c>
      <c r="Q3114">
        <v>7.3670650000000004E-2</v>
      </c>
      <c r="R3114">
        <v>3.6388810000000001E-2</v>
      </c>
      <c r="S3114">
        <v>3.03933699999999</v>
      </c>
      <c r="T3114">
        <v>-0.245168</v>
      </c>
      <c r="U3114">
        <v>-0.32635500000000001</v>
      </c>
      <c r="V3114">
        <v>-8.7702119999999995E-3</v>
      </c>
      <c r="W3114">
        <v>8.8181079999999995E-2</v>
      </c>
      <c r="X3114">
        <v>0.99606589999999995</v>
      </c>
      <c r="Y3114">
        <v>0.13376759999999999</v>
      </c>
      <c r="Z3114">
        <v>-7.59794099999999E-3</v>
      </c>
      <c r="AA3114">
        <v>0.99098359999999996</v>
      </c>
      <c r="AB3114">
        <v>44</v>
      </c>
      <c r="AC3114">
        <v>0.30360000000001702</v>
      </c>
      <c r="AD3114">
        <v>-6.0091999999999798E-2</v>
      </c>
      <c r="AE3114">
        <v>-9.2599999999975993E-2</v>
      </c>
      <c r="AF3114">
        <v>9.7486863560025394E-2</v>
      </c>
      <c r="AG3114">
        <v>-6.0091999999999798E-2</v>
      </c>
      <c r="AH3114">
        <v>0.29050380750087801</v>
      </c>
      <c r="AI3114">
        <v>101.095290995884</v>
      </c>
      <c r="AJ3114">
        <v>71.449348944366406</v>
      </c>
      <c r="AK3114">
        <v>0.31226142765842602</v>
      </c>
    </row>
    <row r="3115" spans="1:37" x14ac:dyDescent="0.2">
      <c r="A3115" t="str">
        <f>"20200111153711283"</f>
        <v>20200111153711283</v>
      </c>
      <c r="B3115" t="str">
        <f>"1578728231276080"</f>
        <v>1578728231276080</v>
      </c>
      <c r="C3115" t="s">
        <v>37</v>
      </c>
      <c r="D3115">
        <v>5.9849290000000002</v>
      </c>
      <c r="E3115">
        <v>0.55362159999999905</v>
      </c>
      <c r="F3115" t="s">
        <v>38</v>
      </c>
      <c r="G3115">
        <v>-353.16430000000003</v>
      </c>
      <c r="H3115">
        <v>1.0196339999999999</v>
      </c>
      <c r="I3115">
        <v>215.30029999999999</v>
      </c>
      <c r="J3115">
        <v>-353.78109999999998</v>
      </c>
      <c r="K3115">
        <v>1.1046049999999901</v>
      </c>
      <c r="L3115">
        <v>215.4314</v>
      </c>
      <c r="M3115">
        <v>0.99950589999999995</v>
      </c>
      <c r="N3115">
        <v>0</v>
      </c>
      <c r="O3115">
        <v>2.7858959999999999E-2</v>
      </c>
      <c r="P3115">
        <v>0.99639699999999998</v>
      </c>
      <c r="Q3115">
        <v>7.7158409999999997E-2</v>
      </c>
      <c r="R3115">
        <v>3.5209299999999999E-2</v>
      </c>
      <c r="S3115">
        <v>3.0397949999999998</v>
      </c>
      <c r="T3115">
        <v>-0.23793300000000001</v>
      </c>
      <c r="U3115">
        <v>-0.32984920000000001</v>
      </c>
      <c r="V3115">
        <v>-7.46218199999999E-3</v>
      </c>
      <c r="W3115">
        <v>9.1661660000000006E-2</v>
      </c>
      <c r="X3115">
        <v>0.99576219999999904</v>
      </c>
      <c r="Y3115">
        <v>0.13504169999999999</v>
      </c>
      <c r="Z3115">
        <v>-7.43336E-3</v>
      </c>
      <c r="AA3115">
        <v>0.99081200000000003</v>
      </c>
      <c r="AB3115">
        <v>44</v>
      </c>
      <c r="AC3115">
        <v>0.61679999999995505</v>
      </c>
      <c r="AD3115">
        <v>-8.4970999999999894E-2</v>
      </c>
      <c r="AE3115">
        <v>-0.13110000000000299</v>
      </c>
      <c r="AF3115">
        <v>0.14559072601510401</v>
      </c>
      <c r="AG3115">
        <v>-8.4970999999999894E-2</v>
      </c>
      <c r="AH3115">
        <v>0.60197727521191902</v>
      </c>
      <c r="AI3115">
        <v>97.812071618771796</v>
      </c>
      <c r="AJ3115">
        <v>76.403857827816694</v>
      </c>
      <c r="AK3115">
        <v>0.62513468166001795</v>
      </c>
    </row>
    <row r="3116" spans="1:37" x14ac:dyDescent="0.2">
      <c r="A3116" t="str">
        <f>"20200111153711307"</f>
        <v>20200111153711307</v>
      </c>
      <c r="B3116" t="str">
        <f>"1578728231295600"</f>
        <v>1578728231295600</v>
      </c>
      <c r="C3116" t="s">
        <v>37</v>
      </c>
      <c r="D3116">
        <v>5.9835649999999996</v>
      </c>
      <c r="E3116">
        <v>0.55337559999999997</v>
      </c>
      <c r="F3116" t="s">
        <v>38</v>
      </c>
      <c r="G3116">
        <v>-352.76389999999998</v>
      </c>
      <c r="H3116">
        <v>1.0287660000000001</v>
      </c>
      <c r="I3116">
        <v>215.31979999999999</v>
      </c>
      <c r="J3116">
        <v>-353.33749999999998</v>
      </c>
      <c r="K3116">
        <v>1.104638</v>
      </c>
      <c r="L3116">
        <v>215.44390000000001</v>
      </c>
      <c r="M3116">
        <v>0.99950190000000005</v>
      </c>
      <c r="N3116">
        <v>0</v>
      </c>
      <c r="O3116">
        <v>2.80005999999999E-2</v>
      </c>
      <c r="P3116">
        <v>0.99622459999999902</v>
      </c>
      <c r="Q3116">
        <v>7.9937270000000005E-2</v>
      </c>
      <c r="R3116">
        <v>3.3860649999999999E-2</v>
      </c>
      <c r="S3116">
        <v>3.0401919999999998</v>
      </c>
      <c r="T3116">
        <v>-0.22668160000000001</v>
      </c>
      <c r="U3116">
        <v>-0.33366390000000001</v>
      </c>
      <c r="V3116">
        <v>-5.9806140000000004E-3</v>
      </c>
      <c r="W3116">
        <v>9.4435270000000002E-2</v>
      </c>
      <c r="X3116">
        <v>0.99551299999999898</v>
      </c>
      <c r="Y3116">
        <v>0.13643810000000001</v>
      </c>
      <c r="Z3116">
        <v>-7.1438040000000001E-3</v>
      </c>
      <c r="AA3116">
        <v>0.99062280000000003</v>
      </c>
      <c r="AB3116">
        <v>44</v>
      </c>
      <c r="AC3116">
        <v>0.573599999999999</v>
      </c>
      <c r="AD3116">
        <v>-7.5871999999999898E-2</v>
      </c>
      <c r="AE3116">
        <v>-0.124100000000026</v>
      </c>
      <c r="AF3116">
        <v>0.13781082232551101</v>
      </c>
      <c r="AG3116">
        <v>-7.5871999999999898E-2</v>
      </c>
      <c r="AH3116">
        <v>0.56053114925687297</v>
      </c>
      <c r="AI3116">
        <v>97.488201719060797</v>
      </c>
      <c r="AJ3116">
        <v>76.187356076093195</v>
      </c>
      <c r="AK3116">
        <v>0.58218858836399801</v>
      </c>
    </row>
    <row r="3117" spans="1:37" x14ac:dyDescent="0.2">
      <c r="A3117" t="str">
        <f>"20200111153711328"</f>
        <v>20200111153711328</v>
      </c>
      <c r="B3117" t="str">
        <f>"1578728231316100"</f>
        <v>1578728231316100</v>
      </c>
      <c r="C3117" t="s">
        <v>37</v>
      </c>
      <c r="D3117">
        <v>5.9645809999999999</v>
      </c>
      <c r="E3117">
        <v>0.55283579999999999</v>
      </c>
      <c r="F3117" t="s">
        <v>38</v>
      </c>
      <c r="G3117">
        <v>-352.36380000000003</v>
      </c>
      <c r="H3117">
        <v>1.034907</v>
      </c>
      <c r="I3117">
        <v>215.33609999999999</v>
      </c>
      <c r="J3117">
        <v>-352.91989999999998</v>
      </c>
      <c r="K3117">
        <v>1.1046530000000001</v>
      </c>
      <c r="L3117">
        <v>215.45570000000001</v>
      </c>
      <c r="M3117">
        <v>0.99949809999999994</v>
      </c>
      <c r="N3117">
        <v>0</v>
      </c>
      <c r="O3117">
        <v>2.8141369999999999E-2</v>
      </c>
      <c r="P3117">
        <v>0.99606499999999998</v>
      </c>
      <c r="Q3117">
        <v>8.2501190000000002E-2</v>
      </c>
      <c r="R3117">
        <v>3.2376599999999998E-2</v>
      </c>
      <c r="S3117">
        <v>3.0402529999999999</v>
      </c>
      <c r="T3117">
        <v>-0.21785869999999999</v>
      </c>
      <c r="U3117">
        <v>-0.3353119</v>
      </c>
      <c r="V3117">
        <v>-4.3641309999999899E-3</v>
      </c>
      <c r="W3117">
        <v>9.6993609999999994E-2</v>
      </c>
      <c r="X3117">
        <v>0.99527540000000003</v>
      </c>
      <c r="Y3117">
        <v>0.13713829999999999</v>
      </c>
      <c r="Z3117">
        <v>-6.9011680000000001E-3</v>
      </c>
      <c r="AA3117">
        <v>0.99052790000000002</v>
      </c>
      <c r="AB3117">
        <v>44</v>
      </c>
      <c r="AC3117">
        <v>0.55609999999995796</v>
      </c>
      <c r="AD3117">
        <v>-6.9746000000000002E-2</v>
      </c>
      <c r="AE3117">
        <v>-0.119600000000019</v>
      </c>
      <c r="AF3117">
        <v>0.13320105403566501</v>
      </c>
      <c r="AG3117">
        <v>-6.9746000000000002E-2</v>
      </c>
      <c r="AH3117">
        <v>0.54432980115219698</v>
      </c>
      <c r="AI3117">
        <v>97.094530963721297</v>
      </c>
      <c r="AJ3117">
        <v>76.2495631151249</v>
      </c>
      <c r="AK3117">
        <v>0.56471404952825699</v>
      </c>
    </row>
    <row r="3118" spans="1:37" x14ac:dyDescent="0.2">
      <c r="A3118" t="str">
        <f>"20200111153711350"</f>
        <v>20200111153711350</v>
      </c>
      <c r="B3118" t="str">
        <f>"1578728231346352"</f>
        <v>1578728231346352</v>
      </c>
      <c r="C3118" t="s">
        <v>37</v>
      </c>
      <c r="D3118">
        <v>6.0029050000000002</v>
      </c>
      <c r="E3118">
        <v>0.55292790000000003</v>
      </c>
      <c r="F3118" t="s">
        <v>38</v>
      </c>
      <c r="G3118">
        <v>-351.96499999999997</v>
      </c>
      <c r="H3118">
        <v>1.0388219999999999</v>
      </c>
      <c r="I3118">
        <v>215.35040000000001</v>
      </c>
      <c r="J3118">
        <v>-352.48</v>
      </c>
      <c r="K3118">
        <v>1.1046659999999999</v>
      </c>
      <c r="L3118">
        <v>215.4682</v>
      </c>
      <c r="M3118">
        <v>0.99949390000000005</v>
      </c>
      <c r="N3118">
        <v>0</v>
      </c>
      <c r="O3118">
        <v>2.8296410000000001E-2</v>
      </c>
      <c r="P3118">
        <v>0.99596130000000005</v>
      </c>
      <c r="Q3118">
        <v>8.4388550000000007E-2</v>
      </c>
      <c r="R3118">
        <v>3.066319E-2</v>
      </c>
      <c r="S3118">
        <v>3.0401609999999999</v>
      </c>
      <c r="T3118">
        <v>-0.2096933</v>
      </c>
      <c r="U3118">
        <v>-0.33447270000000001</v>
      </c>
      <c r="V3118">
        <v>-2.5023390000000001E-3</v>
      </c>
      <c r="W3118">
        <v>9.8877080000000006E-2</v>
      </c>
      <c r="X3118">
        <v>0.99509650000000005</v>
      </c>
      <c r="Y3118">
        <v>0.1370557</v>
      </c>
      <c r="Z3118">
        <v>-6.6512419999999999E-3</v>
      </c>
      <c r="AA3118">
        <v>0.990541</v>
      </c>
      <c r="AB3118">
        <v>44</v>
      </c>
      <c r="AC3118">
        <v>0.51500000000004298</v>
      </c>
      <c r="AD3118">
        <v>-6.5844E-2</v>
      </c>
      <c r="AE3118">
        <v>-0.117799999999988</v>
      </c>
      <c r="AF3118">
        <v>0.130302948146994</v>
      </c>
      <c r="AG3118">
        <v>-6.5844E-2</v>
      </c>
      <c r="AH3118">
        <v>0.50363681944649696</v>
      </c>
      <c r="AI3118">
        <v>97.213542290134896</v>
      </c>
      <c r="AJ3118">
        <v>75.494283541354804</v>
      </c>
      <c r="AK3118">
        <v>0.52437041920190497</v>
      </c>
    </row>
    <row r="3119" spans="1:37" x14ac:dyDescent="0.2">
      <c r="A3119" t="str">
        <f>"20200111153711372"</f>
        <v>20200111153711372</v>
      </c>
      <c r="B3119" t="str">
        <f>"1578728231365873"</f>
        <v>1578728231365873</v>
      </c>
      <c r="C3119" t="s">
        <v>37</v>
      </c>
      <c r="D3119">
        <v>6.0218889999999998</v>
      </c>
      <c r="E3119">
        <v>0.55288859999999995</v>
      </c>
      <c r="F3119" t="s">
        <v>45</v>
      </c>
      <c r="G3119">
        <v>-335.73820000000001</v>
      </c>
      <c r="H3119" s="1">
        <v>1.5613399999999901E-6</v>
      </c>
      <c r="I3119">
        <v>213.5976</v>
      </c>
      <c r="J3119">
        <v>-352.0299</v>
      </c>
      <c r="K3119">
        <v>1.104678</v>
      </c>
      <c r="L3119">
        <v>215.4811</v>
      </c>
      <c r="M3119">
        <v>0.99948909999999902</v>
      </c>
      <c r="N3119">
        <v>0</v>
      </c>
      <c r="O3119">
        <v>2.8460369999999999E-2</v>
      </c>
      <c r="P3119">
        <v>0.99589119999999998</v>
      </c>
      <c r="Q3119">
        <v>8.5609909999999997E-2</v>
      </c>
      <c r="R3119">
        <v>2.952316E-2</v>
      </c>
      <c r="S3119">
        <v>3.039612</v>
      </c>
      <c r="T3119">
        <v>-0.20056109999999999</v>
      </c>
      <c r="U3119">
        <v>-0.3396149</v>
      </c>
      <c r="V3119">
        <v>-1.203012E-3</v>
      </c>
      <c r="W3119">
        <v>0.10009410000000001</v>
      </c>
      <c r="X3119">
        <v>0.99497719999999901</v>
      </c>
      <c r="Y3119">
        <v>0.1389214</v>
      </c>
      <c r="Z3119">
        <v>-6.4348540000000003E-3</v>
      </c>
      <c r="AA3119">
        <v>0.99028249999999995</v>
      </c>
      <c r="AB3119">
        <v>44</v>
      </c>
      <c r="AC3119">
        <v>16.291699999999899</v>
      </c>
      <c r="AD3119">
        <v>-1.1046764386600001</v>
      </c>
      <c r="AE3119">
        <v>-1.88349999999999</v>
      </c>
      <c r="AF3119">
        <v>2.3358559002578199</v>
      </c>
      <c r="AG3119">
        <v>-1.1046764386600001</v>
      </c>
      <c r="AH3119">
        <v>16.158178365813701</v>
      </c>
      <c r="AI3119">
        <v>93.8709063031623</v>
      </c>
      <c r="AJ3119">
        <v>81.774202391918095</v>
      </c>
      <c r="AK3119">
        <v>16.363473375856099</v>
      </c>
    </row>
    <row r="3120" spans="1:37" x14ac:dyDescent="0.2">
      <c r="A3120" t="str">
        <f>"20200111153711396"</f>
        <v>20200111153711396</v>
      </c>
      <c r="B3120" t="str">
        <f>"1578728231386368"</f>
        <v>1578728231386368</v>
      </c>
      <c r="C3120" t="s">
        <v>37</v>
      </c>
      <c r="D3120">
        <v>6.0387219999999999</v>
      </c>
      <c r="E3120">
        <v>0.55253809999999903</v>
      </c>
      <c r="F3120" t="s">
        <v>45</v>
      </c>
      <c r="G3120">
        <v>-334.87380000000002</v>
      </c>
      <c r="H3120" s="1">
        <v>1.103458E-6</v>
      </c>
      <c r="I3120">
        <v>213.5496</v>
      </c>
      <c r="J3120">
        <v>-351.56959999999998</v>
      </c>
      <c r="K3120">
        <v>1.1046860000000001</v>
      </c>
      <c r="L3120">
        <v>215.49430000000001</v>
      </c>
      <c r="M3120">
        <v>0.99948419999999905</v>
      </c>
      <c r="N3120">
        <v>0</v>
      </c>
      <c r="O3120">
        <v>2.8631219999999999E-2</v>
      </c>
      <c r="P3120">
        <v>0.99593189999999998</v>
      </c>
      <c r="Q3120">
        <v>8.5425699999999993E-2</v>
      </c>
      <c r="R3120">
        <v>2.8676790000000001E-2</v>
      </c>
      <c r="S3120">
        <v>3.03933699999999</v>
      </c>
      <c r="T3120">
        <v>-0.19570290000000001</v>
      </c>
      <c r="U3120">
        <v>-0.34217829999999999</v>
      </c>
      <c r="V3120">
        <v>-1.8628549999999999E-4</v>
      </c>
      <c r="W3120">
        <v>9.9907640000000006E-2</v>
      </c>
      <c r="X3120">
        <v>0.99499669999999896</v>
      </c>
      <c r="Y3120">
        <v>0.13994010000000001</v>
      </c>
      <c r="Z3120">
        <v>-6.3231989999999998E-3</v>
      </c>
      <c r="AA3120">
        <v>0.99013980000000001</v>
      </c>
      <c r="AB3120">
        <v>44</v>
      </c>
      <c r="AC3120">
        <v>16.695799999999899</v>
      </c>
      <c r="AD3120">
        <v>-1.104684896542</v>
      </c>
      <c r="AE3120">
        <v>-1.9447000000000101</v>
      </c>
      <c r="AF3120">
        <v>2.4115581318633801</v>
      </c>
      <c r="AG3120">
        <v>-1.104684896542</v>
      </c>
      <c r="AH3120">
        <v>16.561734445896199</v>
      </c>
      <c r="AI3120">
        <v>93.776329033575195</v>
      </c>
      <c r="AJ3120">
        <v>81.715371535423799</v>
      </c>
      <c r="AK3120">
        <v>16.772805048660999</v>
      </c>
    </row>
    <row r="3121" spans="1:37" x14ac:dyDescent="0.2">
      <c r="A3121" t="str">
        <f>"20200111153711417"</f>
        <v>20200111153711417</v>
      </c>
      <c r="B3121" t="str">
        <f>"1578728231405902"</f>
        <v>1578728231405902</v>
      </c>
      <c r="C3121" t="s">
        <v>37</v>
      </c>
      <c r="D3121">
        <v>6.0356680000000003</v>
      </c>
      <c r="E3121">
        <v>0.55222150000000003</v>
      </c>
      <c r="F3121" t="s">
        <v>45</v>
      </c>
      <c r="G3121">
        <v>-334.44099999999997</v>
      </c>
      <c r="H3121" s="1">
        <v>8.7239729999999995E-7</v>
      </c>
      <c r="I3121">
        <v>213.56620000000001</v>
      </c>
      <c r="J3121">
        <v>-351.15140000000002</v>
      </c>
      <c r="K3121">
        <v>1.1046910000000001</v>
      </c>
      <c r="L3121">
        <v>215.50640000000001</v>
      </c>
      <c r="M3121">
        <v>0.99947980000000003</v>
      </c>
      <c r="N3121">
        <v>0</v>
      </c>
      <c r="O3121">
        <v>2.878752E-2</v>
      </c>
      <c r="P3121">
        <v>0.99599400000000005</v>
      </c>
      <c r="Q3121">
        <v>8.4896760000000002E-2</v>
      </c>
      <c r="R3121">
        <v>2.8081310000000002E-2</v>
      </c>
      <c r="S3121">
        <v>3.0389400000000002</v>
      </c>
      <c r="T3121">
        <v>-0.1959921</v>
      </c>
      <c r="U3121">
        <v>-0.34208679999999902</v>
      </c>
      <c r="V3121">
        <v>5.6596449999999905E-4</v>
      </c>
      <c r="W3121">
        <v>9.9377190000000004E-2</v>
      </c>
      <c r="X3121">
        <v>0.99504969999999904</v>
      </c>
      <c r="Y3121">
        <v>0.14007809999999901</v>
      </c>
      <c r="Z3121">
        <v>-6.3478299999999996E-3</v>
      </c>
      <c r="AA3121">
        <v>0.99012009999999995</v>
      </c>
      <c r="AB3121">
        <v>44</v>
      </c>
      <c r="AC3121">
        <v>16.7104</v>
      </c>
      <c r="AD3121">
        <v>-1.1046901276026999</v>
      </c>
      <c r="AE3121">
        <v>-1.9401999999999999</v>
      </c>
      <c r="AF3121">
        <v>2.4101048705068502</v>
      </c>
      <c r="AG3121">
        <v>-1.1046901276026999</v>
      </c>
      <c r="AH3121">
        <v>16.576135094447402</v>
      </c>
      <c r="AI3121">
        <v>93.773190424096995</v>
      </c>
      <c r="AJ3121">
        <v>81.727388276034205</v>
      </c>
      <c r="AK3121">
        <v>16.786816268555299</v>
      </c>
    </row>
    <row r="3122" spans="1:37" x14ac:dyDescent="0.2">
      <c r="A3122" t="str">
        <f>"20200111153711440"</f>
        <v>20200111153711440</v>
      </c>
      <c r="B3122" t="str">
        <f>"1578728231426384"</f>
        <v>1578728231426384</v>
      </c>
      <c r="C3122" t="s">
        <v>37</v>
      </c>
      <c r="D3122">
        <v>6.0546509999999998</v>
      </c>
      <c r="E3122">
        <v>0.55234220000000001</v>
      </c>
      <c r="F3122" t="s">
        <v>45</v>
      </c>
      <c r="G3122">
        <v>-334.20190000000002</v>
      </c>
      <c r="H3122" s="1">
        <v>7.4367939999999999E-7</v>
      </c>
      <c r="I3122">
        <v>213.6003</v>
      </c>
      <c r="J3122">
        <v>-350.72609999999997</v>
      </c>
      <c r="K3122">
        <v>1.104697</v>
      </c>
      <c r="L3122">
        <v>215.5188</v>
      </c>
      <c r="M3122">
        <v>0.99947520000000001</v>
      </c>
      <c r="N3122">
        <v>0</v>
      </c>
      <c r="O3122">
        <v>2.894654E-2</v>
      </c>
      <c r="P3122">
        <v>0.99601669999999998</v>
      </c>
      <c r="Q3122">
        <v>8.4547830000000004E-2</v>
      </c>
      <c r="R3122">
        <v>2.832898E-2</v>
      </c>
      <c r="S3122">
        <v>3.0385740000000001</v>
      </c>
      <c r="T3122">
        <v>-0.1980402</v>
      </c>
      <c r="U3122">
        <v>-0.34170529999999999</v>
      </c>
      <c r="V3122">
        <v>4.7690390000000002E-4</v>
      </c>
      <c r="W3122">
        <v>9.9026550000000005E-2</v>
      </c>
      <c r="X3122">
        <v>0.99508469999999904</v>
      </c>
      <c r="Y3122">
        <v>0.1401183</v>
      </c>
      <c r="Z3122">
        <v>-6.4264730000000003E-3</v>
      </c>
      <c r="AA3122">
        <v>0.99011389999999999</v>
      </c>
      <c r="AB3122">
        <v>44</v>
      </c>
      <c r="AC3122">
        <v>16.524199999999901</v>
      </c>
      <c r="AD3122">
        <v>-1.1046962563206</v>
      </c>
      <c r="AE3122">
        <v>-1.9184999999999901</v>
      </c>
      <c r="AF3122">
        <v>2.3855448520808098</v>
      </c>
      <c r="AG3122">
        <v>-1.1046962563206</v>
      </c>
      <c r="AH3122">
        <v>16.389458397254501</v>
      </c>
      <c r="AI3122">
        <v>93.815976686745699</v>
      </c>
      <c r="AJ3122">
        <v>81.718548813639998</v>
      </c>
      <c r="AK3122">
        <v>16.598961552318599</v>
      </c>
    </row>
    <row r="3123" spans="1:37" x14ac:dyDescent="0.2">
      <c r="A3123" t="str">
        <f>"20200111153711463"</f>
        <v>20200111153711463</v>
      </c>
      <c r="B3123" t="str">
        <f>"1578728231455665"</f>
        <v>1578728231455665</v>
      </c>
      <c r="C3123" t="s">
        <v>37</v>
      </c>
      <c r="D3123">
        <v>6.055294</v>
      </c>
      <c r="E3123">
        <v>0.55301549999999999</v>
      </c>
      <c r="F3123" t="s">
        <v>45</v>
      </c>
      <c r="G3123">
        <v>-333.95240000000001</v>
      </c>
      <c r="H3123" s="1">
        <v>6.0961619999999996E-7</v>
      </c>
      <c r="I3123">
        <v>213.62960000000001</v>
      </c>
      <c r="J3123">
        <v>-350.24939999999998</v>
      </c>
      <c r="K3123">
        <v>1.104703</v>
      </c>
      <c r="L3123">
        <v>215.53270000000001</v>
      </c>
      <c r="M3123">
        <v>0.99947009999999903</v>
      </c>
      <c r="N3123">
        <v>0</v>
      </c>
      <c r="O3123">
        <v>2.9123690000000001E-2</v>
      </c>
      <c r="P3123">
        <v>0.99600549999999999</v>
      </c>
      <c r="Q3123">
        <v>8.4541980000000003E-2</v>
      </c>
      <c r="R3123">
        <v>2.873407E-2</v>
      </c>
      <c r="S3123">
        <v>3.0387569999999999</v>
      </c>
      <c r="T3123">
        <v>-0.200128799999999</v>
      </c>
      <c r="U3123">
        <v>-0.34223940000000003</v>
      </c>
      <c r="V3123">
        <v>2.4768879999999998E-4</v>
      </c>
      <c r="W3123">
        <v>9.9018010000000004E-2</v>
      </c>
      <c r="X3123">
        <v>0.99508560000000001</v>
      </c>
      <c r="Y3123">
        <v>0.14045050000000001</v>
      </c>
      <c r="Z3123">
        <v>-6.5161689999999996E-3</v>
      </c>
      <c r="AA3123">
        <v>0.99006629999999995</v>
      </c>
      <c r="AB3123">
        <v>44</v>
      </c>
      <c r="AC3123">
        <v>16.296999999999901</v>
      </c>
      <c r="AD3123">
        <v>-1.1047023903838</v>
      </c>
      <c r="AE3123">
        <v>-1.90309999999999</v>
      </c>
      <c r="AF3123">
        <v>2.3662451313262198</v>
      </c>
      <c r="AG3123">
        <v>-1.1047023903838</v>
      </c>
      <c r="AH3123">
        <v>16.161393632824101</v>
      </c>
      <c r="AI3123">
        <v>93.869211446543602</v>
      </c>
      <c r="AJ3123">
        <v>81.670312589482293</v>
      </c>
      <c r="AK3123">
        <v>16.3710148600486</v>
      </c>
    </row>
    <row r="3124" spans="1:37" x14ac:dyDescent="0.2">
      <c r="A3124" t="str">
        <f>"20200111153711485"</f>
        <v>20200111153711485</v>
      </c>
      <c r="B3124" t="str">
        <f>"1578728231476160"</f>
        <v>1578728231476160</v>
      </c>
      <c r="C3124" t="s">
        <v>37</v>
      </c>
      <c r="D3124">
        <v>6.0238769999999997</v>
      </c>
      <c r="E3124">
        <v>0.55338279999999995</v>
      </c>
      <c r="F3124" t="s">
        <v>45</v>
      </c>
      <c r="G3124">
        <v>-333.57479999999998</v>
      </c>
      <c r="H3124" s="1">
        <v>4.085965E-7</v>
      </c>
      <c r="I3124">
        <v>213.6317</v>
      </c>
      <c r="J3124">
        <v>-349.80590000000001</v>
      </c>
      <c r="K3124">
        <v>1.104711</v>
      </c>
      <c r="L3124">
        <v>215.54580000000001</v>
      </c>
      <c r="M3124">
        <v>0.99946539999999995</v>
      </c>
      <c r="N3124">
        <v>0</v>
      </c>
      <c r="O3124">
        <v>2.928849E-2</v>
      </c>
      <c r="P3124">
        <v>0.99593009999999904</v>
      </c>
      <c r="Q3124">
        <v>8.5071309999999997E-2</v>
      </c>
      <c r="R3124">
        <v>2.976614E-2</v>
      </c>
      <c r="S3124">
        <v>3.0391240000000002</v>
      </c>
      <c r="T3124">
        <v>-0.2013443</v>
      </c>
      <c r="U3124">
        <v>-0.34648129999999999</v>
      </c>
      <c r="V3124">
        <v>-6.228033E-4</v>
      </c>
      <c r="W3124">
        <v>9.954325E-2</v>
      </c>
      <c r="X3124">
        <v>0.99503299999999995</v>
      </c>
      <c r="Y3124">
        <v>0.14195679999999999</v>
      </c>
      <c r="Z3124">
        <v>-6.6149360000000001E-3</v>
      </c>
      <c r="AA3124">
        <v>0.98985080000000003</v>
      </c>
      <c r="AB3124">
        <v>44</v>
      </c>
      <c r="AC3124">
        <v>16.231100000000001</v>
      </c>
      <c r="AD3124">
        <v>-1.1047105914035</v>
      </c>
      <c r="AE3124">
        <v>-1.9141000000000099</v>
      </c>
      <c r="AF3124">
        <v>2.3778493328596202</v>
      </c>
      <c r="AG3124">
        <v>-1.1047105914035</v>
      </c>
      <c r="AH3124">
        <v>16.094535513488999</v>
      </c>
      <c r="AI3124">
        <v>93.884522988483397</v>
      </c>
      <c r="AJ3124">
        <v>81.595766655970905</v>
      </c>
      <c r="AK3124">
        <v>16.306704950280398</v>
      </c>
    </row>
    <row r="3125" spans="1:37" x14ac:dyDescent="0.2">
      <c r="A3125" t="str">
        <f>"20200111153711508"</f>
        <v>20200111153711508</v>
      </c>
      <c r="B3125" t="str">
        <f>"1578728231495692"</f>
        <v>1578728231495692</v>
      </c>
      <c r="C3125" t="s">
        <v>37</v>
      </c>
      <c r="D3125">
        <v>6.0388359999999999</v>
      </c>
      <c r="E3125">
        <v>0.55369209999999902</v>
      </c>
      <c r="F3125" t="s">
        <v>45</v>
      </c>
      <c r="G3125">
        <v>-333.04739999999998</v>
      </c>
      <c r="H3125" s="1">
        <v>1.276903E-7</v>
      </c>
      <c r="I3125">
        <v>213.63640000000001</v>
      </c>
      <c r="J3125">
        <v>-349.37630000000001</v>
      </c>
      <c r="K3125">
        <v>1.1047180000000001</v>
      </c>
      <c r="L3125">
        <v>215.55850000000001</v>
      </c>
      <c r="M3125">
        <v>0.99946080000000004</v>
      </c>
      <c r="N3125">
        <v>0</v>
      </c>
      <c r="O3125">
        <v>2.9448149999999999E-2</v>
      </c>
      <c r="P3125">
        <v>0.99579409999999902</v>
      </c>
      <c r="Q3125">
        <v>8.6216689999999999E-2</v>
      </c>
      <c r="R3125">
        <v>3.0997239999999999E-2</v>
      </c>
      <c r="S3125">
        <v>3.0397340000000002</v>
      </c>
      <c r="T3125">
        <v>-0.20037720000000001</v>
      </c>
      <c r="U3125">
        <v>-0.34632869999999999</v>
      </c>
      <c r="V3125">
        <v>-1.6991759999999999E-3</v>
      </c>
      <c r="W3125">
        <v>0.1006838</v>
      </c>
      <c r="X3125">
        <v>0.99491700000000005</v>
      </c>
      <c r="Y3125">
        <v>0.1420467</v>
      </c>
      <c r="Z3125">
        <v>-6.5953729999999999E-3</v>
      </c>
      <c r="AA3125">
        <v>0.989837999999999</v>
      </c>
      <c r="AB3125">
        <v>44</v>
      </c>
      <c r="AC3125">
        <v>16.328900000000001</v>
      </c>
      <c r="AD3125">
        <v>-1.1047178723097</v>
      </c>
      <c r="AE3125">
        <v>-1.9220999999999999</v>
      </c>
      <c r="AF3125">
        <v>2.3913768968692102</v>
      </c>
      <c r="AG3125">
        <v>-1.1047178723097</v>
      </c>
      <c r="AH3125">
        <v>16.192108778365</v>
      </c>
      <c r="AI3125">
        <v>93.861241861270898</v>
      </c>
      <c r="AJ3125">
        <v>81.598842330653099</v>
      </c>
      <c r="AK3125">
        <v>16.404983137165502</v>
      </c>
    </row>
    <row r="3126" spans="1:37" x14ac:dyDescent="0.2">
      <c r="A3126" t="str">
        <f>"20200111153711552"</f>
        <v>20200111153711552</v>
      </c>
      <c r="B3126" t="str">
        <f>"1578728231546436"</f>
        <v>1578728231546436</v>
      </c>
      <c r="C3126" t="s">
        <v>37</v>
      </c>
      <c r="D3126">
        <v>6.0569459999999999</v>
      </c>
      <c r="E3126">
        <v>0.55441300000000004</v>
      </c>
      <c r="F3126" t="s">
        <v>45</v>
      </c>
      <c r="G3126">
        <v>-332.38580000000002</v>
      </c>
      <c r="H3126" s="1">
        <v>-2.2409890000000001E-7</v>
      </c>
      <c r="I3126">
        <v>213.63030000000001</v>
      </c>
      <c r="J3126">
        <v>-348.5009</v>
      </c>
      <c r="K3126">
        <v>1.1047260000000001</v>
      </c>
      <c r="L3126">
        <v>215.5847</v>
      </c>
      <c r="M3126">
        <v>0.99945119999999898</v>
      </c>
      <c r="N3126">
        <v>0</v>
      </c>
      <c r="O3126">
        <v>2.9771849999999999E-2</v>
      </c>
      <c r="P3126">
        <v>0.99571699999999996</v>
      </c>
      <c r="Q3126">
        <v>8.6518970000000001E-2</v>
      </c>
      <c r="R3126">
        <v>3.2590939999999999E-2</v>
      </c>
      <c r="S3126">
        <v>3.0404969999999998</v>
      </c>
      <c r="T3126">
        <v>-0.19769200000000001</v>
      </c>
      <c r="U3126">
        <v>-0.34506229999999999</v>
      </c>
      <c r="V3126">
        <v>-2.971937E-3</v>
      </c>
      <c r="W3126">
        <v>0.1009789</v>
      </c>
      <c r="X3126">
        <v>0.99488410000000005</v>
      </c>
      <c r="Y3126">
        <v>0.1419417</v>
      </c>
      <c r="Z3126">
        <v>-6.5232780000000004E-3</v>
      </c>
      <c r="AA3126">
        <v>0.98985349999999905</v>
      </c>
      <c r="AB3126">
        <v>44</v>
      </c>
      <c r="AC3126">
        <v>16.115099999999899</v>
      </c>
      <c r="AD3126">
        <v>-1.1047262240989</v>
      </c>
      <c r="AE3126">
        <v>-1.9543999999999899</v>
      </c>
      <c r="AF3126">
        <v>2.4221427706266598</v>
      </c>
      <c r="AG3126">
        <v>-1.1047262240989</v>
      </c>
      <c r="AH3126">
        <v>15.975774283825601</v>
      </c>
      <c r="AI3126">
        <v>93.911155575530302</v>
      </c>
      <c r="AJ3126">
        <v>81.378844395438406</v>
      </c>
      <c r="AK3126">
        <v>16.1960661766756</v>
      </c>
    </row>
    <row r="3127" spans="1:37" x14ac:dyDescent="0.2">
      <c r="A3127" t="str">
        <f>"20200111153711575"</f>
        <v>20200111153711575</v>
      </c>
      <c r="B3127" t="str">
        <f>"1578728231565955"</f>
        <v>1578728231565955</v>
      </c>
      <c r="C3127" t="s">
        <v>37</v>
      </c>
      <c r="D3127">
        <v>6.095345</v>
      </c>
      <c r="E3127">
        <v>0.5639904</v>
      </c>
      <c r="F3127" t="s">
        <v>45</v>
      </c>
      <c r="G3127">
        <v>-331.4923</v>
      </c>
      <c r="H3127" s="1">
        <v>-7.0038119999999903E-7</v>
      </c>
      <c r="I3127">
        <v>213.64940000000001</v>
      </c>
      <c r="J3127">
        <v>-348.04590000000002</v>
      </c>
      <c r="K3127">
        <v>1.104722</v>
      </c>
      <c r="L3127">
        <v>215.5984</v>
      </c>
      <c r="M3127">
        <v>0.99944659999999996</v>
      </c>
      <c r="N3127">
        <v>0</v>
      </c>
      <c r="O3127">
        <v>2.993125E-2</v>
      </c>
      <c r="P3127">
        <v>0.99574850000000004</v>
      </c>
      <c r="Q3127">
        <v>8.6048669999999994E-2</v>
      </c>
      <c r="R3127">
        <v>3.2878280000000003E-2</v>
      </c>
      <c r="S3127">
        <v>3.0413509999999899</v>
      </c>
      <c r="T3127">
        <v>-0.19753970000000001</v>
      </c>
      <c r="U3127">
        <v>-0.34605409999999998</v>
      </c>
      <c r="V3127">
        <v>-3.0987499999999999E-3</v>
      </c>
      <c r="W3127">
        <v>0.1005064</v>
      </c>
      <c r="X3127">
        <v>0.99493159999999903</v>
      </c>
      <c r="Y3127">
        <v>0.1423866</v>
      </c>
      <c r="Z3127">
        <v>-6.5410340000000003E-3</v>
      </c>
      <c r="AA3127">
        <v>0.98978949999999999</v>
      </c>
      <c r="AB3127">
        <v>44</v>
      </c>
      <c r="AC3127">
        <v>16.553599999999999</v>
      </c>
      <c r="AD3127">
        <v>-1.1047227003811999</v>
      </c>
      <c r="AE3127">
        <v>-1.9489999999999801</v>
      </c>
      <c r="AF3127">
        <v>2.4329611691726898</v>
      </c>
      <c r="AG3127">
        <v>-1.1047227003811999</v>
      </c>
      <c r="AH3127">
        <v>16.415728398672499</v>
      </c>
      <c r="AI3127">
        <v>93.808528796329597</v>
      </c>
      <c r="AJ3127">
        <v>81.569610867102497</v>
      </c>
      <c r="AK3127">
        <v>16.631772339544099</v>
      </c>
    </row>
    <row r="3128" spans="1:37" x14ac:dyDescent="0.2">
      <c r="A3128" t="str">
        <f>"20200111153711598"</f>
        <v>20200111153711598</v>
      </c>
      <c r="B3128" t="str">
        <f>"1578728231586451"</f>
        <v>1578728231586451</v>
      </c>
      <c r="C3128" t="s">
        <v>37</v>
      </c>
      <c r="D3128">
        <v>6.0416259999999999</v>
      </c>
      <c r="E3128">
        <v>0.56440109999999999</v>
      </c>
      <c r="F3128" t="s">
        <v>45</v>
      </c>
      <c r="G3128">
        <v>-333.45280000000002</v>
      </c>
      <c r="H3128" s="1">
        <v>3.461306E-7</v>
      </c>
      <c r="I3128">
        <v>213.5752</v>
      </c>
      <c r="J3128">
        <v>-347.60660000000001</v>
      </c>
      <c r="K3128">
        <v>1.1047129999999901</v>
      </c>
      <c r="L3128">
        <v>215.61160000000001</v>
      </c>
      <c r="M3128">
        <v>0.99944239999999995</v>
      </c>
      <c r="N3128">
        <v>0</v>
      </c>
      <c r="O3128">
        <v>3.0072749999999999E-2</v>
      </c>
      <c r="P3128">
        <v>0.99575020000000003</v>
      </c>
      <c r="Q3128">
        <v>8.589919E-2</v>
      </c>
      <c r="R3128">
        <v>3.321669E-2</v>
      </c>
      <c r="S3128">
        <v>3.04669199999999</v>
      </c>
      <c r="T3128">
        <v>-0.2306396</v>
      </c>
      <c r="U3128">
        <v>-0.42239379999999999</v>
      </c>
      <c r="V3128">
        <v>-3.2937879999999902E-3</v>
      </c>
      <c r="W3128">
        <v>0.1003546</v>
      </c>
      <c r="X3128">
        <v>0.99494629999999995</v>
      </c>
      <c r="Y3128">
        <v>0.16650299999999901</v>
      </c>
      <c r="Z3128">
        <v>-8.5271340000000004E-3</v>
      </c>
      <c r="AA3128">
        <v>0.98600409999999905</v>
      </c>
      <c r="AB3128">
        <v>44</v>
      </c>
      <c r="AC3128">
        <v>14.153799999999899</v>
      </c>
      <c r="AD3128">
        <v>-1.1047126538693901</v>
      </c>
      <c r="AE3128">
        <v>-2.0364000000000102</v>
      </c>
      <c r="AF3128">
        <v>2.4465653104362799</v>
      </c>
      <c r="AG3128">
        <v>-1.1047126538693901</v>
      </c>
      <c r="AH3128">
        <v>14.002578192248199</v>
      </c>
      <c r="AI3128">
        <v>94.443876654819803</v>
      </c>
      <c r="AJ3128">
        <v>80.089182969490594</v>
      </c>
      <c r="AK3128">
        <v>14.257568793306801</v>
      </c>
    </row>
    <row r="3129" spans="1:37" x14ac:dyDescent="0.2">
      <c r="A3129" t="str">
        <f>"20200111153711620"</f>
        <v>20200111153711620</v>
      </c>
      <c r="B3129" t="str">
        <f>"1578728231605972"</f>
        <v>1578728231605972</v>
      </c>
      <c r="C3129" t="s">
        <v>37</v>
      </c>
      <c r="D3129">
        <v>6.0083909999999996</v>
      </c>
      <c r="E3129">
        <v>0.56444799999999995</v>
      </c>
      <c r="F3129" t="s">
        <v>45</v>
      </c>
      <c r="G3129">
        <v>-332.8159</v>
      </c>
      <c r="H3129" s="1">
        <v>8.330449E-9</v>
      </c>
      <c r="I3129">
        <v>213.5488</v>
      </c>
      <c r="J3129">
        <v>-347.17910000000001</v>
      </c>
      <c r="K3129">
        <v>1.1047009999999999</v>
      </c>
      <c r="L3129">
        <v>215.62459999999999</v>
      </c>
      <c r="M3129">
        <v>0.99943879999999996</v>
      </c>
      <c r="N3129">
        <v>0</v>
      </c>
      <c r="O3129">
        <v>3.0192770000000001E-2</v>
      </c>
      <c r="P3129">
        <v>0.99574050000000003</v>
      </c>
      <c r="Q3129">
        <v>8.5689749999999995E-2</v>
      </c>
      <c r="R3129">
        <v>3.4036860000000002E-2</v>
      </c>
      <c r="S3129">
        <v>3.0466310000000001</v>
      </c>
      <c r="T3129">
        <v>-0.2275509</v>
      </c>
      <c r="U3129">
        <v>-0.4248962</v>
      </c>
      <c r="V3129">
        <v>-3.9912810000000002E-3</v>
      </c>
      <c r="W3129">
        <v>0.1001425</v>
      </c>
      <c r="X3129">
        <v>0.99496509999999905</v>
      </c>
      <c r="Y3129">
        <v>0.16743039999999901</v>
      </c>
      <c r="Z3129">
        <v>-8.4562890000000005E-3</v>
      </c>
      <c r="AA3129">
        <v>0.98584769999999899</v>
      </c>
      <c r="AB3129">
        <v>44</v>
      </c>
      <c r="AC3129">
        <v>14.363200000000001</v>
      </c>
      <c r="AD3129">
        <v>-1.10470099166955</v>
      </c>
      <c r="AE3129">
        <v>-2.0757999999999801</v>
      </c>
      <c r="AF3129">
        <v>2.49411195416821</v>
      </c>
      <c r="AG3129">
        <v>-1.10470099166955</v>
      </c>
      <c r="AH3129">
        <v>14.2116215841114</v>
      </c>
      <c r="AI3129">
        <v>94.378145582680901</v>
      </c>
      <c r="AJ3129">
        <v>80.046068317083495</v>
      </c>
      <c r="AK3129">
        <v>14.471045116746099</v>
      </c>
    </row>
    <row r="3130" spans="1:37" x14ac:dyDescent="0.2">
      <c r="A3130" t="str">
        <f>"20200111153711642"</f>
        <v>20200111153711642</v>
      </c>
      <c r="B3130" t="str">
        <f>"1578728231636228"</f>
        <v>1578728231636228</v>
      </c>
      <c r="C3130" t="s">
        <v>37</v>
      </c>
      <c r="D3130">
        <v>5.9879449999999999</v>
      </c>
      <c r="E3130">
        <v>0.56461349999999999</v>
      </c>
      <c r="F3130" t="s">
        <v>45</v>
      </c>
      <c r="G3130">
        <v>-332.63920000000002</v>
      </c>
      <c r="H3130" s="1">
        <v>-8.8187729999999995E-8</v>
      </c>
      <c r="I3130">
        <v>213.60640000000001</v>
      </c>
      <c r="J3130">
        <v>-346.74439999999998</v>
      </c>
      <c r="K3130">
        <v>1.1046799999999899</v>
      </c>
      <c r="L3130">
        <v>215.6378</v>
      </c>
      <c r="M3130">
        <v>0.99943559999999998</v>
      </c>
      <c r="N3130">
        <v>0</v>
      </c>
      <c r="O3130">
        <v>3.0292550000000001E-2</v>
      </c>
      <c r="P3130">
        <v>0.99574300000000004</v>
      </c>
      <c r="Q3130">
        <v>8.5046869999999997E-2</v>
      </c>
      <c r="R3130">
        <v>3.5537350000000002E-2</v>
      </c>
      <c r="S3130">
        <v>3.04718</v>
      </c>
      <c r="T3130">
        <v>-0.23151579999999999</v>
      </c>
      <c r="U3130">
        <v>-0.42297360000000001</v>
      </c>
      <c r="V3130">
        <v>-5.3864689999999996E-3</v>
      </c>
      <c r="W3130">
        <v>9.9497230000000006E-2</v>
      </c>
      <c r="X3130">
        <v>0.99502330000000005</v>
      </c>
      <c r="Y3130">
        <v>0.16687679999999999</v>
      </c>
      <c r="Z3130">
        <v>-8.5886899999999995E-3</v>
      </c>
      <c r="AA3130">
        <v>0.98594029999999999</v>
      </c>
      <c r="AB3130">
        <v>44</v>
      </c>
      <c r="AC3130">
        <v>14.1051999999999</v>
      </c>
      <c r="AD3130">
        <v>-1.1046800881877299</v>
      </c>
      <c r="AE3130">
        <v>-2.0313999999999899</v>
      </c>
      <c r="AF3130">
        <v>2.4431145072812601</v>
      </c>
      <c r="AG3130">
        <v>-1.1046800881877299</v>
      </c>
      <c r="AH3130">
        <v>13.9533376610225</v>
      </c>
      <c r="AI3130">
        <v>94.459086423717693</v>
      </c>
      <c r="AJ3130">
        <v>80.068653105021198</v>
      </c>
      <c r="AK3130">
        <v>14.208615642469701</v>
      </c>
    </row>
    <row r="3131" spans="1:37" x14ac:dyDescent="0.2">
      <c r="A3131" t="str">
        <f>"20200111153711665"</f>
        <v>20200111153711665</v>
      </c>
      <c r="B3131" t="str">
        <f>"1578728231655747"</f>
        <v>1578728231655747</v>
      </c>
      <c r="C3131" t="s">
        <v>37</v>
      </c>
      <c r="D3131">
        <v>6.0327039999999998</v>
      </c>
      <c r="E3131">
        <v>0.559191199999999</v>
      </c>
      <c r="F3131" t="s">
        <v>45</v>
      </c>
      <c r="G3131">
        <v>-332.52030000000002</v>
      </c>
      <c r="H3131" s="1">
        <v>-1.546645E-7</v>
      </c>
      <c r="I3131">
        <v>213.67949999999999</v>
      </c>
      <c r="J3131">
        <v>-346.28829999999999</v>
      </c>
      <c r="K3131">
        <v>1.1046549999999999</v>
      </c>
      <c r="L3131">
        <v>215.65180000000001</v>
      </c>
      <c r="M3131">
        <v>0.99943320000000002</v>
      </c>
      <c r="N3131">
        <v>0</v>
      </c>
      <c r="O3131">
        <v>3.0375369999999999E-2</v>
      </c>
      <c r="P3131">
        <v>0.99577569999999904</v>
      </c>
      <c r="Q3131">
        <v>8.3913650000000006E-2</v>
      </c>
      <c r="R3131">
        <v>3.7274549999999997E-2</v>
      </c>
      <c r="S3131">
        <v>3.0480040000000002</v>
      </c>
      <c r="T3131">
        <v>-0.23671599999999901</v>
      </c>
      <c r="U3131">
        <v>-0.4196472</v>
      </c>
      <c r="V3131">
        <v>-7.0341229999999998E-3</v>
      </c>
      <c r="W3131">
        <v>9.836222E-2</v>
      </c>
      <c r="X3131">
        <v>0.99512579999999995</v>
      </c>
      <c r="Y3131">
        <v>0.16584399999999999</v>
      </c>
      <c r="Z3131">
        <v>-8.7458789999999998E-3</v>
      </c>
      <c r="AA3131">
        <v>0.98611319999999902</v>
      </c>
      <c r="AB3131">
        <v>44</v>
      </c>
      <c r="AC3131">
        <v>13.767999999999899</v>
      </c>
      <c r="AD3131">
        <v>-1.1046551546645</v>
      </c>
      <c r="AE3131">
        <v>-1.9723000000000099</v>
      </c>
      <c r="AF3131">
        <v>2.3746625537899599</v>
      </c>
      <c r="AG3131">
        <v>-1.1046551546645</v>
      </c>
      <c r="AH3131">
        <v>13.615841599944099</v>
      </c>
      <c r="AI3131">
        <v>94.569579120139295</v>
      </c>
      <c r="AJ3131">
        <v>80.106869705132297</v>
      </c>
      <c r="AK3131">
        <v>13.865440048187001</v>
      </c>
    </row>
    <row r="3132" spans="1:37" x14ac:dyDescent="0.2">
      <c r="A3132" t="str">
        <f>"20200111153711686"</f>
        <v>20200111153711686</v>
      </c>
      <c r="B3132" t="str">
        <f>"1578728231676243"</f>
        <v>1578728231676243</v>
      </c>
      <c r="C3132" t="s">
        <v>37</v>
      </c>
      <c r="D3132">
        <v>5.5918830000000002</v>
      </c>
      <c r="E3132">
        <v>0.47014229999999901</v>
      </c>
      <c r="F3132" t="s">
        <v>38</v>
      </c>
      <c r="G3132">
        <v>-345.29129999999998</v>
      </c>
      <c r="H3132">
        <v>1.0240899999999999</v>
      </c>
      <c r="I3132">
        <v>215.52979999999999</v>
      </c>
      <c r="J3132">
        <v>-345.87009999999998</v>
      </c>
      <c r="K3132">
        <v>1.104625</v>
      </c>
      <c r="L3132">
        <v>215.66460000000001</v>
      </c>
      <c r="M3132">
        <v>0.99943159999999898</v>
      </c>
      <c r="N3132">
        <v>0</v>
      </c>
      <c r="O3132">
        <v>3.0431690000000001E-2</v>
      </c>
      <c r="P3132">
        <v>0.99580109999999999</v>
      </c>
      <c r="Q3132">
        <v>8.2071169999999999E-2</v>
      </c>
      <c r="R3132">
        <v>4.0553350000000002E-2</v>
      </c>
      <c r="S3132">
        <v>3.0474239999999999</v>
      </c>
      <c r="T3132">
        <v>-0.24638350000000001</v>
      </c>
      <c r="U3132">
        <v>-0.37156679999999997</v>
      </c>
      <c r="V3132">
        <v>-1.024982E-2</v>
      </c>
      <c r="W3132">
        <v>9.651854E-2</v>
      </c>
      <c r="X3132">
        <v>0.99527840000000001</v>
      </c>
      <c r="Y3132">
        <v>0.1506043</v>
      </c>
      <c r="Z3132">
        <v>-8.5044000000000005E-3</v>
      </c>
      <c r="AA3132">
        <v>0.98855749999999998</v>
      </c>
      <c r="AB3132">
        <v>44</v>
      </c>
      <c r="AC3132">
        <v>0.57880000000000098</v>
      </c>
      <c r="AD3132">
        <v>-8.0534999999999995E-2</v>
      </c>
      <c r="AE3132">
        <v>-0.13480000000001199</v>
      </c>
      <c r="AF3132">
        <v>0.14960587333452199</v>
      </c>
      <c r="AG3132">
        <v>-8.0534999999999995E-2</v>
      </c>
      <c r="AH3132">
        <v>0.56407052949388004</v>
      </c>
      <c r="AI3132">
        <v>97.857376110337299</v>
      </c>
      <c r="AJ3132">
        <v>75.145702615893995</v>
      </c>
      <c r="AK3132">
        <v>0.58910386673717596</v>
      </c>
    </row>
    <row r="3133" spans="1:37" x14ac:dyDescent="0.2">
      <c r="A3133" t="str">
        <f>"20200111153711718"</f>
        <v>20200111153711718</v>
      </c>
      <c r="B3133" t="str">
        <f>"1578728231706499"</f>
        <v>1578728231706499</v>
      </c>
      <c r="C3133" t="s">
        <v>37</v>
      </c>
      <c r="D3133">
        <v>5.695729</v>
      </c>
      <c r="E3133">
        <v>0.4502718</v>
      </c>
      <c r="F3133" t="s">
        <v>45</v>
      </c>
      <c r="G3133">
        <v>-329.55439999999999</v>
      </c>
      <c r="H3133" s="1">
        <v>3.5475770000000001E-6</v>
      </c>
      <c r="I3133">
        <v>217.5531</v>
      </c>
      <c r="J3133">
        <v>-345.25420000000003</v>
      </c>
      <c r="K3133">
        <v>1.1045780000000001</v>
      </c>
      <c r="L3133">
        <v>215.68340000000001</v>
      </c>
      <c r="M3133">
        <v>0.99942989999999998</v>
      </c>
      <c r="N3133">
        <v>0</v>
      </c>
      <c r="O3133">
        <v>3.0484069999999999E-2</v>
      </c>
      <c r="P3133">
        <v>0.99578239999999996</v>
      </c>
      <c r="Q3133">
        <v>8.0695669999999997E-2</v>
      </c>
      <c r="R3133">
        <v>4.3655109999999997E-2</v>
      </c>
      <c r="S3133">
        <v>3.015228</v>
      </c>
      <c r="T3133">
        <v>-0.20413979999999901</v>
      </c>
      <c r="U3133">
        <v>0.3490143</v>
      </c>
      <c r="V3133">
        <v>-1.329221E-2</v>
      </c>
      <c r="W3133">
        <v>9.5140649999999993E-2</v>
      </c>
      <c r="X3133">
        <v>0.99537509999999996</v>
      </c>
      <c r="Y3133">
        <v>-8.4522330000000007E-2</v>
      </c>
      <c r="Z3133">
        <v>7.9471589999999996E-4</v>
      </c>
      <c r="AA3133">
        <v>0.99642129999999995</v>
      </c>
      <c r="AB3133">
        <v>44</v>
      </c>
      <c r="AC3133">
        <v>15.6998</v>
      </c>
      <c r="AD3133">
        <v>-1.1045744524229999</v>
      </c>
      <c r="AE3133">
        <v>1.8696999999999899</v>
      </c>
      <c r="AF3133">
        <v>-1.3834344908809499</v>
      </c>
      <c r="AG3133">
        <v>-1.1045744524229999</v>
      </c>
      <c r="AH3133">
        <v>15.6730082272327</v>
      </c>
      <c r="AI3133">
        <v>94.015762304349096</v>
      </c>
      <c r="AJ3133">
        <v>95.044344596675899</v>
      </c>
      <c r="AK3133">
        <v>15.772671384467801</v>
      </c>
    </row>
    <row r="3134" spans="1:37" x14ac:dyDescent="0.2">
      <c r="A3134" t="str">
        <f>"20200111153711742"</f>
        <v>20200111153711742</v>
      </c>
      <c r="B3134" t="str">
        <f>"1578728231735779"</f>
        <v>1578728231735779</v>
      </c>
      <c r="C3134" t="s">
        <v>37</v>
      </c>
      <c r="D3134">
        <v>5.8928580000000004</v>
      </c>
      <c r="E3134">
        <v>0.45003539999999997</v>
      </c>
      <c r="F3134" t="s">
        <v>45</v>
      </c>
      <c r="G3134">
        <v>-329.57369999999997</v>
      </c>
      <c r="H3134" s="1">
        <v>3.55786E-6</v>
      </c>
      <c r="I3134">
        <v>218.374</v>
      </c>
      <c r="J3134">
        <v>-344.8048</v>
      </c>
      <c r="K3134">
        <v>1.104562</v>
      </c>
      <c r="L3134">
        <v>215.69710000000001</v>
      </c>
      <c r="M3134">
        <v>0.99942960000000003</v>
      </c>
      <c r="N3134">
        <v>0</v>
      </c>
      <c r="O3134">
        <v>3.0503059999999999E-2</v>
      </c>
      <c r="P3134">
        <v>0.99579640000000003</v>
      </c>
      <c r="Q3134">
        <v>7.9969879999999993E-2</v>
      </c>
      <c r="R3134">
        <v>4.4661590000000001E-2</v>
      </c>
      <c r="S3134">
        <v>3.007263</v>
      </c>
      <c r="T3134">
        <v>-0.21183879999999999</v>
      </c>
      <c r="U3134">
        <v>0.51602170000000003</v>
      </c>
      <c r="V3134">
        <v>-1.427521E-2</v>
      </c>
      <c r="W3134">
        <v>9.4412949999999995E-2</v>
      </c>
      <c r="X3134">
        <v>0.99543079999999995</v>
      </c>
      <c r="Y3134">
        <v>-0.13871439999999999</v>
      </c>
      <c r="Z3134">
        <v>2.715238E-3</v>
      </c>
      <c r="AA3134">
        <v>0.99032869999999995</v>
      </c>
      <c r="AB3134">
        <v>44</v>
      </c>
      <c r="AC3134">
        <v>15.2311</v>
      </c>
      <c r="AD3134">
        <v>-1.1045584421400001</v>
      </c>
      <c r="AE3134">
        <v>2.67690000000001</v>
      </c>
      <c r="AF3134">
        <v>-2.1997877994042199</v>
      </c>
      <c r="AG3134">
        <v>-1.1045584421400001</v>
      </c>
      <c r="AH3134">
        <v>15.2279868010346</v>
      </c>
      <c r="AI3134">
        <v>94.106195927504501</v>
      </c>
      <c r="AJ3134">
        <v>98.219908434199496</v>
      </c>
      <c r="AK3134">
        <v>15.425650641933901</v>
      </c>
    </row>
    <row r="3135" spans="1:37" x14ac:dyDescent="0.2">
      <c r="A3135" t="str">
        <f>"20200111153711765"</f>
        <v>20200111153711765</v>
      </c>
      <c r="B3135" t="str">
        <f>"1578728231756275"</f>
        <v>1578728231756275</v>
      </c>
      <c r="C3135" t="s">
        <v>37</v>
      </c>
      <c r="D3135">
        <v>5.6380369999999997</v>
      </c>
      <c r="E3135">
        <v>0.45156170000000001</v>
      </c>
      <c r="F3135" t="s">
        <v>45</v>
      </c>
      <c r="G3135">
        <v>-328.4461</v>
      </c>
      <c r="H3135" s="1">
        <v>2.9577999999999999E-6</v>
      </c>
      <c r="I3135">
        <v>218.53399999999999</v>
      </c>
      <c r="J3135">
        <v>-344.34179999999998</v>
      </c>
      <c r="K3135">
        <v>1.104538</v>
      </c>
      <c r="L3135">
        <v>215.71119999999999</v>
      </c>
      <c r="M3135">
        <v>0.99942919999999902</v>
      </c>
      <c r="N3135">
        <v>0</v>
      </c>
      <c r="O3135">
        <v>3.0513269999999999E-2</v>
      </c>
      <c r="P3135">
        <v>0.99577399999999905</v>
      </c>
      <c r="Q3135">
        <v>7.9696009999999998E-2</v>
      </c>
      <c r="R3135">
        <v>4.5639760000000001E-2</v>
      </c>
      <c r="S3135">
        <v>3.005646</v>
      </c>
      <c r="T3135">
        <v>-0.20294489999999901</v>
      </c>
      <c r="U3135">
        <v>0.52122500000000005</v>
      </c>
      <c r="V3135">
        <v>-1.5239630000000001E-2</v>
      </c>
      <c r="W3135">
        <v>9.4136670000000006E-2</v>
      </c>
      <c r="X3135">
        <v>0.99544259999999996</v>
      </c>
      <c r="Y3135">
        <v>-0.14047509999999999</v>
      </c>
      <c r="Z3135">
        <v>2.660763E-3</v>
      </c>
      <c r="AA3135">
        <v>0.99008069999999904</v>
      </c>
      <c r="AB3135">
        <v>44</v>
      </c>
      <c r="AC3135">
        <v>15.8956999999999</v>
      </c>
      <c r="AD3135">
        <v>-1.1045350422</v>
      </c>
      <c r="AE3135">
        <v>2.82280000000002</v>
      </c>
      <c r="AF3135">
        <v>-2.3255193705064001</v>
      </c>
      <c r="AG3135">
        <v>-1.1045350422</v>
      </c>
      <c r="AH3135">
        <v>15.9000147133822</v>
      </c>
      <c r="AI3135">
        <v>93.932111979459194</v>
      </c>
      <c r="AJ3135">
        <v>98.321021424413303</v>
      </c>
      <c r="AK3135">
        <v>16.1070948928669</v>
      </c>
    </row>
    <row r="3136" spans="1:37" x14ac:dyDescent="0.2">
      <c r="A3136" t="str">
        <f>"20200111153711788"</f>
        <v>20200111153711788</v>
      </c>
      <c r="B3136" t="str">
        <f>"1578728231775798"</f>
        <v>1578728231775798</v>
      </c>
      <c r="C3136" t="s">
        <v>37</v>
      </c>
      <c r="D3136">
        <v>5.6303979999999996</v>
      </c>
      <c r="E3136">
        <v>0.45285320000000001</v>
      </c>
      <c r="F3136" t="s">
        <v>45</v>
      </c>
      <c r="G3136">
        <v>-326.83319999999998</v>
      </c>
      <c r="H3136" s="1">
        <v>2.099486E-6</v>
      </c>
      <c r="I3136">
        <v>218.6951</v>
      </c>
      <c r="J3136">
        <v>-343.90570000000002</v>
      </c>
      <c r="K3136">
        <v>1.10453</v>
      </c>
      <c r="L3136">
        <v>215.72460000000001</v>
      </c>
      <c r="M3136">
        <v>0.99942900000000001</v>
      </c>
      <c r="N3136">
        <v>0</v>
      </c>
      <c r="O3136">
        <v>3.0517579999999999E-2</v>
      </c>
      <c r="P3136">
        <v>0.99577439999999995</v>
      </c>
      <c r="Q3136">
        <v>7.9492859999999999E-2</v>
      </c>
      <c r="R3136">
        <v>4.5980599999999899E-2</v>
      </c>
      <c r="S3136">
        <v>3.0044559999999998</v>
      </c>
      <c r="T3136">
        <v>-0.1895365</v>
      </c>
      <c r="U3136">
        <v>0.51202389999999998</v>
      </c>
      <c r="V3136">
        <v>-1.557362E-2</v>
      </c>
      <c r="W3136">
        <v>9.3931589999999995E-2</v>
      </c>
      <c r="X3136">
        <v>0.99545680000000003</v>
      </c>
      <c r="Y3136">
        <v>-0.13762739999999901</v>
      </c>
      <c r="Z3136">
        <v>2.397546E-3</v>
      </c>
      <c r="AA3136">
        <v>0.9904811</v>
      </c>
      <c r="AB3136">
        <v>44</v>
      </c>
      <c r="AC3136">
        <v>17.072500000000002</v>
      </c>
      <c r="AD3136">
        <v>-1.1045279005140001</v>
      </c>
      <c r="AE3136">
        <v>2.9704999999999799</v>
      </c>
      <c r="AF3136">
        <v>-2.4381446855520599</v>
      </c>
      <c r="AG3136">
        <v>-1.1045279005140001</v>
      </c>
      <c r="AH3136">
        <v>17.0857953303511</v>
      </c>
      <c r="AI3136">
        <v>93.661801860855107</v>
      </c>
      <c r="AJ3136">
        <v>98.121284170510407</v>
      </c>
      <c r="AK3136">
        <v>17.2941878520313</v>
      </c>
    </row>
    <row r="3137" spans="1:37" x14ac:dyDescent="0.2">
      <c r="A3137" t="str">
        <f>"20200111153711808"</f>
        <v>20200111153711808</v>
      </c>
      <c r="B3137" t="str">
        <f>"1578728231796291"</f>
        <v>1578728231796291</v>
      </c>
      <c r="C3137" t="s">
        <v>37</v>
      </c>
      <c r="D3137">
        <v>5.6623650000000003</v>
      </c>
      <c r="E3137">
        <v>0.45373629999999998</v>
      </c>
      <c r="F3137" t="s">
        <v>45</v>
      </c>
      <c r="G3137">
        <v>-325.3057</v>
      </c>
      <c r="H3137" s="1">
        <v>1.28662E-6</v>
      </c>
      <c r="I3137">
        <v>218.83940000000001</v>
      </c>
      <c r="J3137">
        <v>-343.50099999999998</v>
      </c>
      <c r="K3137">
        <v>1.104528</v>
      </c>
      <c r="L3137">
        <v>215.73699999999999</v>
      </c>
      <c r="M3137">
        <v>0.99942919999999902</v>
      </c>
      <c r="N3137">
        <v>0</v>
      </c>
      <c r="O3137">
        <v>3.0519299999999999E-2</v>
      </c>
      <c r="P3137">
        <v>0.9957665</v>
      </c>
      <c r="Q3137">
        <v>7.9807950000000002E-2</v>
      </c>
      <c r="R3137">
        <v>4.5606170000000001E-2</v>
      </c>
      <c r="S3137">
        <v>3.003784</v>
      </c>
      <c r="T3137">
        <v>-0.17837410000000001</v>
      </c>
      <c r="U3137">
        <v>0.50302119999999995</v>
      </c>
      <c r="V3137">
        <v>-1.519628E-2</v>
      </c>
      <c r="W3137">
        <v>9.4244430000000004E-2</v>
      </c>
      <c r="X3137">
        <v>0.99543309999999996</v>
      </c>
      <c r="Y3137">
        <v>-0.1348039</v>
      </c>
      <c r="Z3137">
        <v>2.174348E-3</v>
      </c>
      <c r="AA3137">
        <v>0.99086989999999997</v>
      </c>
      <c r="AB3137">
        <v>44</v>
      </c>
      <c r="AC3137">
        <v>18.1952999999999</v>
      </c>
      <c r="AD3137">
        <v>-1.1045267133800001</v>
      </c>
      <c r="AE3137">
        <v>3.10240000000001</v>
      </c>
      <c r="AF3137">
        <v>-2.5365055474080802</v>
      </c>
      <c r="AG3137">
        <v>-1.1045267133800001</v>
      </c>
      <c r="AH3137">
        <v>18.216285362076601</v>
      </c>
      <c r="AI3137">
        <v>93.436748943364904</v>
      </c>
      <c r="AJ3137">
        <v>97.927114126254494</v>
      </c>
      <c r="AK3137">
        <v>18.425170068284501</v>
      </c>
    </row>
    <row r="3138" spans="1:37" x14ac:dyDescent="0.2">
      <c r="A3138" t="str">
        <f>"20200111153711842"</f>
        <v>20200111153711842</v>
      </c>
      <c r="B3138" t="str">
        <f>"1578728231836308"</f>
        <v>1578728231836308</v>
      </c>
      <c r="C3138" t="s">
        <v>37</v>
      </c>
      <c r="D3138">
        <v>5.6346809999999996</v>
      </c>
      <c r="E3138">
        <v>0.45469280000000001</v>
      </c>
      <c r="F3138" t="s">
        <v>45</v>
      </c>
      <c r="G3138">
        <v>-323.95960000000002</v>
      </c>
      <c r="H3138" s="1">
        <v>5.7030130000000002E-7</v>
      </c>
      <c r="I3138">
        <v>218.95869999999999</v>
      </c>
      <c r="J3138">
        <v>-343.0727</v>
      </c>
      <c r="K3138">
        <v>1.1045240000000001</v>
      </c>
      <c r="L3138">
        <v>215.7501</v>
      </c>
      <c r="M3138">
        <v>0.99942900000000001</v>
      </c>
      <c r="N3138">
        <v>0</v>
      </c>
      <c r="O3138">
        <v>3.0520499999999999E-2</v>
      </c>
      <c r="P3138">
        <v>0.99579530000000005</v>
      </c>
      <c r="Q3138">
        <v>7.9898860000000002E-2</v>
      </c>
      <c r="R3138">
        <v>4.4814010000000001E-2</v>
      </c>
      <c r="S3138">
        <v>3.0037229999999999</v>
      </c>
      <c r="T3138">
        <v>-0.1697777</v>
      </c>
      <c r="U3138">
        <v>0.4952087</v>
      </c>
      <c r="V3138">
        <v>-1.4400629999999999E-2</v>
      </c>
      <c r="W3138">
        <v>9.433366E-2</v>
      </c>
      <c r="X3138">
        <v>0.99543649999999995</v>
      </c>
      <c r="Y3138">
        <v>-0.1323182</v>
      </c>
      <c r="Z3138">
        <v>2.0003970000000001E-3</v>
      </c>
      <c r="AA3138">
        <v>0.99120529999999996</v>
      </c>
      <c r="AB3138">
        <v>44</v>
      </c>
      <c r="AC3138">
        <v>19.1130999999999</v>
      </c>
      <c r="AD3138">
        <v>-1.1045234296987001</v>
      </c>
      <c r="AE3138">
        <v>3.2085999999999899</v>
      </c>
      <c r="AF3138">
        <v>-2.6152080228668999</v>
      </c>
      <c r="AG3138">
        <v>-1.1045234296987001</v>
      </c>
      <c r="AH3138">
        <v>19.139965640873498</v>
      </c>
      <c r="AI3138">
        <v>93.272406107908196</v>
      </c>
      <c r="AJ3138">
        <v>97.780484915246703</v>
      </c>
      <c r="AK3138">
        <v>19.349355796600602</v>
      </c>
    </row>
    <row r="3139" spans="1:37" x14ac:dyDescent="0.2">
      <c r="A3139" t="str">
        <f>"20200111153711858"</f>
        <v>20200111153711858</v>
      </c>
      <c r="B3139" t="str">
        <f>"1578728231846068"</f>
        <v>1578728231846068</v>
      </c>
      <c r="C3139" t="s">
        <v>37</v>
      </c>
      <c r="D3139">
        <v>5.6490369999999999</v>
      </c>
      <c r="E3139">
        <v>0.45477279999999998</v>
      </c>
      <c r="F3139" t="s">
        <v>45</v>
      </c>
      <c r="G3139">
        <v>-321.9239</v>
      </c>
      <c r="H3139" s="1">
        <v>-5.1298469999999998E-7</v>
      </c>
      <c r="I3139">
        <v>219.16929999999999</v>
      </c>
      <c r="J3139">
        <v>-342.54539999999997</v>
      </c>
      <c r="K3139">
        <v>1.104519</v>
      </c>
      <c r="L3139">
        <v>215.7662</v>
      </c>
      <c r="M3139">
        <v>0.99942919999999902</v>
      </c>
      <c r="N3139">
        <v>0</v>
      </c>
      <c r="O3139">
        <v>3.0521400000000001E-2</v>
      </c>
      <c r="P3139">
        <v>0.99580270000000004</v>
      </c>
      <c r="Q3139">
        <v>8.0312839999999996E-2</v>
      </c>
      <c r="R3139">
        <v>4.38973E-2</v>
      </c>
      <c r="S3139">
        <v>3.003387</v>
      </c>
      <c r="T3139">
        <v>-0.1568562</v>
      </c>
      <c r="U3139">
        <v>0.48558040000000002</v>
      </c>
      <c r="V3139">
        <v>-1.348162E-2</v>
      </c>
      <c r="W3139">
        <v>9.4744759999999997E-2</v>
      </c>
      <c r="X3139">
        <v>0.99541029999999997</v>
      </c>
      <c r="Y3139">
        <v>-0.1292664</v>
      </c>
      <c r="Z3139">
        <v>1.769849E-3</v>
      </c>
      <c r="AA3139">
        <v>0.9916083</v>
      </c>
      <c r="AB3139">
        <v>43</v>
      </c>
      <c r="AC3139">
        <v>20.621499999999902</v>
      </c>
      <c r="AD3139">
        <v>-1.1045195129847001</v>
      </c>
      <c r="AE3139">
        <v>3.40309999999999</v>
      </c>
      <c r="AF3139">
        <v>-2.7643309781659502</v>
      </c>
      <c r="AG3139">
        <v>-1.1045195129847001</v>
      </c>
      <c r="AH3139">
        <v>20.6580754848734</v>
      </c>
      <c r="AI3139">
        <v>93.033515709399097</v>
      </c>
      <c r="AJ3139">
        <v>97.621676983147097</v>
      </c>
      <c r="AK3139">
        <v>20.871453515511099</v>
      </c>
    </row>
    <row r="3140" spans="1:37" x14ac:dyDescent="0.2">
      <c r="A3140" t="str">
        <f>"20200111153711877"</f>
        <v>20200111153711877</v>
      </c>
      <c r="B3140" t="str">
        <f>"1578728231866563"</f>
        <v>1578728231866563</v>
      </c>
      <c r="C3140" t="s">
        <v>37</v>
      </c>
      <c r="D3140">
        <v>5.595942</v>
      </c>
      <c r="E3140">
        <v>0.45475399999999999</v>
      </c>
      <c r="F3140" t="s">
        <v>45</v>
      </c>
      <c r="G3140">
        <v>-320.8569</v>
      </c>
      <c r="H3140" s="1">
        <v>-1.0807689999999899E-6</v>
      </c>
      <c r="I3140">
        <v>219.2456</v>
      </c>
      <c r="J3140">
        <v>-342.16759999999999</v>
      </c>
      <c r="K3140">
        <v>1.104514</v>
      </c>
      <c r="L3140">
        <v>215.77770000000001</v>
      </c>
      <c r="M3140">
        <v>0.99942909999999996</v>
      </c>
      <c r="N3140">
        <v>0</v>
      </c>
      <c r="O3140">
        <v>3.0522179999999999E-2</v>
      </c>
      <c r="P3140">
        <v>0.99580900000000006</v>
      </c>
      <c r="Q3140">
        <v>8.0591579999999996E-2</v>
      </c>
      <c r="R3140">
        <v>4.3238760000000001E-2</v>
      </c>
      <c r="S3140">
        <v>3.0037539999999998</v>
      </c>
      <c r="T3140">
        <v>-0.1529711</v>
      </c>
      <c r="U3140">
        <v>0.48188779999999998</v>
      </c>
      <c r="V3140">
        <v>-1.2821519999999999E-2</v>
      </c>
      <c r="W3140">
        <v>9.5021030000000006E-2</v>
      </c>
      <c r="X3140">
        <v>0.99539270000000002</v>
      </c>
      <c r="Y3140">
        <v>-0.12806619999999999</v>
      </c>
      <c r="Z3140">
        <v>1.695635E-3</v>
      </c>
      <c r="AA3140">
        <v>0.99176419999999998</v>
      </c>
      <c r="AB3140">
        <v>43</v>
      </c>
      <c r="AC3140">
        <v>21.310700000000001</v>
      </c>
      <c r="AD3140">
        <v>-1.1045150807690001</v>
      </c>
      <c r="AE3140">
        <v>3.4678999999999802</v>
      </c>
      <c r="AF3140">
        <v>-2.8084171317455602</v>
      </c>
      <c r="AG3140">
        <v>-1.1045150807690001</v>
      </c>
      <c r="AH3140">
        <v>21.3507539768692</v>
      </c>
      <c r="AI3140">
        <v>92.9361329531975</v>
      </c>
      <c r="AJ3140">
        <v>97.493503051096596</v>
      </c>
      <c r="AK3140">
        <v>21.5629741856342</v>
      </c>
    </row>
    <row r="3141" spans="1:37" x14ac:dyDescent="0.2">
      <c r="A3141" t="str">
        <f>"20200111153711897"</f>
        <v>20200111153711897</v>
      </c>
      <c r="B3141" t="str">
        <f>"1578728231886083"</f>
        <v>1578728231886083</v>
      </c>
      <c r="C3141" t="s">
        <v>37</v>
      </c>
      <c r="D3141">
        <v>5.651796</v>
      </c>
      <c r="E3141">
        <v>0.4550303</v>
      </c>
      <c r="F3141" t="s">
        <v>45</v>
      </c>
      <c r="G3141">
        <v>-319.97390000000001</v>
      </c>
      <c r="H3141" s="1">
        <v>-1.550669E-6</v>
      </c>
      <c r="I3141">
        <v>219.32650000000001</v>
      </c>
      <c r="J3141">
        <v>-341.76679999999999</v>
      </c>
      <c r="K3141">
        <v>1.1045229999999999</v>
      </c>
      <c r="L3141">
        <v>215.79</v>
      </c>
      <c r="M3141">
        <v>0.99942919999999902</v>
      </c>
      <c r="N3141">
        <v>0</v>
      </c>
      <c r="O3141">
        <v>3.052297E-2</v>
      </c>
      <c r="P3141">
        <v>0.99582919999999997</v>
      </c>
      <c r="Q3141">
        <v>8.0680479999999999E-2</v>
      </c>
      <c r="R3141">
        <v>4.2601479999999997E-2</v>
      </c>
      <c r="S3141">
        <v>3.0039060000000002</v>
      </c>
      <c r="T3141">
        <v>-0.1494955</v>
      </c>
      <c r="U3141">
        <v>0.48033140000000002</v>
      </c>
      <c r="V3141">
        <v>-1.218207E-2</v>
      </c>
      <c r="W3141">
        <v>9.5107899999999995E-2</v>
      </c>
      <c r="X3141">
        <v>0.99539239999999996</v>
      </c>
      <c r="Y3141">
        <v>-0.1275626</v>
      </c>
      <c r="Z3141">
        <v>1.6446550000000001E-3</v>
      </c>
      <c r="AA3141">
        <v>0.99182919999999997</v>
      </c>
      <c r="AB3141">
        <v>43</v>
      </c>
      <c r="AC3141">
        <v>21.7928999999999</v>
      </c>
      <c r="AD3141">
        <v>-1.104524550669</v>
      </c>
      <c r="AE3141">
        <v>3.53650000000001</v>
      </c>
      <c r="AF3141">
        <v>-2.8624339191633101</v>
      </c>
      <c r="AG3141">
        <v>-1.104524550669</v>
      </c>
      <c r="AH3141">
        <v>21.8360476153162</v>
      </c>
      <c r="AI3141">
        <v>92.871180415720303</v>
      </c>
      <c r="AJ3141">
        <v>97.468179873746706</v>
      </c>
      <c r="AK3141">
        <v>22.0505437094636</v>
      </c>
    </row>
    <row r="3142" spans="1:37" x14ac:dyDescent="0.2">
      <c r="A3142" t="str">
        <f>"20200111153711920"</f>
        <v>20200111153711920</v>
      </c>
      <c r="B3142" t="str">
        <f>"1578728231916339"</f>
        <v>1578728231916339</v>
      </c>
      <c r="C3142" t="s">
        <v>37</v>
      </c>
      <c r="D3142">
        <v>5.9409580000000002</v>
      </c>
      <c r="E3142">
        <v>0.45459359999999999</v>
      </c>
      <c r="F3142" t="s">
        <v>48</v>
      </c>
      <c r="G3142">
        <v>-318.9341</v>
      </c>
      <c r="H3142" s="1">
        <v>4.8675719999999999E-6</v>
      </c>
      <c r="I3142">
        <v>219.40809999999999</v>
      </c>
      <c r="J3142">
        <v>-341.34780000000001</v>
      </c>
      <c r="K3142">
        <v>1.1045209999999901</v>
      </c>
      <c r="L3142">
        <v>215.80279999999999</v>
      </c>
      <c r="M3142">
        <v>0.99942919999999902</v>
      </c>
      <c r="N3142">
        <v>0</v>
      </c>
      <c r="O3142">
        <v>3.0523769999999999E-2</v>
      </c>
      <c r="P3142">
        <v>0.99584050000000002</v>
      </c>
      <c r="Q3142">
        <v>8.0609249999999993E-2</v>
      </c>
      <c r="R3142">
        <v>4.2471889999999998E-2</v>
      </c>
      <c r="S3142">
        <v>3.0039669999999998</v>
      </c>
      <c r="T3142">
        <v>-0.1453151</v>
      </c>
      <c r="U3142">
        <v>0.47601320000000003</v>
      </c>
      <c r="V3142">
        <v>-1.2050679999999999E-2</v>
      </c>
      <c r="W3142">
        <v>9.5033850000000003E-2</v>
      </c>
      <c r="X3142">
        <v>0.99540110000000004</v>
      </c>
      <c r="Y3142">
        <v>-0.12617609999999899</v>
      </c>
      <c r="Z3142">
        <v>1.5655089999999899E-3</v>
      </c>
      <c r="AA3142">
        <v>0.99200669999999902</v>
      </c>
      <c r="AB3142">
        <v>43</v>
      </c>
      <c r="AC3142">
        <v>22.413699999999999</v>
      </c>
      <c r="AD3142">
        <v>-1.104516132428</v>
      </c>
      <c r="AE3142">
        <v>3.6053000000000002</v>
      </c>
      <c r="AF3142">
        <v>-2.9125031108429198</v>
      </c>
      <c r="AG3142">
        <v>-1.104516132428</v>
      </c>
      <c r="AH3142">
        <v>22.460146610770099</v>
      </c>
      <c r="AI3142">
        <v>92.792010840006796</v>
      </c>
      <c r="AJ3142">
        <v>97.388558560236504</v>
      </c>
      <c r="AK3142">
        <v>22.675114465747502</v>
      </c>
    </row>
    <row r="3143" spans="1:37" x14ac:dyDescent="0.2">
      <c r="A3143" t="str">
        <f>"20200111153711942"</f>
        <v>20200111153711942</v>
      </c>
      <c r="B3143" t="str">
        <f>"1578728231935859"</f>
        <v>1578728231935859</v>
      </c>
      <c r="C3143" t="s">
        <v>37</v>
      </c>
      <c r="D3143">
        <v>5.6816699999999898</v>
      </c>
      <c r="E3143">
        <v>0.4547137</v>
      </c>
      <c r="F3143" t="s">
        <v>48</v>
      </c>
      <c r="G3143">
        <v>-319.01859999999999</v>
      </c>
      <c r="H3143" s="1">
        <v>4.9050279999999902E-6</v>
      </c>
      <c r="I3143">
        <v>219.36330000000001</v>
      </c>
      <c r="J3143">
        <v>-340.90300000000002</v>
      </c>
      <c r="K3143">
        <v>1.1045180000000001</v>
      </c>
      <c r="L3143">
        <v>215.81630000000001</v>
      </c>
      <c r="M3143">
        <v>0.99942919999999902</v>
      </c>
      <c r="N3143">
        <v>0</v>
      </c>
      <c r="O3143">
        <v>3.0523560000000002E-2</v>
      </c>
      <c r="P3143">
        <v>0.99581969999999997</v>
      </c>
      <c r="Q3143">
        <v>8.0792199999999995E-2</v>
      </c>
      <c r="R3143">
        <v>4.2613520000000002E-2</v>
      </c>
      <c r="S3143">
        <v>3.0041199999999999</v>
      </c>
      <c r="T3143">
        <v>-0.14859939999999999</v>
      </c>
      <c r="U3143">
        <v>0.47901919999999998</v>
      </c>
      <c r="V3143">
        <v>-1.2192390000000001E-2</v>
      </c>
      <c r="W3143">
        <v>9.5214229999999997E-2</v>
      </c>
      <c r="X3143">
        <v>0.99538209999999905</v>
      </c>
      <c r="Y3143">
        <v>-0.12713050000000001</v>
      </c>
      <c r="Z3143">
        <v>1.62410299999999E-3</v>
      </c>
      <c r="AA3143">
        <v>0.99188460000000001</v>
      </c>
      <c r="AB3143">
        <v>43</v>
      </c>
      <c r="AC3143">
        <v>21.884399999999999</v>
      </c>
      <c r="AD3143">
        <v>-1.1045130949719999</v>
      </c>
      <c r="AE3143">
        <v>3.5469999999999899</v>
      </c>
      <c r="AF3143">
        <v>-2.8701632156595802</v>
      </c>
      <c r="AG3143">
        <v>-1.1045130949719999</v>
      </c>
      <c r="AH3143">
        <v>21.928052605886101</v>
      </c>
      <c r="AI3143">
        <v>92.859196648484499</v>
      </c>
      <c r="AJ3143">
        <v>97.457053244420507</v>
      </c>
      <c r="AK3143">
        <v>22.1426574093535</v>
      </c>
    </row>
    <row r="3144" spans="1:37" x14ac:dyDescent="0.2">
      <c r="A3144" t="str">
        <f>"20200111153711966"</f>
        <v>20200111153711966</v>
      </c>
      <c r="B3144" t="str">
        <f>"1578728231956355"</f>
        <v>1578728231956355</v>
      </c>
      <c r="C3144" t="s">
        <v>37</v>
      </c>
      <c r="D3144">
        <v>5.8786259999999997</v>
      </c>
      <c r="E3144">
        <v>0.4548103</v>
      </c>
      <c r="F3144" t="s">
        <v>48</v>
      </c>
      <c r="G3144">
        <v>-318.15140000000002</v>
      </c>
      <c r="H3144" s="1">
        <v>4.5204519999999997E-6</v>
      </c>
      <c r="I3144">
        <v>219.4401</v>
      </c>
      <c r="J3144">
        <v>-340.4427</v>
      </c>
      <c r="K3144">
        <v>1.104514</v>
      </c>
      <c r="L3144">
        <v>215.8304</v>
      </c>
      <c r="M3144">
        <v>0.99942949999999997</v>
      </c>
      <c r="N3144">
        <v>0</v>
      </c>
      <c r="O3144">
        <v>3.0519520000000001E-2</v>
      </c>
      <c r="P3144">
        <v>0.9957954</v>
      </c>
      <c r="Q3144">
        <v>8.0643049999999994E-2</v>
      </c>
      <c r="R3144">
        <v>4.3453510000000001E-2</v>
      </c>
      <c r="S3144">
        <v>3.0039669999999998</v>
      </c>
      <c r="T3144">
        <v>-0.14583260000000001</v>
      </c>
      <c r="U3144">
        <v>0.47845459999999901</v>
      </c>
      <c r="V3144">
        <v>-1.3036000000000001E-2</v>
      </c>
      <c r="W3144">
        <v>9.5062800000000003E-2</v>
      </c>
      <c r="X3144">
        <v>0.99538590000000005</v>
      </c>
      <c r="Y3144">
        <v>-0.12696489999999999</v>
      </c>
      <c r="Z3144">
        <v>1.5902049999999999E-3</v>
      </c>
      <c r="AA3144">
        <v>0.99190590000000001</v>
      </c>
      <c r="AB3144">
        <v>43</v>
      </c>
      <c r="AC3144">
        <v>22.2912999999999</v>
      </c>
      <c r="AD3144">
        <v>-1.1045094795479999</v>
      </c>
      <c r="AE3144">
        <v>3.6097000000000001</v>
      </c>
      <c r="AF3144">
        <v>-2.9206399608253002</v>
      </c>
      <c r="AG3144">
        <v>-1.1045094795479999</v>
      </c>
      <c r="AH3144">
        <v>22.337652011581898</v>
      </c>
      <c r="AI3144">
        <v>92.806894390342293</v>
      </c>
      <c r="AJ3144">
        <v>97.449145474336007</v>
      </c>
      <c r="AK3144">
        <v>22.5548393113698</v>
      </c>
    </row>
    <row r="3145" spans="1:37" x14ac:dyDescent="0.2">
      <c r="A3145" t="str">
        <f>"20200111153711987"</f>
        <v>20200111153711987</v>
      </c>
      <c r="B3145" t="str">
        <f>"1578728231975877"</f>
        <v>1578728231975877</v>
      </c>
      <c r="C3145" t="s">
        <v>37</v>
      </c>
      <c r="D3145">
        <v>5.7790160000000004</v>
      </c>
      <c r="E3145">
        <v>0.45461940000000001</v>
      </c>
      <c r="F3145" t="s">
        <v>48</v>
      </c>
      <c r="G3145">
        <v>-317.52870000000001</v>
      </c>
      <c r="H3145" s="1">
        <v>4.2443210000000001E-6</v>
      </c>
      <c r="I3145">
        <v>219.494</v>
      </c>
      <c r="J3145">
        <v>-340.03660000000002</v>
      </c>
      <c r="K3145">
        <v>1.1045069999999999</v>
      </c>
      <c r="L3145">
        <v>215.84280000000001</v>
      </c>
      <c r="M3145">
        <v>0.99942980000000003</v>
      </c>
      <c r="N3145">
        <v>0</v>
      </c>
      <c r="O3145">
        <v>3.0510800000000001E-2</v>
      </c>
      <c r="P3145">
        <v>0.99575939999999996</v>
      </c>
      <c r="Q3145">
        <v>8.0668240000000002E-2</v>
      </c>
      <c r="R3145">
        <v>4.422628E-2</v>
      </c>
      <c r="S3145">
        <v>3.0034480000000001</v>
      </c>
      <c r="T3145">
        <v>-0.14477319999999999</v>
      </c>
      <c r="U3145">
        <v>0.48020940000000001</v>
      </c>
      <c r="V3145">
        <v>-1.381722E-2</v>
      </c>
      <c r="W3145">
        <v>9.5085580000000003E-2</v>
      </c>
      <c r="X3145">
        <v>0.99537319999999996</v>
      </c>
      <c r="Y3145">
        <v>-0.12756619999999999</v>
      </c>
      <c r="Z3145">
        <v>1.5936749999999999E-3</v>
      </c>
      <c r="AA3145">
        <v>0.99182879999999995</v>
      </c>
      <c r="AB3145">
        <v>43</v>
      </c>
      <c r="AC3145">
        <v>22.507899999999999</v>
      </c>
      <c r="AD3145">
        <v>-1.1045027556789999</v>
      </c>
      <c r="AE3145">
        <v>3.65120000000001</v>
      </c>
      <c r="AF3145">
        <v>-2.95575882520744</v>
      </c>
      <c r="AG3145">
        <v>-1.1045027556789999</v>
      </c>
      <c r="AH3145">
        <v>22.555908784335401</v>
      </c>
      <c r="AI3145">
        <v>92.779655850105001</v>
      </c>
      <c r="AJ3145">
        <v>97.465582891384798</v>
      </c>
      <c r="AK3145">
        <v>22.775545167072401</v>
      </c>
    </row>
    <row r="3146" spans="1:37" x14ac:dyDescent="0.2">
      <c r="A3146" t="str">
        <f>"20200111153712009"</f>
        <v>20200111153712009</v>
      </c>
      <c r="B3146" t="str">
        <f>"1578728231996371"</f>
        <v>1578728231996371</v>
      </c>
      <c r="C3146" t="s">
        <v>37</v>
      </c>
      <c r="D3146">
        <v>6.0874680000000003</v>
      </c>
      <c r="E3146">
        <v>0.48486099999999999</v>
      </c>
      <c r="F3146" t="s">
        <v>48</v>
      </c>
      <c r="G3146">
        <v>-317.221</v>
      </c>
      <c r="H3146" s="1">
        <v>4.1078660000000004E-6</v>
      </c>
      <c r="I3146">
        <v>219.5224</v>
      </c>
      <c r="J3146">
        <v>-339.61759999999998</v>
      </c>
      <c r="K3146">
        <v>1.104495</v>
      </c>
      <c r="L3146">
        <v>215.85560000000001</v>
      </c>
      <c r="M3146">
        <v>0.99943040000000005</v>
      </c>
      <c r="N3146">
        <v>0</v>
      </c>
      <c r="O3146">
        <v>3.0490949999999999E-2</v>
      </c>
      <c r="P3146">
        <v>0.99573940000000005</v>
      </c>
      <c r="Q3146">
        <v>8.0731579999999997E-2</v>
      </c>
      <c r="R3146">
        <v>4.456413E-2</v>
      </c>
      <c r="S3146">
        <v>3.0030519999999998</v>
      </c>
      <c r="T3146">
        <v>-0.1453776</v>
      </c>
      <c r="U3146">
        <v>0.48431400000000002</v>
      </c>
      <c r="V3146">
        <v>-1.4173109999999999E-2</v>
      </c>
      <c r="W3146">
        <v>9.5145869999999994E-2</v>
      </c>
      <c r="X3146">
        <v>0.99536250000000004</v>
      </c>
      <c r="Y3146">
        <v>-0.12892529999999999</v>
      </c>
      <c r="Z3146">
        <v>1.6339849999999999E-3</v>
      </c>
      <c r="AA3146">
        <v>0.99165300000000001</v>
      </c>
      <c r="AB3146">
        <v>43</v>
      </c>
      <c r="AC3146">
        <v>22.3965999999999</v>
      </c>
      <c r="AD3146">
        <v>-1.104490892134</v>
      </c>
      <c r="AE3146">
        <v>3.6667999999999901</v>
      </c>
      <c r="AF3146">
        <v>-2.9750832271975298</v>
      </c>
      <c r="AG3146">
        <v>-1.104490892134</v>
      </c>
      <c r="AH3146">
        <v>22.444839808180902</v>
      </c>
      <c r="AI3146">
        <v>92.792814074187902</v>
      </c>
      <c r="AJ3146">
        <v>97.550590564564303</v>
      </c>
      <c r="AK3146">
        <v>22.668080076496601</v>
      </c>
    </row>
    <row r="3147" spans="1:37" x14ac:dyDescent="0.2">
      <c r="A3147" t="str">
        <f>"20200111153712032"</f>
        <v>20200111153712032</v>
      </c>
      <c r="B3147" t="str">
        <f>"1578728232026627"</f>
        <v>1578728232026627</v>
      </c>
      <c r="C3147" t="s">
        <v>37</v>
      </c>
      <c r="D3147">
        <v>5.9344250000000001</v>
      </c>
      <c r="E3147">
        <v>0.55625279999999999</v>
      </c>
      <c r="F3147" t="s">
        <v>45</v>
      </c>
      <c r="G3147">
        <v>-326.76409999999998</v>
      </c>
      <c r="H3147" s="1">
        <v>2.062747E-6</v>
      </c>
      <c r="I3147">
        <v>216.88249999999999</v>
      </c>
      <c r="J3147">
        <v>-339.1671</v>
      </c>
      <c r="K3147">
        <v>1.1044860000000001</v>
      </c>
      <c r="L3147">
        <v>215.86930000000001</v>
      </c>
      <c r="M3147">
        <v>0.99943169999999903</v>
      </c>
      <c r="N3147">
        <v>0</v>
      </c>
      <c r="O3147">
        <v>3.0448869999999999E-2</v>
      </c>
      <c r="P3147">
        <v>0.99579580000000001</v>
      </c>
      <c r="Q3147">
        <v>7.9852090000000001E-2</v>
      </c>
      <c r="R3147">
        <v>4.487878E-2</v>
      </c>
      <c r="S3147">
        <v>3.0231020000000002</v>
      </c>
      <c r="T3147">
        <v>-0.25977289999999997</v>
      </c>
      <c r="U3147">
        <v>0.24151610000000001</v>
      </c>
      <c r="V3147">
        <v>-1.45246E-2</v>
      </c>
      <c r="W3147">
        <v>9.426532E-2</v>
      </c>
      <c r="X3147">
        <v>0.99544109999999997</v>
      </c>
      <c r="Y3147">
        <v>-4.9175610000000002E-2</v>
      </c>
      <c r="Z3147">
        <v>-5.0109579999999996E-4</v>
      </c>
      <c r="AA3147">
        <v>0.99878999999999996</v>
      </c>
      <c r="AB3147">
        <v>43</v>
      </c>
      <c r="AC3147">
        <v>12.403</v>
      </c>
      <c r="AD3147">
        <v>-1.104483937253</v>
      </c>
      <c r="AE3147">
        <v>1.0131999999999799</v>
      </c>
      <c r="AF3147">
        <v>-0.63007002988554395</v>
      </c>
      <c r="AG3147">
        <v>-1.104483937253</v>
      </c>
      <c r="AH3147">
        <v>12.330967268940899</v>
      </c>
      <c r="AI3147">
        <v>95.111687502547298</v>
      </c>
      <c r="AJ3147">
        <v>92.925073451934097</v>
      </c>
      <c r="AK3147">
        <v>12.3963553836562</v>
      </c>
    </row>
    <row r="3148" spans="1:37" x14ac:dyDescent="0.2">
      <c r="A3148" t="str">
        <f>"20200111153712054"</f>
        <v>20200111153712054</v>
      </c>
      <c r="B3148" t="str">
        <f>"1578728232046150"</f>
        <v>1578728232046150</v>
      </c>
      <c r="C3148" t="s">
        <v>37</v>
      </c>
      <c r="D3148">
        <v>5.9113429999999996</v>
      </c>
      <c r="E3148">
        <v>0.55738959999999904</v>
      </c>
      <c r="F3148" t="s">
        <v>38</v>
      </c>
      <c r="G3148">
        <v>-338.29750000000001</v>
      </c>
      <c r="H3148">
        <v>1.0441129999999901</v>
      </c>
      <c r="I3148">
        <v>215.77590000000001</v>
      </c>
      <c r="J3148">
        <v>-338.72590000000002</v>
      </c>
      <c r="K3148">
        <v>1.10446</v>
      </c>
      <c r="L3148">
        <v>215.8827</v>
      </c>
      <c r="M3148">
        <v>0.99943379999999904</v>
      </c>
      <c r="N3148">
        <v>0</v>
      </c>
      <c r="O3148">
        <v>3.0379509999999998E-2</v>
      </c>
      <c r="P3148">
        <v>0.99583469999999996</v>
      </c>
      <c r="Q3148">
        <v>7.9239489999999996E-2</v>
      </c>
      <c r="R3148">
        <v>4.510902E-2</v>
      </c>
      <c r="S3148">
        <v>3.0442809999999998</v>
      </c>
      <c r="T3148">
        <v>-0.21159910000000001</v>
      </c>
      <c r="U3148">
        <v>-0.32527159999999999</v>
      </c>
      <c r="V3148">
        <v>-1.4818329999999999E-2</v>
      </c>
      <c r="W3148">
        <v>9.3651490000000004E-2</v>
      </c>
      <c r="X3148">
        <v>0.99549480000000001</v>
      </c>
      <c r="Y3148">
        <v>0.1360065</v>
      </c>
      <c r="Z3148">
        <v>-6.8115739999999999E-3</v>
      </c>
      <c r="AA3148">
        <v>0.99068449999999997</v>
      </c>
      <c r="AB3148">
        <v>43</v>
      </c>
      <c r="AC3148">
        <v>0.42840000000001</v>
      </c>
      <c r="AD3148">
        <v>-6.0347000000000102E-2</v>
      </c>
      <c r="AE3148">
        <v>-0.106799999999992</v>
      </c>
      <c r="AF3148">
        <v>0.117570176440049</v>
      </c>
      <c r="AG3148">
        <v>-6.0347000000000102E-2</v>
      </c>
      <c r="AH3148">
        <v>0.41716384341399998</v>
      </c>
      <c r="AI3148">
        <v>97.926680159016499</v>
      </c>
      <c r="AJ3148">
        <v>74.260457953933994</v>
      </c>
      <c r="AK3148">
        <v>0.43759590840075802</v>
      </c>
    </row>
    <row r="3149" spans="1:37" x14ac:dyDescent="0.2">
      <c r="A3149" t="str">
        <f>"20200111153712077"</f>
        <v>20200111153712077</v>
      </c>
      <c r="B3149" t="str">
        <f>"1578728232065670"</f>
        <v>1578728232065670</v>
      </c>
      <c r="C3149" t="s">
        <v>37</v>
      </c>
      <c r="D3149">
        <v>5.9342139999999999</v>
      </c>
      <c r="E3149">
        <v>0.55759639999999999</v>
      </c>
      <c r="F3149" t="s">
        <v>38</v>
      </c>
      <c r="G3149">
        <v>-337.91059999999999</v>
      </c>
      <c r="H3149">
        <v>1.0471379999999999</v>
      </c>
      <c r="I3149">
        <v>215.79329999999999</v>
      </c>
      <c r="J3149">
        <v>-338.30799999999999</v>
      </c>
      <c r="K3149">
        <v>1.1044339999999999</v>
      </c>
      <c r="L3149">
        <v>215.89529999999999</v>
      </c>
      <c r="M3149">
        <v>0.99943689999999996</v>
      </c>
      <c r="N3149">
        <v>0</v>
      </c>
      <c r="O3149">
        <v>3.0278920000000001E-2</v>
      </c>
      <c r="P3149">
        <v>0.99590849999999898</v>
      </c>
      <c r="Q3149">
        <v>7.8127909999999995E-2</v>
      </c>
      <c r="R3149">
        <v>4.5415280000000002E-2</v>
      </c>
      <c r="S3149">
        <v>3.044708</v>
      </c>
      <c r="T3149">
        <v>-0.21406559999999999</v>
      </c>
      <c r="U3149">
        <v>-0.33372499999999999</v>
      </c>
      <c r="V3149">
        <v>-1.5216759999999999E-2</v>
      </c>
      <c r="W3149">
        <v>9.2539590000000005E-2</v>
      </c>
      <c r="X3149">
        <v>0.9955927</v>
      </c>
      <c r="Y3149">
        <v>0.1385952</v>
      </c>
      <c r="Z3149">
        <v>-6.9723939999999998E-3</v>
      </c>
      <c r="AA3149">
        <v>0.990324599999999</v>
      </c>
      <c r="AB3149">
        <v>43</v>
      </c>
      <c r="AC3149">
        <v>0.39740000000006098</v>
      </c>
      <c r="AD3149">
        <v>-5.7296E-2</v>
      </c>
      <c r="AE3149">
        <v>-0.102000000000003</v>
      </c>
      <c r="AF3149">
        <v>0.11180683599688</v>
      </c>
      <c r="AG3149">
        <v>-5.7296E-2</v>
      </c>
      <c r="AH3149">
        <v>0.38658960254591401</v>
      </c>
      <c r="AI3149">
        <v>98.102973425094603</v>
      </c>
      <c r="AJ3149">
        <v>73.869430175576198</v>
      </c>
      <c r="AK3149">
        <v>0.40649123113326902</v>
      </c>
    </row>
    <row r="3150" spans="1:37" x14ac:dyDescent="0.2">
      <c r="A3150" t="str">
        <f>"20200111153712098"</f>
        <v>20200111153712098</v>
      </c>
      <c r="B3150" t="str">
        <f>"1578728232086163"</f>
        <v>1578728232086163</v>
      </c>
      <c r="C3150" t="s">
        <v>37</v>
      </c>
      <c r="D3150">
        <v>5.9167170000000002</v>
      </c>
      <c r="E3150">
        <v>0.55770810000000004</v>
      </c>
      <c r="F3150" t="s">
        <v>45</v>
      </c>
      <c r="G3150">
        <v>-322.61149999999998</v>
      </c>
      <c r="H3150" s="1">
        <v>-1.4704870000000001E-7</v>
      </c>
      <c r="I3150">
        <v>214.17060000000001</v>
      </c>
      <c r="J3150">
        <v>-337.8931</v>
      </c>
      <c r="K3150">
        <v>1.104392</v>
      </c>
      <c r="L3150">
        <v>215.90770000000001</v>
      </c>
      <c r="M3150">
        <v>0.99944129999999998</v>
      </c>
      <c r="N3150">
        <v>0</v>
      </c>
      <c r="O3150">
        <v>3.013706E-2</v>
      </c>
      <c r="P3150">
        <v>0.99593690000000001</v>
      </c>
      <c r="Q3150">
        <v>7.7644240000000003E-2</v>
      </c>
      <c r="R3150">
        <v>4.5621210000000002E-2</v>
      </c>
      <c r="S3150">
        <v>3.044403</v>
      </c>
      <c r="T3150">
        <v>-0.2142107</v>
      </c>
      <c r="U3150">
        <v>-0.33451839999999999</v>
      </c>
      <c r="V3150">
        <v>-1.5554999999999999E-2</v>
      </c>
      <c r="W3150">
        <v>9.2055300000000007E-2</v>
      </c>
      <c r="X3150">
        <v>0.99563239999999997</v>
      </c>
      <c r="Y3150">
        <v>0.13871989999999901</v>
      </c>
      <c r="Z3150">
        <v>-6.97213E-3</v>
      </c>
      <c r="AA3150">
        <v>0.9903071</v>
      </c>
      <c r="AB3150">
        <v>43</v>
      </c>
      <c r="AC3150">
        <v>15.281599999999999</v>
      </c>
      <c r="AD3150">
        <v>-1.1043921470486999</v>
      </c>
      <c r="AE3150">
        <v>-1.7370999999999901</v>
      </c>
      <c r="AF3150">
        <v>2.1856317532425402</v>
      </c>
      <c r="AG3150">
        <v>-1.1043921470486999</v>
      </c>
      <c r="AH3150">
        <v>15.1442135095762</v>
      </c>
      <c r="AI3150">
        <v>94.128291320967193</v>
      </c>
      <c r="AJ3150">
        <v>81.787705394929404</v>
      </c>
      <c r="AK3150">
        <v>15.3409214520796</v>
      </c>
    </row>
    <row r="3151" spans="1:37" x14ac:dyDescent="0.2">
      <c r="A3151" t="str">
        <f>"20200111153712123"</f>
        <v>20200111153712123</v>
      </c>
      <c r="B3151" t="str">
        <f>"1578728232116420"</f>
        <v>1578728232116420</v>
      </c>
      <c r="C3151" t="s">
        <v>37</v>
      </c>
      <c r="D3151">
        <v>5.9628519999999998</v>
      </c>
      <c r="E3151">
        <v>0.55800079999999996</v>
      </c>
      <c r="F3151" t="s">
        <v>45</v>
      </c>
      <c r="G3151">
        <v>-322.28919999999999</v>
      </c>
      <c r="H3151" s="1">
        <v>-3.1860829999999999E-7</v>
      </c>
      <c r="I3151">
        <v>214.19120000000001</v>
      </c>
      <c r="J3151">
        <v>-337.44159999999999</v>
      </c>
      <c r="K3151">
        <v>1.104341</v>
      </c>
      <c r="L3151">
        <v>215.9212</v>
      </c>
      <c r="M3151">
        <v>0.99944769999999905</v>
      </c>
      <c r="N3151">
        <v>0</v>
      </c>
      <c r="O3151">
        <v>2.992359E-2</v>
      </c>
      <c r="P3151">
        <v>0.99599300000000002</v>
      </c>
      <c r="Q3151">
        <v>7.685902E-2</v>
      </c>
      <c r="R3151">
        <v>4.5722600000000002E-2</v>
      </c>
      <c r="S3151">
        <v>3.04437299999999</v>
      </c>
      <c r="T3151">
        <v>-0.21547060000000001</v>
      </c>
      <c r="U3151">
        <v>-0.33489989999999997</v>
      </c>
      <c r="V3151">
        <v>-1.5858089999999998E-2</v>
      </c>
      <c r="W3151">
        <v>9.1270390000000007E-2</v>
      </c>
      <c r="X3151">
        <v>0.99569989999999997</v>
      </c>
      <c r="Y3151">
        <v>0.1386279</v>
      </c>
      <c r="Z3151">
        <v>-6.994765E-3</v>
      </c>
      <c r="AA3151">
        <v>0.99031979999999997</v>
      </c>
      <c r="AB3151">
        <v>43</v>
      </c>
      <c r="AC3151">
        <v>15.1524</v>
      </c>
      <c r="AD3151">
        <v>-1.1043413186083</v>
      </c>
      <c r="AE3151">
        <v>-1.72999999999998</v>
      </c>
      <c r="AF3151">
        <v>2.1713015282556101</v>
      </c>
      <c r="AG3151">
        <v>-1.1043413186083</v>
      </c>
      <c r="AH3151">
        <v>15.0151086254365</v>
      </c>
      <c r="AI3151">
        <v>94.163304254802696</v>
      </c>
      <c r="AJ3151">
        <v>81.771623777770998</v>
      </c>
      <c r="AK3151">
        <v>15.2114301467104</v>
      </c>
    </row>
    <row r="3152" spans="1:37" x14ac:dyDescent="0.2">
      <c r="A3152" t="str">
        <f>"20200111153712143"</f>
        <v>20200111153712143</v>
      </c>
      <c r="B3152" t="str">
        <f>"1578728232135951"</f>
        <v>1578728232135951</v>
      </c>
      <c r="C3152" t="s">
        <v>37</v>
      </c>
      <c r="D3152">
        <v>5.909821</v>
      </c>
      <c r="E3152">
        <v>0.55812759999999995</v>
      </c>
      <c r="F3152" t="s">
        <v>38</v>
      </c>
      <c r="G3152">
        <v>-336.38330000000002</v>
      </c>
      <c r="H3152">
        <v>1.027431</v>
      </c>
      <c r="I3152">
        <v>215.8038</v>
      </c>
      <c r="J3152">
        <v>-337.01339999999999</v>
      </c>
      <c r="K3152">
        <v>1.104285</v>
      </c>
      <c r="L3152">
        <v>215.93379999999999</v>
      </c>
      <c r="M3152">
        <v>0.9994556</v>
      </c>
      <c r="N3152">
        <v>0</v>
      </c>
      <c r="O3152">
        <v>2.966218E-2</v>
      </c>
      <c r="P3152">
        <v>0.99608129999999995</v>
      </c>
      <c r="Q3152">
        <v>7.5835979999999997E-2</v>
      </c>
      <c r="R3152">
        <v>4.5511429999999999E-2</v>
      </c>
      <c r="S3152">
        <v>3.0446469999999999</v>
      </c>
      <c r="T3152">
        <v>-0.22129450000000001</v>
      </c>
      <c r="U3152">
        <v>-0.3370667</v>
      </c>
      <c r="V3152">
        <v>-1.5894709999999999E-2</v>
      </c>
      <c r="W3152">
        <v>9.0248469999999997E-2</v>
      </c>
      <c r="X3152">
        <v>0.99579240000000002</v>
      </c>
      <c r="Y3152">
        <v>0.139032399999999</v>
      </c>
      <c r="Z3152">
        <v>-7.1781299999999996E-3</v>
      </c>
      <c r="AA3152">
        <v>0.99026179999999997</v>
      </c>
      <c r="AB3152">
        <v>43</v>
      </c>
      <c r="AC3152">
        <v>0.63009999999997002</v>
      </c>
      <c r="AD3152">
        <v>-7.6853999999999895E-2</v>
      </c>
      <c r="AE3152">
        <v>-0.12999999999999501</v>
      </c>
      <c r="AF3152">
        <v>0.14654376207265499</v>
      </c>
      <c r="AG3152">
        <v>-7.6853999999999895E-2</v>
      </c>
      <c r="AH3152">
        <v>0.61715961115124796</v>
      </c>
      <c r="AI3152">
        <v>96.908272038345999</v>
      </c>
      <c r="AJ3152">
        <v>76.642562626908997</v>
      </c>
      <c r="AK3152">
        <v>0.63895821236976502</v>
      </c>
    </row>
    <row r="3153" spans="1:37" x14ac:dyDescent="0.2">
      <c r="A3153" t="str">
        <f>"20200111153712167"</f>
        <v>20200111153712167</v>
      </c>
      <c r="B3153" t="str">
        <f>"1578728232156435"</f>
        <v>1578728232156435</v>
      </c>
      <c r="C3153" t="s">
        <v>37</v>
      </c>
      <c r="D3153">
        <v>5.9190329999999998</v>
      </c>
      <c r="E3153">
        <v>0.558245199999999</v>
      </c>
      <c r="F3153" t="s">
        <v>38</v>
      </c>
      <c r="G3153">
        <v>-335.99950000000001</v>
      </c>
      <c r="H3153">
        <v>1.0292559999999999</v>
      </c>
      <c r="I3153">
        <v>215.82079999999999</v>
      </c>
      <c r="J3153">
        <v>-336.58210000000003</v>
      </c>
      <c r="K3153">
        <v>1.1042259999999999</v>
      </c>
      <c r="L3153">
        <v>215.94630000000001</v>
      </c>
      <c r="M3153">
        <v>0.99946489999999999</v>
      </c>
      <c r="N3153">
        <v>0</v>
      </c>
      <c r="O3153">
        <v>2.9346190000000001E-2</v>
      </c>
      <c r="P3153">
        <v>0.99615819999999999</v>
      </c>
      <c r="Q3153">
        <v>7.5627440000000004E-2</v>
      </c>
      <c r="R3153">
        <v>4.4150469999999997E-2</v>
      </c>
      <c r="S3153">
        <v>3.044403</v>
      </c>
      <c r="T3153">
        <v>-0.22534689999999999</v>
      </c>
      <c r="U3153">
        <v>-0.33877560000000001</v>
      </c>
      <c r="V3153">
        <v>-1.4835640000000001E-2</v>
      </c>
      <c r="W3153">
        <v>9.0038580000000007E-2</v>
      </c>
      <c r="X3153">
        <v>0.99582780000000004</v>
      </c>
      <c r="Y3153">
        <v>0.1392611</v>
      </c>
      <c r="Z3153">
        <v>-7.2947119999999897E-3</v>
      </c>
      <c r="AA3153">
        <v>0.99022880000000002</v>
      </c>
      <c r="AB3153">
        <v>43</v>
      </c>
      <c r="AC3153">
        <v>0.582600000000013</v>
      </c>
      <c r="AD3153">
        <v>-7.4969999999999898E-2</v>
      </c>
      <c r="AE3153">
        <v>-0.12550000000001599</v>
      </c>
      <c r="AF3153">
        <v>0.140324225008607</v>
      </c>
      <c r="AG3153">
        <v>-7.4969999999999898E-2</v>
      </c>
      <c r="AH3153">
        <v>0.56965114532559602</v>
      </c>
      <c r="AI3153">
        <v>97.282182417073102</v>
      </c>
      <c r="AJ3153">
        <v>76.161637962812094</v>
      </c>
      <c r="AK3153">
        <v>0.59145060351227097</v>
      </c>
    </row>
    <row r="3154" spans="1:37" x14ac:dyDescent="0.2">
      <c r="A3154" t="str">
        <f>"20200111153712187"</f>
        <v>20200111153712187</v>
      </c>
      <c r="B3154" t="str">
        <f>"1578728232175958"</f>
        <v>1578728232175958</v>
      </c>
      <c r="C3154" t="s">
        <v>37</v>
      </c>
      <c r="D3154">
        <v>5.918933</v>
      </c>
      <c r="E3154">
        <v>0.55850619999999995</v>
      </c>
      <c r="F3154" t="s">
        <v>38</v>
      </c>
      <c r="G3154">
        <v>-335.61349999999999</v>
      </c>
      <c r="H3154">
        <v>1.0331840000000001</v>
      </c>
      <c r="I3154">
        <v>215.8372</v>
      </c>
      <c r="J3154">
        <v>-336.185</v>
      </c>
      <c r="K3154">
        <v>1.1041729999999901</v>
      </c>
      <c r="L3154">
        <v>215.95769999999999</v>
      </c>
      <c r="M3154">
        <v>0.99947489999999894</v>
      </c>
      <c r="N3154">
        <v>0</v>
      </c>
      <c r="O3154">
        <v>2.9005280000000001E-2</v>
      </c>
      <c r="P3154">
        <v>0.99629439999999903</v>
      </c>
      <c r="Q3154">
        <v>7.4543979999999996E-2</v>
      </c>
      <c r="R3154">
        <v>4.2906079999999999E-2</v>
      </c>
      <c r="S3154">
        <v>3.0437620000000001</v>
      </c>
      <c r="T3154">
        <v>-0.22321369999999999</v>
      </c>
      <c r="U3154">
        <v>-0.3431091</v>
      </c>
      <c r="V3154">
        <v>-1.391769E-2</v>
      </c>
      <c r="W3154">
        <v>8.8956229999999997E-2</v>
      </c>
      <c r="X3154">
        <v>0.99593829999999905</v>
      </c>
      <c r="Y3154">
        <v>0.1403451</v>
      </c>
      <c r="Z3154">
        <v>-7.2414559999999899E-3</v>
      </c>
      <c r="AA3154">
        <v>0.99007619999999896</v>
      </c>
      <c r="AB3154">
        <v>43</v>
      </c>
      <c r="AC3154">
        <v>0.571500000000014</v>
      </c>
      <c r="AD3154">
        <v>-7.0988999999999705E-2</v>
      </c>
      <c r="AE3154">
        <v>-0.120499999999992</v>
      </c>
      <c r="AF3154">
        <v>0.13503274266665299</v>
      </c>
      <c r="AG3154">
        <v>-7.0988999999999705E-2</v>
      </c>
      <c r="AH3154">
        <v>0.55949870491462805</v>
      </c>
      <c r="AI3154">
        <v>97.031258642846694</v>
      </c>
      <c r="AJ3154">
        <v>76.431372167990702</v>
      </c>
      <c r="AK3154">
        <v>0.57992420238702302</v>
      </c>
    </row>
    <row r="3155" spans="1:37" x14ac:dyDescent="0.2">
      <c r="A3155" t="str">
        <f>"20200111153712210"</f>
        <v>20200111153712210</v>
      </c>
      <c r="B3155" t="str">
        <f>"1578728232206212"</f>
        <v>1578728232206212</v>
      </c>
      <c r="C3155" t="s">
        <v>37</v>
      </c>
      <c r="D3155">
        <v>5.885014</v>
      </c>
      <c r="E3155">
        <v>0.55886599999999997</v>
      </c>
      <c r="F3155" t="s">
        <v>38</v>
      </c>
      <c r="G3155">
        <v>-335.22980000000001</v>
      </c>
      <c r="H3155">
        <v>1.0337069999999999</v>
      </c>
      <c r="I3155">
        <v>215.84799999999899</v>
      </c>
      <c r="J3155">
        <v>-335.74889999999999</v>
      </c>
      <c r="K3155">
        <v>1.104109</v>
      </c>
      <c r="L3155">
        <v>215.97</v>
      </c>
      <c r="M3155">
        <v>0.99948740000000003</v>
      </c>
      <c r="N3155">
        <v>0</v>
      </c>
      <c r="O3155">
        <v>2.8572199999999999E-2</v>
      </c>
      <c r="P3155">
        <v>0.99640609999999996</v>
      </c>
      <c r="Q3155">
        <v>7.3632130000000004E-2</v>
      </c>
      <c r="R3155">
        <v>4.1875379999999997E-2</v>
      </c>
      <c r="S3155">
        <v>3.0429689999999998</v>
      </c>
      <c r="T3155">
        <v>-0.22454450000000001</v>
      </c>
      <c r="U3155">
        <v>-0.34863280000000002</v>
      </c>
      <c r="V3155">
        <v>-1.33052E-2</v>
      </c>
      <c r="W3155">
        <v>8.804381E-2</v>
      </c>
      <c r="X3155">
        <v>0.99602780000000002</v>
      </c>
      <c r="Y3155">
        <v>0.141711</v>
      </c>
      <c r="Z3155">
        <v>-7.3040029999999999E-3</v>
      </c>
      <c r="AA3155">
        <v>0.98988109999999996</v>
      </c>
      <c r="AB3155">
        <v>43</v>
      </c>
      <c r="AC3155">
        <v>0.51909999999998002</v>
      </c>
      <c r="AD3155">
        <v>-7.0402000000000006E-2</v>
      </c>
      <c r="AE3155">
        <v>-0.122000000000014</v>
      </c>
      <c r="AF3155">
        <v>0.134440150636219</v>
      </c>
      <c r="AG3155">
        <v>-7.0402000000000006E-2</v>
      </c>
      <c r="AH3155">
        <v>0.50657187295841699</v>
      </c>
      <c r="AI3155">
        <v>97.650589763834503</v>
      </c>
      <c r="AJ3155">
        <v>75.136785817387704</v>
      </c>
      <c r="AK3155">
        <v>0.52881533466767705</v>
      </c>
    </row>
    <row r="3156" spans="1:37" x14ac:dyDescent="0.2">
      <c r="A3156" t="str">
        <f>"20200111153712233"</f>
        <v>20200111153712233</v>
      </c>
      <c r="B3156" t="str">
        <f>"1578728232225732"</f>
        <v>1578728232225732</v>
      </c>
      <c r="C3156" t="s">
        <v>37</v>
      </c>
      <c r="D3156">
        <v>5.8392379999999999</v>
      </c>
      <c r="E3156">
        <v>0.55919359999999996</v>
      </c>
      <c r="F3156" t="s">
        <v>38</v>
      </c>
      <c r="G3156">
        <v>-334.84429999999998</v>
      </c>
      <c r="H3156">
        <v>1.0377540000000001</v>
      </c>
      <c r="I3156">
        <v>215.86439999999999</v>
      </c>
      <c r="J3156">
        <v>-335.3116</v>
      </c>
      <c r="K3156">
        <v>1.1040490000000001</v>
      </c>
      <c r="L3156">
        <v>215.982</v>
      </c>
      <c r="M3156">
        <v>0.99950149999999904</v>
      </c>
      <c r="N3156">
        <v>0</v>
      </c>
      <c r="O3156">
        <v>2.8075869999999999E-2</v>
      </c>
      <c r="P3156">
        <v>0.99653119999999995</v>
      </c>
      <c r="Q3156">
        <v>7.2612389999999999E-2</v>
      </c>
      <c r="R3156">
        <v>4.0659929999999997E-2</v>
      </c>
      <c r="S3156">
        <v>3.0422060000000002</v>
      </c>
      <c r="T3156">
        <v>-0.22317670000000001</v>
      </c>
      <c r="U3156">
        <v>-0.35465999999999998</v>
      </c>
      <c r="V3156">
        <v>-1.2570639999999999E-2</v>
      </c>
      <c r="W3156">
        <v>8.7023970000000006E-2</v>
      </c>
      <c r="X3156">
        <v>0.99612690000000004</v>
      </c>
      <c r="Y3156">
        <v>0.14318549999999999</v>
      </c>
      <c r="Z3156">
        <v>-7.2781969999999897E-3</v>
      </c>
      <c r="AA3156">
        <v>0.98966909999999897</v>
      </c>
      <c r="AB3156">
        <v>43</v>
      </c>
      <c r="AC3156">
        <v>0.46730000000002198</v>
      </c>
      <c r="AD3156">
        <v>-6.6294999999999896E-2</v>
      </c>
      <c r="AE3156">
        <v>-0.11760000000001</v>
      </c>
      <c r="AF3156">
        <v>0.128247407109436</v>
      </c>
      <c r="AG3156">
        <v>-6.6294999999999896E-2</v>
      </c>
      <c r="AH3156">
        <v>0.455197771364795</v>
      </c>
      <c r="AI3156">
        <v>97.979868953730403</v>
      </c>
      <c r="AJ3156">
        <v>74.265350059838994</v>
      </c>
      <c r="AK3156">
        <v>0.477543124241957</v>
      </c>
    </row>
    <row r="3157" spans="1:37" x14ac:dyDescent="0.2">
      <c r="A3157" t="str">
        <f>"20200111153712256"</f>
        <v>20200111153712256</v>
      </c>
      <c r="B3157" t="str">
        <f>"1578728232246227"</f>
        <v>1578728232246227</v>
      </c>
      <c r="C3157" t="s">
        <v>37</v>
      </c>
      <c r="D3157">
        <v>5.8332360000000003</v>
      </c>
      <c r="E3157">
        <v>0.55953649999999999</v>
      </c>
      <c r="F3157" t="s">
        <v>38</v>
      </c>
      <c r="G3157">
        <v>-334.45949999999999</v>
      </c>
      <c r="H3157">
        <v>1.041245</v>
      </c>
      <c r="I3157">
        <v>215.88059999999999</v>
      </c>
      <c r="J3157">
        <v>-334.85950000000003</v>
      </c>
      <c r="K3157">
        <v>1.1039859999999999</v>
      </c>
      <c r="L3157">
        <v>215.99420000000001</v>
      </c>
      <c r="M3157">
        <v>0.99951769999999995</v>
      </c>
      <c r="N3157">
        <v>0</v>
      </c>
      <c r="O3157">
        <v>2.749909E-2</v>
      </c>
      <c r="P3157">
        <v>0.99659209999999998</v>
      </c>
      <c r="Q3157">
        <v>7.2545310000000002E-2</v>
      </c>
      <c r="R3157">
        <v>3.926524E-2</v>
      </c>
      <c r="S3157">
        <v>3.0415040000000002</v>
      </c>
      <c r="T3157">
        <v>-0.22427800000000001</v>
      </c>
      <c r="U3157">
        <v>-0.360824599999999</v>
      </c>
      <c r="V3157">
        <v>-1.173662E-2</v>
      </c>
      <c r="W3157">
        <v>8.6956519999999995E-2</v>
      </c>
      <c r="X3157">
        <v>0.996143</v>
      </c>
      <c r="Y3157">
        <v>0.1446122</v>
      </c>
      <c r="Z3157">
        <v>-7.3248369999999998E-3</v>
      </c>
      <c r="AA3157">
        <v>0.98946129999999999</v>
      </c>
      <c r="AB3157">
        <v>43</v>
      </c>
      <c r="AC3157">
        <v>0.400000000000034</v>
      </c>
      <c r="AD3157">
        <v>-6.2741000000000102E-2</v>
      </c>
      <c r="AE3157">
        <v>-0.11360000000001901</v>
      </c>
      <c r="AF3157">
        <v>0.121785194618677</v>
      </c>
      <c r="AG3157">
        <v>-6.2741000000000102E-2</v>
      </c>
      <c r="AH3157">
        <v>0.38789351756969198</v>
      </c>
      <c r="AI3157">
        <v>98.772721232317494</v>
      </c>
      <c r="AJ3157">
        <v>72.569509046677098</v>
      </c>
      <c r="AK3157">
        <v>0.41137506934900397</v>
      </c>
    </row>
    <row r="3158" spans="1:37" x14ac:dyDescent="0.2">
      <c r="A3158" t="str">
        <f>"20200111153712277"</f>
        <v>20200111153712277</v>
      </c>
      <c r="B3158" t="str">
        <f>"1578728232265750"</f>
        <v>1578728232265750</v>
      </c>
      <c r="C3158" t="s">
        <v>37</v>
      </c>
      <c r="D3158">
        <v>5.922695</v>
      </c>
      <c r="E3158">
        <v>0.5595793</v>
      </c>
      <c r="F3158" t="s">
        <v>38</v>
      </c>
      <c r="G3158">
        <v>-334.07400000000001</v>
      </c>
      <c r="H3158">
        <v>1.046354</v>
      </c>
      <c r="I3158">
        <v>215.89930000000001</v>
      </c>
      <c r="J3158">
        <v>-334.46140000000003</v>
      </c>
      <c r="K3158">
        <v>1.1039289999999999</v>
      </c>
      <c r="L3158">
        <v>216.00470000000001</v>
      </c>
      <c r="M3158">
        <v>0.99953289999999995</v>
      </c>
      <c r="N3158">
        <v>0</v>
      </c>
      <c r="O3158">
        <v>2.6936479999999999E-2</v>
      </c>
      <c r="P3158">
        <v>0.99666359999999998</v>
      </c>
      <c r="Q3158">
        <v>7.2148019999999993E-2</v>
      </c>
      <c r="R3158">
        <v>3.8163889999999999E-2</v>
      </c>
      <c r="S3158">
        <v>3.0410459999999899</v>
      </c>
      <c r="T3158">
        <v>-0.22308330000000001</v>
      </c>
      <c r="U3158">
        <v>-0.36741639999999998</v>
      </c>
      <c r="V3158">
        <v>-1.118269E-2</v>
      </c>
      <c r="W3158">
        <v>8.655844E-2</v>
      </c>
      <c r="X3158">
        <v>0.99618399999999996</v>
      </c>
      <c r="Y3158">
        <v>0.14618919999999999</v>
      </c>
      <c r="Z3158">
        <v>-7.3025549999999996E-3</v>
      </c>
      <c r="AA3158">
        <v>0.98922969999999899</v>
      </c>
      <c r="AB3158">
        <v>43</v>
      </c>
      <c r="AC3158">
        <v>0.38740000000001301</v>
      </c>
      <c r="AD3158">
        <v>-5.7575000000000098E-2</v>
      </c>
      <c r="AE3158">
        <v>-0.10540000000000301</v>
      </c>
      <c r="AF3158">
        <v>0.113464591980733</v>
      </c>
      <c r="AG3158">
        <v>-5.7575000000000098E-2</v>
      </c>
      <c r="AH3158">
        <v>0.37667358897624698</v>
      </c>
      <c r="AI3158">
        <v>98.326427464632502</v>
      </c>
      <c r="AJ3158">
        <v>73.2362334233745</v>
      </c>
      <c r="AK3158">
        <v>0.39758280507411398</v>
      </c>
    </row>
    <row r="3159" spans="1:37" x14ac:dyDescent="0.2">
      <c r="A3159" t="str">
        <f>"20200111153712299"</f>
        <v>20200111153712299</v>
      </c>
      <c r="B3159" t="str">
        <f>"1578728232296003"</f>
        <v>1578728232296003</v>
      </c>
      <c r="C3159" t="s">
        <v>37</v>
      </c>
      <c r="D3159">
        <v>5.8629790000000002</v>
      </c>
      <c r="E3159">
        <v>0.55970229999999999</v>
      </c>
      <c r="F3159" t="s">
        <v>38</v>
      </c>
      <c r="G3159">
        <v>-333.69170000000003</v>
      </c>
      <c r="H3159">
        <v>1.046832</v>
      </c>
      <c r="I3159">
        <v>215.91040000000001</v>
      </c>
      <c r="J3159">
        <v>-334.04270000000002</v>
      </c>
      <c r="K3159">
        <v>1.1038619999999999</v>
      </c>
      <c r="L3159">
        <v>216.0155</v>
      </c>
      <c r="M3159">
        <v>0.99955020000000006</v>
      </c>
      <c r="N3159">
        <v>0</v>
      </c>
      <c r="O3159">
        <v>2.6291169999999999E-2</v>
      </c>
      <c r="P3159">
        <v>0.996721999999999</v>
      </c>
      <c r="Q3159">
        <v>7.1640399999999896E-2</v>
      </c>
      <c r="R3159">
        <v>3.7589890000000001E-2</v>
      </c>
      <c r="S3159">
        <v>3.0405880000000001</v>
      </c>
      <c r="T3159">
        <v>-0.22570809999999999</v>
      </c>
      <c r="U3159">
        <v>-0.37121579999999998</v>
      </c>
      <c r="V3159">
        <v>-1.123876E-2</v>
      </c>
      <c r="W3159">
        <v>8.6051080000000002E-2</v>
      </c>
      <c r="X3159">
        <v>0.99622730000000004</v>
      </c>
      <c r="Y3159">
        <v>0.14677570000000001</v>
      </c>
      <c r="Z3159">
        <v>-7.3627709999999997E-3</v>
      </c>
      <c r="AA3159">
        <v>0.98914239999999998</v>
      </c>
      <c r="AB3159">
        <v>43</v>
      </c>
      <c r="AC3159">
        <v>0.35099999999999898</v>
      </c>
      <c r="AD3159">
        <v>-5.7030000000000101E-2</v>
      </c>
      <c r="AE3159">
        <v>-0.105099999999993</v>
      </c>
      <c r="AF3159">
        <v>0.111589333364618</v>
      </c>
      <c r="AG3159">
        <v>-5.7030000000000101E-2</v>
      </c>
      <c r="AH3159">
        <v>0.33988081448852098</v>
      </c>
      <c r="AI3159">
        <v>99.057964947119402</v>
      </c>
      <c r="AJ3159">
        <v>71.824008446109303</v>
      </c>
      <c r="AK3159">
        <v>0.36224793757610402</v>
      </c>
    </row>
    <row r="3160" spans="1:37" x14ac:dyDescent="0.2">
      <c r="A3160" t="str">
        <f>"20200111153712322"</f>
        <v>20200111153712322</v>
      </c>
      <c r="B3160" t="str">
        <f>"1578728232316032"</f>
        <v>1578728232316032</v>
      </c>
      <c r="C3160" t="s">
        <v>37</v>
      </c>
      <c r="D3160">
        <v>5.8759480000000002</v>
      </c>
      <c r="E3160">
        <v>0.55986729999999996</v>
      </c>
      <c r="F3160" t="s">
        <v>38</v>
      </c>
      <c r="G3160">
        <v>-332.94029999999998</v>
      </c>
      <c r="H3160">
        <v>1.020977</v>
      </c>
      <c r="I3160">
        <v>215.87979999999999</v>
      </c>
      <c r="J3160">
        <v>-333.5924</v>
      </c>
      <c r="K3160">
        <v>1.1037969999999999</v>
      </c>
      <c r="L3160">
        <v>216.02670000000001</v>
      </c>
      <c r="M3160">
        <v>0.99956979999999995</v>
      </c>
      <c r="N3160">
        <v>0</v>
      </c>
      <c r="O3160">
        <v>2.553039E-2</v>
      </c>
      <c r="P3160">
        <v>0.99674759999999996</v>
      </c>
      <c r="Q3160">
        <v>7.1665590000000001E-2</v>
      </c>
      <c r="R3160">
        <v>3.6857439999999998E-2</v>
      </c>
      <c r="S3160">
        <v>3.0404360000000001</v>
      </c>
      <c r="T3160">
        <v>-0.22865259999999901</v>
      </c>
      <c r="U3160">
        <v>-0.37399290000000002</v>
      </c>
      <c r="V3160">
        <v>-1.125109E-2</v>
      </c>
      <c r="W3160">
        <v>8.6075319999999997E-2</v>
      </c>
      <c r="X3160">
        <v>0.99622509999999997</v>
      </c>
      <c r="Y3160">
        <v>0.14690839999999999</v>
      </c>
      <c r="Z3160">
        <v>-7.4065310000000001E-3</v>
      </c>
      <c r="AA3160">
        <v>0.98912239999999996</v>
      </c>
      <c r="AB3160">
        <v>43</v>
      </c>
      <c r="AC3160">
        <v>0.652100000000018</v>
      </c>
      <c r="AD3160">
        <v>-8.2819999999999894E-2</v>
      </c>
      <c r="AE3160">
        <v>-0.14690000000001599</v>
      </c>
      <c r="AF3160">
        <v>0.161030195598172</v>
      </c>
      <c r="AG3160">
        <v>-8.2819999999999894E-2</v>
      </c>
      <c r="AH3160">
        <v>0.63833732228931495</v>
      </c>
      <c r="AI3160">
        <v>97.170265806964906</v>
      </c>
      <c r="AJ3160">
        <v>75.8416780403508</v>
      </c>
      <c r="AK3160">
        <v>0.66352423717742104</v>
      </c>
    </row>
    <row r="3161" spans="1:37" x14ac:dyDescent="0.2">
      <c r="A3161" t="str">
        <f>"20200111153712345"</f>
        <v>20200111153712345</v>
      </c>
      <c r="B3161" t="str">
        <f>"1578728232336526"</f>
        <v>1578728232336526</v>
      </c>
      <c r="C3161" t="s">
        <v>37</v>
      </c>
      <c r="D3161">
        <v>5.834003</v>
      </c>
      <c r="E3161">
        <v>0.56001849999999997</v>
      </c>
      <c r="F3161" t="s">
        <v>38</v>
      </c>
      <c r="G3161">
        <v>-332.5573</v>
      </c>
      <c r="H3161">
        <v>1.0259510000000001</v>
      </c>
      <c r="I3161">
        <v>215.898</v>
      </c>
      <c r="J3161">
        <v>-333.16559999999998</v>
      </c>
      <c r="K3161">
        <v>1.1037379999999899</v>
      </c>
      <c r="L3161">
        <v>216.0369</v>
      </c>
      <c r="M3161">
        <v>0.99958910000000001</v>
      </c>
      <c r="N3161">
        <v>0</v>
      </c>
      <c r="O3161">
        <v>2.476165E-2</v>
      </c>
      <c r="P3161">
        <v>0.99680349999999995</v>
      </c>
      <c r="Q3161">
        <v>7.1544129999999997E-2</v>
      </c>
      <c r="R3161">
        <v>3.5557909999999998E-2</v>
      </c>
      <c r="S3161">
        <v>3.0401919999999998</v>
      </c>
      <c r="T3161">
        <v>-0.22865759999999999</v>
      </c>
      <c r="U3161">
        <v>-0.37733459999999902</v>
      </c>
      <c r="V3161">
        <v>-1.070538E-2</v>
      </c>
      <c r="W3161">
        <v>8.5952719999999996E-2</v>
      </c>
      <c r="X3161">
        <v>0.99624169999999901</v>
      </c>
      <c r="Y3161">
        <v>0.14722939999999901</v>
      </c>
      <c r="Z3161">
        <v>-7.3612460000000001E-3</v>
      </c>
      <c r="AA3161">
        <v>0.98907500000000004</v>
      </c>
      <c r="AB3161">
        <v>43</v>
      </c>
      <c r="AC3161">
        <v>0.60829999999998496</v>
      </c>
      <c r="AD3161">
        <v>-7.7786999999999801E-2</v>
      </c>
      <c r="AE3161">
        <v>-0.13890000000000599</v>
      </c>
      <c r="AF3161">
        <v>0.15156585804137901</v>
      </c>
      <c r="AG3161">
        <v>-7.7786999999999801E-2</v>
      </c>
      <c r="AH3161">
        <v>0.59541972192978898</v>
      </c>
      <c r="AI3161">
        <v>97.215535070140604</v>
      </c>
      <c r="AJ3161">
        <v>75.718499915190193</v>
      </c>
      <c r="AK3161">
        <v>0.61931225723036298</v>
      </c>
    </row>
    <row r="3162" spans="1:37" x14ac:dyDescent="0.2">
      <c r="A3162" t="str">
        <f>"20200111153712366"</f>
        <v>20200111153712366</v>
      </c>
      <c r="B3162" t="str">
        <f>"1578728232356049"</f>
        <v>1578728232356049</v>
      </c>
      <c r="C3162" t="s">
        <v>37</v>
      </c>
      <c r="D3162">
        <v>5.8116009999999996</v>
      </c>
      <c r="E3162">
        <v>0.56020890000000001</v>
      </c>
      <c r="F3162" t="s">
        <v>38</v>
      </c>
      <c r="G3162">
        <v>-332.17509999999999</v>
      </c>
      <c r="H3162">
        <v>1.02887</v>
      </c>
      <c r="I3162">
        <v>215.91200000000001</v>
      </c>
      <c r="J3162">
        <v>-332.7509</v>
      </c>
      <c r="K3162">
        <v>1.1036820000000001</v>
      </c>
      <c r="L3162">
        <v>216.04650000000001</v>
      </c>
      <c r="M3162">
        <v>0.99960859999999996</v>
      </c>
      <c r="N3162">
        <v>0</v>
      </c>
      <c r="O3162">
        <v>2.3970169999999999E-2</v>
      </c>
      <c r="P3162">
        <v>0.99684459999999997</v>
      </c>
      <c r="Q3162">
        <v>7.1191920000000006E-2</v>
      </c>
      <c r="R3162">
        <v>3.5109389999999997E-2</v>
      </c>
      <c r="S3162">
        <v>3.0397639999999999</v>
      </c>
      <c r="T3162">
        <v>-0.22984769999999999</v>
      </c>
      <c r="U3162">
        <v>-0.38244629999999902</v>
      </c>
      <c r="V3162">
        <v>-1.1035390000000001E-2</v>
      </c>
      <c r="W3162">
        <v>8.5601179999999999E-2</v>
      </c>
      <c r="X3162">
        <v>0.99626840000000005</v>
      </c>
      <c r="Y3162">
        <v>0.1480957</v>
      </c>
      <c r="Z3162">
        <v>-7.37274E-3</v>
      </c>
      <c r="AA3162">
        <v>0.98894550000000003</v>
      </c>
      <c r="AB3162">
        <v>43</v>
      </c>
      <c r="AC3162">
        <v>0.57580000000001497</v>
      </c>
      <c r="AD3162">
        <v>-7.4811999999999795E-2</v>
      </c>
      <c r="AE3162">
        <v>-0.13450000000000201</v>
      </c>
      <c r="AF3162">
        <v>0.14592883466314699</v>
      </c>
      <c r="AG3162">
        <v>-7.4811999999999795E-2</v>
      </c>
      <c r="AH3162">
        <v>0.56339164568286004</v>
      </c>
      <c r="AI3162">
        <v>97.325001028630993</v>
      </c>
      <c r="AJ3162">
        <v>75.478473677344894</v>
      </c>
      <c r="AK3162">
        <v>0.58677270433736495</v>
      </c>
    </row>
    <row r="3163" spans="1:37" x14ac:dyDescent="0.2">
      <c r="A3163" t="str">
        <f>"20200111153712389"</f>
        <v>20200111153712389</v>
      </c>
      <c r="B3163" t="str">
        <f>"1578728232376543"</f>
        <v>1578728232376543</v>
      </c>
      <c r="C3163" t="s">
        <v>37</v>
      </c>
      <c r="D3163">
        <v>5.8142829999999996</v>
      </c>
      <c r="E3163">
        <v>0.56038779999999999</v>
      </c>
      <c r="F3163" t="s">
        <v>38</v>
      </c>
      <c r="G3163">
        <v>-331.79329999999999</v>
      </c>
      <c r="H3163">
        <v>1.031112</v>
      </c>
      <c r="I3163">
        <v>215.92490000000001</v>
      </c>
      <c r="J3163">
        <v>-332.34300000000002</v>
      </c>
      <c r="K3163">
        <v>1.1036299999999899</v>
      </c>
      <c r="L3163">
        <v>216.0556</v>
      </c>
      <c r="M3163">
        <v>0.99962799999999996</v>
      </c>
      <c r="N3163">
        <v>0</v>
      </c>
      <c r="O3163">
        <v>2.3147959999999999E-2</v>
      </c>
      <c r="P3163">
        <v>0.99688909999999997</v>
      </c>
      <c r="Q3163">
        <v>7.0597869999999993E-2</v>
      </c>
      <c r="R3163">
        <v>3.5045460000000001E-2</v>
      </c>
      <c r="S3163">
        <v>3.03952</v>
      </c>
      <c r="T3163">
        <v>-0.23045070000000001</v>
      </c>
      <c r="U3163">
        <v>-0.38558959999999998</v>
      </c>
      <c r="V3163">
        <v>-1.1781359999999999E-2</v>
      </c>
      <c r="W3163">
        <v>8.5008730000000005E-2</v>
      </c>
      <c r="X3163">
        <v>0.99631049999999999</v>
      </c>
      <c r="Y3163">
        <v>0.14829800000000001</v>
      </c>
      <c r="Z3163">
        <v>-7.3377299999999998E-3</v>
      </c>
      <c r="AA3163">
        <v>0.98891549999999995</v>
      </c>
      <c r="AB3163">
        <v>43</v>
      </c>
      <c r="AC3163">
        <v>0.54970000000002905</v>
      </c>
      <c r="AD3163">
        <v>-7.2517999999999805E-2</v>
      </c>
      <c r="AE3163">
        <v>-0.13069999999998999</v>
      </c>
      <c r="AF3163">
        <v>0.14106701491076201</v>
      </c>
      <c r="AG3163">
        <v>-7.2517999999999805E-2</v>
      </c>
      <c r="AH3163">
        <v>0.53767019862940801</v>
      </c>
      <c r="AI3163">
        <v>97.432775039931201</v>
      </c>
      <c r="AJ3163">
        <v>75.298815670993093</v>
      </c>
      <c r="AK3163">
        <v>0.56057827777574498</v>
      </c>
    </row>
    <row r="3164" spans="1:37" x14ac:dyDescent="0.2">
      <c r="A3164" t="str">
        <f>"20200111153712411"</f>
        <v>20200111153712411</v>
      </c>
      <c r="B3164" t="str">
        <f>"1578728232405823"</f>
        <v>1578728232405823</v>
      </c>
      <c r="C3164" t="s">
        <v>37</v>
      </c>
      <c r="D3164">
        <v>5.8245529999999999</v>
      </c>
      <c r="E3164">
        <v>0.560724</v>
      </c>
      <c r="F3164" t="s">
        <v>38</v>
      </c>
      <c r="G3164">
        <v>-331.41199999999998</v>
      </c>
      <c r="H3164">
        <v>1.0327709999999899</v>
      </c>
      <c r="I3164">
        <v>215.9367</v>
      </c>
      <c r="J3164">
        <v>-331.899</v>
      </c>
      <c r="K3164">
        <v>1.1035699999999999</v>
      </c>
      <c r="L3164">
        <v>216.0651</v>
      </c>
      <c r="M3164">
        <v>0.99964949999999997</v>
      </c>
      <c r="N3164">
        <v>0</v>
      </c>
      <c r="O3164">
        <v>2.2200879999999999E-2</v>
      </c>
      <c r="P3164">
        <v>0.99693140000000002</v>
      </c>
      <c r="Q3164">
        <v>7.0290690000000003E-2</v>
      </c>
      <c r="R3164">
        <v>3.445082E-2</v>
      </c>
      <c r="S3164">
        <v>3.0393680000000001</v>
      </c>
      <c r="T3164">
        <v>-0.2313607</v>
      </c>
      <c r="U3164">
        <v>-0.38769530000000002</v>
      </c>
      <c r="V3164">
        <v>-1.2119929999999999E-2</v>
      </c>
      <c r="W3164">
        <v>8.4701810000000002E-2</v>
      </c>
      <c r="X3164">
        <v>0.99633259999999901</v>
      </c>
      <c r="Y3164">
        <v>0.14804120000000001</v>
      </c>
      <c r="Z3164">
        <v>-7.2852050000000003E-3</v>
      </c>
      <c r="AA3164">
        <v>0.98895440000000001</v>
      </c>
      <c r="AB3164">
        <v>43</v>
      </c>
      <c r="AC3164">
        <v>0.48700000000002303</v>
      </c>
      <c r="AD3164">
        <v>-7.0799000000000195E-2</v>
      </c>
      <c r="AE3164">
        <v>-0.12839999999999899</v>
      </c>
      <c r="AF3164">
        <v>0.13648422912820601</v>
      </c>
      <c r="AG3164">
        <v>-7.0799000000000195E-2</v>
      </c>
      <c r="AH3164">
        <v>0.47464948583385003</v>
      </c>
      <c r="AI3164">
        <v>98.157879007069198</v>
      </c>
      <c r="AJ3164">
        <v>73.957547849493196</v>
      </c>
      <c r="AK3164">
        <v>0.49893143577455501</v>
      </c>
    </row>
    <row r="3165" spans="1:37" x14ac:dyDescent="0.2">
      <c r="A3165" t="str">
        <f>"20200111153712435"</f>
        <v>20200111153712435</v>
      </c>
      <c r="B3165" t="str">
        <f>"1578728232426318"</f>
        <v>1578728232426318</v>
      </c>
      <c r="C3165" t="s">
        <v>37</v>
      </c>
      <c r="D3165">
        <v>5.780367</v>
      </c>
      <c r="E3165">
        <v>0.58036449999999995</v>
      </c>
      <c r="F3165" t="s">
        <v>38</v>
      </c>
      <c r="G3165">
        <v>-331.02949999999998</v>
      </c>
      <c r="H3165">
        <v>1.0371139999999901</v>
      </c>
      <c r="I3165">
        <v>215.9529</v>
      </c>
      <c r="J3165">
        <v>-331.46559999999999</v>
      </c>
      <c r="K3165">
        <v>1.103513</v>
      </c>
      <c r="L3165">
        <v>216.07390000000001</v>
      </c>
      <c r="M3165">
        <v>0.99967070000000002</v>
      </c>
      <c r="N3165">
        <v>0</v>
      </c>
      <c r="O3165">
        <v>2.122284E-2</v>
      </c>
      <c r="P3165">
        <v>0.99699709999999997</v>
      </c>
      <c r="Q3165">
        <v>6.9882879999999994E-2</v>
      </c>
      <c r="R3165">
        <v>3.336683E-2</v>
      </c>
      <c r="S3165">
        <v>3.0390929999999998</v>
      </c>
      <c r="T3165">
        <v>-0.2322727</v>
      </c>
      <c r="U3165">
        <v>-0.39167790000000002</v>
      </c>
      <c r="V3165">
        <v>-1.19992E-2</v>
      </c>
      <c r="W3165">
        <v>8.4293660000000006E-2</v>
      </c>
      <c r="X3165">
        <v>0.9963687</v>
      </c>
      <c r="Y3165">
        <v>0.14835799999999999</v>
      </c>
      <c r="Z3165">
        <v>-7.2515519999999997E-3</v>
      </c>
      <c r="AA3165">
        <v>0.98890719999999999</v>
      </c>
      <c r="AB3165">
        <v>43</v>
      </c>
      <c r="AC3165">
        <v>0.43610000000000998</v>
      </c>
      <c r="AD3165">
        <v>-6.6399000000000097E-2</v>
      </c>
      <c r="AE3165">
        <v>-0.121000000000009</v>
      </c>
      <c r="AF3165">
        <v>0.12748488170811301</v>
      </c>
      <c r="AG3165">
        <v>-6.6399000000000097E-2</v>
      </c>
      <c r="AH3165">
        <v>0.42430048682412003</v>
      </c>
      <c r="AI3165">
        <v>98.523580666476704</v>
      </c>
      <c r="AJ3165">
        <v>73.276633771645606</v>
      </c>
      <c r="AK3165">
        <v>0.44798674688467899</v>
      </c>
    </row>
    <row r="3166" spans="1:37" x14ac:dyDescent="0.2">
      <c r="A3166" t="str">
        <f>"20200111153712456"</f>
        <v>20200111153712456</v>
      </c>
      <c r="B3166" t="str">
        <f>"1578728232445841"</f>
        <v>1578728232445841</v>
      </c>
      <c r="C3166" t="s">
        <v>37</v>
      </c>
      <c r="D3166">
        <v>5.7046299999999999</v>
      </c>
      <c r="E3166">
        <v>0.5944353</v>
      </c>
      <c r="F3166" t="s">
        <v>48</v>
      </c>
      <c r="G3166">
        <v>-315.3184</v>
      </c>
      <c r="H3166" s="1">
        <v>3.2641389999999998E-6</v>
      </c>
      <c r="I3166">
        <v>213.1497</v>
      </c>
      <c r="J3166">
        <v>-331.0514</v>
      </c>
      <c r="K3166">
        <v>1.1034489999999999</v>
      </c>
      <c r="L3166">
        <v>216.08189999999999</v>
      </c>
      <c r="M3166">
        <v>0.99969129999999995</v>
      </c>
      <c r="N3166">
        <v>0</v>
      </c>
      <c r="O3166">
        <v>2.0232710000000001E-2</v>
      </c>
      <c r="P3166">
        <v>0.99706980000000001</v>
      </c>
      <c r="Q3166">
        <v>6.9162909999999994E-2</v>
      </c>
      <c r="R3166">
        <v>3.2688330000000002E-2</v>
      </c>
      <c r="S3166">
        <v>3.0420529999999899</v>
      </c>
      <c r="T3166">
        <v>-0.20789579999999999</v>
      </c>
      <c r="U3166">
        <v>-0.55090329999999998</v>
      </c>
      <c r="V3166">
        <v>-1.2296410000000001E-2</v>
      </c>
      <c r="W3166">
        <v>8.3575239999999995E-2</v>
      </c>
      <c r="X3166">
        <v>0.99642559999999902</v>
      </c>
      <c r="Y3166">
        <v>0.19757949999999999</v>
      </c>
      <c r="Z3166">
        <v>-8.0599690000000002E-3</v>
      </c>
      <c r="AA3166">
        <v>0.98025379999999995</v>
      </c>
      <c r="AB3166">
        <v>43</v>
      </c>
      <c r="AC3166">
        <v>15.733000000000001</v>
      </c>
      <c r="AD3166">
        <v>-1.1034457358609999</v>
      </c>
      <c r="AE3166">
        <v>-2.9321999999999901</v>
      </c>
      <c r="AF3166">
        <v>3.23457712585942</v>
      </c>
      <c r="AG3166">
        <v>-1.1034457358609999</v>
      </c>
      <c r="AH3166">
        <v>15.5963029973788</v>
      </c>
      <c r="AI3166">
        <v>93.9629075324779</v>
      </c>
      <c r="AJ3166">
        <v>78.283310742988604</v>
      </c>
      <c r="AK3166">
        <v>15.966363044261801</v>
      </c>
    </row>
    <row r="3167" spans="1:37" x14ac:dyDescent="0.2">
      <c r="A3167" t="str">
        <f>"20200111153712479"</f>
        <v>20200111153712479</v>
      </c>
      <c r="B3167" t="str">
        <f>"1578728232476095"</f>
        <v>1578728232476095</v>
      </c>
      <c r="C3167" t="s">
        <v>37</v>
      </c>
      <c r="D3167">
        <v>5.6900129999999898</v>
      </c>
      <c r="E3167">
        <v>0.5923098</v>
      </c>
      <c r="F3167" t="s">
        <v>48</v>
      </c>
      <c r="G3167">
        <v>-316.399</v>
      </c>
      <c r="H3167" s="1">
        <v>3.7433210000000002E-6</v>
      </c>
      <c r="I3167">
        <v>212.87710000000001</v>
      </c>
      <c r="J3167">
        <v>-330.62920000000003</v>
      </c>
      <c r="K3167">
        <v>1.1033809999999999</v>
      </c>
      <c r="L3167">
        <v>216.08959999999999</v>
      </c>
      <c r="M3167">
        <v>0.9997125</v>
      </c>
      <c r="N3167">
        <v>0</v>
      </c>
      <c r="O3167">
        <v>1.916234E-2</v>
      </c>
      <c r="P3167">
        <v>0.99713359999999995</v>
      </c>
      <c r="Q3167">
        <v>6.8590369999999998E-2</v>
      </c>
      <c r="R3167">
        <v>3.1942470000000001E-2</v>
      </c>
      <c r="S3167">
        <v>3.04657</v>
      </c>
      <c r="T3167">
        <v>-0.22943150000000001</v>
      </c>
      <c r="U3167">
        <v>-0.66635129999999998</v>
      </c>
      <c r="V3167">
        <v>-1.260585E-2</v>
      </c>
      <c r="W3167">
        <v>8.3004540000000002E-2</v>
      </c>
      <c r="X3167">
        <v>0.99646939999999995</v>
      </c>
      <c r="Y3167">
        <v>0.23167449999999901</v>
      </c>
      <c r="Z3167">
        <v>-1.0034909999999999E-2</v>
      </c>
      <c r="AA3167">
        <v>0.97274159999999898</v>
      </c>
      <c r="AB3167">
        <v>42</v>
      </c>
      <c r="AC3167">
        <v>14.2302</v>
      </c>
      <c r="AD3167">
        <v>-1.1033772566789899</v>
      </c>
      <c r="AE3167">
        <v>-3.2124999999999702</v>
      </c>
      <c r="AF3167">
        <v>3.4648016833362898</v>
      </c>
      <c r="AG3167">
        <v>-1.1033772566789899</v>
      </c>
      <c r="AH3167">
        <v>14.08544461262</v>
      </c>
      <c r="AI3167">
        <v>94.349942338883096</v>
      </c>
      <c r="AJ3167">
        <v>76.180495455950194</v>
      </c>
      <c r="AK3167">
        <v>14.5472348578894</v>
      </c>
    </row>
    <row r="3168" spans="1:37" x14ac:dyDescent="0.2">
      <c r="A3168" t="str">
        <f>"20200111153712501"</f>
        <v>20200111153712501</v>
      </c>
      <c r="B3168" t="str">
        <f>"1578728232496591"</f>
        <v>1578728232496591</v>
      </c>
      <c r="C3168" t="s">
        <v>37</v>
      </c>
      <c r="D3168">
        <v>5.6739750000000004</v>
      </c>
      <c r="E3168">
        <v>0.5946477</v>
      </c>
      <c r="F3168" t="s">
        <v>48</v>
      </c>
      <c r="G3168">
        <v>-318.88279999999997</v>
      </c>
      <c r="H3168" s="1">
        <v>4.8447809999999901E-6</v>
      </c>
      <c r="I3168">
        <v>213.571</v>
      </c>
      <c r="J3168">
        <v>-330.21420000000001</v>
      </c>
      <c r="K3168">
        <v>1.1033090000000001</v>
      </c>
      <c r="L3168">
        <v>216.0966</v>
      </c>
      <c r="M3168">
        <v>0.99973339999999999</v>
      </c>
      <c r="N3168">
        <v>0</v>
      </c>
      <c r="O3168">
        <v>1.8038350000000002E-2</v>
      </c>
      <c r="P3168">
        <v>0.99717149999999999</v>
      </c>
      <c r="Q3168">
        <v>6.8718310000000005E-2</v>
      </c>
      <c r="R3168">
        <v>3.0450149999999999E-2</v>
      </c>
      <c r="S3168">
        <v>3.0492249999999999</v>
      </c>
      <c r="T3168">
        <v>-0.28642259999999897</v>
      </c>
      <c r="U3168">
        <v>-0.65377810000000003</v>
      </c>
      <c r="V3168">
        <v>-1.2219890000000001E-2</v>
      </c>
      <c r="W3168">
        <v>8.313189E-2</v>
      </c>
      <c r="X3168">
        <v>0.99646369999999895</v>
      </c>
      <c r="Y3168">
        <v>0.22621949999999999</v>
      </c>
      <c r="Z3168">
        <v>-1.215575E-2</v>
      </c>
      <c r="AA3168">
        <v>0.97400049999999905</v>
      </c>
      <c r="AB3168">
        <v>42</v>
      </c>
      <c r="AC3168">
        <v>11.3314</v>
      </c>
      <c r="AD3168">
        <v>-1.1033041552189999</v>
      </c>
      <c r="AE3168">
        <v>-2.5255999999999901</v>
      </c>
      <c r="AF3168">
        <v>2.7051777489736599</v>
      </c>
      <c r="AG3168">
        <v>-1.1033041552189999</v>
      </c>
      <c r="AH3168">
        <v>11.182992621362001</v>
      </c>
      <c r="AI3168">
        <v>95.477535415284095</v>
      </c>
      <c r="AJ3168">
        <v>76.401320874908293</v>
      </c>
      <c r="AK3168">
        <v>11.558312622606399</v>
      </c>
    </row>
    <row r="3169" spans="1:37" x14ac:dyDescent="0.2">
      <c r="A3169" t="str">
        <f>"20200111153712522"</f>
        <v>20200111153712522</v>
      </c>
      <c r="B3169" t="str">
        <f>"1578728232516098"</f>
        <v>1578728232516098</v>
      </c>
      <c r="C3169" t="s">
        <v>37</v>
      </c>
      <c r="D3169">
        <v>5.6664430000000001</v>
      </c>
      <c r="E3169">
        <v>0.5936728</v>
      </c>
      <c r="F3169" t="s">
        <v>48</v>
      </c>
      <c r="G3169">
        <v>-317.61840000000001</v>
      </c>
      <c r="H3169" s="1">
        <v>4.2840879999999999E-6</v>
      </c>
      <c r="I3169">
        <v>213.30179999999999</v>
      </c>
      <c r="J3169">
        <v>-329.78320000000002</v>
      </c>
      <c r="K3169">
        <v>1.1032309999999901</v>
      </c>
      <c r="L3169">
        <v>216.10329999999999</v>
      </c>
      <c r="M3169">
        <v>0.99975519999999996</v>
      </c>
      <c r="N3169">
        <v>0</v>
      </c>
      <c r="O3169">
        <v>1.678781E-2</v>
      </c>
      <c r="P3169">
        <v>0.997201</v>
      </c>
      <c r="Q3169">
        <v>6.8889829999999999E-2</v>
      </c>
      <c r="R3169">
        <v>2.9057759999999998E-2</v>
      </c>
      <c r="S3169">
        <v>3.047577</v>
      </c>
      <c r="T3169">
        <v>-0.26694590000000001</v>
      </c>
      <c r="U3169">
        <v>-0.67620849999999999</v>
      </c>
      <c r="V3169">
        <v>-1.2058650000000001E-2</v>
      </c>
      <c r="W3169">
        <v>8.3303440000000006E-2</v>
      </c>
      <c r="X3169">
        <v>0.99645130000000004</v>
      </c>
      <c r="Y3169">
        <v>0.2320671</v>
      </c>
      <c r="Z3169">
        <v>-1.1474E-2</v>
      </c>
      <c r="AA3169">
        <v>0.9726321</v>
      </c>
      <c r="AB3169">
        <v>42</v>
      </c>
      <c r="AC3169">
        <v>12.1648</v>
      </c>
      <c r="AD3169">
        <v>-1.1032267159119999</v>
      </c>
      <c r="AE3169">
        <v>-2.8014999999999999</v>
      </c>
      <c r="AF3169">
        <v>2.9820554688630398</v>
      </c>
      <c r="AG3169">
        <v>-1.1032267159119999</v>
      </c>
      <c r="AH3169">
        <v>12.0221509103005</v>
      </c>
      <c r="AI3169">
        <v>95.089735153767506</v>
      </c>
      <c r="AJ3169">
        <v>76.069134674751993</v>
      </c>
      <c r="AK3169">
        <v>12.435508695510499</v>
      </c>
    </row>
    <row r="3170" spans="1:37" x14ac:dyDescent="0.2">
      <c r="A3170" t="str">
        <f>"20200111153712545"</f>
        <v>20200111153712545</v>
      </c>
      <c r="B3170" t="str">
        <f>"1578728232535618"</f>
        <v>1578728232535618</v>
      </c>
      <c r="C3170" t="s">
        <v>37</v>
      </c>
      <c r="D3170">
        <v>6.01518</v>
      </c>
      <c r="E3170">
        <v>0.59246129999999997</v>
      </c>
      <c r="F3170" t="s">
        <v>48</v>
      </c>
      <c r="G3170">
        <v>-318.1225</v>
      </c>
      <c r="H3170" s="1">
        <v>4.5076419999999997E-6</v>
      </c>
      <c r="I3170">
        <v>213.52809999999999</v>
      </c>
      <c r="J3170">
        <v>-329.35969999999998</v>
      </c>
      <c r="K3170">
        <v>1.103162</v>
      </c>
      <c r="L3170">
        <v>216.10929999999999</v>
      </c>
      <c r="M3170">
        <v>0.999776199999999</v>
      </c>
      <c r="N3170">
        <v>0</v>
      </c>
      <c r="O3170">
        <v>1.548837E-2</v>
      </c>
      <c r="P3170">
        <v>0.99717160000000005</v>
      </c>
      <c r="Q3170">
        <v>6.9182080000000007E-2</v>
      </c>
      <c r="R3170">
        <v>2.9372760000000001E-2</v>
      </c>
      <c r="S3170">
        <v>3.047974</v>
      </c>
      <c r="T3170">
        <v>-0.28837170000000001</v>
      </c>
      <c r="U3170">
        <v>-0.67314149999999995</v>
      </c>
      <c r="V3170">
        <v>-1.3654299999999999E-2</v>
      </c>
      <c r="W3170">
        <v>8.3600889999999997E-2</v>
      </c>
      <c r="X3170">
        <v>0.99640580000000001</v>
      </c>
      <c r="Y3170">
        <v>0.22970689999999999</v>
      </c>
      <c r="Z3170">
        <v>-1.215948E-2</v>
      </c>
      <c r="AA3170">
        <v>0.97318389999999999</v>
      </c>
      <c r="AB3170">
        <v>42</v>
      </c>
      <c r="AC3170">
        <v>11.2371999999999</v>
      </c>
      <c r="AD3170">
        <v>-1.1031574923580001</v>
      </c>
      <c r="AE3170">
        <v>-2.5811999999999902</v>
      </c>
      <c r="AF3170">
        <v>2.7299632155706601</v>
      </c>
      <c r="AG3170">
        <v>-1.1031574923580001</v>
      </c>
      <c r="AH3170">
        <v>11.094307697897699</v>
      </c>
      <c r="AI3170">
        <v>95.515059657948996</v>
      </c>
      <c r="AJ3170">
        <v>76.175942384185305</v>
      </c>
      <c r="AK3170">
        <v>11.4783848561959</v>
      </c>
    </row>
    <row r="3171" spans="1:37" x14ac:dyDescent="0.2">
      <c r="A3171" t="str">
        <f>"20200111153712568"</f>
        <v>20200111153712568</v>
      </c>
      <c r="B3171" t="str">
        <f>"1578728232556118"</f>
        <v>1578728232556118</v>
      </c>
      <c r="C3171" t="s">
        <v>37</v>
      </c>
      <c r="D3171">
        <v>5.7733429999999997</v>
      </c>
      <c r="E3171">
        <v>0.59349110000000005</v>
      </c>
      <c r="F3171" t="s">
        <v>48</v>
      </c>
      <c r="G3171">
        <v>-318.4683</v>
      </c>
      <c r="H3171" s="1">
        <v>4.6609660000000003E-6</v>
      </c>
      <c r="I3171">
        <v>213.73920000000001</v>
      </c>
      <c r="J3171">
        <v>-328.9393</v>
      </c>
      <c r="K3171">
        <v>1.103081</v>
      </c>
      <c r="L3171">
        <v>216.1147</v>
      </c>
      <c r="M3171">
        <v>0.99979660000000004</v>
      </c>
      <c r="N3171">
        <v>0</v>
      </c>
      <c r="O3171">
        <v>1.412072E-2</v>
      </c>
      <c r="P3171">
        <v>0.99715830000000005</v>
      </c>
      <c r="Q3171">
        <v>6.9015889999999996E-2</v>
      </c>
      <c r="R3171">
        <v>3.0204959999999999E-2</v>
      </c>
      <c r="S3171">
        <v>3.0495000000000001</v>
      </c>
      <c r="T3171">
        <v>-0.30887219999999999</v>
      </c>
      <c r="U3171">
        <v>-0.66360469999999905</v>
      </c>
      <c r="V3171">
        <v>-1.5836240000000001E-2</v>
      </c>
      <c r="W3171">
        <v>8.3442649999999993E-2</v>
      </c>
      <c r="X3171">
        <v>0.99638680000000002</v>
      </c>
      <c r="Y3171">
        <v>0.22524240000000001</v>
      </c>
      <c r="Z3171">
        <v>-1.265809E-2</v>
      </c>
      <c r="AA3171">
        <v>0.97422050000000004</v>
      </c>
      <c r="AB3171">
        <v>42</v>
      </c>
      <c r="AC3171">
        <v>10.471</v>
      </c>
      <c r="AD3171">
        <v>-1.1030763390339999</v>
      </c>
      <c r="AE3171">
        <v>-2.3754999999999802</v>
      </c>
      <c r="AF3171">
        <v>2.49678411480566</v>
      </c>
      <c r="AG3171">
        <v>-1.1030763390339999</v>
      </c>
      <c r="AH3171">
        <v>10.3274076096271</v>
      </c>
      <c r="AI3171">
        <v>95.927188568021904</v>
      </c>
      <c r="AJ3171">
        <v>76.408798860169895</v>
      </c>
      <c r="AK3171">
        <v>10.682043636920101</v>
      </c>
    </row>
    <row r="3172" spans="1:37" x14ac:dyDescent="0.2">
      <c r="A3172" t="str">
        <f>"20200111153712590"</f>
        <v>20200111153712590</v>
      </c>
      <c r="B3172" t="str">
        <f>"1578728232586371"</f>
        <v>1578728232586371</v>
      </c>
      <c r="C3172" t="s">
        <v>37</v>
      </c>
      <c r="D3172">
        <v>5.9898689999999997</v>
      </c>
      <c r="E3172">
        <v>0.59303989999999995</v>
      </c>
      <c r="F3172" t="s">
        <v>48</v>
      </c>
      <c r="G3172">
        <v>-318.1601</v>
      </c>
      <c r="H3172" s="1">
        <v>4.5243259999999902E-6</v>
      </c>
      <c r="I3172">
        <v>213.74709999999999</v>
      </c>
      <c r="J3172">
        <v>-328.51960000000003</v>
      </c>
      <c r="K3172">
        <v>1.102997</v>
      </c>
      <c r="L3172">
        <v>216.11940000000001</v>
      </c>
      <c r="M3172">
        <v>0.99981580000000003</v>
      </c>
      <c r="N3172">
        <v>0</v>
      </c>
      <c r="O3172">
        <v>1.2669440000000001E-2</v>
      </c>
      <c r="P3172">
        <v>0.9971624</v>
      </c>
      <c r="Q3172">
        <v>6.8713410000000003E-2</v>
      </c>
      <c r="R3172">
        <v>3.0750320000000001E-2</v>
      </c>
      <c r="S3172">
        <v>3.0504150000000001</v>
      </c>
      <c r="T3172">
        <v>-0.31216059999999901</v>
      </c>
      <c r="U3172">
        <v>-0.66999819999999999</v>
      </c>
      <c r="V3172">
        <v>-1.7813599999999999E-2</v>
      </c>
      <c r="W3172">
        <v>8.3148990000000006E-2</v>
      </c>
      <c r="X3172">
        <v>0.99637790000000004</v>
      </c>
      <c r="Y3172">
        <v>0.22569789999999901</v>
      </c>
      <c r="Z3172">
        <v>-1.2662120000000001E-2</v>
      </c>
      <c r="AA3172">
        <v>0.97411510000000001</v>
      </c>
      <c r="AB3172">
        <v>42</v>
      </c>
      <c r="AC3172">
        <v>10.359500000000001</v>
      </c>
      <c r="AD3172">
        <v>-1.1029924756739999</v>
      </c>
      <c r="AE3172">
        <v>-2.3723000000000201</v>
      </c>
      <c r="AF3172">
        <v>2.4766949116260899</v>
      </c>
      <c r="AG3172">
        <v>-1.1029924756739999</v>
      </c>
      <c r="AH3172">
        <v>10.2185420185876</v>
      </c>
      <c r="AI3172">
        <v>95.988597511988999</v>
      </c>
      <c r="AJ3172">
        <v>76.375798160840702</v>
      </c>
      <c r="AK3172">
        <v>10.5720958694248</v>
      </c>
    </row>
    <row r="3173" spans="1:37" x14ac:dyDescent="0.2">
      <c r="A3173" t="str">
        <f>"20200111153712614"</f>
        <v>20200111153712614</v>
      </c>
      <c r="B3173" t="str">
        <f>"1578728232605891"</f>
        <v>1578728232605891</v>
      </c>
      <c r="C3173" t="s">
        <v>37</v>
      </c>
      <c r="D3173">
        <v>6.0081429999999996</v>
      </c>
      <c r="E3173">
        <v>0.59304299999999999</v>
      </c>
      <c r="F3173" t="s">
        <v>48</v>
      </c>
      <c r="G3173">
        <v>-318.0797</v>
      </c>
      <c r="H3173" s="1">
        <v>4.4886279999999996E-6</v>
      </c>
      <c r="I3173">
        <v>213.84219999999999</v>
      </c>
      <c r="J3173">
        <v>-328.0772</v>
      </c>
      <c r="K3173">
        <v>1.1029040000000001</v>
      </c>
      <c r="L3173">
        <v>216.12360000000001</v>
      </c>
      <c r="M3173">
        <v>0.99983519999999904</v>
      </c>
      <c r="N3173">
        <v>0</v>
      </c>
      <c r="O3173">
        <v>1.104231E-2</v>
      </c>
      <c r="P3173">
        <v>0.99721990000000005</v>
      </c>
      <c r="Q3173">
        <v>6.7968150000000005E-2</v>
      </c>
      <c r="R3173">
        <v>3.0545289999999999E-2</v>
      </c>
      <c r="S3173">
        <v>3.0512700000000001</v>
      </c>
      <c r="T3173">
        <v>-0.32236900000000002</v>
      </c>
      <c r="U3173">
        <v>-0.66554259999999998</v>
      </c>
      <c r="V3173">
        <v>-1.9215380000000001E-2</v>
      </c>
      <c r="W3173">
        <v>8.2412899999999997E-2</v>
      </c>
      <c r="X3173">
        <v>0.99641299999999899</v>
      </c>
      <c r="Y3173">
        <v>0.2226437</v>
      </c>
      <c r="Z3173">
        <v>-1.2743849999999999E-2</v>
      </c>
      <c r="AA3173">
        <v>0.97481659999999903</v>
      </c>
      <c r="AB3173">
        <v>42</v>
      </c>
      <c r="AC3173">
        <v>9.9975000000000005</v>
      </c>
      <c r="AD3173">
        <v>-1.1028995113719999</v>
      </c>
      <c r="AE3173">
        <v>-2.2814000000000099</v>
      </c>
      <c r="AF3173">
        <v>2.3643183743290899</v>
      </c>
      <c r="AG3173">
        <v>-1.1028995113719999</v>
      </c>
      <c r="AH3173">
        <v>9.8576663771841506</v>
      </c>
      <c r="AI3173">
        <v>96.2091782544274</v>
      </c>
      <c r="AJ3173">
        <v>76.512629106552595</v>
      </c>
      <c r="AK3173">
        <v>10.1970571789728</v>
      </c>
    </row>
    <row r="3174" spans="1:37" x14ac:dyDescent="0.2">
      <c r="A3174" t="str">
        <f>"20200111153712636"</f>
        <v>20200111153712636</v>
      </c>
      <c r="B3174" t="str">
        <f>"1578728232625825"</f>
        <v>1578728232625825</v>
      </c>
      <c r="C3174" t="s">
        <v>37</v>
      </c>
      <c r="D3174">
        <v>6.0011349999999997</v>
      </c>
      <c r="E3174">
        <v>0.59290359999999998</v>
      </c>
      <c r="F3174" t="s">
        <v>48</v>
      </c>
      <c r="G3174">
        <v>-318.04450000000003</v>
      </c>
      <c r="H3174" s="1">
        <v>4.4730589999999999E-6</v>
      </c>
      <c r="I3174">
        <v>213.93170000000001</v>
      </c>
      <c r="J3174">
        <v>-327.65719999999999</v>
      </c>
      <c r="K3174">
        <v>1.1028089999999999</v>
      </c>
      <c r="L3174">
        <v>216.12690000000001</v>
      </c>
      <c r="M3174">
        <v>0.99985199999999996</v>
      </c>
      <c r="N3174">
        <v>0</v>
      </c>
      <c r="O3174">
        <v>9.4020159999999992E-3</v>
      </c>
      <c r="P3174">
        <v>0.99725779999999997</v>
      </c>
      <c r="Q3174">
        <v>6.7575720000000006E-2</v>
      </c>
      <c r="R3174">
        <v>3.0174360000000001E-2</v>
      </c>
      <c r="S3174">
        <v>3.0516359999999998</v>
      </c>
      <c r="T3174">
        <v>-0.33546729999999902</v>
      </c>
      <c r="U3174">
        <v>-0.66671749999999996</v>
      </c>
      <c r="V3174">
        <v>-2.0463220000000001E-2</v>
      </c>
      <c r="W3174">
        <v>8.202893E-2</v>
      </c>
      <c r="X3174">
        <v>0.99641979999999997</v>
      </c>
      <c r="Y3174">
        <v>0.2212935</v>
      </c>
      <c r="Z3174">
        <v>-1.300569E-2</v>
      </c>
      <c r="AA3174">
        <v>0.97512049999999995</v>
      </c>
      <c r="AB3174">
        <v>42</v>
      </c>
      <c r="AC3174">
        <v>9.6126999999999594</v>
      </c>
      <c r="AD3174">
        <v>-1.1028045269409901</v>
      </c>
      <c r="AE3174">
        <v>-2.1951999999999998</v>
      </c>
      <c r="AF3174">
        <v>2.2572547106584402</v>
      </c>
      <c r="AG3174">
        <v>-1.1028045269409901</v>
      </c>
      <c r="AH3174">
        <v>9.4731325588169408</v>
      </c>
      <c r="AI3174">
        <v>96.460849164987707</v>
      </c>
      <c r="AJ3174">
        <v>76.597503483955805</v>
      </c>
      <c r="AK3174">
        <v>9.8005926928093992</v>
      </c>
    </row>
    <row r="3175" spans="1:37" x14ac:dyDescent="0.2">
      <c r="A3175" t="str">
        <f>"20200111153712658"</f>
        <v>20200111153712658</v>
      </c>
      <c r="B3175" t="str">
        <f>"1578728232646321"</f>
        <v>1578728232646321</v>
      </c>
      <c r="C3175" t="s">
        <v>37</v>
      </c>
      <c r="D3175">
        <v>6.0241100000000003</v>
      </c>
      <c r="E3175">
        <v>0.5929934</v>
      </c>
      <c r="F3175" t="s">
        <v>38</v>
      </c>
      <c r="G3175">
        <v>-326.87200000000001</v>
      </c>
      <c r="H3175">
        <v>1.014472</v>
      </c>
      <c r="I3175">
        <v>215.95480000000001</v>
      </c>
      <c r="J3175">
        <v>-327.24860000000001</v>
      </c>
      <c r="K3175">
        <v>1.1027129999999901</v>
      </c>
      <c r="L3175">
        <v>216.1294</v>
      </c>
      <c r="M3175">
        <v>0.99986649999999999</v>
      </c>
      <c r="N3175">
        <v>0</v>
      </c>
      <c r="O3175">
        <v>7.7172150000000004E-3</v>
      </c>
      <c r="P3175">
        <v>0.99726000000000004</v>
      </c>
      <c r="Q3175">
        <v>6.7775509999999997E-2</v>
      </c>
      <c r="R3175">
        <v>2.9650260000000001E-2</v>
      </c>
      <c r="S3175">
        <v>3.051758</v>
      </c>
      <c r="T3175">
        <v>-0.34336050000000001</v>
      </c>
      <c r="U3175">
        <v>-0.66763309999999998</v>
      </c>
      <c r="V3175">
        <v>-2.1600299999999999E-2</v>
      </c>
      <c r="W3175">
        <v>8.2237550000000006E-2</v>
      </c>
      <c r="X3175">
        <v>0.99637869999999995</v>
      </c>
      <c r="Y3175">
        <v>0.21987770000000001</v>
      </c>
      <c r="Z3175">
        <v>-1.3043580000000001E-2</v>
      </c>
      <c r="AA3175">
        <v>0.97544030000000004</v>
      </c>
      <c r="AB3175">
        <v>42</v>
      </c>
      <c r="AC3175">
        <v>0.37659999999999599</v>
      </c>
      <c r="AD3175">
        <v>-8.8240999999999695E-2</v>
      </c>
      <c r="AE3175">
        <v>-0.17459999999999801</v>
      </c>
      <c r="AF3175">
        <v>0.16982724400298799</v>
      </c>
      <c r="AG3175">
        <v>-8.8240999999999695E-2</v>
      </c>
      <c r="AH3175">
        <v>0.35901790238842701</v>
      </c>
      <c r="AI3175">
        <v>102.526536488525</v>
      </c>
      <c r="AJ3175">
        <v>64.684315014112997</v>
      </c>
      <c r="AK3175">
        <v>0.40684348479733201</v>
      </c>
    </row>
    <row r="3176" spans="1:37" x14ac:dyDescent="0.2">
      <c r="A3176" t="str">
        <f>"20200111153712680"</f>
        <v>20200111153712680</v>
      </c>
      <c r="B3176" t="str">
        <f>"1578728232676579"</f>
        <v>1578728232676579</v>
      </c>
      <c r="C3176" t="s">
        <v>37</v>
      </c>
      <c r="D3176">
        <v>5.9679159999999998</v>
      </c>
      <c r="E3176">
        <v>0.5932655</v>
      </c>
      <c r="F3176" t="s">
        <v>38</v>
      </c>
      <c r="G3176">
        <v>-326.4957</v>
      </c>
      <c r="H3176">
        <v>1.0160530000000001</v>
      </c>
      <c r="I3176">
        <v>215.9639</v>
      </c>
      <c r="J3176">
        <v>-326.8347</v>
      </c>
      <c r="K3176">
        <v>1.1026209999999901</v>
      </c>
      <c r="L3176">
        <v>216.1311</v>
      </c>
      <c r="M3176">
        <v>0.99987870000000001</v>
      </c>
      <c r="N3176">
        <v>0</v>
      </c>
      <c r="O3176">
        <v>5.9243709999999899E-3</v>
      </c>
      <c r="P3176">
        <v>0.99728349999999899</v>
      </c>
      <c r="Q3176">
        <v>6.7948460000000002E-2</v>
      </c>
      <c r="R3176">
        <v>2.844797E-2</v>
      </c>
      <c r="S3176">
        <v>3.052063</v>
      </c>
      <c r="T3176">
        <v>-0.3512538</v>
      </c>
      <c r="U3176">
        <v>-0.67059329999999995</v>
      </c>
      <c r="V3176">
        <v>-2.2166780000000001E-2</v>
      </c>
      <c r="W3176">
        <v>8.2417180000000007E-2</v>
      </c>
      <c r="X3176">
        <v>0.9963514</v>
      </c>
      <c r="Y3176">
        <v>0.21896550000000001</v>
      </c>
      <c r="Z3176">
        <v>-1.3083849999999999E-2</v>
      </c>
      <c r="AA3176">
        <v>0.97564490000000004</v>
      </c>
      <c r="AB3176">
        <v>42</v>
      </c>
      <c r="AC3176">
        <v>0.33899999999999803</v>
      </c>
      <c r="AD3176">
        <v>-8.6567999999999701E-2</v>
      </c>
      <c r="AE3176">
        <v>-0.16720000000000801</v>
      </c>
      <c r="AF3176">
        <v>0.160772949659967</v>
      </c>
      <c r="AG3176">
        <v>-8.6567999999999701E-2</v>
      </c>
      <c r="AH3176">
        <v>0.32115834806523602</v>
      </c>
      <c r="AI3176">
        <v>103.55173739530299</v>
      </c>
      <c r="AJ3176">
        <v>63.407299295086801</v>
      </c>
      <c r="AK3176">
        <v>0.36943828239417398</v>
      </c>
    </row>
    <row r="3177" spans="1:37" x14ac:dyDescent="0.2">
      <c r="A3177" t="str">
        <f>"20200111153712702"</f>
        <v>20200111153712702</v>
      </c>
      <c r="B3177" t="str">
        <f>"1578728232696098"</f>
        <v>1578728232696098</v>
      </c>
      <c r="C3177" t="s">
        <v>37</v>
      </c>
      <c r="D3177">
        <v>5.9133709999999997</v>
      </c>
      <c r="E3177">
        <v>0.59367389999999998</v>
      </c>
      <c r="F3177" t="s">
        <v>48</v>
      </c>
      <c r="G3177">
        <v>-317.44630000000001</v>
      </c>
      <c r="H3177" s="1">
        <v>4.2077630000000002E-6</v>
      </c>
      <c r="I3177">
        <v>214.0488</v>
      </c>
      <c r="J3177">
        <v>-326.40539999999999</v>
      </c>
      <c r="K3177">
        <v>1.1025290000000001</v>
      </c>
      <c r="L3177">
        <v>216.1319</v>
      </c>
      <c r="M3177">
        <v>0.99988829999999995</v>
      </c>
      <c r="N3177">
        <v>0</v>
      </c>
      <c r="O3177">
        <v>3.9738239999999999E-3</v>
      </c>
      <c r="P3177">
        <v>0.99731049999999999</v>
      </c>
      <c r="Q3177">
        <v>6.8144280000000002E-2</v>
      </c>
      <c r="R3177">
        <v>2.6980810000000001E-2</v>
      </c>
      <c r="S3177">
        <v>3.0519099999999999</v>
      </c>
      <c r="T3177">
        <v>-0.35843120000000001</v>
      </c>
      <c r="U3177">
        <v>-0.67689509999999997</v>
      </c>
      <c r="V3177">
        <v>-2.262486E-2</v>
      </c>
      <c r="W3177">
        <v>8.2619629999999999E-2</v>
      </c>
      <c r="X3177">
        <v>0.99632430000000005</v>
      </c>
      <c r="Y3177">
        <v>0.21894929999999899</v>
      </c>
      <c r="Z3177">
        <v>-1.312059E-2</v>
      </c>
      <c r="AA3177">
        <v>0.97564799999999996</v>
      </c>
      <c r="AB3177">
        <v>42</v>
      </c>
      <c r="AC3177">
        <v>8.9590999999999692</v>
      </c>
      <c r="AD3177">
        <v>-1.1025247922370001</v>
      </c>
      <c r="AE3177">
        <v>-2.0831</v>
      </c>
      <c r="AF3177">
        <v>2.0886799785683698</v>
      </c>
      <c r="AG3177">
        <v>-1.1025247922370001</v>
      </c>
      <c r="AH3177">
        <v>8.82397191466546</v>
      </c>
      <c r="AI3177">
        <v>96.932380066958601</v>
      </c>
      <c r="AJ3177">
        <v>76.682896781165695</v>
      </c>
      <c r="AK3177">
        <v>9.1345840256234201</v>
      </c>
    </row>
    <row r="3178" spans="1:37" x14ac:dyDescent="0.2">
      <c r="A3178" t="str">
        <f>"20200111153712725"</f>
        <v>20200111153712725</v>
      </c>
      <c r="B3178" t="str">
        <f>"1578728232715944"</f>
        <v>1578728232715944</v>
      </c>
      <c r="C3178" t="s">
        <v>37</v>
      </c>
      <c r="D3178">
        <v>5.8472169999999997</v>
      </c>
      <c r="E3178">
        <v>0.59347799999999995</v>
      </c>
      <c r="F3178" t="s">
        <v>48</v>
      </c>
      <c r="G3178">
        <v>-317.08319999999998</v>
      </c>
      <c r="H3178" s="1">
        <v>4.0467450000000003E-6</v>
      </c>
      <c r="I3178">
        <v>214.0384</v>
      </c>
      <c r="J3178">
        <v>-325.97289999999998</v>
      </c>
      <c r="K3178">
        <v>1.1024449999999999</v>
      </c>
      <c r="L3178">
        <v>216.1319</v>
      </c>
      <c r="M3178">
        <v>0.99989439999999996</v>
      </c>
      <c r="N3178">
        <v>0</v>
      </c>
      <c r="O3178">
        <v>1.938714E-3</v>
      </c>
      <c r="P3178">
        <v>0.99736150000000001</v>
      </c>
      <c r="Q3178">
        <v>6.7706539999999996E-2</v>
      </c>
      <c r="R3178">
        <v>2.619047E-2</v>
      </c>
      <c r="S3178">
        <v>3.0512999999999999</v>
      </c>
      <c r="T3178">
        <v>-0.36087429999999998</v>
      </c>
      <c r="U3178">
        <v>-0.68524169999999995</v>
      </c>
      <c r="V3178">
        <v>-2.384998E-2</v>
      </c>
      <c r="W3178">
        <v>8.2191940000000005E-2</v>
      </c>
      <c r="X3178">
        <v>0.99633109999999903</v>
      </c>
      <c r="Y3178">
        <v>0.21953779999999901</v>
      </c>
      <c r="Z3178">
        <v>-1.30054E-2</v>
      </c>
      <c r="AA3178">
        <v>0.97551730000000003</v>
      </c>
      <c r="AB3178">
        <v>42</v>
      </c>
      <c r="AC3178">
        <v>8.8896999999999995</v>
      </c>
      <c r="AD3178">
        <v>-1.1024409532549999</v>
      </c>
      <c r="AE3178">
        <v>-2.0935000000000001</v>
      </c>
      <c r="AF3178">
        <v>2.0804182621620502</v>
      </c>
      <c r="AG3178">
        <v>-1.1024409532549999</v>
      </c>
      <c r="AH3178">
        <v>8.7580095230305499</v>
      </c>
      <c r="AI3178">
        <v>96.982249829691497</v>
      </c>
      <c r="AJ3178">
        <v>76.637360196445101</v>
      </c>
      <c r="AK3178">
        <v>9.0689716620157697</v>
      </c>
    </row>
    <row r="3179" spans="1:37" x14ac:dyDescent="0.2">
      <c r="A3179" t="str">
        <f>"20200111153712758"</f>
        <v>20200111153712758</v>
      </c>
      <c r="B3179" t="str">
        <f>"1578728232746197"</f>
        <v>1578728232746197</v>
      </c>
      <c r="C3179" t="s">
        <v>37</v>
      </c>
      <c r="D3179">
        <v>6.0647799999999998</v>
      </c>
      <c r="E3179">
        <v>0.48482690000000001</v>
      </c>
      <c r="F3179" t="s">
        <v>48</v>
      </c>
      <c r="G3179">
        <v>-316.54700000000003</v>
      </c>
      <c r="H3179" s="1">
        <v>3.8089530000000001E-6</v>
      </c>
      <c r="I3179">
        <v>214.01150000000001</v>
      </c>
      <c r="J3179">
        <v>-325.35169999999999</v>
      </c>
      <c r="K3179">
        <v>1.102344</v>
      </c>
      <c r="L3179">
        <v>216.13040000000001</v>
      </c>
      <c r="M3179">
        <v>0.9998956</v>
      </c>
      <c r="N3179">
        <v>0</v>
      </c>
      <c r="O3179">
        <v>-1.087635E-3</v>
      </c>
      <c r="P3179">
        <v>0.99742609999999998</v>
      </c>
      <c r="Q3179">
        <v>6.7465239999999996E-2</v>
      </c>
      <c r="R3179">
        <v>2.4288830000000001E-2</v>
      </c>
      <c r="S3179">
        <v>3.05017099999999</v>
      </c>
      <c r="T3179">
        <v>-0.35674149999999999</v>
      </c>
      <c r="U3179">
        <v>-0.68615719999999902</v>
      </c>
      <c r="V3179">
        <v>-2.4947420000000001E-2</v>
      </c>
      <c r="W3179">
        <v>8.1961450000000005E-2</v>
      </c>
      <c r="X3179">
        <v>0.99632319999999996</v>
      </c>
      <c r="Y3179">
        <v>0.2170098</v>
      </c>
      <c r="Z3179">
        <v>-1.2367619999999999E-2</v>
      </c>
      <c r="AA3179">
        <v>0.97609109999999999</v>
      </c>
      <c r="AB3179">
        <v>42</v>
      </c>
      <c r="AC3179">
        <v>8.8046999999999596</v>
      </c>
      <c r="AD3179">
        <v>-1.1023401910470001</v>
      </c>
      <c r="AE3179">
        <v>-2.1188999999999898</v>
      </c>
      <c r="AF3179">
        <v>2.0785245873910099</v>
      </c>
      <c r="AG3179">
        <v>-1.1023401910470001</v>
      </c>
      <c r="AH3179">
        <v>8.6784142033751799</v>
      </c>
      <c r="AI3179">
        <v>97.041925226603198</v>
      </c>
      <c r="AJ3179">
        <v>76.531080291044802</v>
      </c>
      <c r="AK3179">
        <v>8.9916790113154406</v>
      </c>
    </row>
    <row r="3180" spans="1:37" x14ac:dyDescent="0.2">
      <c r="A3180" t="str">
        <f>"20200111153712780"</f>
        <v>20200111153712780</v>
      </c>
      <c r="B3180" t="str">
        <f>"1578728232776453"</f>
        <v>1578728232776453</v>
      </c>
      <c r="C3180" t="s">
        <v>37</v>
      </c>
      <c r="D3180">
        <v>5.4313419999999999</v>
      </c>
      <c r="E3180">
        <v>0.48770530000000001</v>
      </c>
      <c r="F3180" t="s">
        <v>48</v>
      </c>
      <c r="G3180">
        <v>-311.6071</v>
      </c>
      <c r="H3180" s="1">
        <v>1.6183499999999999E-6</v>
      </c>
      <c r="I3180">
        <v>216.94329999999999</v>
      </c>
      <c r="J3180">
        <v>-324.95299999999997</v>
      </c>
      <c r="K3180">
        <v>1.1022780000000001</v>
      </c>
      <c r="L3180">
        <v>216.1283</v>
      </c>
      <c r="M3180">
        <v>0.99989150000000004</v>
      </c>
      <c r="N3180">
        <v>0</v>
      </c>
      <c r="O3180">
        <v>-3.0878759999999998E-3</v>
      </c>
      <c r="P3180">
        <v>0.99750039999999995</v>
      </c>
      <c r="Q3180">
        <v>6.7106570000000004E-2</v>
      </c>
      <c r="R3180">
        <v>2.2142080000000001E-2</v>
      </c>
      <c r="S3180">
        <v>3.019806</v>
      </c>
      <c r="T3180">
        <v>-0.24219560000000001</v>
      </c>
      <c r="U3180">
        <v>0.17860409999999999</v>
      </c>
      <c r="V3180">
        <v>-2.4786140000000002E-2</v>
      </c>
      <c r="W3180">
        <v>8.1605499999999997E-2</v>
      </c>
      <c r="X3180">
        <v>0.99635640000000003</v>
      </c>
      <c r="Y3180">
        <v>-6.191559E-2</v>
      </c>
      <c r="Z3180">
        <v>2.72383E-3</v>
      </c>
      <c r="AA3180">
        <v>0.99807769999999996</v>
      </c>
      <c r="AB3180">
        <v>42</v>
      </c>
      <c r="AC3180">
        <v>13.345899999999901</v>
      </c>
      <c r="AD3180">
        <v>-1.1022763816500001</v>
      </c>
      <c r="AE3180">
        <v>0.81499999999999695</v>
      </c>
      <c r="AF3180">
        <v>-0.850431139268222</v>
      </c>
      <c r="AG3180">
        <v>-1.1022763816500001</v>
      </c>
      <c r="AH3180">
        <v>13.253247233012999</v>
      </c>
      <c r="AI3180">
        <v>94.744650817535302</v>
      </c>
      <c r="AJ3180">
        <v>93.671507994756595</v>
      </c>
      <c r="AK3180">
        <v>13.326170063583399</v>
      </c>
    </row>
    <row r="3181" spans="1:37" x14ac:dyDescent="0.2">
      <c r="A3181" t="str">
        <f>"20200111153712803"</f>
        <v>20200111153712803</v>
      </c>
      <c r="B3181" t="str">
        <f>"1578728232795974"</f>
        <v>1578728232795974</v>
      </c>
      <c r="C3181" t="s">
        <v>37</v>
      </c>
      <c r="D3181">
        <v>5.6047060000000002</v>
      </c>
      <c r="E3181">
        <v>0.48854179999999903</v>
      </c>
      <c r="F3181" t="s">
        <v>48</v>
      </c>
      <c r="G3181">
        <v>-307.65629999999999</v>
      </c>
      <c r="H3181" s="1">
        <v>1.2951629999999999E-6</v>
      </c>
      <c r="I3181">
        <v>216.99420000000001</v>
      </c>
      <c r="J3181">
        <v>-324.50889999999998</v>
      </c>
      <c r="K3181">
        <v>1.1022239999999901</v>
      </c>
      <c r="L3181">
        <v>216.125</v>
      </c>
      <c r="M3181">
        <v>0.99988189999999999</v>
      </c>
      <c r="N3181">
        <v>0</v>
      </c>
      <c r="O3181">
        <v>-5.356314E-3</v>
      </c>
      <c r="P3181">
        <v>0.99755329999999998</v>
      </c>
      <c r="Q3181">
        <v>6.7052669999999995E-2</v>
      </c>
      <c r="R3181">
        <v>1.9785759999999999E-2</v>
      </c>
      <c r="S3181">
        <v>3.01709</v>
      </c>
      <c r="T3181">
        <v>-0.19227179999999999</v>
      </c>
      <c r="U3181">
        <v>0.15104679999999901</v>
      </c>
      <c r="V3181">
        <v>-2.4681249999999998E-2</v>
      </c>
      <c r="W3181">
        <v>8.1553210000000001E-2</v>
      </c>
      <c r="X3181">
        <v>0.99636329999999995</v>
      </c>
      <c r="Y3181">
        <v>-5.522796E-2</v>
      </c>
      <c r="Z3181">
        <v>2.097724E-3</v>
      </c>
      <c r="AA3181">
        <v>0.99847160000000001</v>
      </c>
      <c r="AB3181">
        <v>42</v>
      </c>
      <c r="AC3181">
        <v>16.852599999999899</v>
      </c>
      <c r="AD3181">
        <v>-1.1022227048369999</v>
      </c>
      <c r="AE3181">
        <v>0.86920000000000597</v>
      </c>
      <c r="AF3181">
        <v>-0.95538873998171603</v>
      </c>
      <c r="AG3181">
        <v>-1.1022227048369999</v>
      </c>
      <c r="AH3181">
        <v>16.776130045419201</v>
      </c>
      <c r="AI3181">
        <v>93.752972236262494</v>
      </c>
      <c r="AJ3181">
        <v>93.259433470393603</v>
      </c>
      <c r="AK3181">
        <v>16.8394240351729</v>
      </c>
    </row>
    <row r="3182" spans="1:37" x14ac:dyDescent="0.2">
      <c r="A3182" t="str">
        <f>"20200111153712827"</f>
        <v>20200111153712827</v>
      </c>
      <c r="B3182" t="str">
        <f>"1578728232816316"</f>
        <v>1578728232816316</v>
      </c>
      <c r="C3182" t="s">
        <v>37</v>
      </c>
      <c r="D3182">
        <v>5.5184470000000001</v>
      </c>
      <c r="E3182">
        <v>0.48993969999999998</v>
      </c>
      <c r="F3182" t="s">
        <v>48</v>
      </c>
      <c r="G3182">
        <v>-306.1909</v>
      </c>
      <c r="H3182" s="1">
        <v>1.555103E-6</v>
      </c>
      <c r="I3182">
        <v>216.95859999999999</v>
      </c>
      <c r="J3182">
        <v>-324.07319999999999</v>
      </c>
      <c r="K3182">
        <v>1.102177</v>
      </c>
      <c r="L3182">
        <v>216.1207</v>
      </c>
      <c r="M3182">
        <v>0.99986730000000001</v>
      </c>
      <c r="N3182">
        <v>0</v>
      </c>
      <c r="O3182">
        <v>-7.608676E-3</v>
      </c>
      <c r="P3182">
        <v>0.99761999999999995</v>
      </c>
      <c r="Q3182">
        <v>6.6524769999999997E-2</v>
      </c>
      <c r="R3182">
        <v>1.8131899999999999E-2</v>
      </c>
      <c r="S3182">
        <v>3.0168459999999899</v>
      </c>
      <c r="T3182">
        <v>-0.18152760000000001</v>
      </c>
      <c r="U3182">
        <v>0.13729859999999999</v>
      </c>
      <c r="V3182">
        <v>-2.5267660000000001E-2</v>
      </c>
      <c r="W3182">
        <v>8.1030909999999998E-2</v>
      </c>
      <c r="X3182">
        <v>0.99639120000000003</v>
      </c>
      <c r="Y3182">
        <v>-5.2954540000000001E-2</v>
      </c>
      <c r="Z3182">
        <v>2.0481499999999999E-3</v>
      </c>
      <c r="AA3182">
        <v>0.9985948</v>
      </c>
      <c r="AB3182">
        <v>42</v>
      </c>
      <c r="AC3182">
        <v>17.882299999999901</v>
      </c>
      <c r="AD3182">
        <v>-1.102175444897</v>
      </c>
      <c r="AE3182">
        <v>0.83789999999998999</v>
      </c>
      <c r="AF3182">
        <v>-0.97027261839140599</v>
      </c>
      <c r="AG3182">
        <v>-1.102175444897</v>
      </c>
      <c r="AH3182">
        <v>17.807904537322099</v>
      </c>
      <c r="AI3182">
        <v>93.536428386569796</v>
      </c>
      <c r="AJ3182">
        <v>93.118705613073303</v>
      </c>
      <c r="AK3182">
        <v>17.868343059044701</v>
      </c>
    </row>
    <row r="3183" spans="1:37" x14ac:dyDescent="0.2">
      <c r="A3183" t="str">
        <f>"20200111153712847"</f>
        <v>20200111153712847</v>
      </c>
      <c r="B3183" t="str">
        <f>"1578728232835836"</f>
        <v>1578728232835836</v>
      </c>
      <c r="C3183" t="s">
        <v>37</v>
      </c>
      <c r="D3183">
        <v>5.6153139999999997</v>
      </c>
      <c r="E3183">
        <v>0.49146780000000001</v>
      </c>
      <c r="F3183" t="s">
        <v>48</v>
      </c>
      <c r="G3183">
        <v>-305.41140000000001</v>
      </c>
      <c r="H3183" s="1">
        <v>1.69337E-6</v>
      </c>
      <c r="I3183">
        <v>216.87029999999999</v>
      </c>
      <c r="J3183">
        <v>-323.67559999999997</v>
      </c>
      <c r="K3183">
        <v>1.1021399999999999</v>
      </c>
      <c r="L3183">
        <v>216.11599999999899</v>
      </c>
      <c r="M3183">
        <v>0.99984949999999995</v>
      </c>
      <c r="N3183">
        <v>0</v>
      </c>
      <c r="O3183">
        <v>-9.6794399999999992E-3</v>
      </c>
      <c r="P3183">
        <v>0.9976159</v>
      </c>
      <c r="Q3183">
        <v>6.696742E-2</v>
      </c>
      <c r="R3183">
        <v>1.6675229999999999E-2</v>
      </c>
      <c r="S3183">
        <v>3.0168459999999899</v>
      </c>
      <c r="T3183">
        <v>-0.17817620000000001</v>
      </c>
      <c r="U3183">
        <v>0.1211853</v>
      </c>
      <c r="V3183">
        <v>-2.5867250000000001E-2</v>
      </c>
      <c r="W3183">
        <v>8.1477649999999999E-2</v>
      </c>
      <c r="X3183">
        <v>0.99633939999999999</v>
      </c>
      <c r="Y3183">
        <v>-4.9704610000000003E-2</v>
      </c>
      <c r="Z3183">
        <v>2.0369450000000001E-3</v>
      </c>
      <c r="AA3183">
        <v>0.99876189999999998</v>
      </c>
      <c r="AB3183">
        <v>42</v>
      </c>
      <c r="AC3183">
        <v>18.264199999999899</v>
      </c>
      <c r="AD3183">
        <v>-1.1021383066299999</v>
      </c>
      <c r="AE3183">
        <v>0.75429999999999997</v>
      </c>
      <c r="AF3183">
        <v>-0.92769782349525898</v>
      </c>
      <c r="AG3183">
        <v>-1.1021383066299999</v>
      </c>
      <c r="AH3183">
        <v>18.189917879693699</v>
      </c>
      <c r="AI3183">
        <v>93.462857849271302</v>
      </c>
      <c r="AJ3183">
        <v>92.919592990908797</v>
      </c>
      <c r="AK3183">
        <v>18.246874926097899</v>
      </c>
    </row>
    <row r="3184" spans="1:37" x14ac:dyDescent="0.2">
      <c r="A3184" t="str">
        <f>"20200111153712891"</f>
        <v>20200111153712891</v>
      </c>
      <c r="B3184" t="str">
        <f>"1578728232886588"</f>
        <v>1578728232886588</v>
      </c>
      <c r="C3184" t="s">
        <v>37</v>
      </c>
      <c r="D3184">
        <v>5.5810370000000002</v>
      </c>
      <c r="E3184">
        <v>0.4931352</v>
      </c>
      <c r="F3184" t="s">
        <v>48</v>
      </c>
      <c r="G3184">
        <v>-303.93639999999999</v>
      </c>
      <c r="H3184" s="1">
        <v>1.9550010000000002E-6</v>
      </c>
      <c r="I3184">
        <v>216.8032</v>
      </c>
      <c r="J3184">
        <v>-322.85449999999997</v>
      </c>
      <c r="K3184">
        <v>1.1020920000000001</v>
      </c>
      <c r="L3184">
        <v>216.1035</v>
      </c>
      <c r="M3184">
        <v>0.99979859999999898</v>
      </c>
      <c r="N3184">
        <v>0</v>
      </c>
      <c r="O3184">
        <v>-1.398574E-2</v>
      </c>
      <c r="P3184">
        <v>0.99759019999999998</v>
      </c>
      <c r="Q3184">
        <v>6.7818219999999999E-2</v>
      </c>
      <c r="R3184">
        <v>1.465207E-2</v>
      </c>
      <c r="S3184">
        <v>3.016724</v>
      </c>
      <c r="T3184">
        <v>-0.1684387</v>
      </c>
      <c r="U3184">
        <v>0.1050262</v>
      </c>
      <c r="V3184">
        <v>-2.8123289999999999E-2</v>
      </c>
      <c r="W3184">
        <v>8.2340199999999905E-2</v>
      </c>
      <c r="X3184">
        <v>0.99620739999999997</v>
      </c>
      <c r="Y3184">
        <v>-4.867142E-2</v>
      </c>
      <c r="Z3184">
        <v>2.1374760000000001E-3</v>
      </c>
      <c r="AA3184">
        <v>0.99881260000000005</v>
      </c>
      <c r="AB3184">
        <v>42</v>
      </c>
      <c r="AC3184">
        <v>18.9180999999999</v>
      </c>
      <c r="AD3184">
        <v>-1.1020900449990001</v>
      </c>
      <c r="AE3184">
        <v>0.69970000000000698</v>
      </c>
      <c r="AF3184">
        <v>-0.96098570444197495</v>
      </c>
      <c r="AG3184">
        <v>-1.1020900449990001</v>
      </c>
      <c r="AH3184">
        <v>18.8426028703703</v>
      </c>
      <c r="AI3184">
        <v>93.3430395071546</v>
      </c>
      <c r="AJ3184">
        <v>92.919594554123805</v>
      </c>
      <c r="AK3184">
        <v>18.899253395886198</v>
      </c>
    </row>
    <row r="3185" spans="1:37" x14ac:dyDescent="0.2">
      <c r="A3185" t="str">
        <f>"20200111153712914"</f>
        <v>20200111153712914</v>
      </c>
      <c r="B3185" t="str">
        <f>"1578728232906108"</f>
        <v>1578728232906108</v>
      </c>
      <c r="C3185" t="s">
        <v>37</v>
      </c>
      <c r="D3185">
        <v>5.6112349999999998</v>
      </c>
      <c r="E3185">
        <v>0.49358859999999899</v>
      </c>
      <c r="F3185" t="s">
        <v>48</v>
      </c>
      <c r="G3185">
        <v>-303.17230000000001</v>
      </c>
      <c r="H3185" s="1">
        <v>2.09054E-6</v>
      </c>
      <c r="I3185">
        <v>216.66</v>
      </c>
      <c r="J3185">
        <v>-322.40820000000002</v>
      </c>
      <c r="K3185">
        <v>1.1020729999999901</v>
      </c>
      <c r="L3185">
        <v>216.09530000000001</v>
      </c>
      <c r="M3185">
        <v>0.99976299999999996</v>
      </c>
      <c r="N3185">
        <v>0</v>
      </c>
      <c r="O3185">
        <v>-1.6335869999999999E-2</v>
      </c>
      <c r="P3185">
        <v>0.99764519999999901</v>
      </c>
      <c r="Q3185">
        <v>6.7247680000000004E-2</v>
      </c>
      <c r="R3185">
        <v>1.349653E-2</v>
      </c>
      <c r="S3185">
        <v>3.0175169999999998</v>
      </c>
      <c r="T3185">
        <v>-0.1689639</v>
      </c>
      <c r="U3185">
        <v>8.5311890000000001E-2</v>
      </c>
      <c r="V3185">
        <v>-2.9311730000000001E-2</v>
      </c>
      <c r="W3185">
        <v>8.1776100000000004E-2</v>
      </c>
      <c r="X3185">
        <v>0.99621959999999998</v>
      </c>
      <c r="Y3185">
        <v>-4.4492959999999998E-2</v>
      </c>
      <c r="Z3185">
        <v>2.1583890000000001E-3</v>
      </c>
      <c r="AA3185">
        <v>0.99900730000000004</v>
      </c>
      <c r="AB3185">
        <v>42</v>
      </c>
      <c r="AC3185">
        <v>19.235900000000001</v>
      </c>
      <c r="AD3185">
        <v>-1.1020709094600001</v>
      </c>
      <c r="AE3185">
        <v>0.56469999999998699</v>
      </c>
      <c r="AF3185">
        <v>-0.87601934761356204</v>
      </c>
      <c r="AG3185">
        <v>-1.1020709094600001</v>
      </c>
      <c r="AH3185">
        <v>19.1612656725238</v>
      </c>
      <c r="AI3185">
        <v>93.288344985803704</v>
      </c>
      <c r="AJ3185">
        <v>92.617639469222695</v>
      </c>
      <c r="AK3185">
        <v>19.2129142078944</v>
      </c>
    </row>
    <row r="3186" spans="1:37" x14ac:dyDescent="0.2">
      <c r="A3186" t="str">
        <f>"20200111153712936"</f>
        <v>20200111153712936</v>
      </c>
      <c r="B3186" t="str">
        <f>"1578728232925630"</f>
        <v>1578728232925630</v>
      </c>
      <c r="C3186" t="s">
        <v>37</v>
      </c>
      <c r="D3186">
        <v>5.5903229999999997</v>
      </c>
      <c r="E3186">
        <v>0.49412089999999997</v>
      </c>
      <c r="F3186" t="s">
        <v>48</v>
      </c>
      <c r="G3186">
        <v>-303.50330000000002</v>
      </c>
      <c r="H3186" s="1">
        <v>2.0318339999999998E-6</v>
      </c>
      <c r="I3186">
        <v>216.5831</v>
      </c>
      <c r="J3186">
        <v>-322.01249999999999</v>
      </c>
      <c r="K3186">
        <v>1.102066</v>
      </c>
      <c r="L3186">
        <v>216.08709999999999</v>
      </c>
      <c r="M3186">
        <v>0.99972669999999997</v>
      </c>
      <c r="N3186">
        <v>0</v>
      </c>
      <c r="O3186">
        <v>-1.8420240000000001E-2</v>
      </c>
      <c r="P3186">
        <v>0.99760859999999996</v>
      </c>
      <c r="Q3186">
        <v>6.7953379999999994E-2</v>
      </c>
      <c r="R3186">
        <v>1.2631939999999999E-2</v>
      </c>
      <c r="S3186">
        <v>3.0178829999999999</v>
      </c>
      <c r="T3186">
        <v>-0.17592920000000001</v>
      </c>
      <c r="U3186">
        <v>7.7865599999999993E-2</v>
      </c>
      <c r="V3186">
        <v>-3.0518880000000002E-2</v>
      </c>
      <c r="W3186">
        <v>8.2487050000000006E-2</v>
      </c>
      <c r="X3186">
        <v>0.99612469999999997</v>
      </c>
      <c r="Y3186">
        <v>-4.409838E-2</v>
      </c>
      <c r="Z3186">
        <v>2.3569260000000001E-3</v>
      </c>
      <c r="AA3186">
        <v>0.99902440000000003</v>
      </c>
      <c r="AB3186">
        <v>42</v>
      </c>
      <c r="AC3186">
        <v>18.5091999999999</v>
      </c>
      <c r="AD3186">
        <v>-1.1020639681660001</v>
      </c>
      <c r="AE3186">
        <v>0.49600000000000899</v>
      </c>
      <c r="AF3186">
        <v>-0.83394071607539799</v>
      </c>
      <c r="AG3186">
        <v>-1.1020639681660001</v>
      </c>
      <c r="AH3186">
        <v>18.431625020942899</v>
      </c>
      <c r="AI3186">
        <v>93.418267493887001</v>
      </c>
      <c r="AJ3186">
        <v>92.590586487686593</v>
      </c>
      <c r="AK3186">
        <v>18.483365576120299</v>
      </c>
    </row>
    <row r="3187" spans="1:37" x14ac:dyDescent="0.2">
      <c r="A3187" t="str">
        <f>"20200111153712958"</f>
        <v>20200111153712958</v>
      </c>
      <c r="B3187" t="str">
        <f>"1578728232946124"</f>
        <v>1578728232946124</v>
      </c>
      <c r="C3187" t="s">
        <v>37</v>
      </c>
      <c r="D3187">
        <v>5.9626049999999999</v>
      </c>
      <c r="E3187">
        <v>0.49443100000000001</v>
      </c>
      <c r="F3187" t="s">
        <v>48</v>
      </c>
      <c r="G3187">
        <v>-303.6807</v>
      </c>
      <c r="H3187" s="1">
        <v>2.0003589999999999E-6</v>
      </c>
      <c r="I3187">
        <v>216.51750000000001</v>
      </c>
      <c r="J3187">
        <v>-321.6035</v>
      </c>
      <c r="K3187">
        <v>1.1020639999999999</v>
      </c>
      <c r="L3187">
        <v>216.0778</v>
      </c>
      <c r="M3187">
        <v>0.99968480000000004</v>
      </c>
      <c r="N3187">
        <v>0</v>
      </c>
      <c r="O3187">
        <v>-2.0568719999999999E-2</v>
      </c>
      <c r="P3187">
        <v>0.99753519999999896</v>
      </c>
      <c r="Q3187">
        <v>6.927709E-2</v>
      </c>
      <c r="R3187">
        <v>1.115706E-2</v>
      </c>
      <c r="S3187">
        <v>3.0186160000000002</v>
      </c>
      <c r="T3187">
        <v>-0.18147240000000001</v>
      </c>
      <c r="U3187">
        <v>7.0861820000000006E-2</v>
      </c>
      <c r="V3187">
        <v>-3.1176599999999902E-2</v>
      </c>
      <c r="W3187">
        <v>8.381139E-2</v>
      </c>
      <c r="X3187">
        <v>0.99599380000000004</v>
      </c>
      <c r="Y3187">
        <v>-4.3912340000000001E-2</v>
      </c>
      <c r="Z3187">
        <v>2.5539809999999999E-3</v>
      </c>
      <c r="AA3187">
        <v>0.99903209999999998</v>
      </c>
      <c r="AB3187">
        <v>42</v>
      </c>
      <c r="AC3187">
        <v>17.922799999999899</v>
      </c>
      <c r="AD3187">
        <v>-1.1020619996409999</v>
      </c>
      <c r="AE3187">
        <v>0.43970000000001602</v>
      </c>
      <c r="AF3187">
        <v>-0.80525143658685205</v>
      </c>
      <c r="AG3187">
        <v>-1.1020619996409999</v>
      </c>
      <c r="AH3187">
        <v>17.8425414041373</v>
      </c>
      <c r="AI3187">
        <v>93.530854786904499</v>
      </c>
      <c r="AJ3187">
        <v>92.584061404982094</v>
      </c>
      <c r="AK3187">
        <v>17.894671114204101</v>
      </c>
    </row>
    <row r="3188" spans="1:37" x14ac:dyDescent="0.2">
      <c r="A3188" t="str">
        <f>"20200111153712981"</f>
        <v>20200111153712981</v>
      </c>
      <c r="B3188" t="str">
        <f>"1578728232976380"</f>
        <v>1578728232976380</v>
      </c>
      <c r="C3188" t="s">
        <v>37</v>
      </c>
      <c r="D3188">
        <v>5.6878169999999999</v>
      </c>
      <c r="E3188">
        <v>0.49474299999999999</v>
      </c>
      <c r="F3188" t="s">
        <v>48</v>
      </c>
      <c r="G3188">
        <v>-302.83269999999999</v>
      </c>
      <c r="H3188" s="1">
        <v>2.150792E-6</v>
      </c>
      <c r="I3188">
        <v>216.47970000000001</v>
      </c>
      <c r="J3188">
        <v>-321.18180000000001</v>
      </c>
      <c r="K3188">
        <v>1.1020620000000001</v>
      </c>
      <c r="L3188">
        <v>216.06720000000001</v>
      </c>
      <c r="M3188">
        <v>0.999637199999999</v>
      </c>
      <c r="N3188">
        <v>0</v>
      </c>
      <c r="O3188">
        <v>-2.2767269999999999E-2</v>
      </c>
      <c r="P3188">
        <v>0.99747809999999903</v>
      </c>
      <c r="Q3188">
        <v>7.0395070000000004E-2</v>
      </c>
      <c r="R3188">
        <v>9.0494849999999995E-3</v>
      </c>
      <c r="S3188">
        <v>3.019012</v>
      </c>
      <c r="T3188">
        <v>-0.17724989999999999</v>
      </c>
      <c r="U3188">
        <v>6.4636230000000003E-2</v>
      </c>
      <c r="V3188">
        <v>-3.1254850000000001E-2</v>
      </c>
      <c r="W3188">
        <v>8.4926539999999995E-2</v>
      </c>
      <c r="X3188">
        <v>0.99589689999999997</v>
      </c>
      <c r="Y3188">
        <v>-4.4048660000000003E-2</v>
      </c>
      <c r="Z3188">
        <v>2.6273400000000001E-3</v>
      </c>
      <c r="AA3188">
        <v>0.99902590000000002</v>
      </c>
      <c r="AB3188">
        <v>42</v>
      </c>
      <c r="AC3188">
        <v>18.3491</v>
      </c>
      <c r="AD3188">
        <v>-1.102059849208</v>
      </c>
      <c r="AE3188">
        <v>0.41249999999999398</v>
      </c>
      <c r="AF3188">
        <v>-0.82721275094517899</v>
      </c>
      <c r="AG3188">
        <v>-1.102059849208</v>
      </c>
      <c r="AH3188">
        <v>18.2690817595272</v>
      </c>
      <c r="AI3188">
        <v>93.4485891633487</v>
      </c>
      <c r="AJ3188">
        <v>92.592546749383899</v>
      </c>
      <c r="AK3188">
        <v>18.320976097982701</v>
      </c>
    </row>
    <row r="3189" spans="1:37" x14ac:dyDescent="0.2">
      <c r="A3189" t="str">
        <f>"20200111153713003"</f>
        <v>20200111153713003</v>
      </c>
      <c r="B3189" t="str">
        <f>"1578728232995903"</f>
        <v>1578728232995903</v>
      </c>
      <c r="C3189" t="s">
        <v>37</v>
      </c>
      <c r="D3189">
        <v>5.4862089999999997</v>
      </c>
      <c r="E3189">
        <v>0.49477890000000002</v>
      </c>
      <c r="F3189" t="s">
        <v>48</v>
      </c>
      <c r="G3189">
        <v>-301.7364</v>
      </c>
      <c r="H3189" s="1">
        <v>2.3452500000000001E-6</v>
      </c>
      <c r="I3189">
        <v>216.42930000000001</v>
      </c>
      <c r="J3189">
        <v>-320.75900000000001</v>
      </c>
      <c r="K3189">
        <v>1.1020779999999999</v>
      </c>
      <c r="L3189">
        <v>216.0557</v>
      </c>
      <c r="M3189">
        <v>0.99958539999999996</v>
      </c>
      <c r="N3189">
        <v>0</v>
      </c>
      <c r="O3189">
        <v>-2.4942510000000001E-2</v>
      </c>
      <c r="P3189">
        <v>0.99749859999999901</v>
      </c>
      <c r="Q3189">
        <v>7.0297999999999999E-2</v>
      </c>
      <c r="R3189">
        <v>7.4153509999999997E-3</v>
      </c>
      <c r="S3189">
        <v>3.0191650000000001</v>
      </c>
      <c r="T3189">
        <v>-0.1711097</v>
      </c>
      <c r="U3189">
        <v>5.621338E-2</v>
      </c>
      <c r="V3189">
        <v>-3.1794580000000003E-2</v>
      </c>
      <c r="W3189">
        <v>8.482961E-2</v>
      </c>
      <c r="X3189">
        <v>0.99588809999999905</v>
      </c>
      <c r="Y3189">
        <v>-4.3440890000000003E-2</v>
      </c>
      <c r="Z3189">
        <v>2.6423699999999998E-3</v>
      </c>
      <c r="AA3189">
        <v>0.99905250000000001</v>
      </c>
      <c r="AB3189">
        <v>42</v>
      </c>
      <c r="AC3189">
        <v>19.022600000000001</v>
      </c>
      <c r="AD3189">
        <v>-1.1020756547499999</v>
      </c>
      <c r="AE3189">
        <v>0.37360000000000998</v>
      </c>
      <c r="AF3189">
        <v>-0.84516853546441895</v>
      </c>
      <c r="AG3189">
        <v>-1.1020756547499999</v>
      </c>
      <c r="AH3189">
        <v>18.9438012872386</v>
      </c>
      <c r="AI3189">
        <v>93.326188495707001</v>
      </c>
      <c r="AJ3189">
        <v>92.554529508171399</v>
      </c>
      <c r="AK3189">
        <v>18.994643661109102</v>
      </c>
    </row>
    <row r="3190" spans="1:37" x14ac:dyDescent="0.2">
      <c r="A3190" t="str">
        <f>"20200111153713027"</f>
        <v>20200111153713027</v>
      </c>
      <c r="B3190" t="str">
        <f>"1578728233016395"</f>
        <v>1578728233016395</v>
      </c>
      <c r="C3190" t="s">
        <v>37</v>
      </c>
      <c r="D3190">
        <v>5.8479269999999897</v>
      </c>
      <c r="E3190">
        <v>0.4944269</v>
      </c>
      <c r="F3190" t="s">
        <v>48</v>
      </c>
      <c r="G3190">
        <v>-301.38959999999997</v>
      </c>
      <c r="H3190" s="1">
        <v>2.4067650000000001E-6</v>
      </c>
      <c r="I3190">
        <v>216.38229999999999</v>
      </c>
      <c r="J3190">
        <v>-320.33519999999999</v>
      </c>
      <c r="K3190">
        <v>1.1020989999999999</v>
      </c>
      <c r="L3190">
        <v>216.04329999999999</v>
      </c>
      <c r="M3190">
        <v>0.99952940000000001</v>
      </c>
      <c r="N3190">
        <v>0</v>
      </c>
      <c r="O3190">
        <v>-2.7091299999999999E-2</v>
      </c>
      <c r="P3190">
        <v>0.99753740000000002</v>
      </c>
      <c r="Q3190">
        <v>6.9881200000000004E-2</v>
      </c>
      <c r="R3190">
        <v>5.9988419999999999E-3</v>
      </c>
      <c r="S3190">
        <v>3.0192570000000001</v>
      </c>
      <c r="T3190">
        <v>-0.1717891</v>
      </c>
      <c r="U3190">
        <v>5.0903320000000002E-2</v>
      </c>
      <c r="V3190">
        <v>-3.2529889999999999E-2</v>
      </c>
      <c r="W3190">
        <v>8.4412459999999995E-2</v>
      </c>
      <c r="X3190">
        <v>0.99589969999999906</v>
      </c>
      <c r="Y3190">
        <v>-4.3826539999999997E-2</v>
      </c>
      <c r="Z3190">
        <v>2.7859079999999902E-3</v>
      </c>
      <c r="AA3190">
        <v>0.99903529999999996</v>
      </c>
      <c r="AB3190">
        <v>42</v>
      </c>
      <c r="AC3190">
        <v>18.945599999999999</v>
      </c>
      <c r="AD3190">
        <v>-1.102096593235</v>
      </c>
      <c r="AE3190">
        <v>0.33899999999999803</v>
      </c>
      <c r="AF3190">
        <v>-0.84931650731313302</v>
      </c>
      <c r="AG3190">
        <v>-1.102096593235</v>
      </c>
      <c r="AH3190">
        <v>18.865640176992301</v>
      </c>
      <c r="AI3190">
        <v>93.339940887319798</v>
      </c>
      <c r="AJ3190">
        <v>92.577671137105298</v>
      </c>
      <c r="AK3190">
        <v>18.916879624244601</v>
      </c>
    </row>
    <row r="3191" spans="1:37" x14ac:dyDescent="0.2">
      <c r="A3191" t="str">
        <f>"20200111153713047"</f>
        <v>20200111153713047</v>
      </c>
      <c r="B3191" t="str">
        <f>"1578728233035919"</f>
        <v>1578728233035919</v>
      </c>
      <c r="C3191" t="s">
        <v>37</v>
      </c>
      <c r="D3191">
        <v>5.6112719999999996</v>
      </c>
      <c r="E3191">
        <v>0.4936509</v>
      </c>
      <c r="F3191" t="s">
        <v>48</v>
      </c>
      <c r="G3191">
        <v>-301.00380000000001</v>
      </c>
      <c r="H3191" s="1">
        <v>2.47521099999999E-6</v>
      </c>
      <c r="I3191">
        <v>216.36179999999999</v>
      </c>
      <c r="J3191">
        <v>-319.94139999999999</v>
      </c>
      <c r="K3191">
        <v>1.102136</v>
      </c>
      <c r="L3191">
        <v>216.0309</v>
      </c>
      <c r="M3191">
        <v>0.99947459999999899</v>
      </c>
      <c r="N3191">
        <v>0</v>
      </c>
      <c r="O3191">
        <v>-2.904497E-2</v>
      </c>
      <c r="P3191">
        <v>0.9975638</v>
      </c>
      <c r="Q3191">
        <v>6.9657380000000005E-2</v>
      </c>
      <c r="R3191">
        <v>3.8273169999999998E-3</v>
      </c>
      <c r="S3191">
        <v>3.0191349999999999</v>
      </c>
      <c r="T3191">
        <v>-0.17212269999999999</v>
      </c>
      <c r="U3191">
        <v>4.974365E-2</v>
      </c>
      <c r="V3191">
        <v>-3.2315869999999997E-2</v>
      </c>
      <c r="W3191">
        <v>8.4182019999999996E-2</v>
      </c>
      <c r="X3191">
        <v>0.99592630000000004</v>
      </c>
      <c r="Y3191">
        <v>-4.5390140000000002E-2</v>
      </c>
      <c r="Z3191">
        <v>2.9472349999999999E-3</v>
      </c>
      <c r="AA3191">
        <v>0.99896499999999999</v>
      </c>
      <c r="AB3191">
        <v>42</v>
      </c>
      <c r="AC3191">
        <v>18.9375999999999</v>
      </c>
      <c r="AD3191">
        <v>-1.1021335247890001</v>
      </c>
      <c r="AE3191">
        <v>0.33089999999998498</v>
      </c>
      <c r="AF3191">
        <v>-0.87788678669861897</v>
      </c>
      <c r="AG3191">
        <v>-1.1021335247890001</v>
      </c>
      <c r="AH3191">
        <v>18.856149929223601</v>
      </c>
      <c r="AI3191">
        <v>93.341495513872104</v>
      </c>
      <c r="AJ3191">
        <v>92.665597854114495</v>
      </c>
      <c r="AK3191">
        <v>18.908722158572299</v>
      </c>
    </row>
    <row r="3192" spans="1:37" x14ac:dyDescent="0.2">
      <c r="A3192" t="str">
        <f>"20200111153713071"</f>
        <v>20200111153713071</v>
      </c>
      <c r="B3192" t="str">
        <f>"1578728233066174"</f>
        <v>1578728233066174</v>
      </c>
      <c r="C3192" t="s">
        <v>37</v>
      </c>
      <c r="D3192">
        <v>5.9269989999999897</v>
      </c>
      <c r="E3192">
        <v>0.49216599999999999</v>
      </c>
      <c r="F3192" t="s">
        <v>48</v>
      </c>
      <c r="G3192">
        <v>-300.4982</v>
      </c>
      <c r="H3192" s="1">
        <v>2.5648789999999998E-6</v>
      </c>
      <c r="I3192">
        <v>216.35140000000001</v>
      </c>
      <c r="J3192">
        <v>-319.52839999999998</v>
      </c>
      <c r="K3192">
        <v>1.1021909999999999</v>
      </c>
      <c r="L3192">
        <v>216.0172</v>
      </c>
      <c r="M3192">
        <v>0.99941519999999995</v>
      </c>
      <c r="N3192">
        <v>0</v>
      </c>
      <c r="O3192">
        <v>-3.1026829999999998E-2</v>
      </c>
      <c r="P3192">
        <v>0.99757289999999998</v>
      </c>
      <c r="Q3192">
        <v>6.9625629999999994E-2</v>
      </c>
      <c r="R3192">
        <v>8.7535909999999996E-4</v>
      </c>
      <c r="S3192">
        <v>3.019104</v>
      </c>
      <c r="T3192">
        <v>-0.17113729999999999</v>
      </c>
      <c r="U3192">
        <v>4.9758910000000003E-2</v>
      </c>
      <c r="V3192">
        <v>-3.135288E-2</v>
      </c>
      <c r="W3192">
        <v>8.4137809999999993E-2</v>
      </c>
      <c r="X3192">
        <v>0.99596079999999998</v>
      </c>
      <c r="Y3192">
        <v>-4.7371179999999999E-2</v>
      </c>
      <c r="Z3192">
        <v>3.0987479999999902E-3</v>
      </c>
      <c r="AA3192">
        <v>0.9988726</v>
      </c>
      <c r="AB3192">
        <v>42</v>
      </c>
      <c r="AC3192">
        <v>19.030199999999901</v>
      </c>
      <c r="AD3192">
        <v>-1.1021884351209901</v>
      </c>
      <c r="AE3192">
        <v>0.33420000000000899</v>
      </c>
      <c r="AF3192">
        <v>-0.92145679399982205</v>
      </c>
      <c r="AG3192">
        <v>-1.1021884351209901</v>
      </c>
      <c r="AH3192">
        <v>18.947127682920499</v>
      </c>
      <c r="AI3192">
        <v>93.325325073895698</v>
      </c>
      <c r="AJ3192">
        <v>92.784275356164301</v>
      </c>
      <c r="AK3192">
        <v>19.001514397610901</v>
      </c>
    </row>
    <row r="3193" spans="1:37" x14ac:dyDescent="0.2">
      <c r="A3193" t="str">
        <f>"20200111153713093"</f>
        <v>20200111153713093</v>
      </c>
      <c r="B3193" t="str">
        <f>"1578728233085691"</f>
        <v>1578728233085691</v>
      </c>
      <c r="C3193" t="s">
        <v>37</v>
      </c>
      <c r="D3193">
        <v>7.4594319999999996</v>
      </c>
      <c r="E3193">
        <v>0.49175679999999999</v>
      </c>
      <c r="F3193" t="s">
        <v>48</v>
      </c>
      <c r="G3193">
        <v>-299.82670000000002</v>
      </c>
      <c r="H3193" s="1">
        <v>2.6375070000000001E-6</v>
      </c>
      <c r="I3193">
        <v>216.36269999999999</v>
      </c>
      <c r="J3193">
        <v>-319.10199999999998</v>
      </c>
      <c r="K3193">
        <v>1.1022639999999999</v>
      </c>
      <c r="L3193">
        <v>216.00229999999999</v>
      </c>
      <c r="M3193">
        <v>0.99935260000000004</v>
      </c>
      <c r="N3193">
        <v>0</v>
      </c>
      <c r="O3193">
        <v>-3.297725E-2</v>
      </c>
      <c r="P3193">
        <v>0.99757569999999995</v>
      </c>
      <c r="Q3193">
        <v>6.9560620000000004E-2</v>
      </c>
      <c r="R3193">
        <v>-2.06288E-3</v>
      </c>
      <c r="S3193">
        <v>3.019012</v>
      </c>
      <c r="T3193">
        <v>-0.16889509999999999</v>
      </c>
      <c r="U3193">
        <v>5.2948000000000002E-2</v>
      </c>
      <c r="V3193">
        <v>-3.0377609999999999E-2</v>
      </c>
      <c r="W3193">
        <v>8.4058469999999996E-2</v>
      </c>
      <c r="X3193">
        <v>0.99599769999999899</v>
      </c>
      <c r="Y3193">
        <v>-5.0371249999999999E-2</v>
      </c>
      <c r="Z3193">
        <v>3.251136E-3</v>
      </c>
      <c r="AA3193">
        <v>0.99872530000000004</v>
      </c>
      <c r="AB3193">
        <v>41</v>
      </c>
      <c r="AC3193">
        <v>19.275300000000001</v>
      </c>
      <c r="AD3193">
        <v>-1.102261362493</v>
      </c>
      <c r="AE3193">
        <v>0.360399999999998</v>
      </c>
      <c r="AF3193">
        <v>-0.99267104497685099</v>
      </c>
      <c r="AG3193">
        <v>-1.102261362493</v>
      </c>
      <c r="AH3193">
        <v>19.190195043684501</v>
      </c>
      <c r="AI3193">
        <v>93.283007735541503</v>
      </c>
      <c r="AJ3193">
        <v>92.961158717042906</v>
      </c>
      <c r="AK3193">
        <v>19.247440394229901</v>
      </c>
    </row>
    <row r="3194" spans="1:37" x14ac:dyDescent="0.2">
      <c r="A3194" t="str">
        <f>"20200111153713137"</f>
        <v>20200111153713137</v>
      </c>
      <c r="B3194" t="str">
        <f>"1578728233125708"</f>
        <v>1578728233125708</v>
      </c>
      <c r="C3194" t="s">
        <v>37</v>
      </c>
      <c r="D3194">
        <v>5.6359250000000003</v>
      </c>
      <c r="E3194">
        <v>0.49058220000000002</v>
      </c>
      <c r="F3194" t="s">
        <v>48</v>
      </c>
      <c r="G3194">
        <v>-299.24770000000001</v>
      </c>
      <c r="H3194" s="1">
        <v>2.53479E-6</v>
      </c>
      <c r="I3194">
        <v>216.31639999999999</v>
      </c>
      <c r="J3194">
        <v>-318.28570000000002</v>
      </c>
      <c r="K3194">
        <v>1.1024670000000001</v>
      </c>
      <c r="L3194">
        <v>215.9717</v>
      </c>
      <c r="M3194">
        <v>0.99923580000000001</v>
      </c>
      <c r="N3194">
        <v>0</v>
      </c>
      <c r="O3194">
        <v>-3.6349230000000003E-2</v>
      </c>
      <c r="P3194">
        <v>0.99756089999999997</v>
      </c>
      <c r="Q3194">
        <v>6.9510470000000005E-2</v>
      </c>
      <c r="R3194">
        <v>-6.3794450000000001E-3</v>
      </c>
      <c r="S3194">
        <v>3.0190730000000001</v>
      </c>
      <c r="T3194">
        <v>-0.16761119999999999</v>
      </c>
      <c r="U3194">
        <v>4.7760009999999999E-2</v>
      </c>
      <c r="V3194">
        <v>-2.946878E-2</v>
      </c>
      <c r="W3194">
        <v>8.3980059999999995E-2</v>
      </c>
      <c r="X3194">
        <v>0.99603159999999902</v>
      </c>
      <c r="Y3194">
        <v>-5.2019379999999997E-2</v>
      </c>
      <c r="Z3194">
        <v>3.459148E-3</v>
      </c>
      <c r="AA3194">
        <v>0.99864010000000003</v>
      </c>
      <c r="AB3194">
        <v>41</v>
      </c>
      <c r="AC3194">
        <v>19.038</v>
      </c>
      <c r="AD3194">
        <v>-1.10246446521</v>
      </c>
      <c r="AE3194">
        <v>0.34469999999998802</v>
      </c>
      <c r="AF3194">
        <v>-1.03309701529204</v>
      </c>
      <c r="AG3194">
        <v>-1.10246446521</v>
      </c>
      <c r="AH3194">
        <v>18.949361095280299</v>
      </c>
      <c r="AI3194">
        <v>93.324760360043001</v>
      </c>
      <c r="AJ3194">
        <v>93.120609568635203</v>
      </c>
      <c r="AK3194">
        <v>19.009497711917099</v>
      </c>
    </row>
    <row r="3195" spans="1:37" x14ac:dyDescent="0.2">
      <c r="A3195" t="str">
        <f>"20200111153713158"</f>
        <v>20200111153713158</v>
      </c>
      <c r="B3195" t="str">
        <f>"1578728233155964"</f>
        <v>1578728233155964</v>
      </c>
      <c r="C3195" t="s">
        <v>37</v>
      </c>
      <c r="D3195">
        <v>5.6201739999999996</v>
      </c>
      <c r="E3195">
        <v>0.48961559999999998</v>
      </c>
      <c r="F3195" t="s">
        <v>48</v>
      </c>
      <c r="G3195">
        <v>-298.16329999999999</v>
      </c>
      <c r="H3195" s="1">
        <v>2.3424409999999999E-6</v>
      </c>
      <c r="I3195">
        <v>216.27189999999999</v>
      </c>
      <c r="J3195">
        <v>-317.87979999999999</v>
      </c>
      <c r="K3195">
        <v>1.1026039999999999</v>
      </c>
      <c r="L3195">
        <v>215.95570000000001</v>
      </c>
      <c r="M3195">
        <v>0.99918220000000002</v>
      </c>
      <c r="N3195">
        <v>0</v>
      </c>
      <c r="O3195">
        <v>-3.7800790000000001E-2</v>
      </c>
      <c r="P3195">
        <v>0.99756230000000001</v>
      </c>
      <c r="Q3195">
        <v>6.9370000000000001E-2</v>
      </c>
      <c r="R3195">
        <v>-7.590103E-3</v>
      </c>
      <c r="S3195">
        <v>3.0191650000000001</v>
      </c>
      <c r="T3195">
        <v>-0.16541359999999999</v>
      </c>
      <c r="U3195">
        <v>4.5043949999999999E-2</v>
      </c>
      <c r="V3195">
        <v>-2.9735609999999999E-2</v>
      </c>
      <c r="W3195">
        <v>8.3826120000000004E-2</v>
      </c>
      <c r="X3195">
        <v>0.99603660000000005</v>
      </c>
      <c r="Y3195">
        <v>-5.2571989999999999E-2</v>
      </c>
      <c r="Z3195">
        <v>3.5083409999999999E-3</v>
      </c>
      <c r="AA3195">
        <v>0.99861100000000003</v>
      </c>
      <c r="AB3195">
        <v>41</v>
      </c>
      <c r="AC3195">
        <v>19.7165</v>
      </c>
      <c r="AD3195">
        <v>-1.1026016575590001</v>
      </c>
      <c r="AE3195">
        <v>0.31619999999998</v>
      </c>
      <c r="AF3195">
        <v>-1.0580420034737901</v>
      </c>
      <c r="AG3195">
        <v>-1.1026016575590001</v>
      </c>
      <c r="AH3195">
        <v>19.629080385173101</v>
      </c>
      <c r="AI3195">
        <v>93.210380472194998</v>
      </c>
      <c r="AJ3195">
        <v>93.085357670655597</v>
      </c>
      <c r="AK3195">
        <v>19.6884732791539</v>
      </c>
    </row>
    <row r="3196" spans="1:37" x14ac:dyDescent="0.2">
      <c r="A3196" t="str">
        <f>"20200111153713183"</f>
        <v>20200111153713183</v>
      </c>
      <c r="B3196" t="str">
        <f>"1578728233176460"</f>
        <v>1578728233176460</v>
      </c>
      <c r="C3196" t="s">
        <v>37</v>
      </c>
      <c r="D3196">
        <v>5.6042009999999998</v>
      </c>
      <c r="E3196">
        <v>0.48899549999999897</v>
      </c>
      <c r="F3196" t="s">
        <v>48</v>
      </c>
      <c r="G3196">
        <v>-297.65309999999999</v>
      </c>
      <c r="H3196" s="1">
        <v>2.251939E-6</v>
      </c>
      <c r="I3196">
        <v>216.28489999999999</v>
      </c>
      <c r="J3196">
        <v>-317.4554</v>
      </c>
      <c r="K3196">
        <v>1.10277</v>
      </c>
      <c r="L3196">
        <v>215.9384</v>
      </c>
      <c r="M3196">
        <v>0.99913159999999901</v>
      </c>
      <c r="N3196">
        <v>0</v>
      </c>
      <c r="O3196">
        <v>-3.9115850000000001E-2</v>
      </c>
      <c r="P3196">
        <v>0.99751749999999995</v>
      </c>
      <c r="Q3196">
        <v>6.9870139999999997E-2</v>
      </c>
      <c r="R3196">
        <v>-8.7891150000000001E-3</v>
      </c>
      <c r="S3196">
        <v>3.019196</v>
      </c>
      <c r="T3196">
        <v>-0.1645827</v>
      </c>
      <c r="U3196">
        <v>4.9148560000000001E-2</v>
      </c>
      <c r="V3196">
        <v>-2.9879240000000001E-2</v>
      </c>
      <c r="W3196">
        <v>8.4309819999999994E-2</v>
      </c>
      <c r="X3196">
        <v>0.99599150000000003</v>
      </c>
      <c r="Y3196">
        <v>-5.523873E-2</v>
      </c>
      <c r="Z3196">
        <v>3.634918E-3</v>
      </c>
      <c r="AA3196">
        <v>0.99846659999999898</v>
      </c>
      <c r="AB3196">
        <v>41</v>
      </c>
      <c r="AC3196">
        <v>19.802299999999999</v>
      </c>
      <c r="AD3196">
        <v>-1.1027677480610001</v>
      </c>
      <c r="AE3196">
        <v>0.34649999999999098</v>
      </c>
      <c r="AF3196">
        <v>-1.1174339702926199</v>
      </c>
      <c r="AG3196">
        <v>-1.1027677480610001</v>
      </c>
      <c r="AH3196">
        <v>19.7124721857165</v>
      </c>
      <c r="AI3196">
        <v>93.196818246862705</v>
      </c>
      <c r="AJ3196">
        <v>93.244433458144997</v>
      </c>
      <c r="AK3196">
        <v>19.774891025155501</v>
      </c>
    </row>
    <row r="3197" spans="1:37" x14ac:dyDescent="0.2">
      <c r="A3197" t="str">
        <f>"20200111153713205"</f>
        <v>20200111153713205</v>
      </c>
      <c r="B3197" t="str">
        <f>"1578728233195983"</f>
        <v>1578728233195983</v>
      </c>
      <c r="C3197" t="s">
        <v>37</v>
      </c>
      <c r="D3197">
        <v>5.8472989999999996</v>
      </c>
      <c r="E3197">
        <v>0.48840429999999901</v>
      </c>
      <c r="F3197" t="s">
        <v>48</v>
      </c>
      <c r="G3197">
        <v>-296.93520000000001</v>
      </c>
      <c r="H3197" s="1">
        <v>2.124602E-6</v>
      </c>
      <c r="I3197">
        <v>216.28380000000001</v>
      </c>
      <c r="J3197">
        <v>-317.02449999999999</v>
      </c>
      <c r="K3197">
        <v>1.102957</v>
      </c>
      <c r="L3197">
        <v>215.9205</v>
      </c>
      <c r="M3197">
        <v>0.99908680000000005</v>
      </c>
      <c r="N3197">
        <v>0</v>
      </c>
      <c r="O3197">
        <v>-4.024515E-2</v>
      </c>
      <c r="P3197">
        <v>0.997467199999999</v>
      </c>
      <c r="Q3197">
        <v>7.0421440000000002E-2</v>
      </c>
      <c r="R3197">
        <v>-1.00266E-2</v>
      </c>
      <c r="S3197">
        <v>3.0192869999999998</v>
      </c>
      <c r="T3197">
        <v>-0.1622586</v>
      </c>
      <c r="U3197">
        <v>5.0811769999999999E-2</v>
      </c>
      <c r="V3197">
        <v>-2.980238E-2</v>
      </c>
      <c r="W3197">
        <v>8.4841479999999997E-2</v>
      </c>
      <c r="X3197">
        <v>0.99594869999999902</v>
      </c>
      <c r="Y3197">
        <v>-5.6916460000000002E-2</v>
      </c>
      <c r="Z3197">
        <v>3.689211E-3</v>
      </c>
      <c r="AA3197">
        <v>0.99837209999999998</v>
      </c>
      <c r="AB3197">
        <v>41</v>
      </c>
      <c r="AC3197">
        <v>20.089299999999898</v>
      </c>
      <c r="AD3197">
        <v>-1.1029548753980001</v>
      </c>
      <c r="AE3197">
        <v>0.363300000000009</v>
      </c>
      <c r="AF3197">
        <v>-1.16806599832622</v>
      </c>
      <c r="AG3197">
        <v>-1.1029548753980001</v>
      </c>
      <c r="AH3197">
        <v>19.9981378491368</v>
      </c>
      <c r="AI3197">
        <v>93.151468612802802</v>
      </c>
      <c r="AJ3197">
        <v>93.342776254651696</v>
      </c>
      <c r="AK3197">
        <v>20.062562275708601</v>
      </c>
    </row>
    <row r="3198" spans="1:37" x14ac:dyDescent="0.2">
      <c r="A3198" t="str">
        <f>"20200111153713227"</f>
        <v>20200111153713227</v>
      </c>
      <c r="B3198" t="str">
        <f>"1578728233215708"</f>
        <v>1578728233215708</v>
      </c>
      <c r="C3198" t="s">
        <v>37</v>
      </c>
      <c r="D3198">
        <v>5.5442739999999997</v>
      </c>
      <c r="E3198">
        <v>0.48814649999999998</v>
      </c>
      <c r="F3198" t="s">
        <v>48</v>
      </c>
      <c r="G3198">
        <v>-296.14920000000001</v>
      </c>
      <c r="H3198" s="1">
        <v>1.9851829999999998E-6</v>
      </c>
      <c r="I3198">
        <v>216.28290000000001</v>
      </c>
      <c r="J3198">
        <v>-316.63</v>
      </c>
      <c r="K3198">
        <v>1.1031249999999999</v>
      </c>
      <c r="L3198">
        <v>215.90379999999999</v>
      </c>
      <c r="M3198">
        <v>0.99905129999999998</v>
      </c>
      <c r="N3198">
        <v>0</v>
      </c>
      <c r="O3198">
        <v>-4.1119940000000001E-2</v>
      </c>
      <c r="P3198">
        <v>0.99750019999999995</v>
      </c>
      <c r="Q3198">
        <v>6.9818420000000006E-2</v>
      </c>
      <c r="R3198">
        <v>-1.0898969999999999E-2</v>
      </c>
      <c r="S3198">
        <v>3.019409</v>
      </c>
      <c r="T3198">
        <v>-0.15953229999999999</v>
      </c>
      <c r="U3198">
        <v>5.2413939999999999E-2</v>
      </c>
      <c r="V3198">
        <v>-2.9840519999999999E-2</v>
      </c>
      <c r="W3198">
        <v>8.4223339999999994E-2</v>
      </c>
      <c r="X3198">
        <v>0.996</v>
      </c>
      <c r="Y3198">
        <v>-5.8321020000000001E-2</v>
      </c>
      <c r="Z3198">
        <v>3.7104009999999999E-3</v>
      </c>
      <c r="AA3198">
        <v>0.99829100000000004</v>
      </c>
      <c r="AB3198">
        <v>41</v>
      </c>
      <c r="AC3198">
        <v>20.480799999999899</v>
      </c>
      <c r="AD3198">
        <v>-1.1031230148169999</v>
      </c>
      <c r="AE3198">
        <v>0.37910000000002197</v>
      </c>
      <c r="AF3198">
        <v>-1.2175043528196801</v>
      </c>
      <c r="AG3198">
        <v>-1.1031230148169999</v>
      </c>
      <c r="AH3198">
        <v>20.388755579408901</v>
      </c>
      <c r="AI3198">
        <v>93.091442665974</v>
      </c>
      <c r="AJ3198">
        <v>93.417330838759199</v>
      </c>
      <c r="AK3198">
        <v>20.454841757193599</v>
      </c>
    </row>
    <row r="3199" spans="1:37" x14ac:dyDescent="0.2">
      <c r="A3199" t="str">
        <f>"20200111153713248"</f>
        <v>20200111153713248</v>
      </c>
      <c r="B3199" t="str">
        <f>"1578728233236202"</f>
        <v>1578728233236202</v>
      </c>
      <c r="C3199" t="s">
        <v>37</v>
      </c>
      <c r="D3199">
        <v>5.6532299999999998</v>
      </c>
      <c r="E3199">
        <v>0.48757129999999999</v>
      </c>
      <c r="F3199" t="s">
        <v>48</v>
      </c>
      <c r="G3199">
        <v>-295.95870000000002</v>
      </c>
      <c r="H3199" s="1">
        <v>1.9513860000000001E-6</v>
      </c>
      <c r="I3199">
        <v>216.25919999999999</v>
      </c>
      <c r="J3199">
        <v>-316.23169999999999</v>
      </c>
      <c r="K3199">
        <v>1.103291</v>
      </c>
      <c r="L3199">
        <v>215.88669999999999</v>
      </c>
      <c r="M3199">
        <v>0.99902150000000001</v>
      </c>
      <c r="N3199">
        <v>0</v>
      </c>
      <c r="O3199">
        <v>-4.1837159999999998E-2</v>
      </c>
      <c r="P3199">
        <v>0.99747509999999995</v>
      </c>
      <c r="Q3199">
        <v>7.0097300000000001E-2</v>
      </c>
      <c r="R3199">
        <v>-1.141084E-2</v>
      </c>
      <c r="S3199">
        <v>3.0193789999999998</v>
      </c>
      <c r="T3199">
        <v>-0.16112889999999999</v>
      </c>
      <c r="U3199">
        <v>5.1910400000000002E-2</v>
      </c>
      <c r="V3199">
        <v>-3.0077309999999999E-2</v>
      </c>
      <c r="W3199">
        <v>8.448609E-2</v>
      </c>
      <c r="X3199">
        <v>0.99597060000000004</v>
      </c>
      <c r="Y3199">
        <v>-5.8866849999999998E-2</v>
      </c>
      <c r="Z3199">
        <v>3.8003059999999998E-3</v>
      </c>
      <c r="AA3199">
        <v>0.998258599999999</v>
      </c>
      <c r="AB3199">
        <v>41</v>
      </c>
      <c r="AC3199">
        <v>20.2729999999999</v>
      </c>
      <c r="AD3199">
        <v>-1.1032890486139999</v>
      </c>
      <c r="AE3199">
        <v>0.372500000000002</v>
      </c>
      <c r="AF3199">
        <v>-1.21682311612594</v>
      </c>
      <c r="AG3199">
        <v>-1.1032890486139999</v>
      </c>
      <c r="AH3199">
        <v>20.179913342914698</v>
      </c>
      <c r="AI3199">
        <v>93.123733304739503</v>
      </c>
      <c r="AJ3199">
        <v>93.450684544360698</v>
      </c>
      <c r="AK3199">
        <v>20.2466492968164</v>
      </c>
    </row>
    <row r="3200" spans="1:37" x14ac:dyDescent="0.2">
      <c r="A3200" t="str">
        <f>"20200111153713271"</f>
        <v>20200111153713271</v>
      </c>
      <c r="B3200" t="str">
        <f>"1578728233266459"</f>
        <v>1578728233266459</v>
      </c>
      <c r="C3200" t="s">
        <v>37</v>
      </c>
      <c r="D3200">
        <v>5.7626580000000001</v>
      </c>
      <c r="E3200">
        <v>0.47270050000000002</v>
      </c>
      <c r="F3200" t="s">
        <v>48</v>
      </c>
      <c r="G3200">
        <v>-295.40210000000002</v>
      </c>
      <c r="H3200" s="1">
        <v>1.8526569999999999E-6</v>
      </c>
      <c r="I3200">
        <v>216.26560000000001</v>
      </c>
      <c r="J3200">
        <v>-315.81270000000001</v>
      </c>
      <c r="K3200">
        <v>1.1034740000000001</v>
      </c>
      <c r="L3200">
        <v>215.86859999999999</v>
      </c>
      <c r="M3200">
        <v>0.99899760000000004</v>
      </c>
      <c r="N3200">
        <v>0</v>
      </c>
      <c r="O3200">
        <v>-4.2403730000000001E-2</v>
      </c>
      <c r="P3200">
        <v>0.99742450000000005</v>
      </c>
      <c r="Q3200">
        <v>7.0807640000000005E-2</v>
      </c>
      <c r="R3200">
        <v>-1.1435249999999999E-2</v>
      </c>
      <c r="S3200">
        <v>3.0194700000000001</v>
      </c>
      <c r="T3200">
        <v>-0.15993389999999999</v>
      </c>
      <c r="U3200">
        <v>5.4916380000000001E-2</v>
      </c>
      <c r="V3200">
        <v>-3.0651089999999999E-2</v>
      </c>
      <c r="W3200">
        <v>8.5179290000000005E-2</v>
      </c>
      <c r="X3200">
        <v>0.99589409999999901</v>
      </c>
      <c r="Y3200">
        <v>-6.0425029999999998E-2</v>
      </c>
      <c r="Z3200">
        <v>3.843235E-3</v>
      </c>
      <c r="AA3200">
        <v>0.99816539999999998</v>
      </c>
      <c r="AB3200">
        <v>41</v>
      </c>
      <c r="AC3200">
        <v>20.410599999999899</v>
      </c>
      <c r="AD3200">
        <v>-1.103472147343</v>
      </c>
      <c r="AE3200">
        <v>0.397000000000019</v>
      </c>
      <c r="AF3200">
        <v>-1.2585402834672399</v>
      </c>
      <c r="AG3200">
        <v>-1.103472147343</v>
      </c>
      <c r="AH3200">
        <v>20.3160431146398</v>
      </c>
      <c r="AI3200">
        <v>93.103046296338206</v>
      </c>
      <c r="AJ3200">
        <v>93.544834832676102</v>
      </c>
      <c r="AK3200">
        <v>20.384876312133301</v>
      </c>
    </row>
    <row r="3201" spans="1:37" x14ac:dyDescent="0.2">
      <c r="A3201" t="str">
        <f>"20200111153713294"</f>
        <v>20200111153713294</v>
      </c>
      <c r="B3201" t="str">
        <f>"1578728233285981"</f>
        <v>1578728233285981</v>
      </c>
      <c r="C3201" t="s">
        <v>37</v>
      </c>
      <c r="D3201">
        <v>5.7251300000000001</v>
      </c>
      <c r="E3201">
        <v>0.43793490000000002</v>
      </c>
      <c r="F3201" t="s">
        <v>48</v>
      </c>
      <c r="G3201">
        <v>-296.18180000000001</v>
      </c>
      <c r="H3201" s="1">
        <v>1.9909639999999999E-6</v>
      </c>
      <c r="I3201">
        <v>216.9939</v>
      </c>
      <c r="J3201">
        <v>-315.39120000000003</v>
      </c>
      <c r="K3201">
        <v>1.103658</v>
      </c>
      <c r="L3201">
        <v>215.8503</v>
      </c>
      <c r="M3201">
        <v>0.99898099999999901</v>
      </c>
      <c r="N3201">
        <v>0</v>
      </c>
      <c r="O3201">
        <v>-4.279521E-2</v>
      </c>
      <c r="P3201">
        <v>0.99746270000000004</v>
      </c>
      <c r="Q3201">
        <v>7.0335670000000003E-2</v>
      </c>
      <c r="R3201">
        <v>-1.100221E-2</v>
      </c>
      <c r="S3201">
        <v>3.0217900000000002</v>
      </c>
      <c r="T3201">
        <v>-0.1698576</v>
      </c>
      <c r="U3201">
        <v>0.17321779999999901</v>
      </c>
      <c r="V3201">
        <v>-3.1515250000000002E-2</v>
      </c>
      <c r="W3201">
        <v>8.4691349999999999E-2</v>
      </c>
      <c r="X3201">
        <v>0.99590869999999998</v>
      </c>
      <c r="Y3201">
        <v>-9.9681699999999998E-2</v>
      </c>
      <c r="Z3201">
        <v>5.1992269999999998E-3</v>
      </c>
      <c r="AA3201">
        <v>0.99500580000000005</v>
      </c>
      <c r="AB3201">
        <v>41</v>
      </c>
      <c r="AC3201">
        <v>19.209399999999999</v>
      </c>
      <c r="AD3201">
        <v>-1.1036560090359999</v>
      </c>
      <c r="AE3201">
        <v>1.14359999999999</v>
      </c>
      <c r="AF3201">
        <v>-1.9582655727128999</v>
      </c>
      <c r="AG3201">
        <v>-1.1036560090359999</v>
      </c>
      <c r="AH3201">
        <v>19.080092223360001</v>
      </c>
      <c r="AI3201">
        <v>93.293228472153601</v>
      </c>
      <c r="AJ3201">
        <v>95.859974875339006</v>
      </c>
      <c r="AK3201">
        <v>19.212047779752101</v>
      </c>
    </row>
    <row r="3202" spans="1:37" x14ac:dyDescent="0.2">
      <c r="A3202" t="str">
        <f>"20200111153713316"</f>
        <v>20200111153713316</v>
      </c>
      <c r="B3202" t="str">
        <f>"1578728233306474"</f>
        <v>1578728233306474</v>
      </c>
      <c r="C3202" t="s">
        <v>37</v>
      </c>
      <c r="D3202">
        <v>5.875464</v>
      </c>
      <c r="E3202">
        <v>0.42169390000000001</v>
      </c>
      <c r="F3202" t="s">
        <v>48</v>
      </c>
      <c r="G3202">
        <v>-299.69110000000001</v>
      </c>
      <c r="H3202" s="1">
        <v>2.6134499999999999E-6</v>
      </c>
      <c r="I3202">
        <v>218.18510000000001</v>
      </c>
      <c r="J3202">
        <v>-314.97669999999999</v>
      </c>
      <c r="K3202">
        <v>1.103828</v>
      </c>
      <c r="L3202">
        <v>215.8322</v>
      </c>
      <c r="M3202">
        <v>0.99897089999999999</v>
      </c>
      <c r="N3202">
        <v>0</v>
      </c>
      <c r="O3202">
        <v>-4.3033439999999999E-2</v>
      </c>
      <c r="P3202">
        <v>0.99755949999999904</v>
      </c>
      <c r="Q3202">
        <v>6.9088070000000001E-2</v>
      </c>
      <c r="R3202">
        <v>-1.0079930000000001E-2</v>
      </c>
      <c r="S3202">
        <v>3.0275569999999998</v>
      </c>
      <c r="T3202">
        <v>-0.21282579999999901</v>
      </c>
      <c r="U3202">
        <v>0.45024110000000001</v>
      </c>
      <c r="V3202">
        <v>-3.2716849999999999E-2</v>
      </c>
      <c r="W3202">
        <v>8.3429349999999999E-2</v>
      </c>
      <c r="X3202">
        <v>0.99597649999999904</v>
      </c>
      <c r="Y3202">
        <v>-0.188969</v>
      </c>
      <c r="Z3202">
        <v>9.6044709999999998E-3</v>
      </c>
      <c r="AA3202">
        <v>0.98193609999999898</v>
      </c>
      <c r="AB3202">
        <v>41</v>
      </c>
      <c r="AC3202">
        <v>15.285599999999899</v>
      </c>
      <c r="AD3202">
        <v>-1.1038253865500001</v>
      </c>
      <c r="AE3202">
        <v>2.3529</v>
      </c>
      <c r="AF3202">
        <v>-2.99333111323421</v>
      </c>
      <c r="AG3202">
        <v>-1.1038253865500001</v>
      </c>
      <c r="AH3202">
        <v>15.093286862545501</v>
      </c>
      <c r="AI3202">
        <v>94.103163227633601</v>
      </c>
      <c r="AJ3202">
        <v>101.21745918535601</v>
      </c>
      <c r="AK3202">
        <v>15.42678741516</v>
      </c>
    </row>
    <row r="3203" spans="1:37" x14ac:dyDescent="0.2">
      <c r="A3203" t="str">
        <f>"20200111153713338"</f>
        <v>20200111153713338</v>
      </c>
      <c r="B3203" t="str">
        <f>"1578728233326504"</f>
        <v>1578728233326504</v>
      </c>
      <c r="C3203" t="s">
        <v>37</v>
      </c>
      <c r="D3203">
        <v>5.7622039999999997</v>
      </c>
      <c r="E3203">
        <v>0.41542689999999999</v>
      </c>
      <c r="F3203" t="s">
        <v>48</v>
      </c>
      <c r="G3203">
        <v>-301.05990000000003</v>
      </c>
      <c r="H3203" s="1">
        <v>2.4652499999999998E-6</v>
      </c>
      <c r="I3203">
        <v>218.5027</v>
      </c>
      <c r="J3203">
        <v>-314.58730000000003</v>
      </c>
      <c r="K3203">
        <v>1.1039760000000001</v>
      </c>
      <c r="L3203">
        <v>215.81530000000001</v>
      </c>
      <c r="M3203">
        <v>0.99896649999999998</v>
      </c>
      <c r="N3203">
        <v>0</v>
      </c>
      <c r="O3203">
        <v>-4.313496E-2</v>
      </c>
      <c r="P3203">
        <v>0.99760199999999999</v>
      </c>
      <c r="Q3203">
        <v>6.8651210000000004E-2</v>
      </c>
      <c r="R3203">
        <v>-8.8046649999999997E-3</v>
      </c>
      <c r="S3203">
        <v>3.029846</v>
      </c>
      <c r="T3203">
        <v>-0.24031459999999999</v>
      </c>
      <c r="U3203">
        <v>0.58139039999999997</v>
      </c>
      <c r="V3203">
        <v>-3.4126249999999997E-2</v>
      </c>
      <c r="W3203">
        <v>8.297889E-2</v>
      </c>
      <c r="X3203">
        <v>0.99596679999999904</v>
      </c>
      <c r="Y3203">
        <v>-0.22981219999999999</v>
      </c>
      <c r="Z3203">
        <v>1.2405909999999999E-2</v>
      </c>
      <c r="AA3203">
        <v>0.97315589999999996</v>
      </c>
      <c r="AB3203">
        <v>41</v>
      </c>
      <c r="AC3203">
        <v>13.5274</v>
      </c>
      <c r="AD3203">
        <v>-1.1039735347499999</v>
      </c>
      <c r="AE3203">
        <v>2.68739999999999</v>
      </c>
      <c r="AF3203">
        <v>-3.24765314311141</v>
      </c>
      <c r="AG3203">
        <v>-1.1039735347499999</v>
      </c>
      <c r="AH3203">
        <v>13.313569464674501</v>
      </c>
      <c r="AI3203">
        <v>94.605730478842503</v>
      </c>
      <c r="AJ3203">
        <v>103.708752618503</v>
      </c>
      <c r="AK3203">
        <v>13.7483504608409</v>
      </c>
    </row>
    <row r="3204" spans="1:37" x14ac:dyDescent="0.2">
      <c r="A3204" t="str">
        <f>"20200111153713360"</f>
        <v>20200111153713360</v>
      </c>
      <c r="B3204" t="str">
        <f>"1578728233355784"</f>
        <v>1578728233355784</v>
      </c>
      <c r="C3204" t="s">
        <v>37</v>
      </c>
      <c r="D3204">
        <v>5.6899600000000001</v>
      </c>
      <c r="E3204">
        <v>0.41197259999999902</v>
      </c>
      <c r="F3204" t="s">
        <v>48</v>
      </c>
      <c r="G3204">
        <v>-301.8202</v>
      </c>
      <c r="H3204" s="1">
        <v>2.3303879999999998E-6</v>
      </c>
      <c r="I3204">
        <v>218.4873</v>
      </c>
      <c r="J3204">
        <v>-314.18099999999998</v>
      </c>
      <c r="K3204">
        <v>1.104133</v>
      </c>
      <c r="L3204">
        <v>215.79759999999999</v>
      </c>
      <c r="M3204">
        <v>0.9989671</v>
      </c>
      <c r="N3204">
        <v>0</v>
      </c>
      <c r="O3204">
        <v>-4.3122899999999999E-2</v>
      </c>
      <c r="P3204">
        <v>0.99761499999999903</v>
      </c>
      <c r="Q3204">
        <v>6.8597329999999998E-2</v>
      </c>
      <c r="R3204">
        <v>-7.665135E-3</v>
      </c>
      <c r="S3204">
        <v>3.0308839999999999</v>
      </c>
      <c r="T3204">
        <v>-0.26208130000000002</v>
      </c>
      <c r="U3204">
        <v>0.63432310000000003</v>
      </c>
      <c r="V3204">
        <v>-3.5283790000000002E-2</v>
      </c>
      <c r="W3204">
        <v>8.290902E-2</v>
      </c>
      <c r="X3204">
        <v>0.99593229999999999</v>
      </c>
      <c r="Y3204">
        <v>-0.2458351</v>
      </c>
      <c r="Z3204">
        <v>1.418171E-2</v>
      </c>
      <c r="AA3204">
        <v>0.96920790000000001</v>
      </c>
      <c r="AB3204">
        <v>41</v>
      </c>
      <c r="AC3204">
        <v>12.3607999999999</v>
      </c>
      <c r="AD3204">
        <v>-1.1041306696119999</v>
      </c>
      <c r="AE3204">
        <v>2.68970000000001</v>
      </c>
      <c r="AF3204">
        <v>-3.1959381759066998</v>
      </c>
      <c r="AG3204">
        <v>-1.1041306696119999</v>
      </c>
      <c r="AH3204">
        <v>12.1408078347319</v>
      </c>
      <c r="AI3204">
        <v>95.026095935629499</v>
      </c>
      <c r="AJ3204">
        <v>104.74792669691</v>
      </c>
      <c r="AK3204">
        <v>12.6028703174984</v>
      </c>
    </row>
    <row r="3205" spans="1:37" x14ac:dyDescent="0.2">
      <c r="A3205" t="str">
        <f>"20200111153713383"</f>
        <v>20200111153713383</v>
      </c>
      <c r="B3205" t="str">
        <f>"1578728233376280"</f>
        <v>1578728233376280</v>
      </c>
      <c r="C3205" t="s">
        <v>37</v>
      </c>
      <c r="D3205">
        <v>5.702108</v>
      </c>
      <c r="E3205">
        <v>0.41093819999999998</v>
      </c>
      <c r="F3205" t="s">
        <v>48</v>
      </c>
      <c r="G3205">
        <v>-301.87639999999999</v>
      </c>
      <c r="H3205" s="1">
        <v>2.3204120000000002E-6</v>
      </c>
      <c r="I3205">
        <v>218.4957</v>
      </c>
      <c r="J3205">
        <v>-313.7586</v>
      </c>
      <c r="K3205">
        <v>1.1042809999999901</v>
      </c>
      <c r="L3205">
        <v>215.77940000000001</v>
      </c>
      <c r="M3205">
        <v>0.99897259999999999</v>
      </c>
      <c r="N3205">
        <v>0</v>
      </c>
      <c r="O3205">
        <v>-4.2997319999999999E-2</v>
      </c>
      <c r="P3205">
        <v>0.99761420000000001</v>
      </c>
      <c r="Q3205">
        <v>6.8794750000000002E-2</v>
      </c>
      <c r="R3205">
        <v>-5.7746280000000004E-3</v>
      </c>
      <c r="S3205">
        <v>3.0309750000000002</v>
      </c>
      <c r="T3205">
        <v>-0.27198020000000001</v>
      </c>
      <c r="U3205">
        <v>0.66461179999999997</v>
      </c>
      <c r="V3205">
        <v>-3.7076379999999999E-2</v>
      </c>
      <c r="W3205">
        <v>8.3090549999999999E-2</v>
      </c>
      <c r="X3205">
        <v>0.99585210000000002</v>
      </c>
      <c r="Y3205">
        <v>-0.25484570000000001</v>
      </c>
      <c r="Z3205">
        <v>1.508757E-2</v>
      </c>
      <c r="AA3205">
        <v>0.96686399999999995</v>
      </c>
      <c r="AB3205">
        <v>41</v>
      </c>
      <c r="AC3205">
        <v>11.882199999999999</v>
      </c>
      <c r="AD3205">
        <v>-1.10427867958799</v>
      </c>
      <c r="AE3205">
        <v>2.71629999999998</v>
      </c>
      <c r="AF3205">
        <v>-3.19848912359328</v>
      </c>
      <c r="AG3205">
        <v>-1.10427867958799</v>
      </c>
      <c r="AH3205">
        <v>11.658707874220701</v>
      </c>
      <c r="AI3205">
        <v>95.219030179380596</v>
      </c>
      <c r="AJ3205">
        <v>105.341268001657</v>
      </c>
      <c r="AK3205">
        <v>12.139820154036601</v>
      </c>
    </row>
    <row r="3206" spans="1:37" x14ac:dyDescent="0.2">
      <c r="A3206" t="str">
        <f>"20200111153713405"</f>
        <v>20200111153713405</v>
      </c>
      <c r="B3206" t="str">
        <f>"1578728233395803"</f>
        <v>1578728233395803</v>
      </c>
      <c r="C3206" t="s">
        <v>37</v>
      </c>
      <c r="D3206">
        <v>5.6950099999999999</v>
      </c>
      <c r="E3206">
        <v>0.41012890000000002</v>
      </c>
      <c r="F3206" t="s">
        <v>48</v>
      </c>
      <c r="G3206">
        <v>-301.57459999999998</v>
      </c>
      <c r="H3206" s="1">
        <v>2.3739479999999999E-6</v>
      </c>
      <c r="I3206">
        <v>218.50450000000001</v>
      </c>
      <c r="J3206">
        <v>-313.35849999999999</v>
      </c>
      <c r="K3206">
        <v>1.1044020000000001</v>
      </c>
      <c r="L3206">
        <v>215.76230000000001</v>
      </c>
      <c r="M3206">
        <v>0.9989808</v>
      </c>
      <c r="N3206">
        <v>0</v>
      </c>
      <c r="O3206">
        <v>-4.2808800000000001E-2</v>
      </c>
      <c r="P3206">
        <v>0.99763329999999995</v>
      </c>
      <c r="Q3206">
        <v>6.8691639999999998E-2</v>
      </c>
      <c r="R3206">
        <v>-3.0872199999999999E-3</v>
      </c>
      <c r="S3206">
        <v>3.03005999999999</v>
      </c>
      <c r="T3206">
        <v>-0.27462449999999999</v>
      </c>
      <c r="U3206">
        <v>0.67770390000000003</v>
      </c>
      <c r="V3206">
        <v>-3.9598149999999999E-2</v>
      </c>
      <c r="W3206">
        <v>8.2972699999999996E-2</v>
      </c>
      <c r="X3206">
        <v>0.99576480000000001</v>
      </c>
      <c r="Y3206">
        <v>-0.25866860000000003</v>
      </c>
      <c r="Z3206">
        <v>1.538517E-2</v>
      </c>
      <c r="AA3206">
        <v>0.96584360000000002</v>
      </c>
      <c r="AB3206">
        <v>41</v>
      </c>
      <c r="AC3206">
        <v>11.783899999999999</v>
      </c>
      <c r="AD3206">
        <v>-1.1043996260519999</v>
      </c>
      <c r="AE3206">
        <v>2.7421999999999902</v>
      </c>
      <c r="AF3206">
        <v>-3.2173833657077102</v>
      </c>
      <c r="AG3206">
        <v>-1.1043996260519999</v>
      </c>
      <c r="AH3206">
        <v>11.5593754643034</v>
      </c>
      <c r="AI3206">
        <v>95.2588387308584</v>
      </c>
      <c r="AJ3206">
        <v>105.553767362109</v>
      </c>
      <c r="AK3206">
        <v>12.049498553080801</v>
      </c>
    </row>
    <row r="3207" spans="1:37" x14ac:dyDescent="0.2">
      <c r="A3207" t="str">
        <f>"20200111153713427"</f>
        <v>20200111153713427</v>
      </c>
      <c r="B3207" t="str">
        <f>"1578728233416300"</f>
        <v>1578728233416300</v>
      </c>
      <c r="C3207" t="s">
        <v>37</v>
      </c>
      <c r="D3207">
        <v>5.7434629999999904</v>
      </c>
      <c r="E3207">
        <v>0.40928359999999903</v>
      </c>
      <c r="F3207" t="s">
        <v>48</v>
      </c>
      <c r="G3207">
        <v>-301.31139999999999</v>
      </c>
      <c r="H3207" s="1">
        <v>2.4206339999999998E-6</v>
      </c>
      <c r="I3207">
        <v>218.51320000000001</v>
      </c>
      <c r="J3207">
        <v>-312.95639999999997</v>
      </c>
      <c r="K3207">
        <v>1.1045119999999999</v>
      </c>
      <c r="L3207">
        <v>215.74510000000001</v>
      </c>
      <c r="M3207">
        <v>0.99899079999999996</v>
      </c>
      <c r="N3207">
        <v>0</v>
      </c>
      <c r="O3207">
        <v>-4.257379E-2</v>
      </c>
      <c r="P3207">
        <v>0.99765040000000005</v>
      </c>
      <c r="Q3207">
        <v>6.8512749999999997E-2</v>
      </c>
      <c r="R3207">
        <v>-2.5612900000000001E-4</v>
      </c>
      <c r="S3207">
        <v>3.028381</v>
      </c>
      <c r="T3207">
        <v>-0.27762239999999999</v>
      </c>
      <c r="U3207">
        <v>0.69152829999999998</v>
      </c>
      <c r="V3207">
        <v>-4.2214000000000002E-2</v>
      </c>
      <c r="W3207">
        <v>8.2779779999999997E-2</v>
      </c>
      <c r="X3207">
        <v>0.99567340000000004</v>
      </c>
      <c r="Y3207">
        <v>-0.26270700000000002</v>
      </c>
      <c r="Z3207">
        <v>1.5714349999999998E-2</v>
      </c>
      <c r="AA3207">
        <v>0.96474769999999899</v>
      </c>
      <c r="AB3207">
        <v>41</v>
      </c>
      <c r="AC3207">
        <v>11.6449999999999</v>
      </c>
      <c r="AD3207">
        <v>-1.104509579366</v>
      </c>
      <c r="AE3207">
        <v>2.7681</v>
      </c>
      <c r="AF3207">
        <v>-3.2338755935564101</v>
      </c>
      <c r="AG3207">
        <v>-1.104509579366</v>
      </c>
      <c r="AH3207">
        <v>11.419342451732801</v>
      </c>
      <c r="AI3207">
        <v>95.316798723198104</v>
      </c>
      <c r="AJ3207">
        <v>105.811740206621</v>
      </c>
      <c r="AK3207">
        <v>11.9197011202235</v>
      </c>
    </row>
    <row r="3208" spans="1:37" x14ac:dyDescent="0.2">
      <c r="A3208" t="str">
        <f>"20200111153713449"</f>
        <v>20200111153713449</v>
      </c>
      <c r="B3208" t="str">
        <f>"1578728233446552"</f>
        <v>1578728233446552</v>
      </c>
      <c r="C3208" t="s">
        <v>37</v>
      </c>
      <c r="D3208">
        <v>5.6518199999999998</v>
      </c>
      <c r="E3208">
        <v>0.40764220000000001</v>
      </c>
      <c r="F3208" t="s">
        <v>48</v>
      </c>
      <c r="G3208">
        <v>-301.02850000000001</v>
      </c>
      <c r="H3208" s="1">
        <v>2.470819E-6</v>
      </c>
      <c r="I3208">
        <v>218.5291</v>
      </c>
      <c r="J3208">
        <v>-312.55540000000002</v>
      </c>
      <c r="K3208">
        <v>1.104603</v>
      </c>
      <c r="L3208">
        <v>215.72829999999999</v>
      </c>
      <c r="M3208">
        <v>0.99900219999999995</v>
      </c>
      <c r="N3208">
        <v>0</v>
      </c>
      <c r="O3208">
        <v>-4.2309579999999999E-2</v>
      </c>
      <c r="P3208">
        <v>0.99761529999999998</v>
      </c>
      <c r="Q3208">
        <v>6.8986350000000002E-2</v>
      </c>
      <c r="R3208">
        <v>2.1811999999999999E-3</v>
      </c>
      <c r="S3208">
        <v>3.02648899999999</v>
      </c>
      <c r="T3208">
        <v>-0.28024890000000002</v>
      </c>
      <c r="U3208">
        <v>0.70637510000000003</v>
      </c>
      <c r="V3208">
        <v>-4.4400889999999998E-2</v>
      </c>
      <c r="W3208">
        <v>8.3238800000000002E-2</v>
      </c>
      <c r="X3208">
        <v>0.99553999999999998</v>
      </c>
      <c r="Y3208">
        <v>-0.26703359999999998</v>
      </c>
      <c r="Z3208">
        <v>1.6036669999999999E-2</v>
      </c>
      <c r="AA3208">
        <v>0.96355380000000002</v>
      </c>
      <c r="AB3208">
        <v>41</v>
      </c>
      <c r="AC3208">
        <v>11.526899999999999</v>
      </c>
      <c r="AD3208">
        <v>-1.1046005291809999</v>
      </c>
      <c r="AE3208">
        <v>2.8008000000000002</v>
      </c>
      <c r="AF3208">
        <v>-3.2577910945853699</v>
      </c>
      <c r="AG3208">
        <v>-1.1046005291809999</v>
      </c>
      <c r="AH3208">
        <v>11.3000793638671</v>
      </c>
      <c r="AI3208">
        <v>95.365827030063301</v>
      </c>
      <c r="AJ3208">
        <v>106.082169509576</v>
      </c>
      <c r="AK3208">
        <v>11.812075972271799</v>
      </c>
    </row>
    <row r="3209" spans="1:37" x14ac:dyDescent="0.2">
      <c r="A3209" t="str">
        <f>"20200111153713472"</f>
        <v>20200111153713472</v>
      </c>
      <c r="B3209" t="str">
        <f>"1578728233466072"</f>
        <v>1578728233466072</v>
      </c>
      <c r="C3209" t="s">
        <v>37</v>
      </c>
      <c r="D3209">
        <v>5.6881909999999998</v>
      </c>
      <c r="E3209">
        <v>0.40676570000000001</v>
      </c>
      <c r="F3209" t="s">
        <v>48</v>
      </c>
      <c r="G3209">
        <v>-300.52030000000002</v>
      </c>
      <c r="H3209" s="1">
        <v>2.5609669999999999E-6</v>
      </c>
      <c r="I3209">
        <v>218.6198</v>
      </c>
      <c r="J3209">
        <v>-312.12520000000001</v>
      </c>
      <c r="K3209">
        <v>1.104678</v>
      </c>
      <c r="L3209">
        <v>215.71019999999999</v>
      </c>
      <c r="M3209">
        <v>0.99901489999999904</v>
      </c>
      <c r="N3209">
        <v>0</v>
      </c>
      <c r="O3209">
        <v>-4.2004510000000002E-2</v>
      </c>
      <c r="P3209">
        <v>0.99750629999999996</v>
      </c>
      <c r="Q3209">
        <v>7.0415099999999994E-2</v>
      </c>
      <c r="R3209">
        <v>4.7605829999999997E-3</v>
      </c>
      <c r="S3209">
        <v>3.0248110000000001</v>
      </c>
      <c r="T3209">
        <v>-0.27762199999999998</v>
      </c>
      <c r="U3209">
        <v>0.72673030000000005</v>
      </c>
      <c r="V3209">
        <v>-4.6683299999999997E-2</v>
      </c>
      <c r="W3209">
        <v>8.4653350000000002E-2</v>
      </c>
      <c r="X3209">
        <v>0.99531630000000004</v>
      </c>
      <c r="Y3209">
        <v>-0.27299400000000001</v>
      </c>
      <c r="Z3209">
        <v>1.6125110000000002E-2</v>
      </c>
      <c r="AA3209">
        <v>0.96188059999999997</v>
      </c>
      <c r="AB3209">
        <v>41</v>
      </c>
      <c r="AC3209">
        <v>11.604899999999899</v>
      </c>
      <c r="AD3209">
        <v>-1.104675439033</v>
      </c>
      <c r="AE3209">
        <v>2.90960000000001</v>
      </c>
      <c r="AF3209">
        <v>-3.3658447397497602</v>
      </c>
      <c r="AG3209">
        <v>-1.104675439033</v>
      </c>
      <c r="AH3209">
        <v>11.3754476470033</v>
      </c>
      <c r="AI3209">
        <v>95.320026717393205</v>
      </c>
      <c r="AJ3209">
        <v>106.482789836447</v>
      </c>
      <c r="AK3209">
        <v>11.9142783166845</v>
      </c>
    </row>
    <row r="3210" spans="1:37" x14ac:dyDescent="0.2">
      <c r="A3210" t="str">
        <f>"20200111153713495"</f>
        <v>20200111153713495</v>
      </c>
      <c r="B3210" t="str">
        <f>"1578728233486568"</f>
        <v>1578728233486568</v>
      </c>
      <c r="C3210" t="s">
        <v>37</v>
      </c>
      <c r="D3210">
        <v>5.7691369999999997</v>
      </c>
      <c r="E3210">
        <v>0.406385</v>
      </c>
      <c r="F3210" t="s">
        <v>48</v>
      </c>
      <c r="G3210">
        <v>-299.86750000000001</v>
      </c>
      <c r="H3210" s="1">
        <v>2.6447409999999999E-6</v>
      </c>
      <c r="I3210">
        <v>218.7166</v>
      </c>
      <c r="J3210">
        <v>-311.71660000000003</v>
      </c>
      <c r="K3210">
        <v>1.1047359999999999</v>
      </c>
      <c r="L3210">
        <v>215.69329999999999</v>
      </c>
      <c r="M3210">
        <v>0.99902780000000002</v>
      </c>
      <c r="N3210">
        <v>0</v>
      </c>
      <c r="O3210">
        <v>-4.1702169999999997E-2</v>
      </c>
      <c r="P3210">
        <v>0.99742129999999996</v>
      </c>
      <c r="Q3210">
        <v>7.1494589999999997E-2</v>
      </c>
      <c r="R3210">
        <v>6.2903739999999996E-3</v>
      </c>
      <c r="S3210">
        <v>3.0231629999999998</v>
      </c>
      <c r="T3210">
        <v>-0.27244990000000002</v>
      </c>
      <c r="U3210">
        <v>0.74147030000000003</v>
      </c>
      <c r="V3210">
        <v>-4.7917580000000001E-2</v>
      </c>
      <c r="W3210">
        <v>8.5720889999999994E-2</v>
      </c>
      <c r="X3210">
        <v>0.9951662</v>
      </c>
      <c r="Y3210">
        <v>-0.27727940000000001</v>
      </c>
      <c r="Z3210">
        <v>1.5988459999999999E-2</v>
      </c>
      <c r="AA3210">
        <v>0.96065630000000002</v>
      </c>
      <c r="AB3210">
        <v>41</v>
      </c>
      <c r="AC3210">
        <v>11.8491</v>
      </c>
      <c r="AD3210">
        <v>-1.104733355259</v>
      </c>
      <c r="AE3210">
        <v>3.0232999999999999</v>
      </c>
      <c r="AF3210">
        <v>-3.4863999869789701</v>
      </c>
      <c r="AG3210">
        <v>-1.104733355259</v>
      </c>
      <c r="AH3210">
        <v>11.617883456013899</v>
      </c>
      <c r="AI3210">
        <v>95.203944601782794</v>
      </c>
      <c r="AJ3210">
        <v>106.70392673535299</v>
      </c>
      <c r="AK3210">
        <v>12.1799276127959</v>
      </c>
    </row>
    <row r="3211" spans="1:37" x14ac:dyDescent="0.2">
      <c r="A3211" t="str">
        <f>"20200111153713516"</f>
        <v>20200111153713516</v>
      </c>
      <c r="B3211" t="str">
        <f>"1578728233506091"</f>
        <v>1578728233506091</v>
      </c>
      <c r="C3211" t="s">
        <v>37</v>
      </c>
      <c r="D3211">
        <v>5.7928379999999997</v>
      </c>
      <c r="E3211">
        <v>0.40617029999999998</v>
      </c>
      <c r="F3211" t="s">
        <v>48</v>
      </c>
      <c r="G3211">
        <v>-299.26479999999998</v>
      </c>
      <c r="H3211" s="1">
        <v>2.537826E-6</v>
      </c>
      <c r="I3211">
        <v>218.7816</v>
      </c>
      <c r="J3211">
        <v>-311.31700000000001</v>
      </c>
      <c r="K3211">
        <v>1.1047709999999999</v>
      </c>
      <c r="L3211">
        <v>215.67679999999999</v>
      </c>
      <c r="M3211">
        <v>0.99904020000000004</v>
      </c>
      <c r="N3211">
        <v>0</v>
      </c>
      <c r="O3211">
        <v>-4.1400050000000001E-2</v>
      </c>
      <c r="P3211">
        <v>0.99739750000000005</v>
      </c>
      <c r="Q3211">
        <v>7.1656220000000007E-2</v>
      </c>
      <c r="R3211">
        <v>7.995383E-3</v>
      </c>
      <c r="S3211">
        <v>3.0222470000000001</v>
      </c>
      <c r="T3211">
        <v>-0.26813509999999902</v>
      </c>
      <c r="U3211">
        <v>0.74958800000000003</v>
      </c>
      <c r="V3211">
        <v>-4.9326719999999998E-2</v>
      </c>
      <c r="W3211">
        <v>8.5873399999999905E-2</v>
      </c>
      <c r="X3211">
        <v>0.99508419999999898</v>
      </c>
      <c r="Y3211">
        <v>-0.27951920000000002</v>
      </c>
      <c r="Z3211">
        <v>1.5807189999999999E-2</v>
      </c>
      <c r="AA3211">
        <v>0.96001000000000003</v>
      </c>
      <c r="AB3211">
        <v>41</v>
      </c>
      <c r="AC3211">
        <v>12.052199999999999</v>
      </c>
      <c r="AD3211">
        <v>-1.1047684621739999</v>
      </c>
      <c r="AE3211">
        <v>3.1048000000000102</v>
      </c>
      <c r="AF3211">
        <v>-3.5729965284722298</v>
      </c>
      <c r="AG3211">
        <v>-1.1047684621739999</v>
      </c>
      <c r="AH3211">
        <v>11.820174630495799</v>
      </c>
      <c r="AI3211">
        <v>95.112445461735405</v>
      </c>
      <c r="AJ3211">
        <v>106.81899093008801</v>
      </c>
      <c r="AK3211">
        <v>12.3977153477125</v>
      </c>
    </row>
    <row r="3212" spans="1:37" x14ac:dyDescent="0.2">
      <c r="A3212" t="str">
        <f>"20200111153713538"</f>
        <v>20200111153713538</v>
      </c>
      <c r="B3212" t="str">
        <f>"1578728233536345"</f>
        <v>1578728233536345</v>
      </c>
      <c r="C3212" t="s">
        <v>37</v>
      </c>
      <c r="D3212">
        <v>5.7981259999999999</v>
      </c>
      <c r="E3212">
        <v>0.40598329999999999</v>
      </c>
      <c r="F3212" t="s">
        <v>48</v>
      </c>
      <c r="G3212">
        <v>-298.81810000000002</v>
      </c>
      <c r="H3212" s="1">
        <v>2.458591E-6</v>
      </c>
      <c r="I3212">
        <v>218.80889999999999</v>
      </c>
      <c r="J3212">
        <v>-310.92500000000001</v>
      </c>
      <c r="K3212">
        <v>1.1047990000000001</v>
      </c>
      <c r="L3212">
        <v>215.66079999999999</v>
      </c>
      <c r="M3212">
        <v>0.99905279999999996</v>
      </c>
      <c r="N3212">
        <v>0</v>
      </c>
      <c r="O3212">
        <v>-4.1102619999999999E-2</v>
      </c>
      <c r="P3212">
        <v>0.99748809999999999</v>
      </c>
      <c r="Q3212">
        <v>7.0287649999999993E-2</v>
      </c>
      <c r="R3212">
        <v>8.7993499999999992E-3</v>
      </c>
      <c r="S3212">
        <v>3.020966</v>
      </c>
      <c r="T3212">
        <v>-0.2670207</v>
      </c>
      <c r="U3212">
        <v>0.757019</v>
      </c>
      <c r="V3212">
        <v>-4.9842199999999899E-2</v>
      </c>
      <c r="W3212">
        <v>8.4498920000000005E-2</v>
      </c>
      <c r="X3212">
        <v>0.99517619999999896</v>
      </c>
      <c r="Y3212">
        <v>-0.28155449999999999</v>
      </c>
      <c r="Z3212">
        <v>1.580618E-2</v>
      </c>
      <c r="AA3212">
        <v>0.95941500000000002</v>
      </c>
      <c r="AB3212">
        <v>41</v>
      </c>
      <c r="AC3212">
        <v>12.1068999999999</v>
      </c>
      <c r="AD3212">
        <v>-1.104796541409</v>
      </c>
      <c r="AE3212">
        <v>3.1480999999999901</v>
      </c>
      <c r="AF3212">
        <v>-3.6149194529049802</v>
      </c>
      <c r="AG3212">
        <v>-1.104796541409</v>
      </c>
      <c r="AH3212">
        <v>11.8746382865088</v>
      </c>
      <c r="AI3212">
        <v>95.086234743401107</v>
      </c>
      <c r="AJ3212">
        <v>106.931483436614</v>
      </c>
      <c r="AK3212">
        <v>12.4617515817128</v>
      </c>
    </row>
    <row r="3213" spans="1:37" x14ac:dyDescent="0.2">
      <c r="A3213" t="str">
        <f>"20200111153713561"</f>
        <v>20200111153713561</v>
      </c>
      <c r="B3213" t="str">
        <f>"1578728233555864"</f>
        <v>1578728233555864</v>
      </c>
      <c r="C3213" t="s">
        <v>37</v>
      </c>
      <c r="D3213">
        <v>5.7930279999999996</v>
      </c>
      <c r="E3213">
        <v>0.40576440000000003</v>
      </c>
      <c r="F3213" t="s">
        <v>48</v>
      </c>
      <c r="G3213">
        <v>-298.60149999999999</v>
      </c>
      <c r="H3213" s="1">
        <v>2.42017899999999E-6</v>
      </c>
      <c r="I3213">
        <v>218.76570000000001</v>
      </c>
      <c r="J3213">
        <v>-310.51459999999997</v>
      </c>
      <c r="K3213">
        <v>1.1048169999999999</v>
      </c>
      <c r="L3213">
        <v>215.64410000000001</v>
      </c>
      <c r="M3213">
        <v>0.999065599999999</v>
      </c>
      <c r="N3213">
        <v>0</v>
      </c>
      <c r="O3213">
        <v>-4.079228E-2</v>
      </c>
      <c r="P3213">
        <v>0.99749279999999996</v>
      </c>
      <c r="Q3213">
        <v>7.0129739999999996E-2</v>
      </c>
      <c r="R3213">
        <v>9.4978900000000002E-3</v>
      </c>
      <c r="S3213">
        <v>3.01992799999999</v>
      </c>
      <c r="T3213">
        <v>-0.2707349</v>
      </c>
      <c r="U3213">
        <v>0.76086430000000005</v>
      </c>
      <c r="V3213">
        <v>-5.023582E-2</v>
      </c>
      <c r="W3213">
        <v>8.4334519999999996E-2</v>
      </c>
      <c r="X3213">
        <v>0.99517040000000001</v>
      </c>
      <c r="Y3213">
        <v>-0.28244750000000002</v>
      </c>
      <c r="Z3213">
        <v>1.6040059999999998E-2</v>
      </c>
      <c r="AA3213">
        <v>0.95914859999999902</v>
      </c>
      <c r="AB3213">
        <v>41</v>
      </c>
      <c r="AC3213">
        <v>11.913099999999901</v>
      </c>
      <c r="AD3213">
        <v>-1.1048145798209901</v>
      </c>
      <c r="AE3213">
        <v>3.1215999999999999</v>
      </c>
      <c r="AF3213">
        <v>-3.5762316479611198</v>
      </c>
      <c r="AG3213">
        <v>-1.1048145798209901</v>
      </c>
      <c r="AH3213">
        <v>11.681816314838899</v>
      </c>
      <c r="AI3213">
        <v>95.167362489584406</v>
      </c>
      <c r="AJ3213">
        <v>107.02126746812699</v>
      </c>
      <c r="AK3213">
        <v>12.266820308022</v>
      </c>
    </row>
    <row r="3214" spans="1:37" x14ac:dyDescent="0.2">
      <c r="A3214" t="str">
        <f>"20200111153713584"</f>
        <v>20200111153713584</v>
      </c>
      <c r="B3214" t="str">
        <f>"1578728233576364"</f>
        <v>1578728233576364</v>
      </c>
      <c r="C3214" t="s">
        <v>37</v>
      </c>
      <c r="D3214">
        <v>6.0418760000000002</v>
      </c>
      <c r="E3214">
        <v>0.40596129999999903</v>
      </c>
      <c r="F3214" t="s">
        <v>48</v>
      </c>
      <c r="G3214">
        <v>-298.23899999999998</v>
      </c>
      <c r="H3214" s="1">
        <v>2.3558770000000002E-6</v>
      </c>
      <c r="I3214">
        <v>218.75409999999999</v>
      </c>
      <c r="J3214">
        <v>-310.09550000000002</v>
      </c>
      <c r="K3214">
        <v>1.1048309999999999</v>
      </c>
      <c r="L3214">
        <v>215.62729999999999</v>
      </c>
      <c r="M3214">
        <v>0.99907819999999903</v>
      </c>
      <c r="N3214">
        <v>0</v>
      </c>
      <c r="O3214">
        <v>-4.0476789999999999E-2</v>
      </c>
      <c r="P3214">
        <v>0.99753060000000005</v>
      </c>
      <c r="Q3214">
        <v>6.9519449999999997E-2</v>
      </c>
      <c r="R3214">
        <v>9.9836769999999998E-3</v>
      </c>
      <c r="S3214">
        <v>3.0193479999999999</v>
      </c>
      <c r="T3214">
        <v>-0.27174419999999999</v>
      </c>
      <c r="U3214">
        <v>0.76492309999999997</v>
      </c>
      <c r="V3214">
        <v>-5.041118E-2</v>
      </c>
      <c r="W3214">
        <v>8.3719689999999999E-2</v>
      </c>
      <c r="X3214">
        <v>0.99521340000000003</v>
      </c>
      <c r="Y3214">
        <v>-0.28338869999999999</v>
      </c>
      <c r="Z3214">
        <v>1.6113700000000002E-2</v>
      </c>
      <c r="AA3214">
        <v>0.95886979999999999</v>
      </c>
      <c r="AB3214">
        <v>41</v>
      </c>
      <c r="AC3214">
        <v>11.856499999999899</v>
      </c>
      <c r="AD3214">
        <v>-1.104828644123</v>
      </c>
      <c r="AE3214">
        <v>3.1267999999999998</v>
      </c>
      <c r="AF3214">
        <v>-3.5751740176090401</v>
      </c>
      <c r="AG3214">
        <v>-1.104828644123</v>
      </c>
      <c r="AH3214">
        <v>11.6258212390692</v>
      </c>
      <c r="AI3214">
        <v>95.190177760491196</v>
      </c>
      <c r="AJ3214">
        <v>107.09371648638501</v>
      </c>
      <c r="AK3214">
        <v>12.213199215269199</v>
      </c>
    </row>
    <row r="3215" spans="1:37" x14ac:dyDescent="0.2">
      <c r="A3215" t="str">
        <f>"20200111153713607"</f>
        <v>20200111153713607</v>
      </c>
      <c r="B3215" t="str">
        <f>"1578728233595880"</f>
        <v>1578728233595880</v>
      </c>
      <c r="C3215" t="s">
        <v>37</v>
      </c>
      <c r="D3215">
        <v>5.8404239999999996</v>
      </c>
      <c r="E3215">
        <v>0.45764009999999999</v>
      </c>
      <c r="F3215" t="s">
        <v>48</v>
      </c>
      <c r="G3215">
        <v>-297.98829999999998</v>
      </c>
      <c r="H3215" s="1">
        <v>2.3114099999999999E-6</v>
      </c>
      <c r="I3215">
        <v>218.69290000000001</v>
      </c>
      <c r="J3215">
        <v>-309.6841</v>
      </c>
      <c r="K3215">
        <v>1.104846</v>
      </c>
      <c r="L3215">
        <v>215.61089999999999</v>
      </c>
      <c r="M3215">
        <v>0.9990909</v>
      </c>
      <c r="N3215">
        <v>0</v>
      </c>
      <c r="O3215">
        <v>-4.01684E-2</v>
      </c>
      <c r="P3215">
        <v>0.99755099999999997</v>
      </c>
      <c r="Q3215">
        <v>6.9231550000000003E-2</v>
      </c>
      <c r="R3215">
        <v>9.9692129999999993E-3</v>
      </c>
      <c r="S3215">
        <v>3.0189819999999998</v>
      </c>
      <c r="T3215">
        <v>-0.27549509999999899</v>
      </c>
      <c r="U3215">
        <v>0.76441959999999998</v>
      </c>
      <c r="V3215">
        <v>-5.0092539999999998E-2</v>
      </c>
      <c r="W3215">
        <v>8.3427920000000003E-2</v>
      </c>
      <c r="X3215">
        <v>0.99525399999999997</v>
      </c>
      <c r="Y3215">
        <v>-0.28293859999999998</v>
      </c>
      <c r="Z3215">
        <v>1.6289600000000001E-2</v>
      </c>
      <c r="AA3215">
        <v>0.95899969999999901</v>
      </c>
      <c r="AB3215">
        <v>41</v>
      </c>
      <c r="AC3215">
        <v>11.6958</v>
      </c>
      <c r="AD3215">
        <v>-1.1048436885899999</v>
      </c>
      <c r="AE3215">
        <v>3.0820000000000198</v>
      </c>
      <c r="AF3215">
        <v>-3.5199899891904098</v>
      </c>
      <c r="AG3215">
        <v>-1.1048436885899999</v>
      </c>
      <c r="AH3215">
        <v>11.4668650188953</v>
      </c>
      <c r="AI3215">
        <v>95.262602632620997</v>
      </c>
      <c r="AJ3215">
        <v>107.064944755525</v>
      </c>
      <c r="AK3215">
        <v>12.0457462393071</v>
      </c>
    </row>
    <row r="3216" spans="1:37" x14ac:dyDescent="0.2">
      <c r="A3216" t="str">
        <f>"20200111153713629"</f>
        <v>20200111153713629</v>
      </c>
      <c r="B3216" t="str">
        <f>"1578728233626137"</f>
        <v>1578728233626137</v>
      </c>
      <c r="C3216" t="s">
        <v>37</v>
      </c>
      <c r="D3216">
        <v>6.0260489999999898</v>
      </c>
      <c r="E3216">
        <v>0.47783140000000002</v>
      </c>
      <c r="F3216" t="s">
        <v>48</v>
      </c>
      <c r="G3216">
        <v>-294.07159999999999</v>
      </c>
      <c r="H3216" s="1">
        <v>1.616643E-6</v>
      </c>
      <c r="I3216">
        <v>217.44099999999901</v>
      </c>
      <c r="J3216">
        <v>-309.29149999999998</v>
      </c>
      <c r="K3216">
        <v>1.1048530000000001</v>
      </c>
      <c r="L3216">
        <v>215.59540000000001</v>
      </c>
      <c r="M3216">
        <v>0.9991025</v>
      </c>
      <c r="N3216">
        <v>0</v>
      </c>
      <c r="O3216">
        <v>-3.9873800000000001E-2</v>
      </c>
      <c r="P3216">
        <v>0.99757809999999902</v>
      </c>
      <c r="Q3216">
        <v>6.8948999999999996E-2</v>
      </c>
      <c r="R3216">
        <v>9.1476409999999998E-3</v>
      </c>
      <c r="S3216">
        <v>3.0186459999999999</v>
      </c>
      <c r="T3216">
        <v>-0.213618899999999</v>
      </c>
      <c r="U3216">
        <v>0.35383609999999999</v>
      </c>
      <c r="V3216">
        <v>-4.8980330000000002E-2</v>
      </c>
      <c r="W3216">
        <v>8.3143289999999995E-2</v>
      </c>
      <c r="X3216">
        <v>0.99533320000000003</v>
      </c>
      <c r="Y3216">
        <v>-0.15545149999999999</v>
      </c>
      <c r="Z3216">
        <v>8.2848209999999995E-3</v>
      </c>
      <c r="AA3216">
        <v>0.98780879999999904</v>
      </c>
      <c r="AB3216">
        <v>41</v>
      </c>
      <c r="AC3216">
        <v>15.2198999999999</v>
      </c>
      <c r="AD3216">
        <v>-1.1048513833569999</v>
      </c>
      <c r="AE3216">
        <v>1.8455999999999599</v>
      </c>
      <c r="AF3216">
        <v>-2.4384057757781901</v>
      </c>
      <c r="AG3216">
        <v>-1.1048513833569999</v>
      </c>
      <c r="AH3216">
        <v>15.056004351148999</v>
      </c>
      <c r="AI3216">
        <v>94.143206402878107</v>
      </c>
      <c r="AJ3216">
        <v>99.199500049157095</v>
      </c>
      <c r="AK3216">
        <v>15.2921478651127</v>
      </c>
    </row>
    <row r="3217" spans="1:37" x14ac:dyDescent="0.2">
      <c r="A3217" t="str">
        <f>"20200111153713651"</f>
        <v>20200111153713651</v>
      </c>
      <c r="B3217" t="str">
        <f>"1578728233646633"</f>
        <v>1578728233646633</v>
      </c>
      <c r="C3217" t="s">
        <v>37</v>
      </c>
      <c r="D3217">
        <v>6.1594930000000003</v>
      </c>
      <c r="E3217">
        <v>0.4806822</v>
      </c>
      <c r="F3217" t="s">
        <v>48</v>
      </c>
      <c r="G3217">
        <v>-291.37670000000003</v>
      </c>
      <c r="H3217" s="1">
        <v>1.1386199999999999E-6</v>
      </c>
      <c r="I3217">
        <v>216.7303</v>
      </c>
      <c r="J3217">
        <v>-308.88959999999997</v>
      </c>
      <c r="K3217">
        <v>1.1048629999999999</v>
      </c>
      <c r="L3217">
        <v>215.5796</v>
      </c>
      <c r="M3217">
        <v>0.99911479999999997</v>
      </c>
      <c r="N3217">
        <v>0</v>
      </c>
      <c r="O3217">
        <v>-3.9571960000000003E-2</v>
      </c>
      <c r="P3217">
        <v>0.99759469999999995</v>
      </c>
      <c r="Q3217">
        <v>6.8807720000000003E-2</v>
      </c>
      <c r="R3217">
        <v>8.4246970000000001E-3</v>
      </c>
      <c r="S3217">
        <v>3.018402</v>
      </c>
      <c r="T3217">
        <v>-0.18615329999999999</v>
      </c>
      <c r="U3217">
        <v>0.19122310000000001</v>
      </c>
      <c r="V3217">
        <v>-4.7959519999999999E-2</v>
      </c>
      <c r="W3217">
        <v>8.2999299999999998E-2</v>
      </c>
      <c r="X3217">
        <v>0.99539489999999997</v>
      </c>
      <c r="Y3217">
        <v>-0.102404199999999</v>
      </c>
      <c r="Z3217">
        <v>5.5879229999999998E-3</v>
      </c>
      <c r="AA3217">
        <v>0.99472719999999903</v>
      </c>
      <c r="AB3217">
        <v>41</v>
      </c>
      <c r="AC3217">
        <v>17.512899999999899</v>
      </c>
      <c r="AD3217">
        <v>-1.1048618613799901</v>
      </c>
      <c r="AE3217">
        <v>1.1507000000000001</v>
      </c>
      <c r="AF3217">
        <v>-1.83561424451711</v>
      </c>
      <c r="AG3217">
        <v>-1.1048618613799901</v>
      </c>
      <c r="AH3217">
        <v>17.384743160805801</v>
      </c>
      <c r="AI3217">
        <v>93.616409018513394</v>
      </c>
      <c r="AJ3217">
        <v>96.027393838204901</v>
      </c>
      <c r="AK3217">
        <v>17.516263704186201</v>
      </c>
    </row>
    <row r="3218" spans="1:37" x14ac:dyDescent="0.2">
      <c r="A3218" t="str">
        <f>"20200111153713674"</f>
        <v>20200111153713674</v>
      </c>
      <c r="B3218" t="str">
        <f>"1578728233666155"</f>
        <v>1578728233666155</v>
      </c>
      <c r="C3218" t="s">
        <v>37</v>
      </c>
      <c r="D3218">
        <v>6.146954</v>
      </c>
      <c r="E3218">
        <v>0.48176750000000002</v>
      </c>
      <c r="F3218" t="s">
        <v>48</v>
      </c>
      <c r="G3218">
        <v>-289.44779999999997</v>
      </c>
      <c r="H3218" s="1">
        <v>2.6581110000000001E-6</v>
      </c>
      <c r="I3218">
        <v>216.65549999999999</v>
      </c>
      <c r="J3218">
        <v>-308.46589999999998</v>
      </c>
      <c r="K3218">
        <v>1.1048690000000001</v>
      </c>
      <c r="L3218">
        <v>215.56309999999999</v>
      </c>
      <c r="M3218">
        <v>0.99912730000000005</v>
      </c>
      <c r="N3218">
        <v>0</v>
      </c>
      <c r="O3218">
        <v>-3.9252860000000001E-2</v>
      </c>
      <c r="P3218">
        <v>0.99755629999999995</v>
      </c>
      <c r="Q3218">
        <v>6.9444069999999997E-2</v>
      </c>
      <c r="R3218">
        <v>7.703461E-3</v>
      </c>
      <c r="S3218">
        <v>3.017639</v>
      </c>
      <c r="T3218">
        <v>-0.17148949999999999</v>
      </c>
      <c r="U3218">
        <v>0.16699220000000001</v>
      </c>
      <c r="V3218">
        <v>-4.6920389999999999E-2</v>
      </c>
      <c r="W3218">
        <v>8.3633200000000005E-2</v>
      </c>
      <c r="X3218">
        <v>0.99539140000000004</v>
      </c>
      <c r="Y3218">
        <v>-9.4193700000000005E-2</v>
      </c>
      <c r="Z3218">
        <v>4.8998770000000004E-3</v>
      </c>
      <c r="AA3218">
        <v>0.99554179999999903</v>
      </c>
      <c r="AB3218">
        <v>41</v>
      </c>
      <c r="AC3218">
        <v>19.0181</v>
      </c>
      <c r="AD3218">
        <v>-1.1048663418889999</v>
      </c>
      <c r="AE3218">
        <v>1.09239999999999</v>
      </c>
      <c r="AF3218">
        <v>-1.8319860605688301</v>
      </c>
      <c r="AG3218">
        <v>-1.1048663418889999</v>
      </c>
      <c r="AH3218">
        <v>18.896986471874001</v>
      </c>
      <c r="AI3218">
        <v>93.330572883426896</v>
      </c>
      <c r="AJ3218">
        <v>95.537288867114995</v>
      </c>
      <c r="AK3218">
        <v>19.017702287020601</v>
      </c>
    </row>
    <row r="3219" spans="1:37" x14ac:dyDescent="0.2">
      <c r="A3219" t="str">
        <f>"20200111153713696"</f>
        <v>20200111153713696</v>
      </c>
      <c r="B3219" t="str">
        <f>"1578728233686651"</f>
        <v>1578728233686651</v>
      </c>
      <c r="C3219" t="s">
        <v>37</v>
      </c>
      <c r="D3219">
        <v>6.0804010000000002</v>
      </c>
      <c r="E3219">
        <v>0.48278690000000002</v>
      </c>
      <c r="F3219" t="s">
        <v>48</v>
      </c>
      <c r="G3219">
        <v>-288.4128</v>
      </c>
      <c r="H3219" s="1">
        <v>3.1233109999999999E-6</v>
      </c>
      <c r="I3219">
        <v>216.60339999999999</v>
      </c>
      <c r="J3219">
        <v>-308.06990000000002</v>
      </c>
      <c r="K3219">
        <v>1.104876</v>
      </c>
      <c r="L3219">
        <v>215.5478</v>
      </c>
      <c r="M3219">
        <v>0.999138999999999</v>
      </c>
      <c r="N3219">
        <v>0</v>
      </c>
      <c r="O3219">
        <v>-3.8953939999999999E-2</v>
      </c>
      <c r="P3219">
        <v>0.99750550000000004</v>
      </c>
      <c r="Q3219">
        <v>7.020113E-2</v>
      </c>
      <c r="R3219">
        <v>7.3922049999999998E-3</v>
      </c>
      <c r="S3219">
        <v>3.0177309999999999</v>
      </c>
      <c r="T3219">
        <v>-0.16626749999999901</v>
      </c>
      <c r="U3219">
        <v>0.15655520000000001</v>
      </c>
      <c r="V3219">
        <v>-4.631035E-2</v>
      </c>
      <c r="W3219">
        <v>8.4386790000000003E-2</v>
      </c>
      <c r="X3219">
        <v>0.99535629999999997</v>
      </c>
      <c r="Y3219">
        <v>-9.0479180000000006E-2</v>
      </c>
      <c r="Z3219">
        <v>4.6325289999999998E-3</v>
      </c>
      <c r="AA3219">
        <v>0.99588759999999998</v>
      </c>
      <c r="AB3219">
        <v>41</v>
      </c>
      <c r="AC3219">
        <v>19.6571</v>
      </c>
      <c r="AD3219">
        <v>-1.1048728766889999</v>
      </c>
      <c r="AE3219">
        <v>1.0555999999999901</v>
      </c>
      <c r="AF3219">
        <v>-1.8148809969523301</v>
      </c>
      <c r="AG3219">
        <v>-1.1048728766889999</v>
      </c>
      <c r="AH3219">
        <v>19.539500479981701</v>
      </c>
      <c r="AI3219">
        <v>93.222536672772506</v>
      </c>
      <c r="AJ3219">
        <v>95.306559760671504</v>
      </c>
      <c r="AK3219">
        <v>19.654684330050799</v>
      </c>
    </row>
    <row r="3220" spans="1:37" x14ac:dyDescent="0.2">
      <c r="A3220" t="str">
        <f>"20200111153713717"</f>
        <v>20200111153713717</v>
      </c>
      <c r="B3220" t="str">
        <f>"1578728233706168"</f>
        <v>1578728233706168</v>
      </c>
      <c r="C3220" t="s">
        <v>37</v>
      </c>
      <c r="D3220">
        <v>6.0199949999999998</v>
      </c>
      <c r="E3220">
        <v>0.48286289999999998</v>
      </c>
      <c r="F3220" t="s">
        <v>48</v>
      </c>
      <c r="G3220">
        <v>-288.56029999999998</v>
      </c>
      <c r="H3220" s="1">
        <v>3.0701479999999899E-6</v>
      </c>
      <c r="I3220">
        <v>216.50059999999999</v>
      </c>
      <c r="J3220">
        <v>-307.68200000000002</v>
      </c>
      <c r="K3220">
        <v>1.1048910000000001</v>
      </c>
      <c r="L3220">
        <v>215.53290000000001</v>
      </c>
      <c r="M3220">
        <v>0.99915049999999905</v>
      </c>
      <c r="N3220">
        <v>0</v>
      </c>
      <c r="O3220">
        <v>-3.8661000000000001E-2</v>
      </c>
      <c r="P3220">
        <v>0.99747199999999903</v>
      </c>
      <c r="Q3220">
        <v>7.0750649999999998E-2</v>
      </c>
      <c r="R3220">
        <v>6.6425360000000001E-3</v>
      </c>
      <c r="S3220">
        <v>3.018402</v>
      </c>
      <c r="T3220">
        <v>-0.1709388</v>
      </c>
      <c r="U3220">
        <v>0.1474152</v>
      </c>
      <c r="V3220">
        <v>-4.5268799999999998E-2</v>
      </c>
      <c r="W3220">
        <v>8.4934609999999994E-2</v>
      </c>
      <c r="X3220">
        <v>0.99535759999999995</v>
      </c>
      <c r="Y3220">
        <v>-8.7161890000000006E-2</v>
      </c>
      <c r="Z3220">
        <v>4.6513780000000003E-3</v>
      </c>
      <c r="AA3220">
        <v>0.99618329999999999</v>
      </c>
      <c r="AB3220">
        <v>41</v>
      </c>
      <c r="AC3220">
        <v>19.121700000000001</v>
      </c>
      <c r="AD3220">
        <v>-1.104887929852</v>
      </c>
      <c r="AE3220">
        <v>0.96769999999997902</v>
      </c>
      <c r="AF3220">
        <v>-1.70065215732713</v>
      </c>
      <c r="AG3220">
        <v>-1.104887929852</v>
      </c>
      <c r="AH3220">
        <v>19.006688932482501</v>
      </c>
      <c r="AI3220">
        <v>93.313738359131506</v>
      </c>
      <c r="AJ3220">
        <v>95.113010295112502</v>
      </c>
      <c r="AK3220">
        <v>19.114581326147501</v>
      </c>
    </row>
    <row r="3221" spans="1:37" x14ac:dyDescent="0.2">
      <c r="A3221" t="str">
        <f>"20200111153713741"</f>
        <v>20200111153713741</v>
      </c>
      <c r="B3221" t="str">
        <f>"1578728233736424"</f>
        <v>1578728233736424</v>
      </c>
      <c r="C3221" t="s">
        <v>37</v>
      </c>
      <c r="D3221">
        <v>5.8662279999999898</v>
      </c>
      <c r="E3221">
        <v>0.48243140000000001</v>
      </c>
      <c r="F3221" t="s">
        <v>48</v>
      </c>
      <c r="G3221">
        <v>-287.98820000000001</v>
      </c>
      <c r="H3221" s="1">
        <v>3.326591E-6</v>
      </c>
      <c r="I3221">
        <v>216.4776</v>
      </c>
      <c r="J3221">
        <v>-307.27210000000002</v>
      </c>
      <c r="K3221">
        <v>1.104897</v>
      </c>
      <c r="L3221">
        <v>215.51730000000001</v>
      </c>
      <c r="M3221">
        <v>0.99916260000000001</v>
      </c>
      <c r="N3221">
        <v>0</v>
      </c>
      <c r="O3221">
        <v>-3.8350790000000003E-2</v>
      </c>
      <c r="P3221">
        <v>0.99743400000000004</v>
      </c>
      <c r="Q3221">
        <v>7.1285000000000001E-2</v>
      </c>
      <c r="R3221">
        <v>6.6438799999999996E-3</v>
      </c>
      <c r="S3221">
        <v>3.0186459999999999</v>
      </c>
      <c r="T3221">
        <v>-0.1693559</v>
      </c>
      <c r="U3221">
        <v>0.14479059999999999</v>
      </c>
      <c r="V3221">
        <v>-4.4960130000000001E-2</v>
      </c>
      <c r="W3221">
        <v>8.5466260000000002E-2</v>
      </c>
      <c r="X3221">
        <v>0.99532609999999999</v>
      </c>
      <c r="Y3221">
        <v>-8.5990590000000006E-2</v>
      </c>
      <c r="Z3221">
        <v>4.5578989999999998E-3</v>
      </c>
      <c r="AA3221">
        <v>0.99628549999999905</v>
      </c>
      <c r="AB3221">
        <v>40</v>
      </c>
      <c r="AC3221">
        <v>19.283899999999999</v>
      </c>
      <c r="AD3221">
        <v>-1.104893673409</v>
      </c>
      <c r="AE3221">
        <v>0.96029999999998905</v>
      </c>
      <c r="AF3221">
        <v>-1.6936750623850401</v>
      </c>
      <c r="AG3221">
        <v>-1.104893673409</v>
      </c>
      <c r="AH3221">
        <v>19.1701017510787</v>
      </c>
      <c r="AI3221">
        <v>93.2858959145765</v>
      </c>
      <c r="AJ3221">
        <v>95.048962230244499</v>
      </c>
      <c r="AK3221">
        <v>19.276465609473</v>
      </c>
    </row>
    <row r="3222" spans="1:37" x14ac:dyDescent="0.2">
      <c r="A3222" t="str">
        <f>"20200111153713762"</f>
        <v>20200111153713762</v>
      </c>
      <c r="B3222" t="str">
        <f>"1578728233755945"</f>
        <v>1578728233755945</v>
      </c>
      <c r="C3222" t="s">
        <v>37</v>
      </c>
      <c r="D3222">
        <v>6.1599059999999897</v>
      </c>
      <c r="E3222">
        <v>0.48233029999999999</v>
      </c>
      <c r="F3222" t="s">
        <v>48</v>
      </c>
      <c r="G3222">
        <v>-287.08679999999998</v>
      </c>
      <c r="H3222" s="1">
        <v>3.7222569999999998E-6</v>
      </c>
      <c r="I3222">
        <v>216.51179999999999</v>
      </c>
      <c r="J3222">
        <v>-306.86500000000001</v>
      </c>
      <c r="K3222">
        <v>1.1049040000000001</v>
      </c>
      <c r="L3222">
        <v>215.50200000000001</v>
      </c>
      <c r="M3222">
        <v>0.99917429999999996</v>
      </c>
      <c r="N3222">
        <v>0</v>
      </c>
      <c r="O3222">
        <v>-3.8042609999999998E-2</v>
      </c>
      <c r="P3222">
        <v>0.99740169999999995</v>
      </c>
      <c r="Q3222">
        <v>7.1784410000000007E-2</v>
      </c>
      <c r="R3222">
        <v>6.0987709999999898E-3</v>
      </c>
      <c r="S3222">
        <v>3.0185240000000002</v>
      </c>
      <c r="T3222">
        <v>-0.16522619999999999</v>
      </c>
      <c r="U3222">
        <v>0.14871219999999999</v>
      </c>
      <c r="V3222">
        <v>-4.4107250000000001E-2</v>
      </c>
      <c r="W3222">
        <v>8.5963659999999997E-2</v>
      </c>
      <c r="X3222">
        <v>0.99532149999999997</v>
      </c>
      <c r="Y3222">
        <v>-8.6984829999999999E-2</v>
      </c>
      <c r="Z3222">
        <v>4.4573019999999998E-3</v>
      </c>
      <c r="AA3222">
        <v>0.99619969999999902</v>
      </c>
      <c r="AB3222">
        <v>40</v>
      </c>
      <c r="AC3222">
        <v>19.778199999999998</v>
      </c>
      <c r="AD3222">
        <v>-1.1049002777429999</v>
      </c>
      <c r="AE3222">
        <v>1.00979999999998</v>
      </c>
      <c r="AF3222">
        <v>-1.7560935335657899</v>
      </c>
      <c r="AG3222">
        <v>-1.1049002777429999</v>
      </c>
      <c r="AH3222">
        <v>19.6642510796528</v>
      </c>
      <c r="AI3222">
        <v>93.203248087168404</v>
      </c>
      <c r="AJ3222">
        <v>95.103196724427605</v>
      </c>
      <c r="AK3222">
        <v>19.773402328532502</v>
      </c>
    </row>
    <row r="3223" spans="1:37" x14ac:dyDescent="0.2">
      <c r="A3223" t="str">
        <f>"20200111153713818"</f>
        <v>20200111153713818</v>
      </c>
      <c r="B3223" t="str">
        <f>"1578728233806711"</f>
        <v>1578728233806711</v>
      </c>
      <c r="C3223" t="s">
        <v>37</v>
      </c>
      <c r="D3223">
        <v>6.1387130000000001</v>
      </c>
      <c r="E3223">
        <v>0.48227150000000002</v>
      </c>
      <c r="F3223" t="s">
        <v>48</v>
      </c>
      <c r="G3223">
        <v>-286.18950000000001</v>
      </c>
      <c r="H3223" s="1">
        <v>4.1196969999999998E-6</v>
      </c>
      <c r="I3223">
        <v>216.51570000000001</v>
      </c>
      <c r="J3223">
        <v>-305.87849999999997</v>
      </c>
      <c r="K3223">
        <v>1.1049059999999999</v>
      </c>
      <c r="L3223">
        <v>215.46539999999999</v>
      </c>
      <c r="M3223">
        <v>0.99920249999999999</v>
      </c>
      <c r="N3223">
        <v>0</v>
      </c>
      <c r="O3223">
        <v>-3.7295499999999898E-2</v>
      </c>
      <c r="P3223">
        <v>0.99744449999999996</v>
      </c>
      <c r="Q3223">
        <v>7.1227470000000001E-2</v>
      </c>
      <c r="R3223">
        <v>5.5731359999999898E-3</v>
      </c>
      <c r="S3223">
        <v>3.0185240000000002</v>
      </c>
      <c r="T3223">
        <v>-0.1613106</v>
      </c>
      <c r="U3223">
        <v>0.14799499999999999</v>
      </c>
      <c r="V3223">
        <v>-4.2838759999999997E-2</v>
      </c>
      <c r="W3223">
        <v>8.5402580000000006E-2</v>
      </c>
      <c r="X3223">
        <v>0.99542520000000001</v>
      </c>
      <c r="Y3223">
        <v>-8.6014980000000005E-2</v>
      </c>
      <c r="Z3223">
        <v>4.2860900000000002E-3</v>
      </c>
      <c r="AA3223">
        <v>0.99628459999999996</v>
      </c>
      <c r="AB3223">
        <v>40</v>
      </c>
      <c r="AC3223">
        <v>19.688999999999901</v>
      </c>
      <c r="AD3223">
        <v>-1.104901880303</v>
      </c>
      <c r="AE3223">
        <v>1.05030000000002</v>
      </c>
      <c r="AF3223">
        <v>-1.77837038066689</v>
      </c>
      <c r="AG3223">
        <v>-1.104901880303</v>
      </c>
      <c r="AH3223">
        <v>19.5746541874569</v>
      </c>
      <c r="AI3223">
        <v>93.217440094238</v>
      </c>
      <c r="AJ3223">
        <v>95.191108860052395</v>
      </c>
      <c r="AK3223">
        <v>19.686302241265501</v>
      </c>
    </row>
    <row r="3224" spans="1:37" x14ac:dyDescent="0.2">
      <c r="A3224" t="str">
        <f>"20200111153713841"</f>
        <v>20200111153713841</v>
      </c>
      <c r="B3224" t="str">
        <f>"1578728233835977"</f>
        <v>1578728233835977</v>
      </c>
      <c r="C3224" t="s">
        <v>37</v>
      </c>
      <c r="D3224">
        <v>6.1317919999999999</v>
      </c>
      <c r="E3224">
        <v>0.48217949999999998</v>
      </c>
      <c r="F3224" t="s">
        <v>48</v>
      </c>
      <c r="G3224">
        <v>-285.77249999999998</v>
      </c>
      <c r="H3224" s="1">
        <v>4.3130629999999999E-6</v>
      </c>
      <c r="I3224">
        <v>216.44479999999999</v>
      </c>
      <c r="J3224">
        <v>-305.45769999999999</v>
      </c>
      <c r="K3224">
        <v>1.1049089999999999</v>
      </c>
      <c r="L3224">
        <v>215.45</v>
      </c>
      <c r="M3224">
        <v>0.99921439999999995</v>
      </c>
      <c r="N3224">
        <v>0</v>
      </c>
      <c r="O3224">
        <v>-3.6975889999999997E-2</v>
      </c>
      <c r="P3224">
        <v>0.99748869999999901</v>
      </c>
      <c r="Q3224">
        <v>7.0574239999999996E-2</v>
      </c>
      <c r="R3224">
        <v>5.9650569999999898E-3</v>
      </c>
      <c r="S3224">
        <v>3.0186769999999998</v>
      </c>
      <c r="T3224">
        <v>-0.1658878</v>
      </c>
      <c r="U3224">
        <v>0.14704900000000001</v>
      </c>
      <c r="V3224">
        <v>-4.2912850000000002E-2</v>
      </c>
      <c r="W3224">
        <v>8.4746950000000001E-2</v>
      </c>
      <c r="X3224">
        <v>0.99547799999999997</v>
      </c>
      <c r="Y3224">
        <v>-8.5373699999999997E-2</v>
      </c>
      <c r="Z3224">
        <v>4.3721990000000002E-3</v>
      </c>
      <c r="AA3224">
        <v>0.99633939999999999</v>
      </c>
      <c r="AB3224">
        <v>40</v>
      </c>
      <c r="AC3224">
        <v>19.685199999999998</v>
      </c>
      <c r="AD3224">
        <v>-1.1049046869369901</v>
      </c>
      <c r="AE3224">
        <v>0.99479999999999702</v>
      </c>
      <c r="AF3224">
        <v>-1.7166768941363699</v>
      </c>
      <c r="AG3224">
        <v>-1.1049046869369901</v>
      </c>
      <c r="AH3224">
        <v>19.573440643818799</v>
      </c>
      <c r="AI3224">
        <v>93.218542209339802</v>
      </c>
      <c r="AJ3224">
        <v>95.0122667424924</v>
      </c>
      <c r="AK3224">
        <v>19.6796182016617</v>
      </c>
    </row>
    <row r="3225" spans="1:37" x14ac:dyDescent="0.2">
      <c r="A3225" t="str">
        <f>"20200111153713863"</f>
        <v>20200111153713863</v>
      </c>
      <c r="B3225" t="str">
        <f>"1578728233856473"</f>
        <v>1578728233856473</v>
      </c>
      <c r="C3225" t="s">
        <v>37</v>
      </c>
      <c r="D3225">
        <v>6.0056269999999996</v>
      </c>
      <c r="E3225">
        <v>0.48188530000000002</v>
      </c>
      <c r="F3225" t="s">
        <v>48</v>
      </c>
      <c r="G3225">
        <v>-285.94400000000002</v>
      </c>
      <c r="H3225" s="1">
        <v>4.2409429999999996E-6</v>
      </c>
      <c r="I3225">
        <v>216.4119</v>
      </c>
      <c r="J3225">
        <v>-305.05829999999997</v>
      </c>
      <c r="K3225">
        <v>1.1049059999999999</v>
      </c>
      <c r="L3225">
        <v>215.43549999999999</v>
      </c>
      <c r="M3225">
        <v>0.99922569999999999</v>
      </c>
      <c r="N3225">
        <v>0</v>
      </c>
      <c r="O3225">
        <v>-3.6673339999999999E-2</v>
      </c>
      <c r="P3225">
        <v>0.99748429999999999</v>
      </c>
      <c r="Q3225">
        <v>7.0631310000000003E-2</v>
      </c>
      <c r="R3225">
        <v>6.0567429999999998E-3</v>
      </c>
      <c r="S3225">
        <v>3.018799</v>
      </c>
      <c r="T3225">
        <v>-0.17093050000000001</v>
      </c>
      <c r="U3225">
        <v>0.14880370000000001</v>
      </c>
      <c r="V3225">
        <v>-4.2702360000000002E-2</v>
      </c>
      <c r="W3225">
        <v>8.4802530000000001E-2</v>
      </c>
      <c r="X3225">
        <v>0.99548230000000004</v>
      </c>
      <c r="Y3225">
        <v>-8.5636539999999997E-2</v>
      </c>
      <c r="Z3225">
        <v>4.4949809999999899E-3</v>
      </c>
      <c r="AA3225">
        <v>0.99631630000000004</v>
      </c>
      <c r="AB3225">
        <v>40</v>
      </c>
      <c r="AC3225">
        <v>19.114299999999901</v>
      </c>
      <c r="AD3225">
        <v>-1.1049017590570001</v>
      </c>
      <c r="AE3225">
        <v>0.97640000000001204</v>
      </c>
      <c r="AF3225">
        <v>-1.6712297159431999</v>
      </c>
      <c r="AG3225">
        <v>-1.1049017590570001</v>
      </c>
      <c r="AH3225">
        <v>19.0022985112351</v>
      </c>
      <c r="AI3225">
        <v>93.314988407109098</v>
      </c>
      <c r="AJ3225">
        <v>95.026163658673696</v>
      </c>
      <c r="AK3225">
        <v>19.1076206098694</v>
      </c>
    </row>
    <row r="3226" spans="1:37" x14ac:dyDescent="0.2">
      <c r="A3226" t="str">
        <f>"20200111153713885"</f>
        <v>20200111153713885</v>
      </c>
      <c r="B3226" t="str">
        <f>"1578728233875993"</f>
        <v>1578728233875993</v>
      </c>
      <c r="C3226" t="s">
        <v>37</v>
      </c>
      <c r="D3226">
        <v>6.1334669999999996</v>
      </c>
      <c r="E3226">
        <v>0.48188300000000001</v>
      </c>
      <c r="F3226" t="s">
        <v>48</v>
      </c>
      <c r="G3226">
        <v>-285.76949999999999</v>
      </c>
      <c r="H3226" s="1">
        <v>4.3193089999999999E-6</v>
      </c>
      <c r="I3226">
        <v>216.40360000000001</v>
      </c>
      <c r="J3226">
        <v>-304.65179999999998</v>
      </c>
      <c r="K3226">
        <v>1.1049069999999901</v>
      </c>
      <c r="L3226">
        <v>215.42089999999999</v>
      </c>
      <c r="M3226">
        <v>0.99923689999999998</v>
      </c>
      <c r="N3226">
        <v>0</v>
      </c>
      <c r="O3226">
        <v>-3.63647E-2</v>
      </c>
      <c r="P3226">
        <v>0.9975117</v>
      </c>
      <c r="Q3226">
        <v>7.0219509999999999E-2</v>
      </c>
      <c r="R3226">
        <v>6.3094309999999999E-3</v>
      </c>
      <c r="S3226">
        <v>3.0188899999999999</v>
      </c>
      <c r="T3226">
        <v>-0.17292850000000001</v>
      </c>
      <c r="U3226">
        <v>0.15151979999999901</v>
      </c>
      <c r="V3226">
        <v>-4.2647860000000003E-2</v>
      </c>
      <c r="W3226">
        <v>8.4388229999999995E-2</v>
      </c>
      <c r="X3226">
        <v>0.99551990000000001</v>
      </c>
      <c r="Y3226">
        <v>-8.6216459999999995E-2</v>
      </c>
      <c r="Z3226">
        <v>4.5461379999999999E-3</v>
      </c>
      <c r="AA3226">
        <v>0.99626610000000004</v>
      </c>
      <c r="AB3226">
        <v>40</v>
      </c>
      <c r="AC3226">
        <v>18.882299999999901</v>
      </c>
      <c r="AD3226">
        <v>-1.1049026806909901</v>
      </c>
      <c r="AE3226">
        <v>0.982700000000022</v>
      </c>
      <c r="AF3226">
        <v>-1.6630897573552199</v>
      </c>
      <c r="AG3226">
        <v>-1.1049026806909901</v>
      </c>
      <c r="AH3226">
        <v>18.769973758296999</v>
      </c>
      <c r="AI3226">
        <v>93.355737084033606</v>
      </c>
      <c r="AJ3226">
        <v>95.063397346605498</v>
      </c>
      <c r="AK3226">
        <v>18.875873287399902</v>
      </c>
    </row>
    <row r="3227" spans="1:37" x14ac:dyDescent="0.2">
      <c r="A3227" t="str">
        <f>"20200111153713908"</f>
        <v>20200111153713908</v>
      </c>
      <c r="B3227" t="str">
        <f>"1578728233896488"</f>
        <v>1578728233896488</v>
      </c>
      <c r="C3227" t="s">
        <v>37</v>
      </c>
      <c r="D3227">
        <v>5.886082</v>
      </c>
      <c r="E3227">
        <v>0.481854</v>
      </c>
      <c r="F3227" t="s">
        <v>48</v>
      </c>
      <c r="G3227">
        <v>-285.62849999999997</v>
      </c>
      <c r="H3227" s="1">
        <v>4.3847160000000002E-6</v>
      </c>
      <c r="I3227">
        <v>216.37960000000001</v>
      </c>
      <c r="J3227">
        <v>-304.27159999999998</v>
      </c>
      <c r="K3227">
        <v>1.104905</v>
      </c>
      <c r="L3227">
        <v>215.40729999999999</v>
      </c>
      <c r="M3227">
        <v>0.99924740000000001</v>
      </c>
      <c r="N3227">
        <v>0</v>
      </c>
      <c r="O3227">
        <v>-3.60761E-2</v>
      </c>
      <c r="P3227">
        <v>0.99750640000000002</v>
      </c>
      <c r="Q3227">
        <v>7.0298079999999999E-2</v>
      </c>
      <c r="R3227">
        <v>6.2628240000000002E-3</v>
      </c>
      <c r="S3227">
        <v>3.0188599999999899</v>
      </c>
      <c r="T3227">
        <v>-0.17533979999999999</v>
      </c>
      <c r="U3227">
        <v>0.15214539999999999</v>
      </c>
      <c r="V3227">
        <v>-4.2313389999999999E-2</v>
      </c>
      <c r="W3227">
        <v>8.4464709999999998E-2</v>
      </c>
      <c r="X3227">
        <v>0.99552759999999996</v>
      </c>
      <c r="Y3227">
        <v>-8.6130150000000003E-2</v>
      </c>
      <c r="Z3227">
        <v>4.5902069999999998E-3</v>
      </c>
      <c r="AA3227">
        <v>0.99627330000000003</v>
      </c>
      <c r="AB3227">
        <v>40</v>
      </c>
      <c r="AC3227">
        <v>18.6431</v>
      </c>
      <c r="AD3227">
        <v>-1.104900615284</v>
      </c>
      <c r="AE3227">
        <v>0.97230000000001804</v>
      </c>
      <c r="AF3227">
        <v>-1.63856584571811</v>
      </c>
      <c r="AG3227">
        <v>-1.104900615284</v>
      </c>
      <c r="AH3227">
        <v>18.530968826021301</v>
      </c>
      <c r="AI3227">
        <v>93.398964650384499</v>
      </c>
      <c r="AJ3227">
        <v>95.053128667299205</v>
      </c>
      <c r="AK3227">
        <v>18.6360540091346</v>
      </c>
    </row>
    <row r="3228" spans="1:37" x14ac:dyDescent="0.2">
      <c r="A3228" t="str">
        <f>"20200111153713929"</f>
        <v>20200111153713929</v>
      </c>
      <c r="B3228" t="str">
        <f>"1578728233916009"</f>
        <v>1578728233916009</v>
      </c>
      <c r="C3228" t="s">
        <v>37</v>
      </c>
      <c r="D3228">
        <v>6.0170969999999997</v>
      </c>
      <c r="E3228">
        <v>0.48211320000000002</v>
      </c>
      <c r="F3228" t="s">
        <v>48</v>
      </c>
      <c r="G3228">
        <v>-285.37540000000001</v>
      </c>
      <c r="H3228" s="1">
        <v>4.4993070000000003E-6</v>
      </c>
      <c r="I3228">
        <v>216.35990000000001</v>
      </c>
      <c r="J3228">
        <v>-303.86680000000001</v>
      </c>
      <c r="K3228">
        <v>1.104903</v>
      </c>
      <c r="L3228">
        <v>215.3929</v>
      </c>
      <c r="M3228">
        <v>0.999258599999999</v>
      </c>
      <c r="N3228">
        <v>0</v>
      </c>
      <c r="O3228">
        <v>-3.576878E-2</v>
      </c>
      <c r="P3228">
        <v>0.99751270000000003</v>
      </c>
      <c r="Q3228">
        <v>7.0205630000000005E-2</v>
      </c>
      <c r="R3228">
        <v>6.3001730000000001E-3</v>
      </c>
      <c r="S3228">
        <v>3.0189819999999998</v>
      </c>
      <c r="T3228">
        <v>-0.1765256</v>
      </c>
      <c r="U3228">
        <v>0.1521912</v>
      </c>
      <c r="V3228">
        <v>-4.2044570000000003E-2</v>
      </c>
      <c r="W3228">
        <v>8.4370169999999994E-2</v>
      </c>
      <c r="X3228">
        <v>0.99554709999999902</v>
      </c>
      <c r="Y3228">
        <v>-8.5835040000000001E-2</v>
      </c>
      <c r="Z3228">
        <v>4.5944489999999996E-3</v>
      </c>
      <c r="AA3228">
        <v>0.99629880000000004</v>
      </c>
      <c r="AB3228">
        <v>40</v>
      </c>
      <c r="AC3228">
        <v>18.491399999999999</v>
      </c>
      <c r="AD3228">
        <v>-1.1048985006929899</v>
      </c>
      <c r="AE3228">
        <v>0.96700000000001296</v>
      </c>
      <c r="AF3228">
        <v>-1.62208744419189</v>
      </c>
      <c r="AG3228">
        <v>-1.1048985006929899</v>
      </c>
      <c r="AH3228">
        <v>18.379531345592302</v>
      </c>
      <c r="AI3228">
        <v>93.426947628288303</v>
      </c>
      <c r="AJ3228">
        <v>95.043577302322703</v>
      </c>
      <c r="AK3228">
        <v>18.484023935741099</v>
      </c>
    </row>
    <row r="3229" spans="1:37" x14ac:dyDescent="0.2">
      <c r="A3229" t="str">
        <f>"20200111153713952"</f>
        <v>20200111153713952</v>
      </c>
      <c r="B3229" t="str">
        <f>"1578728233946265"</f>
        <v>1578728233946265</v>
      </c>
      <c r="C3229" t="s">
        <v>37</v>
      </c>
      <c r="D3229">
        <v>5.9383239999999997</v>
      </c>
      <c r="E3229">
        <v>0.51485099999999995</v>
      </c>
      <c r="F3229" t="s">
        <v>48</v>
      </c>
      <c r="G3229">
        <v>-284.97669999999999</v>
      </c>
      <c r="H3229" s="1">
        <v>4.6793899999999998E-6</v>
      </c>
      <c r="I3229">
        <v>216.3323</v>
      </c>
      <c r="J3229">
        <v>-303.45909999999998</v>
      </c>
      <c r="K3229">
        <v>1.104903</v>
      </c>
      <c r="L3229">
        <v>215.37860000000001</v>
      </c>
      <c r="M3229">
        <v>0.99926970000000004</v>
      </c>
      <c r="N3229">
        <v>0</v>
      </c>
      <c r="O3229">
        <v>-3.5459070000000002E-2</v>
      </c>
      <c r="P3229">
        <v>0.99750699999999903</v>
      </c>
      <c r="Q3229">
        <v>7.0322109999999993E-2</v>
      </c>
      <c r="R3229">
        <v>5.9032169999999997E-3</v>
      </c>
      <c r="S3229">
        <v>3.0189509999999999</v>
      </c>
      <c r="T3229">
        <v>-0.17658070000000001</v>
      </c>
      <c r="U3229">
        <v>0.15013119999999999</v>
      </c>
      <c r="V3229">
        <v>-4.1338729999999997E-2</v>
      </c>
      <c r="W3229">
        <v>8.4485619999999997E-2</v>
      </c>
      <c r="X3229">
        <v>0.99556679999999997</v>
      </c>
      <c r="Y3229">
        <v>-8.4850670000000003E-2</v>
      </c>
      <c r="Z3229">
        <v>4.5491630000000002E-3</v>
      </c>
      <c r="AA3229">
        <v>0.99638329999999997</v>
      </c>
      <c r="AB3229">
        <v>40</v>
      </c>
      <c r="AC3229">
        <v>18.482399999999899</v>
      </c>
      <c r="AD3229">
        <v>-1.10489832061</v>
      </c>
      <c r="AE3229">
        <v>0.95369999999999699</v>
      </c>
      <c r="AF3229">
        <v>-1.6028223541759401</v>
      </c>
      <c r="AG3229">
        <v>-1.10489832061</v>
      </c>
      <c r="AH3229">
        <v>18.371472598887799</v>
      </c>
      <c r="AI3229">
        <v>93.428747540826393</v>
      </c>
      <c r="AJ3229">
        <v>94.986154853173701</v>
      </c>
      <c r="AK3229">
        <v>18.4743293585889</v>
      </c>
    </row>
    <row r="3230" spans="1:37" x14ac:dyDescent="0.2">
      <c r="A3230" t="str">
        <f>"20200111153713976"</f>
        <v>20200111153713976</v>
      </c>
      <c r="B3230" t="str">
        <f>"1578728233966760"</f>
        <v>1578728233966760</v>
      </c>
      <c r="C3230" t="s">
        <v>37</v>
      </c>
      <c r="D3230">
        <v>6.1788480000000003</v>
      </c>
      <c r="E3230">
        <v>0.51530370000000003</v>
      </c>
      <c r="F3230" t="s">
        <v>48</v>
      </c>
      <c r="G3230">
        <v>-282.04910000000001</v>
      </c>
      <c r="H3230" s="1">
        <v>6.1855009999999997E-6</v>
      </c>
      <c r="I3230">
        <v>214.5889</v>
      </c>
      <c r="J3230">
        <v>-303.04259999999999</v>
      </c>
      <c r="K3230">
        <v>1.1049069999999901</v>
      </c>
      <c r="L3230">
        <v>215.36420000000001</v>
      </c>
      <c r="M3230">
        <v>0.99928069999999902</v>
      </c>
      <c r="N3230">
        <v>0</v>
      </c>
      <c r="O3230">
        <v>-3.5142220000000002E-2</v>
      </c>
      <c r="P3230">
        <v>0.99749909999999997</v>
      </c>
      <c r="Q3230">
        <v>7.0485629999999994E-2</v>
      </c>
      <c r="R3230">
        <v>5.2445240000000004E-3</v>
      </c>
      <c r="S3230">
        <v>3.019104</v>
      </c>
      <c r="T3230">
        <v>-0.1558051</v>
      </c>
      <c r="U3230">
        <v>-0.1113586</v>
      </c>
      <c r="V3230">
        <v>-4.036402E-2</v>
      </c>
      <c r="W3230">
        <v>8.4647159999999999E-2</v>
      </c>
      <c r="X3230">
        <v>0.99559310000000001</v>
      </c>
      <c r="Y3230">
        <v>1.7592650000000001E-3</v>
      </c>
      <c r="Z3230">
        <v>1.7660039999999901E-3</v>
      </c>
      <c r="AA3230">
        <v>0.99999689999999997</v>
      </c>
      <c r="AB3230">
        <v>40</v>
      </c>
      <c r="AC3230">
        <v>20.993499999999901</v>
      </c>
      <c r="AD3230">
        <v>-1.10490081449899</v>
      </c>
      <c r="AE3230">
        <v>-0.77530000000001498</v>
      </c>
      <c r="AF3230">
        <v>3.6885853603135101E-2</v>
      </c>
      <c r="AG3230">
        <v>-1.10490081449899</v>
      </c>
      <c r="AH3230">
        <v>20.9498270620197</v>
      </c>
      <c r="AI3230">
        <v>93.018996621099205</v>
      </c>
      <c r="AJ3230">
        <v>89.8991208115891</v>
      </c>
      <c r="AK3230">
        <v>20.978975673388099</v>
      </c>
    </row>
    <row r="3231" spans="1:37" x14ac:dyDescent="0.2">
      <c r="A3231" t="str">
        <f>"20200111153713997"</f>
        <v>20200111153713997</v>
      </c>
      <c r="B3231" t="str">
        <f>"1578728233986281"</f>
        <v>1578728233986281</v>
      </c>
      <c r="C3231" t="s">
        <v>37</v>
      </c>
      <c r="D3231">
        <v>5.9155129999999998</v>
      </c>
      <c r="E3231">
        <v>0.51527020000000001</v>
      </c>
      <c r="F3231" t="s">
        <v>48</v>
      </c>
      <c r="G3231">
        <v>-281.12310000000002</v>
      </c>
      <c r="H3231" s="1">
        <v>6.6048699999999997E-6</v>
      </c>
      <c r="I3231">
        <v>214.51570000000001</v>
      </c>
      <c r="J3231">
        <v>-302.64409999999998</v>
      </c>
      <c r="K3231">
        <v>1.104908</v>
      </c>
      <c r="L3231">
        <v>215.35040000000001</v>
      </c>
      <c r="M3231">
        <v>0.99929140000000005</v>
      </c>
      <c r="N3231">
        <v>0</v>
      </c>
      <c r="O3231">
        <v>-3.4839429999999998E-2</v>
      </c>
      <c r="P3231">
        <v>0.99748019999999904</v>
      </c>
      <c r="Q3231">
        <v>7.0787409999999995E-2</v>
      </c>
      <c r="R3231">
        <v>4.7570850000000003E-3</v>
      </c>
      <c r="S3231">
        <v>3.0188599999999899</v>
      </c>
      <c r="T3231">
        <v>-0.152172</v>
      </c>
      <c r="U3231">
        <v>-0.11685180000000001</v>
      </c>
      <c r="V3231">
        <v>-3.9574449999999997E-2</v>
      </c>
      <c r="W3231">
        <v>8.4947919999999996E-2</v>
      </c>
      <c r="X3231">
        <v>0.99559920000000002</v>
      </c>
      <c r="Y3231">
        <v>3.877148E-3</v>
      </c>
      <c r="Z3231">
        <v>1.6563820000000001E-3</v>
      </c>
      <c r="AA3231">
        <v>0.99999110000000002</v>
      </c>
      <c r="AB3231">
        <v>40</v>
      </c>
      <c r="AC3231">
        <v>21.520999999999901</v>
      </c>
      <c r="AD3231">
        <v>-1.10490139513</v>
      </c>
      <c r="AE3231">
        <v>-0.834699999999997</v>
      </c>
      <c r="AF3231">
        <v>8.4116329811466606E-2</v>
      </c>
      <c r="AG3231">
        <v>-1.10490139513</v>
      </c>
      <c r="AH3231">
        <v>21.480481390270999</v>
      </c>
      <c r="AI3231">
        <v>92.944531728096507</v>
      </c>
      <c r="AJ3231">
        <v>89.775634169277097</v>
      </c>
      <c r="AK3231">
        <v>21.5090437585608</v>
      </c>
    </row>
    <row r="3232" spans="1:37" x14ac:dyDescent="0.2">
      <c r="A3232" t="str">
        <f>"20200111153714019"</f>
        <v>20200111153714019</v>
      </c>
      <c r="B3232" t="str">
        <f>"1578728234005801"</f>
        <v>1578728234005801</v>
      </c>
      <c r="C3232" t="s">
        <v>37</v>
      </c>
      <c r="D3232">
        <v>5.9436869999999997</v>
      </c>
      <c r="E3232">
        <v>0.51425270000000001</v>
      </c>
      <c r="F3232" t="s">
        <v>48</v>
      </c>
      <c r="G3232">
        <v>-280.70080000000002</v>
      </c>
      <c r="H3232" s="1">
        <v>6.7948429999999999E-6</v>
      </c>
      <c r="I3232">
        <v>214.49289999999999</v>
      </c>
      <c r="J3232">
        <v>-302.26710000000003</v>
      </c>
      <c r="K3232">
        <v>1.1049069999999901</v>
      </c>
      <c r="L3232">
        <v>215.33760000000001</v>
      </c>
      <c r="M3232">
        <v>0.99930140000000001</v>
      </c>
      <c r="N3232">
        <v>0</v>
      </c>
      <c r="O3232">
        <v>-3.4552619999999999E-2</v>
      </c>
      <c r="P3232">
        <v>0.99745620000000002</v>
      </c>
      <c r="Q3232">
        <v>7.1149550000000006E-2</v>
      </c>
      <c r="R3232">
        <v>4.3492619999999996E-3</v>
      </c>
      <c r="S3232">
        <v>3.01892099999999</v>
      </c>
      <c r="T3232">
        <v>-0.15201039999999999</v>
      </c>
      <c r="U3232">
        <v>-0.117980999999999</v>
      </c>
      <c r="V3232">
        <v>-3.8880119999999997E-2</v>
      </c>
      <c r="W3232">
        <v>8.5308049999999996E-2</v>
      </c>
      <c r="X3232">
        <v>0.99559580000000003</v>
      </c>
      <c r="Y3232">
        <v>4.5355529999999899E-3</v>
      </c>
      <c r="Z3232">
        <v>1.6236009999999999E-3</v>
      </c>
      <c r="AA3232">
        <v>0.9999884</v>
      </c>
      <c r="AB3232">
        <v>40</v>
      </c>
      <c r="AC3232">
        <v>21.566299999999998</v>
      </c>
      <c r="AD3232">
        <v>-1.1049002051569901</v>
      </c>
      <c r="AE3232">
        <v>-0.84470000000001699</v>
      </c>
      <c r="AF3232">
        <v>9.8689117508715701E-2</v>
      </c>
      <c r="AG3232">
        <v>-1.1049002051569901</v>
      </c>
      <c r="AH3232">
        <v>21.526194048828302</v>
      </c>
      <c r="AI3232">
        <v>92.938278245019703</v>
      </c>
      <c r="AJ3232">
        <v>89.737323268180802</v>
      </c>
      <c r="AK3232">
        <v>21.5547575776922</v>
      </c>
    </row>
    <row r="3233" spans="1:37" x14ac:dyDescent="0.2">
      <c r="A3233" t="str">
        <f>"20200111153714041"</f>
        <v>20200111153714041</v>
      </c>
      <c r="B3233" t="str">
        <f>"1578728234036057"</f>
        <v>1578728234036057</v>
      </c>
      <c r="C3233" t="s">
        <v>37</v>
      </c>
      <c r="D3233">
        <v>6.2953489999999999</v>
      </c>
      <c r="E3233">
        <v>0.51298149999999998</v>
      </c>
      <c r="F3233" t="s">
        <v>48</v>
      </c>
      <c r="G3233">
        <v>-280.07960000000003</v>
      </c>
      <c r="H3233" s="1">
        <v>7.06702E-6</v>
      </c>
      <c r="I3233">
        <v>214.52080000000001</v>
      </c>
      <c r="J3233">
        <v>-301.86689999999999</v>
      </c>
      <c r="K3233">
        <v>1.104916</v>
      </c>
      <c r="L3233">
        <v>215.32400000000001</v>
      </c>
      <c r="M3233">
        <v>0.99931199999999998</v>
      </c>
      <c r="N3233">
        <v>0</v>
      </c>
      <c r="O3233">
        <v>-3.4248279999999999E-2</v>
      </c>
      <c r="P3233">
        <v>0.99745189999999995</v>
      </c>
      <c r="Q3233">
        <v>7.1193850000000003E-2</v>
      </c>
      <c r="R3233">
        <v>4.6142980000000002E-3</v>
      </c>
      <c r="S3233">
        <v>3.0188899999999999</v>
      </c>
      <c r="T3233">
        <v>-0.15033540000000001</v>
      </c>
      <c r="U3233">
        <v>-0.1111298</v>
      </c>
      <c r="V3233">
        <v>-3.8841529999999999E-2</v>
      </c>
      <c r="W3233">
        <v>8.534986E-2</v>
      </c>
      <c r="X3233">
        <v>0.99559370000000003</v>
      </c>
      <c r="Y3233">
        <v>2.5755660000000001E-3</v>
      </c>
      <c r="Z3233">
        <v>1.639459E-3</v>
      </c>
      <c r="AA3233">
        <v>0.99999539999999998</v>
      </c>
      <c r="AB3233">
        <v>40</v>
      </c>
      <c r="AC3233">
        <v>21.787299999999899</v>
      </c>
      <c r="AD3233">
        <v>-1.1049089329799999</v>
      </c>
      <c r="AE3233">
        <v>-0.80320000000000302</v>
      </c>
      <c r="AF3233">
        <v>5.6330890169810299E-2</v>
      </c>
      <c r="AG3233">
        <v>-1.1049089329799999</v>
      </c>
      <c r="AH3233">
        <v>21.746174958013299</v>
      </c>
      <c r="AI3233">
        <v>92.9086500899583</v>
      </c>
      <c r="AJ3233">
        <v>89.851582402411793</v>
      </c>
      <c r="AK3233">
        <v>21.7742995805581</v>
      </c>
    </row>
    <row r="3234" spans="1:37" x14ac:dyDescent="0.2">
      <c r="A3234" t="str">
        <f>"20200111153714065"</f>
        <v>20200111153714065</v>
      </c>
      <c r="B3234" t="str">
        <f>"1578728234056552"</f>
        <v>1578728234056552</v>
      </c>
      <c r="C3234" t="s">
        <v>37</v>
      </c>
      <c r="D3234">
        <v>6.2261139999999999</v>
      </c>
      <c r="E3234">
        <v>0.51275300000000001</v>
      </c>
      <c r="F3234" t="s">
        <v>45</v>
      </c>
      <c r="G3234">
        <v>-279.6327</v>
      </c>
      <c r="H3234" s="1">
        <v>3.5905819999999999E-6</v>
      </c>
      <c r="I3234">
        <v>214.58590000000001</v>
      </c>
      <c r="J3234">
        <v>-301.44400000000002</v>
      </c>
      <c r="K3234">
        <v>1.1049199999999999</v>
      </c>
      <c r="L3234">
        <v>215.3098</v>
      </c>
      <c r="M3234">
        <v>0.99932299999999996</v>
      </c>
      <c r="N3234">
        <v>0</v>
      </c>
      <c r="O3234">
        <v>-3.392643E-2</v>
      </c>
      <c r="P3234">
        <v>0.99746489999999999</v>
      </c>
      <c r="Q3234">
        <v>7.0989449999999996E-2</v>
      </c>
      <c r="R3234">
        <v>4.9340590000000002E-3</v>
      </c>
      <c r="S3234">
        <v>3.0188290000000002</v>
      </c>
      <c r="T3234">
        <v>-0.15001879999999901</v>
      </c>
      <c r="U3234">
        <v>-0.10021969999999999</v>
      </c>
      <c r="V3234">
        <v>-3.883984E-2</v>
      </c>
      <c r="W3234">
        <v>8.5143670000000005E-2</v>
      </c>
      <c r="X3234">
        <v>0.99561139999999904</v>
      </c>
      <c r="Y3234">
        <v>-7.0768729999999905E-4</v>
      </c>
      <c r="Z3234">
        <v>1.701709E-3</v>
      </c>
      <c r="AA3234">
        <v>0.99999830000000001</v>
      </c>
      <c r="AB3234">
        <v>40</v>
      </c>
      <c r="AC3234">
        <v>21.811299999999999</v>
      </c>
      <c r="AD3234">
        <v>-1.104916409418</v>
      </c>
      <c r="AE3234">
        <v>-0.723899999999986</v>
      </c>
      <c r="AF3234">
        <v>-1.6528930829092899E-2</v>
      </c>
      <c r="AG3234">
        <v>-1.104916409418</v>
      </c>
      <c r="AH3234">
        <v>21.767504259726401</v>
      </c>
      <c r="AI3234">
        <v>92.905833405788201</v>
      </c>
      <c r="AJ3234">
        <v>90.043506953440797</v>
      </c>
      <c r="AK3234">
        <v>21.795535211931899</v>
      </c>
    </row>
    <row r="3235" spans="1:37" x14ac:dyDescent="0.2">
      <c r="A3235" t="str">
        <f>"20200111153714087"</f>
        <v>20200111153714087</v>
      </c>
      <c r="B3235" t="str">
        <f>"1578728234076072"</f>
        <v>1578728234076072</v>
      </c>
      <c r="C3235" t="s">
        <v>37</v>
      </c>
      <c r="D3235">
        <v>6.0161110000000004</v>
      </c>
      <c r="E3235">
        <v>0.51249020000000001</v>
      </c>
      <c r="F3235" t="s">
        <v>45</v>
      </c>
      <c r="G3235">
        <v>-279.5093</v>
      </c>
      <c r="H3235" s="1">
        <v>3.5242090000000001E-6</v>
      </c>
      <c r="I3235">
        <v>214.60249999999999</v>
      </c>
      <c r="J3235">
        <v>-301.05439999999999</v>
      </c>
      <c r="K3235">
        <v>1.104916</v>
      </c>
      <c r="L3235">
        <v>215.29689999999999</v>
      </c>
      <c r="M3235">
        <v>0.99933309999999997</v>
      </c>
      <c r="N3235">
        <v>0</v>
      </c>
      <c r="O3235">
        <v>-3.363008E-2</v>
      </c>
      <c r="P3235">
        <v>0.99744889999999997</v>
      </c>
      <c r="Q3235">
        <v>7.1190710000000004E-2</v>
      </c>
      <c r="R3235">
        <v>5.2708980000000004E-3</v>
      </c>
      <c r="S3235">
        <v>3.01892099999999</v>
      </c>
      <c r="T3235">
        <v>-0.1520725</v>
      </c>
      <c r="U3235">
        <v>-9.7351069999999998E-2</v>
      </c>
      <c r="V3235">
        <v>-3.8880489999999997E-2</v>
      </c>
      <c r="W3235">
        <v>8.5342260000000003E-2</v>
      </c>
      <c r="X3235">
        <v>0.99559279999999895</v>
      </c>
      <c r="Y3235">
        <v>-1.359725E-3</v>
      </c>
      <c r="Z3235">
        <v>1.7264589999999901E-3</v>
      </c>
      <c r="AA3235">
        <v>0.99999760000000004</v>
      </c>
      <c r="AB3235">
        <v>40</v>
      </c>
      <c r="AC3235">
        <v>21.545099999999898</v>
      </c>
      <c r="AD3235">
        <v>-1.104912475791</v>
      </c>
      <c r="AE3235">
        <v>-0.69440000000000102</v>
      </c>
      <c r="AF3235">
        <v>-3.0549369411367301E-2</v>
      </c>
      <c r="AG3235">
        <v>-1.104912475791</v>
      </c>
      <c r="AH3235">
        <v>21.499779482167401</v>
      </c>
      <c r="AI3235">
        <v>92.941942380034902</v>
      </c>
      <c r="AJ3235">
        <v>90.081412405067894</v>
      </c>
      <c r="AK3235">
        <v>21.5281741591097</v>
      </c>
    </row>
    <row r="3236" spans="1:37" x14ac:dyDescent="0.2">
      <c r="A3236" t="str">
        <f>"20200111153714109"</f>
        <v>20200111153714109</v>
      </c>
      <c r="B3236" t="str">
        <f>"1578728234096569"</f>
        <v>1578728234096569</v>
      </c>
      <c r="C3236" t="s">
        <v>37</v>
      </c>
      <c r="D3236">
        <v>6.1625230000000002</v>
      </c>
      <c r="E3236">
        <v>0.51219309999999996</v>
      </c>
      <c r="F3236" t="s">
        <v>45</v>
      </c>
      <c r="G3236">
        <v>-279.28120000000001</v>
      </c>
      <c r="H3236" s="1">
        <v>3.4021309999999998E-6</v>
      </c>
      <c r="I3236">
        <v>214.61760000000001</v>
      </c>
      <c r="J3236">
        <v>-300.67219999999998</v>
      </c>
      <c r="K3236">
        <v>1.1049209999999901</v>
      </c>
      <c r="L3236">
        <v>215.2843</v>
      </c>
      <c r="M3236">
        <v>0.99934279999999998</v>
      </c>
      <c r="N3236">
        <v>0</v>
      </c>
      <c r="O3236">
        <v>-3.3339210000000001E-2</v>
      </c>
      <c r="P3236">
        <v>0.99749979999999905</v>
      </c>
      <c r="Q3236">
        <v>7.0383650000000006E-2</v>
      </c>
      <c r="R3236">
        <v>6.3460740000000002E-3</v>
      </c>
      <c r="S3236">
        <v>3.019104</v>
      </c>
      <c r="T3236">
        <v>-0.1532085</v>
      </c>
      <c r="U3236">
        <v>-9.4192499999999998E-2</v>
      </c>
      <c r="V3236">
        <v>-3.9666060000000003E-2</v>
      </c>
      <c r="W3236">
        <v>8.4532640000000006E-2</v>
      </c>
      <c r="X3236">
        <v>0.99563089999999999</v>
      </c>
      <c r="Y3236">
        <v>-2.114496E-3</v>
      </c>
      <c r="Z3236">
        <v>1.7436649999999999E-3</v>
      </c>
      <c r="AA3236">
        <v>0.9999962</v>
      </c>
      <c r="AB3236">
        <v>40</v>
      </c>
      <c r="AC3236">
        <v>21.390999999999899</v>
      </c>
      <c r="AD3236">
        <v>-1.10491759786899</v>
      </c>
      <c r="AE3236">
        <v>-0.66669999999999097</v>
      </c>
      <c r="AF3236">
        <v>-4.6777260596907899E-2</v>
      </c>
      <c r="AG3236">
        <v>-1.10491759786899</v>
      </c>
      <c r="AH3236">
        <v>21.344442457229501</v>
      </c>
      <c r="AI3236">
        <v>92.963324330334203</v>
      </c>
      <c r="AJ3236">
        <v>90.1255659558215</v>
      </c>
      <c r="AK3236">
        <v>21.3730731253175</v>
      </c>
    </row>
    <row r="3237" spans="1:37" x14ac:dyDescent="0.2">
      <c r="A3237" t="str">
        <f>"20200111153714132"</f>
        <v>20200111153714132</v>
      </c>
      <c r="B3237" t="str">
        <f>"1578728234125849"</f>
        <v>1578728234125849</v>
      </c>
      <c r="C3237" t="s">
        <v>37</v>
      </c>
      <c r="D3237">
        <v>6.1695510000000002</v>
      </c>
      <c r="E3237">
        <v>0.51182470000000002</v>
      </c>
      <c r="F3237" t="s">
        <v>45</v>
      </c>
      <c r="G3237">
        <v>-279.35969999999998</v>
      </c>
      <c r="H3237" s="1">
        <v>3.4421489999999999E-6</v>
      </c>
      <c r="I3237">
        <v>214.6583</v>
      </c>
      <c r="J3237">
        <v>-300.245</v>
      </c>
      <c r="K3237">
        <v>1.1049180000000001</v>
      </c>
      <c r="L3237">
        <v>215.2704</v>
      </c>
      <c r="M3237">
        <v>0.99935359999999995</v>
      </c>
      <c r="N3237">
        <v>0</v>
      </c>
      <c r="O3237">
        <v>-3.3014139999999997E-2</v>
      </c>
      <c r="P3237">
        <v>0.99748349999999997</v>
      </c>
      <c r="Q3237">
        <v>7.0576710000000001E-2</v>
      </c>
      <c r="R3237">
        <v>6.7366190000000001E-3</v>
      </c>
      <c r="S3237">
        <v>3.0191349999999999</v>
      </c>
      <c r="T3237">
        <v>-0.15652289999999999</v>
      </c>
      <c r="U3237">
        <v>-8.8684079999999998E-2</v>
      </c>
      <c r="V3237">
        <v>-3.9731879999999997E-2</v>
      </c>
      <c r="W3237">
        <v>8.4722710000000007E-2</v>
      </c>
      <c r="X3237">
        <v>0.995612099999999</v>
      </c>
      <c r="Y3237">
        <v>-3.6087900000000002E-3</v>
      </c>
      <c r="Z3237">
        <v>1.803252E-3</v>
      </c>
      <c r="AA3237">
        <v>0.99999179999999999</v>
      </c>
      <c r="AB3237">
        <v>40</v>
      </c>
      <c r="AC3237">
        <v>20.885300000000001</v>
      </c>
      <c r="AD3237">
        <v>-1.104914557851</v>
      </c>
      <c r="AE3237">
        <v>-0.61209999999999798</v>
      </c>
      <c r="AF3237">
        <v>-7.7596763147154399E-2</v>
      </c>
      <c r="AG3237">
        <v>-1.104914557851</v>
      </c>
      <c r="AH3237">
        <v>20.835856899960099</v>
      </c>
      <c r="AI3237">
        <v>93.035500818734306</v>
      </c>
      <c r="AJ3237">
        <v>90.213379584007697</v>
      </c>
      <c r="AK3237">
        <v>20.865277141543501</v>
      </c>
    </row>
    <row r="3238" spans="1:37" x14ac:dyDescent="0.2">
      <c r="A3238" t="str">
        <f>"20200111153714155"</f>
        <v>20200111153714155</v>
      </c>
      <c r="B3238" t="str">
        <f>"1578728234146344"</f>
        <v>1578728234146344</v>
      </c>
      <c r="C3238" t="s">
        <v>37</v>
      </c>
      <c r="D3238">
        <v>5.9672269999999896</v>
      </c>
      <c r="E3238">
        <v>0.51168190000000002</v>
      </c>
      <c r="F3238" t="s">
        <v>45</v>
      </c>
      <c r="G3238">
        <v>-278.9049</v>
      </c>
      <c r="H3238" s="1">
        <v>3.1993809999999999E-6</v>
      </c>
      <c r="I3238">
        <v>214.6748</v>
      </c>
      <c r="J3238">
        <v>-299.8544</v>
      </c>
      <c r="K3238">
        <v>1.1049180000000001</v>
      </c>
      <c r="L3238">
        <v>215.2577</v>
      </c>
      <c r="M3238">
        <v>0.99936349999999996</v>
      </c>
      <c r="N3238">
        <v>0</v>
      </c>
      <c r="O3238">
        <v>-3.2716839999999997E-2</v>
      </c>
      <c r="P3238">
        <v>0.99745169999999905</v>
      </c>
      <c r="Q3238">
        <v>7.1018390000000001E-2</v>
      </c>
      <c r="R3238">
        <v>6.834929E-3</v>
      </c>
      <c r="S3238">
        <v>3.019196</v>
      </c>
      <c r="T3238">
        <v>-0.15632309999999999</v>
      </c>
      <c r="U3238">
        <v>-8.4259029999999999E-2</v>
      </c>
      <c r="V3238">
        <v>-3.953243E-2</v>
      </c>
      <c r="W3238">
        <v>8.5162189999999999E-2</v>
      </c>
      <c r="X3238">
        <v>0.99558250000000004</v>
      </c>
      <c r="Y3238">
        <v>-4.775268E-3</v>
      </c>
      <c r="Z3238">
        <v>1.815765E-3</v>
      </c>
      <c r="AA3238">
        <v>0.99998690000000001</v>
      </c>
      <c r="AB3238">
        <v>40</v>
      </c>
      <c r="AC3238">
        <v>20.9495</v>
      </c>
      <c r="AD3238">
        <v>-1.1049148006189999</v>
      </c>
      <c r="AE3238">
        <v>-0.58289999999999498</v>
      </c>
      <c r="AF3238">
        <v>-0.10259768240448</v>
      </c>
      <c r="AG3238">
        <v>-1.1049148006189999</v>
      </c>
      <c r="AH3238">
        <v>20.899264711163099</v>
      </c>
      <c r="AI3238">
        <v>93.026293548683995</v>
      </c>
      <c r="AJ3238">
        <v>90.281271472881599</v>
      </c>
      <c r="AK3238">
        <v>20.9287034588464</v>
      </c>
    </row>
    <row r="3239" spans="1:37" x14ac:dyDescent="0.2">
      <c r="A3239" t="str">
        <f>"20200111153714176"</f>
        <v>20200111153714176</v>
      </c>
      <c r="B3239" t="str">
        <f>"1578728234165864"</f>
        <v>1578728234165864</v>
      </c>
      <c r="C3239" t="s">
        <v>37</v>
      </c>
      <c r="D3239">
        <v>5.9592830000000001</v>
      </c>
      <c r="E3239">
        <v>0.51159350000000003</v>
      </c>
      <c r="F3239" t="s">
        <v>45</v>
      </c>
      <c r="G3239">
        <v>-278.46940000000001</v>
      </c>
      <c r="H3239" s="1">
        <v>2.9677489999999998E-6</v>
      </c>
      <c r="I3239">
        <v>214.672</v>
      </c>
      <c r="J3239">
        <v>-299.4649</v>
      </c>
      <c r="K3239">
        <v>1.104916</v>
      </c>
      <c r="L3239">
        <v>215.24529999999999</v>
      </c>
      <c r="M3239">
        <v>0.99937310000000001</v>
      </c>
      <c r="N3239">
        <v>0</v>
      </c>
      <c r="O3239">
        <v>-3.242014E-2</v>
      </c>
      <c r="P3239">
        <v>0.99746179999999995</v>
      </c>
      <c r="Q3239">
        <v>7.0847240000000006E-2</v>
      </c>
      <c r="R3239">
        <v>7.1205390000000004E-3</v>
      </c>
      <c r="S3239">
        <v>3.0193479999999999</v>
      </c>
      <c r="T3239">
        <v>-0.15600259999999999</v>
      </c>
      <c r="U3239">
        <v>-8.2702639999999994E-2</v>
      </c>
      <c r="V3239">
        <v>-3.9522559999999998E-2</v>
      </c>
      <c r="W3239">
        <v>8.4989250000000002E-2</v>
      </c>
      <c r="X3239">
        <v>0.99559769999999903</v>
      </c>
      <c r="Y3239">
        <v>-4.9951800000000001E-3</v>
      </c>
      <c r="Z3239">
        <v>1.8023399999999999E-3</v>
      </c>
      <c r="AA3239">
        <v>0.99998589999999998</v>
      </c>
      <c r="AB3239">
        <v>40</v>
      </c>
      <c r="AC3239">
        <v>20.9955</v>
      </c>
      <c r="AD3239">
        <v>-1.1049130322509999</v>
      </c>
      <c r="AE3239">
        <v>-0.57329999999998904</v>
      </c>
      <c r="AF3239">
        <v>-0.10744998991204301</v>
      </c>
      <c r="AG3239">
        <v>-1.1049130322509999</v>
      </c>
      <c r="AH3239">
        <v>20.9450848777979</v>
      </c>
      <c r="AI3239">
        <v>93.019677227597796</v>
      </c>
      <c r="AJ3239">
        <v>90.293929433071398</v>
      </c>
      <c r="AK3239">
        <v>20.974483518011301</v>
      </c>
    </row>
    <row r="3240" spans="1:37" x14ac:dyDescent="0.2">
      <c r="A3240" t="str">
        <f>"20200111153714198"</f>
        <v>20200111153714198</v>
      </c>
      <c r="B3240" t="str">
        <f>"1578728234186360"</f>
        <v>1578728234186360</v>
      </c>
      <c r="C3240" t="s">
        <v>37</v>
      </c>
      <c r="D3240">
        <v>5.8621099999999897</v>
      </c>
      <c r="E3240">
        <v>0.51170760000000004</v>
      </c>
      <c r="F3240" t="s">
        <v>45</v>
      </c>
      <c r="G3240">
        <v>-278.18340000000001</v>
      </c>
      <c r="H3240" s="1">
        <v>2.81553E-6</v>
      </c>
      <c r="I3240">
        <v>214.67359999999999</v>
      </c>
      <c r="J3240">
        <v>-299.08440000000002</v>
      </c>
      <c r="K3240">
        <v>1.10491299999999</v>
      </c>
      <c r="L3240">
        <v>215.23320000000001</v>
      </c>
      <c r="M3240">
        <v>0.99938289999999996</v>
      </c>
      <c r="N3240">
        <v>0</v>
      </c>
      <c r="O3240">
        <v>-3.2129030000000003E-2</v>
      </c>
      <c r="P3240">
        <v>0.99750930000000004</v>
      </c>
      <c r="Q3240">
        <v>7.021173E-2</v>
      </c>
      <c r="R3240">
        <v>6.7459779999999997E-3</v>
      </c>
      <c r="S3240">
        <v>3.0193479999999999</v>
      </c>
      <c r="T3240">
        <v>-0.15676189999999901</v>
      </c>
      <c r="U3240">
        <v>-8.1100459999999999E-2</v>
      </c>
      <c r="V3240">
        <v>-3.8858669999999998E-2</v>
      </c>
      <c r="W3240">
        <v>8.4334519999999996E-2</v>
      </c>
      <c r="X3240">
        <v>0.99567950000000005</v>
      </c>
      <c r="Y3240">
        <v>-5.2337030000000001E-3</v>
      </c>
      <c r="Z3240">
        <v>1.8022100000000001E-3</v>
      </c>
      <c r="AA3240">
        <v>0.99998469999999995</v>
      </c>
      <c r="AB3240">
        <v>40</v>
      </c>
      <c r="AC3240">
        <v>20.901</v>
      </c>
      <c r="AD3240">
        <v>-1.10491018446999</v>
      </c>
      <c r="AE3240">
        <v>-0.55960000000001697</v>
      </c>
      <c r="AF3240">
        <v>-0.111972805856942</v>
      </c>
      <c r="AG3240">
        <v>-1.10491018446999</v>
      </c>
      <c r="AH3240">
        <v>20.849962880215099</v>
      </c>
      <c r="AI3240">
        <v>93.033416347332306</v>
      </c>
      <c r="AJ3240">
        <v>90.307698750161805</v>
      </c>
      <c r="AK3240">
        <v>20.879519068487699</v>
      </c>
    </row>
    <row r="3241" spans="1:37" x14ac:dyDescent="0.2">
      <c r="A3241" t="str">
        <f>"20200111153714220"</f>
        <v>20200111153714220</v>
      </c>
      <c r="B3241" t="str">
        <f>"1578728234216616"</f>
        <v>1578728234216616</v>
      </c>
      <c r="C3241" t="s">
        <v>37</v>
      </c>
      <c r="D3241">
        <v>5.8384960000000001</v>
      </c>
      <c r="E3241">
        <v>0.51193339999999998</v>
      </c>
      <c r="F3241" t="s">
        <v>45</v>
      </c>
      <c r="G3241">
        <v>-278.09989999999999</v>
      </c>
      <c r="H3241" s="1">
        <v>2.7719309999999999E-6</v>
      </c>
      <c r="I3241">
        <v>214.65389999999999</v>
      </c>
      <c r="J3241">
        <v>-298.697</v>
      </c>
      <c r="K3241">
        <v>1.1049020000000001</v>
      </c>
      <c r="L3241">
        <v>215.22099999999901</v>
      </c>
      <c r="M3241">
        <v>0.99939319999999898</v>
      </c>
      <c r="N3241">
        <v>0</v>
      </c>
      <c r="O3241">
        <v>-3.1831239999999997E-2</v>
      </c>
      <c r="P3241">
        <v>0.99751630000000002</v>
      </c>
      <c r="Q3241">
        <v>7.0112190000000005E-2</v>
      </c>
      <c r="R3241">
        <v>6.754169E-3</v>
      </c>
      <c r="S3241">
        <v>3.0192570000000001</v>
      </c>
      <c r="T3241">
        <v>-0.1589749</v>
      </c>
      <c r="U3241">
        <v>-8.3343509999999996E-2</v>
      </c>
      <c r="V3241">
        <v>-3.857004E-2</v>
      </c>
      <c r="W3241">
        <v>8.4181060000000002E-2</v>
      </c>
      <c r="X3241">
        <v>0.99570369999999997</v>
      </c>
      <c r="Y3241">
        <v>-4.1929699999999999E-3</v>
      </c>
      <c r="Z3241">
        <v>1.784615E-3</v>
      </c>
      <c r="AA3241">
        <v>0.99998960000000003</v>
      </c>
      <c r="AB3241">
        <v>40</v>
      </c>
      <c r="AC3241">
        <v>20.597100000000001</v>
      </c>
      <c r="AD3241">
        <v>-1.104899228069</v>
      </c>
      <c r="AE3241">
        <v>-0.56709999999998195</v>
      </c>
      <c r="AF3241">
        <v>-8.8629390365219204E-2</v>
      </c>
      <c r="AG3241">
        <v>-1.104899228069</v>
      </c>
      <c r="AH3241">
        <v>20.545636077722701</v>
      </c>
      <c r="AI3241">
        <v>93.078247494044007</v>
      </c>
      <c r="AJ3241">
        <v>90.247159956059704</v>
      </c>
      <c r="AK3241">
        <v>20.5755150436446</v>
      </c>
    </row>
    <row r="3242" spans="1:37" x14ac:dyDescent="0.2">
      <c r="A3242" t="str">
        <f>"20200111153714242"</f>
        <v>20200111153714242</v>
      </c>
      <c r="B3242" t="str">
        <f>"1578728234236137"</f>
        <v>1578728234236137</v>
      </c>
      <c r="C3242" t="s">
        <v>37</v>
      </c>
      <c r="D3242">
        <v>6.1002700000000001</v>
      </c>
      <c r="E3242">
        <v>0.5118781</v>
      </c>
      <c r="F3242" t="s">
        <v>45</v>
      </c>
      <c r="G3242">
        <v>-277.7079</v>
      </c>
      <c r="H3242" s="1">
        <v>2.5643839999999999E-6</v>
      </c>
      <c r="I3242">
        <v>214.62979999999999</v>
      </c>
      <c r="J3242">
        <v>-298.29109999999997</v>
      </c>
      <c r="K3242">
        <v>1.104887</v>
      </c>
      <c r="L3242">
        <v>215.20840000000001</v>
      </c>
      <c r="M3242">
        <v>0.99940429999999902</v>
      </c>
      <c r="N3242">
        <v>0</v>
      </c>
      <c r="O3242">
        <v>-3.1519900000000003E-2</v>
      </c>
      <c r="P3242">
        <v>0.99747629999999998</v>
      </c>
      <c r="Q3242">
        <v>7.0708950000000007E-2</v>
      </c>
      <c r="R3242">
        <v>6.4207319999999898E-3</v>
      </c>
      <c r="S3242">
        <v>3.01922599999999</v>
      </c>
      <c r="T3242">
        <v>-0.15893689999999999</v>
      </c>
      <c r="U3242">
        <v>-8.5037230000000005E-2</v>
      </c>
      <c r="V3242">
        <v>-3.7926500000000002E-2</v>
      </c>
      <c r="W3242">
        <v>8.4683750000000002E-2</v>
      </c>
      <c r="X3242">
        <v>0.99568579999999995</v>
      </c>
      <c r="Y3242">
        <v>-3.3222529999999998E-3</v>
      </c>
      <c r="Z3242">
        <v>1.7449220000000001E-3</v>
      </c>
      <c r="AA3242">
        <v>0.99999300000000002</v>
      </c>
      <c r="AB3242">
        <v>40</v>
      </c>
      <c r="AC3242">
        <v>20.583199999999898</v>
      </c>
      <c r="AD3242">
        <v>-1.1048844356159999</v>
      </c>
      <c r="AE3242">
        <v>-0.57860000000002199</v>
      </c>
      <c r="AF3242">
        <v>-7.0329554916590195E-2</v>
      </c>
      <c r="AG3242">
        <v>-1.1048844356159999</v>
      </c>
      <c r="AH3242">
        <v>20.5320948453694</v>
      </c>
      <c r="AI3242">
        <v>93.080243146804804</v>
      </c>
      <c r="AJ3242">
        <v>90.196257174072699</v>
      </c>
      <c r="AK3242">
        <v>20.5619219578717</v>
      </c>
    </row>
    <row r="3243" spans="1:37" x14ac:dyDescent="0.2">
      <c r="A3243" t="str">
        <f>"20200111153714265"</f>
        <v>20200111153714265</v>
      </c>
      <c r="B3243" t="str">
        <f>"1578728234256632"</f>
        <v>1578728234256632</v>
      </c>
      <c r="C3243" t="s">
        <v>37</v>
      </c>
      <c r="D3243">
        <v>5.7674959999999897</v>
      </c>
      <c r="E3243">
        <v>0.51207780000000003</v>
      </c>
      <c r="F3243" t="s">
        <v>45</v>
      </c>
      <c r="G3243">
        <v>-277.10730000000001</v>
      </c>
      <c r="H3243" s="1">
        <v>2.245734E-6</v>
      </c>
      <c r="I3243">
        <v>214.60830000000001</v>
      </c>
      <c r="J3243">
        <v>-297.88189999999997</v>
      </c>
      <c r="K3243">
        <v>1.1048739999999999</v>
      </c>
      <c r="L3243">
        <v>215.19579999999999</v>
      </c>
      <c r="M3243">
        <v>0.99941559999999896</v>
      </c>
      <c r="N3243">
        <v>0</v>
      </c>
      <c r="O3243">
        <v>-3.1211820000000001E-2</v>
      </c>
      <c r="P3243">
        <v>0.99744900000000003</v>
      </c>
      <c r="Q3243">
        <v>7.1126430000000004E-2</v>
      </c>
      <c r="R3243">
        <v>6.0743280000000004E-3</v>
      </c>
      <c r="S3243">
        <v>3.0192869999999998</v>
      </c>
      <c r="T3243">
        <v>-0.15747720000000001</v>
      </c>
      <c r="U3243">
        <v>-8.5525509999999999E-2</v>
      </c>
      <c r="V3243">
        <v>-3.7274080000000001E-2</v>
      </c>
      <c r="W3243">
        <v>8.4995899999999999E-2</v>
      </c>
      <c r="X3243">
        <v>0.99568380000000001</v>
      </c>
      <c r="Y3243">
        <v>-2.854844E-3</v>
      </c>
      <c r="Z3243">
        <v>1.7006510000000001E-3</v>
      </c>
      <c r="AA3243">
        <v>0.99999450000000001</v>
      </c>
      <c r="AB3243">
        <v>40</v>
      </c>
      <c r="AC3243">
        <v>20.7745999999999</v>
      </c>
      <c r="AD3243">
        <v>-1.10487175426599</v>
      </c>
      <c r="AE3243">
        <v>-0.58749999999997704</v>
      </c>
      <c r="AF3243">
        <v>-6.1089707071177002E-2</v>
      </c>
      <c r="AG3243">
        <v>-1.10487175426599</v>
      </c>
      <c r="AH3243">
        <v>20.7242432378745</v>
      </c>
      <c r="AI3243">
        <v>93.051708051581102</v>
      </c>
      <c r="AJ3243">
        <v>90.168892644659806</v>
      </c>
      <c r="AK3243">
        <v>20.753764268880801</v>
      </c>
    </row>
    <row r="3244" spans="1:37" x14ac:dyDescent="0.2">
      <c r="A3244" t="str">
        <f>"20200111153714287"</f>
        <v>20200111153714287</v>
      </c>
      <c r="B3244" t="str">
        <f>"1578728234276155"</f>
        <v>1578728234276155</v>
      </c>
      <c r="C3244" t="s">
        <v>37</v>
      </c>
      <c r="D3244">
        <v>5.8903419999999898</v>
      </c>
      <c r="E3244">
        <v>0.51223529999999995</v>
      </c>
      <c r="F3244" t="s">
        <v>45</v>
      </c>
      <c r="G3244">
        <v>-276.46850000000001</v>
      </c>
      <c r="H3244" s="1">
        <v>1.9073910000000001E-6</v>
      </c>
      <c r="I3244">
        <v>214.57159999999999</v>
      </c>
      <c r="J3244">
        <v>-297.49880000000002</v>
      </c>
      <c r="K3244">
        <v>1.1048629999999999</v>
      </c>
      <c r="L3244">
        <v>215.1842</v>
      </c>
      <c r="M3244">
        <v>0.99942609999999998</v>
      </c>
      <c r="N3244">
        <v>0</v>
      </c>
      <c r="O3244">
        <v>-3.092056E-2</v>
      </c>
      <c r="P3244">
        <v>0.99743969999999904</v>
      </c>
      <c r="Q3244">
        <v>7.1217530000000001E-2</v>
      </c>
      <c r="R3244">
        <v>6.5009129999999997E-3</v>
      </c>
      <c r="S3244">
        <v>3.0193180000000002</v>
      </c>
      <c r="T3244">
        <v>-0.15578889999999901</v>
      </c>
      <c r="U3244">
        <v>-8.8012699999999999E-2</v>
      </c>
      <c r="V3244">
        <v>-3.7410400000000003E-2</v>
      </c>
      <c r="W3244">
        <v>8.4977839999999999E-2</v>
      </c>
      <c r="X3244">
        <v>0.99568029999999996</v>
      </c>
      <c r="Y3244">
        <v>-1.7434410000000001E-3</v>
      </c>
      <c r="Z3244">
        <v>1.63874299999999E-3</v>
      </c>
      <c r="AA3244">
        <v>0.99999709999999997</v>
      </c>
      <c r="AB3244">
        <v>40</v>
      </c>
      <c r="AC3244">
        <v>21.0303</v>
      </c>
      <c r="AD3244">
        <v>-1.1048610926089999</v>
      </c>
      <c r="AE3244">
        <v>-0.61260000000001402</v>
      </c>
      <c r="AF3244">
        <v>-3.7919290760194999E-2</v>
      </c>
      <c r="AG3244">
        <v>-1.1048610926089999</v>
      </c>
      <c r="AH3244">
        <v>20.981324677784301</v>
      </c>
      <c r="AI3244">
        <v>93.014364381145896</v>
      </c>
      <c r="AJ3244">
        <v>90.103549846856396</v>
      </c>
      <c r="AK3244">
        <v>21.0104293421428</v>
      </c>
    </row>
    <row r="3245" spans="1:37" x14ac:dyDescent="0.2">
      <c r="A3245" t="str">
        <f>"20200111153714309"</f>
        <v>20200111153714309</v>
      </c>
      <c r="B3245" t="str">
        <f>"1578728234296649"</f>
        <v>1578728234296649</v>
      </c>
      <c r="C3245" t="s">
        <v>37</v>
      </c>
      <c r="D3245">
        <v>5.8820040000000002</v>
      </c>
      <c r="E3245">
        <v>0.51232849999999996</v>
      </c>
      <c r="F3245" t="s">
        <v>45</v>
      </c>
      <c r="G3245">
        <v>-275.9769</v>
      </c>
      <c r="H3245" s="1">
        <v>1.646444E-6</v>
      </c>
      <c r="I3245">
        <v>214.55619999999999</v>
      </c>
      <c r="J3245">
        <v>-297.10359999999997</v>
      </c>
      <c r="K3245">
        <v>1.1048439999999999</v>
      </c>
      <c r="L3245">
        <v>215.17230000000001</v>
      </c>
      <c r="M3245">
        <v>0.99943719999999903</v>
      </c>
      <c r="N3245">
        <v>0</v>
      </c>
      <c r="O3245">
        <v>-3.0612980000000001E-2</v>
      </c>
      <c r="P3245">
        <v>0.99743159999999897</v>
      </c>
      <c r="Q3245">
        <v>7.1284849999999997E-2</v>
      </c>
      <c r="R3245">
        <v>6.9812959999999997E-3</v>
      </c>
      <c r="S3245">
        <v>3.0193789999999998</v>
      </c>
      <c r="T3245">
        <v>-0.15500459999999999</v>
      </c>
      <c r="U3245">
        <v>-8.8104249999999995E-2</v>
      </c>
      <c r="V3245">
        <v>-3.7583390000000001E-2</v>
      </c>
      <c r="W3245">
        <v>8.4925100000000003E-2</v>
      </c>
      <c r="X3245">
        <v>0.99567819999999996</v>
      </c>
      <c r="Y3245">
        <v>-1.4072139999999999E-3</v>
      </c>
      <c r="Z3245">
        <v>1.6060759999999999E-3</v>
      </c>
      <c r="AA3245">
        <v>0.99999769999999899</v>
      </c>
      <c r="AB3245">
        <v>40</v>
      </c>
      <c r="AC3245">
        <v>21.1266999999999</v>
      </c>
      <c r="AD3245">
        <v>-1.1048423535559999</v>
      </c>
      <c r="AE3245">
        <v>-0.61610000000001697</v>
      </c>
      <c r="AF3245">
        <v>-3.0916421196258499E-2</v>
      </c>
      <c r="AG3245">
        <v>-1.1048423535559999</v>
      </c>
      <c r="AH3245">
        <v>21.078061897812301</v>
      </c>
      <c r="AI3245">
        <v>93.000506243972794</v>
      </c>
      <c r="AJ3245">
        <v>90.084038997061398</v>
      </c>
      <c r="AK3245">
        <v>21.1070207708079</v>
      </c>
    </row>
    <row r="3246" spans="1:37" x14ac:dyDescent="0.2">
      <c r="A3246" t="str">
        <f>"20200111153714333"</f>
        <v>20200111153714333</v>
      </c>
      <c r="B3246" t="str">
        <f>"1578728234325929"</f>
        <v>1578728234325929</v>
      </c>
      <c r="C3246" t="s">
        <v>37</v>
      </c>
      <c r="D3246">
        <v>6.0559190000000003</v>
      </c>
      <c r="E3246">
        <v>0.51236190000000004</v>
      </c>
      <c r="F3246" t="s">
        <v>45</v>
      </c>
      <c r="G3246">
        <v>-275.44869999999997</v>
      </c>
      <c r="H3246" s="1">
        <v>1.3656919999999899E-6</v>
      </c>
      <c r="I3246">
        <v>214.5489</v>
      </c>
      <c r="J3246">
        <v>-296.68680000000001</v>
      </c>
      <c r="K3246">
        <v>1.1048129999999901</v>
      </c>
      <c r="L3246">
        <v>215.15989999999999</v>
      </c>
      <c r="M3246">
        <v>0.99944909999999998</v>
      </c>
      <c r="N3246">
        <v>0</v>
      </c>
      <c r="O3246">
        <v>-3.02817999999999E-2</v>
      </c>
      <c r="P3246">
        <v>0.99745090000000003</v>
      </c>
      <c r="Q3246">
        <v>7.0975709999999997E-2</v>
      </c>
      <c r="R3246">
        <v>7.3599030000000001E-3</v>
      </c>
      <c r="S3246">
        <v>3.0193180000000002</v>
      </c>
      <c r="T3246">
        <v>-0.15404709999999999</v>
      </c>
      <c r="U3246">
        <v>-8.6914060000000001E-2</v>
      </c>
      <c r="V3246">
        <v>-3.763039E-2</v>
      </c>
      <c r="W3246">
        <v>8.4482280000000007E-2</v>
      </c>
      <c r="X3246">
        <v>0.99571419999999999</v>
      </c>
      <c r="Y3246">
        <v>-1.4699229999999999E-3</v>
      </c>
      <c r="Z3246">
        <v>1.5809329999999901E-3</v>
      </c>
      <c r="AA3246">
        <v>0.99999769999999899</v>
      </c>
      <c r="AB3246">
        <v>40</v>
      </c>
      <c r="AC3246">
        <v>21.238099999999999</v>
      </c>
      <c r="AD3246">
        <v>-1.1048116343079999</v>
      </c>
      <c r="AE3246">
        <v>-0.61099999999999</v>
      </c>
      <c r="AF3246">
        <v>-3.2379940731739699E-2</v>
      </c>
      <c r="AG3246">
        <v>-1.1048116343079999</v>
      </c>
      <c r="AH3246">
        <v>21.189568475626501</v>
      </c>
      <c r="AI3246">
        <v>92.984662093024895</v>
      </c>
      <c r="AJ3246">
        <v>90.087554048252002</v>
      </c>
      <c r="AK3246">
        <v>21.218375748184101</v>
      </c>
    </row>
    <row r="3247" spans="1:37" x14ac:dyDescent="0.2">
      <c r="A3247" t="str">
        <f>"20200111153714355"</f>
        <v>20200111153714355</v>
      </c>
      <c r="B3247" t="str">
        <f>"1578728234346424"</f>
        <v>1578728234346424</v>
      </c>
      <c r="C3247" t="s">
        <v>37</v>
      </c>
      <c r="D3247">
        <v>5.7687029999999897</v>
      </c>
      <c r="E3247">
        <v>0.48413999999999902</v>
      </c>
      <c r="F3247" t="s">
        <v>45</v>
      </c>
      <c r="G3247">
        <v>-275.07690000000002</v>
      </c>
      <c r="H3247" s="1">
        <v>1.1680079999999899E-6</v>
      </c>
      <c r="I3247">
        <v>214.5444</v>
      </c>
      <c r="J3247">
        <v>-296.29790000000003</v>
      </c>
      <c r="K3247">
        <v>1.104789</v>
      </c>
      <c r="L3247">
        <v>215.14840000000001</v>
      </c>
      <c r="M3247">
        <v>0.99946029999999997</v>
      </c>
      <c r="N3247">
        <v>0</v>
      </c>
      <c r="O3247">
        <v>-2.996915E-2</v>
      </c>
      <c r="P3247">
        <v>0.99743939999999998</v>
      </c>
      <c r="Q3247">
        <v>7.1130659999999998E-2</v>
      </c>
      <c r="R3247">
        <v>7.4299930000000002E-3</v>
      </c>
      <c r="S3247">
        <v>3.0192570000000001</v>
      </c>
      <c r="T3247">
        <v>-0.15435989999999999</v>
      </c>
      <c r="U3247">
        <v>-8.5983279999999995E-2</v>
      </c>
      <c r="V3247">
        <v>-3.7386740000000002E-2</v>
      </c>
      <c r="W3247">
        <v>8.4508420000000001E-2</v>
      </c>
      <c r="X3247">
        <v>0.99572109999999903</v>
      </c>
      <c r="Y3247">
        <v>-1.464744E-3</v>
      </c>
      <c r="Z3247">
        <v>1.568081E-3</v>
      </c>
      <c r="AA3247">
        <v>0.99999769999999899</v>
      </c>
      <c r="AB3247">
        <v>40</v>
      </c>
      <c r="AC3247">
        <v>21.221</v>
      </c>
      <c r="AD3247">
        <v>-1.1047878319919999</v>
      </c>
      <c r="AE3247">
        <v>-0.60400000000001297</v>
      </c>
      <c r="AF3247">
        <v>-3.2216985184358102E-2</v>
      </c>
      <c r="AG3247">
        <v>-1.1047878319919999</v>
      </c>
      <c r="AH3247">
        <v>21.172231518148401</v>
      </c>
      <c r="AI3247">
        <v>92.987037460923602</v>
      </c>
      <c r="AJ3247">
        <v>90.087184756761204</v>
      </c>
      <c r="AK3247">
        <v>21.201060858974198</v>
      </c>
    </row>
    <row r="3248" spans="1:37" x14ac:dyDescent="0.2">
      <c r="A3248" t="str">
        <f>"20200111153714376"</f>
        <v>20200111153714376</v>
      </c>
      <c r="B3248" t="str">
        <f>"1578728234365944"</f>
        <v>1578728234365944</v>
      </c>
      <c r="C3248" t="s">
        <v>37</v>
      </c>
      <c r="D3248">
        <v>5.8010599999999997</v>
      </c>
      <c r="E3248">
        <v>0.4754002</v>
      </c>
      <c r="F3248" t="s">
        <v>45</v>
      </c>
      <c r="G3248">
        <v>-264.5163</v>
      </c>
      <c r="H3248" s="1">
        <v>7.7847759999999904E-7</v>
      </c>
      <c r="I3248">
        <v>216.63099999999901</v>
      </c>
      <c r="J3248">
        <v>-295.91890000000001</v>
      </c>
      <c r="K3248">
        <v>1.10477</v>
      </c>
      <c r="L3248">
        <v>215.13730000000001</v>
      </c>
      <c r="M3248">
        <v>0.999470999999999</v>
      </c>
      <c r="N3248">
        <v>0</v>
      </c>
      <c r="O3248">
        <v>-2.9665070000000002E-2</v>
      </c>
      <c r="P3248">
        <v>0.99746999999999997</v>
      </c>
      <c r="Q3248">
        <v>7.0664550000000007E-2</v>
      </c>
      <c r="R3248">
        <v>7.755395E-3</v>
      </c>
      <c r="S3248">
        <v>3.01416</v>
      </c>
      <c r="T3248">
        <v>-0.1047776</v>
      </c>
      <c r="U3248">
        <v>0.1406097</v>
      </c>
      <c r="V3248">
        <v>-3.7407620000000003E-2</v>
      </c>
      <c r="W3248">
        <v>8.3914009999999997E-2</v>
      </c>
      <c r="X3248">
        <v>0.99577059999999995</v>
      </c>
      <c r="Y3248">
        <v>-7.6150229999999999E-2</v>
      </c>
      <c r="Z3248">
        <v>2.3529369999999998E-3</v>
      </c>
      <c r="AA3248">
        <v>0.99709360000000002</v>
      </c>
      <c r="AB3248">
        <v>40</v>
      </c>
      <c r="AC3248">
        <v>31.4026</v>
      </c>
      <c r="AD3248">
        <v>-1.1047692215224001</v>
      </c>
      <c r="AE3248">
        <v>1.4936999999999601</v>
      </c>
      <c r="AF3248">
        <v>-2.4216950655468099</v>
      </c>
      <c r="AG3248">
        <v>-1.1047692215224001</v>
      </c>
      <c r="AH3248">
        <v>31.305803033752898</v>
      </c>
      <c r="AI3248">
        <v>92.015091195548905</v>
      </c>
      <c r="AJ3248">
        <v>94.423369416437893</v>
      </c>
      <c r="AK3248">
        <v>31.418759135450401</v>
      </c>
    </row>
    <row r="3249" spans="1:37" x14ac:dyDescent="0.2">
      <c r="A3249" t="str">
        <f>"20200111153714399"</f>
        <v>20200111153714399</v>
      </c>
      <c r="B3249" t="str">
        <f>"1578728234386440"</f>
        <v>1578728234386440</v>
      </c>
      <c r="C3249" t="s">
        <v>37</v>
      </c>
      <c r="D3249">
        <v>5.714429</v>
      </c>
      <c r="E3249">
        <v>0.47434480000000001</v>
      </c>
      <c r="F3249" t="s">
        <v>45</v>
      </c>
      <c r="G3249">
        <v>-265.17989999999998</v>
      </c>
      <c r="H3249" s="1">
        <v>1.1027E-6</v>
      </c>
      <c r="I3249">
        <v>217.2929</v>
      </c>
      <c r="J3249">
        <v>-295.52429999999998</v>
      </c>
      <c r="K3249">
        <v>1.1047480000000001</v>
      </c>
      <c r="L3249">
        <v>215.1259</v>
      </c>
      <c r="M3249">
        <v>0.99948230000000005</v>
      </c>
      <c r="N3249">
        <v>0</v>
      </c>
      <c r="O3249">
        <v>-2.9351740000000001E-2</v>
      </c>
      <c r="P3249">
        <v>0.99747039999999998</v>
      </c>
      <c r="Q3249">
        <v>7.0647390000000004E-2</v>
      </c>
      <c r="R3249">
        <v>7.8578390000000001E-3</v>
      </c>
      <c r="S3249">
        <v>3.013611</v>
      </c>
      <c r="T3249">
        <v>-0.108310199999999</v>
      </c>
      <c r="U3249">
        <v>0.2113342</v>
      </c>
      <c r="V3249">
        <v>-3.7196809999999997E-2</v>
      </c>
      <c r="W3249">
        <v>8.3759600000000003E-2</v>
      </c>
      <c r="X3249">
        <v>0.99579150000000005</v>
      </c>
      <c r="Y3249">
        <v>-9.9124429999999999E-2</v>
      </c>
      <c r="Z3249">
        <v>2.8320540000000001E-3</v>
      </c>
      <c r="AA3249">
        <v>0.99507099999999904</v>
      </c>
      <c r="AB3249">
        <v>40</v>
      </c>
      <c r="AC3249">
        <v>30.3444</v>
      </c>
      <c r="AD3249">
        <v>-1.1047468973000001</v>
      </c>
      <c r="AE3249">
        <v>2.1669999999999998</v>
      </c>
      <c r="AF3249">
        <v>-3.0527786148298901</v>
      </c>
      <c r="AG3249">
        <v>-1.1047468973000001</v>
      </c>
      <c r="AH3249">
        <v>30.2278502647853</v>
      </c>
      <c r="AI3249">
        <v>92.082491793533094</v>
      </c>
      <c r="AJ3249">
        <v>95.766876446078697</v>
      </c>
      <c r="AK3249">
        <v>30.401691640573802</v>
      </c>
    </row>
    <row r="3250" spans="1:37" x14ac:dyDescent="0.2">
      <c r="A3250" t="str">
        <f>"20200111153714422"</f>
        <v>20200111153714422</v>
      </c>
      <c r="B3250" t="str">
        <f>"1578728234416696"</f>
        <v>1578728234416696</v>
      </c>
      <c r="C3250" t="s">
        <v>37</v>
      </c>
      <c r="D3250">
        <v>5.6756570000000002</v>
      </c>
      <c r="E3250">
        <v>0.47354020000000002</v>
      </c>
      <c r="F3250" t="s">
        <v>45</v>
      </c>
      <c r="G3250">
        <v>-266.67160000000001</v>
      </c>
      <c r="H3250" s="1">
        <v>1.8992369999999999E-6</v>
      </c>
      <c r="I3250">
        <v>217.23089999999999</v>
      </c>
      <c r="J3250">
        <v>-295.11930000000001</v>
      </c>
      <c r="K3250">
        <v>1.104725</v>
      </c>
      <c r="L3250">
        <v>215.11429999999999</v>
      </c>
      <c r="M3250">
        <v>0.99949339999999998</v>
      </c>
      <c r="N3250">
        <v>0</v>
      </c>
      <c r="O3250">
        <v>-2.9034830000000001E-2</v>
      </c>
      <c r="P3250">
        <v>0.99747809999999903</v>
      </c>
      <c r="Q3250">
        <v>7.0510550000000005E-2</v>
      </c>
      <c r="R3250">
        <v>8.107866E-3</v>
      </c>
      <c r="S3250">
        <v>3.0140689999999899</v>
      </c>
      <c r="T3250">
        <v>-0.1154063</v>
      </c>
      <c r="U3250">
        <v>0.21989439999999999</v>
      </c>
      <c r="V3250">
        <v>-3.7130290000000003E-2</v>
      </c>
      <c r="W3250">
        <v>8.3469260000000003E-2</v>
      </c>
      <c r="X3250">
        <v>0.99581839999999999</v>
      </c>
      <c r="Y3250">
        <v>-0.10159700000000001</v>
      </c>
      <c r="Z3250">
        <v>3.0518569999999998E-3</v>
      </c>
      <c r="AA3250">
        <v>0.99482099999999996</v>
      </c>
      <c r="AB3250">
        <v>40</v>
      </c>
      <c r="AC3250">
        <v>28.447700000000001</v>
      </c>
      <c r="AD3250">
        <v>-1.1047231007629901</v>
      </c>
      <c r="AE3250">
        <v>2.1166</v>
      </c>
      <c r="AF3250">
        <v>-2.93734656239182</v>
      </c>
      <c r="AG3250">
        <v>-1.1047231007629901</v>
      </c>
      <c r="AH3250">
        <v>28.331753911454101</v>
      </c>
      <c r="AI3250">
        <v>92.221075657902801</v>
      </c>
      <c r="AJ3250">
        <v>95.919097600157798</v>
      </c>
      <c r="AK3250">
        <v>28.505029339682299</v>
      </c>
    </row>
    <row r="3251" spans="1:37" x14ac:dyDescent="0.2">
      <c r="A3251" t="str">
        <f>"20200111153714444"</f>
        <v>20200111153714444</v>
      </c>
      <c r="B3251" t="str">
        <f>"1578728234436219"</f>
        <v>1578728234436219</v>
      </c>
      <c r="C3251" t="s">
        <v>37</v>
      </c>
      <c r="D3251">
        <v>5.699986</v>
      </c>
      <c r="E3251">
        <v>0.47346369999999999</v>
      </c>
      <c r="F3251" t="s">
        <v>45</v>
      </c>
      <c r="G3251">
        <v>-267.95780000000002</v>
      </c>
      <c r="H3251" s="1">
        <v>2.5868229999999999E-6</v>
      </c>
      <c r="I3251">
        <v>217.1591</v>
      </c>
      <c r="J3251">
        <v>-294.72230000000002</v>
      </c>
      <c r="K3251">
        <v>1.1047039999999999</v>
      </c>
      <c r="L3251">
        <v>215.10299999999901</v>
      </c>
      <c r="M3251">
        <v>0.99950439999999996</v>
      </c>
      <c r="N3251">
        <v>0</v>
      </c>
      <c r="O3251">
        <v>-2.8727389999999998E-2</v>
      </c>
      <c r="P3251">
        <v>0.99744630000000001</v>
      </c>
      <c r="Q3251">
        <v>7.0903199999999902E-2</v>
      </c>
      <c r="R3251">
        <v>8.5629780000000006E-3</v>
      </c>
      <c r="S3251">
        <v>3.014465</v>
      </c>
      <c r="T3251">
        <v>-0.122605399999999</v>
      </c>
      <c r="U3251">
        <v>0.22694400000000001</v>
      </c>
      <c r="V3251">
        <v>-3.7277240000000003E-2</v>
      </c>
      <c r="W3251">
        <v>8.3698289999999995E-2</v>
      </c>
      <c r="X3251">
        <v>0.99579359999999995</v>
      </c>
      <c r="Y3251">
        <v>-0.103581399999999</v>
      </c>
      <c r="Z3251">
        <v>3.2691809999999999E-3</v>
      </c>
      <c r="AA3251">
        <v>0.99461559999999904</v>
      </c>
      <c r="AB3251">
        <v>40</v>
      </c>
      <c r="AC3251">
        <v>26.764500000000002</v>
      </c>
      <c r="AD3251">
        <v>-1.1047014131770001</v>
      </c>
      <c r="AE3251">
        <v>2.05610000000001</v>
      </c>
      <c r="AF3251">
        <v>-2.8194141910954</v>
      </c>
      <c r="AG3251">
        <v>-1.1047014131770001</v>
      </c>
      <c r="AH3251">
        <v>26.649247028541101</v>
      </c>
      <c r="AI3251">
        <v>92.360585513798796</v>
      </c>
      <c r="AJ3251">
        <v>96.039264060495</v>
      </c>
      <c r="AK3251">
        <v>26.820735052966601</v>
      </c>
    </row>
    <row r="3252" spans="1:37" x14ac:dyDescent="0.2">
      <c r="A3252" t="str">
        <f>"20200111153714467"</f>
        <v>20200111153714467</v>
      </c>
      <c r="B3252" t="str">
        <f>"1578728234456712"</f>
        <v>1578728234456712</v>
      </c>
      <c r="C3252" t="s">
        <v>37</v>
      </c>
      <c r="D3252">
        <v>5.7228449999999897</v>
      </c>
      <c r="E3252">
        <v>0.47387289999999999</v>
      </c>
      <c r="F3252" t="s">
        <v>45</v>
      </c>
      <c r="G3252">
        <v>-269.47559999999999</v>
      </c>
      <c r="H3252" s="1">
        <v>3.40068699999999E-6</v>
      </c>
      <c r="I3252">
        <v>217.01779999999999</v>
      </c>
      <c r="J3252">
        <v>-294.3168</v>
      </c>
      <c r="K3252">
        <v>1.1046819999999999</v>
      </c>
      <c r="L3252">
        <v>215.0917</v>
      </c>
      <c r="M3252">
        <v>0.9995155</v>
      </c>
      <c r="N3252">
        <v>0</v>
      </c>
      <c r="O3252">
        <v>-2.8413750000000002E-2</v>
      </c>
      <c r="P3252">
        <v>0.99741919999999995</v>
      </c>
      <c r="Q3252">
        <v>7.1213319999999997E-2</v>
      </c>
      <c r="R3252">
        <v>9.1242730000000005E-3</v>
      </c>
      <c r="S3252">
        <v>3.0151059999999998</v>
      </c>
      <c r="T3252">
        <v>-0.13192989999999999</v>
      </c>
      <c r="U3252">
        <v>0.22866819999999999</v>
      </c>
      <c r="V3252">
        <v>-3.752511E-2</v>
      </c>
      <c r="W3252">
        <v>8.3844169999999996E-2</v>
      </c>
      <c r="X3252">
        <v>0.99577209999999905</v>
      </c>
      <c r="Y3252">
        <v>-0.10380199999999901</v>
      </c>
      <c r="Z3252">
        <v>3.5078759999999901E-3</v>
      </c>
      <c r="AA3252">
        <v>0.99459179999999903</v>
      </c>
      <c r="AB3252">
        <v>40</v>
      </c>
      <c r="AC3252">
        <v>24.841200000000001</v>
      </c>
      <c r="AD3252">
        <v>-1.1046785993129999</v>
      </c>
      <c r="AE3252">
        <v>1.9260999999999899</v>
      </c>
      <c r="AF3252">
        <v>-2.6260487302024802</v>
      </c>
      <c r="AG3252">
        <v>-1.1046785993129999</v>
      </c>
      <c r="AH3252">
        <v>24.727828346011101</v>
      </c>
      <c r="AI3252">
        <v>92.543617845733294</v>
      </c>
      <c r="AJ3252">
        <v>96.061982758719495</v>
      </c>
      <c r="AK3252">
        <v>24.891402962689199</v>
      </c>
    </row>
    <row r="3253" spans="1:37" x14ac:dyDescent="0.2">
      <c r="A3253" t="str">
        <f>"20200111153714487"</f>
        <v>20200111153714487</v>
      </c>
      <c r="B3253" t="str">
        <f>"1578728234476232"</f>
        <v>1578728234476232</v>
      </c>
      <c r="C3253" t="s">
        <v>37</v>
      </c>
      <c r="D3253">
        <v>5.6998790000000001</v>
      </c>
      <c r="E3253">
        <v>0.47384739999999997</v>
      </c>
      <c r="F3253" t="s">
        <v>45</v>
      </c>
      <c r="G3253">
        <v>-271.08870000000002</v>
      </c>
      <c r="H3253" s="1">
        <v>-1.054638E-6</v>
      </c>
      <c r="I3253">
        <v>216.83930000000001</v>
      </c>
      <c r="J3253">
        <v>-293.94589999999999</v>
      </c>
      <c r="K3253">
        <v>1.1046639999999901</v>
      </c>
      <c r="L3253">
        <v>215.0814</v>
      </c>
      <c r="M3253">
        <v>0.99952569999999996</v>
      </c>
      <c r="N3253">
        <v>0</v>
      </c>
      <c r="O3253">
        <v>-2.8127019999999999E-2</v>
      </c>
      <c r="P3253">
        <v>0.99743320000000002</v>
      </c>
      <c r="Q3253">
        <v>7.1000060000000004E-2</v>
      </c>
      <c r="R3253">
        <v>9.2846449999999994E-3</v>
      </c>
      <c r="S3253">
        <v>3.01593</v>
      </c>
      <c r="T3253">
        <v>-0.14343120000000001</v>
      </c>
      <c r="U3253">
        <v>0.22691349999999999</v>
      </c>
      <c r="V3253">
        <v>-3.7399479999999999E-2</v>
      </c>
      <c r="W3253">
        <v>8.3481620000000006E-2</v>
      </c>
      <c r="X3253">
        <v>0.9958072</v>
      </c>
      <c r="Y3253">
        <v>-0.1028992</v>
      </c>
      <c r="Z3253">
        <v>3.7773540000000001E-3</v>
      </c>
      <c r="AA3253">
        <v>0.99468459999999903</v>
      </c>
      <c r="AB3253">
        <v>40</v>
      </c>
      <c r="AC3253">
        <v>22.857199999999899</v>
      </c>
      <c r="AD3253">
        <v>-1.1046650546379999</v>
      </c>
      <c r="AE3253">
        <v>1.7579</v>
      </c>
      <c r="AF3253">
        <v>-2.3945997096267599</v>
      </c>
      <c r="AG3253">
        <v>-1.1046650546379999</v>
      </c>
      <c r="AH3253">
        <v>22.745891954754502</v>
      </c>
      <c r="AI3253">
        <v>92.765155113307998</v>
      </c>
      <c r="AJ3253">
        <v>96.009741634290805</v>
      </c>
      <c r="AK3253">
        <v>22.898253065892298</v>
      </c>
    </row>
    <row r="3254" spans="1:37" x14ac:dyDescent="0.2">
      <c r="A3254" t="str">
        <f>"20200111153714510"</f>
        <v>20200111153714510</v>
      </c>
      <c r="B3254" t="str">
        <f>"1578728234506488"</f>
        <v>1578728234506488</v>
      </c>
      <c r="C3254" t="s">
        <v>37</v>
      </c>
      <c r="D3254">
        <v>5.641089</v>
      </c>
      <c r="E3254">
        <v>0.47401859999999901</v>
      </c>
      <c r="F3254" t="s">
        <v>45</v>
      </c>
      <c r="G3254">
        <v>-272.22370000000001</v>
      </c>
      <c r="H3254" s="1">
        <v>-4.4542929999999999E-7</v>
      </c>
      <c r="I3254">
        <v>216.72069999999999</v>
      </c>
      <c r="J3254">
        <v>-293.54689999999999</v>
      </c>
      <c r="K3254">
        <v>1.104643</v>
      </c>
      <c r="L3254">
        <v>215.07040000000001</v>
      </c>
      <c r="M3254">
        <v>0.99953630000000004</v>
      </c>
      <c r="N3254">
        <v>0</v>
      </c>
      <c r="O3254">
        <v>-2.7817669999999999E-2</v>
      </c>
      <c r="P3254">
        <v>0.99744120000000003</v>
      </c>
      <c r="Q3254">
        <v>7.0901809999999996E-2</v>
      </c>
      <c r="R3254">
        <v>9.171205E-3</v>
      </c>
      <c r="S3254">
        <v>3.0165410000000001</v>
      </c>
      <c r="T3254">
        <v>-0.15340390000000001</v>
      </c>
      <c r="U3254">
        <v>0.22764589999999901</v>
      </c>
      <c r="V3254">
        <v>-3.6978169999999998E-2</v>
      </c>
      <c r="W3254">
        <v>8.321742E-2</v>
      </c>
      <c r="X3254">
        <v>0.99584509999999904</v>
      </c>
      <c r="Y3254">
        <v>-0.10279580000000001</v>
      </c>
      <c r="Z3254">
        <v>4.0204849999999999E-3</v>
      </c>
      <c r="AA3254">
        <v>0.99469439999999998</v>
      </c>
      <c r="AB3254">
        <v>40</v>
      </c>
      <c r="AC3254">
        <v>21.3231999999999</v>
      </c>
      <c r="AD3254">
        <v>-1.1046434454292999</v>
      </c>
      <c r="AE3254">
        <v>1.6502999999999799</v>
      </c>
      <c r="AF3254">
        <v>-2.2369009865529899</v>
      </c>
      <c r="AG3254">
        <v>-1.1046434454292999</v>
      </c>
      <c r="AH3254">
        <v>21.2124463294689</v>
      </c>
      <c r="AI3254">
        <v>92.964591068788707</v>
      </c>
      <c r="AJ3254">
        <v>96.019723313918107</v>
      </c>
      <c r="AK3254">
        <v>21.358647954535201</v>
      </c>
    </row>
    <row r="3255" spans="1:37" x14ac:dyDescent="0.2">
      <c r="A3255" t="str">
        <f>"20200111153714533"</f>
        <v>20200111153714533</v>
      </c>
      <c r="B3255" t="str">
        <f>"1578728234526011"</f>
        <v>1578728234526011</v>
      </c>
      <c r="C3255" t="s">
        <v>37</v>
      </c>
      <c r="D3255">
        <v>5.6868129999999999</v>
      </c>
      <c r="E3255">
        <v>0.4742944</v>
      </c>
      <c r="F3255" t="s">
        <v>45</v>
      </c>
      <c r="G3255">
        <v>-273.10820000000001</v>
      </c>
      <c r="H3255" s="1">
        <v>3.0541459999999897E-8</v>
      </c>
      <c r="I3255">
        <v>216.59989999999999</v>
      </c>
      <c r="J3255">
        <v>-293.12920000000003</v>
      </c>
      <c r="K3255">
        <v>1.104619</v>
      </c>
      <c r="L3255">
        <v>215.0591</v>
      </c>
      <c r="M3255">
        <v>0.99954759999999998</v>
      </c>
      <c r="N3255">
        <v>0</v>
      </c>
      <c r="O3255">
        <v>-2.749333E-2</v>
      </c>
      <c r="P3255">
        <v>0.99742299999999995</v>
      </c>
      <c r="Q3255">
        <v>7.1112930000000005E-2</v>
      </c>
      <c r="R3255">
        <v>9.5143999999999992E-3</v>
      </c>
      <c r="S3255">
        <v>3.017242</v>
      </c>
      <c r="T3255">
        <v>-0.16307189999999999</v>
      </c>
      <c r="U3255">
        <v>0.22578429999999999</v>
      </c>
      <c r="V3255">
        <v>-3.6997090000000003E-2</v>
      </c>
      <c r="W3255">
        <v>8.3242129999999998E-2</v>
      </c>
      <c r="X3255">
        <v>0.99584229999999996</v>
      </c>
      <c r="Y3255">
        <v>-0.1018254</v>
      </c>
      <c r="Z3255">
        <v>4.2289459999999999E-3</v>
      </c>
      <c r="AA3255">
        <v>0.99479329999999999</v>
      </c>
      <c r="AB3255">
        <v>40</v>
      </c>
      <c r="AC3255">
        <v>20.021000000000001</v>
      </c>
      <c r="AD3255">
        <v>-1.10461896945854</v>
      </c>
      <c r="AE3255">
        <v>1.54079999999999</v>
      </c>
      <c r="AF3255">
        <v>-2.0843946964969802</v>
      </c>
      <c r="AG3255">
        <v>-1.10461896945854</v>
      </c>
      <c r="AH3255">
        <v>19.910812918034001</v>
      </c>
      <c r="AI3255">
        <v>93.158196537692703</v>
      </c>
      <c r="AJ3255">
        <v>95.976329946310599</v>
      </c>
      <c r="AK3255">
        <v>20.050071206243199</v>
      </c>
    </row>
    <row r="3256" spans="1:37" x14ac:dyDescent="0.2">
      <c r="A3256" t="str">
        <f>"20200111153714557"</f>
        <v>20200111153714557</v>
      </c>
      <c r="B3256" t="str">
        <f>"1578728234546504"</f>
        <v>1578728234546504</v>
      </c>
      <c r="C3256" t="s">
        <v>37</v>
      </c>
      <c r="D3256">
        <v>5.637632</v>
      </c>
      <c r="E3256">
        <v>0.474239999999999</v>
      </c>
      <c r="F3256" t="s">
        <v>45</v>
      </c>
      <c r="G3256">
        <v>-273.04939999999999</v>
      </c>
      <c r="H3256" s="1">
        <v>1.4091269999999999E-9</v>
      </c>
      <c r="I3256">
        <v>216.55019999999999</v>
      </c>
      <c r="J3256">
        <v>-292.72620000000001</v>
      </c>
      <c r="K3256">
        <v>1.1045989999999899</v>
      </c>
      <c r="L3256">
        <v>215.04820000000001</v>
      </c>
      <c r="M3256">
        <v>0.99955830000000001</v>
      </c>
      <c r="N3256">
        <v>0</v>
      </c>
      <c r="O3256">
        <v>-2.7179709999999999E-2</v>
      </c>
      <c r="P3256">
        <v>0.99739149999999999</v>
      </c>
      <c r="Q3256">
        <v>7.1539140000000001E-2</v>
      </c>
      <c r="R3256">
        <v>9.6256150000000006E-3</v>
      </c>
      <c r="S3256">
        <v>3.017487</v>
      </c>
      <c r="T3256">
        <v>-0.16599629999999899</v>
      </c>
      <c r="U3256">
        <v>0.22407529999999901</v>
      </c>
      <c r="V3256">
        <v>-3.679549E-2</v>
      </c>
      <c r="W3256">
        <v>8.3479730000000002E-2</v>
      </c>
      <c r="X3256">
        <v>0.99582990000000005</v>
      </c>
      <c r="Y3256">
        <v>-0.100941999999999</v>
      </c>
      <c r="Z3256">
        <v>4.2629410000000001E-3</v>
      </c>
      <c r="AA3256">
        <v>0.99488319999999997</v>
      </c>
      <c r="AB3256">
        <v>40</v>
      </c>
      <c r="AC3256">
        <v>19.6768</v>
      </c>
      <c r="AD3256">
        <v>-1.10459899859087</v>
      </c>
      <c r="AE3256">
        <v>1.50199999999998</v>
      </c>
      <c r="AF3256">
        <v>-2.0299333531155201</v>
      </c>
      <c r="AG3256">
        <v>-1.10459899859087</v>
      </c>
      <c r="AH3256">
        <v>19.567395731979701</v>
      </c>
      <c r="AI3256">
        <v>93.213764005244499</v>
      </c>
      <c r="AJ3256">
        <v>95.9227121555856</v>
      </c>
      <c r="AK3256">
        <v>19.70339422784</v>
      </c>
    </row>
    <row r="3257" spans="1:37" x14ac:dyDescent="0.2">
      <c r="A3257" t="str">
        <f>"20200111153714577"</f>
        <v>20200111153714577</v>
      </c>
      <c r="B3257" t="str">
        <f>"1578728234566024"</f>
        <v>1578728234566024</v>
      </c>
      <c r="C3257" t="s">
        <v>37</v>
      </c>
      <c r="D3257">
        <v>5.712656</v>
      </c>
      <c r="E3257">
        <v>0.47420109999999899</v>
      </c>
      <c r="F3257" t="s">
        <v>45</v>
      </c>
      <c r="G3257">
        <v>-272.9468</v>
      </c>
      <c r="H3257" s="1">
        <v>-5.1899319999999897E-8</v>
      </c>
      <c r="I3257">
        <v>216.5214</v>
      </c>
      <c r="J3257">
        <v>-292.35070000000002</v>
      </c>
      <c r="K3257">
        <v>1.104584</v>
      </c>
      <c r="L3257">
        <v>215.03829999999999</v>
      </c>
      <c r="M3257">
        <v>0.99956849999999997</v>
      </c>
      <c r="N3257">
        <v>0</v>
      </c>
      <c r="O3257">
        <v>-2.6887290000000001E-2</v>
      </c>
      <c r="P3257">
        <v>0.99734120000000004</v>
      </c>
      <c r="Q3257">
        <v>7.2230299999999997E-2</v>
      </c>
      <c r="R3257">
        <v>9.6704330000000008E-3</v>
      </c>
      <c r="S3257">
        <v>3.0177610000000001</v>
      </c>
      <c r="T3257">
        <v>-0.16853009999999999</v>
      </c>
      <c r="U3257">
        <v>0.22476199999999999</v>
      </c>
      <c r="V3257">
        <v>-3.6547929999999999E-2</v>
      </c>
      <c r="W3257">
        <v>8.3996230000000005E-2</v>
      </c>
      <c r="X3257">
        <v>0.9957956</v>
      </c>
      <c r="Y3257">
        <v>-0.100864</v>
      </c>
      <c r="Z3257">
        <v>4.3090070000000001E-3</v>
      </c>
      <c r="AA3257">
        <v>0.99489089999999902</v>
      </c>
      <c r="AB3257">
        <v>40</v>
      </c>
      <c r="AC3257">
        <v>19.4039</v>
      </c>
      <c r="AD3257">
        <v>-1.10458405189932</v>
      </c>
      <c r="AE3257">
        <v>1.4831000000000001</v>
      </c>
      <c r="AF3257">
        <v>-1.9978818787938</v>
      </c>
      <c r="AG3257">
        <v>-1.10458405189932</v>
      </c>
      <c r="AH3257">
        <v>19.294841773916801</v>
      </c>
      <c r="AI3257">
        <v>93.259084893322196</v>
      </c>
      <c r="AJ3257">
        <v>95.9116168833297</v>
      </c>
      <c r="AK3257">
        <v>19.4294250303452</v>
      </c>
    </row>
    <row r="3258" spans="1:37" x14ac:dyDescent="0.2">
      <c r="A3258" t="str">
        <f>"20200111153714601"</f>
        <v>20200111153714601</v>
      </c>
      <c r="B3258" t="str">
        <f>"1578728234596281"</f>
        <v>1578728234596281</v>
      </c>
      <c r="C3258" t="s">
        <v>37</v>
      </c>
      <c r="D3258">
        <v>6.0728730000000004</v>
      </c>
      <c r="E3258">
        <v>0.47443739999999901</v>
      </c>
      <c r="F3258" t="s">
        <v>45</v>
      </c>
      <c r="G3258">
        <v>-272.6746</v>
      </c>
      <c r="H3258" s="1">
        <v>-1.961814E-7</v>
      </c>
      <c r="I3258">
        <v>216.50819999999999</v>
      </c>
      <c r="J3258">
        <v>-291.94819999999999</v>
      </c>
      <c r="K3258">
        <v>1.1045700000000001</v>
      </c>
      <c r="L3258">
        <v>215.02770000000001</v>
      </c>
      <c r="M3258">
        <v>0.99957879999999999</v>
      </c>
      <c r="N3258">
        <v>0</v>
      </c>
      <c r="O3258">
        <v>-2.6573429999999999E-2</v>
      </c>
      <c r="P3258">
        <v>0.99729979999999996</v>
      </c>
      <c r="Q3258">
        <v>7.2777850000000005E-2</v>
      </c>
      <c r="R3258">
        <v>9.8424510000000003E-3</v>
      </c>
      <c r="S3258">
        <v>3.0180660000000001</v>
      </c>
      <c r="T3258">
        <v>-0.16942950000000001</v>
      </c>
      <c r="U3258">
        <v>0.22546389999999999</v>
      </c>
      <c r="V3258">
        <v>-3.6406229999999998E-2</v>
      </c>
      <c r="W3258">
        <v>8.4367789999999998E-2</v>
      </c>
      <c r="X3258">
        <v>0.99576939999999903</v>
      </c>
      <c r="Y3258">
        <v>-0.10077269999999899</v>
      </c>
      <c r="Z3258">
        <v>4.3113500000000003E-3</v>
      </c>
      <c r="AA3258">
        <v>0.99490009999999995</v>
      </c>
      <c r="AB3258">
        <v>40</v>
      </c>
      <c r="AC3258">
        <v>19.273599999999899</v>
      </c>
      <c r="AD3258">
        <v>-1.1045701961814001</v>
      </c>
      <c r="AE3258">
        <v>1.48049999999997</v>
      </c>
      <c r="AF3258">
        <v>-1.9856939913601299</v>
      </c>
      <c r="AG3258">
        <v>-1.1045701961814001</v>
      </c>
      <c r="AH3258">
        <v>19.164871650768799</v>
      </c>
      <c r="AI3258">
        <v>93.2810755536171</v>
      </c>
      <c r="AJ3258">
        <v>95.915372967961204</v>
      </c>
      <c r="AK3258">
        <v>19.299102604423201</v>
      </c>
    </row>
    <row r="3259" spans="1:37" x14ac:dyDescent="0.2">
      <c r="A3259" t="str">
        <f>"20200111153714623"</f>
        <v>20200111153714623</v>
      </c>
      <c r="B3259" t="str">
        <f>"1578728234615801"</f>
        <v>1578728234615801</v>
      </c>
      <c r="C3259" t="s">
        <v>37</v>
      </c>
      <c r="D3259">
        <v>5.6840070000000003</v>
      </c>
      <c r="E3259">
        <v>0.47467740000000003</v>
      </c>
      <c r="F3259" t="s">
        <v>45</v>
      </c>
      <c r="G3259">
        <v>-271.8639</v>
      </c>
      <c r="H3259" s="1">
        <v>-6.281888E-7</v>
      </c>
      <c r="I3259">
        <v>216.5215</v>
      </c>
      <c r="J3259">
        <v>-291.54070000000002</v>
      </c>
      <c r="K3259">
        <v>1.10456</v>
      </c>
      <c r="L3259">
        <v>215.0172</v>
      </c>
      <c r="M3259">
        <v>0.99958910000000001</v>
      </c>
      <c r="N3259">
        <v>0</v>
      </c>
      <c r="O3259">
        <v>-2.6256069999999999E-2</v>
      </c>
      <c r="P3259">
        <v>0.99730189999999996</v>
      </c>
      <c r="Q3259">
        <v>7.2659979999999999E-2</v>
      </c>
      <c r="R3259">
        <v>1.047288E-2</v>
      </c>
      <c r="S3259">
        <v>3.0180660000000001</v>
      </c>
      <c r="T3259">
        <v>-0.16598389999999999</v>
      </c>
      <c r="U3259">
        <v>0.22447199999999901</v>
      </c>
      <c r="V3259">
        <v>-3.6719999999999899E-2</v>
      </c>
      <c r="W3259">
        <v>8.4090310000000001E-2</v>
      </c>
      <c r="X3259">
        <v>0.99578140000000004</v>
      </c>
      <c r="Y3259">
        <v>-0.1001411</v>
      </c>
      <c r="Z3259">
        <v>4.1890979999999996E-3</v>
      </c>
      <c r="AA3259">
        <v>0.99496439999999997</v>
      </c>
      <c r="AB3259">
        <v>40</v>
      </c>
      <c r="AC3259">
        <v>19.6768</v>
      </c>
      <c r="AD3259">
        <v>-1.1045606281888001</v>
      </c>
      <c r="AE3259">
        <v>1.5043</v>
      </c>
      <c r="AF3259">
        <v>-2.0141409315893899</v>
      </c>
      <c r="AG3259">
        <v>-1.1045606281888001</v>
      </c>
      <c r="AH3259">
        <v>19.569208560771099</v>
      </c>
      <c r="AI3259">
        <v>93.213623259689101</v>
      </c>
      <c r="AJ3259">
        <v>95.876417944022407</v>
      </c>
      <c r="AK3259">
        <v>19.7035717972302</v>
      </c>
    </row>
    <row r="3260" spans="1:37" x14ac:dyDescent="0.2">
      <c r="A3260" t="str">
        <f>"20200111153714646"</f>
        <v>20200111153714646</v>
      </c>
      <c r="B3260" t="str">
        <f>"1578728234635829"</f>
        <v>1578728234635829</v>
      </c>
      <c r="C3260" t="s">
        <v>37</v>
      </c>
      <c r="D3260">
        <v>5.749784</v>
      </c>
      <c r="E3260">
        <v>0.47494179999999903</v>
      </c>
      <c r="F3260" t="s">
        <v>45</v>
      </c>
      <c r="G3260">
        <v>-271.35879999999997</v>
      </c>
      <c r="H3260" s="1">
        <v>-8.968525E-7</v>
      </c>
      <c r="I3260">
        <v>216.518</v>
      </c>
      <c r="J3260">
        <v>-291.12639999999999</v>
      </c>
      <c r="K3260">
        <v>1.10454599999999</v>
      </c>
      <c r="L3260">
        <v>215.00659999999999</v>
      </c>
      <c r="M3260">
        <v>0.99959929999999997</v>
      </c>
      <c r="N3260">
        <v>0</v>
      </c>
      <c r="O3260">
        <v>-2.593355E-2</v>
      </c>
      <c r="P3260">
        <v>0.99731059999999905</v>
      </c>
      <c r="Q3260">
        <v>7.2452409999999995E-2</v>
      </c>
      <c r="R3260">
        <v>1.10773E-2</v>
      </c>
      <c r="S3260">
        <v>3.017792</v>
      </c>
      <c r="T3260">
        <v>-0.1651638</v>
      </c>
      <c r="U3260">
        <v>0.224411</v>
      </c>
      <c r="V3260">
        <v>-3.7003149999999999E-2</v>
      </c>
      <c r="W3260">
        <v>8.3735829999999997E-2</v>
      </c>
      <c r="X3260">
        <v>0.99580069999999998</v>
      </c>
      <c r="Y3260">
        <v>-9.9809540000000002E-2</v>
      </c>
      <c r="Z3260">
        <v>4.1421369999999997E-3</v>
      </c>
      <c r="AA3260">
        <v>0.99499789999999999</v>
      </c>
      <c r="AB3260">
        <v>40</v>
      </c>
      <c r="AC3260">
        <v>19.767600000000002</v>
      </c>
      <c r="AD3260">
        <v>-1.1045468968524901</v>
      </c>
      <c r="AE3260">
        <v>1.5114000000000001</v>
      </c>
      <c r="AF3260">
        <v>-2.0173068109694601</v>
      </c>
      <c r="AG3260">
        <v>-1.1045468968524901</v>
      </c>
      <c r="AH3260">
        <v>19.660724286489501</v>
      </c>
      <c r="AI3260">
        <v>93.198759347841602</v>
      </c>
      <c r="AJ3260">
        <v>95.858384906802897</v>
      </c>
      <c r="AK3260">
        <v>19.794787952546699</v>
      </c>
    </row>
    <row r="3261" spans="1:37" x14ac:dyDescent="0.2">
      <c r="A3261" t="str">
        <f>"20200111153714667"</f>
        <v>20200111153714667</v>
      </c>
      <c r="B3261" t="str">
        <f>"1578728234656329"</f>
        <v>1578728234656329</v>
      </c>
      <c r="C3261" t="s">
        <v>37</v>
      </c>
      <c r="D3261">
        <v>5.9462339999999996</v>
      </c>
      <c r="E3261">
        <v>0.47515249999999998</v>
      </c>
      <c r="F3261" t="s">
        <v>45</v>
      </c>
      <c r="G3261">
        <v>-270.88850000000002</v>
      </c>
      <c r="H3261" s="1">
        <v>-1.1467369999999999E-6</v>
      </c>
      <c r="I3261">
        <v>216.51050000000001</v>
      </c>
      <c r="J3261">
        <v>-290.75439999999998</v>
      </c>
      <c r="K3261">
        <v>1.104535</v>
      </c>
      <c r="L3261">
        <v>214.99719999999999</v>
      </c>
      <c r="M3261">
        <v>0.9996081</v>
      </c>
      <c r="N3261">
        <v>0</v>
      </c>
      <c r="O3261">
        <v>-2.5644210000000001E-2</v>
      </c>
      <c r="P3261">
        <v>0.99731919999999996</v>
      </c>
      <c r="Q3261">
        <v>7.2326760000000004E-2</v>
      </c>
      <c r="R3261">
        <v>1.1125019999999999E-2</v>
      </c>
      <c r="S3261">
        <v>3.0176090000000002</v>
      </c>
      <c r="T3261">
        <v>-0.16469619999999999</v>
      </c>
      <c r="U3261">
        <v>0.2242432</v>
      </c>
      <c r="V3261">
        <v>-3.6762690000000001E-2</v>
      </c>
      <c r="W3261">
        <v>8.3493020000000001E-2</v>
      </c>
      <c r="X3261">
        <v>0.99582999999999899</v>
      </c>
      <c r="Y3261">
        <v>-9.9472870000000005E-2</v>
      </c>
      <c r="Z3261">
        <v>4.10575099999999E-3</v>
      </c>
      <c r="AA3261">
        <v>0.99503180000000002</v>
      </c>
      <c r="AB3261">
        <v>40</v>
      </c>
      <c r="AC3261">
        <v>19.8658999999999</v>
      </c>
      <c r="AD3261">
        <v>-1.1045361467370001</v>
      </c>
      <c r="AE3261">
        <v>1.5133000000000101</v>
      </c>
      <c r="AF3261">
        <v>-2.0160832839014802</v>
      </c>
      <c r="AG3261">
        <v>-1.1045361467370001</v>
      </c>
      <c r="AH3261">
        <v>19.759824663040401</v>
      </c>
      <c r="AI3261">
        <v>93.182904354644705</v>
      </c>
      <c r="AJ3261">
        <v>95.825695320469293</v>
      </c>
      <c r="AK3261">
        <v>19.893095853113799</v>
      </c>
    </row>
    <row r="3262" spans="1:37" x14ac:dyDescent="0.2">
      <c r="A3262" t="str">
        <f>"20200111153714688"</f>
        <v>20200111153714688</v>
      </c>
      <c r="B3262" t="str">
        <f>"1578728234675845"</f>
        <v>1578728234675845</v>
      </c>
      <c r="C3262" t="s">
        <v>37</v>
      </c>
      <c r="D3262">
        <v>6.0049700000000001</v>
      </c>
      <c r="E3262">
        <v>0.47532010000000002</v>
      </c>
      <c r="F3262" t="s">
        <v>45</v>
      </c>
      <c r="G3262">
        <v>-270.47280000000001</v>
      </c>
      <c r="H3262" s="1">
        <v>-1.367276E-6</v>
      </c>
      <c r="I3262">
        <v>216.49449999999999</v>
      </c>
      <c r="J3262">
        <v>-290.35989999999998</v>
      </c>
      <c r="K3262">
        <v>1.104527</v>
      </c>
      <c r="L3262">
        <v>214.9873</v>
      </c>
      <c r="M3262">
        <v>0.99961719999999898</v>
      </c>
      <c r="N3262">
        <v>0</v>
      </c>
      <c r="O3262">
        <v>-2.5337390000000001E-2</v>
      </c>
      <c r="P3262">
        <v>0.99734259999999997</v>
      </c>
      <c r="Q3262">
        <v>7.1992109999999998E-2</v>
      </c>
      <c r="R3262">
        <v>1.1183820000000001E-2</v>
      </c>
      <c r="S3262">
        <v>3.0175169999999998</v>
      </c>
      <c r="T3262">
        <v>-0.16433449999999999</v>
      </c>
      <c r="U3262">
        <v>0.22277829999999901</v>
      </c>
      <c r="V3262">
        <v>-3.6515699999999998E-2</v>
      </c>
      <c r="W3262">
        <v>8.3047780000000002E-2</v>
      </c>
      <c r="X3262">
        <v>0.99587630000000005</v>
      </c>
      <c r="Y3262">
        <v>-9.8691609999999999E-2</v>
      </c>
      <c r="Z3262">
        <v>4.0590340000000004E-3</v>
      </c>
      <c r="AA3262">
        <v>0.99510980000000004</v>
      </c>
      <c r="AB3262">
        <v>40</v>
      </c>
      <c r="AC3262">
        <v>19.887099999999901</v>
      </c>
      <c r="AD3262">
        <v>-1.104528367276</v>
      </c>
      <c r="AE3262">
        <v>1.5071999999999799</v>
      </c>
      <c r="AF3262">
        <v>-2.0044864856809399</v>
      </c>
      <c r="AG3262">
        <v>-1.104528367276</v>
      </c>
      <c r="AH3262">
        <v>19.7818514283715</v>
      </c>
      <c r="AI3262">
        <v>93.179568645319193</v>
      </c>
      <c r="AJ3262">
        <v>95.786007632548902</v>
      </c>
      <c r="AK3262">
        <v>19.913804129787898</v>
      </c>
    </row>
    <row r="3263" spans="1:37" x14ac:dyDescent="0.2">
      <c r="A3263" t="str">
        <f>"20200111153714711"</f>
        <v>20200111153714711</v>
      </c>
      <c r="B3263" t="str">
        <f>"1578728234706102"</f>
        <v>1578728234706102</v>
      </c>
      <c r="C3263" t="s">
        <v>37</v>
      </c>
      <c r="D3263">
        <v>5.7658420000000001</v>
      </c>
      <c r="E3263">
        <v>0.47552919999999999</v>
      </c>
      <c r="F3263" t="s">
        <v>45</v>
      </c>
      <c r="G3263">
        <v>-270.14839999999998</v>
      </c>
      <c r="H3263" s="1">
        <v>-1.538891E-6</v>
      </c>
      <c r="I3263">
        <v>216.47120000000001</v>
      </c>
      <c r="J3263">
        <v>-289.94639999999998</v>
      </c>
      <c r="K3263">
        <v>1.1045229999999999</v>
      </c>
      <c r="L3263">
        <v>214.97710000000001</v>
      </c>
      <c r="M3263">
        <v>0.99962649999999997</v>
      </c>
      <c r="N3263">
        <v>0</v>
      </c>
      <c r="O3263">
        <v>-2.5015949999999999E-2</v>
      </c>
      <c r="P3263">
        <v>0.99737009999999904</v>
      </c>
      <c r="Q3263">
        <v>7.1602230000000003E-2</v>
      </c>
      <c r="R3263">
        <v>1.123413E-2</v>
      </c>
      <c r="S3263">
        <v>3.0173649999999999</v>
      </c>
      <c r="T3263">
        <v>-0.1648946</v>
      </c>
      <c r="U3263">
        <v>0.2215271</v>
      </c>
      <c r="V3263">
        <v>-3.624604E-2</v>
      </c>
      <c r="W3263">
        <v>8.2555009999999998E-2</v>
      </c>
      <c r="X3263">
        <v>0.99592719999999901</v>
      </c>
      <c r="Y3263">
        <v>-9.7965140000000006E-2</v>
      </c>
      <c r="Z3263">
        <v>4.035767E-3</v>
      </c>
      <c r="AA3263">
        <v>0.99518169999999995</v>
      </c>
      <c r="AB3263">
        <v>40</v>
      </c>
      <c r="AC3263">
        <v>19.797999999999998</v>
      </c>
      <c r="AD3263">
        <v>-1.1045245388910001</v>
      </c>
      <c r="AE3263">
        <v>1.4941</v>
      </c>
      <c r="AF3263">
        <v>-1.98279165590398</v>
      </c>
      <c r="AG3263">
        <v>-1.1045245388910001</v>
      </c>
      <c r="AH3263">
        <v>19.693476268874299</v>
      </c>
      <c r="AI3263">
        <v>93.194002708910403</v>
      </c>
      <c r="AJ3263">
        <v>95.749317020243495</v>
      </c>
      <c r="AK3263">
        <v>19.823835268697401</v>
      </c>
    </row>
    <row r="3264" spans="1:37" x14ac:dyDescent="0.2">
      <c r="A3264" t="str">
        <f>"20200111153714734"</f>
        <v>20200111153714734</v>
      </c>
      <c r="B3264" t="str">
        <f>"1578728234726131"</f>
        <v>1578728234726131</v>
      </c>
      <c r="C3264" t="s">
        <v>37</v>
      </c>
      <c r="D3264">
        <v>5.774591</v>
      </c>
      <c r="E3264">
        <v>0.4756609</v>
      </c>
      <c r="F3264" t="s">
        <v>45</v>
      </c>
      <c r="G3264">
        <v>-269.7226</v>
      </c>
      <c r="H3264" s="1">
        <v>3.5568739999999999E-6</v>
      </c>
      <c r="I3264">
        <v>216.45179999999999</v>
      </c>
      <c r="J3264">
        <v>-289.53609999999998</v>
      </c>
      <c r="K3264">
        <v>1.104517</v>
      </c>
      <c r="L3264">
        <v>214.96709999999999</v>
      </c>
      <c r="M3264">
        <v>0.9996353</v>
      </c>
      <c r="N3264">
        <v>0</v>
      </c>
      <c r="O3264">
        <v>-2.4697090000000001E-2</v>
      </c>
      <c r="P3264">
        <v>0.99734409999999896</v>
      </c>
      <c r="Q3264">
        <v>7.1906189999999995E-2</v>
      </c>
      <c r="R3264">
        <v>1.1591860000000001E-2</v>
      </c>
      <c r="S3264">
        <v>3.0173030000000001</v>
      </c>
      <c r="T3264">
        <v>-0.16478960000000001</v>
      </c>
      <c r="U3264">
        <v>0.2200165</v>
      </c>
      <c r="V3264">
        <v>-3.6285280000000003E-2</v>
      </c>
      <c r="W3264">
        <v>8.2768850000000005E-2</v>
      </c>
      <c r="X3264">
        <v>0.99590800000000002</v>
      </c>
      <c r="Y3264">
        <v>-9.7155409999999998E-2</v>
      </c>
      <c r="Z3264">
        <v>3.993903E-3</v>
      </c>
      <c r="AA3264">
        <v>0.99526119999999996</v>
      </c>
      <c r="AB3264">
        <v>40</v>
      </c>
      <c r="AC3264">
        <v>19.813499999999902</v>
      </c>
      <c r="AD3264">
        <v>-1.104513443126</v>
      </c>
      <c r="AE3264">
        <v>1.4846999999999999</v>
      </c>
      <c r="AF3264">
        <v>-1.9675319876683399</v>
      </c>
      <c r="AG3264">
        <v>-1.104513443126</v>
      </c>
      <c r="AH3264">
        <v>19.7098781732977</v>
      </c>
      <c r="AI3264">
        <v>93.191589496713604</v>
      </c>
      <c r="AJ3264">
        <v>95.700646479593203</v>
      </c>
      <c r="AK3264">
        <v>19.838609570097901</v>
      </c>
    </row>
    <row r="3265" spans="1:37" x14ac:dyDescent="0.2">
      <c r="A3265" t="str">
        <f>"20200111153714757"</f>
        <v>20200111153714757</v>
      </c>
      <c r="B3265" t="str">
        <f>"1578728234746624"</f>
        <v>1578728234746624</v>
      </c>
      <c r="C3265" t="s">
        <v>37</v>
      </c>
      <c r="D3265">
        <v>5.784516</v>
      </c>
      <c r="E3265">
        <v>0.47573679999999902</v>
      </c>
      <c r="F3265" t="s">
        <v>45</v>
      </c>
      <c r="G3265">
        <v>-269.10820000000001</v>
      </c>
      <c r="H3265" s="1">
        <v>3.2296049999999999E-6</v>
      </c>
      <c r="I3265">
        <v>216.45869999999999</v>
      </c>
      <c r="J3265">
        <v>-289.13589999999999</v>
      </c>
      <c r="K3265">
        <v>1.1045100000000001</v>
      </c>
      <c r="L3265">
        <v>214.95740000000001</v>
      </c>
      <c r="M3265">
        <v>0.99964379999999997</v>
      </c>
      <c r="N3265">
        <v>0</v>
      </c>
      <c r="O3265">
        <v>-2.4385790000000001E-2</v>
      </c>
      <c r="P3265">
        <v>0.9973495</v>
      </c>
      <c r="Q3265">
        <v>7.1881440000000005E-2</v>
      </c>
      <c r="R3265">
        <v>1.12745E-2</v>
      </c>
      <c r="S3265">
        <v>3.0172119999999998</v>
      </c>
      <c r="T3265">
        <v>-0.1631368</v>
      </c>
      <c r="U3265">
        <v>0.22030639999999899</v>
      </c>
      <c r="V3265">
        <v>-3.5658259999999997E-2</v>
      </c>
      <c r="W3265">
        <v>8.2664769999999999E-2</v>
      </c>
      <c r="X3265">
        <v>0.99593929999999997</v>
      </c>
      <c r="Y3265">
        <v>-9.6947140000000001E-2</v>
      </c>
      <c r="Z3265">
        <v>3.9315890000000001E-3</v>
      </c>
      <c r="AA3265">
        <v>0.99528179999999999</v>
      </c>
      <c r="AB3265">
        <v>40</v>
      </c>
      <c r="AC3265">
        <v>20.0276999999999</v>
      </c>
      <c r="AD3265">
        <v>-1.104506770395</v>
      </c>
      <c r="AE3265">
        <v>1.5012999999999801</v>
      </c>
      <c r="AF3265">
        <v>-1.9832752593627201</v>
      </c>
      <c r="AG3265">
        <v>-1.104506770395</v>
      </c>
      <c r="AH3265">
        <v>19.924869939588699</v>
      </c>
      <c r="AI3265">
        <v>93.157292122495406</v>
      </c>
      <c r="AJ3265">
        <v>95.684365025471607</v>
      </c>
      <c r="AK3265">
        <v>20.0537716669402</v>
      </c>
    </row>
    <row r="3266" spans="1:37" x14ac:dyDescent="0.2">
      <c r="A3266" t="str">
        <f>"20200111153714778"</f>
        <v>20200111153714778</v>
      </c>
      <c r="B3266" t="str">
        <f>"1578728234775904"</f>
        <v>1578728234775904</v>
      </c>
      <c r="C3266" t="s">
        <v>37</v>
      </c>
      <c r="D3266">
        <v>5.9879889999999998</v>
      </c>
      <c r="E3266">
        <v>0.47574359999999999</v>
      </c>
      <c r="F3266" t="s">
        <v>45</v>
      </c>
      <c r="G3266">
        <v>-268.67129999999997</v>
      </c>
      <c r="H3266" s="1">
        <v>2.997795E-6</v>
      </c>
      <c r="I3266">
        <v>216.4425</v>
      </c>
      <c r="J3266">
        <v>-288.74560000000002</v>
      </c>
      <c r="K3266">
        <v>1.1045020000000001</v>
      </c>
      <c r="L3266">
        <v>214.94820000000001</v>
      </c>
      <c r="M3266">
        <v>0.99965190000000004</v>
      </c>
      <c r="N3266">
        <v>0</v>
      </c>
      <c r="O3266">
        <v>-2.4081910000000002E-2</v>
      </c>
      <c r="P3266">
        <v>0.99733879999999997</v>
      </c>
      <c r="Q3266">
        <v>7.2000910000000001E-2</v>
      </c>
      <c r="R3266">
        <v>1.1460710000000001E-2</v>
      </c>
      <c r="S3266">
        <v>3.0172119999999998</v>
      </c>
      <c r="T3266">
        <v>-0.16284360000000001</v>
      </c>
      <c r="U3266">
        <v>0.21894839999999999</v>
      </c>
      <c r="V3266">
        <v>-3.554131E-2</v>
      </c>
      <c r="W3266">
        <v>8.2708970000000007E-2</v>
      </c>
      <c r="X3266">
        <v>0.99593980000000004</v>
      </c>
      <c r="Y3266">
        <v>-9.620107E-2</v>
      </c>
      <c r="Z3266">
        <v>3.8881300000000001E-3</v>
      </c>
      <c r="AA3266">
        <v>0.99535439999999997</v>
      </c>
      <c r="AB3266">
        <v>40</v>
      </c>
      <c r="AC3266">
        <v>20.074300000000001</v>
      </c>
      <c r="AD3266">
        <v>-1.1044990022050001</v>
      </c>
      <c r="AE3266">
        <v>1.49429999999998</v>
      </c>
      <c r="AF3266">
        <v>-1.97138713041824</v>
      </c>
      <c r="AG3266">
        <v>-1.1044990022050001</v>
      </c>
      <c r="AH3266">
        <v>19.972361492508401</v>
      </c>
      <c r="AI3266">
        <v>93.150034237847507</v>
      </c>
      <c r="AJ3266">
        <v>95.637163510701001</v>
      </c>
      <c r="AK3266">
        <v>20.099788776285202</v>
      </c>
    </row>
    <row r="3267" spans="1:37" x14ac:dyDescent="0.2">
      <c r="A3267" t="str">
        <f>"20200111153714801"</f>
        <v>20200111153714801</v>
      </c>
      <c r="B3267" t="str">
        <f>"1578728234796400"</f>
        <v>1578728234796400</v>
      </c>
      <c r="C3267" t="s">
        <v>37</v>
      </c>
      <c r="D3267">
        <v>5.9227179999999997</v>
      </c>
      <c r="E3267">
        <v>0.49896599999999902</v>
      </c>
      <c r="F3267" t="s">
        <v>45</v>
      </c>
      <c r="G3267">
        <v>-268.12119999999999</v>
      </c>
      <c r="H3267" s="1">
        <v>2.70484699999999E-6</v>
      </c>
      <c r="I3267">
        <v>216.44820000000001</v>
      </c>
      <c r="J3267">
        <v>-288.34989999999999</v>
      </c>
      <c r="K3267">
        <v>1.104498</v>
      </c>
      <c r="L3267">
        <v>214.93889999999999</v>
      </c>
      <c r="M3267">
        <v>0.999660199999999</v>
      </c>
      <c r="N3267">
        <v>0</v>
      </c>
      <c r="O3267">
        <v>-2.3773860000000001E-2</v>
      </c>
      <c r="P3267">
        <v>0.99735039999999997</v>
      </c>
      <c r="Q3267">
        <v>7.1869870000000002E-2</v>
      </c>
      <c r="R3267">
        <v>1.1273450000000001E-2</v>
      </c>
      <c r="S3267">
        <v>3.0171509999999899</v>
      </c>
      <c r="T3267">
        <v>-0.16157769999999999</v>
      </c>
      <c r="U3267">
        <v>0.21943660000000001</v>
      </c>
      <c r="V3267">
        <v>-3.5047059999999998E-2</v>
      </c>
      <c r="W3267">
        <v>8.2501779999999997E-2</v>
      </c>
      <c r="X3267">
        <v>0.99597449999999998</v>
      </c>
      <c r="Y3267">
        <v>-9.6059359999999996E-2</v>
      </c>
      <c r="Z3267">
        <v>3.8377469999999999E-3</v>
      </c>
      <c r="AA3267">
        <v>0.99536819999999904</v>
      </c>
      <c r="AB3267">
        <v>40</v>
      </c>
      <c r="AC3267">
        <v>20.2287</v>
      </c>
      <c r="AD3267">
        <v>-1.104495295153</v>
      </c>
      <c r="AE3267">
        <v>1.5093000000000201</v>
      </c>
      <c r="AF3267">
        <v>-1.9839333629416001</v>
      </c>
      <c r="AG3267">
        <v>-1.104495295153</v>
      </c>
      <c r="AH3267">
        <v>20.127426217680899</v>
      </c>
      <c r="AI3267">
        <v>93.125845522071003</v>
      </c>
      <c r="AJ3267">
        <v>95.629383726389705</v>
      </c>
      <c r="AK3267">
        <v>20.2551027544615</v>
      </c>
    </row>
    <row r="3268" spans="1:37" x14ac:dyDescent="0.2">
      <c r="A3268" t="str">
        <f>"20200111153714834"</f>
        <v>20200111153714834</v>
      </c>
      <c r="B3268" t="str">
        <f>"1578728234826191"</f>
        <v>1578728234826191</v>
      </c>
      <c r="C3268" t="s">
        <v>37</v>
      </c>
      <c r="D3268">
        <v>5.8974500000000001</v>
      </c>
      <c r="E3268">
        <v>0.50027219999999994</v>
      </c>
      <c r="F3268" t="s">
        <v>45</v>
      </c>
      <c r="G3268">
        <v>-261.93259999999998</v>
      </c>
      <c r="H3268" s="1">
        <v>-5.3565569999999898E-7</v>
      </c>
      <c r="I3268">
        <v>215.2414</v>
      </c>
      <c r="J3268">
        <v>-287.73500000000001</v>
      </c>
      <c r="K3268">
        <v>1.1044830000000001</v>
      </c>
      <c r="L3268">
        <v>214.9247</v>
      </c>
      <c r="M3268">
        <v>0.99967269999999897</v>
      </c>
      <c r="N3268">
        <v>0</v>
      </c>
      <c r="O3268">
        <v>-2.329492E-2</v>
      </c>
      <c r="P3268">
        <v>0.99730819999999998</v>
      </c>
      <c r="Q3268">
        <v>7.2572410000000004E-2</v>
      </c>
      <c r="R3268">
        <v>1.047179E-2</v>
      </c>
      <c r="S3268">
        <v>3.016632</v>
      </c>
      <c r="T3268">
        <v>-0.1261244</v>
      </c>
      <c r="U3268">
        <v>3.4545899999999997E-2</v>
      </c>
      <c r="V3268">
        <v>-3.3767850000000002E-2</v>
      </c>
      <c r="W3268">
        <v>8.30896E-2</v>
      </c>
      <c r="X3268">
        <v>0.99596980000000002</v>
      </c>
      <c r="Y3268">
        <v>-3.4691989999999999E-2</v>
      </c>
      <c r="Z3268">
        <v>1.6984070000000001E-3</v>
      </c>
      <c r="AA3268">
        <v>0.99939659999999997</v>
      </c>
      <c r="AB3268">
        <v>40</v>
      </c>
      <c r="AC3268">
        <v>25.802399999999999</v>
      </c>
      <c r="AD3268">
        <v>-1.1044835356556999</v>
      </c>
      <c r="AE3268">
        <v>0.31669999999999698</v>
      </c>
      <c r="AF3268">
        <v>-0.91603430420685605</v>
      </c>
      <c r="AG3268">
        <v>-1.1044835356556999</v>
      </c>
      <c r="AH3268">
        <v>25.740861413294699</v>
      </c>
      <c r="AI3268">
        <v>92.455375977198798</v>
      </c>
      <c r="AJ3268">
        <v>92.038112071883901</v>
      </c>
      <c r="AK3268">
        <v>25.780825220024699</v>
      </c>
    </row>
    <row r="3269" spans="1:37" x14ac:dyDescent="0.2">
      <c r="A3269" t="str">
        <f>"20200111153714856"</f>
        <v>20200111153714856</v>
      </c>
      <c r="B3269" t="str">
        <f>"1578728234846684"</f>
        <v>1578728234846684</v>
      </c>
      <c r="C3269" t="s">
        <v>37</v>
      </c>
      <c r="D3269">
        <v>5.9093260000000001</v>
      </c>
      <c r="E3269">
        <v>0.49960670000000001</v>
      </c>
      <c r="F3269" t="s">
        <v>45</v>
      </c>
      <c r="G3269">
        <v>-262.35309999999998</v>
      </c>
      <c r="H3269" s="1">
        <v>-3.060543E-7</v>
      </c>
      <c r="I3269">
        <v>215.107</v>
      </c>
      <c r="J3269">
        <v>-287.337999999999</v>
      </c>
      <c r="K3269">
        <v>1.104474</v>
      </c>
      <c r="L3269">
        <v>214.91569999999999</v>
      </c>
      <c r="M3269">
        <v>0.99968060000000003</v>
      </c>
      <c r="N3269">
        <v>0</v>
      </c>
      <c r="O3269">
        <v>-2.2985950000000002E-2</v>
      </c>
      <c r="P3269">
        <v>0.99728749999999999</v>
      </c>
      <c r="Q3269">
        <v>7.2833670000000003E-2</v>
      </c>
      <c r="R3269">
        <v>1.0633220000000001E-2</v>
      </c>
      <c r="S3269">
        <v>3.0174560000000001</v>
      </c>
      <c r="T3269">
        <v>-0.13130329999999901</v>
      </c>
      <c r="U3269">
        <v>2.1667479999999999E-2</v>
      </c>
      <c r="V3269">
        <v>-3.3621039999999998E-2</v>
      </c>
      <c r="W3269">
        <v>8.3280149999999997E-2</v>
      </c>
      <c r="X3269">
        <v>0.99595889999999998</v>
      </c>
      <c r="Y3269">
        <v>-3.0114999999999999E-2</v>
      </c>
      <c r="Z3269">
        <v>1.6546499999999999E-3</v>
      </c>
      <c r="AA3269">
        <v>0.99954509999999996</v>
      </c>
      <c r="AB3269">
        <v>40</v>
      </c>
      <c r="AC3269">
        <v>24.9848999999999</v>
      </c>
      <c r="AD3269">
        <v>-1.1044743060543001</v>
      </c>
      <c r="AE3269">
        <v>0.19130000000001199</v>
      </c>
      <c r="AF3269">
        <v>-0.76408974892452697</v>
      </c>
      <c r="AG3269">
        <v>-1.1044743060543001</v>
      </c>
      <c r="AH3269">
        <v>24.925196005709001</v>
      </c>
      <c r="AI3269">
        <v>92.536015826790901</v>
      </c>
      <c r="AJ3269">
        <v>91.755870313516894</v>
      </c>
      <c r="AK3269">
        <v>24.9613519778108</v>
      </c>
    </row>
    <row r="3270" spans="1:37" x14ac:dyDescent="0.2">
      <c r="A3270" t="str">
        <f>"20200111153714878"</f>
        <v>20200111153714878</v>
      </c>
      <c r="B3270" t="str">
        <f>"1578728234866204"</f>
        <v>1578728234866204</v>
      </c>
      <c r="C3270" t="s">
        <v>37</v>
      </c>
      <c r="D3270">
        <v>5.8626680000000002</v>
      </c>
      <c r="E3270">
        <v>0.49909309999999901</v>
      </c>
      <c r="F3270" t="s">
        <v>45</v>
      </c>
      <c r="G3270">
        <v>-264.35770000000002</v>
      </c>
      <c r="H3270" s="1">
        <v>7.6010949999999998E-7</v>
      </c>
      <c r="I3270">
        <v>215.12029999999999</v>
      </c>
      <c r="J3270">
        <v>-286.9461</v>
      </c>
      <c r="K3270">
        <v>1.104463</v>
      </c>
      <c r="L3270">
        <v>214.90700000000001</v>
      </c>
      <c r="M3270">
        <v>0.99968829999999997</v>
      </c>
      <c r="N3270">
        <v>0</v>
      </c>
      <c r="O3270">
        <v>-2.2680559999999999E-2</v>
      </c>
      <c r="P3270">
        <v>0.99727259999999995</v>
      </c>
      <c r="Q3270">
        <v>7.2960269999999994E-2</v>
      </c>
      <c r="R3270">
        <v>1.114566E-2</v>
      </c>
      <c r="S3270">
        <v>3.0184329999999999</v>
      </c>
      <c r="T3270">
        <v>-0.145070799999999</v>
      </c>
      <c r="U3270">
        <v>2.6870729999999999E-2</v>
      </c>
      <c r="V3270">
        <v>-3.3827929999999999E-2</v>
      </c>
      <c r="W3270">
        <v>8.333575E-2</v>
      </c>
      <c r="X3270">
        <v>0.99594719999999903</v>
      </c>
      <c r="Y3270">
        <v>-3.1517910000000003E-2</v>
      </c>
      <c r="Z3270">
        <v>1.8463799999999999E-3</v>
      </c>
      <c r="AA3270">
        <v>0.99950149999999904</v>
      </c>
      <c r="AB3270">
        <v>40</v>
      </c>
      <c r="AC3270">
        <v>22.588399999999901</v>
      </c>
      <c r="AD3270">
        <v>-1.1044622398905</v>
      </c>
      <c r="AE3270">
        <v>0.21329999999997501</v>
      </c>
      <c r="AF3270">
        <v>-0.72386018252769302</v>
      </c>
      <c r="AG3270">
        <v>-1.1044622398905</v>
      </c>
      <c r="AH3270">
        <v>22.5239069553703</v>
      </c>
      <c r="AI3270">
        <v>92.805810042467101</v>
      </c>
      <c r="AJ3270">
        <v>91.840704811610905</v>
      </c>
      <c r="AK3270">
        <v>22.5625839596748</v>
      </c>
    </row>
    <row r="3271" spans="1:37" x14ac:dyDescent="0.2">
      <c r="A3271" t="str">
        <f>"20200111153714901"</f>
        <v>20200111153714901</v>
      </c>
      <c r="B3271" t="str">
        <f>"1578728234896462"</f>
        <v>1578728234896462</v>
      </c>
      <c r="C3271" t="s">
        <v>37</v>
      </c>
      <c r="D3271">
        <v>5.9285209999999999</v>
      </c>
      <c r="E3271">
        <v>0.49867689999999998</v>
      </c>
      <c r="F3271" t="s">
        <v>45</v>
      </c>
      <c r="G3271">
        <v>-264.95499999999998</v>
      </c>
      <c r="H3271" s="1">
        <v>1.0770189999999999E-6</v>
      </c>
      <c r="I3271">
        <v>215.1422</v>
      </c>
      <c r="J3271">
        <v>-286.54000000000002</v>
      </c>
      <c r="K3271">
        <v>1.1044559999999899</v>
      </c>
      <c r="L3271">
        <v>214.898</v>
      </c>
      <c r="M3271">
        <v>0.99969609999999998</v>
      </c>
      <c r="N3271">
        <v>0</v>
      </c>
      <c r="O3271">
        <v>-2.236457E-2</v>
      </c>
      <c r="P3271">
        <v>0.99728569999999905</v>
      </c>
      <c r="Q3271">
        <v>7.2647699999999996E-2</v>
      </c>
      <c r="R3271">
        <v>1.19848E-2</v>
      </c>
      <c r="S3271">
        <v>3.01892099999999</v>
      </c>
      <c r="T3271">
        <v>-0.1516197</v>
      </c>
      <c r="U3271">
        <v>3.22876E-2</v>
      </c>
      <c r="V3271">
        <v>-3.4352380000000002E-2</v>
      </c>
      <c r="W3271">
        <v>8.2953219999999994E-2</v>
      </c>
      <c r="X3271">
        <v>0.99596119999999899</v>
      </c>
      <c r="Y3271">
        <v>-3.298653E-2</v>
      </c>
      <c r="Z3271">
        <v>1.950301E-3</v>
      </c>
      <c r="AA3271">
        <v>0.99945390000000001</v>
      </c>
      <c r="AB3271">
        <v>40</v>
      </c>
      <c r="AC3271">
        <v>21.585000000000001</v>
      </c>
      <c r="AD3271">
        <v>-1.1044549229809999</v>
      </c>
      <c r="AE3271">
        <v>0.244200000000006</v>
      </c>
      <c r="AF3271">
        <v>-0.72500619493867902</v>
      </c>
      <c r="AG3271">
        <v>-1.1044549229809999</v>
      </c>
      <c r="AH3271">
        <v>21.5178095937206</v>
      </c>
      <c r="AI3271">
        <v>92.936605954862699</v>
      </c>
      <c r="AJ3271">
        <v>91.929754346482298</v>
      </c>
      <c r="AK3271">
        <v>21.558329814046601</v>
      </c>
    </row>
    <row r="3272" spans="1:37" x14ac:dyDescent="0.2">
      <c r="A3272" t="str">
        <f>"20200111153714925"</f>
        <v>20200111153714925</v>
      </c>
      <c r="B3272" t="str">
        <f>"1578728234915980"</f>
        <v>1578728234915980</v>
      </c>
      <c r="C3272" t="s">
        <v>37</v>
      </c>
      <c r="D3272">
        <v>5.958323</v>
      </c>
      <c r="E3272">
        <v>0.49855119999999897</v>
      </c>
      <c r="F3272" t="s">
        <v>45</v>
      </c>
      <c r="G3272">
        <v>-263.00490000000002</v>
      </c>
      <c r="H3272" s="1">
        <v>3.6869739999999903E-8</v>
      </c>
      <c r="I3272">
        <v>215.19669999999999</v>
      </c>
      <c r="J3272">
        <v>-286.10939999999999</v>
      </c>
      <c r="K3272">
        <v>1.1044419999999999</v>
      </c>
      <c r="L3272">
        <v>214.8887</v>
      </c>
      <c r="M3272">
        <v>0.99970439999999905</v>
      </c>
      <c r="N3272">
        <v>0</v>
      </c>
      <c r="O3272">
        <v>-2.202987E-2</v>
      </c>
      <c r="P3272">
        <v>0.997270199999999</v>
      </c>
      <c r="Q3272">
        <v>7.2659730000000006E-2</v>
      </c>
      <c r="R3272">
        <v>1.3145759999999999E-2</v>
      </c>
      <c r="S3272">
        <v>3.0180660000000001</v>
      </c>
      <c r="T3272">
        <v>-0.1416317</v>
      </c>
      <c r="U3272">
        <v>3.8299560000000003E-2</v>
      </c>
      <c r="V3272">
        <v>-3.5178870000000001E-2</v>
      </c>
      <c r="W3272">
        <v>8.2898559999999996E-2</v>
      </c>
      <c r="X3272">
        <v>0.99593690000000001</v>
      </c>
      <c r="Y3272">
        <v>-3.46529E-2</v>
      </c>
      <c r="Z3272">
        <v>1.84585E-3</v>
      </c>
      <c r="AA3272">
        <v>0.99939769999999895</v>
      </c>
      <c r="AB3272">
        <v>40</v>
      </c>
      <c r="AC3272">
        <v>23.104499999999899</v>
      </c>
      <c r="AD3272">
        <v>-1.10444196313026</v>
      </c>
      <c r="AE3272">
        <v>0.307999999999992</v>
      </c>
      <c r="AF3272">
        <v>-0.81507915033271505</v>
      </c>
      <c r="AG3272">
        <v>-1.10444196313026</v>
      </c>
      <c r="AH3272">
        <v>23.039470068717499</v>
      </c>
      <c r="AI3272">
        <v>92.742770846263298</v>
      </c>
      <c r="AJ3272">
        <v>92.026137179574306</v>
      </c>
      <c r="AK3272">
        <v>23.080323375519601</v>
      </c>
    </row>
    <row r="3273" spans="1:37" x14ac:dyDescent="0.2">
      <c r="A3273" t="str">
        <f>"20200111153714947"</f>
        <v>20200111153714947</v>
      </c>
      <c r="B3273" t="str">
        <f>"1578728234936476"</f>
        <v>1578728234936476</v>
      </c>
      <c r="C3273" t="s">
        <v>37</v>
      </c>
      <c r="D3273">
        <v>6.0008540000000004</v>
      </c>
      <c r="E3273">
        <v>0.49848629999999999</v>
      </c>
      <c r="F3273" t="s">
        <v>45</v>
      </c>
      <c r="G3273">
        <v>-262.07929999999999</v>
      </c>
      <c r="H3273" s="1">
        <v>-4.5713960000000001E-7</v>
      </c>
      <c r="I3273">
        <v>215.22989999999999</v>
      </c>
      <c r="J3273">
        <v>-285.7022</v>
      </c>
      <c r="K3273">
        <v>1.1044339999999999</v>
      </c>
      <c r="L3273">
        <v>214.88</v>
      </c>
      <c r="M3273">
        <v>0.99971180000000004</v>
      </c>
      <c r="N3273">
        <v>0</v>
      </c>
      <c r="O3273">
        <v>-2.1712760000000001E-2</v>
      </c>
      <c r="P3273">
        <v>0.99727339999999998</v>
      </c>
      <c r="Q3273">
        <v>7.241301E-2</v>
      </c>
      <c r="R3273">
        <v>1.4226809999999999E-2</v>
      </c>
      <c r="S3273">
        <v>3.0177309999999999</v>
      </c>
      <c r="T3273">
        <v>-0.13869679999999901</v>
      </c>
      <c r="U3273">
        <v>4.2846679999999998E-2</v>
      </c>
      <c r="V3273">
        <v>-3.5943410000000002E-2</v>
      </c>
      <c r="W3273">
        <v>8.2595390000000005E-2</v>
      </c>
      <c r="X3273">
        <v>0.99593480000000001</v>
      </c>
      <c r="Y3273">
        <v>-3.584449E-2</v>
      </c>
      <c r="Z3273">
        <v>1.8206299999999999E-3</v>
      </c>
      <c r="AA3273">
        <v>0.99935569999999896</v>
      </c>
      <c r="AB3273">
        <v>41</v>
      </c>
      <c r="AC3273">
        <v>23.622900000000001</v>
      </c>
      <c r="AD3273">
        <v>-1.1044344571396001</v>
      </c>
      <c r="AE3273">
        <v>0.349899999999991</v>
      </c>
      <c r="AF3273">
        <v>-0.86088144333596395</v>
      </c>
      <c r="AG3273">
        <v>-1.1044344571396001</v>
      </c>
      <c r="AH3273">
        <v>23.558249940096999</v>
      </c>
      <c r="AI3273">
        <v>92.682330791076197</v>
      </c>
      <c r="AJ3273">
        <v>92.092809757145403</v>
      </c>
      <c r="AK3273">
        <v>23.599831197906401</v>
      </c>
    </row>
    <row r="3274" spans="1:37" x14ac:dyDescent="0.2">
      <c r="A3274" t="str">
        <f>"20200111153714968"</f>
        <v>20200111153714968</v>
      </c>
      <c r="B3274" t="str">
        <f>"1578728234955996"</f>
        <v>1578728234955996</v>
      </c>
      <c r="C3274" t="s">
        <v>37</v>
      </c>
      <c r="D3274">
        <v>6.1638699999999904</v>
      </c>
      <c r="E3274">
        <v>0.49848559999999997</v>
      </c>
      <c r="F3274" t="s">
        <v>45</v>
      </c>
      <c r="G3274">
        <v>-261.57209999999998</v>
      </c>
      <c r="H3274" s="1">
        <v>-7.2810930000000003E-7</v>
      </c>
      <c r="I3274">
        <v>215.25479999999999</v>
      </c>
      <c r="J3274">
        <v>-285.31959999999998</v>
      </c>
      <c r="K3274">
        <v>1.104428</v>
      </c>
      <c r="L3274">
        <v>214.87190000000001</v>
      </c>
      <c r="M3274">
        <v>0.99971869999999996</v>
      </c>
      <c r="N3274">
        <v>0</v>
      </c>
      <c r="O3274">
        <v>-2.1415E-2</v>
      </c>
      <c r="P3274">
        <v>0.9972607</v>
      </c>
      <c r="Q3274">
        <v>7.2406719999999994E-2</v>
      </c>
      <c r="R3274">
        <v>1.51177999999999E-2</v>
      </c>
      <c r="S3274">
        <v>3.0175169999999998</v>
      </c>
      <c r="T3274">
        <v>-0.13811180000000001</v>
      </c>
      <c r="U3274">
        <v>4.6875E-2</v>
      </c>
      <c r="V3274">
        <v>-3.6537189999999997E-2</v>
      </c>
      <c r="W3274">
        <v>8.2542169999999998E-2</v>
      </c>
      <c r="X3274">
        <v>0.99591759999999996</v>
      </c>
      <c r="Y3274">
        <v>-3.6881369999999997E-2</v>
      </c>
      <c r="Z3274">
        <v>1.823166E-3</v>
      </c>
      <c r="AA3274">
        <v>0.99931800000000004</v>
      </c>
      <c r="AB3274">
        <v>41</v>
      </c>
      <c r="AC3274">
        <v>23.747499999999999</v>
      </c>
      <c r="AD3274">
        <v>-1.1044287281092999</v>
      </c>
      <c r="AE3274">
        <v>0.38289999999997798</v>
      </c>
      <c r="AF3274">
        <v>-0.889467975780735</v>
      </c>
      <c r="AG3274">
        <v>-1.1044287281092999</v>
      </c>
      <c r="AH3274">
        <v>23.682643004374999</v>
      </c>
      <c r="AI3274">
        <v>92.6681483744171</v>
      </c>
      <c r="AJ3274">
        <v>92.1508924820034</v>
      </c>
      <c r="AK3274">
        <v>23.7250605008308</v>
      </c>
    </row>
    <row r="3275" spans="1:37" x14ac:dyDescent="0.2">
      <c r="A3275" t="str">
        <f>"20200111153714991"</f>
        <v>20200111153714991</v>
      </c>
      <c r="B3275" t="str">
        <f>"1578728234986252"</f>
        <v>1578728234986252</v>
      </c>
      <c r="C3275" t="s">
        <v>37</v>
      </c>
      <c r="D3275">
        <v>6.1714370000000001</v>
      </c>
      <c r="E3275">
        <v>0.49861260000000002</v>
      </c>
      <c r="F3275" t="s">
        <v>45</v>
      </c>
      <c r="G3275">
        <v>-260.88389999999998</v>
      </c>
      <c r="H3275" s="1">
        <v>-1.0950539999999999E-6</v>
      </c>
      <c r="I3275">
        <v>215.27099999999999</v>
      </c>
      <c r="J3275">
        <v>-284.90660000000003</v>
      </c>
      <c r="K3275">
        <v>1.104425</v>
      </c>
      <c r="L3275">
        <v>214.86330000000001</v>
      </c>
      <c r="M3275">
        <v>0.99972589999999995</v>
      </c>
      <c r="N3275">
        <v>0</v>
      </c>
      <c r="O3275">
        <v>-2.109401E-2</v>
      </c>
      <c r="P3275">
        <v>0.9972181</v>
      </c>
      <c r="Q3275">
        <v>7.2852219999999995E-2</v>
      </c>
      <c r="R3275">
        <v>1.577245E-2</v>
      </c>
      <c r="S3275">
        <v>3.017395</v>
      </c>
      <c r="T3275">
        <v>-0.136378</v>
      </c>
      <c r="U3275">
        <v>4.9285889999999999E-2</v>
      </c>
      <c r="V3275">
        <v>-3.6871220000000003E-2</v>
      </c>
      <c r="W3275">
        <v>8.2945630000000006E-2</v>
      </c>
      <c r="X3275">
        <v>0.99587169999999903</v>
      </c>
      <c r="Y3275">
        <v>-3.7360749999999998E-2</v>
      </c>
      <c r="Z3275">
        <v>1.7966950000000001E-3</v>
      </c>
      <c r="AA3275">
        <v>0.99930019999999997</v>
      </c>
      <c r="AB3275">
        <v>41</v>
      </c>
      <c r="AC3275">
        <v>24.0227</v>
      </c>
      <c r="AD3275">
        <v>-1.1044260950539999</v>
      </c>
      <c r="AE3275">
        <v>0.40769999999997703</v>
      </c>
      <c r="AF3275">
        <v>-0.91244247772260201</v>
      </c>
      <c r="AG3275">
        <v>-1.1044260950539999</v>
      </c>
      <c r="AH3275">
        <v>23.9581297206146</v>
      </c>
      <c r="AI3275">
        <v>92.637453074361403</v>
      </c>
      <c r="AJ3275">
        <v>92.181048745912506</v>
      </c>
      <c r="AK3275">
        <v>24.000922648606402</v>
      </c>
    </row>
    <row r="3276" spans="1:37" x14ac:dyDescent="0.2">
      <c r="A3276" t="str">
        <f>"20200111153715013"</f>
        <v>20200111153715013</v>
      </c>
      <c r="B3276" t="str">
        <f>"1578728235005775"</f>
        <v>1578728235005775</v>
      </c>
      <c r="C3276" t="s">
        <v>37</v>
      </c>
      <c r="D3276">
        <v>5.9583919999999999</v>
      </c>
      <c r="E3276">
        <v>0.49869439999999998</v>
      </c>
      <c r="F3276" t="s">
        <v>45</v>
      </c>
      <c r="G3276">
        <v>-260.52730000000003</v>
      </c>
      <c r="H3276" s="1">
        <v>-1.284694E-6</v>
      </c>
      <c r="I3276">
        <v>215.268</v>
      </c>
      <c r="J3276">
        <v>-284.49810000000002</v>
      </c>
      <c r="K3276">
        <v>1.1044209999999901</v>
      </c>
      <c r="L3276">
        <v>214.85489999999999</v>
      </c>
      <c r="M3276">
        <v>0.99973289999999904</v>
      </c>
      <c r="N3276">
        <v>0</v>
      </c>
      <c r="O3276">
        <v>-2.0776889999999999E-2</v>
      </c>
      <c r="P3276">
        <v>0.99719400000000002</v>
      </c>
      <c r="Q3276">
        <v>7.3125860000000001E-2</v>
      </c>
      <c r="R3276">
        <v>1.602263E-2</v>
      </c>
      <c r="S3276">
        <v>3.0175779999999999</v>
      </c>
      <c r="T3276">
        <v>-0.13670179999999901</v>
      </c>
      <c r="U3276">
        <v>5.0094599999999899E-2</v>
      </c>
      <c r="V3276">
        <v>-3.6804940000000001E-2</v>
      </c>
      <c r="W3276">
        <v>8.318797E-2</v>
      </c>
      <c r="X3276">
        <v>0.99585400000000002</v>
      </c>
      <c r="Y3276">
        <v>-3.7310589999999998E-2</v>
      </c>
      <c r="Z3276">
        <v>1.7853489999999899E-3</v>
      </c>
      <c r="AA3276">
        <v>0.99930209999999997</v>
      </c>
      <c r="AB3276">
        <v>41</v>
      </c>
      <c r="AC3276">
        <v>23.970800000000001</v>
      </c>
      <c r="AD3276">
        <v>-1.1044222846939999</v>
      </c>
      <c r="AE3276">
        <v>0.41310000000001401</v>
      </c>
      <c r="AF3276">
        <v>-0.90914566212225101</v>
      </c>
      <c r="AG3276">
        <v>-1.1044222846939999</v>
      </c>
      <c r="AH3276">
        <v>23.9063088913163</v>
      </c>
      <c r="AI3276">
        <v>92.643158531283007</v>
      </c>
      <c r="AJ3276">
        <v>92.177881983834496</v>
      </c>
      <c r="AK3276">
        <v>23.9490688592462</v>
      </c>
    </row>
    <row r="3277" spans="1:37" x14ac:dyDescent="0.2">
      <c r="A3277" t="str">
        <f>"20200111153715036"</f>
        <v>20200111153715036</v>
      </c>
      <c r="B3277" t="str">
        <f>"1578728235026022"</f>
        <v>1578728235026022</v>
      </c>
      <c r="C3277" t="s">
        <v>37</v>
      </c>
      <c r="D3277">
        <v>5.9738069999999999</v>
      </c>
      <c r="E3277">
        <v>0.49887999999999999</v>
      </c>
      <c r="F3277" t="s">
        <v>45</v>
      </c>
      <c r="G3277">
        <v>-259.86970000000002</v>
      </c>
      <c r="H3277" s="1">
        <v>3.6869729999999999E-6</v>
      </c>
      <c r="I3277">
        <v>215.2655</v>
      </c>
      <c r="J3277">
        <v>-284.08339999999998</v>
      </c>
      <c r="K3277">
        <v>1.104427</v>
      </c>
      <c r="L3277">
        <v>214.8466</v>
      </c>
      <c r="M3277">
        <v>0.99973959999999995</v>
      </c>
      <c r="N3277">
        <v>0</v>
      </c>
      <c r="O3277">
        <v>-2.0455069999999999E-2</v>
      </c>
      <c r="P3277">
        <v>0.99713809999999903</v>
      </c>
      <c r="Q3277">
        <v>7.3804430000000004E-2</v>
      </c>
      <c r="R3277">
        <v>1.638827E-2</v>
      </c>
      <c r="S3277">
        <v>3.0175779999999999</v>
      </c>
      <c r="T3277">
        <v>-0.13531770000000001</v>
      </c>
      <c r="U3277">
        <v>5.0308230000000002E-2</v>
      </c>
      <c r="V3277">
        <v>-3.6849420000000001E-2</v>
      </c>
      <c r="W3277">
        <v>8.3850830000000001E-2</v>
      </c>
      <c r="X3277">
        <v>0.99579669999999898</v>
      </c>
      <c r="Y3277">
        <v>-3.7061410000000003E-2</v>
      </c>
      <c r="Z3277">
        <v>1.747284E-3</v>
      </c>
      <c r="AA3277">
        <v>0.99931139999999996</v>
      </c>
      <c r="AB3277">
        <v>41</v>
      </c>
      <c r="AC3277">
        <v>24.2136999999999</v>
      </c>
      <c r="AD3277">
        <v>-1.104423313027</v>
      </c>
      <c r="AE3277">
        <v>0.41890000000000699</v>
      </c>
      <c r="AF3277">
        <v>-0.91223336500035401</v>
      </c>
      <c r="AG3277">
        <v>-1.104423313027</v>
      </c>
      <c r="AH3277">
        <v>24.149837740560699</v>
      </c>
      <c r="AI3277">
        <v>92.616569658108205</v>
      </c>
      <c r="AJ3277">
        <v>92.163256091351997</v>
      </c>
      <c r="AK3277">
        <v>24.192283552033398</v>
      </c>
    </row>
    <row r="3278" spans="1:37" x14ac:dyDescent="0.2">
      <c r="A3278" t="str">
        <f>"20200111153715057"</f>
        <v>20200111153715057</v>
      </c>
      <c r="B3278" t="str">
        <f>"1578728235046515"</f>
        <v>1578728235046515</v>
      </c>
      <c r="C3278" t="s">
        <v>37</v>
      </c>
      <c r="D3278">
        <v>5.9678050000000002</v>
      </c>
      <c r="E3278">
        <v>0.49901599999999902</v>
      </c>
      <c r="F3278" t="s">
        <v>45</v>
      </c>
      <c r="G3278">
        <v>-259.30220000000003</v>
      </c>
      <c r="H3278" s="1">
        <v>3.3853750000000002E-6</v>
      </c>
      <c r="I3278">
        <v>215.25700000000001</v>
      </c>
      <c r="J3278">
        <v>-283.69909999999999</v>
      </c>
      <c r="K3278">
        <v>1.1044369999999999</v>
      </c>
      <c r="L3278">
        <v>214.839</v>
      </c>
      <c r="M3278">
        <v>0.99974549999999995</v>
      </c>
      <c r="N3278">
        <v>0</v>
      </c>
      <c r="O3278">
        <v>-2.0157080000000001E-2</v>
      </c>
      <c r="P3278">
        <v>0.99713700000000005</v>
      </c>
      <c r="Q3278">
        <v>7.3720850000000004E-2</v>
      </c>
      <c r="R3278">
        <v>1.682788E-2</v>
      </c>
      <c r="S3278">
        <v>3.0177309999999999</v>
      </c>
      <c r="T3278">
        <v>-0.13449129999999901</v>
      </c>
      <c r="U3278">
        <v>4.9972530000000001E-2</v>
      </c>
      <c r="V3278">
        <v>-3.6992579999999997E-2</v>
      </c>
      <c r="W3278">
        <v>8.3774799999999996E-2</v>
      </c>
      <c r="X3278">
        <v>0.99579779999999996</v>
      </c>
      <c r="Y3278">
        <v>-3.6652980000000002E-2</v>
      </c>
      <c r="Z3278">
        <v>1.7141679999999901E-3</v>
      </c>
      <c r="AA3278">
        <v>0.99932659999999995</v>
      </c>
      <c r="AB3278">
        <v>41</v>
      </c>
      <c r="AC3278">
        <v>24.396899999999899</v>
      </c>
      <c r="AD3278">
        <v>-1.104433614625</v>
      </c>
      <c r="AE3278">
        <v>0.417999999999977</v>
      </c>
      <c r="AF3278">
        <v>-0.90785063467170701</v>
      </c>
      <c r="AG3278">
        <v>-1.104433614625</v>
      </c>
      <c r="AH3278">
        <v>24.3336637215167</v>
      </c>
      <c r="AI3278">
        <v>92.596899673744204</v>
      </c>
      <c r="AJ3278">
        <v>92.136624246579302</v>
      </c>
      <c r="AK3278">
        <v>24.3756262790486</v>
      </c>
    </row>
    <row r="3279" spans="1:37" x14ac:dyDescent="0.2">
      <c r="A3279" t="str">
        <f>"20200111153715079"</f>
        <v>20200111153715079</v>
      </c>
      <c r="B3279" t="str">
        <f>"1578728235075794"</f>
        <v>1578728235075794</v>
      </c>
      <c r="C3279" t="s">
        <v>37</v>
      </c>
      <c r="D3279">
        <v>5.948569</v>
      </c>
      <c r="E3279">
        <v>0.49922630000000001</v>
      </c>
      <c r="F3279" t="s">
        <v>45</v>
      </c>
      <c r="G3279">
        <v>-258.8451</v>
      </c>
      <c r="H3279" s="1">
        <v>3.1424089999999998E-6</v>
      </c>
      <c r="I3279">
        <v>215.2509</v>
      </c>
      <c r="J3279">
        <v>-283.2928</v>
      </c>
      <c r="K3279">
        <v>1.1044529999999999</v>
      </c>
      <c r="L3279">
        <v>214.83099999999999</v>
      </c>
      <c r="M3279">
        <v>0.99975130000000001</v>
      </c>
      <c r="N3279">
        <v>0</v>
      </c>
      <c r="O3279">
        <v>-1.9842769999999999E-2</v>
      </c>
      <c r="P3279">
        <v>0.99710180000000004</v>
      </c>
      <c r="Q3279">
        <v>7.4012209999999995E-2</v>
      </c>
      <c r="R3279">
        <v>1.7616400000000001E-2</v>
      </c>
      <c r="S3279">
        <v>3.0176699999999999</v>
      </c>
      <c r="T3279">
        <v>-0.1340961</v>
      </c>
      <c r="U3279">
        <v>5.0018310000000003E-2</v>
      </c>
      <c r="V3279">
        <v>-3.7467239999999999E-2</v>
      </c>
      <c r="W3279">
        <v>8.4128320000000006E-2</v>
      </c>
      <c r="X3279">
        <v>0.99575029999999998</v>
      </c>
      <c r="Y3279">
        <v>-3.6355230000000002E-2</v>
      </c>
      <c r="Z3279">
        <v>1.6886E-3</v>
      </c>
      <c r="AA3279">
        <v>0.99933749999999999</v>
      </c>
      <c r="AB3279">
        <v>41</v>
      </c>
      <c r="AC3279">
        <v>24.447700000000001</v>
      </c>
      <c r="AD3279">
        <v>-1.104449857591</v>
      </c>
      <c r="AE3279">
        <v>0.41990000000001199</v>
      </c>
      <c r="AF3279">
        <v>-0.90310994873974604</v>
      </c>
      <c r="AG3279">
        <v>-1.104449857591</v>
      </c>
      <c r="AH3279">
        <v>24.384802043730001</v>
      </c>
      <c r="AI3279">
        <v>92.591525299918601</v>
      </c>
      <c r="AJ3279">
        <v>92.121023967695805</v>
      </c>
      <c r="AK3279">
        <v>24.426501750749001</v>
      </c>
    </row>
    <row r="3280" spans="1:37" x14ac:dyDescent="0.2">
      <c r="A3280" t="str">
        <f>"20200111153715103"</f>
        <v>20200111153715103</v>
      </c>
      <c r="B3280" t="str">
        <f>"1578728235096291"</f>
        <v>1578728235096291</v>
      </c>
      <c r="C3280" t="s">
        <v>37</v>
      </c>
      <c r="D3280">
        <v>6.227195</v>
      </c>
      <c r="E3280">
        <v>0.49935980000000002</v>
      </c>
      <c r="F3280" t="s">
        <v>45</v>
      </c>
      <c r="G3280">
        <v>-258.25619999999998</v>
      </c>
      <c r="H3280" s="1">
        <v>2.82907699999999E-6</v>
      </c>
      <c r="I3280">
        <v>215.24889999999999</v>
      </c>
      <c r="J3280">
        <v>-282.86509999999998</v>
      </c>
      <c r="K3280">
        <v>1.104501</v>
      </c>
      <c r="L3280">
        <v>214.8228</v>
      </c>
      <c r="M3280">
        <v>0.99975619999999998</v>
      </c>
      <c r="N3280">
        <v>0</v>
      </c>
      <c r="O3280">
        <v>-1.950913E-2</v>
      </c>
      <c r="P3280">
        <v>0.9971544</v>
      </c>
      <c r="Q3280">
        <v>7.325595E-2</v>
      </c>
      <c r="R3280">
        <v>1.7814920000000001E-2</v>
      </c>
      <c r="S3280">
        <v>3.0177</v>
      </c>
      <c r="T3280">
        <v>-0.13312089999999999</v>
      </c>
      <c r="U3280">
        <v>5.0369259999999999E-2</v>
      </c>
      <c r="V3280">
        <v>-3.7334720000000002E-2</v>
      </c>
      <c r="W3280">
        <v>8.3541969999999993E-2</v>
      </c>
      <c r="X3280">
        <v>0.99580460000000004</v>
      </c>
      <c r="Y3280">
        <v>-3.6139119999999997E-2</v>
      </c>
      <c r="Z3280">
        <v>1.656841E-3</v>
      </c>
      <c r="AA3280">
        <v>0.99934539999999905</v>
      </c>
      <c r="AB3280">
        <v>41</v>
      </c>
      <c r="AC3280">
        <v>24.608899999999998</v>
      </c>
      <c r="AD3280">
        <v>-1.104498170923</v>
      </c>
      <c r="AE3280">
        <v>0.42609999999999099</v>
      </c>
      <c r="AF3280">
        <v>-0.90432167716502998</v>
      </c>
      <c r="AG3280">
        <v>-1.104498170923</v>
      </c>
      <c r="AH3280">
        <v>24.5464710407024</v>
      </c>
      <c r="AI3280">
        <v>92.574610848234101</v>
      </c>
      <c r="AJ3280">
        <v>92.109891582757498</v>
      </c>
      <c r="AK3280">
        <v>24.587943274243301</v>
      </c>
    </row>
    <row r="3281" spans="1:37" x14ac:dyDescent="0.2">
      <c r="A3281" t="str">
        <f>"20200111153715126"</f>
        <v>20200111153715126</v>
      </c>
      <c r="B3281" t="str">
        <f>"1578728235115812"</f>
        <v>1578728235115812</v>
      </c>
      <c r="C3281" t="s">
        <v>37</v>
      </c>
      <c r="D3281">
        <v>5.9586879999999898</v>
      </c>
      <c r="E3281">
        <v>0.49944110000000003</v>
      </c>
      <c r="F3281" t="s">
        <v>45</v>
      </c>
      <c r="G3281">
        <v>-258.2713</v>
      </c>
      <c r="H3281" s="1">
        <v>2.837755E-6</v>
      </c>
      <c r="I3281">
        <v>215.2346</v>
      </c>
      <c r="J3281">
        <v>-282.44580000000002</v>
      </c>
      <c r="K3281">
        <v>1.1045559999999901</v>
      </c>
      <c r="L3281">
        <v>214.81489999999999</v>
      </c>
      <c r="M3281">
        <v>0.99975959999999997</v>
      </c>
      <c r="N3281">
        <v>0</v>
      </c>
      <c r="O3281">
        <v>-1.9189979999999999E-2</v>
      </c>
      <c r="P3281">
        <v>0.99717049999999996</v>
      </c>
      <c r="Q3281">
        <v>7.3007879999999997E-2</v>
      </c>
      <c r="R3281">
        <v>1.7920970000000001E-2</v>
      </c>
      <c r="S3281">
        <v>3.0176090000000002</v>
      </c>
      <c r="T3281">
        <v>-0.13551959999999999</v>
      </c>
      <c r="U3281">
        <v>5.052185E-2</v>
      </c>
      <c r="V3281">
        <v>-3.7124339999999999E-2</v>
      </c>
      <c r="W3281">
        <v>8.3549100000000001E-2</v>
      </c>
      <c r="X3281">
        <v>0.99581189999999997</v>
      </c>
      <c r="Y3281">
        <v>-3.58698E-2</v>
      </c>
      <c r="Z3281">
        <v>1.6663509999999999E-3</v>
      </c>
      <c r="AA3281">
        <v>0.99935509999999905</v>
      </c>
      <c r="AB3281">
        <v>41</v>
      </c>
      <c r="AC3281">
        <v>24.174499999999998</v>
      </c>
      <c r="AD3281">
        <v>-1.10455316224499</v>
      </c>
      <c r="AE3281">
        <v>0.41970000000000601</v>
      </c>
      <c r="AF3281">
        <v>-0.88171680750918502</v>
      </c>
      <c r="AG3281">
        <v>-1.10455316224499</v>
      </c>
      <c r="AH3281">
        <v>24.111671778960201</v>
      </c>
      <c r="AI3281">
        <v>92.621130461341593</v>
      </c>
      <c r="AJ3281">
        <v>92.094261737102201</v>
      </c>
      <c r="AK3281">
        <v>24.153057326002799</v>
      </c>
    </row>
    <row r="3282" spans="1:37" x14ac:dyDescent="0.2">
      <c r="A3282" t="str">
        <f>"20200111153715147"</f>
        <v>20200111153715147</v>
      </c>
      <c r="B3282" t="str">
        <f>"1578728235136314"</f>
        <v>1578728235136314</v>
      </c>
      <c r="C3282" t="s">
        <v>37</v>
      </c>
      <c r="D3282">
        <v>6.1626979999999998</v>
      </c>
      <c r="E3282">
        <v>0.49957420000000002</v>
      </c>
      <c r="F3282" t="s">
        <v>45</v>
      </c>
      <c r="G3282">
        <v>-258.03710000000001</v>
      </c>
      <c r="H3282" s="1">
        <v>2.71365299999999E-6</v>
      </c>
      <c r="I3282">
        <v>215.2227</v>
      </c>
      <c r="J3282">
        <v>-282.06799999999998</v>
      </c>
      <c r="K3282">
        <v>1.1046049999999901</v>
      </c>
      <c r="L3282">
        <v>214.80789999999999</v>
      </c>
      <c r="M3282">
        <v>0.99976209999999899</v>
      </c>
      <c r="N3282">
        <v>0</v>
      </c>
      <c r="O3282">
        <v>-1.8907750000000001E-2</v>
      </c>
      <c r="P3282">
        <v>0.99720439999999999</v>
      </c>
      <c r="Q3282">
        <v>7.2514209999999996E-2</v>
      </c>
      <c r="R3282">
        <v>1.803198E-2</v>
      </c>
      <c r="S3282">
        <v>3.0175779999999999</v>
      </c>
      <c r="T3282">
        <v>-0.1365527</v>
      </c>
      <c r="U3282">
        <v>5.0415040000000001E-2</v>
      </c>
      <c r="V3282">
        <v>-3.6954590000000002E-2</v>
      </c>
      <c r="W3282">
        <v>8.3319589999999999E-2</v>
      </c>
      <c r="X3282">
        <v>0.99583750000000004</v>
      </c>
      <c r="Y3282">
        <v>-3.5552319999999998E-2</v>
      </c>
      <c r="Z3282">
        <v>1.6591170000000001E-3</v>
      </c>
      <c r="AA3282">
        <v>0.99936650000000005</v>
      </c>
      <c r="AB3282">
        <v>41</v>
      </c>
      <c r="AC3282">
        <v>24.0308999999999</v>
      </c>
      <c r="AD3282">
        <v>-1.10460228634699</v>
      </c>
      <c r="AE3282">
        <v>0.41480000000001299</v>
      </c>
      <c r="AF3282">
        <v>-0.86729102951826298</v>
      </c>
      <c r="AG3282">
        <v>-1.10460228634699</v>
      </c>
      <c r="AH3282">
        <v>23.968133796575199</v>
      </c>
      <c r="AI3282">
        <v>92.636959269776796</v>
      </c>
      <c r="AJ3282">
        <v>92.072353427519303</v>
      </c>
      <c r="AK3282">
        <v>24.009243587239801</v>
      </c>
    </row>
    <row r="3283" spans="1:37" x14ac:dyDescent="0.2">
      <c r="A3283" t="str">
        <f>"20200111153715169"</f>
        <v>20200111153715169</v>
      </c>
      <c r="B3283" t="str">
        <f>"1578728235155835"</f>
        <v>1578728235155835</v>
      </c>
      <c r="C3283" t="s">
        <v>37</v>
      </c>
      <c r="D3283">
        <v>6.0217289999999997</v>
      </c>
      <c r="E3283">
        <v>0.49972559999999899</v>
      </c>
      <c r="F3283" t="s">
        <v>45</v>
      </c>
      <c r="G3283">
        <v>-257.81799999999998</v>
      </c>
      <c r="H3283" s="1">
        <v>2.5976590000000001E-6</v>
      </c>
      <c r="I3283">
        <v>215.209</v>
      </c>
      <c r="J3283">
        <v>-281.66019999999997</v>
      </c>
      <c r="K3283">
        <v>1.1046549999999999</v>
      </c>
      <c r="L3283">
        <v>214.8005</v>
      </c>
      <c r="M3283">
        <v>0.9997644</v>
      </c>
      <c r="N3283">
        <v>0</v>
      </c>
      <c r="O3283">
        <v>-1.8602049999999998E-2</v>
      </c>
      <c r="P3283">
        <v>0.99726459999999995</v>
      </c>
      <c r="Q3283">
        <v>7.1680720000000003E-2</v>
      </c>
      <c r="R3283">
        <v>1.8049329999999999E-2</v>
      </c>
      <c r="S3283">
        <v>3.017487</v>
      </c>
      <c r="T3283">
        <v>-0.1374485</v>
      </c>
      <c r="U3283">
        <v>4.9911499999999998E-2</v>
      </c>
      <c r="V3283">
        <v>-3.6667459999999999E-2</v>
      </c>
      <c r="W3283">
        <v>8.2804009999999997E-2</v>
      </c>
      <c r="X3283">
        <v>0.99589099999999997</v>
      </c>
      <c r="Y3283">
        <v>-3.5080640000000003E-2</v>
      </c>
      <c r="Z3283">
        <v>1.6453920000000001E-3</v>
      </c>
      <c r="AA3283">
        <v>0.99938320000000003</v>
      </c>
      <c r="AB3283">
        <v>41</v>
      </c>
      <c r="AC3283">
        <v>23.842199999999899</v>
      </c>
      <c r="AD3283">
        <v>-1.104652402341</v>
      </c>
      <c r="AE3283">
        <v>0.40850000000000303</v>
      </c>
      <c r="AF3283">
        <v>-0.85014642956975695</v>
      </c>
      <c r="AG3283">
        <v>-1.104652402341</v>
      </c>
      <c r="AH3283">
        <v>23.779443725617</v>
      </c>
      <c r="AI3283">
        <v>92.658015454527998</v>
      </c>
      <c r="AJ3283">
        <v>92.047527516856206</v>
      </c>
      <c r="AK3283">
        <v>23.820263428045699</v>
      </c>
    </row>
    <row r="3284" spans="1:37" x14ac:dyDescent="0.2">
      <c r="A3284" t="str">
        <f>"20200111153715191"</f>
        <v>20200111153715191</v>
      </c>
      <c r="B3284" t="str">
        <f>"1578728235186091"</f>
        <v>1578728235186091</v>
      </c>
      <c r="C3284" t="s">
        <v>37</v>
      </c>
      <c r="D3284">
        <v>5.9664769999999896</v>
      </c>
      <c r="E3284">
        <v>0.4999265</v>
      </c>
      <c r="F3284" t="s">
        <v>45</v>
      </c>
      <c r="G3284">
        <v>-257.90019999999998</v>
      </c>
      <c r="H3284" s="1">
        <v>2.64242599999999E-6</v>
      </c>
      <c r="I3284">
        <v>215.18510000000001</v>
      </c>
      <c r="J3284">
        <v>-281.24869999999999</v>
      </c>
      <c r="K3284">
        <v>1.104695</v>
      </c>
      <c r="L3284">
        <v>214.79310000000001</v>
      </c>
      <c r="M3284">
        <v>0.9997663</v>
      </c>
      <c r="N3284">
        <v>0</v>
      </c>
      <c r="O3284">
        <v>-1.8288169999999999E-2</v>
      </c>
      <c r="P3284">
        <v>0.99732579999999904</v>
      </c>
      <c r="Q3284">
        <v>7.0806320000000006E-2</v>
      </c>
      <c r="R3284">
        <v>1.8103520000000001E-2</v>
      </c>
      <c r="S3284">
        <v>3.0174560000000001</v>
      </c>
      <c r="T3284">
        <v>-0.14028789999999999</v>
      </c>
      <c r="U3284">
        <v>4.8843379999999999E-2</v>
      </c>
      <c r="V3284">
        <v>-3.6408389999999999E-2</v>
      </c>
      <c r="W3284">
        <v>8.2260360000000005E-2</v>
      </c>
      <c r="X3284">
        <v>0.99594559999999999</v>
      </c>
      <c r="Y3284">
        <v>-3.4412180000000001E-2</v>
      </c>
      <c r="Z3284">
        <v>1.6492569999999999E-3</v>
      </c>
      <c r="AA3284">
        <v>0.99940629999999997</v>
      </c>
      <c r="AB3284">
        <v>41</v>
      </c>
      <c r="AC3284">
        <v>23.348500000000001</v>
      </c>
      <c r="AD3284">
        <v>-1.104692357574</v>
      </c>
      <c r="AE3284">
        <v>0.39199999999999502</v>
      </c>
      <c r="AF3284">
        <v>-0.81713546956622995</v>
      </c>
      <c r="AG3284">
        <v>-1.104692357574</v>
      </c>
      <c r="AH3284">
        <v>23.285314774520799</v>
      </c>
      <c r="AI3284">
        <v>92.714497946036701</v>
      </c>
      <c r="AJ3284">
        <v>92.009816480648496</v>
      </c>
      <c r="AK3284">
        <v>23.325821308777599</v>
      </c>
    </row>
    <row r="3285" spans="1:37" x14ac:dyDescent="0.2">
      <c r="A3285" t="str">
        <f>"20200111153715215"</f>
        <v>20200111153715215</v>
      </c>
      <c r="B3285" t="str">
        <f>"1578728235206586"</f>
        <v>1578728235206586</v>
      </c>
      <c r="C3285" t="s">
        <v>37</v>
      </c>
      <c r="D3285">
        <v>5.9695359999999997</v>
      </c>
      <c r="E3285">
        <v>0.4999557</v>
      </c>
      <c r="F3285" t="s">
        <v>45</v>
      </c>
      <c r="G3285">
        <v>-258.03919999999999</v>
      </c>
      <c r="H3285" s="1">
        <v>2.7177039999999999E-6</v>
      </c>
      <c r="I3285">
        <v>215.1558</v>
      </c>
      <c r="J3285">
        <v>-280.82029999999997</v>
      </c>
      <c r="K3285">
        <v>1.1047290000000001</v>
      </c>
      <c r="L3285">
        <v>214.78559999999999</v>
      </c>
      <c r="M3285">
        <v>0.99976860000000001</v>
      </c>
      <c r="N3285">
        <v>0</v>
      </c>
      <c r="O3285">
        <v>-1.7957279999999999E-2</v>
      </c>
      <c r="P3285">
        <v>0.99738289999999996</v>
      </c>
      <c r="Q3285">
        <v>6.993895E-2</v>
      </c>
      <c r="R3285">
        <v>1.8334019999999999E-2</v>
      </c>
      <c r="S3285">
        <v>3.0174259999999999</v>
      </c>
      <c r="T3285">
        <v>-0.14361949999999901</v>
      </c>
      <c r="U3285">
        <v>4.7149660000000003E-2</v>
      </c>
      <c r="V3285">
        <v>-3.630837E-2</v>
      </c>
      <c r="W3285">
        <v>8.1720020000000004E-2</v>
      </c>
      <c r="X3285">
        <v>0.99599369999999998</v>
      </c>
      <c r="Y3285">
        <v>-3.3519449999999999E-2</v>
      </c>
      <c r="Z3285">
        <v>1.6514349999999999E-3</v>
      </c>
      <c r="AA3285">
        <v>0.99943669999999996</v>
      </c>
      <c r="AB3285">
        <v>41</v>
      </c>
      <c r="AC3285">
        <v>22.781099999999899</v>
      </c>
      <c r="AD3285">
        <v>-1.104726282296</v>
      </c>
      <c r="AE3285">
        <v>0.37020000000001102</v>
      </c>
      <c r="AF3285">
        <v>-0.77742788482126501</v>
      </c>
      <c r="AG3285">
        <v>-1.104726282296</v>
      </c>
      <c r="AH3285">
        <v>22.717370256981798</v>
      </c>
      <c r="AI3285">
        <v>92.782425309206602</v>
      </c>
      <c r="AJ3285">
        <v>91.959996238170305</v>
      </c>
      <c r="AK3285">
        <v>22.757498229543899</v>
      </c>
    </row>
    <row r="3286" spans="1:37" x14ac:dyDescent="0.2">
      <c r="A3286" t="str">
        <f>"20200111153715236"</f>
        <v>20200111153715236</v>
      </c>
      <c r="B3286" t="str">
        <f>"1578728235226107"</f>
        <v>1578728235226107</v>
      </c>
      <c r="C3286" t="s">
        <v>37</v>
      </c>
      <c r="D3286">
        <v>5.8132289999999998</v>
      </c>
      <c r="E3286">
        <v>0.50002279999999999</v>
      </c>
      <c r="F3286" t="s">
        <v>45</v>
      </c>
      <c r="G3286">
        <v>-258.08699999999999</v>
      </c>
      <c r="H3286" s="1">
        <v>2.74365799999999E-6</v>
      </c>
      <c r="I3286">
        <v>215.14420000000001</v>
      </c>
      <c r="J3286">
        <v>-280.43959999999998</v>
      </c>
      <c r="K3286">
        <v>1.104752</v>
      </c>
      <c r="L3286">
        <v>214.779</v>
      </c>
      <c r="M3286">
        <v>0.99977050000000001</v>
      </c>
      <c r="N3286">
        <v>0</v>
      </c>
      <c r="O3286">
        <v>-1.766351E-2</v>
      </c>
      <c r="P3286">
        <v>0.99740960000000001</v>
      </c>
      <c r="Q3286">
        <v>6.9619390000000003E-2</v>
      </c>
      <c r="R3286">
        <v>1.8095610000000002E-2</v>
      </c>
      <c r="S3286">
        <v>3.017242</v>
      </c>
      <c r="T3286">
        <v>-0.146623</v>
      </c>
      <c r="U3286">
        <v>4.7592160000000001E-2</v>
      </c>
      <c r="V3286">
        <v>-3.5777089999999998E-2</v>
      </c>
      <c r="W3286">
        <v>8.1666799999999998E-2</v>
      </c>
      <c r="X3286">
        <v>0.99601729999999999</v>
      </c>
      <c r="Y3286">
        <v>-3.3371390000000001E-2</v>
      </c>
      <c r="Z3286">
        <v>1.66817299999999E-3</v>
      </c>
      <c r="AA3286">
        <v>0.99944159999999904</v>
      </c>
      <c r="AB3286">
        <v>41</v>
      </c>
      <c r="AC3286">
        <v>22.352599999999899</v>
      </c>
      <c r="AD3286">
        <v>-1.1047492563420001</v>
      </c>
      <c r="AE3286">
        <v>0.36519999999998698</v>
      </c>
      <c r="AF3286">
        <v>-0.75814596812416002</v>
      </c>
      <c r="AG3286">
        <v>-1.1047492563420001</v>
      </c>
      <c r="AH3286">
        <v>22.288231939707501</v>
      </c>
      <c r="AI3286">
        <v>92.835990359873406</v>
      </c>
      <c r="AJ3286">
        <v>91.948195009292405</v>
      </c>
      <c r="AK3286">
        <v>22.328469253994299</v>
      </c>
    </row>
    <row r="3287" spans="1:37" x14ac:dyDescent="0.2">
      <c r="A3287" t="str">
        <f>"20200111153715259"</f>
        <v>20200111153715259</v>
      </c>
      <c r="B3287" t="str">
        <f>"1578728235246604"</f>
        <v>1578728235246604</v>
      </c>
      <c r="C3287" t="s">
        <v>37</v>
      </c>
      <c r="D3287">
        <v>5.7494269999999998</v>
      </c>
      <c r="E3287">
        <v>0.5000542</v>
      </c>
      <c r="F3287" t="s">
        <v>45</v>
      </c>
      <c r="G3287">
        <v>-257.86239999999998</v>
      </c>
      <c r="H3287" s="1">
        <v>2.6248729999999999E-6</v>
      </c>
      <c r="I3287">
        <v>215.12719999999999</v>
      </c>
      <c r="J3287">
        <v>-280.02359999999999</v>
      </c>
      <c r="K3287">
        <v>1.1047709999999999</v>
      </c>
      <c r="L3287">
        <v>214.77199999999999</v>
      </c>
      <c r="M3287">
        <v>0.99977289999999996</v>
      </c>
      <c r="N3287">
        <v>0</v>
      </c>
      <c r="O3287">
        <v>-1.7345570000000001E-2</v>
      </c>
      <c r="P3287">
        <v>0.99741740000000001</v>
      </c>
      <c r="Q3287">
        <v>6.9494500000000001E-2</v>
      </c>
      <c r="R3287">
        <v>1.813271E-2</v>
      </c>
      <c r="S3287">
        <v>3.017242</v>
      </c>
      <c r="T3287">
        <v>-0.14763979999999999</v>
      </c>
      <c r="U3287">
        <v>4.6524049999999997E-2</v>
      </c>
      <c r="V3287">
        <v>-3.5496930000000003E-2</v>
      </c>
      <c r="W3287">
        <v>8.1809839999999995E-2</v>
      </c>
      <c r="X3287">
        <v>0.996015599999999</v>
      </c>
      <c r="Y3287">
        <v>-3.2700220000000002E-2</v>
      </c>
      <c r="Z3287">
        <v>1.6477760000000001E-3</v>
      </c>
      <c r="AA3287">
        <v>0.99946389999999996</v>
      </c>
      <c r="AB3287">
        <v>41</v>
      </c>
      <c r="AC3287">
        <v>22.161200000000001</v>
      </c>
      <c r="AD3287">
        <v>-1.1047683751270001</v>
      </c>
      <c r="AE3287">
        <v>0.35519999999996799</v>
      </c>
      <c r="AF3287">
        <v>-0.73774172105021796</v>
      </c>
      <c r="AG3287">
        <v>-1.1047683751270001</v>
      </c>
      <c r="AH3287">
        <v>22.0968036256792</v>
      </c>
      <c r="AI3287">
        <v>92.860628253788605</v>
      </c>
      <c r="AJ3287">
        <v>91.912212850483002</v>
      </c>
      <c r="AK3287">
        <v>22.136700442511501</v>
      </c>
    </row>
    <row r="3288" spans="1:37" x14ac:dyDescent="0.2">
      <c r="A3288" t="str">
        <f>"20200111153715281"</f>
        <v>20200111153715281</v>
      </c>
      <c r="B3288" t="str">
        <f>"1578728235275883"</f>
        <v>1578728235275883</v>
      </c>
      <c r="C3288" t="s">
        <v>37</v>
      </c>
      <c r="D3288">
        <v>5.9225969999999997</v>
      </c>
      <c r="E3288">
        <v>0.50029609999999902</v>
      </c>
      <c r="F3288" t="s">
        <v>45</v>
      </c>
      <c r="G3288">
        <v>-257.57780000000002</v>
      </c>
      <c r="H3288" s="1">
        <v>2.473786E-6</v>
      </c>
      <c r="I3288">
        <v>215.1183</v>
      </c>
      <c r="J3288">
        <v>-279.62830000000002</v>
      </c>
      <c r="K3288">
        <v>1.1047769999999999</v>
      </c>
      <c r="L3288">
        <v>214.7654</v>
      </c>
      <c r="M3288">
        <v>0.99977510000000003</v>
      </c>
      <c r="N3288">
        <v>0</v>
      </c>
      <c r="O3288">
        <v>-1.7046490000000001E-2</v>
      </c>
      <c r="P3288">
        <v>0.99742050000000004</v>
      </c>
      <c r="Q3288">
        <v>6.9456829999999997E-2</v>
      </c>
      <c r="R3288">
        <v>1.8114310000000002E-2</v>
      </c>
      <c r="S3288">
        <v>3.0172729999999999</v>
      </c>
      <c r="T3288">
        <v>-0.14850839999999901</v>
      </c>
      <c r="U3288">
        <v>4.6554570000000003E-2</v>
      </c>
      <c r="V3288">
        <v>-3.518102E-2</v>
      </c>
      <c r="W3288">
        <v>8.2000429999999999E-2</v>
      </c>
      <c r="X3288">
        <v>0.99601109999999904</v>
      </c>
      <c r="Y3288">
        <v>-3.2411240000000001E-2</v>
      </c>
      <c r="Z3288">
        <v>1.6356260000000001E-3</v>
      </c>
      <c r="AA3288">
        <v>0.99947330000000001</v>
      </c>
      <c r="AB3288">
        <v>41</v>
      </c>
      <c r="AC3288">
        <v>22.0505</v>
      </c>
      <c r="AD3288">
        <v>-1.1047745262140001</v>
      </c>
      <c r="AE3288">
        <v>0.35290000000000499</v>
      </c>
      <c r="AF3288">
        <v>-0.72693795894569702</v>
      </c>
      <c r="AG3288">
        <v>-1.1047745262140001</v>
      </c>
      <c r="AH3288">
        <v>21.986103672428101</v>
      </c>
      <c r="AI3288">
        <v>92.875054178702399</v>
      </c>
      <c r="AJ3288">
        <v>91.89371023628</v>
      </c>
      <c r="AK3288">
        <v>22.025842100693499</v>
      </c>
    </row>
    <row r="3289" spans="1:37" x14ac:dyDescent="0.2">
      <c r="A3289" t="str">
        <f>"20200111153715304"</f>
        <v>20200111153715304</v>
      </c>
      <c r="B3289" t="str">
        <f>"1578728235296378"</f>
        <v>1578728235296378</v>
      </c>
      <c r="C3289" t="s">
        <v>37</v>
      </c>
      <c r="D3289">
        <v>5.8327269999999896</v>
      </c>
      <c r="E3289">
        <v>0.50032679999999996</v>
      </c>
      <c r="F3289" t="s">
        <v>45</v>
      </c>
      <c r="G3289">
        <v>-257.40170000000001</v>
      </c>
      <c r="H3289" s="1">
        <v>2.3811739999999999E-6</v>
      </c>
      <c r="I3289">
        <v>215.09360000000001</v>
      </c>
      <c r="J3289">
        <v>-279.20589999999999</v>
      </c>
      <c r="K3289">
        <v>1.104784</v>
      </c>
      <c r="L3289">
        <v>214.7585</v>
      </c>
      <c r="M3289">
        <v>0.99977769999999999</v>
      </c>
      <c r="N3289">
        <v>0</v>
      </c>
      <c r="O3289">
        <v>-1.672854E-2</v>
      </c>
      <c r="P3289">
        <v>0.99740139999999999</v>
      </c>
      <c r="Q3289">
        <v>6.9617700000000005E-2</v>
      </c>
      <c r="R3289">
        <v>1.8545490000000001E-2</v>
      </c>
      <c r="S3289">
        <v>3.0174560000000001</v>
      </c>
      <c r="T3289">
        <v>-0.1499827</v>
      </c>
      <c r="U3289">
        <v>4.4555659999999997E-2</v>
      </c>
      <c r="V3289">
        <v>-3.5294850000000003E-2</v>
      </c>
      <c r="W3289">
        <v>8.237775E-2</v>
      </c>
      <c r="X3289">
        <v>0.99597599999999997</v>
      </c>
      <c r="Y3289">
        <v>-3.1430949999999999E-2</v>
      </c>
      <c r="Z3289">
        <v>1.61161299999999E-3</v>
      </c>
      <c r="AA3289">
        <v>0.99950459999999997</v>
      </c>
      <c r="AB3289">
        <v>41</v>
      </c>
      <c r="AC3289">
        <v>21.804199999999899</v>
      </c>
      <c r="AD3289">
        <v>-1.104781618826</v>
      </c>
      <c r="AE3289">
        <v>0.335100000000011</v>
      </c>
      <c r="AF3289">
        <v>-0.69804392699143403</v>
      </c>
      <c r="AG3289">
        <v>-1.104781618826</v>
      </c>
      <c r="AH3289">
        <v>21.739743457632699</v>
      </c>
      <c r="AI3289">
        <v>92.9076882306003</v>
      </c>
      <c r="AJ3289">
        <v>91.839084928952801</v>
      </c>
      <c r="AK3289">
        <v>21.778986508857301</v>
      </c>
    </row>
    <row r="3290" spans="1:37" x14ac:dyDescent="0.2">
      <c r="A3290" t="str">
        <f>"20200111153715326"</f>
        <v>20200111153715326</v>
      </c>
      <c r="B3290" t="str">
        <f>"1578728235315899"</f>
        <v>1578728235315899</v>
      </c>
      <c r="C3290" t="s">
        <v>37</v>
      </c>
      <c r="D3290">
        <v>6.7985769999999999</v>
      </c>
      <c r="E3290">
        <v>0.50043369999999998</v>
      </c>
      <c r="F3290" t="s">
        <v>45</v>
      </c>
      <c r="G3290">
        <v>-256.95929999999998</v>
      </c>
      <c r="H3290" s="1">
        <v>2.1457399999999999E-6</v>
      </c>
      <c r="I3290">
        <v>215.09360000000001</v>
      </c>
      <c r="J3290">
        <v>-278.81299999999999</v>
      </c>
      <c r="K3290">
        <v>1.1047940000000001</v>
      </c>
      <c r="L3290">
        <v>214.75219999999999</v>
      </c>
      <c r="M3290">
        <v>0.99978029999999996</v>
      </c>
      <c r="N3290">
        <v>0</v>
      </c>
      <c r="O3290">
        <v>-1.643269E-2</v>
      </c>
      <c r="P3290">
        <v>0.99736369999999896</v>
      </c>
      <c r="Q3290">
        <v>7.0148959999999996E-2</v>
      </c>
      <c r="R3290">
        <v>1.8576619999999999E-2</v>
      </c>
      <c r="S3290">
        <v>3.0174259999999999</v>
      </c>
      <c r="T3290">
        <v>-0.14984749999999999</v>
      </c>
      <c r="U3290">
        <v>4.5455929999999999E-2</v>
      </c>
      <c r="V3290">
        <v>-3.503063E-2</v>
      </c>
      <c r="W3290">
        <v>8.3088659999999995E-2</v>
      </c>
      <c r="X3290">
        <v>0.99592630000000004</v>
      </c>
      <c r="Y3290">
        <v>-3.143398E-2</v>
      </c>
      <c r="Z3290">
        <v>1.5955699999999999E-3</v>
      </c>
      <c r="AA3290">
        <v>0.99950459999999997</v>
      </c>
      <c r="AB3290">
        <v>41</v>
      </c>
      <c r="AC3290">
        <v>21.8537</v>
      </c>
      <c r="AD3290">
        <v>-1.1047918542599999</v>
      </c>
      <c r="AE3290">
        <v>0.34140000000002102</v>
      </c>
      <c r="AF3290">
        <v>-0.69871410564220204</v>
      </c>
      <c r="AG3290">
        <v>-1.1047918542599999</v>
      </c>
      <c r="AH3290">
        <v>21.789464204716602</v>
      </c>
      <c r="AI3290">
        <v>92.901095386372702</v>
      </c>
      <c r="AJ3290">
        <v>91.836651684420005</v>
      </c>
      <c r="AK3290">
        <v>21.828639828704102</v>
      </c>
    </row>
    <row r="3291" spans="1:37" x14ac:dyDescent="0.2">
      <c r="A3291" t="str">
        <f>"20200111153715348"</f>
        <v>20200111153715348</v>
      </c>
      <c r="B3291" t="str">
        <f>"1578728235336395"</f>
        <v>1578728235336395</v>
      </c>
      <c r="C3291" t="s">
        <v>37</v>
      </c>
      <c r="D3291">
        <v>5.9177169999999997</v>
      </c>
      <c r="E3291">
        <v>0.50046789999999997</v>
      </c>
      <c r="F3291" t="s">
        <v>45</v>
      </c>
      <c r="G3291">
        <v>-256.38810000000001</v>
      </c>
      <c r="H3291" s="1">
        <v>1.842071E-6</v>
      </c>
      <c r="I3291">
        <v>215.08699999999999</v>
      </c>
      <c r="J3291">
        <v>-278.41660000000002</v>
      </c>
      <c r="K3291">
        <v>1.104803</v>
      </c>
      <c r="L3291">
        <v>214.74599999999899</v>
      </c>
      <c r="M3291">
        <v>0.99978310000000004</v>
      </c>
      <c r="N3291">
        <v>0</v>
      </c>
      <c r="O3291">
        <v>-1.6133049999999999E-2</v>
      </c>
      <c r="P3291">
        <v>0.99735339999999995</v>
      </c>
      <c r="Q3291">
        <v>7.0229719999999995E-2</v>
      </c>
      <c r="R3291">
        <v>1.881646E-2</v>
      </c>
      <c r="S3291">
        <v>3.0175480000000001</v>
      </c>
      <c r="T3291">
        <v>-0.14866379999999901</v>
      </c>
      <c r="U3291">
        <v>4.5043949999999999E-2</v>
      </c>
      <c r="V3291">
        <v>-3.497103E-2</v>
      </c>
      <c r="W3291">
        <v>8.3329100000000003E-2</v>
      </c>
      <c r="X3291">
        <v>0.99590829999999997</v>
      </c>
      <c r="Y3291">
        <v>-3.0999229999999999E-2</v>
      </c>
      <c r="Z3291">
        <v>1.5574639999999999E-3</v>
      </c>
      <c r="AA3291">
        <v>0.99951819999999902</v>
      </c>
      <c r="AB3291">
        <v>40</v>
      </c>
      <c r="AC3291">
        <v>22.028500000000001</v>
      </c>
      <c r="AD3291">
        <v>-1.104801157929</v>
      </c>
      <c r="AE3291">
        <v>0.341000000000036</v>
      </c>
      <c r="AF3291">
        <v>-0.694626524142541</v>
      </c>
      <c r="AG3291">
        <v>-1.104801157929</v>
      </c>
      <c r="AH3291">
        <v>21.964894574264299</v>
      </c>
      <c r="AI3291">
        <v>92.878028491386303</v>
      </c>
      <c r="AJ3291">
        <v>91.811340739392406</v>
      </c>
      <c r="AK3291">
        <v>22.003628911276198</v>
      </c>
    </row>
    <row r="3292" spans="1:37" x14ac:dyDescent="0.2">
      <c r="A3292" t="str">
        <f>"20200111153715371"</f>
        <v>20200111153715371</v>
      </c>
      <c r="B3292" t="str">
        <f>"1578728235366651"</f>
        <v>1578728235366651</v>
      </c>
      <c r="C3292" t="s">
        <v>37</v>
      </c>
      <c r="D3292">
        <v>5.4384709999999998</v>
      </c>
      <c r="E3292">
        <v>0.50071409999999905</v>
      </c>
      <c r="F3292" t="s">
        <v>45</v>
      </c>
      <c r="G3292">
        <v>-255.97659999999999</v>
      </c>
      <c r="H3292" s="1">
        <v>1.623141E-6</v>
      </c>
      <c r="I3292">
        <v>215.08539999999999</v>
      </c>
      <c r="J3292">
        <v>-278.00189999999998</v>
      </c>
      <c r="K3292">
        <v>1.104811</v>
      </c>
      <c r="L3292">
        <v>214.7396</v>
      </c>
      <c r="M3292">
        <v>0.99978619999999996</v>
      </c>
      <c r="N3292">
        <v>0</v>
      </c>
      <c r="O3292">
        <v>-1.5818209999999999E-2</v>
      </c>
      <c r="P3292">
        <v>0.99732019999999899</v>
      </c>
      <c r="Q3292">
        <v>7.06875E-2</v>
      </c>
      <c r="R3292">
        <v>1.886065E-2</v>
      </c>
      <c r="S3292">
        <v>3.0175480000000001</v>
      </c>
      <c r="T3292">
        <v>-0.14856429999999901</v>
      </c>
      <c r="U3292">
        <v>4.5639039999999999E-2</v>
      </c>
      <c r="V3292">
        <v>-3.4701429999999998E-2</v>
      </c>
      <c r="W3292">
        <v>8.3933489999999999E-2</v>
      </c>
      <c r="X3292">
        <v>0.99586699999999995</v>
      </c>
      <c r="Y3292">
        <v>-3.088217E-2</v>
      </c>
      <c r="Z3292">
        <v>1.5380509999999999E-3</v>
      </c>
      <c r="AA3292">
        <v>0.99952189999999996</v>
      </c>
      <c r="AB3292">
        <v>40</v>
      </c>
      <c r="AC3292">
        <v>22.025299999999898</v>
      </c>
      <c r="AD3292">
        <v>-1.1048093768589999</v>
      </c>
      <c r="AE3292">
        <v>0.345799999999997</v>
      </c>
      <c r="AF3292">
        <v>-0.69244659645392004</v>
      </c>
      <c r="AG3292">
        <v>-1.1048093768589999</v>
      </c>
      <c r="AH3292">
        <v>21.961828439462</v>
      </c>
      <c r="AI3292">
        <v>92.878459598102594</v>
      </c>
      <c r="AJ3292">
        <v>91.805911951456395</v>
      </c>
      <c r="AK3292">
        <v>22.000499868241601</v>
      </c>
    </row>
    <row r="3293" spans="1:37" x14ac:dyDescent="0.2">
      <c r="A3293" t="str">
        <f>"20200111153715393"</f>
        <v>20200111153715393</v>
      </c>
      <c r="B3293" t="str">
        <f>"1578728235386173"</f>
        <v>1578728235386173</v>
      </c>
      <c r="C3293" t="s">
        <v>37</v>
      </c>
      <c r="D3293">
        <v>6.0745500000000003</v>
      </c>
      <c r="E3293">
        <v>0.54071389999999997</v>
      </c>
      <c r="F3293" t="s">
        <v>45</v>
      </c>
      <c r="G3293">
        <v>-255.4032</v>
      </c>
      <c r="H3293" s="1">
        <v>1.318816E-6</v>
      </c>
      <c r="I3293">
        <v>215.06729999999999</v>
      </c>
      <c r="J3293">
        <v>-277.61149999999998</v>
      </c>
      <c r="K3293">
        <v>1.104814</v>
      </c>
      <c r="L3293">
        <v>214.7337</v>
      </c>
      <c r="M3293">
        <v>0.99978929999999999</v>
      </c>
      <c r="N3293">
        <v>0</v>
      </c>
      <c r="O3293">
        <v>-1.5521689999999999E-2</v>
      </c>
      <c r="P3293">
        <v>0.9973339</v>
      </c>
      <c r="Q3293">
        <v>7.0506040000000006E-2</v>
      </c>
      <c r="R3293">
        <v>1.8820409999999999E-2</v>
      </c>
      <c r="S3293">
        <v>3.0177</v>
      </c>
      <c r="T3293">
        <v>-0.14752979999999999</v>
      </c>
      <c r="U3293">
        <v>4.3762210000000003E-2</v>
      </c>
      <c r="V3293">
        <v>-3.4365399999999997E-2</v>
      </c>
      <c r="W3293">
        <v>8.3873639999999999E-2</v>
      </c>
      <c r="X3293">
        <v>0.99588359999999998</v>
      </c>
      <c r="Y3293">
        <v>-2.996571E-2</v>
      </c>
      <c r="Z3293">
        <v>1.49041E-3</v>
      </c>
      <c r="AA3293">
        <v>0.99954979999999904</v>
      </c>
      <c r="AB3293">
        <v>40</v>
      </c>
      <c r="AC3293">
        <v>22.208299999999898</v>
      </c>
      <c r="AD3293">
        <v>-1.104812681184</v>
      </c>
      <c r="AE3293">
        <v>0.33359999999998902</v>
      </c>
      <c r="AF3293">
        <v>-0.67662709088078499</v>
      </c>
      <c r="AG3293">
        <v>-1.104812681184</v>
      </c>
      <c r="AH3293">
        <v>22.145651087916399</v>
      </c>
      <c r="AI3293">
        <v>92.854701069762598</v>
      </c>
      <c r="AJ3293">
        <v>91.7500420163733</v>
      </c>
      <c r="AK3293">
        <v>22.1835140901605</v>
      </c>
    </row>
    <row r="3294" spans="1:37" x14ac:dyDescent="0.2">
      <c r="A3294" t="str">
        <f>"20200111153715415"</f>
        <v>20200111153715415</v>
      </c>
      <c r="B3294" t="str">
        <f>"1578728235406666"</f>
        <v>1578728235406666</v>
      </c>
      <c r="C3294" t="s">
        <v>37</v>
      </c>
      <c r="D3294">
        <v>5.9978020000000001</v>
      </c>
      <c r="E3294">
        <v>0.54313800000000001</v>
      </c>
      <c r="F3294" t="s">
        <v>45</v>
      </c>
      <c r="G3294">
        <v>-257.6019</v>
      </c>
      <c r="H3294" s="1">
        <v>2.5831049999999998E-6</v>
      </c>
      <c r="I3294">
        <v>212.9111</v>
      </c>
      <c r="J3294">
        <v>-277.20030000000003</v>
      </c>
      <c r="K3294">
        <v>1.104816</v>
      </c>
      <c r="L3294">
        <v>214.7276</v>
      </c>
      <c r="M3294">
        <v>0.99979249999999997</v>
      </c>
      <c r="N3294">
        <v>0</v>
      </c>
      <c r="O3294">
        <v>-1.520913E-2</v>
      </c>
      <c r="P3294">
        <v>0.99735090000000004</v>
      </c>
      <c r="Q3294">
        <v>7.0288210000000004E-2</v>
      </c>
      <c r="R3294">
        <v>1.8736019999999999E-2</v>
      </c>
      <c r="S3294">
        <v>3.0250240000000002</v>
      </c>
      <c r="T3294">
        <v>-0.16702439999999999</v>
      </c>
      <c r="U3294">
        <v>-0.27554319999999999</v>
      </c>
      <c r="V3294">
        <v>-3.3969649999999997E-2</v>
      </c>
      <c r="W3294">
        <v>8.3768140000000005E-2</v>
      </c>
      <c r="X3294">
        <v>0.99590610000000002</v>
      </c>
      <c r="Y3294">
        <v>7.5463080000000002E-2</v>
      </c>
      <c r="Z3294">
        <v>-1.2401420000000001E-3</v>
      </c>
      <c r="AA3294">
        <v>0.99714780000000003</v>
      </c>
      <c r="AB3294">
        <v>40</v>
      </c>
      <c r="AC3294">
        <v>19.598400000000002</v>
      </c>
      <c r="AD3294">
        <v>-1.1048134168949999</v>
      </c>
      <c r="AE3294">
        <v>-1.81649999999999</v>
      </c>
      <c r="AF3294">
        <v>1.51341937774477</v>
      </c>
      <c r="AG3294">
        <v>-1.1048134168949999</v>
      </c>
      <c r="AH3294">
        <v>19.562126180088502</v>
      </c>
      <c r="AI3294">
        <v>93.222859121798194</v>
      </c>
      <c r="AJ3294">
        <v>85.576137256135695</v>
      </c>
      <c r="AK3294">
        <v>19.651662310979901</v>
      </c>
    </row>
    <row r="3295" spans="1:37" x14ac:dyDescent="0.2">
      <c r="A3295" t="str">
        <f>"20200111153715436"</f>
        <v>20200111153715436</v>
      </c>
      <c r="B3295" t="str">
        <f>"1578728235426146"</f>
        <v>1578728235426146</v>
      </c>
      <c r="C3295" t="s">
        <v>37</v>
      </c>
      <c r="D3295">
        <v>6.0366569999999999</v>
      </c>
      <c r="E3295">
        <v>0.54162840000000001</v>
      </c>
      <c r="F3295" t="s">
        <v>45</v>
      </c>
      <c r="G3295">
        <v>-257.40109999999999</v>
      </c>
      <c r="H3295" s="1">
        <v>2.481189E-6</v>
      </c>
      <c r="I3295">
        <v>212.7979</v>
      </c>
      <c r="J3295">
        <v>-276.820999999999</v>
      </c>
      <c r="K3295">
        <v>1.1048129999999901</v>
      </c>
      <c r="L3295">
        <v>214.72210000000001</v>
      </c>
      <c r="M3295">
        <v>0.99979569999999995</v>
      </c>
      <c r="N3295">
        <v>0</v>
      </c>
      <c r="O3295">
        <v>-1.4921719999999999E-2</v>
      </c>
      <c r="P3295">
        <v>0.99736630000000004</v>
      </c>
      <c r="Q3295">
        <v>7.0113140000000004E-2</v>
      </c>
      <c r="R3295">
        <v>1.8576209999999999E-2</v>
      </c>
      <c r="S3295">
        <v>3.0254209999999899</v>
      </c>
      <c r="T3295">
        <v>-0.16882149999999899</v>
      </c>
      <c r="U3295">
        <v>-0.29487609999999997</v>
      </c>
      <c r="V3295">
        <v>-3.3523020000000001E-2</v>
      </c>
      <c r="W3295">
        <v>8.3682610000000004E-2</v>
      </c>
      <c r="X3295">
        <v>0.99592839999999905</v>
      </c>
      <c r="Y3295">
        <v>8.2039550000000003E-2</v>
      </c>
      <c r="Z3295">
        <v>-1.4518300000000001E-3</v>
      </c>
      <c r="AA3295">
        <v>0.99662799999999996</v>
      </c>
      <c r="AB3295">
        <v>40</v>
      </c>
      <c r="AC3295">
        <v>19.419899999999899</v>
      </c>
      <c r="AD3295">
        <v>-1.10481051881099</v>
      </c>
      <c r="AE3295">
        <v>-1.9242000000000099</v>
      </c>
      <c r="AF3295">
        <v>1.6289595370330601</v>
      </c>
      <c r="AG3295">
        <v>-1.10481051881099</v>
      </c>
      <c r="AH3295">
        <v>19.384324243420799</v>
      </c>
      <c r="AI3295">
        <v>93.250613856046101</v>
      </c>
      <c r="AJ3295">
        <v>85.196441666882805</v>
      </c>
      <c r="AK3295">
        <v>19.483997070155699</v>
      </c>
    </row>
    <row r="3296" spans="1:37" x14ac:dyDescent="0.2">
      <c r="A3296" t="str">
        <f>"20200111153715459"</f>
        <v>20200111153715459</v>
      </c>
      <c r="B3296" t="str">
        <f>"1578728235446642"</f>
        <v>1578728235446642</v>
      </c>
      <c r="C3296" t="s">
        <v>37</v>
      </c>
      <c r="D3296">
        <v>6.0867909999999998</v>
      </c>
      <c r="E3296">
        <v>0.54080340000000005</v>
      </c>
      <c r="F3296" t="s">
        <v>45</v>
      </c>
      <c r="G3296">
        <v>-256.79649999999998</v>
      </c>
      <c r="H3296" s="1">
        <v>2.15731999999999E-6</v>
      </c>
      <c r="I3296">
        <v>212.84639999999999</v>
      </c>
      <c r="J3296">
        <v>-276.41930000000002</v>
      </c>
      <c r="K3296">
        <v>1.1048100000000001</v>
      </c>
      <c r="L3296">
        <v>214.71639999999999</v>
      </c>
      <c r="M3296">
        <v>0.99979899999999999</v>
      </c>
      <c r="N3296">
        <v>0</v>
      </c>
      <c r="O3296">
        <v>-1.4617089999999999E-2</v>
      </c>
      <c r="P3296">
        <v>0.99740980000000001</v>
      </c>
      <c r="Q3296">
        <v>6.9466609999999998E-2</v>
      </c>
      <c r="R3296">
        <v>1.865959E-2</v>
      </c>
      <c r="S3296">
        <v>3.0249630000000001</v>
      </c>
      <c r="T3296">
        <v>-0.1668955</v>
      </c>
      <c r="U3296">
        <v>-0.2833405</v>
      </c>
      <c r="V3296">
        <v>-3.3302810000000002E-2</v>
      </c>
      <c r="W3296">
        <v>8.3119529999999997E-2</v>
      </c>
      <c r="X3296">
        <v>0.9959829</v>
      </c>
      <c r="Y3296">
        <v>7.8598039999999994E-2</v>
      </c>
      <c r="Z3296">
        <v>-1.35785299999999E-3</v>
      </c>
      <c r="AA3296">
        <v>0.99690540000000005</v>
      </c>
      <c r="AB3296">
        <v>40</v>
      </c>
      <c r="AC3296">
        <v>19.622800000000002</v>
      </c>
      <c r="AD3296">
        <v>-1.1048078426800001</v>
      </c>
      <c r="AE3296">
        <v>-1.87</v>
      </c>
      <c r="AF3296">
        <v>1.57798782378146</v>
      </c>
      <c r="AG3296">
        <v>-1.1048078426800001</v>
      </c>
      <c r="AH3296">
        <v>19.586510377597399</v>
      </c>
      <c r="AI3296">
        <v>93.218032479552804</v>
      </c>
      <c r="AJ3296">
        <v>85.393912148617005</v>
      </c>
      <c r="AK3296">
        <v>19.681006953735402</v>
      </c>
    </row>
    <row r="3297" spans="1:37" x14ac:dyDescent="0.2">
      <c r="A3297" t="str">
        <f>"20200111153715482"</f>
        <v>20200111153715482</v>
      </c>
      <c r="B3297" t="str">
        <f>"1578728235475922"</f>
        <v>1578728235475922</v>
      </c>
      <c r="C3297" t="s">
        <v>37</v>
      </c>
      <c r="D3297">
        <v>6.0284810000000002</v>
      </c>
      <c r="E3297">
        <v>0.53978040000000005</v>
      </c>
      <c r="F3297" t="s">
        <v>45</v>
      </c>
      <c r="G3297">
        <v>-256.18509999999998</v>
      </c>
      <c r="H3297" s="1">
        <v>1.83118E-6</v>
      </c>
      <c r="I3297">
        <v>212.86490000000001</v>
      </c>
      <c r="J3297">
        <v>-275.99900000000002</v>
      </c>
      <c r="K3297">
        <v>1.104811</v>
      </c>
      <c r="L3297">
        <v>214.7106</v>
      </c>
      <c r="M3297">
        <v>0.99980259999999999</v>
      </c>
      <c r="N3297">
        <v>0</v>
      </c>
      <c r="O3297">
        <v>-1.4298470000000001E-2</v>
      </c>
      <c r="P3297">
        <v>0.99743409999999999</v>
      </c>
      <c r="Q3297">
        <v>6.9013569999999996E-2</v>
      </c>
      <c r="R3297">
        <v>1.9038820000000001E-2</v>
      </c>
      <c r="S3297">
        <v>3.0244749999999998</v>
      </c>
      <c r="T3297">
        <v>-0.16513920000000001</v>
      </c>
      <c r="U3297">
        <v>-0.27674870000000001</v>
      </c>
      <c r="V3297">
        <v>-3.336418E-2</v>
      </c>
      <c r="W3297">
        <v>8.2740320000000006E-2</v>
      </c>
      <c r="X3297">
        <v>0.99601249999999997</v>
      </c>
      <c r="Y3297">
        <v>7.678045E-2</v>
      </c>
      <c r="Z3297">
        <v>-1.3117929999999999E-3</v>
      </c>
      <c r="AA3297">
        <v>0.99704720000000002</v>
      </c>
      <c r="AB3297">
        <v>40</v>
      </c>
      <c r="AC3297">
        <v>19.8139</v>
      </c>
      <c r="AD3297">
        <v>-1.1048091688199999</v>
      </c>
      <c r="AE3297">
        <v>-1.8456999999999899</v>
      </c>
      <c r="AF3297">
        <v>1.5573754827006501</v>
      </c>
      <c r="AG3297">
        <v>-1.1048091688199999</v>
      </c>
      <c r="AH3297">
        <v>19.7773066287719</v>
      </c>
      <c r="AI3297">
        <v>93.187513572820706</v>
      </c>
      <c r="AJ3297">
        <v>85.497501731021003</v>
      </c>
      <c r="AK3297">
        <v>19.8692697193956</v>
      </c>
    </row>
    <row r="3298" spans="1:37" x14ac:dyDescent="0.2">
      <c r="A3298" t="str">
        <f>"20200111153715505"</f>
        <v>20200111153715505</v>
      </c>
      <c r="B3298" t="str">
        <f>"1578728235496417"</f>
        <v>1578728235496417</v>
      </c>
      <c r="C3298" t="s">
        <v>37</v>
      </c>
      <c r="D3298">
        <v>6.0525589999999996</v>
      </c>
      <c r="E3298">
        <v>0.53935349999999904</v>
      </c>
      <c r="F3298" t="s">
        <v>38</v>
      </c>
      <c r="G3298">
        <v>-274.95999999999998</v>
      </c>
      <c r="H3298">
        <v>1.0458700000000001</v>
      </c>
      <c r="I3298">
        <v>214.61859999999999</v>
      </c>
      <c r="J3298">
        <v>-275.59120000000001</v>
      </c>
      <c r="K3298">
        <v>1.1048149999999901</v>
      </c>
      <c r="L3298">
        <v>214.70500000000001</v>
      </c>
      <c r="M3298">
        <v>0.99980609999999903</v>
      </c>
      <c r="N3298">
        <v>0</v>
      </c>
      <c r="O3298">
        <v>-1.3989059999999999E-2</v>
      </c>
      <c r="P3298">
        <v>0.9974809</v>
      </c>
      <c r="Q3298">
        <v>6.8319069999999996E-2</v>
      </c>
      <c r="R3298">
        <v>1.9101119999999999E-2</v>
      </c>
      <c r="S3298">
        <v>3.024689</v>
      </c>
      <c r="T3298">
        <v>-0.17166289999999901</v>
      </c>
      <c r="U3298">
        <v>-0.26750180000000001</v>
      </c>
      <c r="V3298">
        <v>-3.3118010000000003E-2</v>
      </c>
      <c r="W3298">
        <v>8.2108299999999995E-2</v>
      </c>
      <c r="X3298">
        <v>0.99607299999999999</v>
      </c>
      <c r="Y3298">
        <v>7.4055090000000004E-2</v>
      </c>
      <c r="Z3298">
        <v>-1.3039999999999901E-3</v>
      </c>
      <c r="AA3298">
        <v>0.99725330000000001</v>
      </c>
      <c r="AB3298">
        <v>40</v>
      </c>
      <c r="AC3298">
        <v>0.63120000000003496</v>
      </c>
      <c r="AD3298">
        <v>-5.8944999999999803E-2</v>
      </c>
      <c r="AE3298">
        <v>-8.6400000000025998E-2</v>
      </c>
      <c r="AF3298">
        <v>7.6902479258093903E-2</v>
      </c>
      <c r="AG3298">
        <v>-5.8944999999999803E-2</v>
      </c>
      <c r="AH3298">
        <v>0.62697974881338703</v>
      </c>
      <c r="AI3298">
        <v>95.331111271957994</v>
      </c>
      <c r="AJ3298">
        <v>83.007288112504995</v>
      </c>
      <c r="AK3298">
        <v>0.63442265861422298</v>
      </c>
    </row>
    <row r="3299" spans="1:37" x14ac:dyDescent="0.2">
      <c r="A3299" t="str">
        <f>"20200111153715526"</f>
        <v>20200111153715526</v>
      </c>
      <c r="B3299" t="str">
        <f>"1578728235515938"</f>
        <v>1578728235515938</v>
      </c>
      <c r="C3299" t="s">
        <v>37</v>
      </c>
      <c r="D3299">
        <v>6.0598960000000002</v>
      </c>
      <c r="E3299">
        <v>0.53910719999999901</v>
      </c>
      <c r="F3299" t="s">
        <v>38</v>
      </c>
      <c r="G3299">
        <v>-274.60210000000001</v>
      </c>
      <c r="H3299">
        <v>1.0446169999999999</v>
      </c>
      <c r="I3299">
        <v>214.61850000000001</v>
      </c>
      <c r="J3299">
        <v>-275.2054</v>
      </c>
      <c r="K3299">
        <v>1.1048169999999999</v>
      </c>
      <c r="L3299">
        <v>214.69990000000001</v>
      </c>
      <c r="M3299">
        <v>0.99980939999999996</v>
      </c>
      <c r="N3299">
        <v>0</v>
      </c>
      <c r="O3299">
        <v>-1.369627E-2</v>
      </c>
      <c r="P3299">
        <v>0.99751449999999997</v>
      </c>
      <c r="Q3299">
        <v>6.7653190000000002E-2</v>
      </c>
      <c r="R3299">
        <v>1.9696459999999999E-2</v>
      </c>
      <c r="S3299">
        <v>3.025299</v>
      </c>
      <c r="T3299">
        <v>-0.18429699999999999</v>
      </c>
      <c r="U3299">
        <v>-0.26399229999999901</v>
      </c>
      <c r="V3299">
        <v>-3.3420829999999999E-2</v>
      </c>
      <c r="W3299">
        <v>8.1492380000000003E-2</v>
      </c>
      <c r="X3299">
        <v>0.99611349999999999</v>
      </c>
      <c r="Y3299">
        <v>7.3167919999999997E-2</v>
      </c>
      <c r="Z3299">
        <v>-1.39042299999999E-3</v>
      </c>
      <c r="AA3299">
        <v>0.9973187</v>
      </c>
      <c r="AB3299">
        <v>40</v>
      </c>
      <c r="AC3299">
        <v>0.60329999999998996</v>
      </c>
      <c r="AD3299">
        <v>-6.0199999999999997E-2</v>
      </c>
      <c r="AE3299">
        <v>-8.1400000000002096E-2</v>
      </c>
      <c r="AF3299">
        <v>7.2420409787728304E-2</v>
      </c>
      <c r="AG3299">
        <v>-6.0199999999999997E-2</v>
      </c>
      <c r="AH3299">
        <v>0.59850564111374904</v>
      </c>
      <c r="AI3299">
        <v>95.702395003656804</v>
      </c>
      <c r="AJ3299">
        <v>83.1006350665252</v>
      </c>
      <c r="AK3299">
        <v>0.60586942338989402</v>
      </c>
    </row>
    <row r="3300" spans="1:37" x14ac:dyDescent="0.2">
      <c r="A3300" t="str">
        <f>"20200111153715548"</f>
        <v>20200111153715548</v>
      </c>
      <c r="B3300" t="str">
        <f>"1578728235536548"</f>
        <v>1578728235536548</v>
      </c>
      <c r="C3300" t="s">
        <v>37</v>
      </c>
      <c r="D3300">
        <v>6.0576040000000004</v>
      </c>
      <c r="E3300">
        <v>0.5386261</v>
      </c>
      <c r="F3300" t="s">
        <v>38</v>
      </c>
      <c r="G3300">
        <v>-274.24400000000003</v>
      </c>
      <c r="H3300">
        <v>1.043426</v>
      </c>
      <c r="I3300">
        <v>214.61699999999999</v>
      </c>
      <c r="J3300">
        <v>-274.81270000000001</v>
      </c>
      <c r="K3300">
        <v>1.104814</v>
      </c>
      <c r="L3300">
        <v>214.69479999999999</v>
      </c>
      <c r="M3300">
        <v>0.99981279999999995</v>
      </c>
      <c r="N3300">
        <v>0</v>
      </c>
      <c r="O3300">
        <v>-1.339808E-2</v>
      </c>
      <c r="P3300">
        <v>0.997538699999999</v>
      </c>
      <c r="Q3300">
        <v>6.7047350000000006E-2</v>
      </c>
      <c r="R3300">
        <v>2.052023E-2</v>
      </c>
      <c r="S3300">
        <v>3.025757</v>
      </c>
      <c r="T3300">
        <v>-0.19334289999999901</v>
      </c>
      <c r="U3300">
        <v>-0.26048280000000001</v>
      </c>
      <c r="V3300">
        <v>-3.3946759999999999E-2</v>
      </c>
      <c r="W3300">
        <v>8.0930630000000003E-2</v>
      </c>
      <c r="X3300">
        <v>0.99614150000000001</v>
      </c>
      <c r="Y3300">
        <v>7.2294319999999995E-2</v>
      </c>
      <c r="Z3300">
        <v>-1.44955E-3</v>
      </c>
      <c r="AA3300">
        <v>0.99738230000000005</v>
      </c>
      <c r="AB3300">
        <v>40</v>
      </c>
      <c r="AC3300">
        <v>0.568699999999978</v>
      </c>
      <c r="AD3300">
        <v>-6.1387999999999998E-2</v>
      </c>
      <c r="AE3300">
        <v>-7.7799999999967895E-2</v>
      </c>
      <c r="AF3300">
        <v>6.9379229523229904E-2</v>
      </c>
      <c r="AG3300">
        <v>-6.1387999999999998E-2</v>
      </c>
      <c r="AH3300">
        <v>0.56324900915843101</v>
      </c>
      <c r="AI3300">
        <v>96.173768962042502</v>
      </c>
      <c r="AJ3300">
        <v>82.977859287265701</v>
      </c>
      <c r="AK3300">
        <v>0.57081644190684599</v>
      </c>
    </row>
    <row r="3301" spans="1:37" x14ac:dyDescent="0.2">
      <c r="A3301" t="str">
        <f>"20200111153715571"</f>
        <v>20200111153715571</v>
      </c>
      <c r="B3301" t="str">
        <f>"1578728235565829"</f>
        <v>1578728235565829</v>
      </c>
      <c r="C3301" t="s">
        <v>37</v>
      </c>
      <c r="D3301">
        <v>6.2683910000000003</v>
      </c>
      <c r="E3301">
        <v>0.53787069999999904</v>
      </c>
      <c r="F3301" t="s">
        <v>38</v>
      </c>
      <c r="G3301">
        <v>-273.8854</v>
      </c>
      <c r="H3301">
        <v>1.043382</v>
      </c>
      <c r="I3301">
        <v>214.61660000000001</v>
      </c>
      <c r="J3301">
        <v>-274.39229999999998</v>
      </c>
      <c r="K3301">
        <v>1.104816</v>
      </c>
      <c r="L3301">
        <v>214.68950000000001</v>
      </c>
      <c r="M3301">
        <v>0.999816699999999</v>
      </c>
      <c r="N3301">
        <v>0</v>
      </c>
      <c r="O3301">
        <v>-1.307901E-2</v>
      </c>
      <c r="P3301">
        <v>0.9975311</v>
      </c>
      <c r="Q3301">
        <v>6.7106310000000002E-2</v>
      </c>
      <c r="R3301">
        <v>2.070207E-2</v>
      </c>
      <c r="S3301">
        <v>3.0261230000000001</v>
      </c>
      <c r="T3301">
        <v>-0.2006472</v>
      </c>
      <c r="U3301">
        <v>-0.2541504</v>
      </c>
      <c r="V3301">
        <v>-3.3810649999999998E-2</v>
      </c>
      <c r="W3301">
        <v>8.1029959999999998E-2</v>
      </c>
      <c r="X3301">
        <v>0.99613799999999997</v>
      </c>
      <c r="Y3301">
        <v>7.052406E-2</v>
      </c>
      <c r="Z3301">
        <v>-1.466712E-3</v>
      </c>
      <c r="AA3301">
        <v>0.99750899999999998</v>
      </c>
      <c r="AB3301">
        <v>40</v>
      </c>
      <c r="AC3301">
        <v>0.50689999999997304</v>
      </c>
      <c r="AD3301">
        <v>-6.1433999999999898E-2</v>
      </c>
      <c r="AE3301">
        <v>-7.29000000000041E-2</v>
      </c>
      <c r="AF3301">
        <v>6.5323316196530798E-2</v>
      </c>
      <c r="AG3301">
        <v>-6.1433999999999898E-2</v>
      </c>
      <c r="AH3301">
        <v>0.50060611067268701</v>
      </c>
      <c r="AI3301">
        <v>96.938074516449305</v>
      </c>
      <c r="AJ3301">
        <v>82.565568488831303</v>
      </c>
      <c r="AK3301">
        <v>0.50857423257352097</v>
      </c>
    </row>
    <row r="3302" spans="1:37" x14ac:dyDescent="0.2">
      <c r="A3302" t="str">
        <f>"20200111153715594"</f>
        <v>20200111153715594</v>
      </c>
      <c r="B3302" t="str">
        <f>"1578728235586324"</f>
        <v>1578728235586324</v>
      </c>
      <c r="C3302" t="s">
        <v>37</v>
      </c>
      <c r="D3302">
        <v>6.0247599999999997</v>
      </c>
      <c r="E3302">
        <v>0.5378252</v>
      </c>
      <c r="F3302" t="s">
        <v>38</v>
      </c>
      <c r="G3302">
        <v>-273.52510000000001</v>
      </c>
      <c r="H3302">
        <v>1.045779</v>
      </c>
      <c r="I3302">
        <v>214.61850000000001</v>
      </c>
      <c r="J3302">
        <v>-273.98970000000003</v>
      </c>
      <c r="K3302">
        <v>1.1048229999999899</v>
      </c>
      <c r="L3302">
        <v>214.68450000000001</v>
      </c>
      <c r="M3302">
        <v>0.99982009999999899</v>
      </c>
      <c r="N3302">
        <v>0</v>
      </c>
      <c r="O3302">
        <v>-1.2772759999999999E-2</v>
      </c>
      <c r="P3302">
        <v>0.99756100000000003</v>
      </c>
      <c r="Q3302">
        <v>6.6607529999999998E-2</v>
      </c>
      <c r="R3302">
        <v>2.0872149999999999E-2</v>
      </c>
      <c r="S3302">
        <v>3.0263979999999999</v>
      </c>
      <c r="T3302">
        <v>-0.2060235</v>
      </c>
      <c r="U3302">
        <v>-0.2476807</v>
      </c>
      <c r="V3302">
        <v>-3.3675120000000003E-2</v>
      </c>
      <c r="W3302">
        <v>8.0564659999999996E-2</v>
      </c>
      <c r="X3302">
        <v>0.99618039999999997</v>
      </c>
      <c r="Y3302">
        <v>6.8700720000000007E-2</v>
      </c>
      <c r="Z3302">
        <v>-1.4648129999999999E-3</v>
      </c>
      <c r="AA3302">
        <v>0.99763630000000003</v>
      </c>
      <c r="AB3302">
        <v>40</v>
      </c>
      <c r="AC3302">
        <v>0.464600000000018</v>
      </c>
      <c r="AD3302">
        <v>-5.9043999999999798E-2</v>
      </c>
      <c r="AE3302">
        <v>-6.6000000000002501E-2</v>
      </c>
      <c r="AF3302">
        <v>5.91238014595507E-2</v>
      </c>
      <c r="AG3302">
        <v>-5.9043999999999798E-2</v>
      </c>
      <c r="AH3302">
        <v>0.45815204235671902</v>
      </c>
      <c r="AI3302">
        <v>97.2837313895715</v>
      </c>
      <c r="AJ3302">
        <v>82.646709270548996</v>
      </c>
      <c r="AK3302">
        <v>0.465709256672724</v>
      </c>
    </row>
    <row r="3303" spans="1:37" x14ac:dyDescent="0.2">
      <c r="A3303" t="str">
        <f>"20200111153715616"</f>
        <v>20200111153715616</v>
      </c>
      <c r="B3303" t="str">
        <f>"1578728235605845"</f>
        <v>1578728235605845</v>
      </c>
      <c r="C3303" t="s">
        <v>37</v>
      </c>
      <c r="D3303">
        <v>6.0522039999999997</v>
      </c>
      <c r="E3303">
        <v>0.53784909999999997</v>
      </c>
      <c r="F3303" t="s">
        <v>38</v>
      </c>
      <c r="G3303">
        <v>-273.16550000000001</v>
      </c>
      <c r="H3303">
        <v>1.0472709999999901</v>
      </c>
      <c r="I3303">
        <v>214.61709999999999</v>
      </c>
      <c r="J3303">
        <v>-273.59120000000001</v>
      </c>
      <c r="K3303">
        <v>1.1048229999999899</v>
      </c>
      <c r="L3303">
        <v>214.6797</v>
      </c>
      <c r="M3303">
        <v>0.99982349999999998</v>
      </c>
      <c r="N3303">
        <v>0</v>
      </c>
      <c r="O3303">
        <v>-1.246982E-2</v>
      </c>
      <c r="P3303">
        <v>0.99759940000000003</v>
      </c>
      <c r="Q3303">
        <v>6.5965109999999993E-2</v>
      </c>
      <c r="R3303">
        <v>2.107993E-2</v>
      </c>
      <c r="S3303">
        <v>3.0266109999999999</v>
      </c>
      <c r="T3303">
        <v>-0.21154239999999999</v>
      </c>
      <c r="U3303">
        <v>-0.24679570000000001</v>
      </c>
      <c r="V3303">
        <v>-3.3580829999999999E-2</v>
      </c>
      <c r="W3303">
        <v>7.9950569999999999E-2</v>
      </c>
      <c r="X3303">
        <v>0.99623300000000004</v>
      </c>
      <c r="Y3303">
        <v>6.869981E-2</v>
      </c>
      <c r="Z3303">
        <v>-1.524947E-3</v>
      </c>
      <c r="AA3303">
        <v>0.99763619999999897</v>
      </c>
      <c r="AB3303">
        <v>40</v>
      </c>
      <c r="AC3303">
        <v>0.42570000000000602</v>
      </c>
      <c r="AD3303">
        <v>-5.7551999999999999E-2</v>
      </c>
      <c r="AE3303">
        <v>-6.2600000000003306E-2</v>
      </c>
      <c r="AF3303">
        <v>5.6279340014623397E-2</v>
      </c>
      <c r="AG3303">
        <v>-5.7551999999999999E-2</v>
      </c>
      <c r="AH3303">
        <v>0.418952318500248</v>
      </c>
      <c r="AI3303">
        <v>97.753053148517495</v>
      </c>
      <c r="AJ3303">
        <v>82.349058489799106</v>
      </c>
      <c r="AK3303">
        <v>0.42661533258102102</v>
      </c>
    </row>
    <row r="3304" spans="1:37" x14ac:dyDescent="0.2">
      <c r="A3304" t="str">
        <f>"20200111153715638"</f>
        <v>20200111153715638</v>
      </c>
      <c r="B3304" t="str">
        <f>"1578728235625872"</f>
        <v>1578728235625872</v>
      </c>
      <c r="C3304" t="s">
        <v>37</v>
      </c>
      <c r="D3304">
        <v>6.0530919999999897</v>
      </c>
      <c r="E3304">
        <v>0.5378887</v>
      </c>
      <c r="F3304" t="s">
        <v>38</v>
      </c>
      <c r="G3304">
        <v>-272.80610000000001</v>
      </c>
      <c r="H3304">
        <v>1.048878</v>
      </c>
      <c r="I3304">
        <v>214.6156</v>
      </c>
      <c r="J3304">
        <v>-273.20409999999998</v>
      </c>
      <c r="K3304">
        <v>1.10483</v>
      </c>
      <c r="L3304">
        <v>214.67509999999999</v>
      </c>
      <c r="M3304">
        <v>0.99982669999999996</v>
      </c>
      <c r="N3304">
        <v>0</v>
      </c>
      <c r="O3304">
        <v>-1.2175419999999999E-2</v>
      </c>
      <c r="P3304">
        <v>0.99760579999999999</v>
      </c>
      <c r="Q3304">
        <v>6.5917879999999998E-2</v>
      </c>
      <c r="R3304">
        <v>2.0915909999999999E-2</v>
      </c>
      <c r="S3304">
        <v>3.0267029999999999</v>
      </c>
      <c r="T3304">
        <v>-0.2157761</v>
      </c>
      <c r="U3304">
        <v>-0.2464142</v>
      </c>
      <c r="V3304">
        <v>-3.3122949999999998E-2</v>
      </c>
      <c r="W3304">
        <v>7.9927289999999998E-2</v>
      </c>
      <c r="X3304">
        <v>0.99625019999999997</v>
      </c>
      <c r="Y3304">
        <v>6.885956E-2</v>
      </c>
      <c r="Z3304">
        <v>-1.5819510000000001E-3</v>
      </c>
      <c r="AA3304">
        <v>0.99762510000000004</v>
      </c>
      <c r="AB3304">
        <v>40</v>
      </c>
      <c r="AC3304">
        <v>0.39799999999996699</v>
      </c>
      <c r="AD3304">
        <v>-5.5952000000000002E-2</v>
      </c>
      <c r="AE3304">
        <v>-5.9499999999985599E-2</v>
      </c>
      <c r="AF3304">
        <v>5.3612873426149801E-2</v>
      </c>
      <c r="AG3304">
        <v>-5.5952000000000002E-2</v>
      </c>
      <c r="AH3304">
        <v>0.39113379696779399</v>
      </c>
      <c r="AI3304">
        <v>98.066556196788596</v>
      </c>
      <c r="AJ3304">
        <v>82.195081360306901</v>
      </c>
      <c r="AK3304">
        <v>0.398736270774872</v>
      </c>
    </row>
    <row r="3305" spans="1:37" x14ac:dyDescent="0.2">
      <c r="A3305" t="str">
        <f>"20200111153715661"</f>
        <v>20200111153715661</v>
      </c>
      <c r="B3305" t="str">
        <f>"1578728235656128"</f>
        <v>1578728235656128</v>
      </c>
      <c r="C3305" t="s">
        <v>37</v>
      </c>
      <c r="D3305">
        <v>6.0640830000000001</v>
      </c>
      <c r="E3305">
        <v>0.53807939999999999</v>
      </c>
      <c r="F3305" t="s">
        <v>38</v>
      </c>
      <c r="G3305">
        <v>-272.44720000000001</v>
      </c>
      <c r="H3305">
        <v>1.050341</v>
      </c>
      <c r="I3305">
        <v>214.6129</v>
      </c>
      <c r="J3305">
        <v>-272.80369999999999</v>
      </c>
      <c r="K3305">
        <v>1.1048359999999999</v>
      </c>
      <c r="L3305">
        <v>214.67060000000001</v>
      </c>
      <c r="M3305">
        <v>0.9998302</v>
      </c>
      <c r="N3305">
        <v>0</v>
      </c>
      <c r="O3305">
        <v>-1.1871120000000001E-2</v>
      </c>
      <c r="P3305">
        <v>0.99757609999999997</v>
      </c>
      <c r="Q3305">
        <v>6.6302570000000005E-2</v>
      </c>
      <c r="R3305">
        <v>2.112551E-2</v>
      </c>
      <c r="S3305">
        <v>3.0268250000000001</v>
      </c>
      <c r="T3305">
        <v>-0.21812280000000001</v>
      </c>
      <c r="U3305">
        <v>-0.2473602</v>
      </c>
      <c r="V3305">
        <v>-3.3028759999999997E-2</v>
      </c>
      <c r="W3305">
        <v>8.0332230000000004E-2</v>
      </c>
      <c r="X3305">
        <v>0.99622080000000002</v>
      </c>
      <c r="Y3305">
        <v>6.9464239999999997E-2</v>
      </c>
      <c r="Z3305">
        <v>-1.642611E-3</v>
      </c>
      <c r="AA3305">
        <v>0.99758309999999994</v>
      </c>
      <c r="AB3305">
        <v>40</v>
      </c>
      <c r="AC3305">
        <v>0.356499999999982</v>
      </c>
      <c r="AD3305">
        <v>-5.4495000000000099E-2</v>
      </c>
      <c r="AE3305">
        <v>-5.7700000000011097E-2</v>
      </c>
      <c r="AF3305">
        <v>5.2273195430816502E-2</v>
      </c>
      <c r="AG3305">
        <v>-5.4495000000000099E-2</v>
      </c>
      <c r="AH3305">
        <v>0.34920841305121703</v>
      </c>
      <c r="AI3305">
        <v>98.773433383310206</v>
      </c>
      <c r="AJ3305">
        <v>81.486575844313904</v>
      </c>
      <c r="AK3305">
        <v>0.35727959321978903</v>
      </c>
    </row>
    <row r="3306" spans="1:37" x14ac:dyDescent="0.2">
      <c r="A3306" t="str">
        <f>"20200111153715683"</f>
        <v>20200111153715683</v>
      </c>
      <c r="B3306" t="str">
        <f>"1578728235676622"</f>
        <v>1578728235676622</v>
      </c>
      <c r="C3306" t="s">
        <v>37</v>
      </c>
      <c r="D3306">
        <v>6.0488010000000001</v>
      </c>
      <c r="E3306">
        <v>0.53840480000000002</v>
      </c>
      <c r="F3306" t="s">
        <v>38</v>
      </c>
      <c r="G3306">
        <v>-271.74709999999999</v>
      </c>
      <c r="H3306">
        <v>1.0285200000000001</v>
      </c>
      <c r="I3306">
        <v>214.58369999999999</v>
      </c>
      <c r="J3306">
        <v>-272.39389999999997</v>
      </c>
      <c r="K3306">
        <v>1.10484</v>
      </c>
      <c r="L3306">
        <v>214.666</v>
      </c>
      <c r="M3306">
        <v>0.99983359999999899</v>
      </c>
      <c r="N3306">
        <v>0</v>
      </c>
      <c r="O3306">
        <v>-1.155905E-2</v>
      </c>
      <c r="P3306">
        <v>0.99756239999999996</v>
      </c>
      <c r="Q3306">
        <v>6.6301719999999995E-2</v>
      </c>
      <c r="R3306">
        <v>2.1765550000000002E-2</v>
      </c>
      <c r="S3306">
        <v>3.0270999999999999</v>
      </c>
      <c r="T3306">
        <v>-0.2187057</v>
      </c>
      <c r="U3306">
        <v>-0.2484131</v>
      </c>
      <c r="V3306">
        <v>-3.3357440000000002E-2</v>
      </c>
      <c r="W3306">
        <v>8.0348390000000006E-2</v>
      </c>
      <c r="X3306">
        <v>0.99620849999999905</v>
      </c>
      <c r="Y3306">
        <v>7.0109630000000006E-2</v>
      </c>
      <c r="Z3306">
        <v>-1.692537E-3</v>
      </c>
      <c r="AA3306">
        <v>0.99753789999999998</v>
      </c>
      <c r="AB3306">
        <v>40</v>
      </c>
      <c r="AC3306">
        <v>0.64679999999998405</v>
      </c>
      <c r="AD3306">
        <v>-7.6319999999999902E-2</v>
      </c>
      <c r="AE3306">
        <v>-8.2300000000003495E-2</v>
      </c>
      <c r="AF3306">
        <v>7.3806123070279395E-2</v>
      </c>
      <c r="AG3306">
        <v>-7.6319999999999902E-2</v>
      </c>
      <c r="AH3306">
        <v>0.63895369222300502</v>
      </c>
      <c r="AI3306">
        <v>96.7668657777471</v>
      </c>
      <c r="AJ3306">
        <v>83.410914316519495</v>
      </c>
      <c r="AK3306">
        <v>0.64771437146945898</v>
      </c>
    </row>
    <row r="3307" spans="1:37" x14ac:dyDescent="0.2">
      <c r="A3307" t="str">
        <f>"20200111153715704"</f>
        <v>20200111153715704</v>
      </c>
      <c r="B3307" t="str">
        <f>"1578728235696146"</f>
        <v>1578728235696146</v>
      </c>
      <c r="C3307" t="s">
        <v>37</v>
      </c>
      <c r="D3307">
        <v>6.032807</v>
      </c>
      <c r="E3307">
        <v>0.5387267</v>
      </c>
      <c r="F3307" t="s">
        <v>38</v>
      </c>
      <c r="G3307">
        <v>-271.3888</v>
      </c>
      <c r="H3307">
        <v>1.031903</v>
      </c>
      <c r="I3307">
        <v>214.583</v>
      </c>
      <c r="J3307">
        <v>-272.00819999999999</v>
      </c>
      <c r="K3307">
        <v>1.1048370000000001</v>
      </c>
      <c r="L3307">
        <v>214.6618</v>
      </c>
      <c r="M3307">
        <v>0.99983670000000002</v>
      </c>
      <c r="N3307">
        <v>0</v>
      </c>
      <c r="O3307">
        <v>-1.126543E-2</v>
      </c>
      <c r="P3307">
        <v>0.99757410000000002</v>
      </c>
      <c r="Q3307">
        <v>6.5863710000000006E-2</v>
      </c>
      <c r="R3307">
        <v>2.254047E-2</v>
      </c>
      <c r="S3307">
        <v>3.0273439999999998</v>
      </c>
      <c r="T3307">
        <v>-0.2198291</v>
      </c>
      <c r="U3307">
        <v>-0.2492828</v>
      </c>
      <c r="V3307">
        <v>-3.3839319999999999E-2</v>
      </c>
      <c r="W3307">
        <v>7.9923939999999999E-2</v>
      </c>
      <c r="X3307">
        <v>0.99622639999999996</v>
      </c>
      <c r="Y3307">
        <v>7.0676920000000004E-2</v>
      </c>
      <c r="Z3307">
        <v>-1.742841E-3</v>
      </c>
      <c r="AA3307">
        <v>0.99749769999999904</v>
      </c>
      <c r="AB3307">
        <v>40</v>
      </c>
      <c r="AC3307">
        <v>0.61939999999998396</v>
      </c>
      <c r="AD3307">
        <v>-7.2933999999999999E-2</v>
      </c>
      <c r="AE3307">
        <v>-7.8800000000000994E-2</v>
      </c>
      <c r="AF3307">
        <v>7.0849812540444604E-2</v>
      </c>
      <c r="AG3307">
        <v>-7.2933999999999999E-2</v>
      </c>
      <c r="AH3307">
        <v>0.611899670509505</v>
      </c>
      <c r="AI3307">
        <v>96.752480886977295</v>
      </c>
      <c r="AJ3307">
        <v>83.395324189115499</v>
      </c>
      <c r="AK3307">
        <v>0.62029047313549501</v>
      </c>
    </row>
    <row r="3308" spans="1:37" x14ac:dyDescent="0.2">
      <c r="A3308" t="str">
        <f>"20200111153715727"</f>
        <v>20200111153715727</v>
      </c>
      <c r="B3308" t="str">
        <f>"1578728235716639"</f>
        <v>1578728235716639</v>
      </c>
      <c r="C3308" t="s">
        <v>37</v>
      </c>
      <c r="D3308">
        <v>6.0322259999999996</v>
      </c>
      <c r="E3308">
        <v>0.53899710000000001</v>
      </c>
      <c r="F3308" t="s">
        <v>38</v>
      </c>
      <c r="G3308">
        <v>-271.0317</v>
      </c>
      <c r="H3308">
        <v>1.033247</v>
      </c>
      <c r="I3308">
        <v>214.58090000000001</v>
      </c>
      <c r="J3308">
        <v>-271.61219999999997</v>
      </c>
      <c r="K3308">
        <v>1.104843</v>
      </c>
      <c r="L3308">
        <v>214.65770000000001</v>
      </c>
      <c r="M3308">
        <v>0.999839899999999</v>
      </c>
      <c r="N3308">
        <v>0</v>
      </c>
      <c r="O3308">
        <v>-1.0963809999999999E-2</v>
      </c>
      <c r="P3308">
        <v>0.99756409999999995</v>
      </c>
      <c r="Q3308">
        <v>6.5767049999999994E-2</v>
      </c>
      <c r="R3308">
        <v>2.3252020000000002E-2</v>
      </c>
      <c r="S3308">
        <v>3.027679</v>
      </c>
      <c r="T3308">
        <v>-0.22222349999999999</v>
      </c>
      <c r="U3308">
        <v>-0.24969479999999999</v>
      </c>
      <c r="V3308">
        <v>-3.4249509999999997E-2</v>
      </c>
      <c r="W3308">
        <v>7.9838399999999907E-2</v>
      </c>
      <c r="X3308">
        <v>0.99621930000000003</v>
      </c>
      <c r="Y3308">
        <v>7.1098289999999995E-2</v>
      </c>
      <c r="Z3308">
        <v>-1.799054E-3</v>
      </c>
      <c r="AA3308">
        <v>0.99746769999999996</v>
      </c>
      <c r="AB3308">
        <v>40</v>
      </c>
      <c r="AC3308">
        <v>0.58049999999997204</v>
      </c>
      <c r="AD3308">
        <v>-7.1595999999999896E-2</v>
      </c>
      <c r="AE3308">
        <v>-7.67999999999915E-2</v>
      </c>
      <c r="AF3308">
        <v>6.9392841284111106E-2</v>
      </c>
      <c r="AG3308">
        <v>-7.1595999999999896E-2</v>
      </c>
      <c r="AH3308">
        <v>0.57274475041336004</v>
      </c>
      <c r="AI3308">
        <v>97.074099963790005</v>
      </c>
      <c r="AJ3308">
        <v>83.091805964533094</v>
      </c>
      <c r="AK3308">
        <v>0.58135866963824001</v>
      </c>
    </row>
    <row r="3309" spans="1:37" x14ac:dyDescent="0.2">
      <c r="A3309" t="str">
        <f>"20200111153715749"</f>
        <v>20200111153715749</v>
      </c>
      <c r="B3309" t="str">
        <f>"1578728235745919"</f>
        <v>1578728235745919</v>
      </c>
      <c r="C3309" t="s">
        <v>37</v>
      </c>
      <c r="D3309">
        <v>6.0360180000000003</v>
      </c>
      <c r="E3309">
        <v>0.53929380000000005</v>
      </c>
      <c r="F3309" t="s">
        <v>38</v>
      </c>
      <c r="G3309">
        <v>-270.67439999999999</v>
      </c>
      <c r="H3309">
        <v>1.035595</v>
      </c>
      <c r="I3309">
        <v>214.58</v>
      </c>
      <c r="J3309">
        <v>-271.22300000000001</v>
      </c>
      <c r="K3309">
        <v>1.104846</v>
      </c>
      <c r="L3309">
        <v>214.65369999999999</v>
      </c>
      <c r="M3309">
        <v>0.99984300000000004</v>
      </c>
      <c r="N3309">
        <v>0</v>
      </c>
      <c r="O3309">
        <v>-1.06673999999999E-2</v>
      </c>
      <c r="P3309">
        <v>0.99757809999999902</v>
      </c>
      <c r="Q3309">
        <v>6.5508650000000002E-2</v>
      </c>
      <c r="R3309">
        <v>2.3381119999999998E-2</v>
      </c>
      <c r="S3309">
        <v>3.0279240000000001</v>
      </c>
      <c r="T3309">
        <v>-0.22368339999999901</v>
      </c>
      <c r="U3309">
        <v>-0.24981689999999901</v>
      </c>
      <c r="V3309">
        <v>-3.4082519999999998E-2</v>
      </c>
      <c r="W3309">
        <v>7.9586009999999999E-2</v>
      </c>
      <c r="X3309">
        <v>0.99624519999999905</v>
      </c>
      <c r="Y3309">
        <v>7.1423570000000006E-2</v>
      </c>
      <c r="Z3309">
        <v>-1.844498E-3</v>
      </c>
      <c r="AA3309">
        <v>0.99744439999999901</v>
      </c>
      <c r="AB3309">
        <v>40</v>
      </c>
      <c r="AC3309">
        <v>0.54860000000002096</v>
      </c>
      <c r="AD3309">
        <v>-6.9250999999999896E-2</v>
      </c>
      <c r="AE3309">
        <v>-7.3699999999973898E-2</v>
      </c>
      <c r="AF3309">
        <v>6.6797562811214795E-2</v>
      </c>
      <c r="AG3309">
        <v>-6.9250999999999896E-2</v>
      </c>
      <c r="AH3309">
        <v>0.54088900204042201</v>
      </c>
      <c r="AI3309">
        <v>97.241567828239994</v>
      </c>
      <c r="AJ3309">
        <v>82.9598532360923</v>
      </c>
      <c r="AK3309">
        <v>0.54938013062614599</v>
      </c>
    </row>
    <row r="3310" spans="1:37" x14ac:dyDescent="0.2">
      <c r="A3310" t="str">
        <f>"20200111153715773"</f>
        <v>20200111153715773</v>
      </c>
      <c r="B3310" t="str">
        <f>"1578728235766414"</f>
        <v>1578728235766414</v>
      </c>
      <c r="C3310" t="s">
        <v>37</v>
      </c>
      <c r="D3310">
        <v>6.1286629999999898</v>
      </c>
      <c r="E3310">
        <v>0.53945569999999998</v>
      </c>
      <c r="F3310" t="s">
        <v>38</v>
      </c>
      <c r="G3310">
        <v>-270.31760000000003</v>
      </c>
      <c r="H3310">
        <v>1.037442</v>
      </c>
      <c r="I3310">
        <v>214.57820000000001</v>
      </c>
      <c r="J3310">
        <v>-270.80939999999998</v>
      </c>
      <c r="K3310">
        <v>1.1048450000000001</v>
      </c>
      <c r="L3310">
        <v>214.64959999999999</v>
      </c>
      <c r="M3310">
        <v>0.99984660000000003</v>
      </c>
      <c r="N3310">
        <v>0</v>
      </c>
      <c r="O3310">
        <v>-1.03514E-2</v>
      </c>
      <c r="P3310">
        <v>0.99757739999999995</v>
      </c>
      <c r="Q3310">
        <v>6.5391900000000003E-2</v>
      </c>
      <c r="R3310">
        <v>2.3735679999999999E-2</v>
      </c>
      <c r="S3310">
        <v>3.0279849999999899</v>
      </c>
      <c r="T3310">
        <v>-0.22550770000000001</v>
      </c>
      <c r="U3310">
        <v>-0.25181579999999998</v>
      </c>
      <c r="V3310">
        <v>-3.4122300000000001E-2</v>
      </c>
      <c r="W3310">
        <v>7.9453860000000001E-2</v>
      </c>
      <c r="X3310">
        <v>0.99625439999999998</v>
      </c>
      <c r="Y3310">
        <v>7.2384909999999997E-2</v>
      </c>
      <c r="Z3310">
        <v>-1.918557E-3</v>
      </c>
      <c r="AA3310">
        <v>0.99737500000000001</v>
      </c>
      <c r="AB3310">
        <v>40</v>
      </c>
      <c r="AC3310">
        <v>0.491799999999955</v>
      </c>
      <c r="AD3310">
        <v>-6.7403000000000102E-2</v>
      </c>
      <c r="AE3310">
        <v>-7.1399999999982797E-2</v>
      </c>
      <c r="AF3310">
        <v>6.5107138142670801E-2</v>
      </c>
      <c r="AG3310">
        <v>-6.7403000000000102E-2</v>
      </c>
      <c r="AH3310">
        <v>0.483616219757245</v>
      </c>
      <c r="AI3310">
        <v>97.864321349279393</v>
      </c>
      <c r="AJ3310">
        <v>82.332619183858299</v>
      </c>
      <c r="AK3310">
        <v>0.49261217185369799</v>
      </c>
    </row>
    <row r="3311" spans="1:37" x14ac:dyDescent="0.2">
      <c r="A3311" t="str">
        <f>"20200111153715795"</f>
        <v>20200111153715795</v>
      </c>
      <c r="B3311" t="str">
        <f>"1578728235785938"</f>
        <v>1578728235785938</v>
      </c>
      <c r="C3311" t="s">
        <v>37</v>
      </c>
      <c r="D3311">
        <v>6.1117549999999996</v>
      </c>
      <c r="E3311">
        <v>0.53964129999999999</v>
      </c>
      <c r="F3311" t="s">
        <v>38</v>
      </c>
      <c r="G3311">
        <v>-269.9599</v>
      </c>
      <c r="H3311">
        <v>1.041312</v>
      </c>
      <c r="I3311">
        <v>214.5787</v>
      </c>
      <c r="J3311">
        <v>-270.40159999999997</v>
      </c>
      <c r="K3311">
        <v>1.1048309999999999</v>
      </c>
      <c r="L3311">
        <v>214.6456</v>
      </c>
      <c r="M3311">
        <v>0.99985089999999999</v>
      </c>
      <c r="N3311">
        <v>0</v>
      </c>
      <c r="O3311">
        <v>-1.003389E-2</v>
      </c>
      <c r="P3311">
        <v>0.99759050000000005</v>
      </c>
      <c r="Q3311">
        <v>6.5008960000000005E-2</v>
      </c>
      <c r="R3311">
        <v>2.423289E-2</v>
      </c>
      <c r="S3311">
        <v>3.0281980000000002</v>
      </c>
      <c r="T3311">
        <v>-0.22655349999999999</v>
      </c>
      <c r="U3311">
        <v>-0.2520599</v>
      </c>
      <c r="V3311">
        <v>-3.4302649999999997E-2</v>
      </c>
      <c r="W3311">
        <v>7.8997540000000005E-2</v>
      </c>
      <c r="X3311">
        <v>0.99628449999999902</v>
      </c>
      <c r="Y3311">
        <v>7.2772160000000002E-2</v>
      </c>
      <c r="Z3311">
        <v>-1.9654070000000002E-3</v>
      </c>
      <c r="AA3311">
        <v>0.99734659999999997</v>
      </c>
      <c r="AB3311">
        <v>40</v>
      </c>
      <c r="AC3311">
        <v>0.44169999999996801</v>
      </c>
      <c r="AD3311">
        <v>-6.3518999999999798E-2</v>
      </c>
      <c r="AE3311">
        <v>-6.6900000000003901E-2</v>
      </c>
      <c r="AF3311">
        <v>6.12264506569127E-2</v>
      </c>
      <c r="AG3311">
        <v>-6.3518999999999798E-2</v>
      </c>
      <c r="AH3311">
        <v>0.433583625272082</v>
      </c>
      <c r="AI3311">
        <v>98.253674004886307</v>
      </c>
      <c r="AJ3311">
        <v>81.962391890864495</v>
      </c>
      <c r="AK3311">
        <v>0.442468192896534</v>
      </c>
    </row>
    <row r="3312" spans="1:37" x14ac:dyDescent="0.2">
      <c r="A3312" t="str">
        <f>"20200111153715816"</f>
        <v>20200111153715816</v>
      </c>
      <c r="B3312" t="str">
        <f>"1578728235806431"</f>
        <v>1578728235806431</v>
      </c>
      <c r="C3312" t="s">
        <v>37</v>
      </c>
      <c r="D3312">
        <v>6.0866020000000001</v>
      </c>
      <c r="E3312">
        <v>0.53979529999999998</v>
      </c>
      <c r="F3312" t="s">
        <v>38</v>
      </c>
      <c r="G3312">
        <v>-269.60219999999998</v>
      </c>
      <c r="H3312">
        <v>1.044651</v>
      </c>
      <c r="I3312">
        <v>214.5789</v>
      </c>
      <c r="J3312">
        <v>-270.0247</v>
      </c>
      <c r="K3312">
        <v>1.1048039999999999</v>
      </c>
      <c r="L3312">
        <v>214.6421</v>
      </c>
      <c r="M3312">
        <v>0.99985569999999901</v>
      </c>
      <c r="N3312">
        <v>0</v>
      </c>
      <c r="O3312">
        <v>-9.7473909999999993E-3</v>
      </c>
      <c r="P3312">
        <v>0.99756859999999903</v>
      </c>
      <c r="Q3312">
        <v>6.5286720000000006E-2</v>
      </c>
      <c r="R3312">
        <v>2.439231E-2</v>
      </c>
      <c r="S3312">
        <v>3.0282589999999998</v>
      </c>
      <c r="T3312">
        <v>-0.22803219999999999</v>
      </c>
      <c r="U3312">
        <v>-0.25210569999999999</v>
      </c>
      <c r="V3312">
        <v>-3.4177810000000003E-2</v>
      </c>
      <c r="W3312">
        <v>7.9133969999999998E-2</v>
      </c>
      <c r="X3312">
        <v>0.99627790000000005</v>
      </c>
      <c r="Y3312">
        <v>7.3067370000000006E-2</v>
      </c>
      <c r="Z3312">
        <v>-2.0107429999999902E-3</v>
      </c>
      <c r="AA3312">
        <v>0.99732500000000002</v>
      </c>
      <c r="AB3312">
        <v>40</v>
      </c>
      <c r="AC3312">
        <v>0.42250000000001298</v>
      </c>
      <c r="AD3312">
        <v>-6.0153000000000102E-2</v>
      </c>
      <c r="AE3312">
        <v>-6.3199999999994802E-2</v>
      </c>
      <c r="AF3312">
        <v>5.7929769188099701E-2</v>
      </c>
      <c r="AG3312">
        <v>-6.0153000000000102E-2</v>
      </c>
      <c r="AH3312">
        <v>0.41487050400460201</v>
      </c>
      <c r="AI3312">
        <v>98.171757633756599</v>
      </c>
      <c r="AJ3312">
        <v>82.050992831576593</v>
      </c>
      <c r="AK3312">
        <v>0.42319236366009599</v>
      </c>
    </row>
    <row r="3313" spans="1:37" x14ac:dyDescent="0.2">
      <c r="A3313" t="str">
        <f>"20200111153715838"</f>
        <v>20200111153715838</v>
      </c>
      <c r="B3313" t="str">
        <f>"1578728235836688"</f>
        <v>1578728235836688</v>
      </c>
      <c r="C3313" t="s">
        <v>37</v>
      </c>
      <c r="D3313">
        <v>6.2399239999999896</v>
      </c>
      <c r="E3313">
        <v>0.51289739999999995</v>
      </c>
      <c r="F3313" t="s">
        <v>38</v>
      </c>
      <c r="G3313">
        <v>-269.24489999999997</v>
      </c>
      <c r="H3313">
        <v>1.0462739999999999</v>
      </c>
      <c r="I3313">
        <v>214.577</v>
      </c>
      <c r="J3313">
        <v>-269.62909999999999</v>
      </c>
      <c r="K3313">
        <v>1.10476</v>
      </c>
      <c r="L3313">
        <v>214.6386</v>
      </c>
      <c r="M3313">
        <v>0.99986160000000002</v>
      </c>
      <c r="N3313">
        <v>0</v>
      </c>
      <c r="O3313">
        <v>-9.4483220000000003E-3</v>
      </c>
      <c r="P3313">
        <v>0.99752770000000002</v>
      </c>
      <c r="Q3313">
        <v>6.5774139999999995E-2</v>
      </c>
      <c r="R3313">
        <v>2.4743310000000001E-2</v>
      </c>
      <c r="S3313">
        <v>3.0283199999999999</v>
      </c>
      <c r="T3313">
        <v>-0.22735569999999999</v>
      </c>
      <c r="U3313">
        <v>-0.25294489999999997</v>
      </c>
      <c r="V3313">
        <v>-3.4230289999999997E-2</v>
      </c>
      <c r="W3313">
        <v>7.9400620000000005E-2</v>
      </c>
      <c r="X3313">
        <v>0.99625490000000005</v>
      </c>
      <c r="Y3313">
        <v>7.3637149999999998E-2</v>
      </c>
      <c r="Z3313">
        <v>-2.0484349999999999E-3</v>
      </c>
      <c r="AA3313">
        <v>0.99728300000000003</v>
      </c>
      <c r="AB3313">
        <v>40</v>
      </c>
      <c r="AC3313">
        <v>0.38420000000002102</v>
      </c>
      <c r="AD3313">
        <v>-5.8486000000000003E-2</v>
      </c>
      <c r="AE3313">
        <v>-6.1599999999998503E-2</v>
      </c>
      <c r="AF3313">
        <v>5.6686176939709697E-2</v>
      </c>
      <c r="AG3313">
        <v>-5.8486000000000003E-2</v>
      </c>
      <c r="AH3313">
        <v>0.37626413929652303</v>
      </c>
      <c r="AI3313">
        <v>98.738214072480403</v>
      </c>
      <c r="AJ3313">
        <v>81.432519660216798</v>
      </c>
      <c r="AK3313">
        <v>0.38497874924805098</v>
      </c>
    </row>
    <row r="3314" spans="1:37" x14ac:dyDescent="0.2">
      <c r="A3314" t="str">
        <f>"20200111153715862"</f>
        <v>20200111153715862</v>
      </c>
      <c r="B3314" t="str">
        <f>"1578728235856207"</f>
        <v>1578728235856207</v>
      </c>
      <c r="C3314" t="s">
        <v>37</v>
      </c>
      <c r="D3314">
        <v>6.0192379999999996</v>
      </c>
      <c r="E3314">
        <v>0.50085559999999996</v>
      </c>
      <c r="F3314" t="s">
        <v>45</v>
      </c>
      <c r="G3314">
        <v>-247.62649999999999</v>
      </c>
      <c r="H3314" s="1">
        <v>2.5320410000000001E-6</v>
      </c>
      <c r="I3314">
        <v>214.37819999999999</v>
      </c>
      <c r="J3314">
        <v>-269.22190000000001</v>
      </c>
      <c r="K3314">
        <v>1.1047009999999999</v>
      </c>
      <c r="L3314">
        <v>214.63499999999999</v>
      </c>
      <c r="M3314">
        <v>0.99986849999999905</v>
      </c>
      <c r="N3314">
        <v>0</v>
      </c>
      <c r="O3314">
        <v>-9.1320050000000003E-3</v>
      </c>
      <c r="P3314">
        <v>0.99749859999999901</v>
      </c>
      <c r="Q3314">
        <v>6.6102330000000001E-2</v>
      </c>
      <c r="R3314">
        <v>2.5048480000000001E-2</v>
      </c>
      <c r="S3314">
        <v>3.0183110000000002</v>
      </c>
      <c r="T3314">
        <v>-0.1515504</v>
      </c>
      <c r="U3314">
        <v>-3.5720830000000002E-2</v>
      </c>
      <c r="V3314">
        <v>-3.4217839999999999E-2</v>
      </c>
      <c r="W3314">
        <v>7.9437720000000003E-2</v>
      </c>
      <c r="X3314">
        <v>0.99625239999999904</v>
      </c>
      <c r="Y3314">
        <v>2.709291E-3</v>
      </c>
      <c r="Z3314">
        <v>3.9027449999999998E-4</v>
      </c>
      <c r="AA3314">
        <v>0.9999962</v>
      </c>
      <c r="AB3314">
        <v>40</v>
      </c>
      <c r="AC3314">
        <v>21.595400000000001</v>
      </c>
      <c r="AD3314">
        <v>-1.104698467959</v>
      </c>
      <c r="AE3314">
        <v>-0.25679999999999797</v>
      </c>
      <c r="AF3314">
        <v>5.9406846756830597E-2</v>
      </c>
      <c r="AG3314">
        <v>-1.104698467959</v>
      </c>
      <c r="AH3314">
        <v>21.540486214026899</v>
      </c>
      <c r="AI3314">
        <v>92.935816567147697</v>
      </c>
      <c r="AJ3314">
        <v>89.841983466399796</v>
      </c>
      <c r="AK3314">
        <v>21.568876517223501</v>
      </c>
    </row>
    <row r="3315" spans="1:37" x14ac:dyDescent="0.2">
      <c r="A3315" t="str">
        <f>"20200111153715896"</f>
        <v>20200111153715896</v>
      </c>
      <c r="B3315" t="str">
        <f>"1578728235886462"</f>
        <v>1578728235886462</v>
      </c>
      <c r="C3315" t="s">
        <v>37</v>
      </c>
      <c r="D3315">
        <v>5.9367409999999996</v>
      </c>
      <c r="E3315">
        <v>0.49578729999999999</v>
      </c>
      <c r="F3315" t="s">
        <v>45</v>
      </c>
      <c r="G3315">
        <v>-248.9502</v>
      </c>
      <c r="H3315" s="1">
        <v>3.2073649999999899E-6</v>
      </c>
      <c r="I3315">
        <v>215.0445</v>
      </c>
      <c r="J3315">
        <v>-268.60849999999999</v>
      </c>
      <c r="K3315">
        <v>1.1046049999999901</v>
      </c>
      <c r="L3315">
        <v>214.62989999999999</v>
      </c>
      <c r="M3315">
        <v>0.99987939999999997</v>
      </c>
      <c r="N3315">
        <v>0</v>
      </c>
      <c r="O3315">
        <v>-8.6428080000000001E-3</v>
      </c>
      <c r="P3315">
        <v>0.99742109999999995</v>
      </c>
      <c r="Q3315">
        <v>6.7063600000000001E-2</v>
      </c>
      <c r="R3315">
        <v>2.5568980000000002E-2</v>
      </c>
      <c r="S3315">
        <v>3.0168759999999999</v>
      </c>
      <c r="T3315">
        <v>-0.16440370000000001</v>
      </c>
      <c r="U3315">
        <v>6.0943600000000001E-2</v>
      </c>
      <c r="V3315">
        <v>-3.4247890000000003E-2</v>
      </c>
      <c r="W3315">
        <v>7.9911109999999994E-2</v>
      </c>
      <c r="X3315">
        <v>0.99621349999999997</v>
      </c>
      <c r="Y3315">
        <v>-2.8782269999999999E-2</v>
      </c>
      <c r="Z3315">
        <v>1.2542149999999999E-3</v>
      </c>
      <c r="AA3315">
        <v>0.9995849</v>
      </c>
      <c r="AB3315">
        <v>40</v>
      </c>
      <c r="AC3315">
        <v>19.658300000000001</v>
      </c>
      <c r="AD3315">
        <v>-1.10460179263499</v>
      </c>
      <c r="AE3315">
        <v>0.41460000000000702</v>
      </c>
      <c r="AF3315">
        <v>-0.58266273094035903</v>
      </c>
      <c r="AG3315">
        <v>-1.10460179263499</v>
      </c>
      <c r="AH3315">
        <v>19.592150713634599</v>
      </c>
      <c r="AI3315">
        <v>93.225486065776494</v>
      </c>
      <c r="AJ3315">
        <v>91.703451496721797</v>
      </c>
      <c r="AK3315">
        <v>19.631913064296398</v>
      </c>
    </row>
    <row r="3316" spans="1:37" x14ac:dyDescent="0.2">
      <c r="A3316" t="str">
        <f>"20200111153715917"</f>
        <v>20200111153715917</v>
      </c>
      <c r="B3316" t="str">
        <f>"1578728235905983"</f>
        <v>1578728235905983</v>
      </c>
      <c r="C3316" t="s">
        <v>37</v>
      </c>
      <c r="D3316">
        <v>5.9265270000000001</v>
      </c>
      <c r="E3316">
        <v>0.49478069999999902</v>
      </c>
      <c r="F3316" t="s">
        <v>45</v>
      </c>
      <c r="G3316">
        <v>-247.5093</v>
      </c>
      <c r="H3316" s="1">
        <v>2.427098E-6</v>
      </c>
      <c r="I3316">
        <v>215.35220000000001</v>
      </c>
      <c r="J3316">
        <v>-268.23079999999999</v>
      </c>
      <c r="K3316">
        <v>1.104563</v>
      </c>
      <c r="L3316">
        <v>214.62690000000001</v>
      </c>
      <c r="M3316">
        <v>0.99988569999999999</v>
      </c>
      <c r="N3316">
        <v>0</v>
      </c>
      <c r="O3316">
        <v>-8.3412950000000003E-3</v>
      </c>
      <c r="P3316">
        <v>0.99739709999999904</v>
      </c>
      <c r="Q3316">
        <v>6.7408239999999994E-2</v>
      </c>
      <c r="R3316">
        <v>2.5600979999999999E-2</v>
      </c>
      <c r="S3316">
        <v>3.015717</v>
      </c>
      <c r="T3316">
        <v>-0.157881299999999</v>
      </c>
      <c r="U3316">
        <v>0.103241</v>
      </c>
      <c r="V3316">
        <v>-3.3978399999999999E-2</v>
      </c>
      <c r="W3316">
        <v>7.9962920000000007E-2</v>
      </c>
      <c r="X3316">
        <v>0.99621859999999995</v>
      </c>
      <c r="Y3316">
        <v>-4.2480629999999998E-2</v>
      </c>
      <c r="Z3316">
        <v>1.5472159999999999E-3</v>
      </c>
      <c r="AA3316">
        <v>0.99909609999999904</v>
      </c>
      <c r="AB3316">
        <v>40</v>
      </c>
      <c r="AC3316">
        <v>20.721499999999899</v>
      </c>
      <c r="AD3316">
        <v>-1.104560572902</v>
      </c>
      <c r="AE3316">
        <v>0.72530000000000405</v>
      </c>
      <c r="AF3316">
        <v>-0.89559100764048905</v>
      </c>
      <c r="AG3316">
        <v>-1.104560572902</v>
      </c>
      <c r="AH3316">
        <v>20.656107551145499</v>
      </c>
      <c r="AI3316">
        <v>93.058040285544195</v>
      </c>
      <c r="AJ3316">
        <v>92.482629755123</v>
      </c>
      <c r="AK3316">
        <v>20.704997379296302</v>
      </c>
    </row>
    <row r="3317" spans="1:37" x14ac:dyDescent="0.2">
      <c r="A3317" t="str">
        <f>"20200111153715939"</f>
        <v>20200111153715939</v>
      </c>
      <c r="B3317" t="str">
        <f>"1578728235926479"</f>
        <v>1578728235926479</v>
      </c>
      <c r="C3317" t="s">
        <v>37</v>
      </c>
      <c r="D3317">
        <v>6.1620109999999997</v>
      </c>
      <c r="E3317">
        <v>0.494285999999999</v>
      </c>
      <c r="F3317" t="s">
        <v>45</v>
      </c>
      <c r="G3317">
        <v>-247.2054</v>
      </c>
      <c r="H3317" s="1">
        <v>2.2630729999999999E-6</v>
      </c>
      <c r="I3317">
        <v>215.4051</v>
      </c>
      <c r="J3317">
        <v>-267.84230000000002</v>
      </c>
      <c r="K3317">
        <v>1.1045309999999999</v>
      </c>
      <c r="L3317">
        <v>214.62389999999999</v>
      </c>
      <c r="M3317">
        <v>0.9998918</v>
      </c>
      <c r="N3317">
        <v>0</v>
      </c>
      <c r="O3317">
        <v>-8.0343919999999996E-3</v>
      </c>
      <c r="P3317">
        <v>0.99737880000000001</v>
      </c>
      <c r="Q3317">
        <v>6.7659349999999993E-2</v>
      </c>
      <c r="R3317">
        <v>2.5644900000000002E-2</v>
      </c>
      <c r="S3317">
        <v>3.0156860000000001</v>
      </c>
      <c r="T3317">
        <v>-0.1584275</v>
      </c>
      <c r="U3317">
        <v>0.11161799999999999</v>
      </c>
      <c r="V3317">
        <v>-3.3716309999999999E-2</v>
      </c>
      <c r="W3317">
        <v>7.9918240000000001E-2</v>
      </c>
      <c r="X3317">
        <v>0.99623099999999998</v>
      </c>
      <c r="Y3317">
        <v>-4.4942500000000003E-2</v>
      </c>
      <c r="Z3317">
        <v>1.600991E-3</v>
      </c>
      <c r="AA3317">
        <v>0.99898829999999905</v>
      </c>
      <c r="AB3317">
        <v>40</v>
      </c>
      <c r="AC3317">
        <v>20.636900000000001</v>
      </c>
      <c r="AD3317">
        <v>-1.1045287369269901</v>
      </c>
      <c r="AE3317">
        <v>0.781200000000012</v>
      </c>
      <c r="AF3317">
        <v>-0.94429116245545797</v>
      </c>
      <c r="AG3317">
        <v>-1.1045287369269901</v>
      </c>
      <c r="AH3317">
        <v>20.571113030719399</v>
      </c>
      <c r="AI3317">
        <v>93.070215253407298</v>
      </c>
      <c r="AJ3317">
        <v>92.628245947835296</v>
      </c>
      <c r="AK3317">
        <v>20.622375247600001</v>
      </c>
    </row>
    <row r="3318" spans="1:37" x14ac:dyDescent="0.2">
      <c r="A3318" t="str">
        <f>"20200111153715963"</f>
        <v>20200111153715963</v>
      </c>
      <c r="B3318" t="str">
        <f>"1578728235956735"</f>
        <v>1578728235956735</v>
      </c>
      <c r="C3318" t="s">
        <v>37</v>
      </c>
      <c r="D3318">
        <v>6.1602220000000001</v>
      </c>
      <c r="E3318">
        <v>0.49465759999999998</v>
      </c>
      <c r="F3318" t="s">
        <v>45</v>
      </c>
      <c r="G3318">
        <v>-245.785</v>
      </c>
      <c r="H3318" s="1">
        <v>1.5042900000000001E-6</v>
      </c>
      <c r="I3318">
        <v>215.4716</v>
      </c>
      <c r="J3318">
        <v>-267.41649999999998</v>
      </c>
      <c r="K3318">
        <v>1.104508</v>
      </c>
      <c r="L3318">
        <v>214.6208</v>
      </c>
      <c r="M3318">
        <v>0.99989819999999996</v>
      </c>
      <c r="N3318">
        <v>0</v>
      </c>
      <c r="O3318">
        <v>-7.7027619999999897E-3</v>
      </c>
      <c r="P3318">
        <v>0.99735239999999903</v>
      </c>
      <c r="Q3318">
        <v>6.8072679999999997E-2</v>
      </c>
      <c r="R3318">
        <v>2.5588179999999999E-2</v>
      </c>
      <c r="S3318">
        <v>3.0151669999999999</v>
      </c>
      <c r="T3318">
        <v>-0.15098549999999999</v>
      </c>
      <c r="U3318">
        <v>0.1158752</v>
      </c>
      <c r="V3318">
        <v>-3.3329329999999997E-2</v>
      </c>
      <c r="W3318">
        <v>8.0025669999999993E-2</v>
      </c>
      <c r="X3318">
        <v>0.99623539999999899</v>
      </c>
      <c r="Y3318">
        <v>-4.6031699999999898E-2</v>
      </c>
      <c r="Z3318">
        <v>1.5367549999999999E-3</v>
      </c>
      <c r="AA3318">
        <v>0.99893880000000002</v>
      </c>
      <c r="AB3318">
        <v>40</v>
      </c>
      <c r="AC3318">
        <v>21.6314999999999</v>
      </c>
      <c r="AD3318">
        <v>-1.1045064957099999</v>
      </c>
      <c r="AE3318">
        <v>0.85079999999999201</v>
      </c>
      <c r="AF3318">
        <v>-1.01476752359472</v>
      </c>
      <c r="AG3318">
        <v>-1.1045064957099999</v>
      </c>
      <c r="AH3318">
        <v>21.568159969402799</v>
      </c>
      <c r="AI3318">
        <v>92.928325048197905</v>
      </c>
      <c r="AJ3318">
        <v>92.693741678794694</v>
      </c>
      <c r="AK3318">
        <v>21.620250049242198</v>
      </c>
    </row>
    <row r="3319" spans="1:37" x14ac:dyDescent="0.2">
      <c r="A3319" t="str">
        <f>"20200111153715986"</f>
        <v>20200111153715986</v>
      </c>
      <c r="B3319" t="str">
        <f>"1578728235976254"</f>
        <v>1578728235976254</v>
      </c>
      <c r="C3319" t="s">
        <v>37</v>
      </c>
      <c r="D3319">
        <v>6.2893600000000003</v>
      </c>
      <c r="E3319">
        <v>0.49484519999999999</v>
      </c>
      <c r="F3319" t="s">
        <v>45</v>
      </c>
      <c r="G3319">
        <v>-245.1678</v>
      </c>
      <c r="H3319" s="1">
        <v>1.1767140000000001E-6</v>
      </c>
      <c r="I3319">
        <v>215.45249999999999</v>
      </c>
      <c r="J3319">
        <v>-267.00490000000002</v>
      </c>
      <c r="K3319">
        <v>1.1044929999999999</v>
      </c>
      <c r="L3319">
        <v>214.61789999999999</v>
      </c>
      <c r="M3319">
        <v>0.99990369999999995</v>
      </c>
      <c r="N3319">
        <v>0</v>
      </c>
      <c r="O3319">
        <v>-7.384608E-3</v>
      </c>
      <c r="P3319">
        <v>0.99733780000000005</v>
      </c>
      <c r="Q3319">
        <v>6.8255040000000003E-2</v>
      </c>
      <c r="R3319">
        <v>2.5661059999999999E-2</v>
      </c>
      <c r="S3319">
        <v>3.015228</v>
      </c>
      <c r="T3319">
        <v>-0.14968719999999999</v>
      </c>
      <c r="U3319">
        <v>0.112716699999999</v>
      </c>
      <c r="V3319">
        <v>-3.3085860000000002E-2</v>
      </c>
      <c r="W3319">
        <v>7.9939629999999998E-2</v>
      </c>
      <c r="X3319">
        <v>0.99625049999999904</v>
      </c>
      <c r="Y3319">
        <v>-4.4671299999999997E-2</v>
      </c>
      <c r="Z3319">
        <v>1.47403799999999E-3</v>
      </c>
      <c r="AA3319">
        <v>0.99900069999999996</v>
      </c>
      <c r="AB3319">
        <v>40</v>
      </c>
      <c r="AC3319">
        <v>21.8371</v>
      </c>
      <c r="AD3319">
        <v>-1.1044918232859999</v>
      </c>
      <c r="AE3319">
        <v>0.83459999999999401</v>
      </c>
      <c r="AF3319">
        <v>-0.99330941500904202</v>
      </c>
      <c r="AG3319">
        <v>-1.1044918232859999</v>
      </c>
      <c r="AH3319">
        <v>21.774717965551002</v>
      </c>
      <c r="AI3319">
        <v>92.900747435016896</v>
      </c>
      <c r="AJ3319">
        <v>92.611882689347894</v>
      </c>
      <c r="AK3319">
        <v>21.825327220019901</v>
      </c>
    </row>
    <row r="3320" spans="1:37" x14ac:dyDescent="0.2">
      <c r="A3320" t="str">
        <f>"20200111153716006"</f>
        <v>20200111153716006</v>
      </c>
      <c r="B3320" t="str">
        <f>"1578728235995775"</f>
        <v>1578728235995775</v>
      </c>
      <c r="C3320" t="s">
        <v>37</v>
      </c>
      <c r="D3320">
        <v>5.4550409999999996</v>
      </c>
      <c r="E3320">
        <v>0.49486029999999998</v>
      </c>
      <c r="F3320" t="s">
        <v>45</v>
      </c>
      <c r="G3320">
        <v>-244.70949999999999</v>
      </c>
      <c r="H3320" s="1">
        <v>9.3338470000000001E-7</v>
      </c>
      <c r="I3320">
        <v>215.43989999999999</v>
      </c>
      <c r="J3320">
        <v>-266.63170000000002</v>
      </c>
      <c r="K3320">
        <v>1.1044780000000001</v>
      </c>
      <c r="L3320">
        <v>214.61529999999999</v>
      </c>
      <c r="M3320">
        <v>0.99990859999999904</v>
      </c>
      <c r="N3320">
        <v>0</v>
      </c>
      <c r="O3320">
        <v>-7.0964340000000004E-3</v>
      </c>
      <c r="P3320">
        <v>0.99731559999999897</v>
      </c>
      <c r="Q3320">
        <v>6.8447450000000007E-2</v>
      </c>
      <c r="R3320">
        <v>2.6011530000000001E-2</v>
      </c>
      <c r="S3320">
        <v>3.0153810000000001</v>
      </c>
      <c r="T3320">
        <v>-0.14937890000000001</v>
      </c>
      <c r="U3320">
        <v>0.1111755</v>
      </c>
      <c r="V3320">
        <v>-3.3149600000000001E-2</v>
      </c>
      <c r="W3320">
        <v>7.9909679999999997E-2</v>
      </c>
      <c r="X3320">
        <v>0.99625069999999905</v>
      </c>
      <c r="Y3320">
        <v>-4.3873189999999999E-2</v>
      </c>
      <c r="Z3320">
        <v>1.436931E-3</v>
      </c>
      <c r="AA3320">
        <v>0.99903609999999898</v>
      </c>
      <c r="AB3320">
        <v>40</v>
      </c>
      <c r="AC3320">
        <v>21.9222</v>
      </c>
      <c r="AD3320">
        <v>-1.1044770666153001</v>
      </c>
      <c r="AE3320">
        <v>0.824600000000003</v>
      </c>
      <c r="AF3320">
        <v>-0.97768082803607703</v>
      </c>
      <c r="AG3320">
        <v>-1.1044770666153001</v>
      </c>
      <c r="AH3320">
        <v>21.860385721057799</v>
      </c>
      <c r="AI3320">
        <v>92.889476786721104</v>
      </c>
      <c r="AJ3320">
        <v>92.560781945871994</v>
      </c>
      <c r="AK3320">
        <v>21.910093410700298</v>
      </c>
    </row>
    <row r="3321" spans="1:37" x14ac:dyDescent="0.2">
      <c r="A3321" t="str">
        <f>"20200111153716028"</f>
        <v>20200111153716028</v>
      </c>
      <c r="B3321" t="str">
        <f>"1578728236016273"</f>
        <v>1578728236016273</v>
      </c>
      <c r="C3321" t="s">
        <v>37</v>
      </c>
      <c r="D3321">
        <v>6.2247029999999999</v>
      </c>
      <c r="E3321">
        <v>0.49481649999999999</v>
      </c>
      <c r="F3321" t="s">
        <v>45</v>
      </c>
      <c r="G3321">
        <v>-244.09540000000001</v>
      </c>
      <c r="H3321" s="1">
        <v>6.0602940000000003E-7</v>
      </c>
      <c r="I3321">
        <v>215.45230000000001</v>
      </c>
      <c r="J3321">
        <v>-266.2303</v>
      </c>
      <c r="K3321">
        <v>1.104463</v>
      </c>
      <c r="L3321">
        <v>214.61269999999999</v>
      </c>
      <c r="M3321">
        <v>0.999913099999999</v>
      </c>
      <c r="N3321">
        <v>0</v>
      </c>
      <c r="O3321">
        <v>-6.7854219999999897E-3</v>
      </c>
      <c r="P3321">
        <v>0.99731829999999999</v>
      </c>
      <c r="Q3321">
        <v>6.8157670000000004E-2</v>
      </c>
      <c r="R3321">
        <v>2.6664099999999899E-2</v>
      </c>
      <c r="S3321">
        <v>3.0152890000000001</v>
      </c>
      <c r="T3321">
        <v>-0.14777599999999999</v>
      </c>
      <c r="U3321">
        <v>0.11198429999999999</v>
      </c>
      <c r="V3321">
        <v>-3.3492050000000002E-2</v>
      </c>
      <c r="W3321">
        <v>7.9401579999999999E-2</v>
      </c>
      <c r="X3321">
        <v>0.9962799</v>
      </c>
      <c r="Y3321">
        <v>-4.3832870000000003E-2</v>
      </c>
      <c r="Z3321">
        <v>1.405349E-3</v>
      </c>
      <c r="AA3321">
        <v>0.99903790000000003</v>
      </c>
      <c r="AB3321">
        <v>40</v>
      </c>
      <c r="AC3321">
        <v>22.134899999999899</v>
      </c>
      <c r="AD3321">
        <v>-1.1044623939706</v>
      </c>
      <c r="AE3321">
        <v>0.839600000000018</v>
      </c>
      <c r="AF3321">
        <v>-0.98733027798931705</v>
      </c>
      <c r="AG3321">
        <v>-1.1044623939706</v>
      </c>
      <c r="AH3321">
        <v>22.073814773573702</v>
      </c>
      <c r="AI3321">
        <v>92.861546892988997</v>
      </c>
      <c r="AJ3321">
        <v>92.561051558404799</v>
      </c>
      <c r="AK3321">
        <v>22.123470724901399</v>
      </c>
    </row>
    <row r="3322" spans="1:37" x14ac:dyDescent="0.2">
      <c r="A3322" t="str">
        <f>"20200111153716052"</f>
        <v>20200111153716052</v>
      </c>
      <c r="B3322" t="str">
        <f>"1578728236046527"</f>
        <v>1578728236046527</v>
      </c>
      <c r="C3322" t="s">
        <v>37</v>
      </c>
      <c r="D3322">
        <v>6.2209329999999996</v>
      </c>
      <c r="E3322">
        <v>0.49480020000000002</v>
      </c>
      <c r="F3322" t="s">
        <v>45</v>
      </c>
      <c r="G3322">
        <v>-243.73079999999999</v>
      </c>
      <c r="H3322" s="1">
        <v>4.1138109999999999E-7</v>
      </c>
      <c r="I3322">
        <v>215.46619999999999</v>
      </c>
      <c r="J3322">
        <v>-265.8159</v>
      </c>
      <c r="K3322">
        <v>1.104447</v>
      </c>
      <c r="L3322">
        <v>214.61019999999999</v>
      </c>
      <c r="M3322">
        <v>0.99991759999999996</v>
      </c>
      <c r="N3322">
        <v>0</v>
      </c>
      <c r="O3322">
        <v>-6.4633199999999998E-3</v>
      </c>
      <c r="P3322">
        <v>0.99734210000000001</v>
      </c>
      <c r="Q3322">
        <v>6.7576590000000006E-2</v>
      </c>
      <c r="R3322">
        <v>2.7245160000000001E-2</v>
      </c>
      <c r="S3322">
        <v>3.01513699999999</v>
      </c>
      <c r="T3322">
        <v>-0.14800749999999999</v>
      </c>
      <c r="U3322">
        <v>0.11437989999999899</v>
      </c>
      <c r="V3322">
        <v>-3.3752110000000002E-2</v>
      </c>
      <c r="W3322">
        <v>7.8617729999999997E-2</v>
      </c>
      <c r="X3322">
        <v>0.99633329999999998</v>
      </c>
      <c r="Y3322">
        <v>-4.4305199999999899E-2</v>
      </c>
      <c r="Z3322">
        <v>1.4033819999999999E-3</v>
      </c>
      <c r="AA3322">
        <v>0.99901709999999999</v>
      </c>
      <c r="AB3322">
        <v>40</v>
      </c>
      <c r="AC3322">
        <v>22.085100000000001</v>
      </c>
      <c r="AD3322">
        <v>-1.1044465886188899</v>
      </c>
      <c r="AE3322">
        <v>0.85599999999999399</v>
      </c>
      <c r="AF3322">
        <v>-0.996246224886434</v>
      </c>
      <c r="AG3322">
        <v>-1.1044465886188899</v>
      </c>
      <c r="AH3322">
        <v>22.024108939278801</v>
      </c>
      <c r="AI3322">
        <v>92.867888319171399</v>
      </c>
      <c r="AJ3322">
        <v>92.589971748756795</v>
      </c>
      <c r="AK3322">
        <v>22.0742765085729</v>
      </c>
    </row>
    <row r="3323" spans="1:37" x14ac:dyDescent="0.2">
      <c r="A3323" t="str">
        <f>"20200111153716074"</f>
        <v>20200111153716074</v>
      </c>
      <c r="B3323" t="str">
        <f>"1578728236066049"</f>
        <v>1578728236066049</v>
      </c>
      <c r="C3323" t="s">
        <v>37</v>
      </c>
      <c r="D3323">
        <v>5.9884170000000001</v>
      </c>
      <c r="E3323">
        <v>0.49456349999999999</v>
      </c>
      <c r="F3323" t="s">
        <v>45</v>
      </c>
      <c r="G3323">
        <v>-243.5187</v>
      </c>
      <c r="H3323" s="1">
        <v>2.9827900000000002E-7</v>
      </c>
      <c r="I3323">
        <v>215.47219999999999</v>
      </c>
      <c r="J3323">
        <v>-265.41730000000001</v>
      </c>
      <c r="K3323">
        <v>1.1044339999999999</v>
      </c>
      <c r="L3323">
        <v>214.6078</v>
      </c>
      <c r="M3323">
        <v>0.99992139999999996</v>
      </c>
      <c r="N3323">
        <v>0</v>
      </c>
      <c r="O3323">
        <v>-6.1530789999999997E-3</v>
      </c>
      <c r="P3323">
        <v>0.99732670000000001</v>
      </c>
      <c r="Q3323">
        <v>6.7553420000000003E-2</v>
      </c>
      <c r="R3323">
        <v>2.7861049999999998E-2</v>
      </c>
      <c r="S3323">
        <v>3.0149539999999999</v>
      </c>
      <c r="T3323">
        <v>-0.14933940000000001</v>
      </c>
      <c r="U3323">
        <v>0.1165619</v>
      </c>
      <c r="V3323">
        <v>-3.405859E-2</v>
      </c>
      <c r="W3323">
        <v>7.8421870000000005E-2</v>
      </c>
      <c r="X3323">
        <v>0.99633830000000001</v>
      </c>
      <c r="Y3323">
        <v>-4.4718229999999998E-2</v>
      </c>
      <c r="Z3323">
        <v>1.4109260000000001E-3</v>
      </c>
      <c r="AA3323">
        <v>0.99899859999999896</v>
      </c>
      <c r="AB3323">
        <v>40</v>
      </c>
      <c r="AC3323">
        <v>21.898599999999998</v>
      </c>
      <c r="AD3323">
        <v>-1.104433701721</v>
      </c>
      <c r="AE3323">
        <v>0.86439999999998895</v>
      </c>
      <c r="AF3323">
        <v>-0.99660448421376702</v>
      </c>
      <c r="AG3323">
        <v>-1.104433701721</v>
      </c>
      <c r="AH3323">
        <v>21.8374074279042</v>
      </c>
      <c r="AI3323">
        <v>92.892279741208796</v>
      </c>
      <c r="AJ3323">
        <v>92.613022508887497</v>
      </c>
      <c r="AK3323">
        <v>21.888018582588401</v>
      </c>
    </row>
    <row r="3324" spans="1:37" x14ac:dyDescent="0.2">
      <c r="A3324" t="str">
        <f>"20200111153716096"</f>
        <v>20200111153716096</v>
      </c>
      <c r="B3324" t="str">
        <f>"1578728236086543"</f>
        <v>1578728236086543</v>
      </c>
      <c r="C3324" t="s">
        <v>37</v>
      </c>
      <c r="D3324">
        <v>6.2231800000000002</v>
      </c>
      <c r="E3324">
        <v>0.4946642</v>
      </c>
      <c r="F3324" t="s">
        <v>45</v>
      </c>
      <c r="G3324">
        <v>-243.90780000000001</v>
      </c>
      <c r="H3324" s="1">
        <v>5.0553359999999998E-7</v>
      </c>
      <c r="I3324">
        <v>215.46719999999999</v>
      </c>
      <c r="J3324">
        <v>-265.01420000000002</v>
      </c>
      <c r="K3324">
        <v>1.1044350000000001</v>
      </c>
      <c r="L3324">
        <v>214.60560000000001</v>
      </c>
      <c r="M3324">
        <v>0.99992490000000001</v>
      </c>
      <c r="N3324">
        <v>0</v>
      </c>
      <c r="O3324">
        <v>-5.8389319999999998E-3</v>
      </c>
      <c r="P3324">
        <v>0.99727459999999901</v>
      </c>
      <c r="Q3324">
        <v>6.820851E-2</v>
      </c>
      <c r="R3324">
        <v>2.8121920000000002E-2</v>
      </c>
      <c r="S3324">
        <v>3.0151669999999999</v>
      </c>
      <c r="T3324">
        <v>-0.1548175</v>
      </c>
      <c r="U3324">
        <v>0.12046809999999999</v>
      </c>
      <c r="V3324">
        <v>-3.4006389999999997E-2</v>
      </c>
      <c r="W3324">
        <v>7.8929559999999996E-2</v>
      </c>
      <c r="X3324">
        <v>0.99629999999999996</v>
      </c>
      <c r="Y3324">
        <v>-4.5688350000000003E-2</v>
      </c>
      <c r="Z3324">
        <v>1.4712389999999901E-3</v>
      </c>
      <c r="AA3324">
        <v>0.99895469999999897</v>
      </c>
      <c r="AB3324">
        <v>40</v>
      </c>
      <c r="AC3324">
        <v>21.106400000000001</v>
      </c>
      <c r="AD3324">
        <v>-1.10443449446639</v>
      </c>
      <c r="AE3324">
        <v>0.86159999999998105</v>
      </c>
      <c r="AF3324">
        <v>-0.98214654420814396</v>
      </c>
      <c r="AG3324">
        <v>-1.10443449446639</v>
      </c>
      <c r="AH3324">
        <v>21.043485434510099</v>
      </c>
      <c r="AI3324">
        <v>93.001062275597803</v>
      </c>
      <c r="AJ3324">
        <v>92.672183069014906</v>
      </c>
      <c r="AK3324">
        <v>21.095323335263402</v>
      </c>
    </row>
    <row r="3325" spans="1:37" x14ac:dyDescent="0.2">
      <c r="A3325" t="str">
        <f>"20200111153716118"</f>
        <v>20200111153716118</v>
      </c>
      <c r="B3325" t="str">
        <f>"1578728236106063"</f>
        <v>1578728236106063</v>
      </c>
      <c r="C3325" t="s">
        <v>37</v>
      </c>
      <c r="D3325">
        <v>5.9943730000000004</v>
      </c>
      <c r="E3325">
        <v>0.49466329999999997</v>
      </c>
      <c r="F3325" t="s">
        <v>45</v>
      </c>
      <c r="G3325">
        <v>-243.4924</v>
      </c>
      <c r="H3325" s="1">
        <v>2.8459700000000002E-7</v>
      </c>
      <c r="I3325">
        <v>215.46430000000001</v>
      </c>
      <c r="J3325">
        <v>-264.61489999999998</v>
      </c>
      <c r="K3325">
        <v>1.1044399999999901</v>
      </c>
      <c r="L3325">
        <v>214.6035</v>
      </c>
      <c r="M3325">
        <v>0.99992789999999998</v>
      </c>
      <c r="N3325">
        <v>0</v>
      </c>
      <c r="O3325">
        <v>-5.5279509999999997E-3</v>
      </c>
      <c r="P3325">
        <v>0.99720710000000001</v>
      </c>
      <c r="Q3325">
        <v>6.898804E-2</v>
      </c>
      <c r="R3325">
        <v>2.861387E-2</v>
      </c>
      <c r="S3325">
        <v>3.0154109999999998</v>
      </c>
      <c r="T3325">
        <v>-0.15474189999999999</v>
      </c>
      <c r="U3325">
        <v>0.12031559999999999</v>
      </c>
      <c r="V3325">
        <v>-3.418794E-2</v>
      </c>
      <c r="W3325">
        <v>7.9597399999999999E-2</v>
      </c>
      <c r="X3325">
        <v>0.99624069999999998</v>
      </c>
      <c r="Y3325">
        <v>-4.5324929999999999E-2</v>
      </c>
      <c r="Z3325">
        <v>1.445146E-3</v>
      </c>
      <c r="AA3325">
        <v>0.99897119999999995</v>
      </c>
      <c r="AB3325">
        <v>40</v>
      </c>
      <c r="AC3325">
        <v>21.122499999999899</v>
      </c>
      <c r="AD3325">
        <v>-1.1044397154029999</v>
      </c>
      <c r="AE3325">
        <v>0.860800000000011</v>
      </c>
      <c r="AF3325">
        <v>-0.974896709055602</v>
      </c>
      <c r="AG3325">
        <v>-1.1044397154029999</v>
      </c>
      <c r="AH3325">
        <v>21.059936773159698</v>
      </c>
      <c r="AI3325">
        <v>92.998789228391999</v>
      </c>
      <c r="AJ3325">
        <v>92.650417217112306</v>
      </c>
      <c r="AK3325">
        <v>21.1113985223095</v>
      </c>
    </row>
    <row r="3326" spans="1:37" x14ac:dyDescent="0.2">
      <c r="A3326" t="str">
        <f>"20200111153716141"</f>
        <v>20200111153716141</v>
      </c>
      <c r="B3326" t="str">
        <f>"1578728236136319"</f>
        <v>1578728236136319</v>
      </c>
      <c r="C3326" t="s">
        <v>37</v>
      </c>
      <c r="D3326">
        <v>5.7851499999999998</v>
      </c>
      <c r="E3326">
        <v>0.49460730000000003</v>
      </c>
      <c r="F3326" t="s">
        <v>45</v>
      </c>
      <c r="G3326">
        <v>-242.6833</v>
      </c>
      <c r="H3326" s="1">
        <v>-1.4690149999999999E-7</v>
      </c>
      <c r="I3326">
        <v>215.4863</v>
      </c>
      <c r="J3326">
        <v>-264.21460000000002</v>
      </c>
      <c r="K3326">
        <v>1.1044620000000001</v>
      </c>
      <c r="L3326">
        <v>214.60159999999999</v>
      </c>
      <c r="M3326">
        <v>0.9999304</v>
      </c>
      <c r="N3326">
        <v>0</v>
      </c>
      <c r="O3326">
        <v>-5.2163159999999899E-3</v>
      </c>
      <c r="P3326">
        <v>0.99714570000000002</v>
      </c>
      <c r="Q3326">
        <v>6.9785150000000004E-2</v>
      </c>
      <c r="R3326">
        <v>2.8825509999999999E-2</v>
      </c>
      <c r="S3326">
        <v>3.0154109999999998</v>
      </c>
      <c r="T3326">
        <v>-0.15185109999999999</v>
      </c>
      <c r="U3326">
        <v>0.1213684</v>
      </c>
      <c r="V3326">
        <v>-3.4089999999999898E-2</v>
      </c>
      <c r="W3326">
        <v>8.0318459999999994E-2</v>
      </c>
      <c r="X3326">
        <v>0.99618609999999896</v>
      </c>
      <c r="Y3326">
        <v>-4.5364649999999999E-2</v>
      </c>
      <c r="Z3326">
        <v>1.40349299999999E-3</v>
      </c>
      <c r="AA3326">
        <v>0.99896949999999995</v>
      </c>
      <c r="AB3326">
        <v>40</v>
      </c>
      <c r="AC3326">
        <v>21.531300000000002</v>
      </c>
      <c r="AD3326">
        <v>-1.1044621469014999</v>
      </c>
      <c r="AE3326">
        <v>0.88470000000000903</v>
      </c>
      <c r="AF3326">
        <v>-0.99439622685786699</v>
      </c>
      <c r="AG3326">
        <v>-1.1044621469014999</v>
      </c>
      <c r="AH3326">
        <v>21.469994316097601</v>
      </c>
      <c r="AI3326">
        <v>92.941672996507194</v>
      </c>
      <c r="AJ3326">
        <v>92.6517948238847</v>
      </c>
      <c r="AK3326">
        <v>21.521368832469602</v>
      </c>
    </row>
    <row r="3327" spans="1:37" x14ac:dyDescent="0.2">
      <c r="A3327" t="str">
        <f>"20200111153716163"</f>
        <v>20200111153716163</v>
      </c>
      <c r="B3327" t="str">
        <f>"1578728236156818"</f>
        <v>1578728236156818</v>
      </c>
      <c r="C3327" t="s">
        <v>37</v>
      </c>
      <c r="D3327">
        <v>6.2192160000000003</v>
      </c>
      <c r="E3327">
        <v>0.49463059999999998</v>
      </c>
      <c r="F3327" t="s">
        <v>45</v>
      </c>
      <c r="G3327">
        <v>-241.74260000000001</v>
      </c>
      <c r="H3327" s="1">
        <v>-6.48745E-7</v>
      </c>
      <c r="I3327">
        <v>215.5153</v>
      </c>
      <c r="J3327">
        <v>-263.79300000000001</v>
      </c>
      <c r="K3327">
        <v>1.1044940000000001</v>
      </c>
      <c r="L3327">
        <v>214.59970000000001</v>
      </c>
      <c r="M3327">
        <v>0.99993220000000005</v>
      </c>
      <c r="N3327">
        <v>0</v>
      </c>
      <c r="O3327">
        <v>-4.88886099999999E-3</v>
      </c>
      <c r="P3327">
        <v>0.99711659999999902</v>
      </c>
      <c r="Q3327">
        <v>7.0146440000000004E-2</v>
      </c>
      <c r="R3327">
        <v>2.8951419999999999E-2</v>
      </c>
      <c r="S3327">
        <v>3.0153810000000001</v>
      </c>
      <c r="T3327">
        <v>-0.14820120000000001</v>
      </c>
      <c r="U3327">
        <v>0.122604399999999</v>
      </c>
      <c r="V3327">
        <v>-3.3890040000000003E-2</v>
      </c>
      <c r="W3327">
        <v>8.0660659999999995E-2</v>
      </c>
      <c r="X3327">
        <v>0.99616530000000003</v>
      </c>
      <c r="Y3327">
        <v>-4.5450049999999999E-2</v>
      </c>
      <c r="Z3327">
        <v>1.35582E-3</v>
      </c>
      <c r="AA3327">
        <v>0.99896569999999996</v>
      </c>
      <c r="AB3327">
        <v>40</v>
      </c>
      <c r="AC3327">
        <v>22.0504</v>
      </c>
      <c r="AD3327">
        <v>-1.104494648745</v>
      </c>
      <c r="AE3327">
        <v>0.91559999999998298</v>
      </c>
      <c r="AF3327">
        <v>-1.02083957785518</v>
      </c>
      <c r="AG3327">
        <v>-1.104494648745</v>
      </c>
      <c r="AH3327">
        <v>21.9905813705379</v>
      </c>
      <c r="AI3327">
        <v>92.872222556725902</v>
      </c>
      <c r="AJ3327">
        <v>92.657857834933793</v>
      </c>
      <c r="AK3327">
        <v>22.041952973524602</v>
      </c>
    </row>
    <row r="3328" spans="1:37" x14ac:dyDescent="0.2">
      <c r="A3328" t="str">
        <f>"20200111153716186"</f>
        <v>20200111153716186</v>
      </c>
      <c r="B3328" t="str">
        <f>"1578728236176335"</f>
        <v>1578728236176335</v>
      </c>
      <c r="C3328" t="s">
        <v>37</v>
      </c>
      <c r="D3328">
        <v>6.2184900000000001</v>
      </c>
      <c r="E3328">
        <v>0.49461949999999999</v>
      </c>
      <c r="F3328" t="s">
        <v>45</v>
      </c>
      <c r="G3328">
        <v>-241.1283</v>
      </c>
      <c r="H3328" s="1">
        <v>-9.7606599999999997E-7</v>
      </c>
      <c r="I3328">
        <v>215.52420000000001</v>
      </c>
      <c r="J3328">
        <v>-263.39269999999999</v>
      </c>
      <c r="K3328">
        <v>1.104528</v>
      </c>
      <c r="L3328">
        <v>214.59799999999899</v>
      </c>
      <c r="M3328">
        <v>0.99993339999999997</v>
      </c>
      <c r="N3328">
        <v>0</v>
      </c>
      <c r="O3328">
        <v>-4.5788809999999999E-3</v>
      </c>
      <c r="P3328">
        <v>0.99707069999999998</v>
      </c>
      <c r="Q3328">
        <v>7.0619769999999998E-2</v>
      </c>
      <c r="R3328">
        <v>2.937944E-2</v>
      </c>
      <c r="S3328">
        <v>3.01544199999999</v>
      </c>
      <c r="T3328">
        <v>-0.1469481</v>
      </c>
      <c r="U3328">
        <v>0.1230011</v>
      </c>
      <c r="V3328">
        <v>-3.4009320000000003E-2</v>
      </c>
      <c r="W3328">
        <v>8.1153999999999907E-2</v>
      </c>
      <c r="X3328">
        <v>0.99612119999999904</v>
      </c>
      <c r="Y3328">
        <v>-4.5272359999999998E-2</v>
      </c>
      <c r="Z3328">
        <v>1.324921E-3</v>
      </c>
      <c r="AA3328">
        <v>0.99897380000000002</v>
      </c>
      <c r="AB3328">
        <v>40</v>
      </c>
      <c r="AC3328">
        <v>22.264399999999899</v>
      </c>
      <c r="AD3328">
        <v>-1.104528976066</v>
      </c>
      <c r="AE3328">
        <v>0.92620000000002201</v>
      </c>
      <c r="AF3328">
        <v>-1.02562223325646</v>
      </c>
      <c r="AG3328">
        <v>-1.104528976066</v>
      </c>
      <c r="AH3328">
        <v>22.205369777622099</v>
      </c>
      <c r="AI3328">
        <v>92.844604852176602</v>
      </c>
      <c r="AJ3328">
        <v>92.644499583436698</v>
      </c>
      <c r="AK3328">
        <v>22.2564671991144</v>
      </c>
    </row>
    <row r="3329" spans="1:37" x14ac:dyDescent="0.2">
      <c r="A3329" t="str">
        <f>"20200111153716207"</f>
        <v>20200111153716207</v>
      </c>
      <c r="B3329" t="str">
        <f>"1578728236196831"</f>
        <v>1578728236196831</v>
      </c>
      <c r="C3329" t="s">
        <v>37</v>
      </c>
      <c r="D3329">
        <v>6.1225259999999997</v>
      </c>
      <c r="E3329">
        <v>0.49472690000000002</v>
      </c>
      <c r="F3329" t="s">
        <v>45</v>
      </c>
      <c r="G3329">
        <v>-240.5155</v>
      </c>
      <c r="H3329" s="1">
        <v>-1.302835E-6</v>
      </c>
      <c r="I3329">
        <v>215.53919999999999</v>
      </c>
      <c r="J3329">
        <v>-263.00009999999997</v>
      </c>
      <c r="K3329">
        <v>1.1045659999999999</v>
      </c>
      <c r="L3329">
        <v>214.59649999999999</v>
      </c>
      <c r="M3329">
        <v>0.99993379999999998</v>
      </c>
      <c r="N3329">
        <v>0</v>
      </c>
      <c r="O3329">
        <v>-4.2731309999999899E-3</v>
      </c>
      <c r="P3329">
        <v>0.99709289999999995</v>
      </c>
      <c r="Q3329">
        <v>7.0255830000000005E-2</v>
      </c>
      <c r="R3329">
        <v>2.9500229999999999E-2</v>
      </c>
      <c r="S3329">
        <v>3.0155029999999998</v>
      </c>
      <c r="T3329">
        <v>-0.14559049999999901</v>
      </c>
      <c r="U3329">
        <v>0.1240692</v>
      </c>
      <c r="V3329">
        <v>-3.3826269999999999E-2</v>
      </c>
      <c r="W3329">
        <v>8.0875020000000006E-2</v>
      </c>
      <c r="X3329">
        <v>0.99615010000000004</v>
      </c>
      <c r="Y3329">
        <v>-4.5320720000000002E-2</v>
      </c>
      <c r="Z3329">
        <v>1.299077E-3</v>
      </c>
      <c r="AA3329">
        <v>0.99897159999999996</v>
      </c>
      <c r="AB3329">
        <v>40</v>
      </c>
      <c r="AC3329">
        <v>22.484599999999901</v>
      </c>
      <c r="AD3329">
        <v>-1.104567302835</v>
      </c>
      <c r="AE3329">
        <v>0.94270000000000198</v>
      </c>
      <c r="AF3329">
        <v>-1.03628003522353</v>
      </c>
      <c r="AG3329">
        <v>-1.104567302835</v>
      </c>
      <c r="AH3329">
        <v>22.4263393307839</v>
      </c>
      <c r="AI3329">
        <v>92.816716927176401</v>
      </c>
      <c r="AJ3329">
        <v>92.645651031419703</v>
      </c>
      <c r="AK3329">
        <v>22.47742514207</v>
      </c>
    </row>
    <row r="3330" spans="1:37" x14ac:dyDescent="0.2">
      <c r="A3330" t="str">
        <f>"20200111153716230"</f>
        <v>20200111153716230</v>
      </c>
      <c r="B3330" t="str">
        <f>"1578728236226111"</f>
        <v>1578728236226111</v>
      </c>
      <c r="C3330" t="s">
        <v>37</v>
      </c>
      <c r="D3330">
        <v>6.4010769999999999</v>
      </c>
      <c r="E3330">
        <v>0.5379292</v>
      </c>
      <c r="F3330" t="s">
        <v>45</v>
      </c>
      <c r="G3330">
        <v>-240.11490000000001</v>
      </c>
      <c r="H3330" s="1">
        <v>-1.5158289999999999E-6</v>
      </c>
      <c r="I3330">
        <v>215.53620000000001</v>
      </c>
      <c r="J3330">
        <v>-262.5985</v>
      </c>
      <c r="K3330">
        <v>1.1046240000000001</v>
      </c>
      <c r="L3330">
        <v>214.595</v>
      </c>
      <c r="M3330">
        <v>0.99993319999999997</v>
      </c>
      <c r="N3330">
        <v>0</v>
      </c>
      <c r="O3330">
        <v>-3.9639289999999997E-3</v>
      </c>
      <c r="P3330">
        <v>0.99714130000000001</v>
      </c>
      <c r="Q3330">
        <v>6.9568950000000004E-2</v>
      </c>
      <c r="R3330">
        <v>2.948574E-2</v>
      </c>
      <c r="S3330">
        <v>3.01532</v>
      </c>
      <c r="T3330">
        <v>-0.14553679999999999</v>
      </c>
      <c r="U3330">
        <v>0.12382509999999999</v>
      </c>
      <c r="V3330">
        <v>-3.3504150000000003E-2</v>
      </c>
      <c r="W3330">
        <v>8.0374059999999997E-2</v>
      </c>
      <c r="X3330">
        <v>0.99620149999999996</v>
      </c>
      <c r="Y3330">
        <v>-4.4934410000000001E-2</v>
      </c>
      <c r="Z3330">
        <v>1.274456E-3</v>
      </c>
      <c r="AA3330">
        <v>0.99898909999999996</v>
      </c>
      <c r="AB3330">
        <v>40</v>
      </c>
      <c r="AC3330">
        <v>22.483599999999999</v>
      </c>
      <c r="AD3330">
        <v>-1.1046255158289999</v>
      </c>
      <c r="AE3330">
        <v>0.94120000000000903</v>
      </c>
      <c r="AF3330">
        <v>-1.0278445972986801</v>
      </c>
      <c r="AG3330">
        <v>-1.1046255158289999</v>
      </c>
      <c r="AH3330">
        <v>22.4256562667487</v>
      </c>
      <c r="AI3330">
        <v>92.816999196564694</v>
      </c>
      <c r="AJ3330">
        <v>92.624225173839605</v>
      </c>
      <c r="AK3330">
        <v>22.4763591589203</v>
      </c>
    </row>
    <row r="3331" spans="1:37" x14ac:dyDescent="0.2">
      <c r="A3331" t="str">
        <f>"20200111153716252"</f>
        <v>20200111153716252</v>
      </c>
      <c r="B3331" t="str">
        <f>"1578728236246606"</f>
        <v>1578728236246606</v>
      </c>
      <c r="C3331" t="s">
        <v>37</v>
      </c>
      <c r="D3331">
        <v>6.0583679999999998</v>
      </c>
      <c r="E3331">
        <v>0.54249049999999999</v>
      </c>
      <c r="F3331" t="s">
        <v>38</v>
      </c>
      <c r="G3331">
        <v>-261.69709999999998</v>
      </c>
      <c r="H3331">
        <v>1.047353</v>
      </c>
      <c r="I3331">
        <v>214.52879999999999</v>
      </c>
      <c r="J3331">
        <v>-262.19279999999998</v>
      </c>
      <c r="K3331">
        <v>1.1046929999999999</v>
      </c>
      <c r="L3331">
        <v>214.59370000000001</v>
      </c>
      <c r="M3331">
        <v>0.99993120000000002</v>
      </c>
      <c r="N3331">
        <v>0</v>
      </c>
      <c r="O3331">
        <v>-3.6608600000000002E-3</v>
      </c>
      <c r="P3331">
        <v>0.99725989999999998</v>
      </c>
      <c r="Q3331">
        <v>6.7931530000000004E-2</v>
      </c>
      <c r="R3331">
        <v>2.9289880000000001E-2</v>
      </c>
      <c r="S3331">
        <v>3.0286249999999999</v>
      </c>
      <c r="T3331">
        <v>-0.1925557</v>
      </c>
      <c r="U3331">
        <v>-0.2215424</v>
      </c>
      <c r="V3331">
        <v>-3.3005640000000003E-2</v>
      </c>
      <c r="W3331">
        <v>7.9015600000000005E-2</v>
      </c>
      <c r="X3331">
        <v>0.99632690000000002</v>
      </c>
      <c r="Y3331">
        <v>6.9171179999999999E-2</v>
      </c>
      <c r="Z3331">
        <v>-1.961548E-3</v>
      </c>
      <c r="AA3331">
        <v>0.99760289999999996</v>
      </c>
      <c r="AB3331">
        <v>40</v>
      </c>
      <c r="AC3331">
        <v>0.49569999999999897</v>
      </c>
      <c r="AD3331">
        <v>-5.7339999999999898E-2</v>
      </c>
      <c r="AE3331">
        <v>-6.4900000000022801E-2</v>
      </c>
      <c r="AF3331">
        <v>6.2265649501694303E-2</v>
      </c>
      <c r="AG3331">
        <v>-5.7339999999999898E-2</v>
      </c>
      <c r="AH3331">
        <v>0.48949489899772702</v>
      </c>
      <c r="AI3331">
        <v>96.628315284460399</v>
      </c>
      <c r="AJ3331">
        <v>82.750687303117502</v>
      </c>
      <c r="AK3331">
        <v>0.496759642938779</v>
      </c>
    </row>
    <row r="3332" spans="1:37" x14ac:dyDescent="0.2">
      <c r="A3332" t="str">
        <f>"20200111153716274"</f>
        <v>20200111153716274</v>
      </c>
      <c r="B3332" t="str">
        <f>"1578728236266130"</f>
        <v>1578728236266130</v>
      </c>
      <c r="C3332" t="s">
        <v>37</v>
      </c>
      <c r="D3332">
        <v>6.0678919999999996</v>
      </c>
      <c r="E3332">
        <v>0.54371340000000001</v>
      </c>
      <c r="F3332" t="s">
        <v>38</v>
      </c>
      <c r="G3332">
        <v>-261.33940000000001</v>
      </c>
      <c r="H3332">
        <v>1.0407899999999899</v>
      </c>
      <c r="I3332">
        <v>214.5204</v>
      </c>
      <c r="J3332">
        <v>-261.7851</v>
      </c>
      <c r="K3332">
        <v>1.104757</v>
      </c>
      <c r="L3332">
        <v>214.5925</v>
      </c>
      <c r="M3332">
        <v>0.99992879999999995</v>
      </c>
      <c r="N3332">
        <v>0</v>
      </c>
      <c r="O3332">
        <v>-3.3529580000000001E-3</v>
      </c>
      <c r="P3332">
        <v>0.99736199999999997</v>
      </c>
      <c r="Q3332">
        <v>6.633704E-2</v>
      </c>
      <c r="R3332">
        <v>2.9474920000000002E-2</v>
      </c>
      <c r="S3332">
        <v>3.031342</v>
      </c>
      <c r="T3332">
        <v>-0.2271415</v>
      </c>
      <c r="U3332">
        <v>-0.25964359999999997</v>
      </c>
      <c r="V3332">
        <v>-3.288307E-2</v>
      </c>
      <c r="W3332">
        <v>7.7734949999999997E-2</v>
      </c>
      <c r="X3332">
        <v>0.99643159999999897</v>
      </c>
      <c r="Y3332">
        <v>8.1780870000000006E-2</v>
      </c>
      <c r="Z3332">
        <v>-2.8036659999999998E-3</v>
      </c>
      <c r="AA3332">
        <v>0.99664640000000004</v>
      </c>
      <c r="AB3332">
        <v>40</v>
      </c>
      <c r="AC3332">
        <v>0.44569999999998799</v>
      </c>
      <c r="AD3332">
        <v>-6.3967000000000093E-2</v>
      </c>
      <c r="AE3332">
        <v>-7.2100000000006007E-2</v>
      </c>
      <c r="AF3332">
        <v>6.9215730092237804E-2</v>
      </c>
      <c r="AG3332">
        <v>-6.3967000000000093E-2</v>
      </c>
      <c r="AH3332">
        <v>0.43716415191953101</v>
      </c>
      <c r="AI3332">
        <v>98.223583090579396</v>
      </c>
      <c r="AJ3332">
        <v>81.003102997428002</v>
      </c>
      <c r="AK3332">
        <v>0.44720810603646799</v>
      </c>
    </row>
    <row r="3333" spans="1:37" x14ac:dyDescent="0.2">
      <c r="A3333" t="str">
        <f>"20200111153716296"</f>
        <v>20200111153716296</v>
      </c>
      <c r="B3333" t="str">
        <f>"1578728236286623"</f>
        <v>1578728236286623</v>
      </c>
      <c r="C3333" t="s">
        <v>37</v>
      </c>
      <c r="D3333">
        <v>6.0884900000000002</v>
      </c>
      <c r="E3333">
        <v>0.54414030000000002</v>
      </c>
      <c r="F3333" t="s">
        <v>38</v>
      </c>
      <c r="G3333">
        <v>-260.97829999999999</v>
      </c>
      <c r="H3333">
        <v>1.0407519999999999</v>
      </c>
      <c r="I3333">
        <v>214.52070000000001</v>
      </c>
      <c r="J3333">
        <v>-261.39339999999999</v>
      </c>
      <c r="K3333">
        <v>1.1048169999999999</v>
      </c>
      <c r="L3333">
        <v>214.5915</v>
      </c>
      <c r="M3333">
        <v>0.99992639999999999</v>
      </c>
      <c r="N3333">
        <v>0</v>
      </c>
      <c r="O3333">
        <v>-3.0502609999999999E-3</v>
      </c>
      <c r="P3333">
        <v>0.99744949999999999</v>
      </c>
      <c r="Q3333">
        <v>6.4875520000000006E-2</v>
      </c>
      <c r="R3333">
        <v>2.9765779999999999E-2</v>
      </c>
      <c r="S3333">
        <v>3.0319210000000001</v>
      </c>
      <c r="T3333">
        <v>-0.2406913</v>
      </c>
      <c r="U3333">
        <v>-0.26940920000000002</v>
      </c>
      <c r="V3333">
        <v>-3.2869889999999999E-2</v>
      </c>
      <c r="W3333">
        <v>7.6564469999999996E-2</v>
      </c>
      <c r="X3333">
        <v>0.99652269999999898</v>
      </c>
      <c r="Y3333">
        <v>8.5213490000000003E-2</v>
      </c>
      <c r="Z3333">
        <v>-3.1291449999999998E-3</v>
      </c>
      <c r="AA3333">
        <v>0.99635779999999996</v>
      </c>
      <c r="AB3333">
        <v>40</v>
      </c>
      <c r="AC3333">
        <v>0.41509999999999497</v>
      </c>
      <c r="AD3333">
        <v>-6.4064999999999803E-2</v>
      </c>
      <c r="AE3333">
        <v>-7.07999999999913E-2</v>
      </c>
      <c r="AF3333">
        <v>6.7960385683733304E-2</v>
      </c>
      <c r="AG3333">
        <v>-6.4064999999999803E-2</v>
      </c>
      <c r="AH3333">
        <v>0.405918513712203</v>
      </c>
      <c r="AI3333">
        <v>98.847695456547598</v>
      </c>
      <c r="AJ3333">
        <v>80.495479603229697</v>
      </c>
      <c r="AK3333">
        <v>0.41652464275431</v>
      </c>
    </row>
    <row r="3334" spans="1:37" x14ac:dyDescent="0.2">
      <c r="A3334" t="str">
        <f>"20200111153716318"</f>
        <v>20200111153716318</v>
      </c>
      <c r="B3334" t="str">
        <f>"1578728236306143"</f>
        <v>1578728236306143</v>
      </c>
      <c r="C3334" t="s">
        <v>37</v>
      </c>
      <c r="D3334">
        <v>6.164625</v>
      </c>
      <c r="E3334">
        <v>0.54425690000000004</v>
      </c>
      <c r="F3334" t="s">
        <v>38</v>
      </c>
      <c r="G3334">
        <v>-260.61720000000003</v>
      </c>
      <c r="H3334">
        <v>1.0412079999999999</v>
      </c>
      <c r="I3334">
        <v>214.52170000000001</v>
      </c>
      <c r="J3334">
        <v>-260.99220000000003</v>
      </c>
      <c r="K3334">
        <v>1.1048789999999999</v>
      </c>
      <c r="L3334">
        <v>214.59049999999999</v>
      </c>
      <c r="M3334">
        <v>0.99992399999999904</v>
      </c>
      <c r="N3334">
        <v>0</v>
      </c>
      <c r="O3334">
        <v>-2.7384689999999999E-3</v>
      </c>
      <c r="P3334">
        <v>0.99744549999999998</v>
      </c>
      <c r="Q3334">
        <v>6.4611109999999999E-2</v>
      </c>
      <c r="R3334">
        <v>3.0467660000000001E-2</v>
      </c>
      <c r="S3334">
        <v>3.0319210000000001</v>
      </c>
      <c r="T3334">
        <v>-0.24851809999999999</v>
      </c>
      <c r="U3334">
        <v>-0.27241520000000002</v>
      </c>
      <c r="V3334">
        <v>-3.3259990000000003E-2</v>
      </c>
      <c r="W3334">
        <v>7.6577320000000004E-2</v>
      </c>
      <c r="X3334">
        <v>0.99650879999999997</v>
      </c>
      <c r="Y3334">
        <v>8.6481939999999993E-2</v>
      </c>
      <c r="Z3334">
        <v>-3.3076809999999998E-3</v>
      </c>
      <c r="AA3334">
        <v>0.99624789999999996</v>
      </c>
      <c r="AB3334">
        <v>40</v>
      </c>
      <c r="AC3334">
        <v>0.375</v>
      </c>
      <c r="AD3334">
        <v>-6.36710000000002E-2</v>
      </c>
      <c r="AE3334">
        <v>-6.8799999999981695E-2</v>
      </c>
      <c r="AF3334">
        <v>6.5933869274236695E-2</v>
      </c>
      <c r="AG3334">
        <v>-6.36710000000002E-2</v>
      </c>
      <c r="AH3334">
        <v>0.36500709332736397</v>
      </c>
      <c r="AI3334">
        <v>99.740435836203105</v>
      </c>
      <c r="AJ3334">
        <v>79.760665591625497</v>
      </c>
      <c r="AK3334">
        <v>0.37633954022632699</v>
      </c>
    </row>
    <row r="3335" spans="1:37" x14ac:dyDescent="0.2">
      <c r="A3335" t="str">
        <f>"20200111153716342"</f>
        <v>20200111153716342</v>
      </c>
      <c r="B3335" t="str">
        <f>"1578728236336399"</f>
        <v>1578728236336399</v>
      </c>
      <c r="C3335" t="s">
        <v>37</v>
      </c>
      <c r="D3335">
        <v>6.115424</v>
      </c>
      <c r="E3335">
        <v>0.54471800000000004</v>
      </c>
      <c r="F3335" t="s">
        <v>38</v>
      </c>
      <c r="G3335">
        <v>-260.25540000000001</v>
      </c>
      <c r="H3335">
        <v>1.043919</v>
      </c>
      <c r="I3335">
        <v>214.52420000000001</v>
      </c>
      <c r="J3335">
        <v>-260.58460000000002</v>
      </c>
      <c r="K3335">
        <v>1.1049439999999999</v>
      </c>
      <c r="L3335">
        <v>214.58969999999999</v>
      </c>
      <c r="M3335">
        <v>0.99992159999999997</v>
      </c>
      <c r="N3335">
        <v>0</v>
      </c>
      <c r="O3335">
        <v>-2.4240830000000001E-3</v>
      </c>
      <c r="P3335">
        <v>0.99729029999999996</v>
      </c>
      <c r="Q3335">
        <v>6.6524070000000005E-2</v>
      </c>
      <c r="R3335">
        <v>3.1409149999999997E-2</v>
      </c>
      <c r="S3335">
        <v>3.0322269999999998</v>
      </c>
      <c r="T3335">
        <v>-0.2511195</v>
      </c>
      <c r="U3335">
        <v>-0.27139279999999999</v>
      </c>
      <c r="V3335">
        <v>-3.3889059999999999E-2</v>
      </c>
      <c r="W3335">
        <v>7.8748460000000006E-2</v>
      </c>
      <c r="X3335">
        <v>0.99631829999999999</v>
      </c>
      <c r="Y3335">
        <v>8.6446229999999999E-2</v>
      </c>
      <c r="Z3335">
        <v>-3.36637E-3</v>
      </c>
      <c r="AA3335">
        <v>0.99625079999999999</v>
      </c>
      <c r="AB3335">
        <v>40</v>
      </c>
      <c r="AC3335">
        <v>0.32920000000001398</v>
      </c>
      <c r="AD3335">
        <v>-6.10250000000001E-2</v>
      </c>
      <c r="AE3335">
        <v>-6.5499999999985903E-2</v>
      </c>
      <c r="AF3335">
        <v>6.2631467798243801E-2</v>
      </c>
      <c r="AG3335">
        <v>-6.10250000000001E-2</v>
      </c>
      <c r="AH3335">
        <v>0.31881930977217698</v>
      </c>
      <c r="AI3335">
        <v>100.637339239726</v>
      </c>
      <c r="AJ3335">
        <v>78.885878644779297</v>
      </c>
      <c r="AK3335">
        <v>0.33059416762424798</v>
      </c>
    </row>
    <row r="3336" spans="1:37" x14ac:dyDescent="0.2">
      <c r="A3336" t="str">
        <f>"20200111153716364"</f>
        <v>20200111153716364</v>
      </c>
      <c r="B3336" t="str">
        <f>"1578728236355923"</f>
        <v>1578728236355923</v>
      </c>
      <c r="C3336" t="s">
        <v>37</v>
      </c>
      <c r="D3336">
        <v>6.1053879999999996</v>
      </c>
      <c r="E3336">
        <v>0.54488549999999902</v>
      </c>
      <c r="F3336" t="s">
        <v>38</v>
      </c>
      <c r="G3336">
        <v>-259.54629999999997</v>
      </c>
      <c r="H3336">
        <v>1.021034</v>
      </c>
      <c r="I3336">
        <v>214.49629999999999</v>
      </c>
      <c r="J3336">
        <v>-260.16699999999997</v>
      </c>
      <c r="K3336">
        <v>1.105002</v>
      </c>
      <c r="L3336">
        <v>214.589</v>
      </c>
      <c r="M3336">
        <v>0.99991929999999996</v>
      </c>
      <c r="N3336">
        <v>0</v>
      </c>
      <c r="O3336">
        <v>-2.1068699999999998E-3</v>
      </c>
      <c r="P3336">
        <v>0.99712969999999901</v>
      </c>
      <c r="Q3336">
        <v>6.8688079999999999E-2</v>
      </c>
      <c r="R3336">
        <v>3.184911E-2</v>
      </c>
      <c r="S3336">
        <v>3.033112</v>
      </c>
      <c r="T3336">
        <v>-0.24528649999999999</v>
      </c>
      <c r="U3336">
        <v>-0.27236939999999998</v>
      </c>
      <c r="V3336">
        <v>-3.401407E-2</v>
      </c>
      <c r="W3336">
        <v>8.1153999999999907E-2</v>
      </c>
      <c r="X3336">
        <v>0.99612099999999903</v>
      </c>
      <c r="Y3336">
        <v>8.7064899999999903E-2</v>
      </c>
      <c r="Z3336">
        <v>-3.337919E-3</v>
      </c>
      <c r="AA3336">
        <v>0.996196999999999</v>
      </c>
      <c r="AB3336">
        <v>40</v>
      </c>
      <c r="AC3336">
        <v>0.62070000000005598</v>
      </c>
      <c r="AD3336">
        <v>-8.3968000000000001E-2</v>
      </c>
      <c r="AE3336">
        <v>-9.2700000000036198E-2</v>
      </c>
      <c r="AF3336">
        <v>8.9784697501709504E-2</v>
      </c>
      <c r="AG3336">
        <v>-8.3968000000000001E-2</v>
      </c>
      <c r="AH3336">
        <v>0.60997462549752401</v>
      </c>
      <c r="AI3336">
        <v>97.755439784766907</v>
      </c>
      <c r="AJ3336">
        <v>81.626524430970605</v>
      </c>
      <c r="AK3336">
        <v>0.62223866858330001</v>
      </c>
    </row>
    <row r="3337" spans="1:37" x14ac:dyDescent="0.2">
      <c r="A3337" t="str">
        <f>"20200111153716386"</f>
        <v>20200111153716386</v>
      </c>
      <c r="B3337" t="str">
        <f>"1578728236376415"</f>
        <v>1578728236376415</v>
      </c>
      <c r="C3337" t="s">
        <v>37</v>
      </c>
      <c r="D3337">
        <v>6.1170859999999996</v>
      </c>
      <c r="E3337">
        <v>0.54503250000000003</v>
      </c>
      <c r="F3337" t="s">
        <v>38</v>
      </c>
      <c r="G3337">
        <v>-259.18369999999999</v>
      </c>
      <c r="H3337">
        <v>1.027012</v>
      </c>
      <c r="I3337">
        <v>214.50069999999999</v>
      </c>
      <c r="J3337">
        <v>-259.77789999999999</v>
      </c>
      <c r="K3337">
        <v>1.1050359999999999</v>
      </c>
      <c r="L3337">
        <v>214.58850000000001</v>
      </c>
      <c r="M3337">
        <v>0.9999171</v>
      </c>
      <c r="N3337">
        <v>0</v>
      </c>
      <c r="O3337">
        <v>-1.813297E-3</v>
      </c>
      <c r="P3337">
        <v>0.99705699999999997</v>
      </c>
      <c r="Q3337">
        <v>6.9935440000000001E-2</v>
      </c>
      <c r="R3337">
        <v>3.1408779999999997E-2</v>
      </c>
      <c r="S3337">
        <v>3.0338750000000001</v>
      </c>
      <c r="T3337">
        <v>-0.2407078</v>
      </c>
      <c r="U3337">
        <v>-0.27226259999999902</v>
      </c>
      <c r="V3337">
        <v>-3.3281930000000001E-2</v>
      </c>
      <c r="W3337">
        <v>8.260634E-2</v>
      </c>
      <c r="X3337">
        <v>0.99602630000000003</v>
      </c>
      <c r="Y3337">
        <v>8.7308849999999993E-2</v>
      </c>
      <c r="Z3337">
        <v>-3.3078449999999998E-3</v>
      </c>
      <c r="AA3337">
        <v>0.99617579999999994</v>
      </c>
      <c r="AB3337">
        <v>40</v>
      </c>
      <c r="AC3337">
        <v>0.59419999999999995</v>
      </c>
      <c r="AD3337">
        <v>-7.8024000000000093E-2</v>
      </c>
      <c r="AE3337">
        <v>-8.7800000000015602E-2</v>
      </c>
      <c r="AF3337">
        <v>8.5283260656405097E-2</v>
      </c>
      <c r="AG3337">
        <v>-7.8024000000000093E-2</v>
      </c>
      <c r="AH3337">
        <v>0.58449562458091098</v>
      </c>
      <c r="AI3337">
        <v>97.524682718269503</v>
      </c>
      <c r="AJ3337">
        <v>81.698601476309307</v>
      </c>
      <c r="AK3337">
        <v>0.59581550355661095</v>
      </c>
    </row>
    <row r="3338" spans="1:37" x14ac:dyDescent="0.2">
      <c r="A3338" t="str">
        <f>"20200111153716408"</f>
        <v>20200111153716408</v>
      </c>
      <c r="B3338" t="str">
        <f>"1578728236395935"</f>
        <v>1578728236395935</v>
      </c>
      <c r="C3338" t="s">
        <v>37</v>
      </c>
      <c r="D3338">
        <v>6.0912519999999999</v>
      </c>
      <c r="E3338">
        <v>0.54513020000000001</v>
      </c>
      <c r="F3338" t="s">
        <v>38</v>
      </c>
      <c r="G3338">
        <v>-258.82279999999997</v>
      </c>
      <c r="H3338">
        <v>1.0301119999999999</v>
      </c>
      <c r="I3338">
        <v>214.5017</v>
      </c>
      <c r="J3338">
        <v>-259.38319999999999</v>
      </c>
      <c r="K3338">
        <v>1.1050679999999999</v>
      </c>
      <c r="L3338">
        <v>214.5881</v>
      </c>
      <c r="M3338">
        <v>0.99991540000000001</v>
      </c>
      <c r="N3338">
        <v>0</v>
      </c>
      <c r="O3338">
        <v>-1.515827E-3</v>
      </c>
      <c r="P3338">
        <v>0.99701589999999995</v>
      </c>
      <c r="Q3338">
        <v>7.0685919999999999E-2</v>
      </c>
      <c r="R3338">
        <v>3.1033499999999999E-2</v>
      </c>
      <c r="S3338">
        <v>3.0342410000000002</v>
      </c>
      <c r="T3338">
        <v>-0.23815159999999999</v>
      </c>
      <c r="U3338">
        <v>-0.27479549999999903</v>
      </c>
      <c r="V3338">
        <v>-3.2610640000000003E-2</v>
      </c>
      <c r="W3338">
        <v>8.3543870000000006E-2</v>
      </c>
      <c r="X3338">
        <v>0.99597039999999903</v>
      </c>
      <c r="Y3338">
        <v>8.8420750000000006E-2</v>
      </c>
      <c r="Z3338">
        <v>-3.3390569999999999E-3</v>
      </c>
      <c r="AA3338">
        <v>0.99607760000000001</v>
      </c>
      <c r="AB3338">
        <v>40</v>
      </c>
      <c r="AC3338">
        <v>0.560400000000015</v>
      </c>
      <c r="AD3338">
        <v>-7.4955999999999801E-2</v>
      </c>
      <c r="AE3338">
        <v>-8.6399999999997507E-2</v>
      </c>
      <c r="AF3338">
        <v>8.4081054368242203E-2</v>
      </c>
      <c r="AG3338">
        <v>-7.4955999999999801E-2</v>
      </c>
      <c r="AH3338">
        <v>0.55090336638120796</v>
      </c>
      <c r="AI3338">
        <v>97.660458274727404</v>
      </c>
      <c r="AJ3338">
        <v>81.322257607596597</v>
      </c>
      <c r="AK3338">
        <v>0.56230111571098895</v>
      </c>
    </row>
    <row r="3339" spans="1:37" x14ac:dyDescent="0.2">
      <c r="A3339" t="str">
        <f>"20200111153716431"</f>
        <v>20200111153716431</v>
      </c>
      <c r="B3339" t="str">
        <f>"1578728236426191"</f>
        <v>1578728236426191</v>
      </c>
      <c r="C3339" t="s">
        <v>37</v>
      </c>
      <c r="D3339">
        <v>6.0999530000000002</v>
      </c>
      <c r="E3339">
        <v>0.54535849999999997</v>
      </c>
      <c r="F3339" t="s">
        <v>38</v>
      </c>
      <c r="G3339">
        <v>-258.46230000000003</v>
      </c>
      <c r="H3339">
        <v>1.032794</v>
      </c>
      <c r="I3339">
        <v>214.50389999999999</v>
      </c>
      <c r="J3339">
        <v>-258.97190000000001</v>
      </c>
      <c r="K3339">
        <v>1.1050770000000001</v>
      </c>
      <c r="L3339">
        <v>214.58770000000001</v>
      </c>
      <c r="M3339">
        <v>0.99991350000000001</v>
      </c>
      <c r="N3339">
        <v>0</v>
      </c>
      <c r="O3339">
        <v>-1.2044739999999901E-3</v>
      </c>
      <c r="P3339">
        <v>0.99709329999999996</v>
      </c>
      <c r="Q3339">
        <v>6.9749119999999998E-2</v>
      </c>
      <c r="R3339">
        <v>3.06612E-2</v>
      </c>
      <c r="S3339">
        <v>3.0344849999999899</v>
      </c>
      <c r="T3339">
        <v>-0.2382475</v>
      </c>
      <c r="U3339">
        <v>-0.27680969999999999</v>
      </c>
      <c r="V3339">
        <v>-3.1927360000000002E-2</v>
      </c>
      <c r="W3339">
        <v>8.2781670000000002E-2</v>
      </c>
      <c r="X3339">
        <v>0.9960561</v>
      </c>
      <c r="Y3339">
        <v>8.9375369999999996E-2</v>
      </c>
      <c r="Z3339">
        <v>-3.4017299999999999E-3</v>
      </c>
      <c r="AA3339">
        <v>0.99599219999999899</v>
      </c>
      <c r="AB3339">
        <v>40</v>
      </c>
      <c r="AC3339">
        <v>0.50959999999997696</v>
      </c>
      <c r="AD3339">
        <v>-7.2283000000000097E-2</v>
      </c>
      <c r="AE3339">
        <v>-8.3800000000024896E-2</v>
      </c>
      <c r="AF3339">
        <v>8.1587814030912198E-2</v>
      </c>
      <c r="AG3339">
        <v>-7.2283000000000097E-2</v>
      </c>
      <c r="AH3339">
        <v>0.49990758469018498</v>
      </c>
      <c r="AI3339">
        <v>98.121540566845795</v>
      </c>
      <c r="AJ3339">
        <v>80.730719546016701</v>
      </c>
      <c r="AK3339">
        <v>0.51165319965589695</v>
      </c>
    </row>
    <row r="3340" spans="1:37" x14ac:dyDescent="0.2">
      <c r="A3340" t="str">
        <f>"20200111153716453"</f>
        <v>20200111153716453</v>
      </c>
      <c r="B3340" t="str">
        <f>"1578728236446686"</f>
        <v>1578728236446686</v>
      </c>
      <c r="C3340" t="s">
        <v>37</v>
      </c>
      <c r="D3340">
        <v>6.0899159999999997</v>
      </c>
      <c r="E3340">
        <v>0.54543980000000003</v>
      </c>
      <c r="F3340" t="s">
        <v>38</v>
      </c>
      <c r="G3340">
        <v>-258.10219999999998</v>
      </c>
      <c r="H3340">
        <v>1.0353239999999999</v>
      </c>
      <c r="I3340">
        <v>214.50729999999999</v>
      </c>
      <c r="J3340">
        <v>-258.56709999999998</v>
      </c>
      <c r="K3340">
        <v>1.105075</v>
      </c>
      <c r="L3340">
        <v>214.58750000000001</v>
      </c>
      <c r="M3340">
        <v>0.99991180000000002</v>
      </c>
      <c r="N3340">
        <v>0</v>
      </c>
      <c r="O3340">
        <v>-8.9681489999999999E-4</v>
      </c>
      <c r="P3340">
        <v>0.99726209999999904</v>
      </c>
      <c r="Q3340">
        <v>6.7628019999999997E-2</v>
      </c>
      <c r="R3340">
        <v>2.9916269999999998E-2</v>
      </c>
      <c r="S3340">
        <v>3.0343930000000001</v>
      </c>
      <c r="T3340">
        <v>-0.24345720000000001</v>
      </c>
      <c r="U3340">
        <v>-0.28019709999999998</v>
      </c>
      <c r="V3340">
        <v>-3.0873669999999999E-2</v>
      </c>
      <c r="W3340">
        <v>8.0813720000000006E-2</v>
      </c>
      <c r="X3340">
        <v>0.99625090000000005</v>
      </c>
      <c r="Y3340">
        <v>9.0769760000000005E-2</v>
      </c>
      <c r="Z3340">
        <v>-3.556133E-3</v>
      </c>
      <c r="AA3340">
        <v>0.99586559999999902</v>
      </c>
      <c r="AB3340">
        <v>40</v>
      </c>
      <c r="AC3340">
        <v>0.46489999999999998</v>
      </c>
      <c r="AD3340">
        <v>-6.9751000000000105E-2</v>
      </c>
      <c r="AE3340">
        <v>-8.0200000000019103E-2</v>
      </c>
      <c r="AF3340">
        <v>7.8076271477517306E-2</v>
      </c>
      <c r="AG3340">
        <v>-6.9751000000000105E-2</v>
      </c>
      <c r="AH3340">
        <v>0.45502499587773199</v>
      </c>
      <c r="AI3340">
        <v>98.591415304175499</v>
      </c>
      <c r="AJ3340">
        <v>80.263616074499296</v>
      </c>
      <c r="AK3340">
        <v>0.46691418166763898</v>
      </c>
    </row>
    <row r="3341" spans="1:37" x14ac:dyDescent="0.2">
      <c r="A3341" t="str">
        <f>"20200111153716475"</f>
        <v>20200111153716475</v>
      </c>
      <c r="B3341" t="str">
        <f>"1578728236466207"</f>
        <v>1578728236466207</v>
      </c>
      <c r="C3341" t="s">
        <v>37</v>
      </c>
      <c r="D3341">
        <v>6.1069469999999999</v>
      </c>
      <c r="E3341">
        <v>0.54552529999999999</v>
      </c>
      <c r="F3341" t="s">
        <v>38</v>
      </c>
      <c r="G3341">
        <v>-257.74290000000002</v>
      </c>
      <c r="H3341">
        <v>1.036807</v>
      </c>
      <c r="I3341">
        <v>214.5104</v>
      </c>
      <c r="J3341">
        <v>-258.17219999999998</v>
      </c>
      <c r="K3341">
        <v>1.105073</v>
      </c>
      <c r="L3341">
        <v>214.58750000000001</v>
      </c>
      <c r="M3341">
        <v>0.99991039999999998</v>
      </c>
      <c r="N3341">
        <v>0</v>
      </c>
      <c r="O3341">
        <v>-5.9594339999999996E-4</v>
      </c>
      <c r="P3341">
        <v>0.99746399999999902</v>
      </c>
      <c r="Q3341">
        <v>6.5074670000000001E-2</v>
      </c>
      <c r="R3341">
        <v>2.8826339999999999E-2</v>
      </c>
      <c r="S3341">
        <v>3.0337830000000001</v>
      </c>
      <c r="T3341">
        <v>-0.2513745</v>
      </c>
      <c r="U3341">
        <v>-0.28344730000000001</v>
      </c>
      <c r="V3341">
        <v>-2.948129E-2</v>
      </c>
      <c r="W3341">
        <v>7.8393359999999995E-2</v>
      </c>
      <c r="X3341">
        <v>0.99648649999999905</v>
      </c>
      <c r="Y3341">
        <v>9.2120800000000003E-2</v>
      </c>
      <c r="Z3341">
        <v>-3.7525369999999998E-3</v>
      </c>
      <c r="AA3341">
        <v>0.99574079999999998</v>
      </c>
      <c r="AB3341">
        <v>40</v>
      </c>
      <c r="AC3341">
        <v>0.429299999999955</v>
      </c>
      <c r="AD3341">
        <v>-6.8265999999999896E-2</v>
      </c>
      <c r="AE3341">
        <v>-7.7100000000001501E-2</v>
      </c>
      <c r="AF3341">
        <v>7.50067375363445E-2</v>
      </c>
      <c r="AG3341">
        <v>-6.8265999999999896E-2</v>
      </c>
      <c r="AH3341">
        <v>0.41907996736505998</v>
      </c>
      <c r="AI3341">
        <v>99.109656746218903</v>
      </c>
      <c r="AJ3341">
        <v>79.852669772703294</v>
      </c>
      <c r="AK3341">
        <v>0.43117777827544101</v>
      </c>
    </row>
    <row r="3342" spans="1:37" x14ac:dyDescent="0.2">
      <c r="A3342" t="str">
        <f>"20200111153716497"</f>
        <v>20200111153716497</v>
      </c>
      <c r="B3342" t="str">
        <f>"1578728236486703"</f>
        <v>1578728236486703</v>
      </c>
      <c r="C3342" t="s">
        <v>37</v>
      </c>
      <c r="D3342">
        <v>6.1222269999999996</v>
      </c>
      <c r="E3342">
        <v>0.5456223</v>
      </c>
      <c r="F3342" t="s">
        <v>38</v>
      </c>
      <c r="G3342">
        <v>-257.3843</v>
      </c>
      <c r="H3342">
        <v>1.037544</v>
      </c>
      <c r="I3342">
        <v>214.51240000000001</v>
      </c>
      <c r="J3342">
        <v>-257.78280000000001</v>
      </c>
      <c r="K3342">
        <v>1.105067</v>
      </c>
      <c r="L3342">
        <v>214.58750000000001</v>
      </c>
      <c r="M3342">
        <v>0.99990900000000005</v>
      </c>
      <c r="N3342">
        <v>0</v>
      </c>
      <c r="O3342">
        <v>-2.9937559999999999E-4</v>
      </c>
      <c r="P3342">
        <v>0.99761039999999901</v>
      </c>
      <c r="Q3342">
        <v>6.3250390000000004E-2</v>
      </c>
      <c r="R3342">
        <v>2.7805130000000001E-2</v>
      </c>
      <c r="S3342">
        <v>3.0329440000000001</v>
      </c>
      <c r="T3342">
        <v>-0.26022190000000001</v>
      </c>
      <c r="U3342">
        <v>-0.28764339999999999</v>
      </c>
      <c r="V3342">
        <v>-2.8162639999999999E-2</v>
      </c>
      <c r="W3342">
        <v>7.6683340000000003E-2</v>
      </c>
      <c r="X3342">
        <v>0.99665769999999998</v>
      </c>
      <c r="Y3342">
        <v>9.3777570000000005E-2</v>
      </c>
      <c r="Z3342">
        <v>-3.9810840000000002E-3</v>
      </c>
      <c r="AA3342">
        <v>0.99558519999999995</v>
      </c>
      <c r="AB3342">
        <v>40</v>
      </c>
      <c r="AC3342">
        <v>0.39850000000001201</v>
      </c>
      <c r="AD3342">
        <v>-6.7523E-2</v>
      </c>
      <c r="AE3342">
        <v>-7.5099999999991895E-2</v>
      </c>
      <c r="AF3342">
        <v>7.2957842410237506E-2</v>
      </c>
      <c r="AG3342">
        <v>-6.7523E-2</v>
      </c>
      <c r="AH3342">
        <v>0.38777105755507202</v>
      </c>
      <c r="AI3342">
        <v>99.710877627016004</v>
      </c>
      <c r="AJ3342">
        <v>79.344554496191407</v>
      </c>
      <c r="AK3342">
        <v>0.40031062361063502</v>
      </c>
    </row>
    <row r="3343" spans="1:37" x14ac:dyDescent="0.2">
      <c r="A3343" t="str">
        <f>"20200111153716521"</f>
        <v>20200111153716521</v>
      </c>
      <c r="B3343" t="str">
        <f>"1578728236515984"</f>
        <v>1578728236515984</v>
      </c>
      <c r="C3343" t="s">
        <v>37</v>
      </c>
      <c r="D3343">
        <v>6.0860580000000004</v>
      </c>
      <c r="E3343">
        <v>0.54581179999999996</v>
      </c>
      <c r="F3343" t="s">
        <v>38</v>
      </c>
      <c r="G3343">
        <v>-257.0258</v>
      </c>
      <c r="H3343">
        <v>1.0385089999999999</v>
      </c>
      <c r="I3343">
        <v>214.5146</v>
      </c>
      <c r="J3343">
        <v>-257.36840000000001</v>
      </c>
      <c r="K3343">
        <v>1.105059</v>
      </c>
      <c r="L3343">
        <v>214.58770000000001</v>
      </c>
      <c r="M3343">
        <v>0.99990769999999995</v>
      </c>
      <c r="N3343">
        <v>0</v>
      </c>
      <c r="O3343" s="1">
        <v>1.5898800000000001E-5</v>
      </c>
      <c r="P3343">
        <v>0.99770930000000002</v>
      </c>
      <c r="Q3343">
        <v>6.1969000000000003E-2</v>
      </c>
      <c r="R3343">
        <v>2.7129839999999999E-2</v>
      </c>
      <c r="S3343">
        <v>3.0321959999999999</v>
      </c>
      <c r="T3343">
        <v>-0.26670969999999999</v>
      </c>
      <c r="U3343">
        <v>-0.29150389999999998</v>
      </c>
      <c r="V3343">
        <v>-2.7172290000000002E-2</v>
      </c>
      <c r="W3343">
        <v>7.5507050000000006E-2</v>
      </c>
      <c r="X3343">
        <v>0.99677499999999997</v>
      </c>
      <c r="Y3343">
        <v>9.5346050000000002E-2</v>
      </c>
      <c r="Z3343">
        <v>-4.1770259999999899E-3</v>
      </c>
      <c r="AA3343">
        <v>0.99543539999999997</v>
      </c>
      <c r="AB3343">
        <v>40</v>
      </c>
      <c r="AC3343">
        <v>0.34260000000000401</v>
      </c>
      <c r="AD3343">
        <v>-6.6550000000000095E-2</v>
      </c>
      <c r="AE3343">
        <v>-7.3100000000010795E-2</v>
      </c>
      <c r="AF3343">
        <v>7.0558975976487998E-2</v>
      </c>
      <c r="AG3343">
        <v>-6.6550000000000095E-2</v>
      </c>
      <c r="AH3343">
        <v>0.33066514203009001</v>
      </c>
      <c r="AI3343">
        <v>101.13517075502099</v>
      </c>
      <c r="AJ3343">
        <v>77.954594353708103</v>
      </c>
      <c r="AK3343">
        <v>0.344596732057387</v>
      </c>
    </row>
    <row r="3344" spans="1:37" x14ac:dyDescent="0.2">
      <c r="A3344" t="str">
        <f>"20200111153716543"</f>
        <v>20200111153716543</v>
      </c>
      <c r="B3344" t="str">
        <f>"1578728236536478"</f>
        <v>1578728236536478</v>
      </c>
      <c r="C3344" t="s">
        <v>37</v>
      </c>
      <c r="D3344">
        <v>6.1103569999999996</v>
      </c>
      <c r="E3344">
        <v>0.54587050000000004</v>
      </c>
      <c r="F3344" t="s">
        <v>38</v>
      </c>
      <c r="G3344">
        <v>-256.32389999999998</v>
      </c>
      <c r="H3344">
        <v>1.0114620000000001</v>
      </c>
      <c r="I3344">
        <v>214.48589999999999</v>
      </c>
      <c r="J3344">
        <v>-256.96589999999998</v>
      </c>
      <c r="K3344">
        <v>1.1050489999999999</v>
      </c>
      <c r="L3344">
        <v>214.58799999999999</v>
      </c>
      <c r="M3344">
        <v>0.99990630000000003</v>
      </c>
      <c r="N3344">
        <v>0</v>
      </c>
      <c r="O3344">
        <v>3.2192430000000001E-4</v>
      </c>
      <c r="P3344">
        <v>0.99776880000000001</v>
      </c>
      <c r="Q3344">
        <v>6.1192650000000001E-2</v>
      </c>
      <c r="R3344">
        <v>2.6699049999999998E-2</v>
      </c>
      <c r="S3344">
        <v>3.0317539999999998</v>
      </c>
      <c r="T3344">
        <v>-0.27171139999999999</v>
      </c>
      <c r="U3344">
        <v>-0.29519649999999997</v>
      </c>
      <c r="V3344">
        <v>-2.643504E-2</v>
      </c>
      <c r="W3344">
        <v>7.4818079999999995E-2</v>
      </c>
      <c r="X3344">
        <v>0.99684669999999898</v>
      </c>
      <c r="Y3344">
        <v>9.6844609999999998E-2</v>
      </c>
      <c r="Z3344">
        <v>-4.3495909999999999E-3</v>
      </c>
      <c r="AA3344">
        <v>0.99529000000000001</v>
      </c>
      <c r="AB3344">
        <v>40</v>
      </c>
      <c r="AC3344">
        <v>0.64199999999999502</v>
      </c>
      <c r="AD3344">
        <v>-9.3586999999999795E-2</v>
      </c>
      <c r="AE3344">
        <v>-0.102100000000007</v>
      </c>
      <c r="AF3344">
        <v>0.100229345726965</v>
      </c>
      <c r="AG3344">
        <v>-9.3586999999999795E-2</v>
      </c>
      <c r="AH3344">
        <v>0.62893191309349505</v>
      </c>
      <c r="AI3344">
        <v>98.359712307480194</v>
      </c>
      <c r="AJ3344">
        <v>80.945235782696699</v>
      </c>
      <c r="AK3344">
        <v>0.64370785269507103</v>
      </c>
    </row>
    <row r="3345" spans="1:37" x14ac:dyDescent="0.2">
      <c r="A3345" t="str">
        <f>"20200111153716565"</f>
        <v>20200111153716565</v>
      </c>
      <c r="B3345" t="str">
        <f>"1578728236555999"</f>
        <v>1578728236555999</v>
      </c>
      <c r="C3345" t="s">
        <v>37</v>
      </c>
      <c r="D3345">
        <v>6.0832139999999999</v>
      </c>
      <c r="E3345">
        <v>0.54598500000000005</v>
      </c>
      <c r="F3345" t="s">
        <v>38</v>
      </c>
      <c r="G3345">
        <v>-255.96520000000001</v>
      </c>
      <c r="H3345">
        <v>1.01468799999999</v>
      </c>
      <c r="I3345">
        <v>214.4897</v>
      </c>
      <c r="J3345">
        <v>-256.57279999999997</v>
      </c>
      <c r="K3345">
        <v>1.1050469999999999</v>
      </c>
      <c r="L3345">
        <v>214.58840000000001</v>
      </c>
      <c r="M3345">
        <v>0.9999053</v>
      </c>
      <c r="N3345">
        <v>0</v>
      </c>
      <c r="O3345">
        <v>6.2040369999999997E-4</v>
      </c>
      <c r="P3345">
        <v>0.99780809999999998</v>
      </c>
      <c r="Q3345">
        <v>6.0496269999999998E-2</v>
      </c>
      <c r="R3345">
        <v>2.6830010000000001E-2</v>
      </c>
      <c r="S3345">
        <v>3.0314640000000002</v>
      </c>
      <c r="T3345">
        <v>-0.27394200000000002</v>
      </c>
      <c r="U3345">
        <v>-0.29701230000000001</v>
      </c>
      <c r="V3345">
        <v>-2.6268E-2</v>
      </c>
      <c r="W3345">
        <v>7.4194679999999999E-2</v>
      </c>
      <c r="X3345">
        <v>0.99689779999999995</v>
      </c>
      <c r="Y3345">
        <v>9.7730170000000005E-2</v>
      </c>
      <c r="Z3345">
        <v>-4.4521370000000001E-3</v>
      </c>
      <c r="AA3345">
        <v>0.99520299999999995</v>
      </c>
      <c r="AB3345">
        <v>40</v>
      </c>
      <c r="AC3345">
        <v>0.60759999999996195</v>
      </c>
      <c r="AD3345">
        <v>-9.0358999999999995E-2</v>
      </c>
      <c r="AE3345">
        <v>-9.8700000000008004E-2</v>
      </c>
      <c r="AF3345">
        <v>9.6987147946971899E-2</v>
      </c>
      <c r="AG3345">
        <v>-9.0358999999999995E-2</v>
      </c>
      <c r="AH3345">
        <v>0.59472385925592597</v>
      </c>
      <c r="AI3345">
        <v>98.528158128313706</v>
      </c>
      <c r="AJ3345">
        <v>80.737779447809501</v>
      </c>
      <c r="AK3345">
        <v>0.60931742508822995</v>
      </c>
    </row>
    <row r="3346" spans="1:37" x14ac:dyDescent="0.2">
      <c r="A3346" t="str">
        <f>"20200111153716588"</f>
        <v>20200111153716588</v>
      </c>
      <c r="B3346" t="str">
        <f>"1578728236576496"</f>
        <v>1578728236576496</v>
      </c>
      <c r="C3346" t="s">
        <v>37</v>
      </c>
      <c r="D3346">
        <v>6.0700919999999998</v>
      </c>
      <c r="E3346">
        <v>0.54599839999999999</v>
      </c>
      <c r="F3346" t="s">
        <v>38</v>
      </c>
      <c r="G3346">
        <v>-255.6071</v>
      </c>
      <c r="H3346">
        <v>1.017304</v>
      </c>
      <c r="I3346">
        <v>214.49350000000001</v>
      </c>
      <c r="J3346">
        <v>-256.16789999999997</v>
      </c>
      <c r="K3346">
        <v>1.1050500000000001</v>
      </c>
      <c r="L3346">
        <v>214.589</v>
      </c>
      <c r="M3346">
        <v>0.99990419999999902</v>
      </c>
      <c r="N3346">
        <v>0</v>
      </c>
      <c r="O3346">
        <v>9.2834919999999896E-4</v>
      </c>
      <c r="P3346">
        <v>0.99774609999999997</v>
      </c>
      <c r="Q3346">
        <v>6.1097020000000002E-2</v>
      </c>
      <c r="R3346">
        <v>2.7750480000000001E-2</v>
      </c>
      <c r="S3346">
        <v>3.03129599999999</v>
      </c>
      <c r="T3346">
        <v>-0.27542630000000001</v>
      </c>
      <c r="U3346">
        <v>-0.29794309999999902</v>
      </c>
      <c r="V3346">
        <v>-2.68813E-2</v>
      </c>
      <c r="W3346">
        <v>7.485899E-2</v>
      </c>
      <c r="X3346">
        <v>0.99683180000000005</v>
      </c>
      <c r="Y3346">
        <v>9.8336599999999996E-2</v>
      </c>
      <c r="Z3346">
        <v>-4.5316280000000002E-3</v>
      </c>
      <c r="AA3346">
        <v>0.99514290000000005</v>
      </c>
      <c r="AB3346">
        <v>40</v>
      </c>
      <c r="AC3346">
        <v>0.56079999999997199</v>
      </c>
      <c r="AD3346">
        <v>-8.7746000000000102E-2</v>
      </c>
      <c r="AE3346">
        <v>-9.5500000000015406E-2</v>
      </c>
      <c r="AF3346">
        <v>9.3789231734712195E-2</v>
      </c>
      <c r="AG3346">
        <v>-8.7746000000000102E-2</v>
      </c>
      <c r="AH3346">
        <v>0.54768089297761202</v>
      </c>
      <c r="AI3346">
        <v>98.973757556456803</v>
      </c>
      <c r="AJ3346">
        <v>80.282474991274697</v>
      </c>
      <c r="AK3346">
        <v>0.56253901290323205</v>
      </c>
    </row>
    <row r="3347" spans="1:37" x14ac:dyDescent="0.2">
      <c r="A3347" t="str">
        <f>"20200111153716610"</f>
        <v>20200111153716610</v>
      </c>
      <c r="B3347" t="str">
        <f>"1578728236606750"</f>
        <v>1578728236606750</v>
      </c>
      <c r="C3347" t="s">
        <v>37</v>
      </c>
      <c r="D3347">
        <v>6.0854860000000004</v>
      </c>
      <c r="E3347">
        <v>0.54617399999999905</v>
      </c>
      <c r="F3347" t="s">
        <v>38</v>
      </c>
      <c r="G3347">
        <v>-255.24799999999999</v>
      </c>
      <c r="H3347">
        <v>1.0224040000000001</v>
      </c>
      <c r="I3347">
        <v>214.49889999999999</v>
      </c>
      <c r="J3347">
        <v>-255.77529999999999</v>
      </c>
      <c r="K3347">
        <v>1.105057</v>
      </c>
      <c r="L3347">
        <v>214.58959999999999</v>
      </c>
      <c r="M3347">
        <v>0.99990309999999905</v>
      </c>
      <c r="N3347">
        <v>0</v>
      </c>
      <c r="O3347">
        <v>1.227243E-3</v>
      </c>
      <c r="P3347">
        <v>0.9976315</v>
      </c>
      <c r="Q3347">
        <v>6.2066929999999999E-2</v>
      </c>
      <c r="R3347">
        <v>2.9654929999999999E-2</v>
      </c>
      <c r="S3347">
        <v>3.0316619999999999</v>
      </c>
      <c r="T3347">
        <v>-0.272567</v>
      </c>
      <c r="U3347">
        <v>-0.29579159999999999</v>
      </c>
      <c r="V3347">
        <v>-2.8488510000000002E-2</v>
      </c>
      <c r="W3347">
        <v>7.5879829999999995E-2</v>
      </c>
      <c r="X3347">
        <v>0.99670990000000004</v>
      </c>
      <c r="Y3347">
        <v>9.7931679999999993E-2</v>
      </c>
      <c r="Z3347">
        <v>-4.4930259999999998E-3</v>
      </c>
      <c r="AA3347">
        <v>0.99518300000000004</v>
      </c>
      <c r="AB3347">
        <v>40</v>
      </c>
      <c r="AC3347">
        <v>0.52729999999999599</v>
      </c>
      <c r="AD3347">
        <v>-8.2652999999999796E-2</v>
      </c>
      <c r="AE3347">
        <v>-9.0699999999998199E-2</v>
      </c>
      <c r="AF3347">
        <v>8.9218042024375804E-2</v>
      </c>
      <c r="AG3347">
        <v>-8.2652999999999796E-2</v>
      </c>
      <c r="AH3347">
        <v>0.51490081643797403</v>
      </c>
      <c r="AI3347">
        <v>98.987757347440606</v>
      </c>
      <c r="AJ3347">
        <v>80.169831748670802</v>
      </c>
      <c r="AK3347">
        <v>0.52906920927243095</v>
      </c>
    </row>
    <row r="3348" spans="1:37" x14ac:dyDescent="0.2">
      <c r="A3348" t="str">
        <f>"20200111153716632"</f>
        <v>20200111153716632</v>
      </c>
      <c r="B3348" t="str">
        <f>"1578728236626272"</f>
        <v>1578728236626272</v>
      </c>
      <c r="C3348" t="s">
        <v>37</v>
      </c>
      <c r="D3348">
        <v>6.1156779999999999</v>
      </c>
      <c r="E3348">
        <v>0.54635349999999905</v>
      </c>
      <c r="F3348" t="s">
        <v>38</v>
      </c>
      <c r="G3348">
        <v>-254.8896</v>
      </c>
      <c r="H3348">
        <v>1.026667</v>
      </c>
      <c r="I3348">
        <v>214.5043</v>
      </c>
      <c r="J3348">
        <v>-255.38040000000001</v>
      </c>
      <c r="K3348">
        <v>1.105073</v>
      </c>
      <c r="L3348">
        <v>214.59039999999999</v>
      </c>
      <c r="M3348">
        <v>0.99990210000000002</v>
      </c>
      <c r="N3348">
        <v>0</v>
      </c>
      <c r="O3348">
        <v>1.527615E-3</v>
      </c>
      <c r="P3348">
        <v>0.99749209999999999</v>
      </c>
      <c r="Q3348">
        <v>6.3460349999999999E-2</v>
      </c>
      <c r="R3348">
        <v>3.134808E-2</v>
      </c>
      <c r="S3348">
        <v>3.032486</v>
      </c>
      <c r="T3348">
        <v>-0.26852949999999998</v>
      </c>
      <c r="U3348">
        <v>-0.29165649999999999</v>
      </c>
      <c r="V3348">
        <v>-2.988294E-2</v>
      </c>
      <c r="W3348">
        <v>7.7317540000000004E-2</v>
      </c>
      <c r="X3348">
        <v>0.99655859999999996</v>
      </c>
      <c r="Y3348">
        <v>9.6874710000000003E-2</v>
      </c>
      <c r="Z3348">
        <v>-4.4057159999999996E-3</v>
      </c>
      <c r="AA3348">
        <v>0.99528680000000003</v>
      </c>
      <c r="AB3348">
        <v>40</v>
      </c>
      <c r="AC3348">
        <v>0.49080000000000701</v>
      </c>
      <c r="AD3348">
        <v>-7.8405999999999906E-2</v>
      </c>
      <c r="AE3348">
        <v>-8.6099999999987603E-2</v>
      </c>
      <c r="AF3348">
        <v>8.4751401596901602E-2</v>
      </c>
      <c r="AG3348">
        <v>-7.8405999999999906E-2</v>
      </c>
      <c r="AH3348">
        <v>0.47881315562480098</v>
      </c>
      <c r="AI3348">
        <v>99.159777160390803</v>
      </c>
      <c r="AJ3348">
        <v>79.962434991835295</v>
      </c>
      <c r="AK3348">
        <v>0.492536637122579</v>
      </c>
    </row>
    <row r="3349" spans="1:37" x14ac:dyDescent="0.2">
      <c r="A3349" t="str">
        <f>"20200111153716655"</f>
        <v>20200111153716655</v>
      </c>
      <c r="B3349" t="str">
        <f>"1578728236646767"</f>
        <v>1578728236646767</v>
      </c>
      <c r="C3349" t="s">
        <v>37</v>
      </c>
      <c r="D3349">
        <v>6.0615180000000004</v>
      </c>
      <c r="E3349">
        <v>0.54656819999999995</v>
      </c>
      <c r="F3349" t="s">
        <v>38</v>
      </c>
      <c r="G3349">
        <v>-254.53120000000001</v>
      </c>
      <c r="H3349">
        <v>1.031517</v>
      </c>
      <c r="I3349">
        <v>214.5094</v>
      </c>
      <c r="J3349">
        <v>-254.97499999999999</v>
      </c>
      <c r="K3349">
        <v>1.1050799999999901</v>
      </c>
      <c r="L3349">
        <v>214.59129999999999</v>
      </c>
      <c r="M3349">
        <v>0.99990100000000004</v>
      </c>
      <c r="N3349">
        <v>0</v>
      </c>
      <c r="O3349">
        <v>1.8362470000000001E-3</v>
      </c>
      <c r="P3349">
        <v>0.99734149999999999</v>
      </c>
      <c r="Q3349">
        <v>6.4843360000000003E-2</v>
      </c>
      <c r="R3349">
        <v>3.3248920000000001E-2</v>
      </c>
      <c r="S3349">
        <v>3.033325</v>
      </c>
      <c r="T3349">
        <v>-0.26294600000000001</v>
      </c>
      <c r="U3349">
        <v>-0.2881012</v>
      </c>
      <c r="V3349">
        <v>-3.1476999999999998E-2</v>
      </c>
      <c r="W3349">
        <v>7.8738470000000005E-2</v>
      </c>
      <c r="X3349">
        <v>0.99639820000000001</v>
      </c>
      <c r="Y3349">
        <v>9.6017489999999997E-2</v>
      </c>
      <c r="Z3349">
        <v>-4.3031529999999997E-3</v>
      </c>
      <c r="AA3349">
        <v>0.99537030000000004</v>
      </c>
      <c r="AB3349">
        <v>40</v>
      </c>
      <c r="AC3349">
        <v>0.44379999999998099</v>
      </c>
      <c r="AD3349">
        <v>-7.3562999999999795E-2</v>
      </c>
      <c r="AE3349">
        <v>-8.18999999999903E-2</v>
      </c>
      <c r="AF3349">
        <v>8.0573974393183506E-2</v>
      </c>
      <c r="AG3349">
        <v>-7.3562999999999795E-2</v>
      </c>
      <c r="AH3349">
        <v>0.43216596936651003</v>
      </c>
      <c r="AI3349">
        <v>99.499621361233295</v>
      </c>
      <c r="AJ3349">
        <v>79.438904993819904</v>
      </c>
      <c r="AK3349">
        <v>0.445725369927502</v>
      </c>
    </row>
    <row r="3350" spans="1:37" x14ac:dyDescent="0.2">
      <c r="A3350" t="str">
        <f>"20200111153716677"</f>
        <v>20200111153716677</v>
      </c>
      <c r="B3350" t="str">
        <f>"1578728236666287"</f>
        <v>1578728236666287</v>
      </c>
      <c r="C3350" t="s">
        <v>37</v>
      </c>
      <c r="D3350">
        <v>6.0880989999999997</v>
      </c>
      <c r="E3350">
        <v>0.54683459999999995</v>
      </c>
      <c r="F3350" t="s">
        <v>38</v>
      </c>
      <c r="G3350">
        <v>-254.1729</v>
      </c>
      <c r="H3350">
        <v>1.036915</v>
      </c>
      <c r="I3350">
        <v>214.5163</v>
      </c>
      <c r="J3350">
        <v>-254.5883</v>
      </c>
      <c r="K3350">
        <v>1.1050879999999901</v>
      </c>
      <c r="L3350">
        <v>214.59229999999999</v>
      </c>
      <c r="M3350">
        <v>0.99989989999999995</v>
      </c>
      <c r="N3350">
        <v>0</v>
      </c>
      <c r="O3350">
        <v>2.1306839999999999E-3</v>
      </c>
      <c r="P3350">
        <v>0.99725789999999903</v>
      </c>
      <c r="Q3350">
        <v>6.4994769999999993E-2</v>
      </c>
      <c r="R3350">
        <v>3.5393699999999903E-2</v>
      </c>
      <c r="S3350">
        <v>3.0342099999999999</v>
      </c>
      <c r="T3350">
        <v>-0.25792799999999999</v>
      </c>
      <c r="U3350">
        <v>-0.2833405</v>
      </c>
      <c r="V3350">
        <v>-3.3327999999999899E-2</v>
      </c>
      <c r="W3350">
        <v>7.8921000000000005E-2</v>
      </c>
      <c r="X3350">
        <v>0.99632359999999898</v>
      </c>
      <c r="Y3350">
        <v>9.475248E-2</v>
      </c>
      <c r="Z3350">
        <v>-4.1917930000000001E-3</v>
      </c>
      <c r="AA3350">
        <v>0.99549200000000004</v>
      </c>
      <c r="AB3350">
        <v>40</v>
      </c>
      <c r="AC3350">
        <v>0.41540000000000499</v>
      </c>
      <c r="AD3350">
        <v>-6.8172999999999803E-2</v>
      </c>
      <c r="AE3350">
        <v>-7.5999999999993406E-2</v>
      </c>
      <c r="AF3350">
        <v>7.4932185174614294E-2</v>
      </c>
      <c r="AG3350">
        <v>-6.8172999999999803E-2</v>
      </c>
      <c r="AH3350">
        <v>0.40469043212537598</v>
      </c>
      <c r="AI3350">
        <v>99.4051714533705</v>
      </c>
      <c r="AJ3350">
        <v>79.509958567776096</v>
      </c>
      <c r="AK3350">
        <v>0.41717710406716502</v>
      </c>
    </row>
    <row r="3351" spans="1:37" x14ac:dyDescent="0.2">
      <c r="A3351" t="str">
        <f>"20200111153716698"</f>
        <v>20200111153716698</v>
      </c>
      <c r="B3351" t="str">
        <f>"1578728236686783"</f>
        <v>1578728236686783</v>
      </c>
      <c r="C3351" t="s">
        <v>37</v>
      </c>
      <c r="D3351">
        <v>6.2216040000000001</v>
      </c>
      <c r="E3351">
        <v>0.54693409999999998</v>
      </c>
      <c r="F3351" t="s">
        <v>38</v>
      </c>
      <c r="G3351">
        <v>-253.81599999999901</v>
      </c>
      <c r="H3351">
        <v>1.0398289999999999</v>
      </c>
      <c r="I3351">
        <v>214.52099999999999</v>
      </c>
      <c r="J3351">
        <v>-254.2</v>
      </c>
      <c r="K3351">
        <v>1.1050979999999999</v>
      </c>
      <c r="L3351">
        <v>214.5934</v>
      </c>
      <c r="M3351">
        <v>0.99989879999999998</v>
      </c>
      <c r="N3351">
        <v>0</v>
      </c>
      <c r="O3351">
        <v>2.426344E-3</v>
      </c>
      <c r="P3351">
        <v>0.99714669999999905</v>
      </c>
      <c r="Q3351">
        <v>6.5435209999999994E-2</v>
      </c>
      <c r="R3351">
        <v>3.764385E-2</v>
      </c>
      <c r="S3351">
        <v>3.0348660000000001</v>
      </c>
      <c r="T3351">
        <v>-0.2566676</v>
      </c>
      <c r="U3351">
        <v>-0.27906799999999998</v>
      </c>
      <c r="V3351">
        <v>-3.5283969999999998E-2</v>
      </c>
      <c r="W3351">
        <v>7.9387799999999994E-2</v>
      </c>
      <c r="X3351">
        <v>0.99621919999999897</v>
      </c>
      <c r="Y3351">
        <v>9.3643680000000007E-2</v>
      </c>
      <c r="Z3351">
        <v>-4.1489639999999998E-3</v>
      </c>
      <c r="AA3351">
        <v>0.99559709999999901</v>
      </c>
      <c r="AB3351">
        <v>40</v>
      </c>
      <c r="AC3351">
        <v>0.384000000000014</v>
      </c>
      <c r="AD3351">
        <v>-6.5268999999999799E-2</v>
      </c>
      <c r="AE3351">
        <v>-7.2400000000015993E-2</v>
      </c>
      <c r="AF3351">
        <v>7.1341278026161303E-2</v>
      </c>
      <c r="AG3351">
        <v>-6.5268999999999799E-2</v>
      </c>
      <c r="AH3351">
        <v>0.373405715963884</v>
      </c>
      <c r="AI3351">
        <v>99.742038137863901</v>
      </c>
      <c r="AJ3351">
        <v>79.183666421298199</v>
      </c>
      <c r="AK3351">
        <v>0.38572198411019598</v>
      </c>
    </row>
    <row r="3352" spans="1:37" x14ac:dyDescent="0.2">
      <c r="A3352" t="str">
        <f>"20200111153716721"</f>
        <v>20200111153716721</v>
      </c>
      <c r="B3352" t="str">
        <f>"1578728236716063"</f>
        <v>1578728236716063</v>
      </c>
      <c r="C3352" t="s">
        <v>37</v>
      </c>
      <c r="D3352">
        <v>5.9329839999999896</v>
      </c>
      <c r="E3352">
        <v>0.46504830000000003</v>
      </c>
      <c r="F3352" t="s">
        <v>38</v>
      </c>
      <c r="G3352">
        <v>-253.45939999999999</v>
      </c>
      <c r="H3352">
        <v>1.042797</v>
      </c>
      <c r="I3352">
        <v>214.52670000000001</v>
      </c>
      <c r="J3352">
        <v>-253.8021</v>
      </c>
      <c r="K3352">
        <v>1.1051059999999999</v>
      </c>
      <c r="L3352">
        <v>214.59460000000001</v>
      </c>
      <c r="M3352">
        <v>0.999897699999999</v>
      </c>
      <c r="N3352">
        <v>0</v>
      </c>
      <c r="O3352">
        <v>2.7295399999999999E-3</v>
      </c>
      <c r="P3352">
        <v>0.99703929999999996</v>
      </c>
      <c r="Q3352">
        <v>6.6066319999999998E-2</v>
      </c>
      <c r="R3352">
        <v>3.9344940000000002E-2</v>
      </c>
      <c r="S3352">
        <v>3.0356450000000001</v>
      </c>
      <c r="T3352">
        <v>-0.25550650000000003</v>
      </c>
      <c r="U3352">
        <v>-0.27276609999999901</v>
      </c>
      <c r="V3352">
        <v>-3.6683359999999998E-2</v>
      </c>
      <c r="W3352">
        <v>8.0041829999999994E-2</v>
      </c>
      <c r="X3352">
        <v>0.99611629999999995</v>
      </c>
      <c r="Y3352">
        <v>9.1880530000000002E-2</v>
      </c>
      <c r="Z3352">
        <v>-4.0811010000000002E-3</v>
      </c>
      <c r="AA3352">
        <v>0.99576169999999997</v>
      </c>
      <c r="AB3352">
        <v>40</v>
      </c>
      <c r="AC3352">
        <v>0.342700000000007</v>
      </c>
      <c r="AD3352">
        <v>-6.2308999999999899E-2</v>
      </c>
      <c r="AE3352">
        <v>-6.7900000000008703E-2</v>
      </c>
      <c r="AF3352">
        <v>6.6713170428222293E-2</v>
      </c>
      <c r="AG3352">
        <v>-6.2308999999999899E-2</v>
      </c>
      <c r="AH3352">
        <v>0.33195422269770702</v>
      </c>
      <c r="AI3352">
        <v>100.427142587218</v>
      </c>
      <c r="AJ3352">
        <v>78.636583379448297</v>
      </c>
      <c r="AK3352">
        <v>0.344277017177191</v>
      </c>
    </row>
    <row r="3353" spans="1:37" x14ac:dyDescent="0.2">
      <c r="A3353" t="str">
        <f>"20200111153716744"</f>
        <v>20200111153716744</v>
      </c>
      <c r="B3353" t="str">
        <f>"1578728236736558"</f>
        <v>1578728236736558</v>
      </c>
      <c r="C3353" t="s">
        <v>37</v>
      </c>
      <c r="D3353">
        <v>5.9158770000000001</v>
      </c>
      <c r="E3353">
        <v>0.45333390000000001</v>
      </c>
      <c r="F3353" t="s">
        <v>45</v>
      </c>
      <c r="G3353">
        <v>-236.66669999999999</v>
      </c>
      <c r="H3353" s="1">
        <v>1.9153959999999998E-6</v>
      </c>
      <c r="I3353">
        <v>216.8014</v>
      </c>
      <c r="J3353">
        <v>-253.38570000000001</v>
      </c>
      <c r="K3353">
        <v>1.1051120000000001</v>
      </c>
      <c r="L3353">
        <v>214.59610000000001</v>
      </c>
      <c r="M3353">
        <v>0.99989649999999997</v>
      </c>
      <c r="N3353">
        <v>0</v>
      </c>
      <c r="O3353">
        <v>3.0467039999999999E-3</v>
      </c>
      <c r="P3353">
        <v>0.99697369999999996</v>
      </c>
      <c r="Q3353">
        <v>6.6342269999999995E-2</v>
      </c>
      <c r="R3353">
        <v>4.0527569999999999E-2</v>
      </c>
      <c r="S3353">
        <v>3.0065</v>
      </c>
      <c r="T3353">
        <v>-0.1938964</v>
      </c>
      <c r="U3353">
        <v>0.38719179999999997</v>
      </c>
      <c r="V3353">
        <v>-3.7549770000000003E-2</v>
      </c>
      <c r="W3353">
        <v>8.0338899999999894E-2</v>
      </c>
      <c r="X3353">
        <v>0.9960601</v>
      </c>
      <c r="Y3353">
        <v>-0.12445929999999999</v>
      </c>
      <c r="Z3353">
        <v>3.7972470000000001E-3</v>
      </c>
      <c r="AA3353">
        <v>0.99221749999999997</v>
      </c>
      <c r="AB3353">
        <v>40</v>
      </c>
      <c r="AC3353">
        <v>16.719000000000001</v>
      </c>
      <c r="AD3353">
        <v>-1.1051100846040001</v>
      </c>
      <c r="AE3353">
        <v>2.20529999999999</v>
      </c>
      <c r="AF3353">
        <v>-2.1451348819635898</v>
      </c>
      <c r="AG3353">
        <v>-1.1051100846040001</v>
      </c>
      <c r="AH3353">
        <v>16.654123001593</v>
      </c>
      <c r="AI3353">
        <v>93.765368471932106</v>
      </c>
      <c r="AJ3353">
        <v>97.339573226808696</v>
      </c>
      <c r="AK3353">
        <v>16.8280327107211</v>
      </c>
    </row>
    <row r="3354" spans="1:37" x14ac:dyDescent="0.2">
      <c r="A3354" t="str">
        <f>"20200111153716765"</f>
        <v>20200111153716765</v>
      </c>
      <c r="B3354" t="str">
        <f>"1578728236756080"</f>
        <v>1578728236756080</v>
      </c>
      <c r="C3354" t="s">
        <v>37</v>
      </c>
      <c r="D3354">
        <v>5.7114909999999997</v>
      </c>
      <c r="E3354">
        <v>0.45304899999999998</v>
      </c>
      <c r="F3354" t="s">
        <v>45</v>
      </c>
      <c r="G3354">
        <v>-238.35400000000001</v>
      </c>
      <c r="H3354" s="1">
        <v>2.8038059999999999E-6</v>
      </c>
      <c r="I3354">
        <v>217.0187</v>
      </c>
      <c r="J3354">
        <v>-253.01329999999999</v>
      </c>
      <c r="K3354">
        <v>1.1051219999999999</v>
      </c>
      <c r="L3354">
        <v>214.5975</v>
      </c>
      <c r="M3354">
        <v>0.99989519999999998</v>
      </c>
      <c r="N3354">
        <v>0</v>
      </c>
      <c r="O3354">
        <v>3.3308809999999999E-3</v>
      </c>
      <c r="P3354">
        <v>0.99694649999999996</v>
      </c>
      <c r="Q3354">
        <v>6.629641E-2</v>
      </c>
      <c r="R3354">
        <v>4.1264090000000003E-2</v>
      </c>
      <c r="S3354">
        <v>3.0041199999999999</v>
      </c>
      <c r="T3354">
        <v>-0.22085869999999999</v>
      </c>
      <c r="U3354">
        <v>0.48416140000000002</v>
      </c>
      <c r="V3354">
        <v>-3.8003450000000001E-2</v>
      </c>
      <c r="W3354">
        <v>8.0309439999999996E-2</v>
      </c>
      <c r="X3354">
        <v>0.99604519999999996</v>
      </c>
      <c r="Y3354">
        <v>-0.1554229</v>
      </c>
      <c r="Z3354">
        <v>5.4261099999999996E-3</v>
      </c>
      <c r="AA3354">
        <v>0.98783310000000002</v>
      </c>
      <c r="AB3354">
        <v>40</v>
      </c>
      <c r="AC3354">
        <v>14.659299999999901</v>
      </c>
      <c r="AD3354">
        <v>-1.1051191961939999</v>
      </c>
      <c r="AE3354">
        <v>2.42119999999999</v>
      </c>
      <c r="AF3354">
        <v>-2.3593010499576001</v>
      </c>
      <c r="AG3354">
        <v>-1.1051191961939999</v>
      </c>
      <c r="AH3354">
        <v>14.5865872844391</v>
      </c>
      <c r="AI3354">
        <v>94.277228346973601</v>
      </c>
      <c r="AJ3354">
        <v>99.187710881171597</v>
      </c>
      <c r="AK3354">
        <v>14.817426176252299</v>
      </c>
    </row>
    <row r="3355" spans="1:37" x14ac:dyDescent="0.2">
      <c r="A3355" t="str">
        <f>"20200111153716788"</f>
        <v>20200111153716788</v>
      </c>
      <c r="B3355" t="str">
        <f>"1578728236776575"</f>
        <v>1578728236776575</v>
      </c>
      <c r="C3355" t="s">
        <v>37</v>
      </c>
      <c r="D3355">
        <v>5.6838579999999999</v>
      </c>
      <c r="E3355">
        <v>0.45334259999999899</v>
      </c>
      <c r="F3355" t="s">
        <v>45</v>
      </c>
      <c r="G3355">
        <v>-238.3646</v>
      </c>
      <c r="H3355" s="1">
        <v>2.8110089999999999E-6</v>
      </c>
      <c r="I3355">
        <v>216.98259999999999</v>
      </c>
      <c r="J3355">
        <v>-252.60919999999999</v>
      </c>
      <c r="K3355">
        <v>1.1051280000000001</v>
      </c>
      <c r="L3355">
        <v>214.59909999999999</v>
      </c>
      <c r="M3355">
        <v>0.99989409999999901</v>
      </c>
      <c r="N3355">
        <v>0</v>
      </c>
      <c r="O3355">
        <v>3.639027E-3</v>
      </c>
      <c r="P3355">
        <v>0.99692150000000002</v>
      </c>
      <c r="Q3355">
        <v>6.6829299999999994E-2</v>
      </c>
      <c r="R3355">
        <v>4.1006040000000001E-2</v>
      </c>
      <c r="S3355">
        <v>3.004013</v>
      </c>
      <c r="T3355">
        <v>-0.2266271</v>
      </c>
      <c r="U3355">
        <v>0.48910519999999902</v>
      </c>
      <c r="V3355">
        <v>-3.7437999999999999E-2</v>
      </c>
      <c r="W3355">
        <v>8.0858379999999994E-2</v>
      </c>
      <c r="X3355">
        <v>0.99602219999999997</v>
      </c>
      <c r="Y3355">
        <v>-0.1566844</v>
      </c>
      <c r="Z3355">
        <v>5.5910569999999904E-3</v>
      </c>
      <c r="AA3355">
        <v>0.98763289999999904</v>
      </c>
      <c r="AB3355">
        <v>40</v>
      </c>
      <c r="AC3355">
        <v>14.244599999999901</v>
      </c>
      <c r="AD3355">
        <v>-1.1051251889910001</v>
      </c>
      <c r="AE3355">
        <v>2.38349999999999</v>
      </c>
      <c r="AF3355">
        <v>-2.31807018356493</v>
      </c>
      <c r="AG3355">
        <v>-1.1051251889910001</v>
      </c>
      <c r="AH3355">
        <v>14.170212938908101</v>
      </c>
      <c r="AI3355">
        <v>94.401165614445006</v>
      </c>
      <c r="AJ3355">
        <v>99.290583777926301</v>
      </c>
      <c r="AK3355">
        <v>14.4010307198226</v>
      </c>
    </row>
    <row r="3356" spans="1:37" x14ac:dyDescent="0.2">
      <c r="A3356" t="str">
        <f>"20200111153716810"</f>
        <v>20200111153716810</v>
      </c>
      <c r="B3356" t="str">
        <f>"1578728236806831"</f>
        <v>1578728236806831</v>
      </c>
      <c r="C3356" t="s">
        <v>37</v>
      </c>
      <c r="D3356">
        <v>5.7408239999999999</v>
      </c>
      <c r="E3356">
        <v>0.45448050000000001</v>
      </c>
      <c r="F3356" t="s">
        <v>45</v>
      </c>
      <c r="G3356">
        <v>-238.43180000000001</v>
      </c>
      <c r="H3356" s="1">
        <v>2.8507780000000001E-6</v>
      </c>
      <c r="I3356">
        <v>216.89109999999999</v>
      </c>
      <c r="J3356">
        <v>-252.2244</v>
      </c>
      <c r="K3356">
        <v>1.1051439999999999</v>
      </c>
      <c r="L3356">
        <v>214.60079999999999</v>
      </c>
      <c r="M3356">
        <v>0.99989269999999997</v>
      </c>
      <c r="N3356">
        <v>0</v>
      </c>
      <c r="O3356">
        <v>3.9330670000000002E-3</v>
      </c>
      <c r="P3356">
        <v>0.99687179999999997</v>
      </c>
      <c r="Q3356">
        <v>6.7819939999999995E-2</v>
      </c>
      <c r="R3356">
        <v>4.0586820000000003E-2</v>
      </c>
      <c r="S3356">
        <v>3.0050050000000001</v>
      </c>
      <c r="T3356">
        <v>-0.23423930000000001</v>
      </c>
      <c r="U3356">
        <v>0.48579410000000001</v>
      </c>
      <c r="V3356">
        <v>-3.6726839999999997E-2</v>
      </c>
      <c r="W3356">
        <v>8.1861180000000006E-2</v>
      </c>
      <c r="X3356">
        <v>0.99596679999999904</v>
      </c>
      <c r="Y3356">
        <v>-0.15525810000000001</v>
      </c>
      <c r="Z3356">
        <v>5.699048E-3</v>
      </c>
      <c r="AA3356">
        <v>0.98785750000000005</v>
      </c>
      <c r="AB3356">
        <v>40</v>
      </c>
      <c r="AC3356">
        <v>13.792599999999901</v>
      </c>
      <c r="AD3356">
        <v>-1.105141149222</v>
      </c>
      <c r="AE3356">
        <v>2.2902999999999998</v>
      </c>
      <c r="AF3356">
        <v>-2.2221460346248598</v>
      </c>
      <c r="AG3356">
        <v>-1.105141149222</v>
      </c>
      <c r="AH3356">
        <v>13.715807846512501</v>
      </c>
      <c r="AI3356">
        <v>94.5475705393401</v>
      </c>
      <c r="AJ3356">
        <v>99.202726879282693</v>
      </c>
      <c r="AK3356">
        <v>13.938531301444799</v>
      </c>
    </row>
    <row r="3357" spans="1:37" x14ac:dyDescent="0.2">
      <c r="A3357" t="str">
        <f>"20200111153716834"</f>
        <v>20200111153716834</v>
      </c>
      <c r="B3357" t="str">
        <f>"1578728236826354"</f>
        <v>1578728236826354</v>
      </c>
      <c r="C3357" t="s">
        <v>37</v>
      </c>
      <c r="D3357">
        <v>5.7279410000000004</v>
      </c>
      <c r="E3357">
        <v>0.45480699999999902</v>
      </c>
      <c r="F3357" t="s">
        <v>45</v>
      </c>
      <c r="G3357">
        <v>-237.75</v>
      </c>
      <c r="H3357" s="1">
        <v>2.4879750000000001E-6</v>
      </c>
      <c r="I3357">
        <v>216.89080000000001</v>
      </c>
      <c r="J3357">
        <v>-251.8065</v>
      </c>
      <c r="K3357">
        <v>1.105159</v>
      </c>
      <c r="L3357">
        <v>214.6027</v>
      </c>
      <c r="M3357">
        <v>0.99989119999999998</v>
      </c>
      <c r="N3357">
        <v>0</v>
      </c>
      <c r="O3357">
        <v>4.2520889999999997E-3</v>
      </c>
      <c r="P3357">
        <v>0.99679209999999996</v>
      </c>
      <c r="Q3357">
        <v>6.9284879999999993E-2</v>
      </c>
      <c r="R3357">
        <v>4.0068289999999999E-2</v>
      </c>
      <c r="S3357">
        <v>3.0056609999999999</v>
      </c>
      <c r="T3357">
        <v>-0.22948779999999899</v>
      </c>
      <c r="U3357">
        <v>0.47554020000000002</v>
      </c>
      <c r="V3357">
        <v>-3.5891319999999997E-2</v>
      </c>
      <c r="W3357">
        <v>8.3337649999999999E-2</v>
      </c>
      <c r="X3357">
        <v>0.99587479999999995</v>
      </c>
      <c r="Y3357">
        <v>-0.15165090000000001</v>
      </c>
      <c r="Z3357">
        <v>5.4232289999999999E-3</v>
      </c>
      <c r="AA3357">
        <v>0.98841919999999905</v>
      </c>
      <c r="AB3357">
        <v>40</v>
      </c>
      <c r="AC3357">
        <v>14.0565</v>
      </c>
      <c r="AD3357">
        <v>-1.105156512025</v>
      </c>
      <c r="AE3357">
        <v>2.2881000000000098</v>
      </c>
      <c r="AF3357">
        <v>-2.2149654972064199</v>
      </c>
      <c r="AG3357">
        <v>-1.105156512025</v>
      </c>
      <c r="AH3357">
        <v>13.981905058116601</v>
      </c>
      <c r="AI3357">
        <v>94.463935065152398</v>
      </c>
      <c r="AJ3357">
        <v>99.001796059181004</v>
      </c>
      <c r="AK3357">
        <v>14.1993349183711</v>
      </c>
    </row>
    <row r="3358" spans="1:37" x14ac:dyDescent="0.2">
      <c r="A3358" t="str">
        <f>"20200111153716855"</f>
        <v>20200111153716855</v>
      </c>
      <c r="B3358" t="str">
        <f>"1578728236846850"</f>
        <v>1578728236846850</v>
      </c>
      <c r="C3358" t="s">
        <v>37</v>
      </c>
      <c r="D3358">
        <v>5.9973929999999998</v>
      </c>
      <c r="E3358">
        <v>0.45633269999999998</v>
      </c>
      <c r="F3358" t="s">
        <v>45</v>
      </c>
      <c r="G3358">
        <v>-237.292</v>
      </c>
      <c r="H3358" s="1">
        <v>2.244729E-6</v>
      </c>
      <c r="I3358">
        <v>216.87979999999999</v>
      </c>
      <c r="J3358">
        <v>-251.4273</v>
      </c>
      <c r="K3358">
        <v>1.10517</v>
      </c>
      <c r="L3358">
        <v>214.6046</v>
      </c>
      <c r="M3358">
        <v>0.99988999999999995</v>
      </c>
      <c r="N3358">
        <v>0</v>
      </c>
      <c r="O3358">
        <v>4.5415109999999998E-3</v>
      </c>
      <c r="P3358">
        <v>0.9967028</v>
      </c>
      <c r="Q3358">
        <v>7.0916469999999995E-2</v>
      </c>
      <c r="R3358">
        <v>3.9430989999999999E-2</v>
      </c>
      <c r="S3358">
        <v>3.0065919999999999</v>
      </c>
      <c r="T3358">
        <v>-0.22892759999999901</v>
      </c>
      <c r="U3358">
        <v>0.47167969999999998</v>
      </c>
      <c r="V3358">
        <v>-3.4967100000000001E-2</v>
      </c>
      <c r="W3358">
        <v>8.4976899999999994E-2</v>
      </c>
      <c r="X3358">
        <v>0.99576909999999896</v>
      </c>
      <c r="Y3358">
        <v>-0.15008640000000001</v>
      </c>
      <c r="Z3358">
        <v>5.3279299999999998E-3</v>
      </c>
      <c r="AA3358">
        <v>0.988658499999999</v>
      </c>
      <c r="AB3358">
        <v>40</v>
      </c>
      <c r="AC3358">
        <v>14.135300000000001</v>
      </c>
      <c r="AD3358">
        <v>-1.105167755271</v>
      </c>
      <c r="AE3358">
        <v>2.2751999999999799</v>
      </c>
      <c r="AF3358">
        <v>-2.1978784192679699</v>
      </c>
      <c r="AG3358">
        <v>-1.105167755271</v>
      </c>
      <c r="AH3358">
        <v>14.061701212546099</v>
      </c>
      <c r="AI3358">
        <v>94.440185455859606</v>
      </c>
      <c r="AJ3358">
        <v>98.883592943728701</v>
      </c>
      <c r="AK3358">
        <v>14.275276050013799</v>
      </c>
    </row>
    <row r="3359" spans="1:37" x14ac:dyDescent="0.2">
      <c r="A3359" t="str">
        <f>"20200111153716877"</f>
        <v>20200111153716877</v>
      </c>
      <c r="B3359" t="str">
        <f>"1578728236866367"</f>
        <v>1578728236866367</v>
      </c>
      <c r="C3359" t="s">
        <v>37</v>
      </c>
      <c r="D3359">
        <v>5.7591950000000001</v>
      </c>
      <c r="E3359">
        <v>0.45753299999999902</v>
      </c>
      <c r="F3359" t="s">
        <v>45</v>
      </c>
      <c r="G3359">
        <v>-236.1446</v>
      </c>
      <c r="H3359" s="1">
        <v>1.6318190000000001E-6</v>
      </c>
      <c r="I3359">
        <v>216.93219999999999</v>
      </c>
      <c r="J3359">
        <v>-251.0384</v>
      </c>
      <c r="K3359">
        <v>1.105181</v>
      </c>
      <c r="L3359">
        <v>214.60659999999999</v>
      </c>
      <c r="M3359">
        <v>0.9998882</v>
      </c>
      <c r="N3359">
        <v>0</v>
      </c>
      <c r="O3359">
        <v>4.8386280000000002E-3</v>
      </c>
      <c r="P3359">
        <v>0.99664649999999999</v>
      </c>
      <c r="Q3359">
        <v>7.1880479999999997E-2</v>
      </c>
      <c r="R3359">
        <v>3.9104100000000003E-2</v>
      </c>
      <c r="S3359">
        <v>3.0073089999999998</v>
      </c>
      <c r="T3359">
        <v>-0.21747349999999999</v>
      </c>
      <c r="U3359">
        <v>0.45802309999999902</v>
      </c>
      <c r="V3359">
        <v>-3.4345050000000002E-2</v>
      </c>
      <c r="W3359">
        <v>8.5947990000000002E-2</v>
      </c>
      <c r="X3359">
        <v>0.99570749999999997</v>
      </c>
      <c r="Y3359">
        <v>-0.14542249999999901</v>
      </c>
      <c r="Z3359">
        <v>4.8738150000000001E-3</v>
      </c>
      <c r="AA3359">
        <v>0.98935769999999901</v>
      </c>
      <c r="AB3359">
        <v>40</v>
      </c>
      <c r="AC3359">
        <v>14.893800000000001</v>
      </c>
      <c r="AD3359">
        <v>-1.105179368181</v>
      </c>
      <c r="AE3359">
        <v>2.3256000000000001</v>
      </c>
      <c r="AF3359">
        <v>-2.2414517976384598</v>
      </c>
      <c r="AG3359">
        <v>-1.105179368181</v>
      </c>
      <c r="AH3359">
        <v>14.8251914193616</v>
      </c>
      <c r="AI3359">
        <v>94.215630293687795</v>
      </c>
      <c r="AJ3359">
        <v>98.597553115977306</v>
      </c>
      <c r="AK3359">
        <v>15.0343549318786</v>
      </c>
    </row>
    <row r="3360" spans="1:37" x14ac:dyDescent="0.2">
      <c r="A3360" t="str">
        <f>"20200111153716899"</f>
        <v>20200111153716899</v>
      </c>
      <c r="B3360" t="str">
        <f>"1578728236896623"</f>
        <v>1578728236896623</v>
      </c>
      <c r="C3360" t="s">
        <v>37</v>
      </c>
      <c r="D3360">
        <v>5.9896890000000003</v>
      </c>
      <c r="E3360">
        <v>0.45868619999999999</v>
      </c>
      <c r="F3360" t="s">
        <v>45</v>
      </c>
      <c r="G3360">
        <v>-235.12469999999999</v>
      </c>
      <c r="H3360" s="1">
        <v>1.08715E-6</v>
      </c>
      <c r="I3360">
        <v>216.97649999999999</v>
      </c>
      <c r="J3360">
        <v>-250.64859999999999</v>
      </c>
      <c r="K3360">
        <v>1.1051930000000001</v>
      </c>
      <c r="L3360">
        <v>214.6088</v>
      </c>
      <c r="M3360">
        <v>0.99988670000000002</v>
      </c>
      <c r="N3360">
        <v>0</v>
      </c>
      <c r="O3360">
        <v>5.1362329999999996E-3</v>
      </c>
      <c r="P3360">
        <v>0.99653799999999904</v>
      </c>
      <c r="Q3360">
        <v>7.3470289999999994E-2</v>
      </c>
      <c r="R3360">
        <v>3.8910170000000001E-2</v>
      </c>
      <c r="S3360">
        <v>3.0075989999999999</v>
      </c>
      <c r="T3360">
        <v>-0.20887220000000001</v>
      </c>
      <c r="U3360">
        <v>0.44789119999999999</v>
      </c>
      <c r="V3360">
        <v>-3.3855570000000001E-2</v>
      </c>
      <c r="W3360">
        <v>8.7543159999999995E-2</v>
      </c>
      <c r="X3360">
        <v>0.99558530000000001</v>
      </c>
      <c r="Y3360">
        <v>-0.14189070000000001</v>
      </c>
      <c r="Z3360">
        <v>4.539881E-3</v>
      </c>
      <c r="AA3360">
        <v>0.98987190000000003</v>
      </c>
      <c r="AB3360">
        <v>39</v>
      </c>
      <c r="AC3360">
        <v>15.5238999999999</v>
      </c>
      <c r="AD3360">
        <v>-1.1051919128500001</v>
      </c>
      <c r="AE3360">
        <v>2.3676999999999802</v>
      </c>
      <c r="AF3360">
        <v>-2.2766496873899298</v>
      </c>
      <c r="AG3360">
        <v>-1.1051919128500001</v>
      </c>
      <c r="AH3360">
        <v>15.459284379447</v>
      </c>
      <c r="AI3360">
        <v>94.045658809358798</v>
      </c>
      <c r="AJ3360">
        <v>98.377587233887894</v>
      </c>
      <c r="AK3360">
        <v>15.665058457852499</v>
      </c>
    </row>
    <row r="3361" spans="1:37" x14ac:dyDescent="0.2">
      <c r="A3361" t="str">
        <f>"20200111153716934"</f>
        <v>20200111153716934</v>
      </c>
      <c r="B3361" t="str">
        <f>"1578728236926882"</f>
        <v>1578728236926882</v>
      </c>
      <c r="C3361" t="s">
        <v>37</v>
      </c>
      <c r="D3361">
        <v>6.0401089999999904</v>
      </c>
      <c r="E3361">
        <v>0.45928279999999899</v>
      </c>
      <c r="F3361" t="s">
        <v>45</v>
      </c>
      <c r="G3361">
        <v>-233.7534</v>
      </c>
      <c r="H3361" s="1">
        <v>3.5311690000000001E-7</v>
      </c>
      <c r="I3361">
        <v>217.07429999999999</v>
      </c>
      <c r="J3361">
        <v>-250.03469999999999</v>
      </c>
      <c r="K3361">
        <v>1.1052</v>
      </c>
      <c r="L3361">
        <v>214.61250000000001</v>
      </c>
      <c r="M3361">
        <v>0.99988410000000005</v>
      </c>
      <c r="N3361">
        <v>0</v>
      </c>
      <c r="O3361">
        <v>5.6050639999999999E-3</v>
      </c>
      <c r="P3361">
        <v>0.99651859999999903</v>
      </c>
      <c r="Q3361">
        <v>7.3875880000000005E-2</v>
      </c>
      <c r="R3361">
        <v>3.864273E-2</v>
      </c>
      <c r="S3361">
        <v>3.0077970000000001</v>
      </c>
      <c r="T3361">
        <v>-0.19675309999999999</v>
      </c>
      <c r="U3361">
        <v>0.43891910000000001</v>
      </c>
      <c r="V3361">
        <v>-3.3121369999999997E-2</v>
      </c>
      <c r="W3361">
        <v>8.7955939999999996E-2</v>
      </c>
      <c r="X3361">
        <v>0.99557359999999995</v>
      </c>
      <c r="Y3361">
        <v>-0.13857039999999901</v>
      </c>
      <c r="Z3361">
        <v>4.1392979999999996E-3</v>
      </c>
      <c r="AA3361">
        <v>0.99034390000000005</v>
      </c>
      <c r="AB3361">
        <v>39</v>
      </c>
      <c r="AC3361">
        <v>16.281299999999899</v>
      </c>
      <c r="AD3361">
        <v>-1.1051996468831</v>
      </c>
      <c r="AE3361">
        <v>2.4617999999999798</v>
      </c>
      <c r="AF3361">
        <v>-2.35986347939471</v>
      </c>
      <c r="AG3361">
        <v>-1.1051996468831</v>
      </c>
      <c r="AH3361">
        <v>16.2217665484274</v>
      </c>
      <c r="AI3361">
        <v>93.857100335610895</v>
      </c>
      <c r="AJ3361">
        <v>98.277047387123702</v>
      </c>
      <c r="AK3361">
        <v>16.4297331643739</v>
      </c>
    </row>
    <row r="3362" spans="1:37" x14ac:dyDescent="0.2">
      <c r="A3362" t="str">
        <f>"20200111153716955"</f>
        <v>20200111153716955</v>
      </c>
      <c r="B3362" t="str">
        <f>"1578728236946398"</f>
        <v>1578728236946398</v>
      </c>
      <c r="C3362" t="s">
        <v>37</v>
      </c>
      <c r="D3362">
        <v>6.0344259999999998</v>
      </c>
      <c r="E3362">
        <v>0.45971659999999998</v>
      </c>
      <c r="F3362" t="s">
        <v>45</v>
      </c>
      <c r="G3362">
        <v>-232.82069999999999</v>
      </c>
      <c r="H3362" s="1">
        <v>-1.44022799999999E-7</v>
      </c>
      <c r="I3362">
        <v>217.09350000000001</v>
      </c>
      <c r="J3362">
        <v>-249.66059999999999</v>
      </c>
      <c r="K3362">
        <v>1.1052029999999999</v>
      </c>
      <c r="L3362">
        <v>214.6148</v>
      </c>
      <c r="M3362">
        <v>0.99988239999999995</v>
      </c>
      <c r="N3362">
        <v>0</v>
      </c>
      <c r="O3362">
        <v>5.8909459999999898E-3</v>
      </c>
      <c r="P3362">
        <v>0.99652580000000002</v>
      </c>
      <c r="Q3362">
        <v>7.3783260000000003E-2</v>
      </c>
      <c r="R3362">
        <v>3.8634950000000001E-2</v>
      </c>
      <c r="S3362">
        <v>3.0079500000000001</v>
      </c>
      <c r="T3362">
        <v>-0.19312170000000001</v>
      </c>
      <c r="U3362">
        <v>0.43353269999999999</v>
      </c>
      <c r="V3362">
        <v>-3.2828719999999999E-2</v>
      </c>
      <c r="W3362">
        <v>8.7866630000000001E-2</v>
      </c>
      <c r="X3362">
        <v>0.99559120000000001</v>
      </c>
      <c r="Y3362">
        <v>-0.1365576</v>
      </c>
      <c r="Z3362">
        <v>3.9809149999999998E-3</v>
      </c>
      <c r="AA3362">
        <v>0.99062410000000001</v>
      </c>
      <c r="AB3362">
        <v>39</v>
      </c>
      <c r="AC3362">
        <v>16.8399</v>
      </c>
      <c r="AD3362">
        <v>-1.1052031440228001</v>
      </c>
      <c r="AE3362">
        <v>2.4786999999999999</v>
      </c>
      <c r="AF3362">
        <v>-2.3694545687295299</v>
      </c>
      <c r="AG3362">
        <v>-1.1052031440228001</v>
      </c>
      <c r="AH3362">
        <v>16.783452726888001</v>
      </c>
      <c r="AI3362">
        <v>93.730642557927894</v>
      </c>
      <c r="AJ3362">
        <v>98.035797563002603</v>
      </c>
      <c r="AK3362">
        <v>16.985878675491399</v>
      </c>
    </row>
    <row r="3363" spans="1:37" x14ac:dyDescent="0.2">
      <c r="A3363" t="str">
        <f>"20200111153716977"</f>
        <v>20200111153716977</v>
      </c>
      <c r="B3363" t="str">
        <f>"1578728236965919"</f>
        <v>1578728236965919</v>
      </c>
      <c r="C3363" t="s">
        <v>37</v>
      </c>
      <c r="D3363">
        <v>5.8124399999999996</v>
      </c>
      <c r="E3363">
        <v>0.46019120000000002</v>
      </c>
      <c r="F3363" t="s">
        <v>45</v>
      </c>
      <c r="G3363">
        <v>-232.3801</v>
      </c>
      <c r="H3363" s="1">
        <v>-3.7817699999999999E-7</v>
      </c>
      <c r="I3363">
        <v>217.0855</v>
      </c>
      <c r="J3363">
        <v>-249.2697</v>
      </c>
      <c r="K3363">
        <v>1.1051930000000001</v>
      </c>
      <c r="L3363">
        <v>214.6174</v>
      </c>
      <c r="M3363">
        <v>0.99988069999999896</v>
      </c>
      <c r="N3363">
        <v>0</v>
      </c>
      <c r="O3363">
        <v>6.1894089999999999E-3</v>
      </c>
      <c r="P3363">
        <v>0.99658989999999903</v>
      </c>
      <c r="Q3363">
        <v>7.3170949999999998E-2</v>
      </c>
      <c r="R3363">
        <v>3.8145169999999999E-2</v>
      </c>
      <c r="S3363">
        <v>3.0080259999999899</v>
      </c>
      <c r="T3363">
        <v>-0.19238229999999901</v>
      </c>
      <c r="U3363">
        <v>0.43006899999999998</v>
      </c>
      <c r="V3363">
        <v>-3.2039989999999997E-2</v>
      </c>
      <c r="W3363">
        <v>8.7258150000000007E-2</v>
      </c>
      <c r="X3363">
        <v>0.99567039999999996</v>
      </c>
      <c r="Y3363">
        <v>-0.13514599999999999</v>
      </c>
      <c r="Z3363">
        <v>3.9020890000000001E-3</v>
      </c>
      <c r="AA3363">
        <v>0.99081799999999998</v>
      </c>
      <c r="AB3363">
        <v>39</v>
      </c>
      <c r="AC3363">
        <v>16.889600000000002</v>
      </c>
      <c r="AD3363">
        <v>-1.105193378177</v>
      </c>
      <c r="AE3363">
        <v>2.46809999999999</v>
      </c>
      <c r="AF3363">
        <v>-2.3536382407396301</v>
      </c>
      <c r="AG3363">
        <v>-1.105193378177</v>
      </c>
      <c r="AH3363">
        <v>16.8339794752535</v>
      </c>
      <c r="AI3363">
        <v>93.720140563107606</v>
      </c>
      <c r="AJ3363">
        <v>97.959198817007405</v>
      </c>
      <c r="AK3363">
        <v>17.033611782141101</v>
      </c>
    </row>
    <row r="3364" spans="1:37" x14ac:dyDescent="0.2">
      <c r="A3364" t="str">
        <f>"20200111153717023"</f>
        <v>20200111153717023</v>
      </c>
      <c r="B3364" t="str">
        <f>"1578728237016671"</f>
        <v>1578728237016671</v>
      </c>
      <c r="C3364" t="s">
        <v>37</v>
      </c>
      <c r="D3364">
        <v>6.1031579999999996</v>
      </c>
      <c r="E3364">
        <v>0.47753489999999998</v>
      </c>
      <c r="F3364" t="s">
        <v>45</v>
      </c>
      <c r="G3364">
        <v>-232.21360000000001</v>
      </c>
      <c r="H3364" s="1">
        <v>-4.6413000000000001E-7</v>
      </c>
      <c r="I3364">
        <v>217.02549999999999</v>
      </c>
      <c r="J3364">
        <v>-248.4716</v>
      </c>
      <c r="K3364">
        <v>1.1051679999999999</v>
      </c>
      <c r="L3364">
        <v>214.62309999999999</v>
      </c>
      <c r="M3364">
        <v>0.99987669999999995</v>
      </c>
      <c r="N3364">
        <v>0</v>
      </c>
      <c r="O3364">
        <v>6.7996339999999997E-3</v>
      </c>
      <c r="P3364">
        <v>0.99685639999999998</v>
      </c>
      <c r="Q3364">
        <v>7.0395760000000002E-2</v>
      </c>
      <c r="R3364">
        <v>3.6359879999999997E-2</v>
      </c>
      <c r="S3364">
        <v>3.00831599999999</v>
      </c>
      <c r="T3364">
        <v>-0.1949321</v>
      </c>
      <c r="U3364">
        <v>0.4247437</v>
      </c>
      <c r="V3364">
        <v>-2.9642740000000001E-2</v>
      </c>
      <c r="W3364">
        <v>8.449226E-2</v>
      </c>
      <c r="X3364">
        <v>0.99598310000000001</v>
      </c>
      <c r="Y3364">
        <v>-0.13280749999999999</v>
      </c>
      <c r="Z3364">
        <v>3.8391979999999998E-3</v>
      </c>
      <c r="AA3364">
        <v>0.99113439999999997</v>
      </c>
      <c r="AB3364">
        <v>39</v>
      </c>
      <c r="AC3364">
        <v>16.2579999999999</v>
      </c>
      <c r="AD3364">
        <v>-1.1051684641299999</v>
      </c>
      <c r="AE3364">
        <v>2.4024000000000001</v>
      </c>
      <c r="AF3364">
        <v>-2.2814678585272898</v>
      </c>
      <c r="AG3364">
        <v>-1.1051684641299999</v>
      </c>
      <c r="AH3364">
        <v>16.200699678234301</v>
      </c>
      <c r="AI3364">
        <v>93.864504383251699</v>
      </c>
      <c r="AJ3364">
        <v>98.0159804913512</v>
      </c>
      <c r="AK3364">
        <v>16.3978401927797</v>
      </c>
    </row>
    <row r="3365" spans="1:37" x14ac:dyDescent="0.2">
      <c r="A3365" t="str">
        <f>"20200111153717045"</f>
        <v>20200111153717045</v>
      </c>
      <c r="B3365" t="str">
        <f>"1578728237036191"</f>
        <v>1578728237036191</v>
      </c>
      <c r="C3365" t="s">
        <v>37</v>
      </c>
      <c r="D3365">
        <v>5.8869449999999999</v>
      </c>
      <c r="E3365">
        <v>0.47614099999999998</v>
      </c>
      <c r="F3365" t="s">
        <v>45</v>
      </c>
      <c r="G3365">
        <v>-228.7921</v>
      </c>
      <c r="H3365" s="1">
        <v>3.061214E-6</v>
      </c>
      <c r="I3365">
        <v>216.46350000000001</v>
      </c>
      <c r="J3365">
        <v>-248.08510000000001</v>
      </c>
      <c r="K3365">
        <v>1.105159</v>
      </c>
      <c r="L3365">
        <v>214.62599999999901</v>
      </c>
      <c r="M3365">
        <v>0.9998745</v>
      </c>
      <c r="N3365">
        <v>0</v>
      </c>
      <c r="O3365">
        <v>7.0954829999999997E-3</v>
      </c>
      <c r="P3365">
        <v>0.99700339999999998</v>
      </c>
      <c r="Q3365">
        <v>6.8650219999999998E-2</v>
      </c>
      <c r="R3365">
        <v>3.5660539999999998E-2</v>
      </c>
      <c r="S3365">
        <v>3.0111080000000001</v>
      </c>
      <c r="T3365">
        <v>-0.16909859999999999</v>
      </c>
      <c r="U3365">
        <v>0.28160099999999999</v>
      </c>
      <c r="V3365">
        <v>-2.8645799999999898E-2</v>
      </c>
      <c r="W3365">
        <v>8.2750779999999996E-2</v>
      </c>
      <c r="X3365">
        <v>0.99615849999999995</v>
      </c>
      <c r="Y3365">
        <v>-8.5923600000000003E-2</v>
      </c>
      <c r="Z3365">
        <v>2.0082289999999998E-3</v>
      </c>
      <c r="AA3365">
        <v>0.99629969999999901</v>
      </c>
      <c r="AB3365">
        <v>39</v>
      </c>
      <c r="AC3365">
        <v>19.292999999999999</v>
      </c>
      <c r="AD3365">
        <v>-1.1051559387859999</v>
      </c>
      <c r="AE3365">
        <v>1.8375000000000301</v>
      </c>
      <c r="AF3365">
        <v>-1.6950349058243499</v>
      </c>
      <c r="AG3365">
        <v>-1.1051559387859999</v>
      </c>
      <c r="AH3365">
        <v>19.242978879948399</v>
      </c>
      <c r="AI3365">
        <v>93.274329472577193</v>
      </c>
      <c r="AJ3365">
        <v>95.033956818718195</v>
      </c>
      <c r="AK3365">
        <v>19.349076183506501</v>
      </c>
    </row>
    <row r="3366" spans="1:37" x14ac:dyDescent="0.2">
      <c r="A3366" t="str">
        <f>"20200111153717067"</f>
        <v>20200111153717067</v>
      </c>
      <c r="B3366" t="str">
        <f>"1578728237056687"</f>
        <v>1578728237056687</v>
      </c>
      <c r="C3366" t="s">
        <v>37</v>
      </c>
      <c r="D3366">
        <v>5.9439650000000004</v>
      </c>
      <c r="E3366">
        <v>0.475338599999999</v>
      </c>
      <c r="F3366" t="s">
        <v>45</v>
      </c>
      <c r="G3366">
        <v>-229.06549999999999</v>
      </c>
      <c r="H3366" s="1">
        <v>3.20679899999999E-6</v>
      </c>
      <c r="I3366">
        <v>216.46029999999999</v>
      </c>
      <c r="J3366">
        <v>-247.70490000000001</v>
      </c>
      <c r="K3366">
        <v>1.105156</v>
      </c>
      <c r="L3366">
        <v>214.62899999999999</v>
      </c>
      <c r="M3366">
        <v>0.99987239999999999</v>
      </c>
      <c r="N3366">
        <v>0</v>
      </c>
      <c r="O3366">
        <v>7.3862090000000004E-3</v>
      </c>
      <c r="P3366">
        <v>0.99707769999999996</v>
      </c>
      <c r="Q3366">
        <v>6.7611329999999997E-2</v>
      </c>
      <c r="R3366">
        <v>3.5570860000000003E-2</v>
      </c>
      <c r="S3366">
        <v>3.0106660000000001</v>
      </c>
      <c r="T3366">
        <v>-0.17493810000000001</v>
      </c>
      <c r="U3366">
        <v>0.29035949999999999</v>
      </c>
      <c r="V3366">
        <v>-2.826536E-2</v>
      </c>
      <c r="W3366">
        <v>8.1713850000000005E-2</v>
      </c>
      <c r="X3366">
        <v>0.99625490000000005</v>
      </c>
      <c r="Y3366">
        <v>-8.8507199999999994E-2</v>
      </c>
      <c r="Z3366">
        <v>2.1354719999999998E-3</v>
      </c>
      <c r="AA3366">
        <v>0.99607319999999999</v>
      </c>
      <c r="AB3366">
        <v>39</v>
      </c>
      <c r="AC3366">
        <v>18.639399999999998</v>
      </c>
      <c r="AD3366">
        <v>-1.1051527932009999</v>
      </c>
      <c r="AE3366">
        <v>1.83129999999997</v>
      </c>
      <c r="AF3366">
        <v>-1.68768546865414</v>
      </c>
      <c r="AG3366">
        <v>-1.1051527932009999</v>
      </c>
      <c r="AH3366">
        <v>18.587699782693601</v>
      </c>
      <c r="AI3366">
        <v>93.388673423888406</v>
      </c>
      <c r="AJ3366">
        <v>95.187992169602794</v>
      </c>
      <c r="AK3366">
        <v>18.696850754845698</v>
      </c>
    </row>
    <row r="3367" spans="1:37" x14ac:dyDescent="0.2">
      <c r="A3367" t="str">
        <f>"20200111153717089"</f>
        <v>20200111153717089</v>
      </c>
      <c r="B3367" t="str">
        <f>"1578728237085967"</f>
        <v>1578728237085967</v>
      </c>
      <c r="C3367" t="s">
        <v>37</v>
      </c>
      <c r="D3367">
        <v>5.863772</v>
      </c>
      <c r="E3367">
        <v>0.47504970000000002</v>
      </c>
      <c r="F3367" t="s">
        <v>45</v>
      </c>
      <c r="G3367">
        <v>-229.14590000000001</v>
      </c>
      <c r="H3367" s="1">
        <v>3.2498729999999999E-6</v>
      </c>
      <c r="I3367">
        <v>216.45400000000001</v>
      </c>
      <c r="J3367">
        <v>-247.31639999999999</v>
      </c>
      <c r="K3367">
        <v>1.105162</v>
      </c>
      <c r="L3367">
        <v>214.63220000000001</v>
      </c>
      <c r="M3367">
        <v>0.99987019999999904</v>
      </c>
      <c r="N3367">
        <v>0</v>
      </c>
      <c r="O3367">
        <v>7.6834299999999998E-3</v>
      </c>
      <c r="P3367">
        <v>0.99704570000000003</v>
      </c>
      <c r="Q3367">
        <v>6.7841170000000006E-2</v>
      </c>
      <c r="R3367">
        <v>3.6024359999999998E-2</v>
      </c>
      <c r="S3367">
        <v>3.0103759999999999</v>
      </c>
      <c r="T3367">
        <v>-0.17926210000000001</v>
      </c>
      <c r="U3367">
        <v>0.29603579999999902</v>
      </c>
      <c r="V3367">
        <v>-2.8422070000000001E-2</v>
      </c>
      <c r="W3367">
        <v>8.1943390000000005E-2</v>
      </c>
      <c r="X3367">
        <v>0.996231599999999</v>
      </c>
      <c r="Y3367">
        <v>-9.0071680000000001E-2</v>
      </c>
      <c r="Z3367">
        <v>2.2169640000000001E-3</v>
      </c>
      <c r="AA3367">
        <v>0.99593279999999995</v>
      </c>
      <c r="AB3367">
        <v>39</v>
      </c>
      <c r="AC3367">
        <v>18.170499999999901</v>
      </c>
      <c r="AD3367">
        <v>-1.1051587501269999</v>
      </c>
      <c r="AE3367">
        <v>1.8217999999999901</v>
      </c>
      <c r="AF3367">
        <v>-1.6759822459742899</v>
      </c>
      <c r="AG3367">
        <v>-1.1051587501269999</v>
      </c>
      <c r="AH3367">
        <v>18.117607781541199</v>
      </c>
      <c r="AI3367">
        <v>93.475865176662694</v>
      </c>
      <c r="AJ3367">
        <v>95.285145709780195</v>
      </c>
      <c r="AK3367">
        <v>18.228494289917801</v>
      </c>
    </row>
    <row r="3368" spans="1:37" x14ac:dyDescent="0.2">
      <c r="A3368" t="str">
        <f>"20200111153717112"</f>
        <v>20200111153717112</v>
      </c>
      <c r="B3368" t="str">
        <f>"1578728237106462"</f>
        <v>1578728237106462</v>
      </c>
      <c r="C3368" t="s">
        <v>37</v>
      </c>
      <c r="D3368">
        <v>5.8517779999999897</v>
      </c>
      <c r="E3368">
        <v>0.47484609999999899</v>
      </c>
      <c r="F3368" t="s">
        <v>45</v>
      </c>
      <c r="G3368">
        <v>-228.89359999999999</v>
      </c>
      <c r="H3368" s="1">
        <v>3.1152659999999898E-6</v>
      </c>
      <c r="I3368">
        <v>216.46190000000001</v>
      </c>
      <c r="J3368">
        <v>-246.91370000000001</v>
      </c>
      <c r="K3368">
        <v>1.1051690000000001</v>
      </c>
      <c r="L3368">
        <v>214.63550000000001</v>
      </c>
      <c r="M3368">
        <v>0.99986779999999997</v>
      </c>
      <c r="N3368">
        <v>0</v>
      </c>
      <c r="O3368">
        <v>7.9901809999999903E-3</v>
      </c>
      <c r="P3368">
        <v>0.99692729999999996</v>
      </c>
      <c r="Q3368">
        <v>6.9123480000000001E-2</v>
      </c>
      <c r="R3368">
        <v>3.6852740000000002E-2</v>
      </c>
      <c r="S3368">
        <v>3.0103610000000001</v>
      </c>
      <c r="T3368">
        <v>-0.18058759999999999</v>
      </c>
      <c r="U3368">
        <v>0.29899599999999998</v>
      </c>
      <c r="V3368">
        <v>-2.89457999999999E-2</v>
      </c>
      <c r="W3368">
        <v>8.3223130000000006E-2</v>
      </c>
      <c r="X3368">
        <v>0.99611039999999995</v>
      </c>
      <c r="Y3368">
        <v>-9.0733720000000004E-2</v>
      </c>
      <c r="Z3368">
        <v>2.2346850000000001E-3</v>
      </c>
      <c r="AA3368">
        <v>0.99587269999999894</v>
      </c>
      <c r="AB3368">
        <v>39</v>
      </c>
      <c r="AC3368">
        <v>18.020099999999999</v>
      </c>
      <c r="AD3368">
        <v>-1.105165884734</v>
      </c>
      <c r="AE3368">
        <v>1.8264</v>
      </c>
      <c r="AF3368">
        <v>-1.67610312514364</v>
      </c>
      <c r="AG3368">
        <v>-1.105165884734</v>
      </c>
      <c r="AH3368">
        <v>17.967226013399301</v>
      </c>
      <c r="AI3368">
        <v>93.504656291765698</v>
      </c>
      <c r="AJ3368">
        <v>95.329509742018402</v>
      </c>
      <c r="AK3368">
        <v>18.079046543871399</v>
      </c>
    </row>
    <row r="3369" spans="1:37" x14ac:dyDescent="0.2">
      <c r="A3369" t="str">
        <f>"20200111153717135"</f>
        <v>20200111153717135</v>
      </c>
      <c r="B3369" t="str">
        <f>"1578728237125984"</f>
        <v>1578728237125984</v>
      </c>
      <c r="C3369" t="s">
        <v>37</v>
      </c>
      <c r="D3369">
        <v>5.8974469999999997</v>
      </c>
      <c r="E3369">
        <v>0.47469209999999901</v>
      </c>
      <c r="F3369" t="s">
        <v>45</v>
      </c>
      <c r="G3369">
        <v>-228.29750000000001</v>
      </c>
      <c r="H3369" s="1">
        <v>2.7959819999999999E-6</v>
      </c>
      <c r="I3369">
        <v>216.50970000000001</v>
      </c>
      <c r="J3369">
        <v>-246.51</v>
      </c>
      <c r="K3369">
        <v>1.1051770000000001</v>
      </c>
      <c r="L3369">
        <v>214.63910000000001</v>
      </c>
      <c r="M3369">
        <v>0.99986540000000002</v>
      </c>
      <c r="N3369">
        <v>0</v>
      </c>
      <c r="O3369">
        <v>8.295373E-3</v>
      </c>
      <c r="P3369">
        <v>0.99678440000000001</v>
      </c>
      <c r="Q3369">
        <v>7.0707899999999907E-2</v>
      </c>
      <c r="R3369">
        <v>3.7708869999999999E-2</v>
      </c>
      <c r="S3369">
        <v>3.0104679999999999</v>
      </c>
      <c r="T3369">
        <v>-0.17871899999999999</v>
      </c>
      <c r="U3369">
        <v>0.30307009999999901</v>
      </c>
      <c r="V3369">
        <v>-2.9499480000000002E-2</v>
      </c>
      <c r="W3369">
        <v>8.4804909999999997E-2</v>
      </c>
      <c r="X3369">
        <v>0.99596079999999998</v>
      </c>
      <c r="Y3369">
        <v>-9.1762419999999997E-2</v>
      </c>
      <c r="Z3369">
        <v>2.2237529999999902E-3</v>
      </c>
      <c r="AA3369">
        <v>0.99577839999999995</v>
      </c>
      <c r="AB3369">
        <v>39</v>
      </c>
      <c r="AC3369">
        <v>18.212499999999899</v>
      </c>
      <c r="AD3369">
        <v>-1.1051742040179999</v>
      </c>
      <c r="AE3369">
        <v>1.87059999999999</v>
      </c>
      <c r="AF3369">
        <v>-1.7131983058067899</v>
      </c>
      <c r="AG3369">
        <v>-1.1051742040179999</v>
      </c>
      <c r="AH3369">
        <v>18.1612147059184</v>
      </c>
      <c r="AI3369">
        <v>93.4670027641709</v>
      </c>
      <c r="AJ3369">
        <v>95.388924522176495</v>
      </c>
      <c r="AK3369">
        <v>18.275288726876902</v>
      </c>
    </row>
    <row r="3370" spans="1:37" x14ac:dyDescent="0.2">
      <c r="A3370" t="str">
        <f>"20200111153717178"</f>
        <v>20200111153717178</v>
      </c>
      <c r="B3370" t="str">
        <f>"1578728237176735"</f>
        <v>1578728237176735</v>
      </c>
      <c r="C3370" t="s">
        <v>37</v>
      </c>
      <c r="D3370">
        <v>6.1789170000000002</v>
      </c>
      <c r="E3370">
        <v>0.474796099999999</v>
      </c>
      <c r="F3370" t="s">
        <v>45</v>
      </c>
      <c r="G3370">
        <v>-227.53219999999999</v>
      </c>
      <c r="H3370" s="1">
        <v>2.385858E-6</v>
      </c>
      <c r="I3370">
        <v>216.57509999999999</v>
      </c>
      <c r="J3370">
        <v>-245.75659999999999</v>
      </c>
      <c r="K3370">
        <v>1.105191</v>
      </c>
      <c r="L3370">
        <v>214.64599999999999</v>
      </c>
      <c r="M3370">
        <v>0.99986059999999999</v>
      </c>
      <c r="N3370">
        <v>0</v>
      </c>
      <c r="O3370">
        <v>8.8575839999999999E-3</v>
      </c>
      <c r="P3370">
        <v>0.99655530000000003</v>
      </c>
      <c r="Q3370">
        <v>7.3384359999999996E-2</v>
      </c>
      <c r="R3370">
        <v>3.8635589999999997E-2</v>
      </c>
      <c r="S3370">
        <v>3.0104980000000001</v>
      </c>
      <c r="T3370">
        <v>-0.17531649999999999</v>
      </c>
      <c r="U3370">
        <v>0.30711359999999999</v>
      </c>
      <c r="V3370">
        <v>-2.9868680000000002E-2</v>
      </c>
      <c r="W3370">
        <v>8.7476670000000006E-2</v>
      </c>
      <c r="X3370">
        <v>0.99571869999999996</v>
      </c>
      <c r="Y3370">
        <v>-9.2530550000000003E-2</v>
      </c>
      <c r="Z3370">
        <v>2.1709870000000001E-3</v>
      </c>
      <c r="AA3370">
        <v>0.99570749999999997</v>
      </c>
      <c r="AB3370">
        <v>39</v>
      </c>
      <c r="AC3370">
        <v>18.224399999999999</v>
      </c>
      <c r="AD3370">
        <v>-1.105188614142</v>
      </c>
      <c r="AE3370">
        <v>1.9291</v>
      </c>
      <c r="AF3370">
        <v>-1.7611788129163199</v>
      </c>
      <c r="AG3370">
        <v>-1.105188614142</v>
      </c>
      <c r="AH3370">
        <v>18.174674961094802</v>
      </c>
      <c r="AI3370">
        <v>93.463644885180599</v>
      </c>
      <c r="AJ3370">
        <v>95.534846296786597</v>
      </c>
      <c r="AK3370">
        <v>18.293222860538801</v>
      </c>
    </row>
    <row r="3371" spans="1:37" x14ac:dyDescent="0.2">
      <c r="A3371" t="str">
        <f>"20200111153717202"</f>
        <v>20200111153717202</v>
      </c>
      <c r="B3371" t="str">
        <f>"1578728237196255"</f>
        <v>1578728237196255</v>
      </c>
      <c r="C3371" t="s">
        <v>37</v>
      </c>
      <c r="D3371">
        <v>6.255001</v>
      </c>
      <c r="E3371">
        <v>0.52614209999999995</v>
      </c>
      <c r="F3371" t="s">
        <v>45</v>
      </c>
      <c r="G3371">
        <v>-225.6754</v>
      </c>
      <c r="H3371" s="1">
        <v>1.3918119999999899E-6</v>
      </c>
      <c r="I3371">
        <v>216.7106</v>
      </c>
      <c r="J3371">
        <v>-245.35640000000001</v>
      </c>
      <c r="K3371">
        <v>1.1051799999999901</v>
      </c>
      <c r="L3371">
        <v>214.6498</v>
      </c>
      <c r="M3371">
        <v>0.99985780000000002</v>
      </c>
      <c r="N3371">
        <v>0</v>
      </c>
      <c r="O3371">
        <v>9.1534140000000003E-3</v>
      </c>
      <c r="P3371">
        <v>0.99658419999999903</v>
      </c>
      <c r="Q3371">
        <v>7.3142189999999996E-2</v>
      </c>
      <c r="R3371">
        <v>3.8345369999999997E-2</v>
      </c>
      <c r="S3371">
        <v>3.0105740000000001</v>
      </c>
      <c r="T3371">
        <v>-0.1656897</v>
      </c>
      <c r="U3371">
        <v>0.30952449999999998</v>
      </c>
      <c r="V3371">
        <v>-2.9282450000000002E-2</v>
      </c>
      <c r="W3371">
        <v>8.7234880000000001E-2</v>
      </c>
      <c r="X3371">
        <v>0.99575729999999996</v>
      </c>
      <c r="Y3371">
        <v>-9.3037140000000004E-2</v>
      </c>
      <c r="Z3371">
        <v>2.0494950000000001E-3</v>
      </c>
      <c r="AA3371">
        <v>0.99566049999999995</v>
      </c>
      <c r="AB3371">
        <v>39</v>
      </c>
      <c r="AC3371">
        <v>19.681000000000001</v>
      </c>
      <c r="AD3371">
        <v>-1.10517860818799</v>
      </c>
      <c r="AE3371">
        <v>2.0608</v>
      </c>
      <c r="AF3371">
        <v>-1.87469978609407</v>
      </c>
      <c r="AG3371">
        <v>-1.10517860818799</v>
      </c>
      <c r="AH3371">
        <v>19.637787574687302</v>
      </c>
      <c r="AI3371">
        <v>93.206555943675994</v>
      </c>
      <c r="AJ3371">
        <v>95.453153114700797</v>
      </c>
      <c r="AK3371">
        <v>19.758001413921399</v>
      </c>
    </row>
    <row r="3372" spans="1:37" x14ac:dyDescent="0.2">
      <c r="A3372" t="str">
        <f>"20200111153717224"</f>
        <v>20200111153717224</v>
      </c>
      <c r="B3372" t="str">
        <f>"1578728237216750"</f>
        <v>1578728237216750</v>
      </c>
      <c r="C3372" t="s">
        <v>37</v>
      </c>
      <c r="D3372">
        <v>6.1603870000000001</v>
      </c>
      <c r="E3372">
        <v>0.55138290000000001</v>
      </c>
      <c r="F3372" t="s">
        <v>38</v>
      </c>
      <c r="G3372">
        <v>-244.31970000000001</v>
      </c>
      <c r="H3372">
        <v>1.043177</v>
      </c>
      <c r="I3372">
        <v>214.61519999999999</v>
      </c>
      <c r="J3372">
        <v>-244.9657</v>
      </c>
      <c r="K3372">
        <v>1.1051629999999999</v>
      </c>
      <c r="L3372">
        <v>214.65369999999999</v>
      </c>
      <c r="M3372">
        <v>0.99985519999999894</v>
      </c>
      <c r="N3372">
        <v>0</v>
      </c>
      <c r="O3372">
        <v>9.4408500000000006E-3</v>
      </c>
      <c r="P3372">
        <v>0.99672129999999903</v>
      </c>
      <c r="Q3372">
        <v>7.1803640000000002E-2</v>
      </c>
      <c r="R3372">
        <v>3.7296820000000001E-2</v>
      </c>
      <c r="S3372">
        <v>3.0274349999999899</v>
      </c>
      <c r="T3372">
        <v>-0.18112249999999999</v>
      </c>
      <c r="U3372">
        <v>-0.1006927</v>
      </c>
      <c r="V3372">
        <v>-2.794481E-2</v>
      </c>
      <c r="W3372">
        <v>8.5898100000000005E-2</v>
      </c>
      <c r="X3372">
        <v>0.99591200000000002</v>
      </c>
      <c r="Y3372">
        <v>4.2583870000000003E-2</v>
      </c>
      <c r="Z3372">
        <v>-1.836575E-3</v>
      </c>
      <c r="AA3372">
        <v>0.99909119999999996</v>
      </c>
      <c r="AB3372">
        <v>39</v>
      </c>
      <c r="AC3372">
        <v>0.64599999999998603</v>
      </c>
      <c r="AD3372">
        <v>-6.1985999999999798E-2</v>
      </c>
      <c r="AE3372">
        <v>-3.8499999999999E-2</v>
      </c>
      <c r="AF3372">
        <v>4.4192242620062203E-2</v>
      </c>
      <c r="AG3372">
        <v>-6.1985999999999798E-2</v>
      </c>
      <c r="AH3372">
        <v>0.63973841598547398</v>
      </c>
      <c r="AI3372">
        <v>95.521192657933994</v>
      </c>
      <c r="AJ3372">
        <v>86.048364571183896</v>
      </c>
      <c r="AK3372">
        <v>0.64425186021570302</v>
      </c>
    </row>
    <row r="3373" spans="1:37" x14ac:dyDescent="0.2">
      <c r="A3373" t="str">
        <f>"20200111153717246"</f>
        <v>20200111153717246</v>
      </c>
      <c r="B3373" t="str">
        <f>"1578728237236271"</f>
        <v>1578728237236271</v>
      </c>
      <c r="C3373" t="s">
        <v>37</v>
      </c>
      <c r="D3373">
        <v>6.0626410000000002</v>
      </c>
      <c r="E3373">
        <v>0.56187949999999998</v>
      </c>
      <c r="F3373" t="s">
        <v>38</v>
      </c>
      <c r="G3373">
        <v>-243.97929999999999</v>
      </c>
      <c r="H3373">
        <v>1.0273829999999999</v>
      </c>
      <c r="I3373">
        <v>214.554</v>
      </c>
      <c r="J3373">
        <v>-244.58349999999999</v>
      </c>
      <c r="K3373">
        <v>1.105146</v>
      </c>
      <c r="L3373">
        <v>214.6576</v>
      </c>
      <c r="M3373">
        <v>0.99985249999999903</v>
      </c>
      <c r="N3373">
        <v>0</v>
      </c>
      <c r="O3373">
        <v>9.720846E-3</v>
      </c>
      <c r="P3373">
        <v>0.99688120000000002</v>
      </c>
      <c r="Q3373">
        <v>7.0021509999999995E-2</v>
      </c>
      <c r="R3373">
        <v>3.640169E-2</v>
      </c>
      <c r="S3373">
        <v>3.038605</v>
      </c>
      <c r="T3373">
        <v>-0.2397888</v>
      </c>
      <c r="U3373">
        <v>-0.30630489999999999</v>
      </c>
      <c r="V3373">
        <v>-2.6767349999999999E-2</v>
      </c>
      <c r="W3373">
        <v>8.4118319999999996E-2</v>
      </c>
      <c r="X3373">
        <v>0.99609619999999999</v>
      </c>
      <c r="Y3373">
        <v>0.1095969</v>
      </c>
      <c r="Z3373">
        <v>-5.0709529999999996E-3</v>
      </c>
      <c r="AA3373">
        <v>0.99396319999999905</v>
      </c>
      <c r="AB3373">
        <v>39</v>
      </c>
      <c r="AC3373">
        <v>0.60419999999999097</v>
      </c>
      <c r="AD3373">
        <v>-7.7762999999999999E-2</v>
      </c>
      <c r="AE3373">
        <v>-0.1036</v>
      </c>
      <c r="AF3373">
        <v>0.107735389783017</v>
      </c>
      <c r="AG3373">
        <v>-7.7762999999999999E-2</v>
      </c>
      <c r="AH3373">
        <v>0.59361207877609301</v>
      </c>
      <c r="AI3373">
        <v>97.344591095365899</v>
      </c>
      <c r="AJ3373">
        <v>79.713287755142801</v>
      </c>
      <c r="AK3373">
        <v>0.60830033573028197</v>
      </c>
    </row>
    <row r="3374" spans="1:37" x14ac:dyDescent="0.2">
      <c r="A3374" t="str">
        <f>"20200111153717268"</f>
        <v>20200111153717268</v>
      </c>
      <c r="B3374" t="str">
        <f>"1578728237256767"</f>
        <v>1578728237256767</v>
      </c>
      <c r="C3374" t="s">
        <v>37</v>
      </c>
      <c r="D3374">
        <v>6.1295099999999998</v>
      </c>
      <c r="E3374">
        <v>0.56383479999999997</v>
      </c>
      <c r="F3374" t="s">
        <v>38</v>
      </c>
      <c r="G3374">
        <v>-243.62970000000001</v>
      </c>
      <c r="H3374">
        <v>1.0302929999999999</v>
      </c>
      <c r="I3374">
        <v>214.5342</v>
      </c>
      <c r="J3374">
        <v>-244.20169999999999</v>
      </c>
      <c r="K3374">
        <v>1.105137</v>
      </c>
      <c r="L3374">
        <v>214.66149999999999</v>
      </c>
      <c r="M3374">
        <v>0.99984989999999996</v>
      </c>
      <c r="N3374">
        <v>0</v>
      </c>
      <c r="O3374">
        <v>1.0000129999999999E-2</v>
      </c>
      <c r="P3374">
        <v>0.99699699999999902</v>
      </c>
      <c r="Q3374">
        <v>6.8630849999999993E-2</v>
      </c>
      <c r="R3374">
        <v>3.5877890000000003E-2</v>
      </c>
      <c r="S3374">
        <v>3.0405120000000001</v>
      </c>
      <c r="T3374">
        <v>-0.2386926</v>
      </c>
      <c r="U3374">
        <v>-0.39266970000000001</v>
      </c>
      <c r="V3374">
        <v>-2.5962909999999999E-2</v>
      </c>
      <c r="W3374">
        <v>8.2728460000000004E-2</v>
      </c>
      <c r="X3374">
        <v>0.99623390000000001</v>
      </c>
      <c r="Y3374">
        <v>0.1375479</v>
      </c>
      <c r="Z3374">
        <v>-6.149364E-3</v>
      </c>
      <c r="AA3374">
        <v>0.99047600000000002</v>
      </c>
      <c r="AB3374">
        <v>39</v>
      </c>
      <c r="AC3374">
        <v>0.57199999999997397</v>
      </c>
      <c r="AD3374">
        <v>-7.4843999999999897E-2</v>
      </c>
      <c r="AE3374">
        <v>-0.127299999999991</v>
      </c>
      <c r="AF3374">
        <v>0.13087927912871899</v>
      </c>
      <c r="AG3374">
        <v>-7.4843999999999897E-2</v>
      </c>
      <c r="AH3374">
        <v>0.56153801838675699</v>
      </c>
      <c r="AI3374">
        <v>97.395917625476201</v>
      </c>
      <c r="AJ3374">
        <v>76.880131260016597</v>
      </c>
      <c r="AK3374">
        <v>0.58142579589744703</v>
      </c>
    </row>
    <row r="3375" spans="1:37" x14ac:dyDescent="0.2">
      <c r="A3375" t="str">
        <f>"20200111153717290"</f>
        <v>20200111153717290</v>
      </c>
      <c r="B3375" t="str">
        <f>"1578728237286047"</f>
        <v>1578728237286047</v>
      </c>
      <c r="C3375" t="s">
        <v>37</v>
      </c>
      <c r="D3375">
        <v>6.1325250000000002</v>
      </c>
      <c r="E3375">
        <v>0.56469049999999998</v>
      </c>
      <c r="F3375" t="s">
        <v>38</v>
      </c>
      <c r="G3375">
        <v>-243.28319999999999</v>
      </c>
      <c r="H3375">
        <v>1.0286109999999999</v>
      </c>
      <c r="I3375">
        <v>214.53749999999999</v>
      </c>
      <c r="J3375">
        <v>-243.8108</v>
      </c>
      <c r="K3375">
        <v>1.105127</v>
      </c>
      <c r="L3375">
        <v>214.66569999999999</v>
      </c>
      <c r="M3375">
        <v>0.99984689999999998</v>
      </c>
      <c r="N3375">
        <v>0</v>
      </c>
      <c r="O3375">
        <v>1.028603E-2</v>
      </c>
      <c r="P3375">
        <v>0.99707169999999901</v>
      </c>
      <c r="Q3375">
        <v>6.7606429999999995E-2</v>
      </c>
      <c r="R3375">
        <v>3.5743179999999999E-2</v>
      </c>
      <c r="S3375">
        <v>3.041245</v>
      </c>
      <c r="T3375">
        <v>-0.25349070000000001</v>
      </c>
      <c r="U3375">
        <v>-0.41021729999999901</v>
      </c>
      <c r="V3375">
        <v>-2.5541339999999999E-2</v>
      </c>
      <c r="W3375">
        <v>8.1704360000000004E-2</v>
      </c>
      <c r="X3375">
        <v>0.99632929999999997</v>
      </c>
      <c r="Y3375">
        <v>0.1433384</v>
      </c>
      <c r="Z3375">
        <v>-6.7888649999999998E-3</v>
      </c>
      <c r="AA3375">
        <v>0.98965040000000004</v>
      </c>
      <c r="AB3375">
        <v>39</v>
      </c>
      <c r="AC3375">
        <v>0.52760000000000595</v>
      </c>
      <c r="AD3375">
        <v>-7.6515999999999806E-2</v>
      </c>
      <c r="AE3375">
        <v>-0.12819999999999199</v>
      </c>
      <c r="AF3375">
        <v>0.13101862655886601</v>
      </c>
      <c r="AG3375">
        <v>-7.6515999999999806E-2</v>
      </c>
      <c r="AH3375">
        <v>0.51600536307677602</v>
      </c>
      <c r="AI3375">
        <v>98.178808148383894</v>
      </c>
      <c r="AJ3375">
        <v>75.753133605785195</v>
      </c>
      <c r="AK3375">
        <v>0.53784952680593501</v>
      </c>
    </row>
    <row r="3376" spans="1:37" x14ac:dyDescent="0.2">
      <c r="A3376" t="str">
        <f>"20200111153717314"</f>
        <v>20200111153717314</v>
      </c>
      <c r="B3376" t="str">
        <f>"1578728237306542"</f>
        <v>1578728237306542</v>
      </c>
      <c r="C3376" t="s">
        <v>37</v>
      </c>
      <c r="D3376">
        <v>6.1074609999999998</v>
      </c>
      <c r="E3376">
        <v>0.56515329999999997</v>
      </c>
      <c r="F3376" t="s">
        <v>38</v>
      </c>
      <c r="G3376">
        <v>-242.93620000000001</v>
      </c>
      <c r="H3376">
        <v>1.0285930000000001</v>
      </c>
      <c r="I3376">
        <v>214.5455</v>
      </c>
      <c r="J3376">
        <v>-243.39830000000001</v>
      </c>
      <c r="K3376">
        <v>1.1051139999999999</v>
      </c>
      <c r="L3376">
        <v>214.6703</v>
      </c>
      <c r="M3376">
        <v>0.99984379999999995</v>
      </c>
      <c r="N3376">
        <v>0</v>
      </c>
      <c r="O3376">
        <v>1.0587910000000001E-2</v>
      </c>
      <c r="P3376">
        <v>0.99712449999999997</v>
      </c>
      <c r="Q3376">
        <v>6.7068849999999999E-2</v>
      </c>
      <c r="R3376">
        <v>3.5283689999999999E-2</v>
      </c>
      <c r="S3376">
        <v>3.0418400000000001</v>
      </c>
      <c r="T3376">
        <v>-0.2662776</v>
      </c>
      <c r="U3376">
        <v>-0.4177246</v>
      </c>
      <c r="V3376">
        <v>-2.4779909999999999E-2</v>
      </c>
      <c r="W3376">
        <v>8.1165879999999996E-2</v>
      </c>
      <c r="X3376">
        <v>0.99639249999999902</v>
      </c>
      <c r="Y3376">
        <v>0.14594460000000001</v>
      </c>
      <c r="Z3376">
        <v>-7.2671000000000003E-3</v>
      </c>
      <c r="AA3376">
        <v>0.98926610000000004</v>
      </c>
      <c r="AB3376">
        <v>39</v>
      </c>
      <c r="AC3376">
        <v>0.46209999999999202</v>
      </c>
      <c r="AD3376">
        <v>-7.6520999999999798E-2</v>
      </c>
      <c r="AE3376">
        <v>-0.124799999999993</v>
      </c>
      <c r="AF3376">
        <v>0.126454338527658</v>
      </c>
      <c r="AG3376">
        <v>-7.6520999999999798E-2</v>
      </c>
      <c r="AH3376">
        <v>0.44927046199221199</v>
      </c>
      <c r="AI3376">
        <v>99.310929973471801</v>
      </c>
      <c r="AJ3376">
        <v>74.2798966404374</v>
      </c>
      <c r="AK3376">
        <v>0.47295888953709597</v>
      </c>
    </row>
    <row r="3377" spans="1:37" x14ac:dyDescent="0.2">
      <c r="A3377" t="str">
        <f>"20200111153717335"</f>
        <v>20200111153717335</v>
      </c>
      <c r="B3377" t="str">
        <f>"1578728237326063"</f>
        <v>1578728237326063</v>
      </c>
      <c r="C3377" t="s">
        <v>37</v>
      </c>
      <c r="D3377">
        <v>6.1534879999999896</v>
      </c>
      <c r="E3377">
        <v>0.56531999999999905</v>
      </c>
      <c r="F3377" t="s">
        <v>38</v>
      </c>
      <c r="G3377">
        <v>-242.5872</v>
      </c>
      <c r="H3377">
        <v>1.0334319999999999</v>
      </c>
      <c r="I3377">
        <v>214.5573</v>
      </c>
      <c r="J3377">
        <v>-243.03190000000001</v>
      </c>
      <c r="K3377">
        <v>1.105113</v>
      </c>
      <c r="L3377">
        <v>214.67439999999999</v>
      </c>
      <c r="M3377">
        <v>0.99984089999999903</v>
      </c>
      <c r="N3377">
        <v>0</v>
      </c>
      <c r="O3377">
        <v>1.0855999999999999E-2</v>
      </c>
      <c r="P3377">
        <v>0.99720229999999999</v>
      </c>
      <c r="Q3377">
        <v>6.6359180000000004E-2</v>
      </c>
      <c r="R3377">
        <v>3.4410799999999998E-2</v>
      </c>
      <c r="S3377">
        <v>3.0417179999999999</v>
      </c>
      <c r="T3377">
        <v>-0.26901039999999998</v>
      </c>
      <c r="U3377">
        <v>-0.42265320000000001</v>
      </c>
      <c r="V3377">
        <v>-2.363765E-2</v>
      </c>
      <c r="W3377">
        <v>8.0456760000000002E-2</v>
      </c>
      <c r="X3377">
        <v>0.99647779999999997</v>
      </c>
      <c r="Y3377">
        <v>0.14776779999999901</v>
      </c>
      <c r="Z3377">
        <v>-7.4445319999999898E-3</v>
      </c>
      <c r="AA3377">
        <v>0.98899409999999899</v>
      </c>
      <c r="AB3377">
        <v>39</v>
      </c>
      <c r="AC3377">
        <v>0.44470000000001098</v>
      </c>
      <c r="AD3377">
        <v>-7.1681000000000106E-2</v>
      </c>
      <c r="AE3377">
        <v>-0.117099999999993</v>
      </c>
      <c r="AF3377">
        <v>0.119029155828734</v>
      </c>
      <c r="AG3377">
        <v>-7.1681000000000106E-2</v>
      </c>
      <c r="AH3377">
        <v>0.43288449275684798</v>
      </c>
      <c r="AI3377">
        <v>99.071467894046506</v>
      </c>
      <c r="AJ3377">
        <v>74.625481302436995</v>
      </c>
      <c r="AK3377">
        <v>0.45463731673461999</v>
      </c>
    </row>
    <row r="3378" spans="1:37" x14ac:dyDescent="0.2">
      <c r="A3378" t="str">
        <f>"20200111153717358"</f>
        <v>20200111153717358</v>
      </c>
      <c r="B3378" t="str">
        <f>"1578728237346559"</f>
        <v>1578728237346559</v>
      </c>
      <c r="C3378" t="s">
        <v>37</v>
      </c>
      <c r="D3378">
        <v>6.0473569999999999</v>
      </c>
      <c r="E3378">
        <v>0.56547230000000004</v>
      </c>
      <c r="F3378" t="s">
        <v>38</v>
      </c>
      <c r="G3378">
        <v>-242.24029999999999</v>
      </c>
      <c r="H3378">
        <v>1.0343709999999999</v>
      </c>
      <c r="I3378">
        <v>214.56319999999999</v>
      </c>
      <c r="J3378">
        <v>-242.64920000000001</v>
      </c>
      <c r="K3378">
        <v>1.1051139999999999</v>
      </c>
      <c r="L3378">
        <v>214.6788</v>
      </c>
      <c r="M3378">
        <v>0.9998378</v>
      </c>
      <c r="N3378">
        <v>0</v>
      </c>
      <c r="O3378">
        <v>1.113666E-2</v>
      </c>
      <c r="P3378">
        <v>0.9972683</v>
      </c>
      <c r="Q3378">
        <v>6.6118399999999994E-2</v>
      </c>
      <c r="R3378">
        <v>3.2932370000000002E-2</v>
      </c>
      <c r="S3378">
        <v>3.041245</v>
      </c>
      <c r="T3378">
        <v>-0.27178869999999999</v>
      </c>
      <c r="U3378">
        <v>-0.42700199999999999</v>
      </c>
      <c r="V3378">
        <v>-2.187853E-2</v>
      </c>
      <c r="W3378">
        <v>8.0216270000000006E-2</v>
      </c>
      <c r="X3378">
        <v>0.99653729999999996</v>
      </c>
      <c r="Y3378">
        <v>0.14943310000000001</v>
      </c>
      <c r="Z3378">
        <v>-7.6203599999999996E-3</v>
      </c>
      <c r="AA3378">
        <v>0.98874249999999997</v>
      </c>
      <c r="AB3378">
        <v>39</v>
      </c>
      <c r="AC3378">
        <v>0.40890000000001597</v>
      </c>
      <c r="AD3378">
        <v>-7.0743E-2</v>
      </c>
      <c r="AE3378">
        <v>-0.11559999999999999</v>
      </c>
      <c r="AF3378">
        <v>0.11690681233370501</v>
      </c>
      <c r="AG3378">
        <v>-7.0743E-2</v>
      </c>
      <c r="AH3378">
        <v>0.39659486761646701</v>
      </c>
      <c r="AI3378">
        <v>99.709134663795894</v>
      </c>
      <c r="AJ3378">
        <v>73.575726512810803</v>
      </c>
      <c r="AK3378">
        <v>0.41947498595119098</v>
      </c>
    </row>
    <row r="3379" spans="1:37" x14ac:dyDescent="0.2">
      <c r="A3379" t="str">
        <f>"20200111153717380"</f>
        <v>20200111153717380</v>
      </c>
      <c r="B3379" t="str">
        <f>"1578728237376815"</f>
        <v>1578728237376815</v>
      </c>
      <c r="C3379" t="s">
        <v>37</v>
      </c>
      <c r="D3379">
        <v>6.1648930000000002</v>
      </c>
      <c r="E3379">
        <v>0.56559059999999906</v>
      </c>
      <c r="F3379" t="s">
        <v>38</v>
      </c>
      <c r="G3379">
        <v>-241.89250000000001</v>
      </c>
      <c r="H3379">
        <v>1.037482</v>
      </c>
      <c r="I3379">
        <v>214.57079999999999</v>
      </c>
      <c r="J3379">
        <v>-242.26150000000001</v>
      </c>
      <c r="K3379">
        <v>1.1051150000000001</v>
      </c>
      <c r="L3379">
        <v>214.68340000000001</v>
      </c>
      <c r="M3379">
        <v>0.99983469999999997</v>
      </c>
      <c r="N3379">
        <v>0</v>
      </c>
      <c r="O3379">
        <v>1.142078E-2</v>
      </c>
      <c r="P3379">
        <v>0.99726179999999998</v>
      </c>
      <c r="Q3379">
        <v>6.6896929999999993E-2</v>
      </c>
      <c r="R3379">
        <v>3.1521100000000003E-2</v>
      </c>
      <c r="S3379">
        <v>3.04057299999999</v>
      </c>
      <c r="T3379">
        <v>-0.2719859</v>
      </c>
      <c r="U3379">
        <v>-0.43309019999999998</v>
      </c>
      <c r="V3379">
        <v>-2.0183659999999999E-2</v>
      </c>
      <c r="W3379">
        <v>8.0993830000000003E-2</v>
      </c>
      <c r="X3379">
        <v>0.99651019999999901</v>
      </c>
      <c r="Y3379">
        <v>0.151673799999999</v>
      </c>
      <c r="Z3379">
        <v>-7.7512429999999997E-3</v>
      </c>
      <c r="AA3379">
        <v>0.98840019999999995</v>
      </c>
      <c r="AB3379">
        <v>39</v>
      </c>
      <c r="AC3379">
        <v>0.368999999999999</v>
      </c>
      <c r="AD3379">
        <v>-6.7632999999999999E-2</v>
      </c>
      <c r="AE3379">
        <v>-0.11260000000001399</v>
      </c>
      <c r="AF3379">
        <v>0.113324592770759</v>
      </c>
      <c r="AG3379">
        <v>-6.7632999999999999E-2</v>
      </c>
      <c r="AH3379">
        <v>0.35672670584323701</v>
      </c>
      <c r="AI3379">
        <v>100.242517276702</v>
      </c>
      <c r="AJ3379">
        <v>72.376039025475706</v>
      </c>
      <c r="AK3379">
        <v>0.38035592367863302</v>
      </c>
    </row>
    <row r="3380" spans="1:37" x14ac:dyDescent="0.2">
      <c r="A3380" t="str">
        <f>"20200111153717403"</f>
        <v>20200111153717403</v>
      </c>
      <c r="B3380" t="str">
        <f>"1578728237396334"</f>
        <v>1578728237396334</v>
      </c>
      <c r="C3380" t="s">
        <v>37</v>
      </c>
      <c r="D3380">
        <v>6.2188949999999998</v>
      </c>
      <c r="E3380">
        <v>0.56575109999999995</v>
      </c>
      <c r="F3380" t="s">
        <v>38</v>
      </c>
      <c r="G3380">
        <v>-241.21190000000001</v>
      </c>
      <c r="H3380">
        <v>1.0117479999999901</v>
      </c>
      <c r="I3380">
        <v>214.5317</v>
      </c>
      <c r="J3380">
        <v>-241.8647</v>
      </c>
      <c r="K3380">
        <v>1.105121</v>
      </c>
      <c r="L3380">
        <v>214.68819999999999</v>
      </c>
      <c r="M3380">
        <v>0.99983140000000004</v>
      </c>
      <c r="N3380">
        <v>0</v>
      </c>
      <c r="O3380">
        <v>1.171141E-2</v>
      </c>
      <c r="P3380">
        <v>0.99725429999999904</v>
      </c>
      <c r="Q3380">
        <v>6.7728860000000002E-2</v>
      </c>
      <c r="R3380">
        <v>2.9949090000000001E-2</v>
      </c>
      <c r="S3380">
        <v>3.0402529999999999</v>
      </c>
      <c r="T3380">
        <v>-0.27062989999999998</v>
      </c>
      <c r="U3380">
        <v>-0.43873599999999902</v>
      </c>
      <c r="V3380">
        <v>-1.832255E-2</v>
      </c>
      <c r="W3380">
        <v>8.1824579999999994E-2</v>
      </c>
      <c r="X3380">
        <v>0.99647830000000004</v>
      </c>
      <c r="Y3380">
        <v>0.15377089999999999</v>
      </c>
      <c r="Z3380">
        <v>-7.8309239999999995E-3</v>
      </c>
      <c r="AA3380">
        <v>0.988075499999999</v>
      </c>
      <c r="AB3380">
        <v>39</v>
      </c>
      <c r="AC3380">
        <v>0.65279999999998495</v>
      </c>
      <c r="AD3380">
        <v>-9.3373000000000095E-2</v>
      </c>
      <c r="AE3380">
        <v>-0.15649999999999401</v>
      </c>
      <c r="AF3380">
        <v>0.16101999029075401</v>
      </c>
      <c r="AG3380">
        <v>-9.3373000000000095E-2</v>
      </c>
      <c r="AH3380">
        <v>0.63856785381895498</v>
      </c>
      <c r="AI3380">
        <v>98.069858664506796</v>
      </c>
      <c r="AJ3380">
        <v>75.847444871174204</v>
      </c>
      <c r="AK3380">
        <v>0.66514273530812995</v>
      </c>
    </row>
    <row r="3381" spans="1:37" x14ac:dyDescent="0.2">
      <c r="A3381" t="str">
        <f>"20200111153717425"</f>
        <v>20200111153717425</v>
      </c>
      <c r="B3381" t="str">
        <f>"1578728237415855"</f>
        <v>1578728237415855</v>
      </c>
      <c r="C3381" t="s">
        <v>37</v>
      </c>
      <c r="D3381">
        <v>6.1572339999999999</v>
      </c>
      <c r="E3381">
        <v>0.56582549999999998</v>
      </c>
      <c r="F3381" t="s">
        <v>38</v>
      </c>
      <c r="G3381">
        <v>-240.86429999999999</v>
      </c>
      <c r="H3381">
        <v>1.016643</v>
      </c>
      <c r="I3381">
        <v>214.54169999999999</v>
      </c>
      <c r="J3381">
        <v>-241.4854</v>
      </c>
      <c r="K3381">
        <v>1.1051219999999999</v>
      </c>
      <c r="L3381">
        <v>214.69290000000001</v>
      </c>
      <c r="M3381">
        <v>0.99982800000000005</v>
      </c>
      <c r="N3381">
        <v>0</v>
      </c>
      <c r="O3381">
        <v>1.1989390000000001E-2</v>
      </c>
      <c r="P3381">
        <v>0.99721769999999998</v>
      </c>
      <c r="Q3381">
        <v>6.8669019999999997E-2</v>
      </c>
      <c r="R3381">
        <v>2.900962E-2</v>
      </c>
      <c r="S3381">
        <v>3.0398860000000001</v>
      </c>
      <c r="T3381">
        <v>-0.26885579999999998</v>
      </c>
      <c r="U3381">
        <v>-0.44508359999999902</v>
      </c>
      <c r="V3381">
        <v>-1.710718E-2</v>
      </c>
      <c r="W3381">
        <v>8.2762660000000002E-2</v>
      </c>
      <c r="X3381">
        <v>0.99642249999999999</v>
      </c>
      <c r="Y3381">
        <v>0.1560811</v>
      </c>
      <c r="Z3381">
        <v>-7.9053990000000005E-3</v>
      </c>
      <c r="AA3381">
        <v>0.98771260000000005</v>
      </c>
      <c r="AB3381">
        <v>39</v>
      </c>
      <c r="AC3381">
        <v>0.62110000000001198</v>
      </c>
      <c r="AD3381">
        <v>-8.8478999999999905E-2</v>
      </c>
      <c r="AE3381">
        <v>-0.15120000000001699</v>
      </c>
      <c r="AF3381">
        <v>0.15565443395946199</v>
      </c>
      <c r="AG3381">
        <v>-8.8478999999999905E-2</v>
      </c>
      <c r="AH3381">
        <v>0.60760184067301204</v>
      </c>
      <c r="AI3381">
        <v>98.029433543225196</v>
      </c>
      <c r="AJ3381">
        <v>75.631073936877499</v>
      </c>
      <c r="AK3381">
        <v>0.63343257971268996</v>
      </c>
    </row>
    <row r="3382" spans="1:37" x14ac:dyDescent="0.2">
      <c r="A3382" t="str">
        <f>"20200111153717447"</f>
        <v>20200111153717447</v>
      </c>
      <c r="B3382" t="str">
        <f>"1578728237436474"</f>
        <v>1578728237436474</v>
      </c>
      <c r="C3382" t="s">
        <v>37</v>
      </c>
      <c r="D3382">
        <v>6.0713749999999997</v>
      </c>
      <c r="E3382">
        <v>0.56607850000000004</v>
      </c>
      <c r="F3382" t="s">
        <v>38</v>
      </c>
      <c r="G3382">
        <v>-240.51759999999999</v>
      </c>
      <c r="H3382">
        <v>1.020046</v>
      </c>
      <c r="I3382">
        <v>214.55</v>
      </c>
      <c r="J3382">
        <v>-241.1044</v>
      </c>
      <c r="K3382">
        <v>1.1051200000000001</v>
      </c>
      <c r="L3382">
        <v>214.6978</v>
      </c>
      <c r="M3382">
        <v>0.99982479999999996</v>
      </c>
      <c r="N3382">
        <v>0</v>
      </c>
      <c r="O3382">
        <v>1.2268340000000001E-2</v>
      </c>
      <c r="P3382">
        <v>0.99720169999999997</v>
      </c>
      <c r="Q3382">
        <v>6.9202970000000003E-2</v>
      </c>
      <c r="R3382">
        <v>2.827909E-2</v>
      </c>
      <c r="S3382">
        <v>3.0398099999999899</v>
      </c>
      <c r="T3382">
        <v>-0.26727089999999998</v>
      </c>
      <c r="U3382">
        <v>-0.44868469999999999</v>
      </c>
      <c r="V3382">
        <v>-1.6098700000000001E-2</v>
      </c>
      <c r="W3382">
        <v>8.3294880000000002E-2</v>
      </c>
      <c r="X3382">
        <v>0.99639489999999997</v>
      </c>
      <c r="Y3382">
        <v>0.15750649999999999</v>
      </c>
      <c r="Z3382">
        <v>-7.9450670000000001E-3</v>
      </c>
      <c r="AA3382">
        <v>0.98748599999999997</v>
      </c>
      <c r="AB3382">
        <v>39</v>
      </c>
      <c r="AC3382">
        <v>0.58680000000000998</v>
      </c>
      <c r="AD3382">
        <v>-8.5074000000000094E-2</v>
      </c>
      <c r="AE3382">
        <v>-0.147799999999989</v>
      </c>
      <c r="AF3382">
        <v>0.15198465596889699</v>
      </c>
      <c r="AG3382">
        <v>-8.5074000000000094E-2</v>
      </c>
      <c r="AH3382">
        <v>0.57360499694137901</v>
      </c>
      <c r="AI3382">
        <v>98.158748325457907</v>
      </c>
      <c r="AJ3382">
        <v>75.159701983615903</v>
      </c>
      <c r="AK3382">
        <v>0.59946610716712201</v>
      </c>
    </row>
    <row r="3383" spans="1:37" x14ac:dyDescent="0.2">
      <c r="A3383" t="str">
        <f>"20200111153717469"</f>
        <v>20200111153717469</v>
      </c>
      <c r="B3383" t="str">
        <f>"1578728237466731"</f>
        <v>1578728237466731</v>
      </c>
      <c r="C3383" t="s">
        <v>37</v>
      </c>
      <c r="D3383">
        <v>6.0439339999999904</v>
      </c>
      <c r="E3383">
        <v>0.54150919999999902</v>
      </c>
      <c r="F3383" t="s">
        <v>38</v>
      </c>
      <c r="G3383">
        <v>-240.1712</v>
      </c>
      <c r="H3383">
        <v>1.0232749999999999</v>
      </c>
      <c r="I3383">
        <v>214.55889999999999</v>
      </c>
      <c r="J3383">
        <v>-240.7193</v>
      </c>
      <c r="K3383">
        <v>1.1051200000000001</v>
      </c>
      <c r="L3383">
        <v>214.7028</v>
      </c>
      <c r="M3383">
        <v>0.99982119999999997</v>
      </c>
      <c r="N3383">
        <v>0</v>
      </c>
      <c r="O3383">
        <v>1.255097E-2</v>
      </c>
      <c r="P3383">
        <v>0.99718680000000004</v>
      </c>
      <c r="Q3383">
        <v>6.9620409999999994E-2</v>
      </c>
      <c r="R3383">
        <v>2.777717E-2</v>
      </c>
      <c r="S3383">
        <v>3.039749</v>
      </c>
      <c r="T3383">
        <v>-0.26659829999999901</v>
      </c>
      <c r="U3383">
        <v>-0.45259090000000002</v>
      </c>
      <c r="V3383">
        <v>-1.5315169999999999E-2</v>
      </c>
      <c r="W3383">
        <v>8.3711129999999995E-2</v>
      </c>
      <c r="X3383">
        <v>0.99637229999999999</v>
      </c>
      <c r="Y3383">
        <v>0.15902659999999999</v>
      </c>
      <c r="Z3383">
        <v>-8.0153559999999995E-3</v>
      </c>
      <c r="AA3383">
        <v>0.9872417</v>
      </c>
      <c r="AB3383">
        <v>39</v>
      </c>
      <c r="AC3383">
        <v>0.54810000000000503</v>
      </c>
      <c r="AD3383">
        <v>-8.1845000000000098E-2</v>
      </c>
      <c r="AE3383">
        <v>-0.143900000000002</v>
      </c>
      <c r="AF3383">
        <v>0.14768776045736301</v>
      </c>
      <c r="AG3383">
        <v>-8.1845000000000098E-2</v>
      </c>
      <c r="AH3383">
        <v>0.53508856713792197</v>
      </c>
      <c r="AI3383">
        <v>98.387430303950097</v>
      </c>
      <c r="AJ3383">
        <v>74.570165024467698</v>
      </c>
      <c r="AK3383">
        <v>0.561097187032359</v>
      </c>
    </row>
    <row r="3384" spans="1:37" x14ac:dyDescent="0.2">
      <c r="A3384" t="str">
        <f>"20200111153717492"</f>
        <v>20200111153717492</v>
      </c>
      <c r="B3384" t="str">
        <f>"1578728237486254"</f>
        <v>1578728237486254</v>
      </c>
      <c r="C3384" t="s">
        <v>37</v>
      </c>
      <c r="D3384">
        <v>6.0215559999999897</v>
      </c>
      <c r="E3384">
        <v>0.544562199999999</v>
      </c>
      <c r="F3384" t="s">
        <v>38</v>
      </c>
      <c r="G3384">
        <v>-239.8279</v>
      </c>
      <c r="H3384">
        <v>1.0243040000000001</v>
      </c>
      <c r="I3384">
        <v>214.6266</v>
      </c>
      <c r="J3384">
        <v>-240.33109999999999</v>
      </c>
      <c r="K3384">
        <v>1.105113</v>
      </c>
      <c r="L3384">
        <v>214.7079</v>
      </c>
      <c r="M3384">
        <v>0.99981769999999903</v>
      </c>
      <c r="N3384">
        <v>0</v>
      </c>
      <c r="O3384">
        <v>1.283576E-2</v>
      </c>
      <c r="P3384">
        <v>0.99716569999999904</v>
      </c>
      <c r="Q3384">
        <v>6.9960519999999998E-2</v>
      </c>
      <c r="R3384">
        <v>2.7682390000000001E-2</v>
      </c>
      <c r="S3384">
        <v>3.0348820000000001</v>
      </c>
      <c r="T3384">
        <v>-0.2752482</v>
      </c>
      <c r="U3384">
        <v>-0.2587585</v>
      </c>
      <c r="V3384">
        <v>-1.493703E-2</v>
      </c>
      <c r="W3384">
        <v>8.4049449999999998E-2</v>
      </c>
      <c r="X3384">
        <v>0.99634959999999995</v>
      </c>
      <c r="Y3384">
        <v>9.7288059999999996E-2</v>
      </c>
      <c r="Z3384">
        <v>-5.5547169999999998E-3</v>
      </c>
      <c r="AA3384">
        <v>0.99524069999999998</v>
      </c>
      <c r="AB3384">
        <v>39</v>
      </c>
      <c r="AC3384">
        <v>0.50319999999999199</v>
      </c>
      <c r="AD3384">
        <v>-8.0808999999999895E-2</v>
      </c>
      <c r="AE3384">
        <v>-8.1299999999998804E-2</v>
      </c>
      <c r="AF3384">
        <v>8.5601465953143205E-2</v>
      </c>
      <c r="AG3384">
        <v>-8.0808999999999895E-2</v>
      </c>
      <c r="AH3384">
        <v>0.48980455209912399</v>
      </c>
      <c r="AI3384">
        <v>99.230939332751404</v>
      </c>
      <c r="AJ3384">
        <v>80.086731635892207</v>
      </c>
      <c r="AK3384">
        <v>0.50375212625988097</v>
      </c>
    </row>
    <row r="3385" spans="1:37" x14ac:dyDescent="0.2">
      <c r="A3385" t="str">
        <f>"20200111153717514"</f>
        <v>20200111153717514</v>
      </c>
      <c r="B3385" t="str">
        <f>"1578728237506746"</f>
        <v>1578728237506746</v>
      </c>
      <c r="C3385" t="s">
        <v>37</v>
      </c>
      <c r="D3385">
        <v>5.9689199999999998</v>
      </c>
      <c r="E3385">
        <v>0.54666169999999903</v>
      </c>
      <c r="F3385" t="s">
        <v>38</v>
      </c>
      <c r="G3385">
        <v>-239.48150000000001</v>
      </c>
      <c r="H3385">
        <v>1.028265</v>
      </c>
      <c r="I3385">
        <v>214.62860000000001</v>
      </c>
      <c r="J3385">
        <v>-239.94649999999999</v>
      </c>
      <c r="K3385">
        <v>1.105108</v>
      </c>
      <c r="L3385">
        <v>214.7131</v>
      </c>
      <c r="M3385">
        <v>0.99981399999999998</v>
      </c>
      <c r="N3385">
        <v>0</v>
      </c>
      <c r="O3385">
        <v>1.31177999999999E-2</v>
      </c>
      <c r="P3385">
        <v>0.99722080000000002</v>
      </c>
      <c r="Q3385">
        <v>6.9325070000000003E-2</v>
      </c>
      <c r="R3385">
        <v>2.7293040000000001E-2</v>
      </c>
      <c r="S3385">
        <v>3.03566</v>
      </c>
      <c r="T3385">
        <v>-0.27464569999999999</v>
      </c>
      <c r="U3385">
        <v>-0.28305049999999998</v>
      </c>
      <c r="V3385">
        <v>-1.4264580000000001E-2</v>
      </c>
      <c r="W3385">
        <v>8.3412239999999999E-2</v>
      </c>
      <c r="X3385">
        <v>0.99641309999999905</v>
      </c>
      <c r="Y3385">
        <v>0.10541349999999999</v>
      </c>
      <c r="Z3385">
        <v>-5.930706E-3</v>
      </c>
      <c r="AA3385">
        <v>0.99441080000000004</v>
      </c>
      <c r="AB3385">
        <v>39</v>
      </c>
      <c r="AC3385">
        <v>0.46499999999997499</v>
      </c>
      <c r="AD3385">
        <v>-7.6842999999999995E-2</v>
      </c>
      <c r="AE3385">
        <v>-8.4499999999991304E-2</v>
      </c>
      <c r="AF3385">
        <v>8.8259890907254598E-2</v>
      </c>
      <c r="AG3385">
        <v>-7.6842999999999995E-2</v>
      </c>
      <c r="AH3385">
        <v>0.45190493378160501</v>
      </c>
      <c r="AI3385">
        <v>99.474729088266599</v>
      </c>
      <c r="AJ3385">
        <v>78.948883891766997</v>
      </c>
      <c r="AK3385">
        <v>0.466811229693671</v>
      </c>
    </row>
    <row r="3386" spans="1:37" x14ac:dyDescent="0.2">
      <c r="A3386" t="str">
        <f>"20200111153717536"</f>
        <v>20200111153717536</v>
      </c>
      <c r="B3386" t="str">
        <f>"1578728237526266"</f>
        <v>1578728237526266</v>
      </c>
      <c r="C3386" t="s">
        <v>37</v>
      </c>
      <c r="D3386">
        <v>5.9653859999999996</v>
      </c>
      <c r="E3386">
        <v>0.54763099999999998</v>
      </c>
      <c r="F3386" t="s">
        <v>38</v>
      </c>
      <c r="G3386">
        <v>-239.13630000000001</v>
      </c>
      <c r="H3386">
        <v>1.0304389999999899</v>
      </c>
      <c r="I3386">
        <v>214.6326</v>
      </c>
      <c r="J3386">
        <v>-239.56630000000001</v>
      </c>
      <c r="K3386">
        <v>1.105108</v>
      </c>
      <c r="L3386">
        <v>214.7184</v>
      </c>
      <c r="M3386">
        <v>0.99981030000000004</v>
      </c>
      <c r="N3386">
        <v>0</v>
      </c>
      <c r="O3386">
        <v>1.339692E-2</v>
      </c>
      <c r="P3386">
        <v>0.99729489999999998</v>
      </c>
      <c r="Q3386">
        <v>6.8576079999999998E-2</v>
      </c>
      <c r="R3386">
        <v>2.6466030000000001E-2</v>
      </c>
      <c r="S3386">
        <v>3.036057</v>
      </c>
      <c r="T3386">
        <v>-0.27998659999999997</v>
      </c>
      <c r="U3386">
        <v>-0.30090329999999998</v>
      </c>
      <c r="V3386">
        <v>-1.315788E-2</v>
      </c>
      <c r="W3386">
        <v>8.2662869999999999E-2</v>
      </c>
      <c r="X3386">
        <v>0.99649069999999995</v>
      </c>
      <c r="Y3386">
        <v>0.1114261</v>
      </c>
      <c r="Z3386">
        <v>-6.3447159999999898E-3</v>
      </c>
      <c r="AA3386">
        <v>0.99375249999999904</v>
      </c>
      <c r="AB3386">
        <v>39</v>
      </c>
      <c r="AC3386">
        <v>0.43000000000000599</v>
      </c>
      <c r="AD3386">
        <v>-7.4669000000000096E-2</v>
      </c>
      <c r="AE3386">
        <v>-8.5800000000006094E-2</v>
      </c>
      <c r="AF3386">
        <v>8.8973381140188407E-2</v>
      </c>
      <c r="AG3386">
        <v>-7.4669000000000096E-2</v>
      </c>
      <c r="AH3386">
        <v>0.41672702594962602</v>
      </c>
      <c r="AI3386">
        <v>99.939045955367803</v>
      </c>
      <c r="AJ3386">
        <v>77.948007376362398</v>
      </c>
      <c r="AK3386">
        <v>0.43261199274793299</v>
      </c>
    </row>
    <row r="3387" spans="1:37" x14ac:dyDescent="0.2">
      <c r="A3387" t="str">
        <f>"20200111153717559"</f>
        <v>20200111153717559</v>
      </c>
      <c r="B3387" t="str">
        <f>"1578728237546763"</f>
        <v>1578728237546763</v>
      </c>
      <c r="C3387" t="s">
        <v>37</v>
      </c>
      <c r="D3387">
        <v>6.0223360000000001</v>
      </c>
      <c r="E3387">
        <v>0.54814030000000002</v>
      </c>
      <c r="F3387" t="s">
        <v>38</v>
      </c>
      <c r="G3387">
        <v>-238.79130000000001</v>
      </c>
      <c r="H3387">
        <v>1.0329839999999999</v>
      </c>
      <c r="I3387">
        <v>214.63890000000001</v>
      </c>
      <c r="J3387">
        <v>-239.1848</v>
      </c>
      <c r="K3387">
        <v>1.1051029999999999</v>
      </c>
      <c r="L3387">
        <v>214.72370000000001</v>
      </c>
      <c r="M3387">
        <v>0.99980659999999899</v>
      </c>
      <c r="N3387">
        <v>0</v>
      </c>
      <c r="O3387">
        <v>1.3676880000000001E-2</v>
      </c>
      <c r="P3387">
        <v>0.99732469999999995</v>
      </c>
      <c r="Q3387">
        <v>6.8223489999999998E-2</v>
      </c>
      <c r="R3387">
        <v>2.6247530000000002E-2</v>
      </c>
      <c r="S3387">
        <v>3.035812</v>
      </c>
      <c r="T3387">
        <v>-0.28256700000000001</v>
      </c>
      <c r="U3387">
        <v>-0.31095889999999998</v>
      </c>
      <c r="V3387">
        <v>-1.265933E-2</v>
      </c>
      <c r="W3387">
        <v>8.2308850000000003E-2</v>
      </c>
      <c r="X3387">
        <v>0.99652649999999998</v>
      </c>
      <c r="Y3387">
        <v>0.1149442</v>
      </c>
      <c r="Z3387">
        <v>-6.5912990000000001E-3</v>
      </c>
      <c r="AA3387">
        <v>0.99335010000000001</v>
      </c>
      <c r="AB3387">
        <v>38</v>
      </c>
      <c r="AC3387">
        <v>0.39349999999998803</v>
      </c>
      <c r="AD3387">
        <v>-7.2119000000000003E-2</v>
      </c>
      <c r="AE3387">
        <v>-8.4800000000001305E-2</v>
      </c>
      <c r="AF3387">
        <v>8.7369945206509605E-2</v>
      </c>
      <c r="AG3387">
        <v>-7.2119000000000003E-2</v>
      </c>
      <c r="AH3387">
        <v>0.38010226728121599</v>
      </c>
      <c r="AI3387">
        <v>100.47643596302299</v>
      </c>
      <c r="AJ3387">
        <v>77.0549059372009</v>
      </c>
      <c r="AK3387">
        <v>0.39662626120657901</v>
      </c>
    </row>
    <row r="3388" spans="1:37" x14ac:dyDescent="0.2">
      <c r="A3388" t="str">
        <f>"20200111153717581"</f>
        <v>20200111153717581</v>
      </c>
      <c r="B3388" t="str">
        <f>"1578728237576043"</f>
        <v>1578728237576043</v>
      </c>
      <c r="C3388" t="s">
        <v>37</v>
      </c>
      <c r="D3388">
        <v>5.99261</v>
      </c>
      <c r="E3388">
        <v>0.54892269999999999</v>
      </c>
      <c r="F3388" t="s">
        <v>38</v>
      </c>
      <c r="G3388">
        <v>-238.44630000000001</v>
      </c>
      <c r="H3388">
        <v>1.0359240000000001</v>
      </c>
      <c r="I3388">
        <v>214.64689999999999</v>
      </c>
      <c r="J3388">
        <v>-238.7996</v>
      </c>
      <c r="K3388">
        <v>1.1051029999999999</v>
      </c>
      <c r="L3388">
        <v>214.72929999999999</v>
      </c>
      <c r="M3388">
        <v>0.99980259999999999</v>
      </c>
      <c r="N3388">
        <v>0</v>
      </c>
      <c r="O3388">
        <v>1.396E-2</v>
      </c>
      <c r="P3388">
        <v>0.99734059999999902</v>
      </c>
      <c r="Q3388">
        <v>6.7869760000000001E-2</v>
      </c>
      <c r="R3388">
        <v>2.6564549999999999E-2</v>
      </c>
      <c r="S3388">
        <v>3.035828</v>
      </c>
      <c r="T3388">
        <v>-0.28440850000000001</v>
      </c>
      <c r="U3388">
        <v>-0.31561279999999903</v>
      </c>
      <c r="V3388">
        <v>-1.269296E-2</v>
      </c>
      <c r="W3388">
        <v>8.195289E-2</v>
      </c>
      <c r="X3388">
        <v>0.99655539999999998</v>
      </c>
      <c r="Y3388">
        <v>0.116715599999999</v>
      </c>
      <c r="Z3388">
        <v>-6.7424989999999999E-3</v>
      </c>
      <c r="AA3388">
        <v>0.99314249999999904</v>
      </c>
      <c r="AB3388">
        <v>38</v>
      </c>
      <c r="AC3388">
        <v>0.35329999999999001</v>
      </c>
      <c r="AD3388">
        <v>-6.9179000000000102E-2</v>
      </c>
      <c r="AE3388">
        <v>-8.2400000000006898E-2</v>
      </c>
      <c r="AF3388">
        <v>8.42605778538177E-2</v>
      </c>
      <c r="AG3388">
        <v>-6.9179000000000102E-2</v>
      </c>
      <c r="AH3388">
        <v>0.33976049767155603</v>
      </c>
      <c r="AI3388">
        <v>101.178996640669</v>
      </c>
      <c r="AJ3388">
        <v>76.071662122821294</v>
      </c>
      <c r="AK3388">
        <v>0.35682317021079601</v>
      </c>
    </row>
    <row r="3389" spans="1:37" x14ac:dyDescent="0.2">
      <c r="A3389" t="str">
        <f>"20200111153717604"</f>
        <v>20200111153717604</v>
      </c>
      <c r="B3389" t="str">
        <f>"1578728237596539"</f>
        <v>1578728237596539</v>
      </c>
      <c r="C3389" t="s">
        <v>37</v>
      </c>
      <c r="D3389">
        <v>5.9859559999999998</v>
      </c>
      <c r="E3389">
        <v>0.54923469999999996</v>
      </c>
      <c r="F3389" t="s">
        <v>38</v>
      </c>
      <c r="G3389">
        <v>-237.7724</v>
      </c>
      <c r="H3389">
        <v>1.008678</v>
      </c>
      <c r="I3389">
        <v>214.6206</v>
      </c>
      <c r="J3389">
        <v>-238.40049999999999</v>
      </c>
      <c r="K3389">
        <v>1.1050990000000001</v>
      </c>
      <c r="L3389">
        <v>214.73509999999999</v>
      </c>
      <c r="M3389">
        <v>0.99979850000000003</v>
      </c>
      <c r="N3389">
        <v>0</v>
      </c>
      <c r="O3389">
        <v>1.425324E-2</v>
      </c>
      <c r="P3389">
        <v>0.99731340000000002</v>
      </c>
      <c r="Q3389">
        <v>6.8082149999999994E-2</v>
      </c>
      <c r="R3389">
        <v>2.7029549999999999E-2</v>
      </c>
      <c r="S3389">
        <v>3.0359500000000001</v>
      </c>
      <c r="T3389">
        <v>-0.2851535</v>
      </c>
      <c r="U3389">
        <v>-0.32051089999999999</v>
      </c>
      <c r="V3389">
        <v>-1.286619E-2</v>
      </c>
      <c r="W3389">
        <v>8.2162949999999998E-2</v>
      </c>
      <c r="X3389">
        <v>0.99653579999999997</v>
      </c>
      <c r="Y3389">
        <v>0.11857519999999901</v>
      </c>
      <c r="Z3389">
        <v>-6.8735799999999998E-3</v>
      </c>
      <c r="AA3389">
        <v>0.99292130000000001</v>
      </c>
      <c r="AB3389">
        <v>38</v>
      </c>
      <c r="AC3389">
        <v>0.628099999999989</v>
      </c>
      <c r="AD3389">
        <v>-9.6421000000000007E-2</v>
      </c>
      <c r="AE3389">
        <v>-0.114499999999992</v>
      </c>
      <c r="AF3389">
        <v>0.12068904079459</v>
      </c>
      <c r="AG3389">
        <v>-9.6421000000000007E-2</v>
      </c>
      <c r="AH3389">
        <v>0.61243557044241503</v>
      </c>
      <c r="AI3389">
        <v>98.780955860588406</v>
      </c>
      <c r="AJ3389">
        <v>78.851905486024606</v>
      </c>
      <c r="AK3389">
        <v>0.63161711641788498</v>
      </c>
    </row>
    <row r="3390" spans="1:37" x14ac:dyDescent="0.2">
      <c r="A3390" t="str">
        <f>"20200111153717626"</f>
        <v>20200111153717626</v>
      </c>
      <c r="B3390" t="str">
        <f>"1578728237616059"</f>
        <v>1578728237616059</v>
      </c>
      <c r="C3390" t="s">
        <v>37</v>
      </c>
      <c r="D3390">
        <v>6.3717040000000003</v>
      </c>
      <c r="E3390">
        <v>0.54946479999999998</v>
      </c>
      <c r="F3390" t="s">
        <v>38</v>
      </c>
      <c r="G3390">
        <v>-237.4272</v>
      </c>
      <c r="H3390">
        <v>1.013943</v>
      </c>
      <c r="I3390">
        <v>214.63200000000001</v>
      </c>
      <c r="J3390">
        <v>-238.01570000000001</v>
      </c>
      <c r="K3390">
        <v>1.1050949999999999</v>
      </c>
      <c r="L3390">
        <v>214.74090000000001</v>
      </c>
      <c r="M3390">
        <v>0.99979459999999998</v>
      </c>
      <c r="N3390">
        <v>0</v>
      </c>
      <c r="O3390">
        <v>1.453606E-2</v>
      </c>
      <c r="P3390">
        <v>0.99727330000000003</v>
      </c>
      <c r="Q3390">
        <v>6.8470050000000005E-2</v>
      </c>
      <c r="R3390">
        <v>2.7529140000000001E-2</v>
      </c>
      <c r="S3390">
        <v>3.0362089999999999</v>
      </c>
      <c r="T3390">
        <v>-0.28437959999999901</v>
      </c>
      <c r="U3390">
        <v>-0.3214264</v>
      </c>
      <c r="V3390">
        <v>-1.308435E-2</v>
      </c>
      <c r="W3390">
        <v>8.2548339999999998E-2</v>
      </c>
      <c r="X3390">
        <v>0.99650110000000003</v>
      </c>
      <c r="Y3390">
        <v>0.119142899999999</v>
      </c>
      <c r="Z3390">
        <v>-6.9071389999999996E-3</v>
      </c>
      <c r="AA3390">
        <v>0.99285309999999904</v>
      </c>
      <c r="AB3390">
        <v>38</v>
      </c>
      <c r="AC3390">
        <v>0.58850000000001002</v>
      </c>
      <c r="AD3390">
        <v>-9.1152000000000094E-2</v>
      </c>
      <c r="AE3390">
        <v>-0.10890000000000501</v>
      </c>
      <c r="AF3390">
        <v>0.114781323966307</v>
      </c>
      <c r="AG3390">
        <v>-9.1152000000000094E-2</v>
      </c>
      <c r="AH3390">
        <v>0.573550473647647</v>
      </c>
      <c r="AI3390">
        <v>98.857496976371394</v>
      </c>
      <c r="AJ3390">
        <v>78.683225801715906</v>
      </c>
      <c r="AK3390">
        <v>0.59198275756722696</v>
      </c>
    </row>
    <row r="3391" spans="1:37" x14ac:dyDescent="0.2">
      <c r="A3391" t="str">
        <f>"20200111153717648"</f>
        <v>20200111153717648</v>
      </c>
      <c r="B3391" t="str">
        <f>"1578728237636090"</f>
        <v>1578728237636090</v>
      </c>
      <c r="C3391" t="s">
        <v>37</v>
      </c>
      <c r="D3391">
        <v>5.9714369999999999</v>
      </c>
      <c r="E3391">
        <v>0.54971539999999997</v>
      </c>
      <c r="F3391" t="s">
        <v>38</v>
      </c>
      <c r="G3391">
        <v>-237.0829</v>
      </c>
      <c r="H3391">
        <v>1.0180020000000001</v>
      </c>
      <c r="I3391">
        <v>214.6422</v>
      </c>
      <c r="J3391">
        <v>-237.64359999999999</v>
      </c>
      <c r="K3391">
        <v>1.105091</v>
      </c>
      <c r="L3391">
        <v>214.7466</v>
      </c>
      <c r="M3391">
        <v>0.99979050000000003</v>
      </c>
      <c r="N3391">
        <v>0</v>
      </c>
      <c r="O3391">
        <v>1.480952E-2</v>
      </c>
      <c r="P3391">
        <v>0.99724219999999897</v>
      </c>
      <c r="Q3391">
        <v>6.8805519999999995E-2</v>
      </c>
      <c r="R3391">
        <v>2.7820290000000001E-2</v>
      </c>
      <c r="S3391">
        <v>3.03653</v>
      </c>
      <c r="T3391">
        <v>-0.28351579999999998</v>
      </c>
      <c r="U3391">
        <v>-0.32121279999999902</v>
      </c>
      <c r="V3391">
        <v>-1.310299E-2</v>
      </c>
      <c r="W3391">
        <v>8.2880999999999996E-2</v>
      </c>
      <c r="X3391">
        <v>0.99647330000000001</v>
      </c>
      <c r="Y3391">
        <v>0.119335999999999</v>
      </c>
      <c r="Z3391">
        <v>-6.9199429999999996E-3</v>
      </c>
      <c r="AA3391">
        <v>0.99282979999999998</v>
      </c>
      <c r="AB3391">
        <v>38</v>
      </c>
      <c r="AC3391">
        <v>0.56069999999999698</v>
      </c>
      <c r="AD3391">
        <v>-8.7088999999999903E-2</v>
      </c>
      <c r="AE3391">
        <v>-0.10439999999999799</v>
      </c>
      <c r="AF3391">
        <v>0.11012533357059399</v>
      </c>
      <c r="AG3391">
        <v>-8.7088999999999903E-2</v>
      </c>
      <c r="AH3391">
        <v>0.54635316378701304</v>
      </c>
      <c r="AI3391">
        <v>98.881102275016701</v>
      </c>
      <c r="AJ3391">
        <v>78.603908855921105</v>
      </c>
      <c r="AK3391">
        <v>0.56410447843915701</v>
      </c>
    </row>
    <row r="3392" spans="1:37" x14ac:dyDescent="0.2">
      <c r="A3392" t="str">
        <f>"20200111153717670"</f>
        <v>20200111153717670</v>
      </c>
      <c r="B3392" t="str">
        <f>"1578728237666343"</f>
        <v>1578728237666343</v>
      </c>
      <c r="C3392" t="s">
        <v>37</v>
      </c>
      <c r="D3392">
        <v>5.9913939999999997</v>
      </c>
      <c r="E3392">
        <v>0.55271610000000004</v>
      </c>
      <c r="F3392" t="s">
        <v>38</v>
      </c>
      <c r="G3392">
        <v>-236.73920000000001</v>
      </c>
      <c r="H3392">
        <v>1.0211539999999999</v>
      </c>
      <c r="I3392">
        <v>214.6507</v>
      </c>
      <c r="J3392">
        <v>-237.27420000000001</v>
      </c>
      <c r="K3392">
        <v>1.1050959999999901</v>
      </c>
      <c r="L3392">
        <v>214.75229999999999</v>
      </c>
      <c r="M3392">
        <v>0.99978630000000002</v>
      </c>
      <c r="N3392">
        <v>0</v>
      </c>
      <c r="O3392">
        <v>1.50793E-2</v>
      </c>
      <c r="P3392">
        <v>0.9972048</v>
      </c>
      <c r="Q3392">
        <v>6.9114690000000006E-2</v>
      </c>
      <c r="R3392">
        <v>2.8383780000000001E-2</v>
      </c>
      <c r="S3392">
        <v>3.0367579999999998</v>
      </c>
      <c r="T3392">
        <v>-0.28186630000000001</v>
      </c>
      <c r="U3392">
        <v>-0.32173160000000001</v>
      </c>
      <c r="V3392">
        <v>-1.33977E-2</v>
      </c>
      <c r="W3392">
        <v>8.3204109999999998E-2</v>
      </c>
      <c r="X3392">
        <v>0.99644239999999995</v>
      </c>
      <c r="Y3392">
        <v>0.1197675</v>
      </c>
      <c r="Z3392">
        <v>-6.9241369999999899E-3</v>
      </c>
      <c r="AA3392">
        <v>0.99277780000000004</v>
      </c>
      <c r="AB3392">
        <v>38</v>
      </c>
      <c r="AC3392">
        <v>0.53499999999999603</v>
      </c>
      <c r="AD3392">
        <v>-8.3941999999999697E-2</v>
      </c>
      <c r="AE3392">
        <v>-0.10159999999999</v>
      </c>
      <c r="AF3392">
        <v>0.10711160192916901</v>
      </c>
      <c r="AG3392">
        <v>-8.3941999999999697E-2</v>
      </c>
      <c r="AH3392">
        <v>0.52102684258488297</v>
      </c>
      <c r="AI3392">
        <v>98.967812109537505</v>
      </c>
      <c r="AJ3392">
        <v>78.383101773285702</v>
      </c>
      <c r="AK3392">
        <v>0.53850545524238203</v>
      </c>
    </row>
    <row r="3393" spans="1:37" x14ac:dyDescent="0.2">
      <c r="A3393" t="str">
        <f>"20200111153717693"</f>
        <v>20200111153717693</v>
      </c>
      <c r="B3393" t="str">
        <f>"1578728237686839"</f>
        <v>1578728237686839</v>
      </c>
      <c r="C3393" t="s">
        <v>37</v>
      </c>
      <c r="D3393">
        <v>5.9904299999999999</v>
      </c>
      <c r="E3393">
        <v>0.55349890000000002</v>
      </c>
      <c r="F3393" t="s">
        <v>38</v>
      </c>
      <c r="G3393">
        <v>-236.38079999999999</v>
      </c>
      <c r="H3393">
        <v>1.04695</v>
      </c>
      <c r="I3393">
        <v>214.65110000000001</v>
      </c>
      <c r="J3393">
        <v>-236.87540000000001</v>
      </c>
      <c r="K3393">
        <v>1.105124</v>
      </c>
      <c r="L3393">
        <v>214.7586</v>
      </c>
      <c r="M3393">
        <v>0.99978080000000003</v>
      </c>
      <c r="N3393">
        <v>0</v>
      </c>
      <c r="O3393">
        <v>1.5362789999999999E-2</v>
      </c>
      <c r="P3393">
        <v>0.99718430000000002</v>
      </c>
      <c r="Q3393">
        <v>6.9410609999999998E-2</v>
      </c>
      <c r="R3393">
        <v>2.838837E-2</v>
      </c>
      <c r="S3393">
        <v>3.0318450000000001</v>
      </c>
      <c r="T3393">
        <v>-0.19759350000000001</v>
      </c>
      <c r="U3393">
        <v>-0.34225459999999902</v>
      </c>
      <c r="V3393">
        <v>-1.312075E-2</v>
      </c>
      <c r="W3393">
        <v>8.3587579999999995E-2</v>
      </c>
      <c r="X3393">
        <v>0.99641409999999997</v>
      </c>
      <c r="Y3393">
        <v>0.12712960000000001</v>
      </c>
      <c r="Z3393">
        <v>-5.1225439999999997E-3</v>
      </c>
      <c r="AA3393">
        <v>0.99187289999999995</v>
      </c>
      <c r="AB3393">
        <v>38</v>
      </c>
      <c r="AC3393">
        <v>0.49460000000001902</v>
      </c>
      <c r="AD3393">
        <v>-5.8173999999999899E-2</v>
      </c>
      <c r="AE3393">
        <v>-0.10749999999998699</v>
      </c>
      <c r="AF3393">
        <v>0.113586041798722</v>
      </c>
      <c r="AG3393">
        <v>-5.8173999999999899E-2</v>
      </c>
      <c r="AH3393">
        <v>0.48646375540262299</v>
      </c>
      <c r="AI3393">
        <v>96.642354901691903</v>
      </c>
      <c r="AJ3393">
        <v>76.857284238909799</v>
      </c>
      <c r="AK3393">
        <v>0.50292443616106397</v>
      </c>
    </row>
    <row r="3394" spans="1:37" x14ac:dyDescent="0.2">
      <c r="A3394" t="str">
        <f>"20200111153717715"</f>
        <v>20200111153717715</v>
      </c>
      <c r="B3394" t="str">
        <f>"1578728237706359"</f>
        <v>1578728237706359</v>
      </c>
      <c r="C3394" t="s">
        <v>37</v>
      </c>
      <c r="D3394">
        <v>5.9977159999999996</v>
      </c>
      <c r="E3394">
        <v>0.55336799999999997</v>
      </c>
      <c r="F3394" t="s">
        <v>38</v>
      </c>
      <c r="G3394">
        <v>-236.04060000000001</v>
      </c>
      <c r="H3394">
        <v>1.046654</v>
      </c>
      <c r="I3394">
        <v>214.6627</v>
      </c>
      <c r="J3394">
        <v>-236.49930000000001</v>
      </c>
      <c r="K3394">
        <v>1.1051739999999901</v>
      </c>
      <c r="L3394">
        <v>214.7646</v>
      </c>
      <c r="M3394">
        <v>0.9997743</v>
      </c>
      <c r="N3394">
        <v>0</v>
      </c>
      <c r="O3394">
        <v>1.563032E-2</v>
      </c>
      <c r="P3394">
        <v>0.99715039999999999</v>
      </c>
      <c r="Q3394">
        <v>7.0210090000000003E-2</v>
      </c>
      <c r="R3394">
        <v>2.760079E-2</v>
      </c>
      <c r="S3394">
        <v>3.0331730000000001</v>
      </c>
      <c r="T3394">
        <v>-0.212464399999999</v>
      </c>
      <c r="U3394">
        <v>-0.34817500000000001</v>
      </c>
      <c r="V3394">
        <v>-1.20682999999999E-2</v>
      </c>
      <c r="W3394">
        <v>8.4553089999999997E-2</v>
      </c>
      <c r="X3394">
        <v>0.99634590000000001</v>
      </c>
      <c r="Y3394">
        <v>0.12920580000000001</v>
      </c>
      <c r="Z3394">
        <v>-5.595231E-3</v>
      </c>
      <c r="AA3394">
        <v>0.99160199999999998</v>
      </c>
      <c r="AB3394">
        <v>38</v>
      </c>
      <c r="AC3394">
        <v>0.458699999999993</v>
      </c>
      <c r="AD3394">
        <v>-5.85199999999996E-2</v>
      </c>
      <c r="AE3394">
        <v>-0.1019</v>
      </c>
      <c r="AF3394">
        <v>0.107392194238145</v>
      </c>
      <c r="AG3394">
        <v>-5.85199999999996E-2</v>
      </c>
      <c r="AH3394">
        <v>0.45007016794496402</v>
      </c>
      <c r="AI3394">
        <v>97.208131977837695</v>
      </c>
      <c r="AJ3394">
        <v>76.579479479500307</v>
      </c>
      <c r="AK3394">
        <v>0.46639128407088798</v>
      </c>
    </row>
    <row r="3395" spans="1:37" x14ac:dyDescent="0.2">
      <c r="A3395" t="str">
        <f>"20200111153717737"</f>
        <v>20200111153717737</v>
      </c>
      <c r="B3395" t="str">
        <f>"1578728237726855"</f>
        <v>1578728237726855</v>
      </c>
      <c r="C3395" t="s">
        <v>37</v>
      </c>
      <c r="D3395">
        <v>5.9749119999999998</v>
      </c>
      <c r="E3395">
        <v>0.55335440000000002</v>
      </c>
      <c r="F3395" t="s">
        <v>38</v>
      </c>
      <c r="G3395">
        <v>-235.702</v>
      </c>
      <c r="H3395">
        <v>1.045045</v>
      </c>
      <c r="I3395">
        <v>214.6728</v>
      </c>
      <c r="J3395">
        <v>-236.13099999999901</v>
      </c>
      <c r="K3395">
        <v>1.1052249999999999</v>
      </c>
      <c r="L3395">
        <v>214.77070000000001</v>
      </c>
      <c r="M3395">
        <v>0.99976690000000001</v>
      </c>
      <c r="N3395">
        <v>0</v>
      </c>
      <c r="O3395">
        <v>1.5905010000000001E-2</v>
      </c>
      <c r="P3395">
        <v>0.99715540000000003</v>
      </c>
      <c r="Q3395">
        <v>7.0668339999999996E-2</v>
      </c>
      <c r="R3395">
        <v>2.621103E-2</v>
      </c>
      <c r="S3395">
        <v>3.034332</v>
      </c>
      <c r="T3395">
        <v>-0.22891139999999999</v>
      </c>
      <c r="U3395">
        <v>-0.3490143</v>
      </c>
      <c r="V3395">
        <v>-1.040629E-2</v>
      </c>
      <c r="W3395">
        <v>8.5210649999999999E-2</v>
      </c>
      <c r="X3395">
        <v>0.99630859999999899</v>
      </c>
      <c r="Y3395">
        <v>0.12964800000000001</v>
      </c>
      <c r="Z3395">
        <v>-6.0620559999999997E-3</v>
      </c>
      <c r="AA3395">
        <v>0.99154159999999902</v>
      </c>
      <c r="AB3395">
        <v>38</v>
      </c>
      <c r="AC3395">
        <v>0.42899999999997301</v>
      </c>
      <c r="AD3395">
        <v>-6.01799999999999E-2</v>
      </c>
      <c r="AE3395">
        <v>-9.7900000000009799E-2</v>
      </c>
      <c r="AF3395">
        <v>0.102788991806072</v>
      </c>
      <c r="AG3395">
        <v>-6.01799999999999E-2</v>
      </c>
      <c r="AH3395">
        <v>0.41954122166421698</v>
      </c>
      <c r="AI3395">
        <v>97.9314972892154</v>
      </c>
      <c r="AJ3395">
        <v>76.233519912963999</v>
      </c>
      <c r="AK3395">
        <v>0.43612159532865602</v>
      </c>
    </row>
    <row r="3396" spans="1:37" x14ac:dyDescent="0.2">
      <c r="A3396" t="str">
        <f>"20200111153717759"</f>
        <v>20200111153717759</v>
      </c>
      <c r="B3396" t="str">
        <f>"1578728237756643"</f>
        <v>1578728237756643</v>
      </c>
      <c r="C3396" t="s">
        <v>37</v>
      </c>
      <c r="D3396">
        <v>5.9682500000000003</v>
      </c>
      <c r="E3396">
        <v>0.55357400000000001</v>
      </c>
      <c r="F3396" t="s">
        <v>38</v>
      </c>
      <c r="G3396">
        <v>-235.36250000000001</v>
      </c>
      <c r="H3396">
        <v>1.044861</v>
      </c>
      <c r="I3396">
        <v>214.68119999999999</v>
      </c>
      <c r="J3396">
        <v>-235.75129999999999</v>
      </c>
      <c r="K3396">
        <v>1.10527999999999</v>
      </c>
      <c r="L3396">
        <v>214.77699999999999</v>
      </c>
      <c r="M3396">
        <v>0.99975890000000001</v>
      </c>
      <c r="N3396">
        <v>0</v>
      </c>
      <c r="O3396">
        <v>1.6214949999999999E-2</v>
      </c>
      <c r="P3396">
        <v>0.99719919999999995</v>
      </c>
      <c r="Q3396">
        <v>7.0764389999999996E-2</v>
      </c>
      <c r="R3396">
        <v>2.4210590000000001E-2</v>
      </c>
      <c r="S3396">
        <v>3.0347140000000001</v>
      </c>
      <c r="T3396">
        <v>-0.238484</v>
      </c>
      <c r="U3396">
        <v>-0.35290529999999998</v>
      </c>
      <c r="V3396">
        <v>-8.0995519999999994E-3</v>
      </c>
      <c r="W3396">
        <v>8.5517090000000004E-2</v>
      </c>
      <c r="X3396">
        <v>0.99630379999999996</v>
      </c>
      <c r="Y3396">
        <v>0.13115560000000001</v>
      </c>
      <c r="Z3396">
        <v>-6.3967569999999899E-3</v>
      </c>
      <c r="AA3396">
        <v>0.99134120000000003</v>
      </c>
      <c r="AB3396">
        <v>38</v>
      </c>
      <c r="AC3396">
        <v>0.388799999999974</v>
      </c>
      <c r="AD3396">
        <v>-6.0418999999999702E-2</v>
      </c>
      <c r="AE3396">
        <v>-9.5800000000025406E-2</v>
      </c>
      <c r="AF3396">
        <v>9.9819912953827195E-2</v>
      </c>
      <c r="AG3396">
        <v>-6.0418999999999702E-2</v>
      </c>
      <c r="AH3396">
        <v>0.37857643849382699</v>
      </c>
      <c r="AI3396">
        <v>98.772736012486007</v>
      </c>
      <c r="AJ3396">
        <v>75.228905629506599</v>
      </c>
      <c r="AK3396">
        <v>0.396149707012109</v>
      </c>
    </row>
    <row r="3397" spans="1:37" x14ac:dyDescent="0.2">
      <c r="A3397" t="str">
        <f>"20200111153717782"</f>
        <v>20200111153717782</v>
      </c>
      <c r="B3397" t="str">
        <f>"1578728237776163"</f>
        <v>1578728237776163</v>
      </c>
      <c r="C3397" t="s">
        <v>37</v>
      </c>
      <c r="D3397">
        <v>6.0049190000000001</v>
      </c>
      <c r="E3397">
        <v>0.55369659999999998</v>
      </c>
      <c r="F3397" t="s">
        <v>38</v>
      </c>
      <c r="G3397">
        <v>-234.69710000000001</v>
      </c>
      <c r="H3397">
        <v>1.0198780000000001</v>
      </c>
      <c r="I3397">
        <v>214.65190000000001</v>
      </c>
      <c r="J3397">
        <v>-235.36359999999999</v>
      </c>
      <c r="K3397">
        <v>1.1053459999999999</v>
      </c>
      <c r="L3397">
        <v>214.78370000000001</v>
      </c>
      <c r="M3397">
        <v>0.99974940000000001</v>
      </c>
      <c r="N3397">
        <v>0</v>
      </c>
      <c r="O3397">
        <v>1.6581970000000001E-2</v>
      </c>
      <c r="P3397">
        <v>0.99724310000000005</v>
      </c>
      <c r="Q3397">
        <v>7.1000489999999999E-2</v>
      </c>
      <c r="R3397">
        <v>2.156872E-2</v>
      </c>
      <c r="S3397">
        <v>3.034637</v>
      </c>
      <c r="T3397">
        <v>-0.24587579999999901</v>
      </c>
      <c r="U3397">
        <v>-0.36012270000000002</v>
      </c>
      <c r="V3397">
        <v>-5.095886E-3</v>
      </c>
      <c r="W3397">
        <v>8.6001659999999994E-2</v>
      </c>
      <c r="X3397">
        <v>0.996282</v>
      </c>
      <c r="Y3397">
        <v>0.1338097</v>
      </c>
      <c r="Z3397">
        <v>-6.7302359999999997E-3</v>
      </c>
      <c r="AA3397">
        <v>0.99098419999999898</v>
      </c>
      <c r="AB3397">
        <v>38</v>
      </c>
      <c r="AC3397">
        <v>0.66649999999998499</v>
      </c>
      <c r="AD3397">
        <v>-8.5467999999999794E-2</v>
      </c>
      <c r="AE3397">
        <v>-0.131799999999998</v>
      </c>
      <c r="AF3397">
        <v>0.140609838137496</v>
      </c>
      <c r="AG3397">
        <v>-8.5467999999999794E-2</v>
      </c>
      <c r="AH3397">
        <v>0.65387493243443995</v>
      </c>
      <c r="AI3397">
        <v>97.282287967500395</v>
      </c>
      <c r="AJ3397">
        <v>77.863881313345303</v>
      </c>
      <c r="AK3397">
        <v>0.67426132387316695</v>
      </c>
    </row>
    <row r="3398" spans="1:37" x14ac:dyDescent="0.2">
      <c r="A3398" t="str">
        <f>"20200111153717805"</f>
        <v>20200111153717805</v>
      </c>
      <c r="B3398" t="str">
        <f>"1578728237796658"</f>
        <v>1578728237796658</v>
      </c>
      <c r="C3398" t="s">
        <v>37</v>
      </c>
      <c r="D3398">
        <v>5.9924790000000003</v>
      </c>
      <c r="E3398">
        <v>0.55378070000000001</v>
      </c>
      <c r="F3398" t="s">
        <v>38</v>
      </c>
      <c r="G3398">
        <v>-234.35820000000001</v>
      </c>
      <c r="H3398">
        <v>1.0225040000000001</v>
      </c>
      <c r="I3398">
        <v>214.66149999999999</v>
      </c>
      <c r="J3398">
        <v>-234.98179999999999</v>
      </c>
      <c r="K3398">
        <v>1.1054139999999999</v>
      </c>
      <c r="L3398">
        <v>214.79040000000001</v>
      </c>
      <c r="M3398">
        <v>0.99973819999999902</v>
      </c>
      <c r="N3398">
        <v>0</v>
      </c>
      <c r="O3398">
        <v>1.698674E-2</v>
      </c>
      <c r="P3398">
        <v>0.99735720000000005</v>
      </c>
      <c r="Q3398">
        <v>7.0130250000000005E-2</v>
      </c>
      <c r="R3398">
        <v>1.8977540000000001E-2</v>
      </c>
      <c r="S3398">
        <v>3.0340729999999998</v>
      </c>
      <c r="T3398">
        <v>-0.25007550000000001</v>
      </c>
      <c r="U3398">
        <v>-0.36819459999999998</v>
      </c>
      <c r="V3398">
        <v>-2.1035429999999998E-3</v>
      </c>
      <c r="W3398">
        <v>8.5410669999999994E-2</v>
      </c>
      <c r="X3398">
        <v>0.9963436</v>
      </c>
      <c r="Y3398">
        <v>0.13680290000000001</v>
      </c>
      <c r="Z3398">
        <v>-7.000905E-3</v>
      </c>
      <c r="AA3398">
        <v>0.9905735</v>
      </c>
      <c r="AB3398">
        <v>38</v>
      </c>
      <c r="AC3398">
        <v>0.62359999999998195</v>
      </c>
      <c r="AD3398">
        <v>-8.2909999999999803E-2</v>
      </c>
      <c r="AE3398">
        <v>-0.128900000000015</v>
      </c>
      <c r="AF3398">
        <v>0.13715054140986099</v>
      </c>
      <c r="AG3398">
        <v>-8.2909999999999803E-2</v>
      </c>
      <c r="AH3398">
        <v>0.61096286376266895</v>
      </c>
      <c r="AI3398">
        <v>97.542581182033899</v>
      </c>
      <c r="AJ3398">
        <v>77.3478351890044</v>
      </c>
      <c r="AK3398">
        <v>0.63163277306208498</v>
      </c>
    </row>
    <row r="3399" spans="1:37" x14ac:dyDescent="0.2">
      <c r="A3399" t="str">
        <f>"20200111153717826"</f>
        <v>20200111153717826</v>
      </c>
      <c r="B3399" t="str">
        <f>"1578728237816179"</f>
        <v>1578728237816179</v>
      </c>
      <c r="C3399" t="s">
        <v>37</v>
      </c>
      <c r="D3399">
        <v>5.9761389999999999</v>
      </c>
      <c r="E3399">
        <v>0.55361870000000002</v>
      </c>
      <c r="F3399" t="s">
        <v>38</v>
      </c>
      <c r="G3399">
        <v>-234.0204</v>
      </c>
      <c r="H3399">
        <v>1.0245309999999901</v>
      </c>
      <c r="I3399">
        <v>214.67089999999999</v>
      </c>
      <c r="J3399">
        <v>-234.61519999999999</v>
      </c>
      <c r="K3399">
        <v>1.1054740000000001</v>
      </c>
      <c r="L3399">
        <v>214.7971</v>
      </c>
      <c r="M3399">
        <v>0.99972649999999996</v>
      </c>
      <c r="N3399">
        <v>0</v>
      </c>
      <c r="O3399">
        <v>1.7422989999999999E-2</v>
      </c>
      <c r="P3399">
        <v>0.99743309999999996</v>
      </c>
      <c r="Q3399">
        <v>6.960856E-2</v>
      </c>
      <c r="R3399">
        <v>1.6789510000000001E-2</v>
      </c>
      <c r="S3399">
        <v>3.0330659999999998</v>
      </c>
      <c r="T3399">
        <v>-0.25528960000000001</v>
      </c>
      <c r="U3399">
        <v>-0.37640380000000001</v>
      </c>
      <c r="V3399">
        <v>5.1409470000000001E-4</v>
      </c>
      <c r="W3399">
        <v>8.5157910000000003E-2</v>
      </c>
      <c r="X3399">
        <v>0.99636729999999996</v>
      </c>
      <c r="Y3399">
        <v>0.13988100000000001</v>
      </c>
      <c r="Z3399">
        <v>-7.3129190000000002E-3</v>
      </c>
      <c r="AA3399">
        <v>0.9901413</v>
      </c>
      <c r="AB3399">
        <v>38</v>
      </c>
      <c r="AC3399">
        <v>0.594799999999992</v>
      </c>
      <c r="AD3399">
        <v>-8.0943000000000195E-2</v>
      </c>
      <c r="AE3399">
        <v>-0.126200000000011</v>
      </c>
      <c r="AF3399">
        <v>0.13416768160084799</v>
      </c>
      <c r="AG3399">
        <v>-8.0943000000000195E-2</v>
      </c>
      <c r="AH3399">
        <v>0.58219347206032901</v>
      </c>
      <c r="AI3399">
        <v>97.715460868203195</v>
      </c>
      <c r="AJ3399">
        <v>77.022638429925195</v>
      </c>
      <c r="AK3399">
        <v>0.60291124964194098</v>
      </c>
    </row>
    <row r="3400" spans="1:37" x14ac:dyDescent="0.2">
      <c r="A3400" t="str">
        <f>"20200111153717850"</f>
        <v>20200111153717850</v>
      </c>
      <c r="B3400" t="str">
        <f>"1578728237846801"</f>
        <v>1578728237846801</v>
      </c>
      <c r="C3400" t="s">
        <v>37</v>
      </c>
      <c r="D3400">
        <v>5.9821910000000003</v>
      </c>
      <c r="E3400">
        <v>0.54500959999999998</v>
      </c>
      <c r="F3400" t="s">
        <v>38</v>
      </c>
      <c r="G3400">
        <v>-233.68389999999999</v>
      </c>
      <c r="H3400">
        <v>1.0258620000000001</v>
      </c>
      <c r="I3400">
        <v>214.6797</v>
      </c>
      <c r="J3400">
        <v>-234.22620000000001</v>
      </c>
      <c r="K3400">
        <v>1.105545</v>
      </c>
      <c r="L3400">
        <v>214.80430000000001</v>
      </c>
      <c r="M3400">
        <v>0.99971309999999902</v>
      </c>
      <c r="N3400">
        <v>0</v>
      </c>
      <c r="O3400">
        <v>1.7946090000000001E-2</v>
      </c>
      <c r="P3400">
        <v>0.99750049999999901</v>
      </c>
      <c r="Q3400">
        <v>6.8918049999999995E-2</v>
      </c>
      <c r="R3400">
        <v>1.5607859999999999E-2</v>
      </c>
      <c r="S3400">
        <v>3.032257</v>
      </c>
      <c r="T3400">
        <v>-0.2592776</v>
      </c>
      <c r="U3400">
        <v>-0.38175959999999998</v>
      </c>
      <c r="V3400">
        <v>2.2094739999999999E-3</v>
      </c>
      <c r="W3400">
        <v>8.4742189999999995E-2</v>
      </c>
      <c r="X3400">
        <v>0.99640049999999902</v>
      </c>
      <c r="Y3400">
        <v>0.14212569999999999</v>
      </c>
      <c r="Z3400">
        <v>-7.5678330000000004E-3</v>
      </c>
      <c r="AA3400">
        <v>0.98981969999999997</v>
      </c>
      <c r="AB3400">
        <v>38</v>
      </c>
      <c r="AC3400">
        <v>0.542300000000011</v>
      </c>
      <c r="AD3400">
        <v>-7.9682999999999907E-2</v>
      </c>
      <c r="AE3400">
        <v>-0.124600000000015</v>
      </c>
      <c r="AF3400">
        <v>0.131614255028182</v>
      </c>
      <c r="AG3400">
        <v>-7.9682999999999907E-2</v>
      </c>
      <c r="AH3400">
        <v>0.52912530704397898</v>
      </c>
      <c r="AI3400">
        <v>98.314388882059504</v>
      </c>
      <c r="AJ3400">
        <v>76.031760826800905</v>
      </c>
      <c r="AK3400">
        <v>0.55104018289958501</v>
      </c>
    </row>
    <row r="3401" spans="1:37" x14ac:dyDescent="0.2">
      <c r="A3401" t="str">
        <f>"20200111153717871"</f>
        <v>20200111153717871</v>
      </c>
      <c r="B3401" t="str">
        <f>"1578728237866320"</f>
        <v>1578728237866320</v>
      </c>
      <c r="C3401" t="s">
        <v>37</v>
      </c>
      <c r="D3401">
        <v>5.993252</v>
      </c>
      <c r="E3401">
        <v>0.54589319999999997</v>
      </c>
      <c r="F3401" t="s">
        <v>38</v>
      </c>
      <c r="G3401">
        <v>-233.34880000000001</v>
      </c>
      <c r="H3401">
        <v>1.0274669999999999</v>
      </c>
      <c r="I3401">
        <v>214.71260000000001</v>
      </c>
      <c r="J3401">
        <v>-233.87180000000001</v>
      </c>
      <c r="K3401">
        <v>1.1056189999999999</v>
      </c>
      <c r="L3401">
        <v>214.81120000000001</v>
      </c>
      <c r="M3401">
        <v>0.99969940000000002</v>
      </c>
      <c r="N3401">
        <v>0</v>
      </c>
      <c r="O3401">
        <v>1.8486349999999999E-2</v>
      </c>
      <c r="P3401">
        <v>0.99754169999999998</v>
      </c>
      <c r="Q3401">
        <v>6.8615280000000001E-2</v>
      </c>
      <c r="R3401">
        <v>1.423283E-2</v>
      </c>
      <c r="S3401">
        <v>3.0311129999999999</v>
      </c>
      <c r="T3401">
        <v>-0.26977399999999901</v>
      </c>
      <c r="U3401">
        <v>-0.31668089999999999</v>
      </c>
      <c r="V3401">
        <v>4.1135479999999999E-3</v>
      </c>
      <c r="W3401">
        <v>8.4688979999999997E-2</v>
      </c>
      <c r="X3401">
        <v>0.99639889999999998</v>
      </c>
      <c r="Y3401">
        <v>0.1217336</v>
      </c>
      <c r="Z3401">
        <v>-7.0301449999999998E-3</v>
      </c>
      <c r="AA3401">
        <v>0.99253789999999997</v>
      </c>
      <c r="AB3401">
        <v>38</v>
      </c>
      <c r="AC3401">
        <v>0.52299999999999602</v>
      </c>
      <c r="AD3401">
        <v>-7.8152000000000194E-2</v>
      </c>
      <c r="AE3401">
        <v>-9.8600000000004601E-2</v>
      </c>
      <c r="AF3401">
        <v>0.10596778002179701</v>
      </c>
      <c r="AG3401">
        <v>-7.8152000000000194E-2</v>
      </c>
      <c r="AH3401">
        <v>0.51008858182536299</v>
      </c>
      <c r="AI3401">
        <v>98.531313128797805</v>
      </c>
      <c r="AJ3401">
        <v>78.264083307612907</v>
      </c>
      <c r="AK3401">
        <v>0.52680856752273697</v>
      </c>
    </row>
    <row r="3402" spans="1:37" x14ac:dyDescent="0.2">
      <c r="A3402" t="str">
        <f>"20200111153717894"</f>
        <v>20200111153717894</v>
      </c>
      <c r="B3402" t="str">
        <f>"1578728237886816"</f>
        <v>1578728237886816</v>
      </c>
      <c r="C3402" t="s">
        <v>37</v>
      </c>
      <c r="D3402">
        <v>6.0146189999999997</v>
      </c>
      <c r="E3402">
        <v>0.54601699999999997</v>
      </c>
      <c r="F3402" t="s">
        <v>38</v>
      </c>
      <c r="G3402">
        <v>-233.01349999999999</v>
      </c>
      <c r="H3402">
        <v>1.0298339999999999</v>
      </c>
      <c r="I3402">
        <v>214.7183</v>
      </c>
      <c r="J3402">
        <v>-233.48920000000001</v>
      </c>
      <c r="K3402">
        <v>1.105715</v>
      </c>
      <c r="L3402">
        <v>214.81890000000001</v>
      </c>
      <c r="M3402">
        <v>0.99968250000000003</v>
      </c>
      <c r="N3402">
        <v>0</v>
      </c>
      <c r="O3402">
        <v>1.9149119999999999E-2</v>
      </c>
      <c r="P3402">
        <v>0.99762819999999997</v>
      </c>
      <c r="Q3402">
        <v>6.7587439999999999E-2</v>
      </c>
      <c r="R3402">
        <v>1.30282E-2</v>
      </c>
      <c r="S3402">
        <v>3.0304720000000001</v>
      </c>
      <c r="T3402">
        <v>-0.26768920000000002</v>
      </c>
      <c r="U3402">
        <v>-0.32745359999999901</v>
      </c>
      <c r="V3402">
        <v>5.9683740000000002E-3</v>
      </c>
      <c r="W3402">
        <v>8.3924949999999998E-2</v>
      </c>
      <c r="X3402">
        <v>0.99645419999999996</v>
      </c>
      <c r="Y3402">
        <v>0.125891</v>
      </c>
      <c r="Z3402">
        <v>-7.2172349999999998E-3</v>
      </c>
      <c r="AA3402">
        <v>0.99201779999999995</v>
      </c>
      <c r="AB3402">
        <v>37</v>
      </c>
      <c r="AC3402">
        <v>0.475700000000017</v>
      </c>
      <c r="AD3402">
        <v>-7.5881000000000004E-2</v>
      </c>
      <c r="AE3402">
        <v>-0.100600000000014</v>
      </c>
      <c r="AF3402">
        <v>0.107083915015834</v>
      </c>
      <c r="AG3402">
        <v>-7.5881000000000004E-2</v>
      </c>
      <c r="AH3402">
        <v>0.46242349394555698</v>
      </c>
      <c r="AI3402">
        <v>99.082666913180006</v>
      </c>
      <c r="AJ3402">
        <v>76.961770405481701</v>
      </c>
      <c r="AK3402">
        <v>0.48068740234057999</v>
      </c>
    </row>
    <row r="3403" spans="1:37" x14ac:dyDescent="0.2">
      <c r="A3403" t="str">
        <f>"20200111153717916"</f>
        <v>20200111153717916</v>
      </c>
      <c r="B3403" t="str">
        <f>"1578728237906337"</f>
        <v>1578728237906337</v>
      </c>
      <c r="C3403" t="s">
        <v>37</v>
      </c>
      <c r="D3403">
        <v>6.0071589999999997</v>
      </c>
      <c r="E3403">
        <v>0.5460893</v>
      </c>
      <c r="F3403" t="s">
        <v>38</v>
      </c>
      <c r="G3403">
        <v>-232.67859999999999</v>
      </c>
      <c r="H3403">
        <v>1.0335179999999999</v>
      </c>
      <c r="I3403">
        <v>214.72989999999999</v>
      </c>
      <c r="J3403">
        <v>-233.1277</v>
      </c>
      <c r="K3403">
        <v>1.10581</v>
      </c>
      <c r="L3403">
        <v>214.82650000000001</v>
      </c>
      <c r="M3403">
        <v>0.99966489999999997</v>
      </c>
      <c r="N3403">
        <v>0</v>
      </c>
      <c r="O3403">
        <v>1.9860039999999999E-2</v>
      </c>
      <c r="P3403">
        <v>0.99766309999999903</v>
      </c>
      <c r="Q3403">
        <v>6.7191150000000005E-2</v>
      </c>
      <c r="R3403">
        <v>1.2422910000000001E-2</v>
      </c>
      <c r="S3403">
        <v>3.02975499999999</v>
      </c>
      <c r="T3403">
        <v>-0.27001389999999997</v>
      </c>
      <c r="U3403">
        <v>-0.331787099999999</v>
      </c>
      <c r="V3403">
        <v>7.2691379999999996E-3</v>
      </c>
      <c r="W3403">
        <v>8.3769570000000002E-2</v>
      </c>
      <c r="X3403">
        <v>0.99645859999999997</v>
      </c>
      <c r="Y3403">
        <v>0.12800259999999999</v>
      </c>
      <c r="Z3403">
        <v>-7.4375350000000003E-3</v>
      </c>
      <c r="AA3403">
        <v>0.99174589999999996</v>
      </c>
      <c r="AB3403">
        <v>37</v>
      </c>
      <c r="AC3403">
        <v>0.44910000000001499</v>
      </c>
      <c r="AD3403">
        <v>-7.2291999999999995E-2</v>
      </c>
      <c r="AE3403">
        <v>-9.66000000000235E-2</v>
      </c>
      <c r="AF3403">
        <v>0.102951638427924</v>
      </c>
      <c r="AG3403">
        <v>-7.2291999999999995E-2</v>
      </c>
      <c r="AH3403">
        <v>0.43628765188332003</v>
      </c>
      <c r="AI3403">
        <v>99.161150366675102</v>
      </c>
      <c r="AJ3403">
        <v>76.722687252318494</v>
      </c>
      <c r="AK3403">
        <v>0.45406176705912499</v>
      </c>
    </row>
    <row r="3404" spans="1:37" x14ac:dyDescent="0.2">
      <c r="A3404" t="str">
        <f>"20200111153717938"</f>
        <v>20200111153717938</v>
      </c>
      <c r="B3404" t="str">
        <f>"1578728237926833"</f>
        <v>1578728237926833</v>
      </c>
      <c r="C3404" t="s">
        <v>37</v>
      </c>
      <c r="D3404">
        <v>5.9892250000000002</v>
      </c>
      <c r="E3404">
        <v>0.54611200000000004</v>
      </c>
      <c r="F3404" t="s">
        <v>38</v>
      </c>
      <c r="G3404">
        <v>-232.34530000000001</v>
      </c>
      <c r="H3404">
        <v>1.0357989999999999</v>
      </c>
      <c r="I3404">
        <v>214.73990000000001</v>
      </c>
      <c r="J3404">
        <v>-232.75749999999999</v>
      </c>
      <c r="K3404">
        <v>1.1059139999999901</v>
      </c>
      <c r="L3404">
        <v>214.8347</v>
      </c>
      <c r="M3404">
        <v>0.99964419999999898</v>
      </c>
      <c r="N3404">
        <v>0</v>
      </c>
      <c r="O3404">
        <v>2.067799E-2</v>
      </c>
      <c r="P3404">
        <v>0.99770550000000002</v>
      </c>
      <c r="Q3404">
        <v>6.6757360000000002E-2</v>
      </c>
      <c r="R3404">
        <v>1.128199E-2</v>
      </c>
      <c r="S3404">
        <v>3.0294650000000001</v>
      </c>
      <c r="T3404">
        <v>-0.2713045</v>
      </c>
      <c r="U3404">
        <v>-0.33424379999999998</v>
      </c>
      <c r="V3404">
        <v>9.2119060000000006E-3</v>
      </c>
      <c r="W3404">
        <v>8.3580459999999995E-2</v>
      </c>
      <c r="X3404">
        <v>0.99645849999999903</v>
      </c>
      <c r="Y3404">
        <v>0.12960369999999999</v>
      </c>
      <c r="Z3404">
        <v>-7.6175949999999996E-3</v>
      </c>
      <c r="AA3404">
        <v>0.99153659999999999</v>
      </c>
      <c r="AB3404">
        <v>37</v>
      </c>
      <c r="AC3404">
        <v>0.41219999999998402</v>
      </c>
      <c r="AD3404">
        <v>-7.01149999999999E-2</v>
      </c>
      <c r="AE3404">
        <v>-9.4799999999992196E-2</v>
      </c>
      <c r="AF3404">
        <v>0.10054149164807</v>
      </c>
      <c r="AG3404">
        <v>-7.01149999999999E-2</v>
      </c>
      <c r="AH3404">
        <v>0.39918165629736702</v>
      </c>
      <c r="AI3404">
        <v>99.666270775842705</v>
      </c>
      <c r="AJ3404">
        <v>75.863013339675504</v>
      </c>
      <c r="AK3404">
        <v>0.417577177887068</v>
      </c>
    </row>
    <row r="3405" spans="1:37" x14ac:dyDescent="0.2">
      <c r="A3405" t="str">
        <f>"20200111153717961"</f>
        <v>20200111153717961</v>
      </c>
      <c r="B3405" t="str">
        <f>"1578728237956113"</f>
        <v>1578728237956113</v>
      </c>
      <c r="C3405" t="s">
        <v>37</v>
      </c>
      <c r="D3405">
        <v>5.9912609999999997</v>
      </c>
      <c r="E3405">
        <v>0.54607359999999905</v>
      </c>
      <c r="F3405" t="s">
        <v>38</v>
      </c>
      <c r="G3405">
        <v>-232.01249999999999</v>
      </c>
      <c r="H3405">
        <v>1.0390200000000001</v>
      </c>
      <c r="I3405">
        <v>214.75149999999999</v>
      </c>
      <c r="J3405">
        <v>-232.38130000000001</v>
      </c>
      <c r="K3405">
        <v>1.106023</v>
      </c>
      <c r="L3405">
        <v>214.8434</v>
      </c>
      <c r="M3405">
        <v>0.99962030000000002</v>
      </c>
      <c r="N3405">
        <v>0</v>
      </c>
      <c r="O3405">
        <v>2.1608720000000001E-2</v>
      </c>
      <c r="P3405">
        <v>0.99772700000000003</v>
      </c>
      <c r="Q3405">
        <v>6.6602599999999998E-2</v>
      </c>
      <c r="R3405">
        <v>1.025158E-2</v>
      </c>
      <c r="S3405">
        <v>3.0289459999999999</v>
      </c>
      <c r="T3405">
        <v>-0.27217459999999999</v>
      </c>
      <c r="U3405">
        <v>-0.33761599999999897</v>
      </c>
      <c r="V3405">
        <v>1.1154860000000001E-2</v>
      </c>
      <c r="W3405">
        <v>8.36755E-2</v>
      </c>
      <c r="X3405">
        <v>0.99643060000000006</v>
      </c>
      <c r="Y3405">
        <v>0.13161999999999999</v>
      </c>
      <c r="Z3405">
        <v>-7.8161580000000001E-3</v>
      </c>
      <c r="AA3405">
        <v>0.99126939999999997</v>
      </c>
      <c r="AB3405">
        <v>37</v>
      </c>
      <c r="AC3405">
        <v>0.368800000000021</v>
      </c>
      <c r="AD3405">
        <v>-6.7002999999999896E-2</v>
      </c>
      <c r="AE3405">
        <v>-9.1900000000009599E-2</v>
      </c>
      <c r="AF3405">
        <v>9.6839483571099505E-2</v>
      </c>
      <c r="AG3405">
        <v>-6.7002999999999896E-2</v>
      </c>
      <c r="AH3405">
        <v>0.35567432062072801</v>
      </c>
      <c r="AI3405">
        <v>100.30196300687901</v>
      </c>
      <c r="AJ3405">
        <v>74.769264648308294</v>
      </c>
      <c r="AK3405">
        <v>0.37466186079761798</v>
      </c>
    </row>
    <row r="3406" spans="1:37" x14ac:dyDescent="0.2">
      <c r="A3406" t="str">
        <f>"20200111153717983"</f>
        <v>20200111153717983</v>
      </c>
      <c r="B3406" t="str">
        <f>"1578728237976608"</f>
        <v>1578728237976608</v>
      </c>
      <c r="C3406" t="s">
        <v>37</v>
      </c>
      <c r="D3406">
        <v>6.0056580000000004</v>
      </c>
      <c r="E3406">
        <v>0.54606199999999905</v>
      </c>
      <c r="F3406" t="s">
        <v>38</v>
      </c>
      <c r="G3406">
        <v>-231.364</v>
      </c>
      <c r="H3406">
        <v>1.0144679999999999</v>
      </c>
      <c r="I3406">
        <v>214.72890000000001</v>
      </c>
      <c r="J3406">
        <v>-232.01179999999999</v>
      </c>
      <c r="K3406">
        <v>1.1061270000000001</v>
      </c>
      <c r="L3406">
        <v>214.85239999999999</v>
      </c>
      <c r="M3406">
        <v>0.99959390000000004</v>
      </c>
      <c r="N3406">
        <v>0</v>
      </c>
      <c r="O3406">
        <v>2.2614269999999999E-2</v>
      </c>
      <c r="P3406">
        <v>0.99771019999999899</v>
      </c>
      <c r="Q3406">
        <v>6.6887810000000006E-2</v>
      </c>
      <c r="R3406">
        <v>1.001906E-2</v>
      </c>
      <c r="S3406">
        <v>3.0285340000000001</v>
      </c>
      <c r="T3406">
        <v>-0.2726034</v>
      </c>
      <c r="U3406">
        <v>-0.34034730000000002</v>
      </c>
      <c r="V3406">
        <v>1.237372E-2</v>
      </c>
      <c r="W3406">
        <v>8.4205760000000004E-2</v>
      </c>
      <c r="X3406">
        <v>0.99637160000000002</v>
      </c>
      <c r="Y3406">
        <v>0.13350109999999901</v>
      </c>
      <c r="Z3406">
        <v>-8.0034300000000006E-3</v>
      </c>
      <c r="AA3406">
        <v>0.99101629999999996</v>
      </c>
      <c r="AB3406">
        <v>37</v>
      </c>
      <c r="AC3406">
        <v>0.64779999999998905</v>
      </c>
      <c r="AD3406">
        <v>-9.1659000000000102E-2</v>
      </c>
      <c r="AE3406">
        <v>-0.123499999999978</v>
      </c>
      <c r="AF3406">
        <v>0.13550248734579101</v>
      </c>
      <c r="AG3406">
        <v>-9.1659000000000102E-2</v>
      </c>
      <c r="AH3406">
        <v>0.63262000526398698</v>
      </c>
      <c r="AI3406">
        <v>98.063684290949396</v>
      </c>
      <c r="AJ3406">
        <v>77.910347005471607</v>
      </c>
      <c r="AK3406">
        <v>0.65342969584960198</v>
      </c>
    </row>
    <row r="3407" spans="1:37" x14ac:dyDescent="0.2">
      <c r="A3407" t="str">
        <f>"20200111153718005"</f>
        <v>20200111153718005</v>
      </c>
      <c r="B3407" t="str">
        <f>"1578728237996128"</f>
        <v>1578728237996128</v>
      </c>
      <c r="C3407" t="s">
        <v>37</v>
      </c>
      <c r="D3407">
        <v>6.0285650000000004</v>
      </c>
      <c r="E3407">
        <v>0.54611160000000003</v>
      </c>
      <c r="F3407" t="s">
        <v>38</v>
      </c>
      <c r="G3407">
        <v>-231.0341</v>
      </c>
      <c r="H3407">
        <v>1.0185930000000001</v>
      </c>
      <c r="I3407">
        <v>214.74209999999999</v>
      </c>
      <c r="J3407">
        <v>-231.65020000000001</v>
      </c>
      <c r="K3407">
        <v>1.1062239999999901</v>
      </c>
      <c r="L3407">
        <v>214.86160000000001</v>
      </c>
      <c r="M3407">
        <v>0.99956540000000005</v>
      </c>
      <c r="N3407">
        <v>0</v>
      </c>
      <c r="O3407">
        <v>2.366704E-2</v>
      </c>
      <c r="P3407">
        <v>0.99770949999999903</v>
      </c>
      <c r="Q3407">
        <v>6.696618E-2</v>
      </c>
      <c r="R3407">
        <v>9.566771E-3</v>
      </c>
      <c r="S3407">
        <v>3.0284879999999998</v>
      </c>
      <c r="T3407">
        <v>-0.27123340000000001</v>
      </c>
      <c r="U3407">
        <v>-0.3411865</v>
      </c>
      <c r="V3407">
        <v>1.386185E-2</v>
      </c>
      <c r="W3407">
        <v>8.4523150000000005E-2</v>
      </c>
      <c r="X3407">
        <v>0.99632509999999996</v>
      </c>
      <c r="Y3407">
        <v>0.1348145</v>
      </c>
      <c r="Z3407">
        <v>-8.1157480000000008E-3</v>
      </c>
      <c r="AA3407">
        <v>0.99083759999999999</v>
      </c>
      <c r="AB3407">
        <v>37</v>
      </c>
      <c r="AC3407">
        <v>0.61610000000001697</v>
      </c>
      <c r="AD3407">
        <v>-8.7630999999999695E-2</v>
      </c>
      <c r="AE3407">
        <v>-0.119500000000016</v>
      </c>
      <c r="AF3407">
        <v>0.13148640451039501</v>
      </c>
      <c r="AG3407">
        <v>-8.7630999999999695E-2</v>
      </c>
      <c r="AH3407">
        <v>0.60137357165633099</v>
      </c>
      <c r="AI3407">
        <v>98.101913904609802</v>
      </c>
      <c r="AJ3407">
        <v>77.666737832589604</v>
      </c>
      <c r="AK3407">
        <v>0.62178616856501701</v>
      </c>
    </row>
    <row r="3408" spans="1:37" x14ac:dyDescent="0.2">
      <c r="A3408" t="str">
        <f>"20200111153718028"</f>
        <v>20200111153718028</v>
      </c>
      <c r="B3408" t="str">
        <f>"1578728238016624"</f>
        <v>1578728238016624</v>
      </c>
      <c r="C3408" t="s">
        <v>37</v>
      </c>
      <c r="D3408">
        <v>6.0327950000000001</v>
      </c>
      <c r="E3408">
        <v>0.54613009999999995</v>
      </c>
      <c r="F3408" t="s">
        <v>38</v>
      </c>
      <c r="G3408">
        <v>-230.70590000000001</v>
      </c>
      <c r="H3408">
        <v>1.0216590000000001</v>
      </c>
      <c r="I3408">
        <v>214.75470000000001</v>
      </c>
      <c r="J3408">
        <v>-231.2885</v>
      </c>
      <c r="K3408">
        <v>1.106311</v>
      </c>
      <c r="L3408">
        <v>214.87129999999999</v>
      </c>
      <c r="M3408">
        <v>0.99953429999999999</v>
      </c>
      <c r="N3408">
        <v>0</v>
      </c>
      <c r="O3408">
        <v>2.478375E-2</v>
      </c>
      <c r="P3408">
        <v>0.99769819999999998</v>
      </c>
      <c r="Q3408">
        <v>6.7103330000000003E-2</v>
      </c>
      <c r="R3408">
        <v>9.7730000000000004E-3</v>
      </c>
      <c r="S3408">
        <v>3.028381</v>
      </c>
      <c r="T3408">
        <v>-0.27123039999999998</v>
      </c>
      <c r="U3408">
        <v>-0.34277340000000001</v>
      </c>
      <c r="V3408">
        <v>1.4756299999999899E-2</v>
      </c>
      <c r="W3408">
        <v>8.4889950000000006E-2</v>
      </c>
      <c r="X3408">
        <v>0.99628109999999903</v>
      </c>
      <c r="Y3408">
        <v>0.1364271</v>
      </c>
      <c r="Z3408">
        <v>-8.2871209999999997E-3</v>
      </c>
      <c r="AA3408">
        <v>0.99061540000000003</v>
      </c>
      <c r="AB3408">
        <v>37</v>
      </c>
      <c r="AC3408">
        <v>0.58259999999998502</v>
      </c>
      <c r="AD3408">
        <v>-8.4651999999999894E-2</v>
      </c>
      <c r="AE3408">
        <v>-0.116599999999976</v>
      </c>
      <c r="AF3408">
        <v>0.12839908638028799</v>
      </c>
      <c r="AG3408">
        <v>-8.4651999999999894E-2</v>
      </c>
      <c r="AH3408">
        <v>0.56800082923864104</v>
      </c>
      <c r="AI3408">
        <v>98.270986066560496</v>
      </c>
      <c r="AJ3408">
        <v>77.262127886133996</v>
      </c>
      <c r="AK3408">
        <v>0.58845325090705103</v>
      </c>
    </row>
    <row r="3409" spans="1:37" x14ac:dyDescent="0.2">
      <c r="A3409" t="str">
        <f>"20200111153718050"</f>
        <v>20200111153718050</v>
      </c>
      <c r="B3409" t="str">
        <f>"1578728238046880"</f>
        <v>1578728238046880</v>
      </c>
      <c r="C3409" t="s">
        <v>37</v>
      </c>
      <c r="D3409">
        <v>6.0303000000000004</v>
      </c>
      <c r="E3409">
        <v>0.54631560000000001</v>
      </c>
      <c r="F3409" t="s">
        <v>38</v>
      </c>
      <c r="G3409">
        <v>-230.3785</v>
      </c>
      <c r="H3409">
        <v>1.0250969999999999</v>
      </c>
      <c r="I3409">
        <v>214.76820000000001</v>
      </c>
      <c r="J3409">
        <v>-230.92189999999999</v>
      </c>
      <c r="K3409">
        <v>1.10639</v>
      </c>
      <c r="L3409">
        <v>214.88159999999999</v>
      </c>
      <c r="M3409">
        <v>0.99950000000000006</v>
      </c>
      <c r="N3409">
        <v>0</v>
      </c>
      <c r="O3409">
        <v>2.5973719999999999E-2</v>
      </c>
      <c r="P3409">
        <v>0.99766149999999998</v>
      </c>
      <c r="Q3409">
        <v>6.7434709999999995E-2</v>
      </c>
      <c r="R3409">
        <v>1.114251E-2</v>
      </c>
      <c r="S3409">
        <v>3.028473</v>
      </c>
      <c r="T3409">
        <v>-0.27053949999999999</v>
      </c>
      <c r="U3409">
        <v>-0.34226990000000002</v>
      </c>
      <c r="V3409">
        <v>1.456085E-2</v>
      </c>
      <c r="W3409">
        <v>8.5447720000000005E-2</v>
      </c>
      <c r="X3409">
        <v>0.99623629999999996</v>
      </c>
      <c r="Y3409">
        <v>0.1374351</v>
      </c>
      <c r="Z3409">
        <v>-8.4165449999999992E-3</v>
      </c>
      <c r="AA3409">
        <v>0.99047499999999999</v>
      </c>
      <c r="AB3409">
        <v>37</v>
      </c>
      <c r="AC3409">
        <v>0.543399999999991</v>
      </c>
      <c r="AD3409">
        <v>-8.1293000000000004E-2</v>
      </c>
      <c r="AE3409">
        <v>-0.113399999999984</v>
      </c>
      <c r="AF3409">
        <v>0.124801602183077</v>
      </c>
      <c r="AG3409">
        <v>-8.1293000000000004E-2</v>
      </c>
      <c r="AH3409">
        <v>0.52892714450688105</v>
      </c>
      <c r="AI3409">
        <v>98.507595326422106</v>
      </c>
      <c r="AJ3409">
        <v>76.723749888821402</v>
      </c>
      <c r="AK3409">
        <v>0.54949787620396295</v>
      </c>
    </row>
    <row r="3410" spans="1:37" x14ac:dyDescent="0.2">
      <c r="A3410" t="str">
        <f>"20200111153718073"</f>
        <v>20200111153718073</v>
      </c>
      <c r="B3410" t="str">
        <f>"1578728238066401"</f>
        <v>1578728238066401</v>
      </c>
      <c r="C3410" t="s">
        <v>37</v>
      </c>
      <c r="D3410">
        <v>6.0120129999999996</v>
      </c>
      <c r="E3410">
        <v>0.54637609999999903</v>
      </c>
      <c r="F3410" t="s">
        <v>38</v>
      </c>
      <c r="G3410">
        <v>-230.0523</v>
      </c>
      <c r="H3410">
        <v>1.0290440000000001</v>
      </c>
      <c r="I3410">
        <v>214.78389999999999</v>
      </c>
      <c r="J3410">
        <v>-230.55510000000001</v>
      </c>
      <c r="K3410">
        <v>1.1064609999999999</v>
      </c>
      <c r="L3410">
        <v>214.89240000000001</v>
      </c>
      <c r="M3410">
        <v>0.99946299999999899</v>
      </c>
      <c r="N3410">
        <v>0</v>
      </c>
      <c r="O3410">
        <v>2.7213589999999999E-2</v>
      </c>
      <c r="P3410">
        <v>0.99763440000000003</v>
      </c>
      <c r="Q3410">
        <v>6.738073E-2</v>
      </c>
      <c r="R3410">
        <v>1.362449E-2</v>
      </c>
      <c r="S3410">
        <v>3.02903699999999</v>
      </c>
      <c r="T3410">
        <v>-0.26952939999999997</v>
      </c>
      <c r="U3410">
        <v>-0.33969120000000003</v>
      </c>
      <c r="V3410">
        <v>1.330565E-2</v>
      </c>
      <c r="W3410">
        <v>8.5613060000000005E-2</v>
      </c>
      <c r="X3410">
        <v>0.9962396</v>
      </c>
      <c r="Y3410">
        <v>0.13780919999999999</v>
      </c>
      <c r="Z3410">
        <v>-8.5104889999999996E-3</v>
      </c>
      <c r="AA3410">
        <v>0.99042220000000003</v>
      </c>
      <c r="AB3410">
        <v>36</v>
      </c>
      <c r="AC3410">
        <v>0.50280000000000702</v>
      </c>
      <c r="AD3410">
        <v>-7.7417E-2</v>
      </c>
      <c r="AE3410">
        <v>-0.10850000000002</v>
      </c>
      <c r="AF3410">
        <v>0.11943947661078699</v>
      </c>
      <c r="AG3410">
        <v>-7.7417E-2</v>
      </c>
      <c r="AH3410">
        <v>0.48859272450417002</v>
      </c>
      <c r="AI3410">
        <v>98.7501124487857</v>
      </c>
      <c r="AJ3410">
        <v>76.263101016960306</v>
      </c>
      <c r="AK3410">
        <v>0.50890277155903396</v>
      </c>
    </row>
    <row r="3411" spans="1:37" x14ac:dyDescent="0.2">
      <c r="A3411" t="str">
        <f>"20200111153718095"</f>
        <v>20200111153718095</v>
      </c>
      <c r="B3411" t="str">
        <f>"1578728238086897"</f>
        <v>1578728238086897</v>
      </c>
      <c r="C3411" t="s">
        <v>37</v>
      </c>
      <c r="D3411">
        <v>6.0244689999999999</v>
      </c>
      <c r="E3411">
        <v>0.54641039999999996</v>
      </c>
      <c r="F3411" t="s">
        <v>38</v>
      </c>
      <c r="G3411">
        <v>-229.72720000000001</v>
      </c>
      <c r="H3411">
        <v>1.0328729999999999</v>
      </c>
      <c r="I3411">
        <v>214.8013</v>
      </c>
      <c r="J3411">
        <v>-230.1951</v>
      </c>
      <c r="K3411">
        <v>1.106517</v>
      </c>
      <c r="L3411">
        <v>214.90350000000001</v>
      </c>
      <c r="M3411">
        <v>0.99942450000000005</v>
      </c>
      <c r="N3411">
        <v>0</v>
      </c>
      <c r="O3411">
        <v>2.846663E-2</v>
      </c>
      <c r="P3411">
        <v>0.99763299999999999</v>
      </c>
      <c r="Q3411">
        <v>6.6680809999999993E-2</v>
      </c>
      <c r="R3411">
        <v>1.6797220000000002E-2</v>
      </c>
      <c r="S3411">
        <v>3.029846</v>
      </c>
      <c r="T3411">
        <v>-0.26946199999999998</v>
      </c>
      <c r="U3411">
        <v>-0.33297729999999998</v>
      </c>
      <c r="V3411">
        <v>1.137762E-2</v>
      </c>
      <c r="W3411">
        <v>8.5112779999999999E-2</v>
      </c>
      <c r="X3411">
        <v>0.99630640000000004</v>
      </c>
      <c r="Y3411">
        <v>0.1368529</v>
      </c>
      <c r="Z3411">
        <v>-8.5757919999999901E-3</v>
      </c>
      <c r="AA3411">
        <v>0.9905543</v>
      </c>
      <c r="AB3411">
        <v>36</v>
      </c>
      <c r="AC3411">
        <v>0.46789999999998599</v>
      </c>
      <c r="AD3411">
        <v>-7.3644000000000001E-2</v>
      </c>
      <c r="AE3411">
        <v>-0.10220000000001001</v>
      </c>
      <c r="AF3411">
        <v>0.112812977414016</v>
      </c>
      <c r="AG3411">
        <v>-7.3644000000000001E-2</v>
      </c>
      <c r="AH3411">
        <v>0.45406445238364301</v>
      </c>
      <c r="AI3411">
        <v>98.945139438564595</v>
      </c>
      <c r="AJ3411">
        <v>76.047292457710498</v>
      </c>
      <c r="AK3411">
        <v>0.47362932080633802</v>
      </c>
    </row>
    <row r="3412" spans="1:37" x14ac:dyDescent="0.2">
      <c r="A3412" t="str">
        <f>"20200111153718117"</f>
        <v>20200111153718117</v>
      </c>
      <c r="B3412" t="str">
        <f>"1578728238106416"</f>
        <v>1578728238106416</v>
      </c>
      <c r="C3412" t="s">
        <v>37</v>
      </c>
      <c r="D3412">
        <v>5.9985140000000001</v>
      </c>
      <c r="E3412">
        <v>0.54644599999999999</v>
      </c>
      <c r="F3412" t="s">
        <v>38</v>
      </c>
      <c r="G3412">
        <v>-229.40379999999999</v>
      </c>
      <c r="H3412">
        <v>1.0357829999999999</v>
      </c>
      <c r="I3412">
        <v>214.81890000000001</v>
      </c>
      <c r="J3412">
        <v>-229.85149999999999</v>
      </c>
      <c r="K3412">
        <v>1.1065590000000001</v>
      </c>
      <c r="L3412">
        <v>214.9145</v>
      </c>
      <c r="M3412">
        <v>0.99938579999999999</v>
      </c>
      <c r="N3412">
        <v>0</v>
      </c>
      <c r="O3412">
        <v>2.9686460000000001E-2</v>
      </c>
      <c r="P3412">
        <v>0.99760649999999995</v>
      </c>
      <c r="Q3412">
        <v>6.6142960000000001E-2</v>
      </c>
      <c r="R3412">
        <v>2.016569E-2</v>
      </c>
      <c r="S3412">
        <v>3.0306700000000002</v>
      </c>
      <c r="T3412">
        <v>-0.27100239999999998</v>
      </c>
      <c r="U3412">
        <v>-0.32386779999999998</v>
      </c>
      <c r="V3412">
        <v>9.2221290000000008E-3</v>
      </c>
      <c r="W3412">
        <v>8.4745500000000001E-2</v>
      </c>
      <c r="X3412">
        <v>0.99635989999999997</v>
      </c>
      <c r="Y3412">
        <v>0.1350846</v>
      </c>
      <c r="Z3412">
        <v>-8.653605E-3</v>
      </c>
      <c r="AA3412">
        <v>0.99079629999999996</v>
      </c>
      <c r="AB3412">
        <v>36</v>
      </c>
      <c r="AC3412">
        <v>0.44769999999999699</v>
      </c>
      <c r="AD3412">
        <v>-7.0776000000000103E-2</v>
      </c>
      <c r="AE3412">
        <v>-9.5599999999990304E-2</v>
      </c>
      <c r="AF3412">
        <v>0.106309772987963</v>
      </c>
      <c r="AG3412">
        <v>-7.0776000000000103E-2</v>
      </c>
      <c r="AH3412">
        <v>0.43428386456950002</v>
      </c>
      <c r="AI3412">
        <v>98.995159922917097</v>
      </c>
      <c r="AJ3412">
        <v>76.244873177387603</v>
      </c>
      <c r="AK3412">
        <v>0.45267370702766901</v>
      </c>
    </row>
    <row r="3413" spans="1:37" x14ac:dyDescent="0.2">
      <c r="A3413" t="str">
        <f>"20200111153718139"</f>
        <v>20200111153718139</v>
      </c>
      <c r="B3413" t="str">
        <f>"1578728238136672"</f>
        <v>1578728238136672</v>
      </c>
      <c r="C3413" t="s">
        <v>37</v>
      </c>
      <c r="D3413">
        <v>5.9838009999999997</v>
      </c>
      <c r="E3413">
        <v>0.54846589999999995</v>
      </c>
      <c r="F3413" t="s">
        <v>38</v>
      </c>
      <c r="G3413">
        <v>-229.0822</v>
      </c>
      <c r="H3413">
        <v>1.037433</v>
      </c>
      <c r="I3413">
        <v>214.8348</v>
      </c>
      <c r="J3413">
        <v>-229.49809999999999</v>
      </c>
      <c r="K3413">
        <v>1.1065989999999899</v>
      </c>
      <c r="L3413">
        <v>214.9263</v>
      </c>
      <c r="M3413">
        <v>0.99934400000000001</v>
      </c>
      <c r="N3413">
        <v>0</v>
      </c>
      <c r="O3413">
        <v>3.0958719999999999E-2</v>
      </c>
      <c r="P3413">
        <v>0.9975676</v>
      </c>
      <c r="Q3413">
        <v>6.5943860000000007E-2</v>
      </c>
      <c r="R3413">
        <v>2.2593419999999999E-2</v>
      </c>
      <c r="S3413">
        <v>3.03160099999999</v>
      </c>
      <c r="T3413">
        <v>-0.27238499999999999</v>
      </c>
      <c r="U3413">
        <v>-0.31407170000000001</v>
      </c>
      <c r="V3413">
        <v>8.0602550000000005E-3</v>
      </c>
      <c r="W3413">
        <v>8.470751E-2</v>
      </c>
      <c r="X3413">
        <v>0.99637319999999996</v>
      </c>
      <c r="Y3413">
        <v>0.13314309999999999</v>
      </c>
      <c r="Z3413">
        <v>-8.7234040000000006E-3</v>
      </c>
      <c r="AA3413">
        <v>0.99105840000000001</v>
      </c>
      <c r="AB3413">
        <v>36</v>
      </c>
      <c r="AC3413">
        <v>0.415899999999993</v>
      </c>
      <c r="AD3413">
        <v>-6.9165999999999797E-2</v>
      </c>
      <c r="AE3413">
        <v>-9.1499999999996307E-2</v>
      </c>
      <c r="AF3413">
        <v>0.10165250808925699</v>
      </c>
      <c r="AG3413">
        <v>-6.9165999999999797E-2</v>
      </c>
      <c r="AH3413">
        <v>0.40225572716239499</v>
      </c>
      <c r="AI3413">
        <v>99.464447914596093</v>
      </c>
      <c r="AJ3413">
        <v>75.817917777900007</v>
      </c>
      <c r="AK3413">
        <v>0.42062672049191502</v>
      </c>
    </row>
    <row r="3414" spans="1:37" x14ac:dyDescent="0.2">
      <c r="A3414" t="str">
        <f>"20200111153718162"</f>
        <v>20200111153718162</v>
      </c>
      <c r="B3414" t="str">
        <f>"1578728238156206"</f>
        <v>1578728238156206</v>
      </c>
      <c r="C3414" t="s">
        <v>37</v>
      </c>
      <c r="D3414">
        <v>5.9848749999999997</v>
      </c>
      <c r="E3414">
        <v>0.549313099999999</v>
      </c>
      <c r="F3414" t="s">
        <v>38</v>
      </c>
      <c r="G3414">
        <v>-228.7603</v>
      </c>
      <c r="H3414">
        <v>1.0402089999999999</v>
      </c>
      <c r="I3414">
        <v>214.84780000000001</v>
      </c>
      <c r="J3414">
        <v>-229.1353</v>
      </c>
      <c r="K3414">
        <v>1.10663</v>
      </c>
      <c r="L3414">
        <v>214.93899999999999</v>
      </c>
      <c r="M3414">
        <v>0.9992993</v>
      </c>
      <c r="N3414">
        <v>0</v>
      </c>
      <c r="O3414">
        <v>3.2276220000000001E-2</v>
      </c>
      <c r="P3414">
        <v>0.99753939999999997</v>
      </c>
      <c r="Q3414">
        <v>6.5824709999999995E-2</v>
      </c>
      <c r="R3414">
        <v>2.4130490000000001E-2</v>
      </c>
      <c r="S3414">
        <v>3.0326689999999998</v>
      </c>
      <c r="T3414">
        <v>-0.27299179999999901</v>
      </c>
      <c r="U3414">
        <v>-0.32252500000000001</v>
      </c>
      <c r="V3414">
        <v>7.8358779999999992E-3</v>
      </c>
      <c r="W3414">
        <v>8.4747890000000006E-2</v>
      </c>
      <c r="X3414">
        <v>0.99637160000000002</v>
      </c>
      <c r="Y3414">
        <v>0.13712189999999999</v>
      </c>
      <c r="Z3414">
        <v>-9.0348059999999994E-3</v>
      </c>
      <c r="AA3414">
        <v>0.99051299999999898</v>
      </c>
      <c r="AB3414">
        <v>36</v>
      </c>
      <c r="AC3414">
        <v>0.375</v>
      </c>
      <c r="AD3414">
        <v>-6.6420999999999994E-2</v>
      </c>
      <c r="AE3414">
        <v>-9.1200000000014797E-2</v>
      </c>
      <c r="AF3414">
        <v>0.100287652940448</v>
      </c>
      <c r="AG3414">
        <v>-6.6420999999999994E-2</v>
      </c>
      <c r="AH3414">
        <v>0.36116261347509199</v>
      </c>
      <c r="AI3414">
        <v>100.048723277191</v>
      </c>
      <c r="AJ3414">
        <v>74.481087366199105</v>
      </c>
      <c r="AK3414">
        <v>0.38066756618532999</v>
      </c>
    </row>
    <row r="3415" spans="1:37" x14ac:dyDescent="0.2">
      <c r="A3415" t="str">
        <f>"20200111153718184"</f>
        <v>20200111153718184</v>
      </c>
      <c r="B3415" t="str">
        <f>"1578728238176688"</f>
        <v>1578728238176688</v>
      </c>
      <c r="C3415" t="s">
        <v>37</v>
      </c>
      <c r="D3415">
        <v>6.0725769999999999</v>
      </c>
      <c r="E3415">
        <v>0.55018400000000001</v>
      </c>
      <c r="F3415" t="s">
        <v>38</v>
      </c>
      <c r="G3415">
        <v>-228.1345</v>
      </c>
      <c r="H3415">
        <v>1.0167629999999901</v>
      </c>
      <c r="I3415">
        <v>214.83189999999999</v>
      </c>
      <c r="J3415">
        <v>-228.7766</v>
      </c>
      <c r="K3415">
        <v>1.1066530000000001</v>
      </c>
      <c r="L3415">
        <v>214.952</v>
      </c>
      <c r="M3415">
        <v>0.99925350000000002</v>
      </c>
      <c r="N3415">
        <v>0</v>
      </c>
      <c r="O3415">
        <v>3.3585690000000001E-2</v>
      </c>
      <c r="P3415">
        <v>0.99750319999999904</v>
      </c>
      <c r="Q3415">
        <v>6.59719E-2</v>
      </c>
      <c r="R3415">
        <v>2.5207790000000001E-2</v>
      </c>
      <c r="S3415">
        <v>3.0332180000000002</v>
      </c>
      <c r="T3415">
        <v>-0.27235310000000001</v>
      </c>
      <c r="U3415">
        <v>-0.32453920000000003</v>
      </c>
      <c r="V3415">
        <v>8.0634720000000003E-3</v>
      </c>
      <c r="W3415">
        <v>8.5042950000000006E-2</v>
      </c>
      <c r="X3415">
        <v>0.99634469999999997</v>
      </c>
      <c r="Y3415">
        <v>0.13904169999999999</v>
      </c>
      <c r="Z3415">
        <v>-9.2146959999999997E-3</v>
      </c>
      <c r="AA3415">
        <v>0.99024369999999995</v>
      </c>
      <c r="AB3415">
        <v>36</v>
      </c>
      <c r="AC3415">
        <v>0.642099999999999</v>
      </c>
      <c r="AD3415">
        <v>-8.9890000000000206E-2</v>
      </c>
      <c r="AE3415">
        <v>-0.12010000000000701</v>
      </c>
      <c r="AF3415">
        <v>0.13897001528523301</v>
      </c>
      <c r="AG3415">
        <v>-8.9890000000000206E-2</v>
      </c>
      <c r="AH3415">
        <v>0.62585223922476996</v>
      </c>
      <c r="AI3415">
        <v>97.981583764138094</v>
      </c>
      <c r="AJ3415">
        <v>77.480637275060005</v>
      </c>
      <c r="AK3415">
        <v>0.64736689951760495</v>
      </c>
    </row>
    <row r="3416" spans="1:37" x14ac:dyDescent="0.2">
      <c r="A3416" t="str">
        <f>"20200111153718205"</f>
        <v>20200111153718205</v>
      </c>
      <c r="B3416" t="str">
        <f>"1578728238196208"</f>
        <v>1578728238196208</v>
      </c>
      <c r="C3416" t="s">
        <v>37</v>
      </c>
      <c r="D3416">
        <v>6.0041949999999904</v>
      </c>
      <c r="E3416">
        <v>0.55090150000000004</v>
      </c>
      <c r="F3416" t="s">
        <v>38</v>
      </c>
      <c r="G3416">
        <v>-227.81610000000001</v>
      </c>
      <c r="H3416">
        <v>1.021315</v>
      </c>
      <c r="I3416">
        <v>214.84790000000001</v>
      </c>
      <c r="J3416">
        <v>-228.43119999999999</v>
      </c>
      <c r="K3416">
        <v>1.1066689999999999</v>
      </c>
      <c r="L3416">
        <v>214.9649</v>
      </c>
      <c r="M3416">
        <v>0.99920769999999903</v>
      </c>
      <c r="N3416">
        <v>0</v>
      </c>
      <c r="O3416">
        <v>3.4847919999999998E-2</v>
      </c>
      <c r="P3416">
        <v>0.99749920000000003</v>
      </c>
      <c r="Q3416">
        <v>6.5866599999999997E-2</v>
      </c>
      <c r="R3416">
        <v>2.563141E-2</v>
      </c>
      <c r="S3416">
        <v>3.03363</v>
      </c>
      <c r="T3416">
        <v>-0.26963520000000002</v>
      </c>
      <c r="U3416">
        <v>-0.32826230000000001</v>
      </c>
      <c r="V3416">
        <v>8.9000250000000006E-3</v>
      </c>
      <c r="W3416">
        <v>8.506764E-2</v>
      </c>
      <c r="X3416">
        <v>0.99633539999999998</v>
      </c>
      <c r="Y3416">
        <v>0.14147879999999999</v>
      </c>
      <c r="Z3416">
        <v>-9.3407999999999894E-3</v>
      </c>
      <c r="AA3416">
        <v>0.98989729999999998</v>
      </c>
      <c r="AB3416">
        <v>36</v>
      </c>
      <c r="AC3416">
        <v>0.61509999999998399</v>
      </c>
      <c r="AD3416">
        <v>-8.5354000000000096E-2</v>
      </c>
      <c r="AE3416">
        <v>-0.11699999999999</v>
      </c>
      <c r="AF3416">
        <v>0.13584342228822599</v>
      </c>
      <c r="AG3416">
        <v>-8.5354000000000096E-2</v>
      </c>
      <c r="AH3416">
        <v>0.59950753304952997</v>
      </c>
      <c r="AI3416">
        <v>97.905173890540794</v>
      </c>
      <c r="AJ3416">
        <v>77.232843676071198</v>
      </c>
      <c r="AK3416">
        <v>0.620602951071062</v>
      </c>
    </row>
    <row r="3417" spans="1:37" x14ac:dyDescent="0.2">
      <c r="A3417" t="str">
        <f>"20200111153718228"</f>
        <v>20200111153718228</v>
      </c>
      <c r="B3417" t="str">
        <f>"1578728238216704"</f>
        <v>1578728238216704</v>
      </c>
      <c r="C3417" t="s">
        <v>37</v>
      </c>
      <c r="D3417">
        <v>6.0226110000000004</v>
      </c>
      <c r="E3417">
        <v>0.55159910000000001</v>
      </c>
      <c r="F3417" t="s">
        <v>38</v>
      </c>
      <c r="G3417">
        <v>-227.49959999999999</v>
      </c>
      <c r="H3417">
        <v>1.0243180000000001</v>
      </c>
      <c r="I3417">
        <v>214.86279999999999</v>
      </c>
      <c r="J3417">
        <v>-228.07669999999999</v>
      </c>
      <c r="K3417">
        <v>1.10669</v>
      </c>
      <c r="L3417">
        <v>214.9787</v>
      </c>
      <c r="M3417">
        <v>0.99915949999999998</v>
      </c>
      <c r="N3417">
        <v>0</v>
      </c>
      <c r="O3417">
        <v>3.6140480000000003E-2</v>
      </c>
      <c r="P3417">
        <v>0.99747809999999903</v>
      </c>
      <c r="Q3417">
        <v>6.628262E-2</v>
      </c>
      <c r="R3417">
        <v>2.5382640000000001E-2</v>
      </c>
      <c r="S3417">
        <v>3.0337830000000001</v>
      </c>
      <c r="T3417">
        <v>-0.26827059999999903</v>
      </c>
      <c r="U3417">
        <v>-0.33236690000000002</v>
      </c>
      <c r="V3417">
        <v>1.043727E-2</v>
      </c>
      <c r="W3417">
        <v>8.560355E-2</v>
      </c>
      <c r="X3417">
        <v>0.99627459999999901</v>
      </c>
      <c r="Y3417">
        <v>0.14406920000000001</v>
      </c>
      <c r="Z3417">
        <v>-9.5203839999999998E-3</v>
      </c>
      <c r="AA3417">
        <v>0.98952180000000001</v>
      </c>
      <c r="AB3417">
        <v>35</v>
      </c>
      <c r="AC3417">
        <v>0.57710000000000095</v>
      </c>
      <c r="AD3417">
        <v>-8.2371999999999806E-2</v>
      </c>
      <c r="AE3417">
        <v>-0.11590000000001</v>
      </c>
      <c r="AF3417">
        <v>0.13405951088790299</v>
      </c>
      <c r="AG3417">
        <v>-8.2371999999999806E-2</v>
      </c>
      <c r="AH3417">
        <v>0.56153667791692397</v>
      </c>
      <c r="AI3417">
        <v>98.120189777110397</v>
      </c>
      <c r="AJ3417">
        <v>76.572716538472093</v>
      </c>
      <c r="AK3417">
        <v>0.58316424743761397</v>
      </c>
    </row>
    <row r="3418" spans="1:37" x14ac:dyDescent="0.2">
      <c r="A3418" t="str">
        <f>"20200111153718251"</f>
        <v>20200111153718251</v>
      </c>
      <c r="B3418" t="str">
        <f>"1578728238245984"</f>
        <v>1578728238245984</v>
      </c>
      <c r="C3418" t="s">
        <v>37</v>
      </c>
      <c r="D3418">
        <v>6.0229949999999999</v>
      </c>
      <c r="E3418">
        <v>0.55261499999999997</v>
      </c>
      <c r="F3418" t="s">
        <v>38</v>
      </c>
      <c r="G3418">
        <v>-227.18369999999999</v>
      </c>
      <c r="H3418">
        <v>1.0286959999999901</v>
      </c>
      <c r="I3418">
        <v>214.87870000000001</v>
      </c>
      <c r="J3418">
        <v>-227.72139999999999</v>
      </c>
      <c r="K3418">
        <v>1.1067039999999999</v>
      </c>
      <c r="L3418">
        <v>214.99289999999999</v>
      </c>
      <c r="M3418">
        <v>0.99911000000000005</v>
      </c>
      <c r="N3418">
        <v>0</v>
      </c>
      <c r="O3418">
        <v>3.7429190000000001E-2</v>
      </c>
      <c r="P3418">
        <v>0.99745090000000003</v>
      </c>
      <c r="Q3418">
        <v>6.6838469999999997E-2</v>
      </c>
      <c r="R3418">
        <v>2.498268E-2</v>
      </c>
      <c r="S3418">
        <v>3.03384399999999</v>
      </c>
      <c r="T3418">
        <v>-0.26521879999999998</v>
      </c>
      <c r="U3418">
        <v>-0.33888239999999997</v>
      </c>
      <c r="V3418">
        <v>1.2122610000000001E-2</v>
      </c>
      <c r="W3418">
        <v>8.6266270000000006E-2</v>
      </c>
      <c r="X3418">
        <v>0.99619840000000004</v>
      </c>
      <c r="Y3418">
        <v>0.147440299999999</v>
      </c>
      <c r="Z3418">
        <v>-9.6700299999999996E-3</v>
      </c>
      <c r="AA3418">
        <v>0.98902369999999995</v>
      </c>
      <c r="AB3418">
        <v>35</v>
      </c>
      <c r="AC3418">
        <v>0.53770000000000095</v>
      </c>
      <c r="AD3418">
        <v>-7.8008000000000299E-2</v>
      </c>
      <c r="AE3418">
        <v>-0.114199999999982</v>
      </c>
      <c r="AF3418">
        <v>0.13159916008898301</v>
      </c>
      <c r="AG3418">
        <v>-7.8008000000000299E-2</v>
      </c>
      <c r="AH3418">
        <v>0.52252475269283605</v>
      </c>
      <c r="AI3418">
        <v>98.237467283972904</v>
      </c>
      <c r="AJ3418">
        <v>75.863903815732598</v>
      </c>
      <c r="AK3418">
        <v>0.54445909320796104</v>
      </c>
    </row>
    <row r="3419" spans="1:37" x14ac:dyDescent="0.2">
      <c r="A3419" t="str">
        <f>"20200111153718274"</f>
        <v>20200111153718274</v>
      </c>
      <c r="B3419" t="str">
        <f>"1578728238266480"</f>
        <v>1578728238266480</v>
      </c>
      <c r="C3419" t="s">
        <v>37</v>
      </c>
      <c r="D3419">
        <v>6.0630509999999997</v>
      </c>
      <c r="E3419">
        <v>0.55321480000000001</v>
      </c>
      <c r="F3419" t="s">
        <v>38</v>
      </c>
      <c r="G3419">
        <v>-226.86789999999999</v>
      </c>
      <c r="H3419">
        <v>1.0331649999999999</v>
      </c>
      <c r="I3419">
        <v>214.89500000000001</v>
      </c>
      <c r="J3419">
        <v>-227.37299999999999</v>
      </c>
      <c r="K3419">
        <v>1.106711</v>
      </c>
      <c r="L3419">
        <v>215.00729999999999</v>
      </c>
      <c r="M3419">
        <v>0.99906059999999997</v>
      </c>
      <c r="N3419">
        <v>0</v>
      </c>
      <c r="O3419">
        <v>3.8682689999999999E-2</v>
      </c>
      <c r="P3419">
        <v>0.99748519999999896</v>
      </c>
      <c r="Q3419">
        <v>6.6529340000000006E-2</v>
      </c>
      <c r="R3419">
        <v>2.444141E-2</v>
      </c>
      <c r="S3419">
        <v>3.0338750000000001</v>
      </c>
      <c r="T3419">
        <v>-0.26146910000000001</v>
      </c>
      <c r="U3419">
        <v>-0.34768680000000002</v>
      </c>
      <c r="V3419">
        <v>1.391947E-2</v>
      </c>
      <c r="W3419">
        <v>8.6051080000000002E-2</v>
      </c>
      <c r="X3419">
        <v>0.99619349999999995</v>
      </c>
      <c r="Y3419">
        <v>0.15151289999999901</v>
      </c>
      <c r="Z3419">
        <v>-9.8143950000000001E-3</v>
      </c>
      <c r="AA3419">
        <v>0.98840649999999997</v>
      </c>
      <c r="AB3419">
        <v>35</v>
      </c>
      <c r="AC3419">
        <v>0.505099999999998</v>
      </c>
      <c r="AD3419">
        <v>-7.3546000000000097E-2</v>
      </c>
      <c r="AE3419">
        <v>-0.112299999999976</v>
      </c>
      <c r="AF3419">
        <v>0.12914911211368699</v>
      </c>
      <c r="AG3419">
        <v>-7.3546000000000097E-2</v>
      </c>
      <c r="AH3419">
        <v>0.49046813916465898</v>
      </c>
      <c r="AI3419">
        <v>98.250819668985102</v>
      </c>
      <c r="AJ3419">
        <v>75.247855801201993</v>
      </c>
      <c r="AK3419">
        <v>0.51249146608640905</v>
      </c>
    </row>
    <row r="3420" spans="1:37" x14ac:dyDescent="0.2">
      <c r="A3420" t="str">
        <f>"20200111153718295"</f>
        <v>20200111153718295</v>
      </c>
      <c r="B3420" t="str">
        <f>"1578728238286000"</f>
        <v>1578728238286000</v>
      </c>
      <c r="C3420" t="s">
        <v>37</v>
      </c>
      <c r="D3420">
        <v>6.0601440000000002</v>
      </c>
      <c r="E3420">
        <v>0.55366300000000002</v>
      </c>
      <c r="F3420" t="s">
        <v>38</v>
      </c>
      <c r="G3420">
        <v>-226.55430000000001</v>
      </c>
      <c r="H3420">
        <v>1.0362359999999999</v>
      </c>
      <c r="I3420">
        <v>214.9117</v>
      </c>
      <c r="J3420">
        <v>-227.03360000000001</v>
      </c>
      <c r="K3420">
        <v>1.1067039999999999</v>
      </c>
      <c r="L3420">
        <v>215.02170000000001</v>
      </c>
      <c r="M3420">
        <v>0.99901169999999995</v>
      </c>
      <c r="N3420">
        <v>0</v>
      </c>
      <c r="O3420">
        <v>3.988945E-2</v>
      </c>
      <c r="P3420">
        <v>0.99749840000000001</v>
      </c>
      <c r="Q3420">
        <v>6.6341140000000007E-2</v>
      </c>
      <c r="R3420">
        <v>2.4417359999999999E-2</v>
      </c>
      <c r="S3420">
        <v>3.0336609999999999</v>
      </c>
      <c r="T3420">
        <v>-0.26126919999999998</v>
      </c>
      <c r="U3420">
        <v>-0.35380549999999999</v>
      </c>
      <c r="V3420">
        <v>1.515302E-2</v>
      </c>
      <c r="W3420">
        <v>8.5941340000000005E-2</v>
      </c>
      <c r="X3420">
        <v>0.99618490000000004</v>
      </c>
      <c r="Y3420">
        <v>0.15466629999999901</v>
      </c>
      <c r="Z3420">
        <v>-1.004507E-2</v>
      </c>
      <c r="AA3420">
        <v>0.98791569999999995</v>
      </c>
      <c r="AB3420">
        <v>35</v>
      </c>
      <c r="AC3420">
        <v>0.47929999999999501</v>
      </c>
      <c r="AD3420">
        <v>-7.0467999999999906E-2</v>
      </c>
      <c r="AE3420">
        <v>-0.110000000000013</v>
      </c>
      <c r="AF3420">
        <v>0.12643879548694101</v>
      </c>
      <c r="AG3420">
        <v>-7.0467999999999906E-2</v>
      </c>
      <c r="AH3420">
        <v>0.46498169748276702</v>
      </c>
      <c r="AI3420">
        <v>98.319950610814104</v>
      </c>
      <c r="AJ3420">
        <v>74.787829719707304</v>
      </c>
      <c r="AK3420">
        <v>0.48699125969789597</v>
      </c>
    </row>
    <row r="3421" spans="1:37" x14ac:dyDescent="0.2">
      <c r="A3421" t="str">
        <f>"20200111153718318"</f>
        <v>20200111153718318</v>
      </c>
      <c r="B3421" t="str">
        <f>"1578728238306496"</f>
        <v>1578728238306496</v>
      </c>
      <c r="C3421" t="s">
        <v>37</v>
      </c>
      <c r="D3421">
        <v>6.0852870000000001</v>
      </c>
      <c r="E3421">
        <v>0.55413119999999905</v>
      </c>
      <c r="F3421" t="s">
        <v>38</v>
      </c>
      <c r="G3421">
        <v>-226.2424</v>
      </c>
      <c r="H3421">
        <v>1.038667</v>
      </c>
      <c r="I3421">
        <v>214.92859999999999</v>
      </c>
      <c r="J3421">
        <v>-226.69200000000001</v>
      </c>
      <c r="K3421">
        <v>1.1066860000000001</v>
      </c>
      <c r="L3421">
        <v>215.0367</v>
      </c>
      <c r="M3421">
        <v>0.99896189999999996</v>
      </c>
      <c r="N3421">
        <v>0</v>
      </c>
      <c r="O3421">
        <v>4.1083519999999998E-2</v>
      </c>
      <c r="P3421">
        <v>0.99756540000000005</v>
      </c>
      <c r="Q3421">
        <v>6.5056970000000006E-2</v>
      </c>
      <c r="R3421">
        <v>2.5116599999999999E-2</v>
      </c>
      <c r="S3421">
        <v>3.0335999999999999</v>
      </c>
      <c r="T3421">
        <v>-0.26080560000000003</v>
      </c>
      <c r="U3421">
        <v>-0.3572845</v>
      </c>
      <c r="V3421">
        <v>1.5658149999999999E-2</v>
      </c>
      <c r="W3421">
        <v>8.4724610000000006E-2</v>
      </c>
      <c r="X3421">
        <v>0.99628139999999998</v>
      </c>
      <c r="Y3421">
        <v>0.1569566</v>
      </c>
      <c r="Z3421">
        <v>-1.022699E-2</v>
      </c>
      <c r="AA3421">
        <v>0.9875526</v>
      </c>
      <c r="AB3421">
        <v>35</v>
      </c>
      <c r="AC3421">
        <v>0.449600000000003</v>
      </c>
      <c r="AD3421">
        <v>-6.8018999999999996E-2</v>
      </c>
      <c r="AE3421">
        <v>-0.108100000000007</v>
      </c>
      <c r="AF3421">
        <v>0.123804643742962</v>
      </c>
      <c r="AG3421">
        <v>-6.8018999999999996E-2</v>
      </c>
      <c r="AH3421">
        <v>0.435358351672333</v>
      </c>
      <c r="AI3421">
        <v>98.546371763323705</v>
      </c>
      <c r="AJ3421">
        <v>74.125620419895995</v>
      </c>
      <c r="AK3421">
        <v>0.45770194291063798</v>
      </c>
    </row>
    <row r="3422" spans="1:37" x14ac:dyDescent="0.2">
      <c r="A3422" t="str">
        <f>"20200111153718340"</f>
        <v>20200111153718340</v>
      </c>
      <c r="B3422" t="str">
        <f>"1578728238336753"</f>
        <v>1578728238336753</v>
      </c>
      <c r="C3422" t="s">
        <v>37</v>
      </c>
      <c r="D3422">
        <v>6.0939290000000002</v>
      </c>
      <c r="E3422">
        <v>0.55480220000000002</v>
      </c>
      <c r="F3422" t="s">
        <v>38</v>
      </c>
      <c r="G3422">
        <v>-225.93170000000001</v>
      </c>
      <c r="H3422">
        <v>1.040759</v>
      </c>
      <c r="I3422">
        <v>214.94640000000001</v>
      </c>
      <c r="J3422">
        <v>-226.34690000000001</v>
      </c>
      <c r="K3422">
        <v>1.1066639999999901</v>
      </c>
      <c r="L3422">
        <v>215.0521</v>
      </c>
      <c r="M3422">
        <v>0.99891160000000001</v>
      </c>
      <c r="N3422">
        <v>0</v>
      </c>
      <c r="O3422">
        <v>4.2263549999999997E-2</v>
      </c>
      <c r="P3422">
        <v>0.99756149999999999</v>
      </c>
      <c r="Q3422">
        <v>6.4669119999999997E-2</v>
      </c>
      <c r="R3422">
        <v>2.6254610000000001E-2</v>
      </c>
      <c r="S3422">
        <v>3.03353899999999</v>
      </c>
      <c r="T3422">
        <v>-0.2632196</v>
      </c>
      <c r="U3422">
        <v>-0.3595428</v>
      </c>
      <c r="V3422">
        <v>1.570643E-2</v>
      </c>
      <c r="W3422">
        <v>8.4393449999999995E-2</v>
      </c>
      <c r="X3422">
        <v>0.99630869999999905</v>
      </c>
      <c r="Y3422">
        <v>0.15882550000000001</v>
      </c>
      <c r="Z3422">
        <v>-1.050366E-2</v>
      </c>
      <c r="AA3422">
        <v>0.98725079999999998</v>
      </c>
      <c r="AB3422">
        <v>35</v>
      </c>
      <c r="AC3422">
        <v>0.41519999999999802</v>
      </c>
      <c r="AD3422">
        <v>-6.5904999999999797E-2</v>
      </c>
      <c r="AE3422">
        <v>-0.105699999999984</v>
      </c>
      <c r="AF3422">
        <v>0.12030999574807801</v>
      </c>
      <c r="AG3422">
        <v>-6.5904999999999797E-2</v>
      </c>
      <c r="AH3422">
        <v>0.40087525979694499</v>
      </c>
      <c r="AI3422">
        <v>98.948554853589897</v>
      </c>
      <c r="AJ3422">
        <v>73.294538288499595</v>
      </c>
      <c r="AK3422">
        <v>0.42369675242934202</v>
      </c>
    </row>
    <row r="3423" spans="1:37" x14ac:dyDescent="0.2">
      <c r="A3423" t="str">
        <f>"20200111153718364"</f>
        <v>20200111153718364</v>
      </c>
      <c r="B3423" t="str">
        <f>"1578728238356275"</f>
        <v>1578728238356275</v>
      </c>
      <c r="C3423" t="s">
        <v>37</v>
      </c>
      <c r="D3423">
        <v>6.1248399999999998</v>
      </c>
      <c r="E3423">
        <v>0.55518880000000004</v>
      </c>
      <c r="F3423" t="s">
        <v>38</v>
      </c>
      <c r="G3423">
        <v>-225.3262</v>
      </c>
      <c r="H3423">
        <v>1.018092</v>
      </c>
      <c r="I3423">
        <v>214.93039999999999</v>
      </c>
      <c r="J3423">
        <v>-225.99160000000001</v>
      </c>
      <c r="K3423">
        <v>1.1066389999999999</v>
      </c>
      <c r="L3423">
        <v>215.0685</v>
      </c>
      <c r="M3423">
        <v>0.99885999999999997</v>
      </c>
      <c r="N3423">
        <v>0</v>
      </c>
      <c r="O3423">
        <v>4.3442370000000001E-2</v>
      </c>
      <c r="P3423">
        <v>0.99753440000000004</v>
      </c>
      <c r="Q3423">
        <v>6.4935270000000003E-2</v>
      </c>
      <c r="R3423">
        <v>2.6616520000000001E-2</v>
      </c>
      <c r="S3423">
        <v>3.0339200000000002</v>
      </c>
      <c r="T3423">
        <v>-0.26335999999999998</v>
      </c>
      <c r="U3423">
        <v>-0.36137390000000003</v>
      </c>
      <c r="V3423">
        <v>1.6527630000000001E-2</v>
      </c>
      <c r="W3423">
        <v>8.4710350000000004E-2</v>
      </c>
      <c r="X3423">
        <v>0.9962685</v>
      </c>
      <c r="Y3423">
        <v>0.160552</v>
      </c>
      <c r="Z3423">
        <v>-1.0683959999999999E-2</v>
      </c>
      <c r="AA3423">
        <v>0.98696949999999894</v>
      </c>
      <c r="AB3423">
        <v>35</v>
      </c>
      <c r="AC3423">
        <v>0.66540000000000499</v>
      </c>
      <c r="AD3423">
        <v>-8.8546999999999904E-2</v>
      </c>
      <c r="AE3423">
        <v>-0.13810000000000799</v>
      </c>
      <c r="AF3423">
        <v>0.164095893047916</v>
      </c>
      <c r="AG3423">
        <v>-8.8546999999999904E-2</v>
      </c>
      <c r="AH3423">
        <v>0.64777360819329599</v>
      </c>
      <c r="AI3423">
        <v>97.548218974576301</v>
      </c>
      <c r="AJ3423">
        <v>75.784707923920095</v>
      </c>
      <c r="AK3423">
        <v>0.67407616839341999</v>
      </c>
    </row>
    <row r="3424" spans="1:37" x14ac:dyDescent="0.2">
      <c r="A3424" t="str">
        <f>"20200111153718385"</f>
        <v>20200111153718385</v>
      </c>
      <c r="B3424" t="str">
        <f>"1578728238376768"</f>
        <v>1578728238376768</v>
      </c>
      <c r="C3424" t="s">
        <v>37</v>
      </c>
      <c r="D3424">
        <v>6.1091220000000002</v>
      </c>
      <c r="E3424">
        <v>0.55565609999999999</v>
      </c>
      <c r="F3424" t="s">
        <v>38</v>
      </c>
      <c r="G3424">
        <v>-225.0189</v>
      </c>
      <c r="H3424">
        <v>1.0224770000000001</v>
      </c>
      <c r="I3424">
        <v>214.952</v>
      </c>
      <c r="J3424">
        <v>-225.65889999999999</v>
      </c>
      <c r="K3424">
        <v>1.106619</v>
      </c>
      <c r="L3424">
        <v>215.08420000000001</v>
      </c>
      <c r="M3424">
        <v>0.99881160000000002</v>
      </c>
      <c r="N3424">
        <v>0</v>
      </c>
      <c r="O3424">
        <v>4.4516239999999999E-2</v>
      </c>
      <c r="P3424">
        <v>0.99747719999999995</v>
      </c>
      <c r="Q3424">
        <v>6.5776299999999996E-2</v>
      </c>
      <c r="R3424">
        <v>2.6700060000000001E-2</v>
      </c>
      <c r="S3424">
        <v>3.0342250000000002</v>
      </c>
      <c r="T3424">
        <v>-0.26251849999999999</v>
      </c>
      <c r="U3424">
        <v>-0.36354059999999999</v>
      </c>
      <c r="V3424">
        <v>1.7518849999999999E-2</v>
      </c>
      <c r="W3424">
        <v>8.5603090000000007E-2</v>
      </c>
      <c r="X3424">
        <v>0.99617529999999999</v>
      </c>
      <c r="Y3424">
        <v>0.16229070000000001</v>
      </c>
      <c r="Z3424">
        <v>-1.0815750000000001E-2</v>
      </c>
      <c r="AA3424">
        <v>0.98668369999999905</v>
      </c>
      <c r="AB3424">
        <v>34</v>
      </c>
      <c r="AC3424">
        <v>0.63999999999998602</v>
      </c>
      <c r="AD3424">
        <v>-8.4141999999999897E-2</v>
      </c>
      <c r="AE3424">
        <v>-0.132200000000011</v>
      </c>
      <c r="AF3424">
        <v>0.157946534477928</v>
      </c>
      <c r="AG3424">
        <v>-8.4141999999999897E-2</v>
      </c>
      <c r="AH3424">
        <v>0.62314882321049203</v>
      </c>
      <c r="AI3424">
        <v>97.456947878515393</v>
      </c>
      <c r="AJ3424">
        <v>75.777047564917396</v>
      </c>
      <c r="AK3424">
        <v>0.64833744283837902</v>
      </c>
    </row>
    <row r="3425" spans="1:37" x14ac:dyDescent="0.2">
      <c r="A3425" t="str">
        <f>"20200111153718408"</f>
        <v>20200111153718408</v>
      </c>
      <c r="B3425" t="str">
        <f>"1578728238396288"</f>
        <v>1578728238396288</v>
      </c>
      <c r="C3425" t="s">
        <v>37</v>
      </c>
      <c r="D3425">
        <v>6.1006999999999998</v>
      </c>
      <c r="E3425">
        <v>0.55612419999999996</v>
      </c>
      <c r="F3425" t="s">
        <v>38</v>
      </c>
      <c r="G3425">
        <v>-224.7124</v>
      </c>
      <c r="H3425">
        <v>1.025523</v>
      </c>
      <c r="I3425">
        <v>214.96969999999999</v>
      </c>
      <c r="J3425">
        <v>-225.32060000000001</v>
      </c>
      <c r="K3425">
        <v>1.1065940000000001</v>
      </c>
      <c r="L3425">
        <v>215.10040000000001</v>
      </c>
      <c r="M3425">
        <v>0.99876309999999902</v>
      </c>
      <c r="N3425">
        <v>0</v>
      </c>
      <c r="O3425">
        <v>4.5572389999999997E-2</v>
      </c>
      <c r="P3425">
        <v>0.99742540000000002</v>
      </c>
      <c r="Q3425">
        <v>6.631803E-2</v>
      </c>
      <c r="R3425">
        <v>2.729345E-2</v>
      </c>
      <c r="S3425">
        <v>3.03454599999999</v>
      </c>
      <c r="T3425">
        <v>-0.2601292</v>
      </c>
      <c r="U3425">
        <v>-0.36647029999999903</v>
      </c>
      <c r="V3425">
        <v>1.7984839999999998E-2</v>
      </c>
      <c r="W3425">
        <v>8.6195010000000002E-2</v>
      </c>
      <c r="X3425">
        <v>0.99611589999999905</v>
      </c>
      <c r="Y3425">
        <v>0.16426350000000001</v>
      </c>
      <c r="Z3425">
        <v>-1.0890169999999999E-2</v>
      </c>
      <c r="AA3425">
        <v>0.98635640000000002</v>
      </c>
      <c r="AB3425">
        <v>34</v>
      </c>
      <c r="AC3425">
        <v>0.60820000000000995</v>
      </c>
      <c r="AD3425">
        <v>-8.1071000000000101E-2</v>
      </c>
      <c r="AE3425">
        <v>-0.130700000000018</v>
      </c>
      <c r="AF3425">
        <v>0.155643367260796</v>
      </c>
      <c r="AG3425">
        <v>-8.1071000000000101E-2</v>
      </c>
      <c r="AH3425">
        <v>0.59156344428812702</v>
      </c>
      <c r="AI3425">
        <v>97.549682915487196</v>
      </c>
      <c r="AJ3425">
        <v>75.259265468383404</v>
      </c>
      <c r="AK3425">
        <v>0.61704511458345701</v>
      </c>
    </row>
    <row r="3426" spans="1:37" x14ac:dyDescent="0.2">
      <c r="A3426" t="str">
        <f>"20200111153718430"</f>
        <v>20200111153718430</v>
      </c>
      <c r="B3426" t="str">
        <f>"1578728238426545"</f>
        <v>1578728238426545</v>
      </c>
      <c r="C3426" t="s">
        <v>37</v>
      </c>
      <c r="D3426">
        <v>6.1420159999999999</v>
      </c>
      <c r="E3426">
        <v>0.55673530000000004</v>
      </c>
      <c r="F3426" t="s">
        <v>38</v>
      </c>
      <c r="G3426">
        <v>-224.40719999999999</v>
      </c>
      <c r="H3426">
        <v>1.028967</v>
      </c>
      <c r="I3426">
        <v>214.98929999999999</v>
      </c>
      <c r="J3426">
        <v>-224.98060000000001</v>
      </c>
      <c r="K3426">
        <v>1.1065529999999999</v>
      </c>
      <c r="L3426">
        <v>215.11709999999999</v>
      </c>
      <c r="M3426">
        <v>0.99871540000000003</v>
      </c>
      <c r="N3426">
        <v>0</v>
      </c>
      <c r="O3426">
        <v>4.6583369999999999E-2</v>
      </c>
      <c r="P3426">
        <v>0.9974248</v>
      </c>
      <c r="Q3426">
        <v>6.6248219999999997E-2</v>
      </c>
      <c r="R3426">
        <v>2.7478030000000001E-2</v>
      </c>
      <c r="S3426">
        <v>3.0349879999999998</v>
      </c>
      <c r="T3426">
        <v>-0.2580556</v>
      </c>
      <c r="U3426">
        <v>-0.36856079999999902</v>
      </c>
      <c r="V3426">
        <v>1.881973E-2</v>
      </c>
      <c r="W3426">
        <v>8.6170789999999997E-2</v>
      </c>
      <c r="X3426">
        <v>0.99610259999999995</v>
      </c>
      <c r="Y3426">
        <v>0.16591689999999901</v>
      </c>
      <c r="Z3426">
        <v>-1.095717E-2</v>
      </c>
      <c r="AA3426">
        <v>0.98607889999999998</v>
      </c>
      <c r="AB3426">
        <v>34</v>
      </c>
      <c r="AC3426">
        <v>0.57340000000002</v>
      </c>
      <c r="AD3426">
        <v>-7.7586000000000099E-2</v>
      </c>
      <c r="AE3426">
        <v>-0.12780000000000699</v>
      </c>
      <c r="AF3426">
        <v>0.151730931333147</v>
      </c>
      <c r="AG3426">
        <v>-7.7586000000000099E-2</v>
      </c>
      <c r="AH3426">
        <v>0.55710570066995202</v>
      </c>
      <c r="AI3426">
        <v>97.653088364623898</v>
      </c>
      <c r="AJ3426">
        <v>74.764697074961006</v>
      </c>
      <c r="AK3426">
        <v>0.58258786859853395</v>
      </c>
    </row>
    <row r="3427" spans="1:37" x14ac:dyDescent="0.2">
      <c r="A3427" t="str">
        <f>"20200111153718452"</f>
        <v>20200111153718452</v>
      </c>
      <c r="B3427" t="str">
        <f>"1578728238446064"</f>
        <v>1578728238446064</v>
      </c>
      <c r="C3427" t="s">
        <v>37</v>
      </c>
      <c r="D3427">
        <v>6.1105470000000004</v>
      </c>
      <c r="E3427">
        <v>0.55715199999999998</v>
      </c>
      <c r="F3427" t="s">
        <v>38</v>
      </c>
      <c r="G3427">
        <v>-224.10380000000001</v>
      </c>
      <c r="H3427">
        <v>1.031776</v>
      </c>
      <c r="I3427">
        <v>215.0093</v>
      </c>
      <c r="J3427">
        <v>-224.642</v>
      </c>
      <c r="K3427">
        <v>1.106495</v>
      </c>
      <c r="L3427">
        <v>215.13390000000001</v>
      </c>
      <c r="M3427">
        <v>0.99867059999999996</v>
      </c>
      <c r="N3427">
        <v>0</v>
      </c>
      <c r="O3427">
        <v>4.7517650000000002E-2</v>
      </c>
      <c r="P3427">
        <v>0.99751699999999999</v>
      </c>
      <c r="Q3427">
        <v>6.5197420000000006E-2</v>
      </c>
      <c r="R3427">
        <v>2.6632719999999999E-2</v>
      </c>
      <c r="S3427">
        <v>3.035202</v>
      </c>
      <c r="T3427">
        <v>-0.25899470000000002</v>
      </c>
      <c r="U3427">
        <v>-0.37237550000000003</v>
      </c>
      <c r="V3427">
        <v>2.061634E-2</v>
      </c>
      <c r="W3427">
        <v>8.5163619999999995E-2</v>
      </c>
      <c r="X3427">
        <v>0.99615370000000003</v>
      </c>
      <c r="Y3427">
        <v>0.16803560000000001</v>
      </c>
      <c r="Z3427">
        <v>-1.116457E-2</v>
      </c>
      <c r="AA3427">
        <v>0.98571769999999903</v>
      </c>
      <c r="AB3427">
        <v>34</v>
      </c>
      <c r="AC3427">
        <v>0.53819999999998902</v>
      </c>
      <c r="AD3427">
        <v>-7.4718999999999897E-2</v>
      </c>
      <c r="AE3427">
        <v>-0.124600000000015</v>
      </c>
      <c r="AF3427">
        <v>0.147342864438921</v>
      </c>
      <c r="AG3427">
        <v>-7.4718999999999897E-2</v>
      </c>
      <c r="AH3427">
        <v>0.52211848479719902</v>
      </c>
      <c r="AI3427">
        <v>97.841909097393597</v>
      </c>
      <c r="AJ3427">
        <v>74.240829152151704</v>
      </c>
      <c r="AK3427">
        <v>0.54763177485331305</v>
      </c>
    </row>
    <row r="3428" spans="1:37" x14ac:dyDescent="0.2">
      <c r="A3428" t="str">
        <f>"20200111153718475"</f>
        <v>20200111153718475</v>
      </c>
      <c r="B3428" t="str">
        <f>"1578728238466560"</f>
        <v>1578728238466560</v>
      </c>
      <c r="C3428" t="s">
        <v>37</v>
      </c>
      <c r="D3428">
        <v>6.0979929999999998</v>
      </c>
      <c r="E3428">
        <v>0.5576065</v>
      </c>
      <c r="F3428" t="s">
        <v>38</v>
      </c>
      <c r="G3428">
        <v>-223.80240000000001</v>
      </c>
      <c r="H3428">
        <v>1.0337379999999901</v>
      </c>
      <c r="I3428">
        <v>215.0292</v>
      </c>
      <c r="J3428">
        <v>-224.30109999999999</v>
      </c>
      <c r="K3428">
        <v>1.106411</v>
      </c>
      <c r="L3428">
        <v>215.15110000000001</v>
      </c>
      <c r="M3428">
        <v>0.99862919999999999</v>
      </c>
      <c r="N3428">
        <v>0</v>
      </c>
      <c r="O3428">
        <v>4.8363780000000002E-2</v>
      </c>
      <c r="P3428">
        <v>0.99770289999999995</v>
      </c>
      <c r="Q3428">
        <v>6.3132079999999993E-2</v>
      </c>
      <c r="R3428">
        <v>2.4566129999999999E-2</v>
      </c>
      <c r="S3428">
        <v>3.0347439999999999</v>
      </c>
      <c r="T3428">
        <v>-0.263071</v>
      </c>
      <c r="U3428">
        <v>-0.37777709999999998</v>
      </c>
      <c r="V3428">
        <v>2.3555429999999999E-2</v>
      </c>
      <c r="W3428">
        <v>8.3138550000000006E-2</v>
      </c>
      <c r="X3428">
        <v>0.99625959999999902</v>
      </c>
      <c r="Y3428">
        <v>0.17057919999999999</v>
      </c>
      <c r="Z3428">
        <v>-1.152277E-2</v>
      </c>
      <c r="AA3428">
        <v>0.98527659999999995</v>
      </c>
      <c r="AB3428">
        <v>34</v>
      </c>
      <c r="AC3428">
        <v>0.49869999999998499</v>
      </c>
      <c r="AD3428">
        <v>-7.2673000000000196E-2</v>
      </c>
      <c r="AE3428">
        <v>-0.12190000000001</v>
      </c>
      <c r="AF3428">
        <v>0.14301533590934501</v>
      </c>
      <c r="AG3428">
        <v>-7.2673000000000196E-2</v>
      </c>
      <c r="AH3428">
        <v>0.48254989379303798</v>
      </c>
      <c r="AI3428">
        <v>98.216371913918906</v>
      </c>
      <c r="AJ3428">
        <v>73.491535696429196</v>
      </c>
      <c r="AK3428">
        <v>0.50851661844421103</v>
      </c>
    </row>
    <row r="3429" spans="1:37" x14ac:dyDescent="0.2">
      <c r="A3429" t="str">
        <f>"20200111153718496"</f>
        <v>20200111153718496</v>
      </c>
      <c r="B3429" t="str">
        <f>"1578728238486081"</f>
        <v>1578728238486081</v>
      </c>
      <c r="C3429" t="s">
        <v>37</v>
      </c>
      <c r="D3429">
        <v>6.1168100000000001</v>
      </c>
      <c r="E3429">
        <v>0.55805660000000001</v>
      </c>
      <c r="F3429" t="s">
        <v>38</v>
      </c>
      <c r="G3429">
        <v>-223.50219999999999</v>
      </c>
      <c r="H3429">
        <v>1.035509</v>
      </c>
      <c r="I3429">
        <v>215.0489</v>
      </c>
      <c r="J3429">
        <v>-223.97919999999999</v>
      </c>
      <c r="K3429">
        <v>1.106314</v>
      </c>
      <c r="L3429">
        <v>215.16749999999999</v>
      </c>
      <c r="M3429">
        <v>0.99859500000000001</v>
      </c>
      <c r="N3429">
        <v>0</v>
      </c>
      <c r="O3429">
        <v>4.905238E-2</v>
      </c>
      <c r="P3429">
        <v>0.99789729999999999</v>
      </c>
      <c r="Q3429">
        <v>6.0771220000000001E-2</v>
      </c>
      <c r="R3429">
        <v>2.2533569999999999E-2</v>
      </c>
      <c r="S3429">
        <v>3.0334779999999899</v>
      </c>
      <c r="T3429">
        <v>-0.26941309999999902</v>
      </c>
      <c r="U3429">
        <v>-0.38734439999999998</v>
      </c>
      <c r="V3429">
        <v>2.6306429999999999E-2</v>
      </c>
      <c r="W3429">
        <v>8.0808950000000004E-2</v>
      </c>
      <c r="X3429">
        <v>0.9963824</v>
      </c>
      <c r="Y3429">
        <v>0.17430960000000001</v>
      </c>
      <c r="Z3429">
        <v>-1.2027650000000001E-2</v>
      </c>
      <c r="AA3429">
        <v>0.98461739999999998</v>
      </c>
      <c r="AB3429">
        <v>34</v>
      </c>
      <c r="AC3429">
        <v>0.47700000000000298</v>
      </c>
      <c r="AD3429">
        <v>-7.0804999999999896E-2</v>
      </c>
      <c r="AE3429">
        <v>-0.11859999999998599</v>
      </c>
      <c r="AF3429">
        <v>0.138975964579377</v>
      </c>
      <c r="AG3429">
        <v>-7.0804999999999896E-2</v>
      </c>
      <c r="AH3429">
        <v>0.46103972202974902</v>
      </c>
      <c r="AI3429">
        <v>98.364912690537807</v>
      </c>
      <c r="AJ3429">
        <v>73.225075114544694</v>
      </c>
      <c r="AK3429">
        <v>0.48670863157030297</v>
      </c>
    </row>
    <row r="3430" spans="1:37" x14ac:dyDescent="0.2">
      <c r="A3430" t="str">
        <f>"20200111153718519"</f>
        <v>20200111153718519</v>
      </c>
      <c r="B3430" t="str">
        <f>"1578728238506576"</f>
        <v>1578728238506576</v>
      </c>
      <c r="C3430" t="s">
        <v>37</v>
      </c>
      <c r="D3430">
        <v>6.1255920000000001</v>
      </c>
      <c r="E3430">
        <v>0.55846859999999998</v>
      </c>
      <c r="F3430" t="s">
        <v>38</v>
      </c>
      <c r="G3430">
        <v>-223.20410000000001</v>
      </c>
      <c r="H3430">
        <v>1.0356529999999999</v>
      </c>
      <c r="I3430">
        <v>215.0659</v>
      </c>
      <c r="J3430">
        <v>-223.65209999999999</v>
      </c>
      <c r="K3430">
        <v>1.1062000000000001</v>
      </c>
      <c r="L3430">
        <v>215.1842</v>
      </c>
      <c r="M3430">
        <v>0.99856630000000002</v>
      </c>
      <c r="N3430">
        <v>0</v>
      </c>
      <c r="O3430">
        <v>4.9622510000000002E-2</v>
      </c>
      <c r="P3430">
        <v>0.99807539999999995</v>
      </c>
      <c r="Q3430">
        <v>5.8699750000000002E-2</v>
      </c>
      <c r="R3430">
        <v>1.9985260000000001E-2</v>
      </c>
      <c r="S3430">
        <v>3.0321199999999999</v>
      </c>
      <c r="T3430">
        <v>-0.27647840000000001</v>
      </c>
      <c r="U3430">
        <v>-0.39695740000000002</v>
      </c>
      <c r="V3430">
        <v>2.945569E-2</v>
      </c>
      <c r="W3430">
        <v>7.876176E-2</v>
      </c>
      <c r="X3430">
        <v>0.99645819999999996</v>
      </c>
      <c r="Y3430">
        <v>0.1779327</v>
      </c>
      <c r="Z3430">
        <v>-1.2560719999999999E-2</v>
      </c>
      <c r="AA3430">
        <v>0.98396249999999996</v>
      </c>
      <c r="AB3430">
        <v>34</v>
      </c>
      <c r="AC3430">
        <v>0.44799999999997903</v>
      </c>
      <c r="AD3430">
        <v>-7.0546999999999901E-2</v>
      </c>
      <c r="AE3430">
        <v>-0.118300000000004</v>
      </c>
      <c r="AF3430">
        <v>0.137208960402151</v>
      </c>
      <c r="AG3430">
        <v>-7.0546999999999901E-2</v>
      </c>
      <c r="AH3430">
        <v>0.43157217279266202</v>
      </c>
      <c r="AI3430">
        <v>98.854456465046098</v>
      </c>
      <c r="AJ3430">
        <v>72.363072546374497</v>
      </c>
      <c r="AK3430">
        <v>0.45832054105464098</v>
      </c>
    </row>
    <row r="3431" spans="1:37" x14ac:dyDescent="0.2">
      <c r="A3431" t="str">
        <f>"20200111153718541"</f>
        <v>20200111153718541</v>
      </c>
      <c r="B3431" t="str">
        <f>"1578728238536833"</f>
        <v>1578728238536833</v>
      </c>
      <c r="C3431" t="s">
        <v>37</v>
      </c>
      <c r="D3431">
        <v>6.1326400000000003</v>
      </c>
      <c r="E3431">
        <v>0.55910839999999995</v>
      </c>
      <c r="F3431" t="s">
        <v>38</v>
      </c>
      <c r="G3431">
        <v>-222.90629999999999</v>
      </c>
      <c r="H3431">
        <v>1.0366899999999999</v>
      </c>
      <c r="I3431">
        <v>215.08359999999999</v>
      </c>
      <c r="J3431">
        <v>-223.31479999999999</v>
      </c>
      <c r="K3431">
        <v>1.1060729999999901</v>
      </c>
      <c r="L3431">
        <v>215.20160000000001</v>
      </c>
      <c r="M3431">
        <v>0.99854480000000001</v>
      </c>
      <c r="N3431">
        <v>0</v>
      </c>
      <c r="O3431">
        <v>5.004517E-2</v>
      </c>
      <c r="P3431">
        <v>0.99825779999999997</v>
      </c>
      <c r="Q3431">
        <v>5.6667670000000003E-2</v>
      </c>
      <c r="R3431">
        <v>1.644412E-2</v>
      </c>
      <c r="S3431">
        <v>3.0305789999999999</v>
      </c>
      <c r="T3431">
        <v>-0.282651599999999</v>
      </c>
      <c r="U3431">
        <v>-0.40780640000000001</v>
      </c>
      <c r="V3431">
        <v>3.345149E-2</v>
      </c>
      <c r="W3431">
        <v>7.6747990000000002E-2</v>
      </c>
      <c r="X3431">
        <v>0.99648919999999996</v>
      </c>
      <c r="Y3431">
        <v>0.1818129</v>
      </c>
      <c r="Z3431">
        <v>-1.3062499999999999E-2</v>
      </c>
      <c r="AA3431">
        <v>0.98324639999999996</v>
      </c>
      <c r="AB3431">
        <v>33</v>
      </c>
      <c r="AC3431">
        <v>0.40850000000000303</v>
      </c>
      <c r="AD3431">
        <v>-6.9382999999999903E-2</v>
      </c>
      <c r="AE3431">
        <v>-0.118000000000023</v>
      </c>
      <c r="AF3431">
        <v>0.13471271145941199</v>
      </c>
      <c r="AG3431">
        <v>-6.9382999999999903E-2</v>
      </c>
      <c r="AH3431">
        <v>0.39165298991207198</v>
      </c>
      <c r="AI3431">
        <v>99.509977738273506</v>
      </c>
      <c r="AJ3431">
        <v>71.0188651168164</v>
      </c>
      <c r="AK3431">
        <v>0.41994473425060602</v>
      </c>
    </row>
    <row r="3432" spans="1:37" x14ac:dyDescent="0.2">
      <c r="A3432" t="str">
        <f>"20200111153718564"</f>
        <v>20200111153718564</v>
      </c>
      <c r="B3432" t="str">
        <f>"1578728238556352"</f>
        <v>1578728238556352</v>
      </c>
      <c r="C3432" t="s">
        <v>37</v>
      </c>
      <c r="D3432">
        <v>6.1149760000000004</v>
      </c>
      <c r="E3432">
        <v>0.55953339999999996</v>
      </c>
      <c r="F3432" t="s">
        <v>45</v>
      </c>
      <c r="G3432">
        <v>-211.70249999999999</v>
      </c>
      <c r="H3432" s="1">
        <v>-5.8537019999999899E-7</v>
      </c>
      <c r="I3432">
        <v>213.5771</v>
      </c>
      <c r="J3432">
        <v>-222.9759</v>
      </c>
      <c r="K3432">
        <v>1.1059369999999999</v>
      </c>
      <c r="L3432">
        <v>215.21889999999999</v>
      </c>
      <c r="M3432">
        <v>0.99853130000000001</v>
      </c>
      <c r="N3432">
        <v>0</v>
      </c>
      <c r="O3432">
        <v>5.0308510000000001E-2</v>
      </c>
      <c r="P3432">
        <v>0.99840370000000001</v>
      </c>
      <c r="Q3432">
        <v>5.5159640000000003E-2</v>
      </c>
      <c r="R3432">
        <v>1.215863E-2</v>
      </c>
      <c r="S3432">
        <v>3.0285799999999998</v>
      </c>
      <c r="T3432">
        <v>-0.28847240000000002</v>
      </c>
      <c r="U3432">
        <v>-0.42367549999999998</v>
      </c>
      <c r="V3432">
        <v>3.8028369999999999E-2</v>
      </c>
      <c r="W3432">
        <v>7.5250310000000001E-2</v>
      </c>
      <c r="X3432">
        <v>0.99643930000000003</v>
      </c>
      <c r="Y3432">
        <v>0.18714549999999999</v>
      </c>
      <c r="Z3432">
        <v>-1.361156E-2</v>
      </c>
      <c r="AA3432">
        <v>0.9822379</v>
      </c>
      <c r="AB3432">
        <v>33</v>
      </c>
      <c r="AC3432">
        <v>11.273400000000001</v>
      </c>
      <c r="AD3432">
        <v>-1.1059375853702</v>
      </c>
      <c r="AE3432">
        <v>-1.6417999999999799</v>
      </c>
      <c r="AF3432">
        <v>2.1863783381851398</v>
      </c>
      <c r="AG3432">
        <v>-1.1059375853702</v>
      </c>
      <c r="AH3432">
        <v>11.072161431263</v>
      </c>
      <c r="AI3432">
        <v>95.596676362804303</v>
      </c>
      <c r="AJ3432">
        <v>78.829724194317393</v>
      </c>
      <c r="AK3432">
        <v>11.340022351846001</v>
      </c>
    </row>
    <row r="3433" spans="1:37" x14ac:dyDescent="0.2">
      <c r="A3433" t="str">
        <f>"20200111153718585"</f>
        <v>20200111153718585</v>
      </c>
      <c r="B3433" t="str">
        <f>"1578728238576848"</f>
        <v>1578728238576848</v>
      </c>
      <c r="C3433" t="s">
        <v>37</v>
      </c>
      <c r="D3433">
        <v>6.1427779999999998</v>
      </c>
      <c r="E3433">
        <v>0.55993519999999997</v>
      </c>
      <c r="F3433" t="s">
        <v>45</v>
      </c>
      <c r="G3433">
        <v>-211.56389999999999</v>
      </c>
      <c r="H3433" s="1">
        <v>-6.5840500000000005E-7</v>
      </c>
      <c r="I3433">
        <v>213.5607</v>
      </c>
      <c r="J3433">
        <v>-222.66299999999899</v>
      </c>
      <c r="K3433">
        <v>1.105823</v>
      </c>
      <c r="L3433">
        <v>215.23490000000001</v>
      </c>
      <c r="M3433">
        <v>0.99852419999999997</v>
      </c>
      <c r="N3433">
        <v>0</v>
      </c>
      <c r="O3433">
        <v>5.0442239999999999E-2</v>
      </c>
      <c r="P3433">
        <v>0.99856499999999904</v>
      </c>
      <c r="Q3433">
        <v>5.289986E-2</v>
      </c>
      <c r="R3433">
        <v>8.3556789999999995E-3</v>
      </c>
      <c r="S3433">
        <v>3.0263520000000002</v>
      </c>
      <c r="T3433">
        <v>-0.29328470000000001</v>
      </c>
      <c r="U3433">
        <v>-0.43974299999999999</v>
      </c>
      <c r="V3433">
        <v>4.1989850000000002E-2</v>
      </c>
      <c r="W3433">
        <v>7.2996329999999998E-2</v>
      </c>
      <c r="X3433">
        <v>0.99644789999999905</v>
      </c>
      <c r="Y3433">
        <v>0.19242329999999999</v>
      </c>
      <c r="Z3433">
        <v>-1.410937E-2</v>
      </c>
      <c r="AA3433">
        <v>0.98121059999999904</v>
      </c>
      <c r="AB3433">
        <v>33</v>
      </c>
      <c r="AC3433">
        <v>11.0990999999999</v>
      </c>
      <c r="AD3433">
        <v>-1.1058236584050001</v>
      </c>
      <c r="AE3433">
        <v>-1.6742000000000099</v>
      </c>
      <c r="AF3433">
        <v>2.21058947062166</v>
      </c>
      <c r="AG3433">
        <v>-1.1058236584050001</v>
      </c>
      <c r="AH3433">
        <v>10.8947564949989</v>
      </c>
      <c r="AI3433">
        <v>95.680725615084896</v>
      </c>
      <c r="AJ3433">
        <v>78.530170808658895</v>
      </c>
      <c r="AK3433">
        <v>11.171627941192501</v>
      </c>
    </row>
    <row r="3434" spans="1:37" x14ac:dyDescent="0.2">
      <c r="A3434" t="str">
        <f>"20200111153718609"</f>
        <v>20200111153718609</v>
      </c>
      <c r="B3434" t="str">
        <f>"1578728238596369"</f>
        <v>1578728238596369</v>
      </c>
      <c r="C3434" t="s">
        <v>37</v>
      </c>
      <c r="D3434">
        <v>6.1281290000000004</v>
      </c>
      <c r="E3434">
        <v>0.56031399999999998</v>
      </c>
      <c r="F3434" t="s">
        <v>45</v>
      </c>
      <c r="G3434">
        <v>-211.52590000000001</v>
      </c>
      <c r="H3434" s="1">
        <v>-6.7870869999999996E-7</v>
      </c>
      <c r="I3434">
        <v>213.56229999999999</v>
      </c>
      <c r="J3434">
        <v>-222.3289</v>
      </c>
      <c r="K3434">
        <v>1.1057269999999999</v>
      </c>
      <c r="L3434">
        <v>215.25190000000001</v>
      </c>
      <c r="M3434">
        <v>0.99852160000000001</v>
      </c>
      <c r="N3434">
        <v>0</v>
      </c>
      <c r="O3434">
        <v>5.0490069999999998E-2</v>
      </c>
      <c r="P3434">
        <v>0.99869589999999997</v>
      </c>
      <c r="Q3434">
        <v>5.0933310000000002E-2</v>
      </c>
      <c r="R3434">
        <v>3.5858869999999998E-3</v>
      </c>
      <c r="S3434">
        <v>3.02401699999999</v>
      </c>
      <c r="T3434">
        <v>-0.30026049999999999</v>
      </c>
      <c r="U3434">
        <v>-0.45416260000000003</v>
      </c>
      <c r="V3434">
        <v>4.6825930000000002E-2</v>
      </c>
      <c r="W3434">
        <v>7.10316E-2</v>
      </c>
      <c r="X3434">
        <v>0.99637439999999999</v>
      </c>
      <c r="Y3434">
        <v>0.19707749999999999</v>
      </c>
      <c r="Z3434">
        <v>-1.4683460000000001E-2</v>
      </c>
      <c r="AA3434">
        <v>0.98027799999999998</v>
      </c>
      <c r="AB3434">
        <v>33</v>
      </c>
      <c r="AC3434">
        <v>10.8029999999999</v>
      </c>
      <c r="AD3434">
        <v>-1.1057276787087</v>
      </c>
      <c r="AE3434">
        <v>-1.68960000000001</v>
      </c>
      <c r="AF3434">
        <v>2.2103951324087698</v>
      </c>
      <c r="AG3434">
        <v>-1.1057276787087</v>
      </c>
      <c r="AH3434">
        <v>10.595538997765701</v>
      </c>
      <c r="AI3434">
        <v>95.833016975240994</v>
      </c>
      <c r="AJ3434">
        <v>78.216209884548803</v>
      </c>
      <c r="AK3434">
        <v>10.8799782625708</v>
      </c>
    </row>
    <row r="3435" spans="1:37" x14ac:dyDescent="0.2">
      <c r="A3435" t="str">
        <f>"20200111153718631"</f>
        <v>20200111153718631</v>
      </c>
      <c r="B3435" t="str">
        <f>"1578728238626625"</f>
        <v>1578728238626625</v>
      </c>
      <c r="C3435" t="s">
        <v>37</v>
      </c>
      <c r="D3435">
        <v>6.1326489999999998</v>
      </c>
      <c r="E3435">
        <v>0.56085399999999996</v>
      </c>
      <c r="F3435" t="s">
        <v>45</v>
      </c>
      <c r="G3435">
        <v>-211.4444</v>
      </c>
      <c r="H3435" s="1">
        <v>-7.2178480000000004E-7</v>
      </c>
      <c r="I3435">
        <v>213.55510000000001</v>
      </c>
      <c r="J3435">
        <v>-222.0033</v>
      </c>
      <c r="K3435">
        <v>1.105645</v>
      </c>
      <c r="L3435">
        <v>215.26840000000001</v>
      </c>
      <c r="M3435">
        <v>0.9985231</v>
      </c>
      <c r="N3435">
        <v>0</v>
      </c>
      <c r="O3435">
        <v>5.0457630000000003E-2</v>
      </c>
      <c r="P3435">
        <v>0.9987838</v>
      </c>
      <c r="Q3435">
        <v>4.9270639999999997E-2</v>
      </c>
      <c r="R3435">
        <v>-2.002808E-3</v>
      </c>
      <c r="S3435">
        <v>3.021271</v>
      </c>
      <c r="T3435">
        <v>-0.30692129999999901</v>
      </c>
      <c r="U3435">
        <v>-0.4709778</v>
      </c>
      <c r="V3435">
        <v>5.2392719999999997E-2</v>
      </c>
      <c r="W3435">
        <v>6.9367269999999995E-2</v>
      </c>
      <c r="X3435">
        <v>0.99621440000000006</v>
      </c>
      <c r="Y3435">
        <v>0.2024233</v>
      </c>
      <c r="Z3435">
        <v>-1.528088E-2</v>
      </c>
      <c r="AA3435">
        <v>0.97917889999999996</v>
      </c>
      <c r="AB3435">
        <v>33</v>
      </c>
      <c r="AC3435">
        <v>10.5588999999999</v>
      </c>
      <c r="AD3435">
        <v>-1.1056457217847999</v>
      </c>
      <c r="AE3435">
        <v>-1.7133</v>
      </c>
      <c r="AF3435">
        <v>2.2202817929735601</v>
      </c>
      <c r="AG3435">
        <v>-1.1056457217847999</v>
      </c>
      <c r="AH3435">
        <v>10.348422049960501</v>
      </c>
      <c r="AI3435">
        <v>95.963750278868702</v>
      </c>
      <c r="AJ3435">
        <v>77.890618672864406</v>
      </c>
      <c r="AK3435">
        <v>10.641519751728101</v>
      </c>
    </row>
    <row r="3436" spans="1:37" x14ac:dyDescent="0.2">
      <c r="A3436" t="str">
        <f>"20200111153718653"</f>
        <v>20200111153718653</v>
      </c>
      <c r="B3436" t="str">
        <f>"1578728238646144"</f>
        <v>1578728238646144</v>
      </c>
      <c r="C3436" t="s">
        <v>37</v>
      </c>
      <c r="D3436">
        <v>6.1430439999999997</v>
      </c>
      <c r="E3436">
        <v>0.56114710000000001</v>
      </c>
      <c r="F3436" t="s">
        <v>45</v>
      </c>
      <c r="G3436">
        <v>-211.3245</v>
      </c>
      <c r="H3436" s="1">
        <v>-7.8459419999999905E-7</v>
      </c>
      <c r="I3436">
        <v>213.53280000000001</v>
      </c>
      <c r="J3436">
        <v>-221.67320000000001</v>
      </c>
      <c r="K3436">
        <v>1.105575</v>
      </c>
      <c r="L3436">
        <v>215.285</v>
      </c>
      <c r="M3436">
        <v>0.99852750000000001</v>
      </c>
      <c r="N3436">
        <v>0</v>
      </c>
      <c r="O3436">
        <v>5.0369869999999997E-2</v>
      </c>
      <c r="P3436">
        <v>0.99890009999999996</v>
      </c>
      <c r="Q3436">
        <v>4.6330400000000001E-2</v>
      </c>
      <c r="R3436">
        <v>-7.2362449999999997E-3</v>
      </c>
      <c r="S3436">
        <v>3.0180820000000002</v>
      </c>
      <c r="T3436">
        <v>-0.31248090000000001</v>
      </c>
      <c r="U3436">
        <v>-0.49052429999999902</v>
      </c>
      <c r="V3436">
        <v>5.7548820000000001E-2</v>
      </c>
      <c r="W3436">
        <v>6.641532E-2</v>
      </c>
      <c r="X3436">
        <v>0.99613109999999905</v>
      </c>
      <c r="Y3436">
        <v>0.208595899999999</v>
      </c>
      <c r="Z3436">
        <v>-1.587241E-2</v>
      </c>
      <c r="AA3436">
        <v>0.97787309999999905</v>
      </c>
      <c r="AB3436">
        <v>33</v>
      </c>
      <c r="AC3436">
        <v>10.348699999999999</v>
      </c>
      <c r="AD3436">
        <v>-1.1055757845942</v>
      </c>
      <c r="AE3436">
        <v>-1.75219999999998</v>
      </c>
      <c r="AF3436">
        <v>2.24641916696249</v>
      </c>
      <c r="AG3436">
        <v>-1.1055757845942</v>
      </c>
      <c r="AH3436">
        <v>10.134835600988801</v>
      </c>
      <c r="AI3436">
        <v>96.079190534243693</v>
      </c>
      <c r="AJ3436">
        <v>77.502262077439099</v>
      </c>
      <c r="AK3436">
        <v>10.4395205612254</v>
      </c>
    </row>
    <row r="3437" spans="1:37" x14ac:dyDescent="0.2">
      <c r="A3437" t="str">
        <f>"20200111153718676"</f>
        <v>20200111153718676</v>
      </c>
      <c r="B3437" t="str">
        <f>"1578728238666641"</f>
        <v>1578728238666641</v>
      </c>
      <c r="C3437" t="s">
        <v>37</v>
      </c>
      <c r="D3437">
        <v>6.1278969999999999</v>
      </c>
      <c r="E3437">
        <v>0.56137159999999997</v>
      </c>
      <c r="F3437" t="s">
        <v>45</v>
      </c>
      <c r="G3437">
        <v>-211.31059999999999</v>
      </c>
      <c r="H3437" s="1">
        <v>-7.922894E-7</v>
      </c>
      <c r="I3437">
        <v>213.5393</v>
      </c>
      <c r="J3437">
        <v>-221.35589999999999</v>
      </c>
      <c r="K3437">
        <v>1.1055219999999999</v>
      </c>
      <c r="L3437">
        <v>215.30099999999999</v>
      </c>
      <c r="M3437">
        <v>0.99853359999999902</v>
      </c>
      <c r="N3437">
        <v>0</v>
      </c>
      <c r="O3437">
        <v>5.0257339999999998E-2</v>
      </c>
      <c r="P3437">
        <v>0.99895440000000002</v>
      </c>
      <c r="Q3437">
        <v>4.4206549999999997E-2</v>
      </c>
      <c r="R3437">
        <v>-1.165529E-2</v>
      </c>
      <c r="S3437">
        <v>3.0145569999999999</v>
      </c>
      <c r="T3437">
        <v>-0.32161980000000001</v>
      </c>
      <c r="U3437">
        <v>-0.50784300000000004</v>
      </c>
      <c r="V3437">
        <v>6.1860360000000003E-2</v>
      </c>
      <c r="W3437">
        <v>6.4260349999999994E-2</v>
      </c>
      <c r="X3437">
        <v>0.99601399999999995</v>
      </c>
      <c r="Y3437">
        <v>0.2140203</v>
      </c>
      <c r="Z3437">
        <v>-1.662011E-2</v>
      </c>
      <c r="AA3437">
        <v>0.97668779999999999</v>
      </c>
      <c r="AB3437">
        <v>32</v>
      </c>
      <c r="AC3437">
        <v>10.0452999999999</v>
      </c>
      <c r="AD3437">
        <v>-1.1055227922894</v>
      </c>
      <c r="AE3437">
        <v>-1.7616999999999901</v>
      </c>
      <c r="AF3437">
        <v>2.23812619551089</v>
      </c>
      <c r="AG3437">
        <v>-1.1055227922894</v>
      </c>
      <c r="AH3437">
        <v>9.8285546759391007</v>
      </c>
      <c r="AI3437">
        <v>96.258791846560996</v>
      </c>
      <c r="AJ3437">
        <v>77.171547011380696</v>
      </c>
      <c r="AK3437">
        <v>10.140605333471299</v>
      </c>
    </row>
    <row r="3438" spans="1:37" x14ac:dyDescent="0.2">
      <c r="A3438" t="str">
        <f>"20200111153718697"</f>
        <v>20200111153718697</v>
      </c>
      <c r="B3438" t="str">
        <f>"1578728238686160"</f>
        <v>1578728238686160</v>
      </c>
      <c r="C3438" t="s">
        <v>37</v>
      </c>
      <c r="D3438">
        <v>6.2299829999999998</v>
      </c>
      <c r="E3438">
        <v>0.57388050000000002</v>
      </c>
      <c r="F3438" t="s">
        <v>45</v>
      </c>
      <c r="G3438">
        <v>-211.20099999999999</v>
      </c>
      <c r="H3438" s="1">
        <v>-8.5062969999999895E-7</v>
      </c>
      <c r="I3438">
        <v>213.53970000000001</v>
      </c>
      <c r="J3438">
        <v>-221.0453</v>
      </c>
      <c r="K3438">
        <v>1.1054870000000001</v>
      </c>
      <c r="L3438">
        <v>215.31649999999999</v>
      </c>
      <c r="M3438">
        <v>0.99854030000000005</v>
      </c>
      <c r="N3438">
        <v>0</v>
      </c>
      <c r="O3438">
        <v>5.013579E-2</v>
      </c>
      <c r="P3438">
        <v>0.99889640000000002</v>
      </c>
      <c r="Q3438">
        <v>4.4146409999999997E-2</v>
      </c>
      <c r="R3438">
        <v>-1.6037969999999999E-2</v>
      </c>
      <c r="S3438">
        <v>3.0115509999999999</v>
      </c>
      <c r="T3438">
        <v>-0.32785419999999998</v>
      </c>
      <c r="U3438">
        <v>-0.52233890000000005</v>
      </c>
      <c r="V3438">
        <v>6.611831E-2</v>
      </c>
      <c r="W3438">
        <v>6.4157080000000005E-2</v>
      </c>
      <c r="X3438">
        <v>0.9957471</v>
      </c>
      <c r="Y3438">
        <v>0.2185424</v>
      </c>
      <c r="Z3438">
        <v>-1.7180930000000001E-2</v>
      </c>
      <c r="AA3438">
        <v>0.97567619999999899</v>
      </c>
      <c r="AB3438">
        <v>32</v>
      </c>
      <c r="AC3438">
        <v>9.8443000000000005</v>
      </c>
      <c r="AD3438">
        <v>-1.1054878506296999</v>
      </c>
      <c r="AE3438">
        <v>-1.77679999999998</v>
      </c>
      <c r="AF3438">
        <v>2.2408489327852998</v>
      </c>
      <c r="AG3438">
        <v>-1.1054878506296999</v>
      </c>
      <c r="AH3438">
        <v>9.6252640403953293</v>
      </c>
      <c r="AI3438">
        <v>96.382645837041906</v>
      </c>
      <c r="AJ3438">
        <v>76.894467187281194</v>
      </c>
      <c r="AK3438">
        <v>9.9443056657959907</v>
      </c>
    </row>
    <row r="3439" spans="1:37" x14ac:dyDescent="0.2">
      <c r="A3439" t="str">
        <f>"20200111153718721"</f>
        <v>20200111153718721</v>
      </c>
      <c r="B3439" t="str">
        <f>"1578728238716416"</f>
        <v>1578728238716416</v>
      </c>
      <c r="C3439" t="s">
        <v>37</v>
      </c>
      <c r="D3439">
        <v>6.1302070000000004</v>
      </c>
      <c r="E3439">
        <v>0.57434879999999999</v>
      </c>
      <c r="F3439" t="s">
        <v>44</v>
      </c>
      <c r="G3439">
        <v>-206.84780000000001</v>
      </c>
      <c r="H3439" s="1">
        <v>5.4550070000000003E-6</v>
      </c>
      <c r="I3439">
        <v>212.31360000000001</v>
      </c>
      <c r="J3439">
        <v>-220.72290000000001</v>
      </c>
      <c r="K3439">
        <v>1.105464</v>
      </c>
      <c r="L3439">
        <v>215.33260000000001</v>
      </c>
      <c r="M3439">
        <v>0.99854789999999904</v>
      </c>
      <c r="N3439">
        <v>0</v>
      </c>
      <c r="O3439">
        <v>5.0003300000000001E-2</v>
      </c>
      <c r="P3439">
        <v>0.99875689999999995</v>
      </c>
      <c r="Q3439">
        <v>4.5351240000000001E-2</v>
      </c>
      <c r="R3439">
        <v>-2.0692820000000001E-2</v>
      </c>
      <c r="S3439">
        <v>3.0034480000000001</v>
      </c>
      <c r="T3439">
        <v>-0.2338614</v>
      </c>
      <c r="U3439">
        <v>-0.63526919999999898</v>
      </c>
      <c r="V3439">
        <v>7.0632029999999998E-2</v>
      </c>
      <c r="W3439">
        <v>6.530242E-2</v>
      </c>
      <c r="X3439">
        <v>0.99536259999999999</v>
      </c>
      <c r="Y3439">
        <v>0.25472159999999999</v>
      </c>
      <c r="Z3439">
        <v>-1.3643860000000001E-2</v>
      </c>
      <c r="AA3439">
        <v>0.96691819999999895</v>
      </c>
      <c r="AB3439">
        <v>32</v>
      </c>
      <c r="AC3439">
        <v>13.8751</v>
      </c>
      <c r="AD3439">
        <v>-1.1054585449929999</v>
      </c>
      <c r="AE3439">
        <v>-3.0190000000000001</v>
      </c>
      <c r="AF3439">
        <v>3.6868173246943798</v>
      </c>
      <c r="AG3439">
        <v>-1.1054585449929999</v>
      </c>
      <c r="AH3439">
        <v>13.624173476341801</v>
      </c>
      <c r="AI3439">
        <v>94.478401656563605</v>
      </c>
      <c r="AJ3439">
        <v>74.857933608964302</v>
      </c>
      <c r="AK3439">
        <v>14.157427855857801</v>
      </c>
    </row>
    <row r="3440" spans="1:37" x14ac:dyDescent="0.2">
      <c r="A3440" t="str">
        <f>"20200111153718742"</f>
        <v>20200111153718742</v>
      </c>
      <c r="B3440" t="str">
        <f>"1578728238736915"</f>
        <v>1578728238736915</v>
      </c>
      <c r="C3440" t="s">
        <v>37</v>
      </c>
      <c r="D3440">
        <v>6.0948260000000003</v>
      </c>
      <c r="E3440">
        <v>0.57154659999999902</v>
      </c>
      <c r="F3440" t="s">
        <v>44</v>
      </c>
      <c r="G3440">
        <v>-206.4571</v>
      </c>
      <c r="H3440" s="1">
        <v>5.2890380000000003E-6</v>
      </c>
      <c r="I3440">
        <v>212.23009999999999</v>
      </c>
      <c r="J3440">
        <v>-220.4</v>
      </c>
      <c r="K3440">
        <v>1.105445</v>
      </c>
      <c r="L3440">
        <v>215.3486</v>
      </c>
      <c r="M3440">
        <v>0.99855579999999999</v>
      </c>
      <c r="N3440">
        <v>0</v>
      </c>
      <c r="O3440">
        <v>4.9867889999999998E-2</v>
      </c>
      <c r="P3440">
        <v>0.99864589999999998</v>
      </c>
      <c r="Q3440">
        <v>4.5785800000000001E-2</v>
      </c>
      <c r="R3440">
        <v>-2.4701330000000001E-2</v>
      </c>
      <c r="S3440">
        <v>3.0007929999999998</v>
      </c>
      <c r="T3440">
        <v>-0.23253170000000001</v>
      </c>
      <c r="U3440">
        <v>-0.6525879</v>
      </c>
      <c r="V3440">
        <v>7.4496950000000006E-2</v>
      </c>
      <c r="W3440">
        <v>6.5668799999999999E-2</v>
      </c>
      <c r="X3440">
        <v>0.99505669999999902</v>
      </c>
      <c r="Y3440">
        <v>0.26008920000000002</v>
      </c>
      <c r="Z3440">
        <v>-1.376515E-2</v>
      </c>
      <c r="AA3440">
        <v>0.96548650000000003</v>
      </c>
      <c r="AB3440">
        <v>32</v>
      </c>
      <c r="AC3440">
        <v>13.9429</v>
      </c>
      <c r="AD3440">
        <v>-1.105439710962</v>
      </c>
      <c r="AE3440">
        <v>-3.1185000000000098</v>
      </c>
      <c r="AF3440">
        <v>3.7873876711093399</v>
      </c>
      <c r="AG3440">
        <v>-1.105439710962</v>
      </c>
      <c r="AH3440">
        <v>13.6880595969282</v>
      </c>
      <c r="AI3440">
        <v>94.450637023353096</v>
      </c>
      <c r="AJ3440">
        <v>74.533616204511404</v>
      </c>
      <c r="AK3440">
        <v>14.245324771829599</v>
      </c>
    </row>
    <row r="3441" spans="1:37" x14ac:dyDescent="0.2">
      <c r="A3441" t="str">
        <f>"20200111153718765"</f>
        <v>20200111153718765</v>
      </c>
      <c r="B3441" t="str">
        <f>"1578728238756432"</f>
        <v>1578728238756432</v>
      </c>
      <c r="C3441" t="s">
        <v>37</v>
      </c>
      <c r="D3441">
        <v>6.1392480000000003</v>
      </c>
      <c r="E3441">
        <v>0.57123590000000002</v>
      </c>
      <c r="F3441" t="s">
        <v>44</v>
      </c>
      <c r="G3441">
        <v>-208.9862</v>
      </c>
      <c r="H3441" s="1">
        <v>6.3511509999999902E-6</v>
      </c>
      <c r="I3441">
        <v>212.91</v>
      </c>
      <c r="J3441">
        <v>-220.0865</v>
      </c>
      <c r="K3441">
        <v>1.105421</v>
      </c>
      <c r="L3441">
        <v>215.36410000000001</v>
      </c>
      <c r="M3441">
        <v>0.9985638</v>
      </c>
      <c r="N3441">
        <v>0</v>
      </c>
      <c r="O3441">
        <v>4.973619E-2</v>
      </c>
      <c r="P3441">
        <v>0.99857750000000001</v>
      </c>
      <c r="Q3441">
        <v>4.5500029999999997E-2</v>
      </c>
      <c r="R3441">
        <v>-2.7803270000000001E-2</v>
      </c>
      <c r="S3441">
        <v>3.0015559999999999</v>
      </c>
      <c r="T3441">
        <v>-0.29070309999999999</v>
      </c>
      <c r="U3441">
        <v>-0.64129639999999999</v>
      </c>
      <c r="V3441">
        <v>7.7461379999999996E-2</v>
      </c>
      <c r="W3441">
        <v>6.5308149999999995E-2</v>
      </c>
      <c r="X3441">
        <v>0.99485400000000002</v>
      </c>
      <c r="Y3441">
        <v>0.25595679999999998</v>
      </c>
      <c r="Z3441">
        <v>-1.698703E-2</v>
      </c>
      <c r="AA3441">
        <v>0.96653899999999904</v>
      </c>
      <c r="AB3441">
        <v>32</v>
      </c>
      <c r="AC3441">
        <v>11.100300000000001</v>
      </c>
      <c r="AD3441">
        <v>-1.105414648849</v>
      </c>
      <c r="AE3441">
        <v>-2.4541000000000102</v>
      </c>
      <c r="AF3441">
        <v>2.9751282539983102</v>
      </c>
      <c r="AG3441">
        <v>-1.105414648849</v>
      </c>
      <c r="AH3441">
        <v>10.8617781128149</v>
      </c>
      <c r="AI3441">
        <v>95.605941563807804</v>
      </c>
      <c r="AJ3441">
        <v>74.681931366927401</v>
      </c>
      <c r="AK3441">
        <v>11.315986631560399</v>
      </c>
    </row>
    <row r="3442" spans="1:37" x14ac:dyDescent="0.2">
      <c r="A3442" t="str">
        <f>"20200111153718786"</f>
        <v>20200111153718786</v>
      </c>
      <c r="B3442" t="str">
        <f>"1578728238776928"</f>
        <v>1578728238776928</v>
      </c>
      <c r="C3442" t="s">
        <v>37</v>
      </c>
      <c r="D3442">
        <v>6.0543050000000003</v>
      </c>
      <c r="E3442">
        <v>0.58726519999999904</v>
      </c>
      <c r="F3442" t="s">
        <v>44</v>
      </c>
      <c r="G3442">
        <v>-208.4359</v>
      </c>
      <c r="H3442" s="1">
        <v>6.1126489999999996E-6</v>
      </c>
      <c r="I3442">
        <v>212.8468</v>
      </c>
      <c r="J3442">
        <v>-219.77709999999999</v>
      </c>
      <c r="K3442">
        <v>1.1053959999999901</v>
      </c>
      <c r="L3442">
        <v>215.3794</v>
      </c>
      <c r="M3442">
        <v>0.99857180000000001</v>
      </c>
      <c r="N3442">
        <v>0</v>
      </c>
      <c r="O3442">
        <v>4.9605129999999997E-2</v>
      </c>
      <c r="P3442">
        <v>0.99854869999999996</v>
      </c>
      <c r="Q3442">
        <v>4.3631669999999997E-2</v>
      </c>
      <c r="R3442">
        <v>-3.1574629999999999E-2</v>
      </c>
      <c r="S3442">
        <v>2.9992070000000002</v>
      </c>
      <c r="T3442">
        <v>-0.2845665</v>
      </c>
      <c r="U3442">
        <v>-0.64801030000000004</v>
      </c>
      <c r="V3442">
        <v>8.1096280000000007E-2</v>
      </c>
      <c r="W3442">
        <v>6.3361440000000005E-2</v>
      </c>
      <c r="X3442">
        <v>0.99469019999999997</v>
      </c>
      <c r="Y3442">
        <v>0.25809929999999998</v>
      </c>
      <c r="Z3442">
        <v>-1.6726890000000001E-2</v>
      </c>
      <c r="AA3442">
        <v>0.96597359999999899</v>
      </c>
      <c r="AB3442">
        <v>32</v>
      </c>
      <c r="AC3442">
        <v>11.341199999999899</v>
      </c>
      <c r="AD3442">
        <v>-1.10538988735099</v>
      </c>
      <c r="AE3442">
        <v>-2.5326</v>
      </c>
      <c r="AF3442">
        <v>3.0644446277414099</v>
      </c>
      <c r="AG3442">
        <v>-1.10538988735099</v>
      </c>
      <c r="AH3442">
        <v>11.1011287219679</v>
      </c>
      <c r="AI3442">
        <v>95.482713496102804</v>
      </c>
      <c r="AJ3442">
        <v>74.567938274256704</v>
      </c>
      <c r="AK3442">
        <v>11.5692595519874</v>
      </c>
    </row>
    <row r="3443" spans="1:37" x14ac:dyDescent="0.2">
      <c r="A3443" t="str">
        <f>"20200111153718809"</f>
        <v>20200111153718809</v>
      </c>
      <c r="B3443" t="str">
        <f>"1578728238806208"</f>
        <v>1578728238806208</v>
      </c>
      <c r="C3443" t="s">
        <v>37</v>
      </c>
      <c r="D3443">
        <v>6.064152</v>
      </c>
      <c r="E3443">
        <v>0.60249240000000004</v>
      </c>
      <c r="F3443" t="s">
        <v>44</v>
      </c>
      <c r="G3443">
        <v>-208.63640000000001</v>
      </c>
      <c r="H3443" s="1">
        <v>6.2362410000000002E-6</v>
      </c>
      <c r="I3443">
        <v>212.4503</v>
      </c>
      <c r="J3443">
        <v>-219.46279999999999</v>
      </c>
      <c r="K3443">
        <v>1.1053649999999999</v>
      </c>
      <c r="L3443">
        <v>215.3948</v>
      </c>
      <c r="M3443">
        <v>0.99858029999999998</v>
      </c>
      <c r="N3443">
        <v>0</v>
      </c>
      <c r="O3443">
        <v>4.9462239999999998E-2</v>
      </c>
      <c r="P3443">
        <v>0.99851859999999903</v>
      </c>
      <c r="Q3443">
        <v>4.1198129999999999E-2</v>
      </c>
      <c r="R3443">
        <v>-3.5541799999999998E-2</v>
      </c>
      <c r="S3443">
        <v>2.99246199999999</v>
      </c>
      <c r="T3443">
        <v>-0.2969155</v>
      </c>
      <c r="U3443">
        <v>-0.78677369999999902</v>
      </c>
      <c r="V3443">
        <v>8.4915389999999993E-2</v>
      </c>
      <c r="W3443">
        <v>6.084432E-2</v>
      </c>
      <c r="X3443">
        <v>0.99452870000000004</v>
      </c>
      <c r="Y3443">
        <v>0.30019990000000002</v>
      </c>
      <c r="Z3443">
        <v>-1.9431750000000001E-2</v>
      </c>
      <c r="AA3443">
        <v>0.95367839999999904</v>
      </c>
      <c r="AB3443">
        <v>32</v>
      </c>
      <c r="AC3443">
        <v>10.8263999999999</v>
      </c>
      <c r="AD3443">
        <v>-1.1053587637590001</v>
      </c>
      <c r="AE3443">
        <v>-2.9445000000000001</v>
      </c>
      <c r="AF3443">
        <v>3.44307820852501</v>
      </c>
      <c r="AG3443">
        <v>-1.1053587637590001</v>
      </c>
      <c r="AH3443">
        <v>10.5649285918223</v>
      </c>
      <c r="AI3443">
        <v>95.680863500400207</v>
      </c>
      <c r="AJ3443">
        <v>71.949367850429695</v>
      </c>
      <c r="AK3443">
        <v>11.166661170508499</v>
      </c>
    </row>
    <row r="3444" spans="1:37" x14ac:dyDescent="0.2">
      <c r="A3444" t="str">
        <f>"20200111153718832"</f>
        <v>20200111153718832</v>
      </c>
      <c r="B3444" t="str">
        <f>"1578728238826703"</f>
        <v>1578728238826703</v>
      </c>
      <c r="C3444" t="s">
        <v>37</v>
      </c>
      <c r="D3444">
        <v>6.0070410000000001</v>
      </c>
      <c r="E3444">
        <v>0.60467419999999905</v>
      </c>
      <c r="F3444" t="s">
        <v>44</v>
      </c>
      <c r="G3444">
        <v>-208.07069999999999</v>
      </c>
      <c r="H3444" s="1">
        <v>6.0349839999999901E-6</v>
      </c>
      <c r="I3444">
        <v>211.88290000000001</v>
      </c>
      <c r="J3444">
        <v>-219.1437</v>
      </c>
      <c r="K3444">
        <v>1.1053280000000001</v>
      </c>
      <c r="L3444">
        <v>215.41040000000001</v>
      </c>
      <c r="M3444">
        <v>0.9985908</v>
      </c>
      <c r="N3444">
        <v>0</v>
      </c>
      <c r="O3444">
        <v>4.929004E-2</v>
      </c>
      <c r="P3444">
        <v>0.99847469999999905</v>
      </c>
      <c r="Q3444">
        <v>3.9046280000000003E-2</v>
      </c>
      <c r="R3444">
        <v>-3.9037420000000003E-2</v>
      </c>
      <c r="S3444">
        <v>2.983673</v>
      </c>
      <c r="T3444">
        <v>-0.28950130000000002</v>
      </c>
      <c r="U3444">
        <v>-0.91979979999999995</v>
      </c>
      <c r="V3444">
        <v>8.823491E-2</v>
      </c>
      <c r="W3444">
        <v>5.859147E-2</v>
      </c>
      <c r="X3444">
        <v>0.99437500000000001</v>
      </c>
      <c r="Y3444">
        <v>0.33967559999999902</v>
      </c>
      <c r="Z3444">
        <v>-2.0741829999999999E-2</v>
      </c>
      <c r="AA3444">
        <v>0.94031390000000004</v>
      </c>
      <c r="AB3444">
        <v>32</v>
      </c>
      <c r="AC3444">
        <v>11.073</v>
      </c>
      <c r="AD3444">
        <v>-1.105321965016</v>
      </c>
      <c r="AE3444">
        <v>-3.5274999999999999</v>
      </c>
      <c r="AF3444">
        <v>4.0326248113956504</v>
      </c>
      <c r="AG3444">
        <v>-1.105321965016</v>
      </c>
      <c r="AH3444">
        <v>10.7880401381185</v>
      </c>
      <c r="AI3444">
        <v>95.482009066201798</v>
      </c>
      <c r="AJ3444">
        <v>69.503998652189594</v>
      </c>
      <c r="AK3444">
        <v>11.570030662772099</v>
      </c>
    </row>
    <row r="3445" spans="1:37" x14ac:dyDescent="0.2">
      <c r="A3445" t="str">
        <f>"20200111153718854"</f>
        <v>20200111153718854</v>
      </c>
      <c r="B3445" t="str">
        <f>"1578728238846224"</f>
        <v>1578728238846224</v>
      </c>
      <c r="C3445" t="s">
        <v>37</v>
      </c>
      <c r="D3445">
        <v>6.0013230000000002</v>
      </c>
      <c r="E3445">
        <v>0.60536690000000004</v>
      </c>
      <c r="F3445" t="s">
        <v>44</v>
      </c>
      <c r="G3445">
        <v>-207.51849999999999</v>
      </c>
      <c r="H3445" s="1">
        <v>5.8050509999999998E-6</v>
      </c>
      <c r="I3445">
        <v>211.7116</v>
      </c>
      <c r="J3445">
        <v>-218.8355</v>
      </c>
      <c r="K3445">
        <v>1.105286</v>
      </c>
      <c r="L3445">
        <v>215.4254</v>
      </c>
      <c r="M3445">
        <v>0.99860289999999996</v>
      </c>
      <c r="N3445">
        <v>0</v>
      </c>
      <c r="O3445">
        <v>4.9081079999999999E-2</v>
      </c>
      <c r="P3445">
        <v>0.99842389999999903</v>
      </c>
      <c r="Q3445">
        <v>3.7357880000000003E-2</v>
      </c>
      <c r="R3445">
        <v>-4.1882639999999999E-2</v>
      </c>
      <c r="S3445">
        <v>2.9786069999999998</v>
      </c>
      <c r="T3445">
        <v>-0.28320519999999999</v>
      </c>
      <c r="U3445">
        <v>-0.94770810000000005</v>
      </c>
      <c r="V3445">
        <v>9.0869399999999906E-2</v>
      </c>
      <c r="W3445">
        <v>5.679584E-2</v>
      </c>
      <c r="X3445">
        <v>0.99424190000000001</v>
      </c>
      <c r="Y3445">
        <v>0.34797620000000001</v>
      </c>
      <c r="Z3445">
        <v>-2.0663000000000001E-2</v>
      </c>
      <c r="AA3445">
        <v>0.93727559999999999</v>
      </c>
      <c r="AB3445">
        <v>31</v>
      </c>
      <c r="AC3445">
        <v>11.317</v>
      </c>
      <c r="AD3445">
        <v>-1.1052801949490001</v>
      </c>
      <c r="AE3445">
        <v>-3.7137999999999902</v>
      </c>
      <c r="AF3445">
        <v>4.22846726081535</v>
      </c>
      <c r="AG3445">
        <v>-1.1052801949490001</v>
      </c>
      <c r="AH3445">
        <v>11.0260952492975</v>
      </c>
      <c r="AI3445">
        <v>95.347059919908702</v>
      </c>
      <c r="AJ3445">
        <v>69.018363600538706</v>
      </c>
      <c r="AK3445">
        <v>11.8607063926106</v>
      </c>
    </row>
    <row r="3446" spans="1:37" x14ac:dyDescent="0.2">
      <c r="A3446" t="str">
        <f>"20200111153718876"</f>
        <v>20200111153718876</v>
      </c>
      <c r="B3446" t="str">
        <f>"1578728238866720"</f>
        <v>1578728238866720</v>
      </c>
      <c r="C3446" t="s">
        <v>37</v>
      </c>
      <c r="D3446">
        <v>5.9838709999999997</v>
      </c>
      <c r="E3446">
        <v>0.60601059999999995</v>
      </c>
      <c r="F3446" t="s">
        <v>44</v>
      </c>
      <c r="G3446">
        <v>-207.14250000000001</v>
      </c>
      <c r="H3446" s="1">
        <v>5.6442290000000003E-6</v>
      </c>
      <c r="I3446">
        <v>211.6439</v>
      </c>
      <c r="J3446">
        <v>-218.52670000000001</v>
      </c>
      <c r="K3446">
        <v>1.1052329999999999</v>
      </c>
      <c r="L3446">
        <v>215.44030000000001</v>
      </c>
      <c r="M3446">
        <v>0.99861869999999997</v>
      </c>
      <c r="N3446">
        <v>0</v>
      </c>
      <c r="O3446">
        <v>4.8806830000000002E-2</v>
      </c>
      <c r="P3446">
        <v>0.99830379999999996</v>
      </c>
      <c r="Q3446">
        <v>3.7330049999999997E-2</v>
      </c>
      <c r="R3446">
        <v>-4.4682230000000003E-2</v>
      </c>
      <c r="S3446">
        <v>2.9748839999999999</v>
      </c>
      <c r="T3446">
        <v>-0.28120009999999901</v>
      </c>
      <c r="U3446">
        <v>-0.96206669999999905</v>
      </c>
      <c r="V3446">
        <v>9.339248E-2</v>
      </c>
      <c r="W3446">
        <v>5.6638260000000003E-2</v>
      </c>
      <c r="X3446">
        <v>0.99401709999999999</v>
      </c>
      <c r="Y3446">
        <v>0.35216160000000002</v>
      </c>
      <c r="Z3446">
        <v>-2.069431E-2</v>
      </c>
      <c r="AA3446">
        <v>0.93571039999999905</v>
      </c>
      <c r="AB3446">
        <v>31</v>
      </c>
      <c r="AC3446">
        <v>11.3841999999999</v>
      </c>
      <c r="AD3446">
        <v>-1.105227355771</v>
      </c>
      <c r="AE3446">
        <v>-3.7964000000000002</v>
      </c>
      <c r="AF3446">
        <v>4.3110391978109304</v>
      </c>
      <c r="AG3446">
        <v>-1.105227355771</v>
      </c>
      <c r="AH3446">
        <v>11.091225544130801</v>
      </c>
      <c r="AI3446">
        <v>95.306374814321899</v>
      </c>
      <c r="AJ3446">
        <v>68.759435209253397</v>
      </c>
      <c r="AK3446">
        <v>11.9508104555209</v>
      </c>
    </row>
    <row r="3447" spans="1:37" x14ac:dyDescent="0.2">
      <c r="A3447" t="str">
        <f>"20200111153718898"</f>
        <v>20200111153718898</v>
      </c>
      <c r="B3447" t="str">
        <f>"1578728238886240"</f>
        <v>1578728238886240</v>
      </c>
      <c r="C3447" t="s">
        <v>37</v>
      </c>
      <c r="D3447">
        <v>6.0020480000000003</v>
      </c>
      <c r="E3447">
        <v>0.60627529999999996</v>
      </c>
      <c r="F3447" t="s">
        <v>44</v>
      </c>
      <c r="G3447">
        <v>-206.65770000000001</v>
      </c>
      <c r="H3447" s="1">
        <v>5.4380579999999998E-6</v>
      </c>
      <c r="I3447">
        <v>211.54349999999999</v>
      </c>
      <c r="J3447">
        <v>-218.22139999999999</v>
      </c>
      <c r="K3447">
        <v>1.105162</v>
      </c>
      <c r="L3447">
        <v>215.45490000000001</v>
      </c>
      <c r="M3447">
        <v>0.99863860000000004</v>
      </c>
      <c r="N3447">
        <v>0</v>
      </c>
      <c r="O3447">
        <v>4.8448499999999999E-2</v>
      </c>
      <c r="P3447">
        <v>0.99810589999999999</v>
      </c>
      <c r="Q3447">
        <v>3.7962699999999898E-2</v>
      </c>
      <c r="R3447">
        <v>-4.8410710000000003E-2</v>
      </c>
      <c r="S3447">
        <v>2.9717709999999999</v>
      </c>
      <c r="T3447">
        <v>-0.276729</v>
      </c>
      <c r="U3447">
        <v>-0.97569269999999997</v>
      </c>
      <c r="V3447">
        <v>9.6758700000000003E-2</v>
      </c>
      <c r="W3447">
        <v>5.7113860000000002E-2</v>
      </c>
      <c r="X3447">
        <v>0.99366779999999999</v>
      </c>
      <c r="Y3447">
        <v>0.35602489999999998</v>
      </c>
      <c r="Z3447">
        <v>-2.051526E-2</v>
      </c>
      <c r="AA3447">
        <v>0.93425119999999895</v>
      </c>
      <c r="AB3447">
        <v>31</v>
      </c>
      <c r="AC3447">
        <v>11.5636999999999</v>
      </c>
      <c r="AD3447">
        <v>-1.1051565619419901</v>
      </c>
      <c r="AE3447">
        <v>-3.9114000000000102</v>
      </c>
      <c r="AF3447">
        <v>4.4308380041200301</v>
      </c>
      <c r="AG3447">
        <v>-1.1051565619419901</v>
      </c>
      <c r="AH3447">
        <v>11.2682228779566</v>
      </c>
      <c r="AI3447">
        <v>95.215189403211596</v>
      </c>
      <c r="AJ3447">
        <v>68.534487018721705</v>
      </c>
      <c r="AK3447">
        <v>12.1583939429706</v>
      </c>
    </row>
    <row r="3448" spans="1:37" x14ac:dyDescent="0.2">
      <c r="A3448" t="str">
        <f>"20200111153718921"</f>
        <v>20200111153718921</v>
      </c>
      <c r="B3448" t="str">
        <f>"1578728238916497"</f>
        <v>1578728238916497</v>
      </c>
      <c r="C3448" t="s">
        <v>37</v>
      </c>
      <c r="D3448">
        <v>5.9512109999999998</v>
      </c>
      <c r="E3448">
        <v>0.6066819</v>
      </c>
      <c r="F3448" t="s">
        <v>44</v>
      </c>
      <c r="G3448">
        <v>-206.24289999999999</v>
      </c>
      <c r="H3448" s="1">
        <v>5.2607770000000001E-6</v>
      </c>
      <c r="I3448">
        <v>211.46719999999999</v>
      </c>
      <c r="J3448">
        <v>-217.9085</v>
      </c>
      <c r="K3448">
        <v>1.1050679999999999</v>
      </c>
      <c r="L3448">
        <v>215.46950000000001</v>
      </c>
      <c r="M3448">
        <v>0.99866520000000003</v>
      </c>
      <c r="N3448">
        <v>0</v>
      </c>
      <c r="O3448">
        <v>4.7961520000000001E-2</v>
      </c>
      <c r="P3448">
        <v>0.9979133</v>
      </c>
      <c r="Q3448">
        <v>3.9151709999999999E-2</v>
      </c>
      <c r="R3448">
        <v>-5.134172E-2</v>
      </c>
      <c r="S3448">
        <v>2.9681850000000001</v>
      </c>
      <c r="T3448">
        <v>-0.27384979999999998</v>
      </c>
      <c r="U3448">
        <v>-0.98811340000000003</v>
      </c>
      <c r="V3448">
        <v>9.9204440000000005E-2</v>
      </c>
      <c r="W3448">
        <v>5.8121159999999998E-2</v>
      </c>
      <c r="X3448">
        <v>0.99336819999999904</v>
      </c>
      <c r="Y3448">
        <v>0.35944579999999998</v>
      </c>
      <c r="Z3448">
        <v>-2.0422590000000001E-2</v>
      </c>
      <c r="AA3448">
        <v>0.93294249999999901</v>
      </c>
      <c r="AB3448">
        <v>31</v>
      </c>
      <c r="AC3448">
        <v>11.6656</v>
      </c>
      <c r="AD3448">
        <v>-1.1050627392229999</v>
      </c>
      <c r="AE3448">
        <v>-4.0023000000000204</v>
      </c>
      <c r="AF3448">
        <v>4.5209985538664901</v>
      </c>
      <c r="AG3448">
        <v>-1.1050627392229999</v>
      </c>
      <c r="AH3448">
        <v>11.368903809572201</v>
      </c>
      <c r="AI3448">
        <v>95.161005490364701</v>
      </c>
      <c r="AJ3448">
        <v>68.314087894410605</v>
      </c>
      <c r="AK3448">
        <v>12.284647549400299</v>
      </c>
    </row>
    <row r="3449" spans="1:37" x14ac:dyDescent="0.2">
      <c r="A3449" t="str">
        <f>"20200111153718943"</f>
        <v>20200111153718943</v>
      </c>
      <c r="B3449" t="str">
        <f>"1578728238936097"</f>
        <v>1578728238936097</v>
      </c>
      <c r="C3449" t="s">
        <v>37</v>
      </c>
      <c r="D3449">
        <v>6.0229819999999998</v>
      </c>
      <c r="E3449">
        <v>0.6069251</v>
      </c>
      <c r="F3449" t="s">
        <v>44</v>
      </c>
      <c r="G3449">
        <v>-205.62909999999999</v>
      </c>
      <c r="H3449" s="1">
        <v>5.0006650000000003E-6</v>
      </c>
      <c r="I3449">
        <v>211.32859999999999</v>
      </c>
      <c r="J3449">
        <v>-217.59639999999999</v>
      </c>
      <c r="K3449">
        <v>1.1049519999999999</v>
      </c>
      <c r="L3449">
        <v>215.48390000000001</v>
      </c>
      <c r="M3449">
        <v>0.9986988</v>
      </c>
      <c r="N3449">
        <v>0</v>
      </c>
      <c r="O3449">
        <v>4.7330520000000001E-2</v>
      </c>
      <c r="P3449">
        <v>0.99783509999999997</v>
      </c>
      <c r="Q3449">
        <v>3.9630869999999999E-2</v>
      </c>
      <c r="R3449">
        <v>-5.2485879999999999E-2</v>
      </c>
      <c r="S3449">
        <v>2.96531699999999</v>
      </c>
      <c r="T3449">
        <v>-0.2668587</v>
      </c>
      <c r="U3449">
        <v>-0.99996949999999996</v>
      </c>
      <c r="V3449">
        <v>9.9729280000000003E-2</v>
      </c>
      <c r="W3449">
        <v>5.839155E-2</v>
      </c>
      <c r="X3449">
        <v>0.99329979999999995</v>
      </c>
      <c r="Y3449">
        <v>0.36254740000000002</v>
      </c>
      <c r="Z3449">
        <v>-1.9989440000000001E-2</v>
      </c>
      <c r="AA3449">
        <v>0.931751</v>
      </c>
      <c r="AB3449">
        <v>31</v>
      </c>
      <c r="AC3449">
        <v>11.9672999999999</v>
      </c>
      <c r="AD3449">
        <v>-1.1049469993349901</v>
      </c>
      <c r="AE3449">
        <v>-4.1553000000000102</v>
      </c>
      <c r="AF3449">
        <v>4.6815461830462004</v>
      </c>
      <c r="AG3449">
        <v>-1.1049469993349901</v>
      </c>
      <c r="AH3449">
        <v>11.668405287584999</v>
      </c>
      <c r="AI3449">
        <v>95.022580536011205</v>
      </c>
      <c r="AJ3449">
        <v>68.138573859771299</v>
      </c>
      <c r="AK3449">
        <v>12.620993007314199</v>
      </c>
    </row>
    <row r="3450" spans="1:37" x14ac:dyDescent="0.2">
      <c r="A3450" t="str">
        <f>"20200111153718965"</f>
        <v>20200111153718965</v>
      </c>
      <c r="B3450" t="str">
        <f>"1578728238956512"</f>
        <v>1578728238956512</v>
      </c>
      <c r="C3450" t="s">
        <v>37</v>
      </c>
      <c r="D3450">
        <v>5.9821530000000003</v>
      </c>
      <c r="E3450">
        <v>0.6069928</v>
      </c>
      <c r="F3450" t="s">
        <v>44</v>
      </c>
      <c r="G3450">
        <v>-205.03280000000001</v>
      </c>
      <c r="H3450" s="1">
        <v>4.7458189999999998E-6</v>
      </c>
      <c r="I3450">
        <v>211.2191</v>
      </c>
      <c r="J3450">
        <v>-217.29740000000001</v>
      </c>
      <c r="K3450">
        <v>1.1048340000000001</v>
      </c>
      <c r="L3450">
        <v>215.4973</v>
      </c>
      <c r="M3450">
        <v>0.99873639999999997</v>
      </c>
      <c r="N3450">
        <v>0</v>
      </c>
      <c r="O3450">
        <v>4.6608209999999997E-2</v>
      </c>
      <c r="P3450">
        <v>0.99776640000000005</v>
      </c>
      <c r="Q3450">
        <v>3.9556429999999997E-2</v>
      </c>
      <c r="R3450">
        <v>-5.3828470000000003E-2</v>
      </c>
      <c r="S3450">
        <v>2.9639279999999899</v>
      </c>
      <c r="T3450">
        <v>-0.26067190000000001</v>
      </c>
      <c r="U3450">
        <v>-1.0061040000000001</v>
      </c>
      <c r="V3450">
        <v>0.1003617</v>
      </c>
      <c r="W3450">
        <v>5.8103059999999998E-2</v>
      </c>
      <c r="X3450">
        <v>0.99325300000000005</v>
      </c>
      <c r="Y3450">
        <v>0.36380200000000001</v>
      </c>
      <c r="Z3450">
        <v>-1.9521759999999999E-2</v>
      </c>
      <c r="AA3450">
        <v>0.93127169999999904</v>
      </c>
      <c r="AB3450">
        <v>31</v>
      </c>
      <c r="AC3450">
        <v>12.2646</v>
      </c>
      <c r="AD3450">
        <v>-1.1048292541810001</v>
      </c>
      <c r="AE3450">
        <v>-4.2781999999999902</v>
      </c>
      <c r="AF3450">
        <v>4.8104791305522996</v>
      </c>
      <c r="AG3450">
        <v>-1.1048292541810001</v>
      </c>
      <c r="AH3450">
        <v>11.965268197280199</v>
      </c>
      <c r="AI3450">
        <v>94.896678671154604</v>
      </c>
      <c r="AJ3450">
        <v>68.098053644693493</v>
      </c>
      <c r="AK3450">
        <v>12.9432994317221</v>
      </c>
    </row>
    <row r="3451" spans="1:37" x14ac:dyDescent="0.2">
      <c r="A3451" t="str">
        <f>"20200111153718988"</f>
        <v>20200111153718988</v>
      </c>
      <c r="B3451" t="str">
        <f>"1578728238976033"</f>
        <v>1578728238976033</v>
      </c>
      <c r="C3451" t="s">
        <v>37</v>
      </c>
      <c r="D3451">
        <v>5.9639169999999897</v>
      </c>
      <c r="E3451">
        <v>0.60714789999999996</v>
      </c>
      <c r="F3451" t="s">
        <v>44</v>
      </c>
      <c r="G3451">
        <v>-204.7295</v>
      </c>
      <c r="H3451" s="1">
        <v>4.6120929999999901E-6</v>
      </c>
      <c r="I3451">
        <v>211.21010000000001</v>
      </c>
      <c r="J3451">
        <v>-216.98869999999999</v>
      </c>
      <c r="K3451">
        <v>1.1047049999999901</v>
      </c>
      <c r="L3451">
        <v>215.51079999999999</v>
      </c>
      <c r="M3451">
        <v>0.99878129999999998</v>
      </c>
      <c r="N3451">
        <v>0</v>
      </c>
      <c r="O3451">
        <v>4.5719469999999998E-2</v>
      </c>
      <c r="P3451">
        <v>0.99763289999999905</v>
      </c>
      <c r="Q3451">
        <v>3.9301309999999999E-2</v>
      </c>
      <c r="R3451">
        <v>-5.6429989999999999E-2</v>
      </c>
      <c r="S3451">
        <v>2.962555</v>
      </c>
      <c r="T3451">
        <v>-0.2604342</v>
      </c>
      <c r="U3451">
        <v>-1.010605</v>
      </c>
      <c r="V3451">
        <v>0.10208349999999999</v>
      </c>
      <c r="W3451">
        <v>5.7611799999999998E-2</v>
      </c>
      <c r="X3451">
        <v>0.99310619999999905</v>
      </c>
      <c r="Y3451">
        <v>0.36437629999999999</v>
      </c>
      <c r="Z3451">
        <v>-1.9456370000000001E-2</v>
      </c>
      <c r="AA3451">
        <v>0.93104849999999995</v>
      </c>
      <c r="AB3451">
        <v>31</v>
      </c>
      <c r="AC3451">
        <v>12.2591999999999</v>
      </c>
      <c r="AD3451">
        <v>-1.1047003879070001</v>
      </c>
      <c r="AE3451">
        <v>-4.3006999999999698</v>
      </c>
      <c r="AF3451">
        <v>4.8219182682934001</v>
      </c>
      <c r="AG3451">
        <v>-1.1047003879070001</v>
      </c>
      <c r="AH3451">
        <v>11.9632186890617</v>
      </c>
      <c r="AI3451">
        <v>94.895214876017405</v>
      </c>
      <c r="AJ3451">
        <v>68.047511686150003</v>
      </c>
      <c r="AK3451">
        <v>12.9456502399632</v>
      </c>
    </row>
    <row r="3452" spans="1:37" x14ac:dyDescent="0.2">
      <c r="A3452" t="str">
        <f>"20200111153719010"</f>
        <v>20200111153719010</v>
      </c>
      <c r="B3452" t="str">
        <f>"1578728239006289"</f>
        <v>1578728239006289</v>
      </c>
      <c r="C3452" t="s">
        <v>37</v>
      </c>
      <c r="D3452">
        <v>5.9503810000000001</v>
      </c>
      <c r="E3452">
        <v>0.60768940000000005</v>
      </c>
      <c r="F3452" t="s">
        <v>44</v>
      </c>
      <c r="G3452">
        <v>-204.47380000000001</v>
      </c>
      <c r="H3452" s="1">
        <v>4.4993950000000001E-6</v>
      </c>
      <c r="I3452">
        <v>211.20230000000001</v>
      </c>
      <c r="J3452">
        <v>-216.68770000000001</v>
      </c>
      <c r="K3452">
        <v>1.1045559999999901</v>
      </c>
      <c r="L3452">
        <v>215.52350000000001</v>
      </c>
      <c r="M3452">
        <v>0.99883239999999995</v>
      </c>
      <c r="N3452">
        <v>0</v>
      </c>
      <c r="O3452">
        <v>4.4686679999999999E-2</v>
      </c>
      <c r="P3452">
        <v>0.99752989999999997</v>
      </c>
      <c r="Q3452">
        <v>3.7861300000000001E-2</v>
      </c>
      <c r="R3452">
        <v>-5.9167850000000001E-2</v>
      </c>
      <c r="S3452">
        <v>2.959778</v>
      </c>
      <c r="T3452">
        <v>-0.2612622</v>
      </c>
      <c r="U3452">
        <v>-1.018967</v>
      </c>
      <c r="V3452">
        <v>0.1037993</v>
      </c>
      <c r="W3452">
        <v>5.5903670000000003E-2</v>
      </c>
      <c r="X3452">
        <v>0.99302590000000002</v>
      </c>
      <c r="Y3452">
        <v>0.36602170000000001</v>
      </c>
      <c r="Z3452">
        <v>-1.9508399999999999E-2</v>
      </c>
      <c r="AA3452">
        <v>0.93040179999999995</v>
      </c>
      <c r="AB3452">
        <v>31</v>
      </c>
      <c r="AC3452">
        <v>12.213899999999899</v>
      </c>
      <c r="AD3452">
        <v>-1.104551500605</v>
      </c>
      <c r="AE3452">
        <v>-4.3212000000000002</v>
      </c>
      <c r="AF3452">
        <v>4.8276824667088896</v>
      </c>
      <c r="AG3452">
        <v>-1.104551500605</v>
      </c>
      <c r="AH3452">
        <v>11.921907757788</v>
      </c>
      <c r="AI3452">
        <v>94.908245295315993</v>
      </c>
      <c r="AJ3452">
        <v>67.954902128298897</v>
      </c>
      <c r="AK3452">
        <v>12.909625734391399</v>
      </c>
    </row>
    <row r="3453" spans="1:37" x14ac:dyDescent="0.2">
      <c r="A3453" t="str">
        <f>"20200111153719034"</f>
        <v>20200111153719034</v>
      </c>
      <c r="B3453" t="str">
        <f>"1578728239026784"</f>
        <v>1578728239026784</v>
      </c>
      <c r="C3453" t="s">
        <v>37</v>
      </c>
      <c r="D3453">
        <v>5.921576</v>
      </c>
      <c r="E3453">
        <v>0.60813519999999999</v>
      </c>
      <c r="F3453" t="s">
        <v>44</v>
      </c>
      <c r="G3453">
        <v>-204.35169999999999</v>
      </c>
      <c r="H3453" s="1">
        <v>4.4434289999999998E-6</v>
      </c>
      <c r="I3453">
        <v>211.22319999999999</v>
      </c>
      <c r="J3453">
        <v>-216.36240000000001</v>
      </c>
      <c r="K3453">
        <v>1.104363</v>
      </c>
      <c r="L3453">
        <v>215.5367</v>
      </c>
      <c r="M3453">
        <v>0.99889559999999999</v>
      </c>
      <c r="N3453">
        <v>0</v>
      </c>
      <c r="O3453">
        <v>4.3370350000000002E-2</v>
      </c>
      <c r="P3453">
        <v>0.99744330000000003</v>
      </c>
      <c r="Q3453">
        <v>3.6873490000000002E-2</v>
      </c>
      <c r="R3453">
        <v>-6.1218050000000003E-2</v>
      </c>
      <c r="S3453">
        <v>2.9563449999999998</v>
      </c>
      <c r="T3453">
        <v>-0.26470769999999999</v>
      </c>
      <c r="U3453">
        <v>-1.0305789999999999</v>
      </c>
      <c r="V3453">
        <v>0.1045508</v>
      </c>
      <c r="W3453">
        <v>5.4591510000000003E-2</v>
      </c>
      <c r="X3453">
        <v>0.99302009999999996</v>
      </c>
      <c r="Y3453">
        <v>0.36834729999999999</v>
      </c>
      <c r="Z3453">
        <v>-1.9760440000000001E-2</v>
      </c>
      <c r="AA3453">
        <v>0.92947819999999903</v>
      </c>
      <c r="AB3453">
        <v>31</v>
      </c>
      <c r="AC3453">
        <v>12.0107</v>
      </c>
      <c r="AD3453">
        <v>-1.1043585565709999</v>
      </c>
      <c r="AE3453">
        <v>-4.3135000000000003</v>
      </c>
      <c r="AF3453">
        <v>4.7945292589723802</v>
      </c>
      <c r="AG3453">
        <v>-1.1043585565709999</v>
      </c>
      <c r="AH3453">
        <v>11.7244871315418</v>
      </c>
      <c r="AI3453">
        <v>94.982698440964299</v>
      </c>
      <c r="AJ3453">
        <v>67.758729047780406</v>
      </c>
      <c r="AK3453">
        <v>12.7149800288598</v>
      </c>
    </row>
    <row r="3454" spans="1:37" x14ac:dyDescent="0.2">
      <c r="A3454" t="str">
        <f>"20200111153719056"</f>
        <v>20200111153719056</v>
      </c>
      <c r="B3454" t="str">
        <f>"1578728239046304"</f>
        <v>1578728239046304</v>
      </c>
      <c r="C3454" t="s">
        <v>37</v>
      </c>
      <c r="D3454">
        <v>5.9154070000000001</v>
      </c>
      <c r="E3454">
        <v>0.60866200000000004</v>
      </c>
      <c r="F3454" t="s">
        <v>44</v>
      </c>
      <c r="G3454">
        <v>-204.11490000000001</v>
      </c>
      <c r="H3454" s="1">
        <v>4.3384039999999999E-6</v>
      </c>
      <c r="I3454">
        <v>211.22329999999999</v>
      </c>
      <c r="J3454">
        <v>-216.06450000000001</v>
      </c>
      <c r="K3454">
        <v>1.104174</v>
      </c>
      <c r="L3454">
        <v>215.54820000000001</v>
      </c>
      <c r="M3454">
        <v>0.99896090000000004</v>
      </c>
      <c r="N3454">
        <v>0</v>
      </c>
      <c r="O3454">
        <v>4.196225E-2</v>
      </c>
      <c r="P3454">
        <v>0.99722619999999895</v>
      </c>
      <c r="Q3454">
        <v>3.782145E-2</v>
      </c>
      <c r="R3454">
        <v>-6.4107650000000002E-2</v>
      </c>
      <c r="S3454">
        <v>2.9536899999999999</v>
      </c>
      <c r="T3454">
        <v>-0.26633449999999997</v>
      </c>
      <c r="U3454">
        <v>-1.0402530000000001</v>
      </c>
      <c r="V3454">
        <v>0.10604949999999901</v>
      </c>
      <c r="W3454">
        <v>5.521475E-2</v>
      </c>
      <c r="X3454">
        <v>0.99282669999999995</v>
      </c>
      <c r="Y3454">
        <v>0.36998819999999999</v>
      </c>
      <c r="Z3454">
        <v>-1.9836159999999999E-2</v>
      </c>
      <c r="AA3454">
        <v>0.92882469999999995</v>
      </c>
      <c r="AB3454">
        <v>31</v>
      </c>
      <c r="AC3454">
        <v>11.9496</v>
      </c>
      <c r="AD3454">
        <v>-1.1041696615959999</v>
      </c>
      <c r="AE3454">
        <v>-4.3249000000000102</v>
      </c>
      <c r="AF3454">
        <v>4.7864664747653896</v>
      </c>
      <c r="AG3454">
        <v>-1.1041696615959999</v>
      </c>
      <c r="AH3454">
        <v>11.6694641803303</v>
      </c>
      <c r="AI3454">
        <v>95.003061036011502</v>
      </c>
      <c r="AJ3454">
        <v>67.698022884163706</v>
      </c>
      <c r="AK3454">
        <v>12.661194501770099</v>
      </c>
    </row>
    <row r="3455" spans="1:37" x14ac:dyDescent="0.2">
      <c r="A3455" t="str">
        <f>"20200111153719077"</f>
        <v>20200111153719077</v>
      </c>
      <c r="B3455" t="str">
        <f>"1578728239066801"</f>
        <v>1578728239066801</v>
      </c>
      <c r="C3455" t="s">
        <v>37</v>
      </c>
      <c r="D3455">
        <v>5.9185619999999997</v>
      </c>
      <c r="E3455">
        <v>0.60909340000000001</v>
      </c>
      <c r="F3455" t="s">
        <v>44</v>
      </c>
      <c r="G3455">
        <v>-203.66569999999999</v>
      </c>
      <c r="H3455" s="1">
        <v>4.1478770000000001E-6</v>
      </c>
      <c r="I3455">
        <v>211.1241</v>
      </c>
      <c r="J3455">
        <v>-215.77099999999999</v>
      </c>
      <c r="K3455">
        <v>1.1039829999999999</v>
      </c>
      <c r="L3455">
        <v>215.55889999999999</v>
      </c>
      <c r="M3455">
        <v>0.99903180000000003</v>
      </c>
      <c r="N3455">
        <v>0</v>
      </c>
      <c r="O3455">
        <v>4.036559E-2</v>
      </c>
      <c r="P3455">
        <v>0.99697420000000003</v>
      </c>
      <c r="Q3455">
        <v>3.8581339999999999E-2</v>
      </c>
      <c r="R3455">
        <v>-6.7485110000000001E-2</v>
      </c>
      <c r="S3455">
        <v>2.95062299999999</v>
      </c>
      <c r="T3455">
        <v>-0.26276749999999999</v>
      </c>
      <c r="U3455">
        <v>-1.0528409999999999</v>
      </c>
      <c r="V3455">
        <v>0.107848499999999</v>
      </c>
      <c r="W3455">
        <v>5.5632769999999998E-2</v>
      </c>
      <c r="X3455">
        <v>0.99260959999999998</v>
      </c>
      <c r="Y3455">
        <v>0.37236190000000002</v>
      </c>
      <c r="Z3455">
        <v>-1.9541389999999999E-2</v>
      </c>
      <c r="AA3455">
        <v>0.92788179999999998</v>
      </c>
      <c r="AB3455">
        <v>30</v>
      </c>
      <c r="AC3455">
        <v>12.1053</v>
      </c>
      <c r="AD3455">
        <v>-1.1039788521229901</v>
      </c>
      <c r="AE3455">
        <v>-4.4347999999999903</v>
      </c>
      <c r="AF3455">
        <v>4.8840823410524301</v>
      </c>
      <c r="AG3455">
        <v>-1.1039788521229901</v>
      </c>
      <c r="AH3455">
        <v>11.8296446172284</v>
      </c>
      <c r="AI3455">
        <v>94.930144876795396</v>
      </c>
      <c r="AJ3455">
        <v>67.565833432703499</v>
      </c>
      <c r="AK3455">
        <v>12.845758887276199</v>
      </c>
    </row>
    <row r="3456" spans="1:37" x14ac:dyDescent="0.2">
      <c r="A3456" t="str">
        <f>"20200111153719100"</f>
        <v>20200111153719100</v>
      </c>
      <c r="B3456" t="str">
        <f>"1578728239096081"</f>
        <v>1578728239096081</v>
      </c>
      <c r="C3456" t="s">
        <v>37</v>
      </c>
      <c r="D3456">
        <v>5.9913480000000003</v>
      </c>
      <c r="E3456">
        <v>0.60941489999999998</v>
      </c>
      <c r="F3456" t="s">
        <v>44</v>
      </c>
      <c r="G3456">
        <v>-203.2748</v>
      </c>
      <c r="H3456" s="1">
        <v>3.9819769999999997E-6</v>
      </c>
      <c r="I3456">
        <v>211.03880000000001</v>
      </c>
      <c r="J3456">
        <v>-215.4632</v>
      </c>
      <c r="K3456">
        <v>1.1037539999999999</v>
      </c>
      <c r="L3456">
        <v>215.5694</v>
      </c>
      <c r="M3456">
        <v>0.99911289999999997</v>
      </c>
      <c r="N3456">
        <v>0</v>
      </c>
      <c r="O3456">
        <v>3.8455330000000003E-2</v>
      </c>
      <c r="P3456">
        <v>0.99679980000000001</v>
      </c>
      <c r="Q3456">
        <v>3.7436299999999999E-2</v>
      </c>
      <c r="R3456">
        <v>-7.0634130000000003E-2</v>
      </c>
      <c r="S3456">
        <v>2.9470209999999999</v>
      </c>
      <c r="T3456">
        <v>-0.26035439999999999</v>
      </c>
      <c r="U3456">
        <v>-1.065979</v>
      </c>
      <c r="V3456">
        <v>0.10910739999999899</v>
      </c>
      <c r="W3456">
        <v>5.4106809999999998E-2</v>
      </c>
      <c r="X3456">
        <v>0.99255629999999995</v>
      </c>
      <c r="Y3456">
        <v>0.37463400000000002</v>
      </c>
      <c r="Z3456">
        <v>-1.930407E-2</v>
      </c>
      <c r="AA3456">
        <v>0.92697180000000001</v>
      </c>
      <c r="AB3456">
        <v>30</v>
      </c>
      <c r="AC3456">
        <v>12.1884</v>
      </c>
      <c r="AD3456">
        <v>-1.103750018023</v>
      </c>
      <c r="AE3456">
        <v>-4.53059999999999</v>
      </c>
      <c r="AF3456">
        <v>4.96028642808764</v>
      </c>
      <c r="AG3456">
        <v>-1.103750018023</v>
      </c>
      <c r="AH3456">
        <v>11.919250971231801</v>
      </c>
      <c r="AI3456">
        <v>94.886590598269606</v>
      </c>
      <c r="AJ3456">
        <v>67.404994057897198</v>
      </c>
      <c r="AK3456">
        <v>12.9572855670532</v>
      </c>
    </row>
    <row r="3457" spans="1:37" x14ac:dyDescent="0.2">
      <c r="A3457" t="str">
        <f>"20200111153719124"</f>
        <v>20200111153719124</v>
      </c>
      <c r="B3457" t="str">
        <f>"1578728239116576"</f>
        <v>1578728239116576</v>
      </c>
      <c r="C3457" t="s">
        <v>37</v>
      </c>
      <c r="D3457">
        <v>5.9245830000000002</v>
      </c>
      <c r="E3457">
        <v>0.61890000000000001</v>
      </c>
      <c r="F3457" t="s">
        <v>44</v>
      </c>
      <c r="G3457">
        <v>-203.1679</v>
      </c>
      <c r="H3457" s="1">
        <v>3.9320519999999902E-6</v>
      </c>
      <c r="I3457">
        <v>211.06780000000001</v>
      </c>
      <c r="J3457">
        <v>-215.13810000000001</v>
      </c>
      <c r="K3457">
        <v>1.103515</v>
      </c>
      <c r="L3457">
        <v>215.5795</v>
      </c>
      <c r="M3457">
        <v>0.99920489999999995</v>
      </c>
      <c r="N3457">
        <v>0</v>
      </c>
      <c r="O3457">
        <v>3.6162189999999997E-2</v>
      </c>
      <c r="P3457">
        <v>0.99662969999999895</v>
      </c>
      <c r="Q3457">
        <v>3.5718220000000002E-2</v>
      </c>
      <c r="R3457">
        <v>-7.3850830000000006E-2</v>
      </c>
      <c r="S3457">
        <v>2.9431759999999998</v>
      </c>
      <c r="T3457">
        <v>-0.26420959999999899</v>
      </c>
      <c r="U3457">
        <v>-1.0775600000000001</v>
      </c>
      <c r="V3457">
        <v>0.1100521</v>
      </c>
      <c r="W3457">
        <v>5.1962149999999999E-2</v>
      </c>
      <c r="X3457">
        <v>0.99256659999999997</v>
      </c>
      <c r="Y3457">
        <v>0.37607410000000002</v>
      </c>
      <c r="Z3457">
        <v>-1.9463069999999999E-2</v>
      </c>
      <c r="AA3457">
        <v>0.92638519999999902</v>
      </c>
      <c r="AB3457">
        <v>30</v>
      </c>
      <c r="AC3457">
        <v>11.9702</v>
      </c>
      <c r="AD3457">
        <v>-1.103511067948</v>
      </c>
      <c r="AE3457">
        <v>-4.5116999999999896</v>
      </c>
      <c r="AF3457">
        <v>4.9051759788851097</v>
      </c>
      <c r="AG3457">
        <v>-1.103511067948</v>
      </c>
      <c r="AH3457">
        <v>11.7120373264161</v>
      </c>
      <c r="AI3457">
        <v>94.966873950215302</v>
      </c>
      <c r="AJ3457">
        <v>67.275337201671704</v>
      </c>
      <c r="AK3457">
        <v>12.745599491443301</v>
      </c>
    </row>
    <row r="3458" spans="1:37" x14ac:dyDescent="0.2">
      <c r="A3458" t="str">
        <f>"20200111153719144"</f>
        <v>20200111153719144</v>
      </c>
      <c r="B3458" t="str">
        <f>"1578728239136096"</f>
        <v>1578728239136096</v>
      </c>
      <c r="C3458" t="s">
        <v>37</v>
      </c>
      <c r="D3458">
        <v>5.8765179999999999</v>
      </c>
      <c r="E3458">
        <v>0.61992789999999998</v>
      </c>
      <c r="F3458" t="s">
        <v>44</v>
      </c>
      <c r="G3458">
        <v>-203.048</v>
      </c>
      <c r="H3458" s="1">
        <v>3.9032350000000001E-6</v>
      </c>
      <c r="I3458">
        <v>210.78909999999999</v>
      </c>
      <c r="J3458">
        <v>-214.85249999999999</v>
      </c>
      <c r="K3458">
        <v>1.103332</v>
      </c>
      <c r="L3458">
        <v>215.58760000000001</v>
      </c>
      <c r="M3458">
        <v>0.99928680000000003</v>
      </c>
      <c r="N3458">
        <v>0</v>
      </c>
      <c r="O3458">
        <v>3.3982869999999998E-2</v>
      </c>
      <c r="P3458">
        <v>0.99633680000000002</v>
      </c>
      <c r="Q3458">
        <v>3.5681539999999998E-2</v>
      </c>
      <c r="R3458">
        <v>-7.7717830000000002E-2</v>
      </c>
      <c r="S3458">
        <v>2.9336090000000001</v>
      </c>
      <c r="T3458">
        <v>-0.26776279999999902</v>
      </c>
      <c r="U3458">
        <v>-1.162369</v>
      </c>
      <c r="V3458">
        <v>0.111757</v>
      </c>
      <c r="W3458">
        <v>5.1557390000000002E-2</v>
      </c>
      <c r="X3458">
        <v>0.99239719999999998</v>
      </c>
      <c r="Y3458">
        <v>0.39818949999999997</v>
      </c>
      <c r="Z3458">
        <v>-2.0465460000000001E-2</v>
      </c>
      <c r="AA3458">
        <v>0.91707490000000003</v>
      </c>
      <c r="AB3458">
        <v>30</v>
      </c>
      <c r="AC3458">
        <v>11.8044999999999</v>
      </c>
      <c r="AD3458">
        <v>-1.1033280967649901</v>
      </c>
      <c r="AE3458">
        <v>-4.7985000000000104</v>
      </c>
      <c r="AF3458">
        <v>5.1582604023692902</v>
      </c>
      <c r="AG3458">
        <v>-1.1033280967649901</v>
      </c>
      <c r="AH3458">
        <v>11.548013462456099</v>
      </c>
      <c r="AI3458">
        <v>94.985603927336996</v>
      </c>
      <c r="AJ3458">
        <v>65.930665677916394</v>
      </c>
      <c r="AK3458">
        <v>12.6957314951455</v>
      </c>
    </row>
    <row r="3459" spans="1:37" x14ac:dyDescent="0.2">
      <c r="A3459" t="str">
        <f>"20200111153719166"</f>
        <v>20200111153719166</v>
      </c>
      <c r="B3459" t="str">
        <f>"1578728239156592"</f>
        <v>1578728239156592</v>
      </c>
      <c r="C3459" t="s">
        <v>37</v>
      </c>
      <c r="D3459">
        <v>5.946536</v>
      </c>
      <c r="E3459">
        <v>0.62027809999999906</v>
      </c>
      <c r="F3459" t="s">
        <v>44</v>
      </c>
      <c r="G3459">
        <v>-202.72110000000001</v>
      </c>
      <c r="H3459" s="1">
        <v>3.7668509999999898E-6</v>
      </c>
      <c r="I3459">
        <v>210.6908</v>
      </c>
      <c r="J3459">
        <v>-214.55869999999999</v>
      </c>
      <c r="K3459">
        <v>1.103173</v>
      </c>
      <c r="L3459">
        <v>215.5951</v>
      </c>
      <c r="M3459">
        <v>0.99937129999999996</v>
      </c>
      <c r="N3459">
        <v>0</v>
      </c>
      <c r="O3459">
        <v>3.1557299999999899E-2</v>
      </c>
      <c r="P3459">
        <v>0.99588969999999899</v>
      </c>
      <c r="Q3459">
        <v>3.737679E-2</v>
      </c>
      <c r="R3459">
        <v>-8.2504270000000005E-2</v>
      </c>
      <c r="S3459">
        <v>2.9283600000000001</v>
      </c>
      <c r="T3459">
        <v>-0.26632869999999997</v>
      </c>
      <c r="U3459">
        <v>-1.1820219999999999</v>
      </c>
      <c r="V3459">
        <v>0.1141403</v>
      </c>
      <c r="W3459">
        <v>5.2889279999999997E-2</v>
      </c>
      <c r="X3459">
        <v>0.99205580000000004</v>
      </c>
      <c r="Y3459">
        <v>0.401841</v>
      </c>
      <c r="Z3459">
        <v>-2.0312770000000001E-2</v>
      </c>
      <c r="AA3459">
        <v>0.91548410000000002</v>
      </c>
      <c r="AB3459">
        <v>30</v>
      </c>
      <c r="AC3459">
        <v>11.837599999999901</v>
      </c>
      <c r="AD3459">
        <v>-1.103169233149</v>
      </c>
      <c r="AE3459">
        <v>-4.9043000000000001</v>
      </c>
      <c r="AF3459">
        <v>5.2366518271479698</v>
      </c>
      <c r="AG3459">
        <v>-1.103169233149</v>
      </c>
      <c r="AH3459">
        <v>11.5909983443093</v>
      </c>
      <c r="AI3459">
        <v>94.957072060866594</v>
      </c>
      <c r="AJ3459">
        <v>65.687209344155605</v>
      </c>
      <c r="AK3459">
        <v>12.766782967275599</v>
      </c>
    </row>
    <row r="3460" spans="1:37" x14ac:dyDescent="0.2">
      <c r="A3460" t="str">
        <f>"20200111153719189"</f>
        <v>20200111153719189</v>
      </c>
      <c r="B3460" t="str">
        <f>"1578728239186849"</f>
        <v>1578728239186849</v>
      </c>
      <c r="C3460" t="s">
        <v>37</v>
      </c>
      <c r="D3460">
        <v>6.0327919999999997</v>
      </c>
      <c r="E3460">
        <v>0.593954599999999</v>
      </c>
      <c r="F3460" t="s">
        <v>44</v>
      </c>
      <c r="G3460">
        <v>-202.08279999999999</v>
      </c>
      <c r="H3460" s="1">
        <v>3.50250099999999E-6</v>
      </c>
      <c r="I3460">
        <v>210.47710000000001</v>
      </c>
      <c r="J3460">
        <v>-214.2535</v>
      </c>
      <c r="K3460">
        <v>1.1030070000000001</v>
      </c>
      <c r="L3460">
        <v>215.6019</v>
      </c>
      <c r="M3460">
        <v>0.99945879999999998</v>
      </c>
      <c r="N3460">
        <v>0</v>
      </c>
      <c r="O3460">
        <v>2.8822629999999998E-2</v>
      </c>
      <c r="P3460">
        <v>0.99526550000000003</v>
      </c>
      <c r="Q3460">
        <v>3.9110800000000001E-2</v>
      </c>
      <c r="R3460">
        <v>-8.8980799999999999E-2</v>
      </c>
      <c r="S3460">
        <v>2.9227599999999998</v>
      </c>
      <c r="T3460">
        <v>-0.2584437</v>
      </c>
      <c r="U3460">
        <v>-1.1990049999999901</v>
      </c>
      <c r="V3460">
        <v>0.117906199999999</v>
      </c>
      <c r="W3460">
        <v>5.4258220000000003E-2</v>
      </c>
      <c r="X3460">
        <v>0.99154129999999996</v>
      </c>
      <c r="Y3460">
        <v>0.40459519999999999</v>
      </c>
      <c r="Z3460">
        <v>-1.9611920000000001E-2</v>
      </c>
      <c r="AA3460">
        <v>0.91428549999999997</v>
      </c>
      <c r="AB3460">
        <v>30</v>
      </c>
      <c r="AC3460">
        <v>12.1707</v>
      </c>
      <c r="AD3460">
        <v>-1.103003497499</v>
      </c>
      <c r="AE3460">
        <v>-5.1247999999999898</v>
      </c>
      <c r="AF3460">
        <v>5.4355850097992597</v>
      </c>
      <c r="AG3460">
        <v>-1.103003497499</v>
      </c>
      <c r="AH3460">
        <v>11.934652229068201</v>
      </c>
      <c r="AI3460">
        <v>94.807703634490693</v>
      </c>
      <c r="AJ3460">
        <v>65.513315783029</v>
      </c>
      <c r="AK3460">
        <v>13.160475863093</v>
      </c>
    </row>
    <row r="3461" spans="1:37" x14ac:dyDescent="0.2">
      <c r="A3461" t="str">
        <f>"20200111153719212"</f>
        <v>20200111153719212</v>
      </c>
      <c r="B3461" t="str">
        <f>"1578728239206367"</f>
        <v>1578728239206367</v>
      </c>
      <c r="C3461" t="s">
        <v>37</v>
      </c>
      <c r="D3461">
        <v>5.9916479999999996</v>
      </c>
      <c r="E3461">
        <v>0.59049379999999996</v>
      </c>
      <c r="F3461" t="s">
        <v>44</v>
      </c>
      <c r="G3461">
        <v>-202.19059999999999</v>
      </c>
      <c r="H3461" s="1">
        <v>3.4646679999999898E-6</v>
      </c>
      <c r="I3461">
        <v>211.45650000000001</v>
      </c>
      <c r="J3461">
        <v>-213.93960000000001</v>
      </c>
      <c r="K3461">
        <v>1.102819</v>
      </c>
      <c r="L3461">
        <v>215.6078</v>
      </c>
      <c r="M3461">
        <v>0.9995465</v>
      </c>
      <c r="N3461">
        <v>0</v>
      </c>
      <c r="O3461">
        <v>2.5769770000000001E-2</v>
      </c>
      <c r="P3461">
        <v>0.99458659999999999</v>
      </c>
      <c r="Q3461">
        <v>4.0121400000000002E-2</v>
      </c>
      <c r="R3461">
        <v>-9.5854300000000003E-2</v>
      </c>
      <c r="S3461">
        <v>2.9346770000000002</v>
      </c>
      <c r="T3461">
        <v>-0.26833959999999901</v>
      </c>
      <c r="U3461">
        <v>-1.0084839999999999</v>
      </c>
      <c r="V3461">
        <v>0.12175619999999999</v>
      </c>
      <c r="W3461">
        <v>5.4913839999999998E-2</v>
      </c>
      <c r="X3461">
        <v>0.99103980000000003</v>
      </c>
      <c r="Y3461">
        <v>0.34785850000000001</v>
      </c>
      <c r="Z3461">
        <v>-1.771913E-2</v>
      </c>
      <c r="AA3461">
        <v>0.93737959999999998</v>
      </c>
      <c r="AB3461">
        <v>30</v>
      </c>
      <c r="AC3461">
        <v>11.749000000000001</v>
      </c>
      <c r="AD3461">
        <v>-1.1028155353319999</v>
      </c>
      <c r="AE3461">
        <v>-4.1512999999999902</v>
      </c>
      <c r="AF3461">
        <v>4.4181209745309902</v>
      </c>
      <c r="AG3461">
        <v>-1.1028155353319999</v>
      </c>
      <c r="AH3461">
        <v>11.547656837002901</v>
      </c>
      <c r="AI3461">
        <v>95.097053488722693</v>
      </c>
      <c r="AJ3461">
        <v>69.063203566886898</v>
      </c>
      <c r="AK3461">
        <v>12.413072684703801</v>
      </c>
    </row>
    <row r="3462" spans="1:37" x14ac:dyDescent="0.2">
      <c r="A3462" t="str">
        <f>"20200111153719234"</f>
        <v>20200111153719234</v>
      </c>
      <c r="B3462" t="str">
        <f>"1578728239226864"</f>
        <v>1578728239226864</v>
      </c>
      <c r="C3462" t="s">
        <v>37</v>
      </c>
      <c r="D3462">
        <v>5.9886489999999997</v>
      </c>
      <c r="E3462">
        <v>0.58936239999999995</v>
      </c>
      <c r="F3462" t="s">
        <v>44</v>
      </c>
      <c r="G3462">
        <v>-201.16589999999999</v>
      </c>
      <c r="H3462" s="1">
        <v>3.0289479999999898E-6</v>
      </c>
      <c r="I3462">
        <v>211.24289999999999</v>
      </c>
      <c r="J3462">
        <v>-213.64070000000001</v>
      </c>
      <c r="K3462">
        <v>1.1026069999999999</v>
      </c>
      <c r="L3462">
        <v>215.61240000000001</v>
      </c>
      <c r="M3462">
        <v>0.99962640000000003</v>
      </c>
      <c r="N3462">
        <v>0</v>
      </c>
      <c r="O3462">
        <v>2.261258E-2</v>
      </c>
      <c r="P3462">
        <v>0.99395140000000004</v>
      </c>
      <c r="Q3462">
        <v>4.031096E-2</v>
      </c>
      <c r="R3462">
        <v>-0.1021557</v>
      </c>
      <c r="S3462">
        <v>2.9300380000000001</v>
      </c>
      <c r="T3462">
        <v>-0.25296459999999998</v>
      </c>
      <c r="U3462">
        <v>-1.001236</v>
      </c>
      <c r="V3462">
        <v>0.1249344</v>
      </c>
      <c r="W3462">
        <v>5.4788150000000001E-2</v>
      </c>
      <c r="X3462">
        <v>0.99065110000000001</v>
      </c>
      <c r="Y3462">
        <v>0.34345209999999998</v>
      </c>
      <c r="Z3462">
        <v>-1.6289080000000001E-2</v>
      </c>
      <c r="AA3462">
        <v>0.93902890000000006</v>
      </c>
      <c r="AB3462">
        <v>30</v>
      </c>
      <c r="AC3462">
        <v>12.4748</v>
      </c>
      <c r="AD3462">
        <v>-1.1026039710519999</v>
      </c>
      <c r="AE3462">
        <v>-4.3695000000000102</v>
      </c>
      <c r="AF3462">
        <v>4.61836639269226</v>
      </c>
      <c r="AG3462">
        <v>-1.1026039710519999</v>
      </c>
      <c r="AH3462">
        <v>12.2872914690673</v>
      </c>
      <c r="AI3462">
        <v>94.801452386960605</v>
      </c>
      <c r="AJ3462">
        <v>69.400501888054194</v>
      </c>
      <c r="AK3462">
        <v>13.1727967911124</v>
      </c>
    </row>
    <row r="3463" spans="1:37" x14ac:dyDescent="0.2">
      <c r="A3463" t="str">
        <f>"20200111153719256"</f>
        <v>20200111153719256</v>
      </c>
      <c r="B3463" t="str">
        <f>"1578728239246386"</f>
        <v>1578728239246386</v>
      </c>
      <c r="C3463" t="s">
        <v>37</v>
      </c>
      <c r="D3463">
        <v>5.9736940000000001</v>
      </c>
      <c r="E3463">
        <v>0.58884099999999995</v>
      </c>
      <c r="F3463" t="s">
        <v>44</v>
      </c>
      <c r="G3463">
        <v>-200.61609999999999</v>
      </c>
      <c r="H3463" s="1">
        <v>2.79674199999999E-6</v>
      </c>
      <c r="I3463">
        <v>211.11019999999999</v>
      </c>
      <c r="J3463">
        <v>-213.3425</v>
      </c>
      <c r="K3463">
        <v>1.1023750000000001</v>
      </c>
      <c r="L3463">
        <v>215.6157</v>
      </c>
      <c r="M3463">
        <v>0.99970130000000001</v>
      </c>
      <c r="N3463">
        <v>0</v>
      </c>
      <c r="O3463">
        <v>1.9183619999999998E-2</v>
      </c>
      <c r="P3463">
        <v>0.99335419999999996</v>
      </c>
      <c r="Q3463">
        <v>4.141326E-2</v>
      </c>
      <c r="R3463">
        <v>-0.10739120000000001</v>
      </c>
      <c r="S3463">
        <v>2.924423</v>
      </c>
      <c r="T3463">
        <v>-0.2475705</v>
      </c>
      <c r="U3463">
        <v>-1.01088</v>
      </c>
      <c r="V3463">
        <v>0.12679180000000001</v>
      </c>
      <c r="W3463">
        <v>5.56023E-2</v>
      </c>
      <c r="X3463">
        <v>0.99036970000000002</v>
      </c>
      <c r="Y3463">
        <v>0.34361209999999998</v>
      </c>
      <c r="Z3463">
        <v>-1.5687960000000001E-2</v>
      </c>
      <c r="AA3463">
        <v>0.93898060000000005</v>
      </c>
      <c r="AB3463">
        <v>30</v>
      </c>
      <c r="AC3463">
        <v>12.7264</v>
      </c>
      <c r="AD3463">
        <v>-1.1023722032579999</v>
      </c>
      <c r="AE3463">
        <v>-4.5055000000000103</v>
      </c>
      <c r="AF3463">
        <v>4.7173839380267504</v>
      </c>
      <c r="AG3463">
        <v>-1.1023722032579999</v>
      </c>
      <c r="AH3463">
        <v>12.5539125485179</v>
      </c>
      <c r="AI3463">
        <v>94.699103737628207</v>
      </c>
      <c r="AJ3463">
        <v>69.405285121257506</v>
      </c>
      <c r="AK3463">
        <v>13.4562125417632</v>
      </c>
    </row>
    <row r="3464" spans="1:37" x14ac:dyDescent="0.2">
      <c r="A3464" t="str">
        <f>"20200111153719277"</f>
        <v>20200111153719277</v>
      </c>
      <c r="B3464" t="str">
        <f>"1578728239266880"</f>
        <v>1578728239266880</v>
      </c>
      <c r="C3464" t="s">
        <v>37</v>
      </c>
      <c r="D3464">
        <v>5.9724009999999996</v>
      </c>
      <c r="E3464">
        <v>0.58854709999999999</v>
      </c>
      <c r="F3464" t="s">
        <v>44</v>
      </c>
      <c r="G3464">
        <v>-200.02189999999999</v>
      </c>
      <c r="H3464" s="1">
        <v>2.5472630000000002E-6</v>
      </c>
      <c r="I3464">
        <v>210.9494</v>
      </c>
      <c r="J3464">
        <v>-213.04830000000001</v>
      </c>
      <c r="K3464">
        <v>1.1021179999999999</v>
      </c>
      <c r="L3464">
        <v>215.61760000000001</v>
      </c>
      <c r="M3464">
        <v>0.99976799999999999</v>
      </c>
      <c r="N3464">
        <v>0</v>
      </c>
      <c r="O3464">
        <v>1.548944E-2</v>
      </c>
      <c r="P3464">
        <v>0.99271929999999997</v>
      </c>
      <c r="Q3464">
        <v>4.2514799999999998E-2</v>
      </c>
      <c r="R3464">
        <v>-0.1126986</v>
      </c>
      <c r="S3464">
        <v>2.9195709999999999</v>
      </c>
      <c r="T3464">
        <v>-0.24161479999999899</v>
      </c>
      <c r="U3464">
        <v>-1.022751</v>
      </c>
      <c r="V3464">
        <v>0.12846550000000001</v>
      </c>
      <c r="W3464">
        <v>5.643687E-2</v>
      </c>
      <c r="X3464">
        <v>0.99010679999999995</v>
      </c>
      <c r="Y3464">
        <v>0.3440937</v>
      </c>
      <c r="Z3464">
        <v>-1.5048290000000001E-2</v>
      </c>
      <c r="AA3464">
        <v>0.938814699999999</v>
      </c>
      <c r="AB3464">
        <v>30</v>
      </c>
      <c r="AC3464">
        <v>13.026400000000001</v>
      </c>
      <c r="AD3464">
        <v>-1.1021154527369901</v>
      </c>
      <c r="AE3464">
        <v>-4.6682000000000103</v>
      </c>
      <c r="AF3464">
        <v>4.8387392815947896</v>
      </c>
      <c r="AG3464">
        <v>-1.1021154527369901</v>
      </c>
      <c r="AH3464">
        <v>12.870873909695201</v>
      </c>
      <c r="AI3464">
        <v>94.582555904647094</v>
      </c>
      <c r="AJ3464">
        <v>69.396505874722607</v>
      </c>
      <c r="AK3464">
        <v>13.794471773347601</v>
      </c>
    </row>
    <row r="3465" spans="1:37" x14ac:dyDescent="0.2">
      <c r="A3465" t="str">
        <f>"20200111153719301"</f>
        <v>20200111153719301</v>
      </c>
      <c r="B3465" t="str">
        <f>"1578728239296160"</f>
        <v>1578728239296160</v>
      </c>
      <c r="C3465" t="s">
        <v>37</v>
      </c>
      <c r="D3465">
        <v>5.9856350000000003</v>
      </c>
      <c r="E3465">
        <v>0.58801199999999998</v>
      </c>
      <c r="F3465" t="s">
        <v>44</v>
      </c>
      <c r="G3465">
        <v>-199.53290000000001</v>
      </c>
      <c r="H3465" s="1">
        <v>2.6063809999999998E-6</v>
      </c>
      <c r="I3465">
        <v>210.81010000000001</v>
      </c>
      <c r="J3465">
        <v>-212.7422</v>
      </c>
      <c r="K3465">
        <v>1.101837</v>
      </c>
      <c r="L3465">
        <v>215.61799999999999</v>
      </c>
      <c r="M3465">
        <v>0.99982680000000002</v>
      </c>
      <c r="N3465">
        <v>0</v>
      </c>
      <c r="O3465">
        <v>1.126922E-2</v>
      </c>
      <c r="P3465">
        <v>0.99187029999999998</v>
      </c>
      <c r="Q3465">
        <v>4.3343390000000002E-2</v>
      </c>
      <c r="R3465">
        <v>-0.1196443</v>
      </c>
      <c r="S3465">
        <v>2.9144899999999998</v>
      </c>
      <c r="T3465">
        <v>-0.23766139999999999</v>
      </c>
      <c r="U3465">
        <v>-1.036697</v>
      </c>
      <c r="V3465">
        <v>0.131261299999999</v>
      </c>
      <c r="W3465">
        <v>5.6994839999999998E-2</v>
      </c>
      <c r="X3465">
        <v>0.98970809999999998</v>
      </c>
      <c r="Y3465">
        <v>0.34468169999999998</v>
      </c>
      <c r="Z3465">
        <v>-1.450513E-2</v>
      </c>
      <c r="AA3465">
        <v>0.93860750000000004</v>
      </c>
      <c r="AB3465">
        <v>30</v>
      </c>
      <c r="AC3465">
        <v>13.209299999999899</v>
      </c>
      <c r="AD3465">
        <v>-1.101834393619</v>
      </c>
      <c r="AE3465">
        <v>-4.8078999999999796</v>
      </c>
      <c r="AF3465">
        <v>4.92620349126123</v>
      </c>
      <c r="AG3465">
        <v>-1.101834393619</v>
      </c>
      <c r="AH3465">
        <v>13.073949089895301</v>
      </c>
      <c r="AI3465">
        <v>94.509267034585307</v>
      </c>
      <c r="AJ3465">
        <v>69.353823154996704</v>
      </c>
      <c r="AK3465">
        <v>14.014623244077899</v>
      </c>
    </row>
    <row r="3466" spans="1:37" x14ac:dyDescent="0.2">
      <c r="A3466" t="str">
        <f>"20200111153719323"</f>
        <v>20200111153719323</v>
      </c>
      <c r="B3466" t="str">
        <f>"1578728239316656"</f>
        <v>1578728239316656</v>
      </c>
      <c r="C3466" t="s">
        <v>37</v>
      </c>
      <c r="D3466">
        <v>5.9666759999999996</v>
      </c>
      <c r="E3466">
        <v>0.58752950000000004</v>
      </c>
      <c r="F3466" t="s">
        <v>44</v>
      </c>
      <c r="G3466">
        <v>-199.0478</v>
      </c>
      <c r="H3466" s="1">
        <v>2.70529299999999E-6</v>
      </c>
      <c r="I3466">
        <v>210.66290000000001</v>
      </c>
      <c r="J3466">
        <v>-212.43219999999999</v>
      </c>
      <c r="K3466">
        <v>1.1015250000000001</v>
      </c>
      <c r="L3466">
        <v>215.61660000000001</v>
      </c>
      <c r="M3466">
        <v>0.9998707</v>
      </c>
      <c r="N3466">
        <v>0</v>
      </c>
      <c r="O3466">
        <v>6.5729350000000002E-3</v>
      </c>
      <c r="P3466">
        <v>0.99081960000000002</v>
      </c>
      <c r="Q3466">
        <v>4.3273329999999999E-2</v>
      </c>
      <c r="R3466">
        <v>-0.12807830000000001</v>
      </c>
      <c r="S3466">
        <v>2.907883</v>
      </c>
      <c r="T3466">
        <v>-0.233964799999999</v>
      </c>
      <c r="U3466">
        <v>-1.05217</v>
      </c>
      <c r="V3466">
        <v>0.13507439999999901</v>
      </c>
      <c r="W3466">
        <v>5.6658260000000002E-2</v>
      </c>
      <c r="X3466">
        <v>0.98921419999999904</v>
      </c>
      <c r="Y3466">
        <v>0.34541290000000002</v>
      </c>
      <c r="Z3466">
        <v>-1.3960709999999999E-2</v>
      </c>
      <c r="AA3466">
        <v>0.93834689999999998</v>
      </c>
      <c r="AB3466">
        <v>30</v>
      </c>
      <c r="AC3466">
        <v>13.384399999999999</v>
      </c>
      <c r="AD3466">
        <v>-1.101522294707</v>
      </c>
      <c r="AE3466">
        <v>-4.9536999999999898</v>
      </c>
      <c r="AF3466">
        <v>5.0117218699399997</v>
      </c>
      <c r="AG3466">
        <v>-1.101522294707</v>
      </c>
      <c r="AH3466">
        <v>13.272481359907699</v>
      </c>
      <c r="AI3466">
        <v>94.439656679708705</v>
      </c>
      <c r="AJ3466">
        <v>69.313339232992902</v>
      </c>
      <c r="AK3466">
        <v>14.2298794413891</v>
      </c>
    </row>
    <row r="3467" spans="1:37" x14ac:dyDescent="0.2">
      <c r="A3467" t="str">
        <f>"20200111153719345"</f>
        <v>20200111153719345</v>
      </c>
      <c r="B3467" t="str">
        <f>"1578728239336176"</f>
        <v>1578728239336176</v>
      </c>
      <c r="C3467" t="s">
        <v>37</v>
      </c>
      <c r="D3467">
        <v>5.9461370000000002</v>
      </c>
      <c r="E3467">
        <v>0.58719889999999997</v>
      </c>
      <c r="F3467" t="s">
        <v>44</v>
      </c>
      <c r="G3467">
        <v>-199.00200000000001</v>
      </c>
      <c r="H3467" s="1">
        <v>2.7146789999999899E-6</v>
      </c>
      <c r="I3467">
        <v>210.64840000000001</v>
      </c>
      <c r="J3467">
        <v>-212.12819999999999</v>
      </c>
      <c r="K3467">
        <v>1.1012309999999901</v>
      </c>
      <c r="L3467">
        <v>215.61349999999999</v>
      </c>
      <c r="M3467">
        <v>0.99989259999999902</v>
      </c>
      <c r="N3467">
        <v>0</v>
      </c>
      <c r="O3467">
        <v>1.62502E-3</v>
      </c>
      <c r="P3467">
        <v>0.98983719999999997</v>
      </c>
      <c r="Q3467">
        <v>4.2472160000000002E-2</v>
      </c>
      <c r="R3467">
        <v>-0.1357149</v>
      </c>
      <c r="S3467">
        <v>2.8995359999999999</v>
      </c>
      <c r="T3467">
        <v>-0.23781540000000001</v>
      </c>
      <c r="U3467">
        <v>-1.072632</v>
      </c>
      <c r="V3467">
        <v>0.13783899999999999</v>
      </c>
      <c r="W3467">
        <v>5.5626090000000003E-2</v>
      </c>
      <c r="X3467">
        <v>0.98889139999999998</v>
      </c>
      <c r="Y3467">
        <v>0.34744530000000001</v>
      </c>
      <c r="Z3467">
        <v>-1.389958E-2</v>
      </c>
      <c r="AA3467">
        <v>0.93759720000000002</v>
      </c>
      <c r="AB3467">
        <v>30</v>
      </c>
      <c r="AC3467">
        <v>13.1261999999999</v>
      </c>
      <c r="AD3467">
        <v>-1.10122828532099</v>
      </c>
      <c r="AE3467">
        <v>-4.9650999999999703</v>
      </c>
      <c r="AF3467">
        <v>4.9559103238542104</v>
      </c>
      <c r="AG3467">
        <v>-1.10122828532099</v>
      </c>
      <c r="AH3467">
        <v>13.037833745719301</v>
      </c>
      <c r="AI3467">
        <v>94.514282150820605</v>
      </c>
      <c r="AJ3467">
        <v>69.187320465340306</v>
      </c>
      <c r="AK3467">
        <v>13.9913851943077</v>
      </c>
    </row>
    <row r="3468" spans="1:37" x14ac:dyDescent="0.2">
      <c r="A3468" t="str">
        <f>"20200111153719367"</f>
        <v>20200111153719367</v>
      </c>
      <c r="B3468" t="str">
        <f>"1578728239356672"</f>
        <v>1578728239356672</v>
      </c>
      <c r="C3468" t="s">
        <v>37</v>
      </c>
      <c r="D3468">
        <v>5.9760460000000002</v>
      </c>
      <c r="E3468">
        <v>0.58698249999999996</v>
      </c>
      <c r="F3468" t="s">
        <v>44</v>
      </c>
      <c r="G3468">
        <v>-198.9588</v>
      </c>
      <c r="H3468" s="1">
        <v>2.7231249999999999E-6</v>
      </c>
      <c r="I3468">
        <v>210.6395</v>
      </c>
      <c r="J3468">
        <v>-211.83770000000001</v>
      </c>
      <c r="K3468">
        <v>1.1009469999999999</v>
      </c>
      <c r="L3468">
        <v>215.6088</v>
      </c>
      <c r="M3468">
        <v>0.99988929999999998</v>
      </c>
      <c r="N3468">
        <v>0</v>
      </c>
      <c r="O3468">
        <v>-3.4437209999999998E-3</v>
      </c>
      <c r="P3468">
        <v>0.98892400000000003</v>
      </c>
      <c r="Q3468">
        <v>4.0578919999999997E-2</v>
      </c>
      <c r="R3468">
        <v>-0.14276910000000001</v>
      </c>
      <c r="S3468">
        <v>2.8914179999999998</v>
      </c>
      <c r="T3468">
        <v>-0.2417813</v>
      </c>
      <c r="U3468">
        <v>-1.0920719999999999</v>
      </c>
      <c r="V3468">
        <v>0.13989379999999901</v>
      </c>
      <c r="W3468">
        <v>5.3532570000000002E-2</v>
      </c>
      <c r="X3468">
        <v>0.98871830000000005</v>
      </c>
      <c r="Y3468">
        <v>0.34905249999999999</v>
      </c>
      <c r="Z3468">
        <v>-1.3807440000000001E-2</v>
      </c>
      <c r="AA3468">
        <v>0.93700149999999904</v>
      </c>
      <c r="AB3468">
        <v>30</v>
      </c>
      <c r="AC3468">
        <v>12.8789</v>
      </c>
      <c r="AD3468">
        <v>-1.100944276875</v>
      </c>
      <c r="AE3468">
        <v>-4.9692999999999996</v>
      </c>
      <c r="AF3468">
        <v>4.89378706073692</v>
      </c>
      <c r="AG3468">
        <v>-1.100944276875</v>
      </c>
      <c r="AH3468">
        <v>12.8144306693723</v>
      </c>
      <c r="AI3468">
        <v>94.588764496297003</v>
      </c>
      <c r="AJ3468">
        <v>69.098314976057907</v>
      </c>
      <c r="AK3468">
        <v>13.7612086488349</v>
      </c>
    </row>
    <row r="3469" spans="1:37" x14ac:dyDescent="0.2">
      <c r="A3469" t="str">
        <f>"20200111153719389"</f>
        <v>20200111153719389</v>
      </c>
      <c r="B3469" t="str">
        <f>"1578728239386928"</f>
        <v>1578728239386928</v>
      </c>
      <c r="C3469" t="s">
        <v>37</v>
      </c>
      <c r="D3469">
        <v>5.9635109999999996</v>
      </c>
      <c r="E3469">
        <v>0.58637269999999997</v>
      </c>
      <c r="F3469" t="s">
        <v>44</v>
      </c>
      <c r="G3469">
        <v>-199.0581</v>
      </c>
      <c r="H3469" s="1">
        <v>2.7013950000000002E-6</v>
      </c>
      <c r="I3469">
        <v>210.6866</v>
      </c>
      <c r="J3469">
        <v>-211.5378</v>
      </c>
      <c r="K3469">
        <v>1.1006419999999999</v>
      </c>
      <c r="L3469">
        <v>215.60210000000001</v>
      </c>
      <c r="M3469">
        <v>0.99985519999999894</v>
      </c>
      <c r="N3469">
        <v>0</v>
      </c>
      <c r="O3469">
        <v>-9.070201E-3</v>
      </c>
      <c r="P3469">
        <v>0.9877591</v>
      </c>
      <c r="Q3469">
        <v>3.9640429999999997E-2</v>
      </c>
      <c r="R3469">
        <v>-0.15086820000000001</v>
      </c>
      <c r="S3469">
        <v>2.8834529999999998</v>
      </c>
      <c r="T3469">
        <v>-0.2484046</v>
      </c>
      <c r="U3469">
        <v>-1.1105959999999999</v>
      </c>
      <c r="V3469">
        <v>0.14246</v>
      </c>
      <c r="W3469">
        <v>5.2390249999999999E-2</v>
      </c>
      <c r="X3469">
        <v>0.98841309999999905</v>
      </c>
      <c r="Y3469">
        <v>0.34984499999999902</v>
      </c>
      <c r="Z3469">
        <v>-1.377126E-2</v>
      </c>
      <c r="AA3469">
        <v>0.93670640000000005</v>
      </c>
      <c r="AB3469">
        <v>30</v>
      </c>
      <c r="AC3469">
        <v>12.479699999999999</v>
      </c>
      <c r="AD3469">
        <v>-1.100639298605</v>
      </c>
      <c r="AE3469">
        <v>-4.9154999999999998</v>
      </c>
      <c r="AF3469">
        <v>4.7699735894867201</v>
      </c>
      <c r="AG3469">
        <v>-1.100639298605</v>
      </c>
      <c r="AH3469">
        <v>12.440009808822399</v>
      </c>
      <c r="AI3469">
        <v>94.722538180116004</v>
      </c>
      <c r="AJ3469">
        <v>69.021273672048096</v>
      </c>
      <c r="AK3469">
        <v>13.3685413921501</v>
      </c>
    </row>
    <row r="3470" spans="1:37" x14ac:dyDescent="0.2">
      <c r="A3470" t="str">
        <f>"20200111153719413"</f>
        <v>20200111153719413</v>
      </c>
      <c r="B3470" t="str">
        <f>"1578728239406448"</f>
        <v>1578728239406448</v>
      </c>
      <c r="C3470" t="s">
        <v>37</v>
      </c>
      <c r="D3470">
        <v>5.912725</v>
      </c>
      <c r="E3470">
        <v>0.58597399999999999</v>
      </c>
      <c r="F3470" t="s">
        <v>44</v>
      </c>
      <c r="G3470">
        <v>-199.0076</v>
      </c>
      <c r="H3470" s="1">
        <v>2.710834E-6</v>
      </c>
      <c r="I3470">
        <v>210.68109999999999</v>
      </c>
      <c r="J3470">
        <v>-211.22839999999999</v>
      </c>
      <c r="K3470">
        <v>1.100298</v>
      </c>
      <c r="L3470">
        <v>215.59289999999999</v>
      </c>
      <c r="M3470">
        <v>0.99977990000000005</v>
      </c>
      <c r="N3470">
        <v>0</v>
      </c>
      <c r="O3470">
        <v>-1.531223E-2</v>
      </c>
      <c r="P3470">
        <v>0.98657109999999903</v>
      </c>
      <c r="Q3470">
        <v>3.8105260000000002E-2</v>
      </c>
      <c r="R3470">
        <v>-0.1588261</v>
      </c>
      <c r="S3470">
        <v>2.8748779999999998</v>
      </c>
      <c r="T3470">
        <v>-0.25252570000000002</v>
      </c>
      <c r="U3470">
        <v>-1.1290439999999999</v>
      </c>
      <c r="V3470">
        <v>0.14428070000000001</v>
      </c>
      <c r="W3470">
        <v>5.0661150000000002E-2</v>
      </c>
      <c r="X3470">
        <v>0.98823909999999904</v>
      </c>
      <c r="Y3470">
        <v>0.35013539999999999</v>
      </c>
      <c r="Z3470">
        <v>-1.350723E-2</v>
      </c>
      <c r="AA3470">
        <v>0.93660169999999998</v>
      </c>
      <c r="AB3470">
        <v>30</v>
      </c>
      <c r="AC3470">
        <v>12.220799999999899</v>
      </c>
      <c r="AD3470">
        <v>-1.1002952891660001</v>
      </c>
      <c r="AE3470">
        <v>-4.9118000000000004</v>
      </c>
      <c r="AF3470">
        <v>4.6913368726149596</v>
      </c>
      <c r="AG3470">
        <v>-1.1002952891660001</v>
      </c>
      <c r="AH3470">
        <v>12.2093777010537</v>
      </c>
      <c r="AI3470">
        <v>94.808549197584597</v>
      </c>
      <c r="AJ3470">
        <v>68.9812048048978</v>
      </c>
      <c r="AK3470">
        <v>13.1258597898464</v>
      </c>
    </row>
    <row r="3471" spans="1:37" x14ac:dyDescent="0.2">
      <c r="A3471" t="str">
        <f>"20200111153719435"</f>
        <v>20200111153719435</v>
      </c>
      <c r="B3471" t="str">
        <f>"1578728239426945"</f>
        <v>1578728239426945</v>
      </c>
      <c r="C3471" t="s">
        <v>37</v>
      </c>
      <c r="D3471">
        <v>5.9521239999999898</v>
      </c>
      <c r="E3471">
        <v>0.58566109999999905</v>
      </c>
      <c r="F3471" t="s">
        <v>44</v>
      </c>
      <c r="G3471">
        <v>-199.00139999999999</v>
      </c>
      <c r="H3471" s="1">
        <v>2.711163E-6</v>
      </c>
      <c r="I3471">
        <v>210.68989999999999</v>
      </c>
      <c r="J3471">
        <v>-210.92150000000001</v>
      </c>
      <c r="K3471">
        <v>1.0999399999999999</v>
      </c>
      <c r="L3471">
        <v>215.58150000000001</v>
      </c>
      <c r="M3471">
        <v>0.99965659999999901</v>
      </c>
      <c r="N3471">
        <v>0</v>
      </c>
      <c r="O3471">
        <v>-2.1957979999999998E-2</v>
      </c>
      <c r="P3471">
        <v>0.98549419999999899</v>
      </c>
      <c r="Q3471">
        <v>3.7335899999999998E-2</v>
      </c>
      <c r="R3471">
        <v>-0.1655507</v>
      </c>
      <c r="S3471">
        <v>2.865799</v>
      </c>
      <c r="T3471">
        <v>-0.25789109999999998</v>
      </c>
      <c r="U3471">
        <v>-1.1491849999999999</v>
      </c>
      <c r="V3471">
        <v>0.1444841</v>
      </c>
      <c r="W3471">
        <v>4.9725350000000001E-2</v>
      </c>
      <c r="X3471">
        <v>0.98825689999999999</v>
      </c>
      <c r="Y3471">
        <v>0.35057659999999902</v>
      </c>
      <c r="Z3471">
        <v>-1.326194E-2</v>
      </c>
      <c r="AA3471">
        <v>0.93644019999999994</v>
      </c>
      <c r="AB3471">
        <v>30</v>
      </c>
      <c r="AC3471">
        <v>11.9201</v>
      </c>
      <c r="AD3471">
        <v>-1.09993728883699</v>
      </c>
      <c r="AE3471">
        <v>-4.8916000000000102</v>
      </c>
      <c r="AF3471">
        <v>4.5951645589844103</v>
      </c>
      <c r="AG3471">
        <v>-1.09993728883699</v>
      </c>
      <c r="AH3471">
        <v>11.9376492426216</v>
      </c>
      <c r="AI3471">
        <v>94.914749268062394</v>
      </c>
      <c r="AJ3471">
        <v>68.946765564148905</v>
      </c>
      <c r="AK3471">
        <v>12.838725357424901</v>
      </c>
    </row>
    <row r="3472" spans="1:37" x14ac:dyDescent="0.2">
      <c r="A3472" t="str">
        <f>"20200111153719457"</f>
        <v>20200111153719457</v>
      </c>
      <c r="B3472" t="str">
        <f>"1578728239446464"</f>
        <v>1578728239446464</v>
      </c>
      <c r="C3472" t="s">
        <v>37</v>
      </c>
      <c r="D3472">
        <v>5.9858379999999896</v>
      </c>
      <c r="E3472">
        <v>0.58538310000000005</v>
      </c>
      <c r="F3472" t="s">
        <v>44</v>
      </c>
      <c r="G3472">
        <v>-198.81290000000001</v>
      </c>
      <c r="H3472" s="1">
        <v>2.749328E-6</v>
      </c>
      <c r="I3472">
        <v>210.63579999999999</v>
      </c>
      <c r="J3472">
        <v>-210.63499999999999</v>
      </c>
      <c r="K3472">
        <v>1.0996030000000001</v>
      </c>
      <c r="L3472">
        <v>215.5685</v>
      </c>
      <c r="M3472">
        <v>0.99948890000000001</v>
      </c>
      <c r="N3472">
        <v>0</v>
      </c>
      <c r="O3472">
        <v>-2.8597020000000001E-2</v>
      </c>
      <c r="P3472">
        <v>0.98424869999999898</v>
      </c>
      <c r="Q3472">
        <v>3.782278E-2</v>
      </c>
      <c r="R3472">
        <v>-0.1726955</v>
      </c>
      <c r="S3472">
        <v>2.8578950000000001</v>
      </c>
      <c r="T3472">
        <v>-0.2596099</v>
      </c>
      <c r="U3472">
        <v>-1.1672819999999999</v>
      </c>
      <c r="V3472">
        <v>0.14513819999999999</v>
      </c>
      <c r="W3472">
        <v>5.0055379999999997E-2</v>
      </c>
      <c r="X3472">
        <v>0.98814439999999903</v>
      </c>
      <c r="Y3472">
        <v>0.3503539</v>
      </c>
      <c r="Z3472">
        <v>-1.278199E-2</v>
      </c>
      <c r="AA3472">
        <v>0.93653019999999998</v>
      </c>
      <c r="AB3472">
        <v>30</v>
      </c>
      <c r="AC3472">
        <v>11.822099999999899</v>
      </c>
      <c r="AD3472">
        <v>-1.099600250672</v>
      </c>
      <c r="AE3472">
        <v>-4.9327000000000103</v>
      </c>
      <c r="AF3472">
        <v>4.5589781236384201</v>
      </c>
      <c r="AG3472">
        <v>-1.099600250672</v>
      </c>
      <c r="AH3472">
        <v>11.870868658362999</v>
      </c>
      <c r="AI3472">
        <v>94.942208306271397</v>
      </c>
      <c r="AJ3472">
        <v>68.990835882192997</v>
      </c>
      <c r="AK3472">
        <v>12.763656409790901</v>
      </c>
    </row>
    <row r="3473" spans="1:37" x14ac:dyDescent="0.2">
      <c r="A3473" t="str">
        <f>"20200111153719479"</f>
        <v>20200111153719479</v>
      </c>
      <c r="B3473" t="str">
        <f>"1578728239476721"</f>
        <v>1578728239476721</v>
      </c>
      <c r="C3473" t="s">
        <v>37</v>
      </c>
      <c r="D3473">
        <v>5.9375309999999999</v>
      </c>
      <c r="E3473">
        <v>0.58501259999999999</v>
      </c>
      <c r="F3473" t="s">
        <v>44</v>
      </c>
      <c r="G3473">
        <v>-198.56219999999999</v>
      </c>
      <c r="H3473" s="1">
        <v>2.8019479999999999E-6</v>
      </c>
      <c r="I3473">
        <v>210.54249999999999</v>
      </c>
      <c r="J3473">
        <v>-210.33009999999999</v>
      </c>
      <c r="K3473">
        <v>1.0992440000000001</v>
      </c>
      <c r="L3473">
        <v>215.5522</v>
      </c>
      <c r="M3473">
        <v>0.99924539999999995</v>
      </c>
      <c r="N3473">
        <v>0</v>
      </c>
      <c r="O3473">
        <v>-3.6129759999999997E-2</v>
      </c>
      <c r="P3473">
        <v>0.98261319999999996</v>
      </c>
      <c r="Q3473">
        <v>3.9809499999999998E-2</v>
      </c>
      <c r="R3473">
        <v>-0.18134729999999999</v>
      </c>
      <c r="S3473">
        <v>2.8498079999999999</v>
      </c>
      <c r="T3473">
        <v>-0.2595634</v>
      </c>
      <c r="U3473">
        <v>-1.186401</v>
      </c>
      <c r="V3473">
        <v>0.14645949999999999</v>
      </c>
      <c r="W3473">
        <v>5.187216E-2</v>
      </c>
      <c r="X3473">
        <v>0.987855699999999</v>
      </c>
      <c r="Y3473">
        <v>0.34962290000000001</v>
      </c>
      <c r="Z3473">
        <v>-1.211047E-2</v>
      </c>
      <c r="AA3473">
        <v>0.93681219999999998</v>
      </c>
      <c r="AB3473">
        <v>30</v>
      </c>
      <c r="AC3473">
        <v>11.7678999999999</v>
      </c>
      <c r="AD3473">
        <v>-1.099241198052</v>
      </c>
      <c r="AE3473">
        <v>-5.0096999999999996</v>
      </c>
      <c r="AF3473">
        <v>4.5476217018960101</v>
      </c>
      <c r="AG3473">
        <v>-1.099241198052</v>
      </c>
      <c r="AH3473">
        <v>11.8536726206182</v>
      </c>
      <c r="AI3473">
        <v>94.948394639046796</v>
      </c>
      <c r="AJ3473">
        <v>69.010856813282501</v>
      </c>
      <c r="AK3473">
        <v>12.7435767723134</v>
      </c>
    </row>
    <row r="3474" spans="1:37" x14ac:dyDescent="0.2">
      <c r="A3474" t="str">
        <f>"20200111153719503"</f>
        <v>20200111153719503</v>
      </c>
      <c r="B3474" t="str">
        <f>"1578728239496243"</f>
        <v>1578728239496243</v>
      </c>
      <c r="C3474" t="s">
        <v>37</v>
      </c>
      <c r="D3474">
        <v>5.9529690000000004</v>
      </c>
      <c r="E3474">
        <v>0.58471660000000003</v>
      </c>
      <c r="F3474" t="s">
        <v>44</v>
      </c>
      <c r="G3474">
        <v>-198.11170000000001</v>
      </c>
      <c r="H3474" s="1">
        <v>2.8982169999999999E-6</v>
      </c>
      <c r="I3474">
        <v>210.3554</v>
      </c>
      <c r="J3474">
        <v>-210.02430000000001</v>
      </c>
      <c r="K3474">
        <v>1.098884</v>
      </c>
      <c r="L3474">
        <v>215.53270000000001</v>
      </c>
      <c r="M3474">
        <v>0.99891939999999901</v>
      </c>
      <c r="N3474">
        <v>0</v>
      </c>
      <c r="O3474">
        <v>-4.4232229999999997E-2</v>
      </c>
      <c r="P3474">
        <v>0.98054889999999995</v>
      </c>
      <c r="Q3474">
        <v>4.3106749999999999E-2</v>
      </c>
      <c r="R3474">
        <v>-0.191483399999999</v>
      </c>
      <c r="S3474">
        <v>2.8404689999999899</v>
      </c>
      <c r="T3474">
        <v>-0.25554559999999998</v>
      </c>
      <c r="U3474">
        <v>-1.208115</v>
      </c>
      <c r="V3474">
        <v>0.14875179999999999</v>
      </c>
      <c r="W3474">
        <v>5.4992869999999999E-2</v>
      </c>
      <c r="X3474">
        <v>0.98734429999999995</v>
      </c>
      <c r="Y3474">
        <v>0.34926209999999902</v>
      </c>
      <c r="Z3474">
        <v>-1.1233150000000001E-2</v>
      </c>
      <c r="AA3474">
        <v>0.93695769999999901</v>
      </c>
      <c r="AB3474">
        <v>30</v>
      </c>
      <c r="AC3474">
        <v>11.9125999999999</v>
      </c>
      <c r="AD3474">
        <v>-1.098881101783</v>
      </c>
      <c r="AE3474">
        <v>-5.1772999999999998</v>
      </c>
      <c r="AF3474">
        <v>4.6122461060525302</v>
      </c>
      <c r="AG3474">
        <v>-1.098881101783</v>
      </c>
      <c r="AH3474">
        <v>12.0437645060917</v>
      </c>
      <c r="AI3474">
        <v>94.870199500099304</v>
      </c>
      <c r="AJ3474">
        <v>69.045299677125797</v>
      </c>
      <c r="AK3474">
        <v>12.9434391603177</v>
      </c>
    </row>
    <row r="3475" spans="1:37" x14ac:dyDescent="0.2">
      <c r="A3475" t="str">
        <f>"20200111153719524"</f>
        <v>20200111153719524</v>
      </c>
      <c r="B3475" t="str">
        <f>"1578728239516736"</f>
        <v>1578728239516736</v>
      </c>
      <c r="C3475" t="s">
        <v>37</v>
      </c>
      <c r="D3475">
        <v>5.9280689999999998</v>
      </c>
      <c r="E3475">
        <v>0.58441969999999899</v>
      </c>
      <c r="F3475" t="s">
        <v>44</v>
      </c>
      <c r="G3475">
        <v>-197.44909999999999</v>
      </c>
      <c r="H3475" s="1">
        <v>3.0429569999999998E-6</v>
      </c>
      <c r="I3475">
        <v>210.04429999999999</v>
      </c>
      <c r="J3475">
        <v>-209.72730000000001</v>
      </c>
      <c r="K3475">
        <v>1.098538</v>
      </c>
      <c r="L3475">
        <v>215.51089999999999</v>
      </c>
      <c r="M3475">
        <v>0.9985155</v>
      </c>
      <c r="N3475">
        <v>0</v>
      </c>
      <c r="O3475">
        <v>-5.2565939999999998E-2</v>
      </c>
      <c r="P3475">
        <v>0.97836919999999905</v>
      </c>
      <c r="Q3475">
        <v>4.6786040000000001E-2</v>
      </c>
      <c r="R3475">
        <v>-0.20150650000000001</v>
      </c>
      <c r="S3475">
        <v>2.8292540000000002</v>
      </c>
      <c r="T3475">
        <v>-0.24723400000000001</v>
      </c>
      <c r="U3475">
        <v>-1.234802</v>
      </c>
      <c r="V3475">
        <v>0.15073149999999999</v>
      </c>
      <c r="W3475">
        <v>5.8512460000000002E-2</v>
      </c>
      <c r="X3475">
        <v>0.98684159999999899</v>
      </c>
      <c r="Y3475">
        <v>0.35032039999999998</v>
      </c>
      <c r="Z3475">
        <v>-1.024214E-2</v>
      </c>
      <c r="AA3475">
        <v>0.93657389999999996</v>
      </c>
      <c r="AB3475">
        <v>30</v>
      </c>
      <c r="AC3475">
        <v>12.2782</v>
      </c>
      <c r="AD3475">
        <v>-1.0985349570430001</v>
      </c>
      <c r="AE3475">
        <v>-5.4665999999999997</v>
      </c>
      <c r="AF3475">
        <v>4.7816154870516998</v>
      </c>
      <c r="AG3475">
        <v>-1.0985349570430001</v>
      </c>
      <c r="AH3475">
        <v>12.465331066153199</v>
      </c>
      <c r="AI3475">
        <v>94.703775216638903</v>
      </c>
      <c r="AJ3475">
        <v>69.013529016284707</v>
      </c>
      <c r="AK3475">
        <v>13.3960854098002</v>
      </c>
    </row>
    <row r="3476" spans="1:37" x14ac:dyDescent="0.2">
      <c r="A3476" t="str">
        <f>"20200111153719546"</f>
        <v>20200111153719546</v>
      </c>
      <c r="B3476" t="str">
        <f>"1578728239536256"</f>
        <v>1578728239536256</v>
      </c>
      <c r="C3476" t="s">
        <v>37</v>
      </c>
      <c r="D3476">
        <v>5.9538839999999897</v>
      </c>
      <c r="E3476">
        <v>0.58421630000000002</v>
      </c>
      <c r="F3476" t="s">
        <v>44</v>
      </c>
      <c r="G3476">
        <v>-196.69239999999999</v>
      </c>
      <c r="H3476" s="1">
        <v>3.2094209999999899E-6</v>
      </c>
      <c r="I3476">
        <v>209.6755</v>
      </c>
      <c r="J3476">
        <v>-209.4289</v>
      </c>
      <c r="K3476">
        <v>1.098212</v>
      </c>
      <c r="L3476">
        <v>215.48609999999999</v>
      </c>
      <c r="M3476">
        <v>0.99801450000000003</v>
      </c>
      <c r="N3476">
        <v>0</v>
      </c>
      <c r="O3476">
        <v>-6.1344250000000003E-2</v>
      </c>
      <c r="P3476">
        <v>0.97600810000000005</v>
      </c>
      <c r="Q3476">
        <v>4.9108390000000002E-2</v>
      </c>
      <c r="R3476">
        <v>-0.2121239</v>
      </c>
      <c r="S3476">
        <v>2.817841</v>
      </c>
      <c r="T3476">
        <v>-0.23747770000000001</v>
      </c>
      <c r="U3476">
        <v>-1.2614749999999999</v>
      </c>
      <c r="V3476">
        <v>0.15286859999999999</v>
      </c>
      <c r="W3476">
        <v>6.0685820000000001E-2</v>
      </c>
      <c r="X3476">
        <v>0.98638150000000002</v>
      </c>
      <c r="Y3476">
        <v>0.3509835</v>
      </c>
      <c r="Z3476">
        <v>-9.1846229999999994E-3</v>
      </c>
      <c r="AA3476">
        <v>0.93633659999999996</v>
      </c>
      <c r="AB3476">
        <v>30</v>
      </c>
      <c r="AC3476">
        <v>12.736499999999999</v>
      </c>
      <c r="AD3476">
        <v>-1.0982087905789999</v>
      </c>
      <c r="AE3476">
        <v>-5.8105999999999902</v>
      </c>
      <c r="AF3476">
        <v>4.98757043971752</v>
      </c>
      <c r="AG3476">
        <v>-1.0982087905789999</v>
      </c>
      <c r="AH3476">
        <v>12.989057144538799</v>
      </c>
      <c r="AI3476">
        <v>94.512996486217205</v>
      </c>
      <c r="AJ3476">
        <v>68.994085150426102</v>
      </c>
      <c r="AK3476">
        <v>13.956988462520901</v>
      </c>
    </row>
    <row r="3477" spans="1:37" x14ac:dyDescent="0.2">
      <c r="A3477" t="str">
        <f>"20200111153719569"</f>
        <v>20200111153719569</v>
      </c>
      <c r="B3477" t="str">
        <f>"1578728239556321"</f>
        <v>1578728239556321</v>
      </c>
      <c r="C3477" t="s">
        <v>37</v>
      </c>
      <c r="D3477">
        <v>6.3830539999999996</v>
      </c>
      <c r="E3477">
        <v>0.60320399999999996</v>
      </c>
      <c r="F3477" t="s">
        <v>44</v>
      </c>
      <c r="G3477">
        <v>-196.15119999999999</v>
      </c>
      <c r="H3477" s="1">
        <v>3.3736219999999902E-6</v>
      </c>
      <c r="I3477">
        <v>209.3783</v>
      </c>
      <c r="J3477">
        <v>-209.13399999999999</v>
      </c>
      <c r="K3477">
        <v>1.097898</v>
      </c>
      <c r="L3477">
        <v>215.45859999999999</v>
      </c>
      <c r="M3477">
        <v>0.9974153</v>
      </c>
      <c r="N3477">
        <v>0</v>
      </c>
      <c r="O3477">
        <v>-7.0415610000000003E-2</v>
      </c>
      <c r="P3477">
        <v>0.97327059999999999</v>
      </c>
      <c r="Q3477">
        <v>4.9510499999999999E-2</v>
      </c>
      <c r="R3477">
        <v>-0.22426170000000001</v>
      </c>
      <c r="S3477">
        <v>2.8049930000000001</v>
      </c>
      <c r="T3477">
        <v>-0.23200319999999999</v>
      </c>
      <c r="U3477">
        <v>-1.290314</v>
      </c>
      <c r="V3477">
        <v>0.156239299999999</v>
      </c>
      <c r="W3477">
        <v>6.092475E-2</v>
      </c>
      <c r="X3477">
        <v>0.98583849999999995</v>
      </c>
      <c r="Y3477">
        <v>0.35210619999999998</v>
      </c>
      <c r="Z3477">
        <v>-8.3301709999999904E-3</v>
      </c>
      <c r="AA3477">
        <v>0.93592299999999995</v>
      </c>
      <c r="AB3477">
        <v>30</v>
      </c>
      <c r="AC3477">
        <v>12.982799999999999</v>
      </c>
      <c r="AD3477">
        <v>-1.0978946263779901</v>
      </c>
      <c r="AE3477">
        <v>-6.0802999999999896</v>
      </c>
      <c r="AF3477">
        <v>5.1208853394069802</v>
      </c>
      <c r="AG3477">
        <v>-1.0978946263779901</v>
      </c>
      <c r="AH3477">
        <v>13.300750940447401</v>
      </c>
      <c r="AI3477">
        <v>94.404897016326302</v>
      </c>
      <c r="AJ3477">
        <v>68.942933401253597</v>
      </c>
      <c r="AK3477">
        <v>14.294712828518</v>
      </c>
    </row>
    <row r="3478" spans="1:37" x14ac:dyDescent="0.2">
      <c r="A3478" t="str">
        <f>"20200111153719591"</f>
        <v>20200111153719591</v>
      </c>
      <c r="B3478" t="str">
        <f>"1578728239586577"</f>
        <v>1578728239586577</v>
      </c>
      <c r="C3478" t="s">
        <v>37</v>
      </c>
      <c r="D3478">
        <v>6.1367219999999998</v>
      </c>
      <c r="E3478">
        <v>0.61823729999999999</v>
      </c>
      <c r="F3478" t="s">
        <v>44</v>
      </c>
      <c r="G3478">
        <v>-197.45910000000001</v>
      </c>
      <c r="H3478" s="1">
        <v>3.1823539999999998E-6</v>
      </c>
      <c r="I3478">
        <v>209.22450000000001</v>
      </c>
      <c r="J3478">
        <v>-208.8322</v>
      </c>
      <c r="K3478">
        <v>1.097575</v>
      </c>
      <c r="L3478">
        <v>215.42740000000001</v>
      </c>
      <c r="M3478">
        <v>0.99668279999999998</v>
      </c>
      <c r="N3478">
        <v>0</v>
      </c>
      <c r="O3478">
        <v>-8.0116140000000002E-2</v>
      </c>
      <c r="P3478">
        <v>0.96976899999999999</v>
      </c>
      <c r="Q3478">
        <v>4.8679050000000001E-2</v>
      </c>
      <c r="R3478">
        <v>-0.23912059999999999</v>
      </c>
      <c r="S3478">
        <v>2.7564389999999999</v>
      </c>
      <c r="T3478">
        <v>-0.25921349999999999</v>
      </c>
      <c r="U3478">
        <v>-1.4718929999999999</v>
      </c>
      <c r="V3478">
        <v>0.16175490000000001</v>
      </c>
      <c r="W3478">
        <v>5.988715E-2</v>
      </c>
      <c r="X3478">
        <v>0.98501209999999995</v>
      </c>
      <c r="Y3478">
        <v>0.39776149999999999</v>
      </c>
      <c r="Z3478">
        <v>-1.048982E-2</v>
      </c>
      <c r="AA3478">
        <v>0.91742889999999999</v>
      </c>
      <c r="AB3478">
        <v>30</v>
      </c>
      <c r="AC3478">
        <v>11.3730999999999</v>
      </c>
      <c r="AD3478">
        <v>-1.0975718176459901</v>
      </c>
      <c r="AE3478">
        <v>-6.2028999999999996</v>
      </c>
      <c r="AF3478">
        <v>5.2341233162147098</v>
      </c>
      <c r="AG3478">
        <v>-1.0975718176459901</v>
      </c>
      <c r="AH3478">
        <v>11.7491996788208</v>
      </c>
      <c r="AI3478">
        <v>94.877360466179695</v>
      </c>
      <c r="AJ3478">
        <v>65.987618413904002</v>
      </c>
      <c r="AK3478">
        <v>12.909082224427699</v>
      </c>
    </row>
    <row r="3479" spans="1:37" x14ac:dyDescent="0.2">
      <c r="A3479" t="str">
        <f>"20200111153719614"</f>
        <v>20200111153719614</v>
      </c>
      <c r="B3479" t="str">
        <f>"1578728239606098"</f>
        <v>1578728239606098</v>
      </c>
      <c r="C3479" t="s">
        <v>37</v>
      </c>
      <c r="D3479">
        <v>6.1260510000000004</v>
      </c>
      <c r="E3479">
        <v>0.62079130000000005</v>
      </c>
      <c r="F3479" t="s">
        <v>44</v>
      </c>
      <c r="G3479">
        <v>-199.72239999999999</v>
      </c>
      <c r="H3479" s="1">
        <v>2.6481859999999999E-6</v>
      </c>
      <c r="I3479">
        <v>209.94730000000001</v>
      </c>
      <c r="J3479">
        <v>-208.52340000000001</v>
      </c>
      <c r="K3479">
        <v>1.097235</v>
      </c>
      <c r="L3479">
        <v>215.39189999999999</v>
      </c>
      <c r="M3479">
        <v>0.99579419999999996</v>
      </c>
      <c r="N3479">
        <v>0</v>
      </c>
      <c r="O3479">
        <v>-9.0487990000000004E-2</v>
      </c>
      <c r="P3479">
        <v>0.96588419999999897</v>
      </c>
      <c r="Q3479">
        <v>4.8353340000000002E-2</v>
      </c>
      <c r="R3479">
        <v>-0.2544208</v>
      </c>
      <c r="S3479">
        <v>2.7081759999999999</v>
      </c>
      <c r="T3479">
        <v>-0.32628879999999999</v>
      </c>
      <c r="U3479">
        <v>-1.629135</v>
      </c>
      <c r="V3479">
        <v>0.16711329999999999</v>
      </c>
      <c r="W3479">
        <v>5.9351660000000001E-2</v>
      </c>
      <c r="X3479">
        <v>0.98414959999999996</v>
      </c>
      <c r="Y3479">
        <v>0.43401430000000002</v>
      </c>
      <c r="Z3479">
        <v>-1.409991E-2</v>
      </c>
      <c r="AA3479">
        <v>0.90079560000000003</v>
      </c>
      <c r="AB3479">
        <v>30</v>
      </c>
      <c r="AC3479">
        <v>8.8010000000000108</v>
      </c>
      <c r="AD3479">
        <v>-1.0972323518139999</v>
      </c>
      <c r="AE3479">
        <v>-5.4445999999999799</v>
      </c>
      <c r="AF3479">
        <v>4.5743721626356404</v>
      </c>
      <c r="AG3479">
        <v>-1.0972323518139999</v>
      </c>
      <c r="AH3479">
        <v>9.1547010479832203</v>
      </c>
      <c r="AI3479">
        <v>96.119595513977103</v>
      </c>
      <c r="AJ3479">
        <v>63.449863104961203</v>
      </c>
      <c r="AK3479">
        <v>10.292587176901</v>
      </c>
    </row>
    <row r="3480" spans="1:37" x14ac:dyDescent="0.2">
      <c r="A3480" t="str">
        <f>"20200111153719636"</f>
        <v>20200111153719636</v>
      </c>
      <c r="B3480" t="str">
        <f>"1578728239626593"</f>
        <v>1578728239626593</v>
      </c>
      <c r="C3480" t="s">
        <v>37</v>
      </c>
      <c r="D3480">
        <v>5.8034379999999999</v>
      </c>
      <c r="E3480">
        <v>0.62344250000000001</v>
      </c>
      <c r="F3480" t="s">
        <v>44</v>
      </c>
      <c r="G3480">
        <v>-199.6781</v>
      </c>
      <c r="H3480" s="1">
        <v>2.6685730000000001E-6</v>
      </c>
      <c r="I3480">
        <v>209.8039</v>
      </c>
      <c r="J3480">
        <v>-208.23089999999999</v>
      </c>
      <c r="K3480">
        <v>1.096903</v>
      </c>
      <c r="L3480">
        <v>215.35480000000001</v>
      </c>
      <c r="M3480">
        <v>0.99480879999999905</v>
      </c>
      <c r="N3480">
        <v>0</v>
      </c>
      <c r="O3480">
        <v>-0.1007396</v>
      </c>
      <c r="P3480">
        <v>0.96206840000000005</v>
      </c>
      <c r="Q3480">
        <v>4.8092629999999997E-2</v>
      </c>
      <c r="R3480">
        <v>-0.2685362</v>
      </c>
      <c r="S3480">
        <v>2.6770939999999999</v>
      </c>
      <c r="T3480">
        <v>-0.33208670000000001</v>
      </c>
      <c r="U3480">
        <v>-1.691238</v>
      </c>
      <c r="V3480">
        <v>0.17142939999999901</v>
      </c>
      <c r="W3480">
        <v>5.890422E-2</v>
      </c>
      <c r="X3480">
        <v>0.98343389999999997</v>
      </c>
      <c r="Y3480">
        <v>0.44434179999999901</v>
      </c>
      <c r="Z3480">
        <v>-1.3855849999999999E-2</v>
      </c>
      <c r="AA3480">
        <v>0.89575020000000005</v>
      </c>
      <c r="AB3480">
        <v>30</v>
      </c>
      <c r="AC3480">
        <v>8.5527999999999906</v>
      </c>
      <c r="AD3480">
        <v>-1.0969003314270001</v>
      </c>
      <c r="AE3480">
        <v>-5.5509000000000102</v>
      </c>
      <c r="AF3480">
        <v>4.6076355110036902</v>
      </c>
      <c r="AG3480">
        <v>-1.0969003314270001</v>
      </c>
      <c r="AH3480">
        <v>8.9647828798503095</v>
      </c>
      <c r="AI3480">
        <v>96.210725355008606</v>
      </c>
      <c r="AJ3480">
        <v>62.798165121676</v>
      </c>
      <c r="AK3480">
        <v>10.139074288227899</v>
      </c>
    </row>
    <row r="3481" spans="1:37" x14ac:dyDescent="0.2">
      <c r="A3481" t="str">
        <f>"20200111153719658"</f>
        <v>20200111153719658</v>
      </c>
      <c r="B3481" t="str">
        <f>"1578728239646075"</f>
        <v>1578728239646075</v>
      </c>
      <c r="C3481" t="s">
        <v>37</v>
      </c>
      <c r="D3481">
        <v>6.1320439999999996</v>
      </c>
      <c r="E3481">
        <v>0.62368999999999997</v>
      </c>
      <c r="F3481" t="s">
        <v>44</v>
      </c>
      <c r="G3481">
        <v>-199.07339999999999</v>
      </c>
      <c r="H3481" s="1">
        <v>2.8774359999999999E-6</v>
      </c>
      <c r="I3481">
        <v>209.2946</v>
      </c>
      <c r="J3481">
        <v>-207.93539999999999</v>
      </c>
      <c r="K3481">
        <v>1.0965590000000001</v>
      </c>
      <c r="L3481">
        <v>215.31389999999999</v>
      </c>
      <c r="M3481">
        <v>0.99365759999999903</v>
      </c>
      <c r="N3481">
        <v>0</v>
      </c>
      <c r="O3481">
        <v>-0.1115174</v>
      </c>
      <c r="P3481">
        <v>0.95803909999999903</v>
      </c>
      <c r="Q3481">
        <v>4.750915E-2</v>
      </c>
      <c r="R3481">
        <v>-0.28267379999999998</v>
      </c>
      <c r="S3481">
        <v>2.6454469999999999</v>
      </c>
      <c r="T3481">
        <v>-0.3168762</v>
      </c>
      <c r="U3481">
        <v>-1.750702</v>
      </c>
      <c r="V3481">
        <v>0.175285</v>
      </c>
      <c r="W3481">
        <v>5.8140190000000001E-2</v>
      </c>
      <c r="X3481">
        <v>0.98279950000000005</v>
      </c>
      <c r="Y3481">
        <v>0.45375070000000001</v>
      </c>
      <c r="Z3481">
        <v>-1.264995E-2</v>
      </c>
      <c r="AA3481">
        <v>0.89103889999999997</v>
      </c>
      <c r="AB3481">
        <v>30</v>
      </c>
      <c r="AC3481">
        <v>8.8619999999999894</v>
      </c>
      <c r="AD3481">
        <v>-1.0965561225639999</v>
      </c>
      <c r="AE3481">
        <v>-6.0192999999999799</v>
      </c>
      <c r="AF3481">
        <v>4.9416023534252496</v>
      </c>
      <c r="AG3481">
        <v>-1.0965561225639999</v>
      </c>
      <c r="AH3481">
        <v>9.3797646709081199</v>
      </c>
      <c r="AI3481">
        <v>95.905136203204606</v>
      </c>
      <c r="AJ3481">
        <v>62.218101767965202</v>
      </c>
      <c r="AK3481">
        <v>10.658417069664999</v>
      </c>
    </row>
    <row r="3482" spans="1:37" x14ac:dyDescent="0.2">
      <c r="A3482" t="str">
        <f>"20200111153719681"</f>
        <v>20200111153719681</v>
      </c>
      <c r="B3482" t="str">
        <f>"1578728239676331"</f>
        <v>1578728239676331</v>
      </c>
      <c r="C3482" t="s">
        <v>37</v>
      </c>
      <c r="D3482">
        <v>6.1691129999999896</v>
      </c>
      <c r="E3482">
        <v>0.6254632</v>
      </c>
      <c r="F3482" t="s">
        <v>44</v>
      </c>
      <c r="G3482">
        <v>-198.898</v>
      </c>
      <c r="H3482" s="1">
        <v>2.9519169999999999E-6</v>
      </c>
      <c r="I3482">
        <v>209.1309</v>
      </c>
      <c r="J3482">
        <v>-207.64519999999999</v>
      </c>
      <c r="K3482">
        <v>1.0962270000000001</v>
      </c>
      <c r="L3482">
        <v>215.27</v>
      </c>
      <c r="M3482">
        <v>0.99235930000000006</v>
      </c>
      <c r="N3482">
        <v>0</v>
      </c>
      <c r="O3482">
        <v>-0.122528399999999</v>
      </c>
      <c r="P3482">
        <v>0.95377259999999997</v>
      </c>
      <c r="Q3482">
        <v>4.6438779999999999E-2</v>
      </c>
      <c r="R3482">
        <v>-0.29691990000000001</v>
      </c>
      <c r="S3482">
        <v>2.618576</v>
      </c>
      <c r="T3482">
        <v>-0.31772519999999999</v>
      </c>
      <c r="U3482">
        <v>-1.791534</v>
      </c>
      <c r="V3482">
        <v>0.1790532</v>
      </c>
      <c r="W3482">
        <v>5.6894380000000001E-2</v>
      </c>
      <c r="X3482">
        <v>0.98219290000000004</v>
      </c>
      <c r="Y3482">
        <v>0.4576209</v>
      </c>
      <c r="Z3482">
        <v>-1.1778220000000001E-2</v>
      </c>
      <c r="AA3482">
        <v>0.88906939999999901</v>
      </c>
      <c r="AB3482">
        <v>30</v>
      </c>
      <c r="AC3482">
        <v>8.7471999999999905</v>
      </c>
      <c r="AD3482">
        <v>-1.0962240480829999</v>
      </c>
      <c r="AE3482">
        <v>-6.1391000000000098</v>
      </c>
      <c r="AF3482">
        <v>4.9686559305418001</v>
      </c>
      <c r="AG3482">
        <v>-1.0962240480829999</v>
      </c>
      <c r="AH3482">
        <v>9.3353366643130506</v>
      </c>
      <c r="AI3482">
        <v>95.918105506054403</v>
      </c>
      <c r="AJ3482">
        <v>61.976227835627803</v>
      </c>
      <c r="AK3482">
        <v>10.6319217244941</v>
      </c>
    </row>
    <row r="3483" spans="1:37" x14ac:dyDescent="0.2">
      <c r="A3483" t="str">
        <f>"20200111153719703"</f>
        <v>20200111153719703</v>
      </c>
      <c r="B3483" t="str">
        <f>"1578728239696826"</f>
        <v>1578728239696826</v>
      </c>
      <c r="C3483" t="s">
        <v>37</v>
      </c>
      <c r="D3483">
        <v>6.2284090000000001</v>
      </c>
      <c r="E3483">
        <v>0.62580480000000005</v>
      </c>
      <c r="F3483" t="s">
        <v>44</v>
      </c>
      <c r="G3483">
        <v>-198.4436</v>
      </c>
      <c r="H3483" s="1">
        <v>3.1434989999999998E-6</v>
      </c>
      <c r="I3483">
        <v>208.71170000000001</v>
      </c>
      <c r="J3483">
        <v>-207.34229999999999</v>
      </c>
      <c r="K3483">
        <v>1.095893</v>
      </c>
      <c r="L3483">
        <v>215.22</v>
      </c>
      <c r="M3483">
        <v>0.99081189999999997</v>
      </c>
      <c r="N3483">
        <v>0</v>
      </c>
      <c r="O3483">
        <v>-0.13446140000000001</v>
      </c>
      <c r="P3483">
        <v>0.94864689999999996</v>
      </c>
      <c r="Q3483">
        <v>4.5922940000000002E-2</v>
      </c>
      <c r="R3483">
        <v>-0.31298579999999998</v>
      </c>
      <c r="S3483">
        <v>2.5865019999999999</v>
      </c>
      <c r="T3483">
        <v>-0.308141099999999</v>
      </c>
      <c r="U3483">
        <v>-1.843491</v>
      </c>
      <c r="V3483">
        <v>0.1838535</v>
      </c>
      <c r="W3483">
        <v>5.6178369999999998E-2</v>
      </c>
      <c r="X3483">
        <v>0.98134699999999997</v>
      </c>
      <c r="Y3483">
        <v>0.46410709999999999</v>
      </c>
      <c r="Z3483">
        <v>-1.0591730000000001E-2</v>
      </c>
      <c r="AA3483">
        <v>0.88571580000000005</v>
      </c>
      <c r="AB3483">
        <v>29</v>
      </c>
      <c r="AC3483">
        <v>8.8986999999999892</v>
      </c>
      <c r="AD3483">
        <v>-1.095889856501</v>
      </c>
      <c r="AE3483">
        <v>-6.5082999999999904</v>
      </c>
      <c r="AF3483">
        <v>5.2011340095891496</v>
      </c>
      <c r="AG3483">
        <v>-1.095889856501</v>
      </c>
      <c r="AH3483">
        <v>9.5982406379193499</v>
      </c>
      <c r="AI3483">
        <v>95.732432825834707</v>
      </c>
      <c r="AJ3483">
        <v>61.547440194200597</v>
      </c>
      <c r="AK3483">
        <v>10.9717360935584</v>
      </c>
    </row>
    <row r="3484" spans="1:37" x14ac:dyDescent="0.2">
      <c r="A3484" t="str">
        <f>"20200111153719725"</f>
        <v>20200111153719725</v>
      </c>
      <c r="B3484" t="str">
        <f>"1578728239716346"</f>
        <v>1578728239716346</v>
      </c>
      <c r="C3484" t="s">
        <v>37</v>
      </c>
      <c r="D3484">
        <v>5.8394190000000004</v>
      </c>
      <c r="E3484">
        <v>0.62575570000000003</v>
      </c>
      <c r="F3484" t="s">
        <v>44</v>
      </c>
      <c r="G3484">
        <v>-198.20060000000001</v>
      </c>
      <c r="H3484" s="1">
        <v>3.2532839999999998E-6</v>
      </c>
      <c r="I3484">
        <v>208.46</v>
      </c>
      <c r="J3484">
        <v>-207.05590000000001</v>
      </c>
      <c r="K3484">
        <v>1.0956239999999999</v>
      </c>
      <c r="L3484">
        <v>215.16900000000001</v>
      </c>
      <c r="M3484">
        <v>0.98916659999999901</v>
      </c>
      <c r="N3484">
        <v>0</v>
      </c>
      <c r="O3484">
        <v>-0.146068899999999</v>
      </c>
      <c r="P3484">
        <v>0.94341330000000001</v>
      </c>
      <c r="Q3484">
        <v>4.5807790000000001E-2</v>
      </c>
      <c r="R3484">
        <v>-0.32844040000000002</v>
      </c>
      <c r="S3484">
        <v>2.5540769999999999</v>
      </c>
      <c r="T3484">
        <v>-0.30617800000000001</v>
      </c>
      <c r="U3484">
        <v>-1.8886719999999999</v>
      </c>
      <c r="V3484">
        <v>0.18841329999999901</v>
      </c>
      <c r="W3484">
        <v>5.5881760000000003E-2</v>
      </c>
      <c r="X3484">
        <v>0.98049869999999995</v>
      </c>
      <c r="Y3484">
        <v>0.4692692</v>
      </c>
      <c r="Z3484">
        <v>-9.6625579999999999E-3</v>
      </c>
      <c r="AA3484">
        <v>0.88300230000000002</v>
      </c>
      <c r="AB3484">
        <v>29</v>
      </c>
      <c r="AC3484">
        <v>8.8552999999999997</v>
      </c>
      <c r="AD3484">
        <v>-1.095620746716</v>
      </c>
      <c r="AE3484">
        <v>-6.7089999999999996</v>
      </c>
      <c r="AF3484">
        <v>5.2919381855658996</v>
      </c>
      <c r="AG3484">
        <v>-1.095620746716</v>
      </c>
      <c r="AH3484">
        <v>9.6465648749390098</v>
      </c>
      <c r="AI3484">
        <v>95.686588141373406</v>
      </c>
      <c r="AJ3484">
        <v>61.251591207401901</v>
      </c>
      <c r="AK3484">
        <v>11.0571790465241</v>
      </c>
    </row>
    <row r="3485" spans="1:37" x14ac:dyDescent="0.2">
      <c r="A3485" t="str">
        <f>"20200111153719747"</f>
        <v>20200111153719747</v>
      </c>
      <c r="B3485" t="str">
        <f>"1578728239736843"</f>
        <v>1578728239736843</v>
      </c>
      <c r="C3485" t="s">
        <v>37</v>
      </c>
      <c r="D3485">
        <v>6.312964</v>
      </c>
      <c r="E3485">
        <v>0.6251023</v>
      </c>
      <c r="F3485" t="s">
        <v>44</v>
      </c>
      <c r="G3485">
        <v>-197.91919999999999</v>
      </c>
      <c r="H3485" s="1">
        <v>3.3764739999999999E-6</v>
      </c>
      <c r="I3485">
        <v>208.1832</v>
      </c>
      <c r="J3485">
        <v>-206.7655</v>
      </c>
      <c r="K3485">
        <v>1.095378</v>
      </c>
      <c r="L3485">
        <v>215.11340000000001</v>
      </c>
      <c r="M3485">
        <v>0.98730659999999903</v>
      </c>
      <c r="N3485">
        <v>0</v>
      </c>
      <c r="O3485">
        <v>-0.15814800000000001</v>
      </c>
      <c r="P3485">
        <v>0.93782900000000002</v>
      </c>
      <c r="Q3485">
        <v>4.587741E-2</v>
      </c>
      <c r="R3485">
        <v>-0.34405229999999998</v>
      </c>
      <c r="S3485">
        <v>2.5230410000000001</v>
      </c>
      <c r="T3485">
        <v>-0.3025506</v>
      </c>
      <c r="U3485">
        <v>-1.92909199999999</v>
      </c>
      <c r="V3485">
        <v>0.1927382</v>
      </c>
      <c r="W3485">
        <v>5.5780349999999999E-2</v>
      </c>
      <c r="X3485">
        <v>0.97966350000000002</v>
      </c>
      <c r="Y3485">
        <v>0.47271199999999902</v>
      </c>
      <c r="Z3485">
        <v>-8.5520319999999993E-3</v>
      </c>
      <c r="AA3485">
        <v>0.881175499999999</v>
      </c>
      <c r="AB3485">
        <v>29</v>
      </c>
      <c r="AC3485">
        <v>8.84630000000001</v>
      </c>
      <c r="AD3485">
        <v>-1.095374623526</v>
      </c>
      <c r="AE3485">
        <v>-6.9302000000000099</v>
      </c>
      <c r="AF3485">
        <v>5.3925571681862596</v>
      </c>
      <c r="AG3485">
        <v>-1.095374623526</v>
      </c>
      <c r="AH3485">
        <v>9.73853701763327</v>
      </c>
      <c r="AI3485">
        <v>95.619800633086896</v>
      </c>
      <c r="AJ3485">
        <v>61.025218556226598</v>
      </c>
      <c r="AK3485">
        <v>11.1856435497397</v>
      </c>
    </row>
    <row r="3486" spans="1:37" x14ac:dyDescent="0.2">
      <c r="A3486" t="str">
        <f>"20200111153719769"</f>
        <v>20200111153719769</v>
      </c>
      <c r="B3486" t="str">
        <f>"1578728239766656"</f>
        <v>1578728239766656</v>
      </c>
      <c r="C3486" t="s">
        <v>37</v>
      </c>
      <c r="D3486">
        <v>6.2971329999999996</v>
      </c>
      <c r="E3486">
        <v>0.62441559999999996</v>
      </c>
      <c r="F3486" t="s">
        <v>44</v>
      </c>
      <c r="G3486">
        <v>-197.62989999999999</v>
      </c>
      <c r="H3486" s="1">
        <v>3.501221E-6</v>
      </c>
      <c r="I3486">
        <v>207.9059</v>
      </c>
      <c r="J3486">
        <v>-206.4735</v>
      </c>
      <c r="K3486">
        <v>1.0951599999999999</v>
      </c>
      <c r="L3486">
        <v>215.05359999999999</v>
      </c>
      <c r="M3486">
        <v>0.98523359999999904</v>
      </c>
      <c r="N3486">
        <v>0</v>
      </c>
      <c r="O3486">
        <v>-0.17058329999999999</v>
      </c>
      <c r="P3486">
        <v>0.93209759999999997</v>
      </c>
      <c r="Q3486">
        <v>4.5628910000000002E-2</v>
      </c>
      <c r="R3486">
        <v>-0.35932249999999999</v>
      </c>
      <c r="S3486">
        <v>2.4922029999999999</v>
      </c>
      <c r="T3486">
        <v>-0.2988209</v>
      </c>
      <c r="U3486">
        <v>-1.966232</v>
      </c>
      <c r="V3486">
        <v>0.19640859999999999</v>
      </c>
      <c r="W3486">
        <v>5.5384240000000001E-2</v>
      </c>
      <c r="X3486">
        <v>0.97895669999999901</v>
      </c>
      <c r="Y3486">
        <v>0.47506679999999901</v>
      </c>
      <c r="Z3486">
        <v>-7.3653290000000003E-3</v>
      </c>
      <c r="AA3486">
        <v>0.87991889999999995</v>
      </c>
      <c r="AB3486">
        <v>29</v>
      </c>
      <c r="AC3486">
        <v>8.8436000000000092</v>
      </c>
      <c r="AD3486">
        <v>-1.0951564987789999</v>
      </c>
      <c r="AE3486">
        <v>-7.14769999999998</v>
      </c>
      <c r="AF3486">
        <v>5.4833188073772803</v>
      </c>
      <c r="AG3486">
        <v>-1.0951564987789999</v>
      </c>
      <c r="AH3486">
        <v>9.8420690560543207</v>
      </c>
      <c r="AI3486">
        <v>95.551995063815795</v>
      </c>
      <c r="AJ3486">
        <v>60.876478130021198</v>
      </c>
      <c r="AK3486">
        <v>11.3195616613143</v>
      </c>
    </row>
    <row r="3487" spans="1:37" x14ac:dyDescent="0.2">
      <c r="A3487" t="str">
        <f>"20200111153719793"</f>
        <v>20200111153719793</v>
      </c>
      <c r="B3487" t="str">
        <f>"1578728239786178"</f>
        <v>1578728239786178</v>
      </c>
      <c r="C3487" t="s">
        <v>37</v>
      </c>
      <c r="D3487">
        <v>6.1826989999999897</v>
      </c>
      <c r="E3487">
        <v>0.62363760000000001</v>
      </c>
      <c r="F3487" t="s">
        <v>44</v>
      </c>
      <c r="G3487">
        <v>-197.3288</v>
      </c>
      <c r="H3487" s="1">
        <v>3.6315049999999998E-6</v>
      </c>
      <c r="I3487">
        <v>207.6156</v>
      </c>
      <c r="J3487">
        <v>-206.1696</v>
      </c>
      <c r="K3487">
        <v>1.0949469999999999</v>
      </c>
      <c r="L3487">
        <v>214.9871</v>
      </c>
      <c r="M3487">
        <v>0.98285279999999997</v>
      </c>
      <c r="N3487">
        <v>0</v>
      </c>
      <c r="O3487">
        <v>-0.18379979999999899</v>
      </c>
      <c r="P3487">
        <v>0.92572829999999995</v>
      </c>
      <c r="Q3487">
        <v>4.5273380000000002E-2</v>
      </c>
      <c r="R3487">
        <v>-0.3754692</v>
      </c>
      <c r="S3487">
        <v>2.4612430000000001</v>
      </c>
      <c r="T3487">
        <v>-0.29475489999999999</v>
      </c>
      <c r="U3487">
        <v>-2.0018919999999998</v>
      </c>
      <c r="V3487">
        <v>0.20029359999999999</v>
      </c>
      <c r="W3487">
        <v>5.4879089999999998E-2</v>
      </c>
      <c r="X3487">
        <v>0.97819769999999995</v>
      </c>
      <c r="Y3487">
        <v>0.47641719999999999</v>
      </c>
      <c r="Z3487">
        <v>-6.0625799999999997E-3</v>
      </c>
      <c r="AA3487">
        <v>0.87919849999999999</v>
      </c>
      <c r="AB3487">
        <v>29</v>
      </c>
      <c r="AC3487">
        <v>8.8407999999999998</v>
      </c>
      <c r="AD3487">
        <v>-1.0949433684949901</v>
      </c>
      <c r="AE3487">
        <v>-7.3714999999999904</v>
      </c>
      <c r="AF3487">
        <v>5.5703719400131799</v>
      </c>
      <c r="AG3487">
        <v>-1.0949433684949901</v>
      </c>
      <c r="AH3487">
        <v>9.95510258741764</v>
      </c>
      <c r="AI3487">
        <v>95.482668364939698</v>
      </c>
      <c r="AJ3487">
        <v>60.770830285690501</v>
      </c>
      <c r="AK3487">
        <v>11.4600179780097</v>
      </c>
    </row>
    <row r="3488" spans="1:37" x14ac:dyDescent="0.2">
      <c r="A3488" t="str">
        <f>"20200111153719815"</f>
        <v>20200111153719815</v>
      </c>
      <c r="B3488" t="str">
        <f>"1578728239806675"</f>
        <v>1578728239806675</v>
      </c>
      <c r="C3488" t="s">
        <v>37</v>
      </c>
      <c r="D3488">
        <v>6.1550079999999996</v>
      </c>
      <c r="E3488">
        <v>0.6229808</v>
      </c>
      <c r="F3488" t="s">
        <v>44</v>
      </c>
      <c r="G3488">
        <v>-197.16390000000001</v>
      </c>
      <c r="H3488" s="1">
        <v>3.7109289999999899E-6</v>
      </c>
      <c r="I3488">
        <v>207.42619999999999</v>
      </c>
      <c r="J3488">
        <v>-205.87629999999999</v>
      </c>
      <c r="K3488">
        <v>1.094749</v>
      </c>
      <c r="L3488">
        <v>214.9186</v>
      </c>
      <c r="M3488">
        <v>0.98033189999999903</v>
      </c>
      <c r="N3488">
        <v>0</v>
      </c>
      <c r="O3488">
        <v>-0.19680039999999999</v>
      </c>
      <c r="P3488">
        <v>0.91900190000000004</v>
      </c>
      <c r="Q3488">
        <v>4.4911310000000003E-2</v>
      </c>
      <c r="R3488">
        <v>-0.39168750000000002</v>
      </c>
      <c r="S3488">
        <v>2.42825299999999</v>
      </c>
      <c r="T3488">
        <v>-0.29523440000000001</v>
      </c>
      <c r="U3488">
        <v>-2.038681</v>
      </c>
      <c r="V3488">
        <v>0.20454990000000001</v>
      </c>
      <c r="W3488">
        <v>5.4362019999999997E-2</v>
      </c>
      <c r="X3488">
        <v>0.97734549999999998</v>
      </c>
      <c r="Y3488">
        <v>0.47849949999999902</v>
      </c>
      <c r="Z3488">
        <v>-4.9232879999999996E-3</v>
      </c>
      <c r="AA3488">
        <v>0.87807400000000002</v>
      </c>
      <c r="AB3488">
        <v>29</v>
      </c>
      <c r="AC3488">
        <v>8.7123999999999704</v>
      </c>
      <c r="AD3488">
        <v>-1.0947452890710001</v>
      </c>
      <c r="AE3488">
        <v>-7.4923999999999999</v>
      </c>
      <c r="AF3488">
        <v>5.5804014485230802</v>
      </c>
      <c r="AG3488">
        <v>-1.0947452890710001</v>
      </c>
      <c r="AH3488">
        <v>9.9265502340970393</v>
      </c>
      <c r="AI3488">
        <v>95.491249719639399</v>
      </c>
      <c r="AJ3488">
        <v>60.656643533269801</v>
      </c>
      <c r="AK3488">
        <v>11.440093842476699</v>
      </c>
    </row>
    <row r="3489" spans="1:37" x14ac:dyDescent="0.2">
      <c r="A3489" t="str">
        <f>"20200111153719836"</f>
        <v>20200111153719836</v>
      </c>
      <c r="B3489" t="str">
        <f>"1578728239826192"</f>
        <v>1578728239826192</v>
      </c>
      <c r="C3489" t="s">
        <v>37</v>
      </c>
      <c r="D3489">
        <v>5.9255259999999996</v>
      </c>
      <c r="E3489">
        <v>0.62302939999999996</v>
      </c>
      <c r="F3489" t="s">
        <v>44</v>
      </c>
      <c r="G3489">
        <v>-197.03190000000001</v>
      </c>
      <c r="H3489" s="1">
        <v>3.7814729999999899E-6</v>
      </c>
      <c r="I3489">
        <v>207.2482</v>
      </c>
      <c r="J3489">
        <v>-205.6036</v>
      </c>
      <c r="K3489">
        <v>1.094589</v>
      </c>
      <c r="L3489">
        <v>214.851</v>
      </c>
      <c r="M3489">
        <v>0.97778500000000002</v>
      </c>
      <c r="N3489">
        <v>0</v>
      </c>
      <c r="O3489">
        <v>-0.20908370000000001</v>
      </c>
      <c r="P3489">
        <v>0.91252610000000001</v>
      </c>
      <c r="Q3489">
        <v>4.4327230000000002E-2</v>
      </c>
      <c r="R3489">
        <v>-0.40660970000000002</v>
      </c>
      <c r="S3489">
        <v>2.3939819999999998</v>
      </c>
      <c r="T3489">
        <v>-0.29632589999999998</v>
      </c>
      <c r="U3489">
        <v>-2.0762330000000002</v>
      </c>
      <c r="V3489">
        <v>0.2082145</v>
      </c>
      <c r="W3489">
        <v>5.364352E-2</v>
      </c>
      <c r="X3489">
        <v>0.97661100000000001</v>
      </c>
      <c r="Y3489">
        <v>0.48158479999999998</v>
      </c>
      <c r="Z3489">
        <v>-3.9079040000000002E-3</v>
      </c>
      <c r="AA3489">
        <v>0.87639080000000003</v>
      </c>
      <c r="AB3489">
        <v>29</v>
      </c>
      <c r="AC3489">
        <v>8.5716999999999892</v>
      </c>
      <c r="AD3489">
        <v>-1.094585218527</v>
      </c>
      <c r="AE3489">
        <v>-7.6028000000000002</v>
      </c>
      <c r="AF3489">
        <v>5.5912933218783296</v>
      </c>
      <c r="AG3489">
        <v>-1.094585218527</v>
      </c>
      <c r="AH3489">
        <v>9.88181278099756</v>
      </c>
      <c r="AI3489">
        <v>95.506607962364498</v>
      </c>
      <c r="AJ3489">
        <v>60.498099756009097</v>
      </c>
      <c r="AK3489">
        <v>11.4066165733133</v>
      </c>
    </row>
    <row r="3490" spans="1:37" x14ac:dyDescent="0.2">
      <c r="A3490" t="str">
        <f>"20200111153719859"</f>
        <v>20200111153719859</v>
      </c>
      <c r="B3490" t="str">
        <f>"1578728239856073"</f>
        <v>1578728239856073</v>
      </c>
      <c r="C3490" t="s">
        <v>37</v>
      </c>
      <c r="D3490">
        <v>5.9715150000000001</v>
      </c>
      <c r="E3490">
        <v>0.67168559999999999</v>
      </c>
      <c r="F3490" t="s">
        <v>44</v>
      </c>
      <c r="G3490">
        <v>-196.7971</v>
      </c>
      <c r="H3490" s="1">
        <v>3.900262E-6</v>
      </c>
      <c r="I3490">
        <v>206.95689999999999</v>
      </c>
      <c r="J3490">
        <v>-205.3098</v>
      </c>
      <c r="K3490">
        <v>1.094428</v>
      </c>
      <c r="L3490">
        <v>214.774</v>
      </c>
      <c r="M3490">
        <v>0.97481810000000002</v>
      </c>
      <c r="N3490">
        <v>0</v>
      </c>
      <c r="O3490">
        <v>-0.22250329999999999</v>
      </c>
      <c r="P3490">
        <v>0.9056516</v>
      </c>
      <c r="Q3490">
        <v>4.338417E-2</v>
      </c>
      <c r="R3490">
        <v>-0.421797599999999</v>
      </c>
      <c r="S3490">
        <v>2.3594059999999999</v>
      </c>
      <c r="T3490">
        <v>-0.29325669999999998</v>
      </c>
      <c r="U3490">
        <v>-2.11496</v>
      </c>
      <c r="V3490">
        <v>0.2110938</v>
      </c>
      <c r="W3490">
        <v>5.2587380000000003E-2</v>
      </c>
      <c r="X3490">
        <v>0.97605019999999998</v>
      </c>
      <c r="Y3490">
        <v>0.48396440000000002</v>
      </c>
      <c r="Z3490">
        <v>-2.688279E-3</v>
      </c>
      <c r="AA3490">
        <v>0.87508349999999901</v>
      </c>
      <c r="AB3490">
        <v>29</v>
      </c>
      <c r="AC3490">
        <v>8.5126999999999899</v>
      </c>
      <c r="AD3490">
        <v>-1.0944240997379999</v>
      </c>
      <c r="AE3490">
        <v>-7.8171000000000097</v>
      </c>
      <c r="AF3490">
        <v>5.67588603729968</v>
      </c>
      <c r="AG3490">
        <v>-1.0944240997379999</v>
      </c>
      <c r="AH3490">
        <v>9.9495599716070302</v>
      </c>
      <c r="AI3490">
        <v>95.457697422666897</v>
      </c>
      <c r="AJ3490">
        <v>60.296709964877699</v>
      </c>
      <c r="AK3490">
        <v>11.5068323202828</v>
      </c>
    </row>
    <row r="3491" spans="1:37" x14ac:dyDescent="0.2">
      <c r="A3491" t="str">
        <f>"20200111153719882"</f>
        <v>20200111153719882</v>
      </c>
      <c r="B3491" t="str">
        <f>"1578728239876568"</f>
        <v>1578728239876568</v>
      </c>
      <c r="C3491" t="s">
        <v>37</v>
      </c>
      <c r="D3491">
        <v>5.9192220000000004</v>
      </c>
      <c r="E3491">
        <v>0.70921259999999997</v>
      </c>
      <c r="F3491" t="s">
        <v>44</v>
      </c>
      <c r="G3491">
        <v>-196.8689</v>
      </c>
      <c r="H3491" s="1">
        <v>4.5178990000000002E-6</v>
      </c>
      <c r="I3491">
        <v>204.97389999999999</v>
      </c>
      <c r="J3491">
        <v>-205.02330000000001</v>
      </c>
      <c r="K3491">
        <v>1.09429</v>
      </c>
      <c r="L3491">
        <v>214.6942</v>
      </c>
      <c r="M3491">
        <v>0.97168949999999998</v>
      </c>
      <c r="N3491">
        <v>0</v>
      </c>
      <c r="O3491">
        <v>-0.23578869999999999</v>
      </c>
      <c r="P3491">
        <v>0.89858009999999999</v>
      </c>
      <c r="Q3491">
        <v>4.2577190000000001E-2</v>
      </c>
      <c r="R3491">
        <v>-0.4367395</v>
      </c>
      <c r="S3491">
        <v>2.1586759999999998</v>
      </c>
      <c r="T3491">
        <v>-0.27988609999999903</v>
      </c>
      <c r="U3491">
        <v>-2.5062709999999999</v>
      </c>
      <c r="V3491">
        <v>0.213925</v>
      </c>
      <c r="W3491">
        <v>5.1673579999999997E-2</v>
      </c>
      <c r="X3491">
        <v>0.97548239999999997</v>
      </c>
      <c r="Y3491">
        <v>0.58125689999999997</v>
      </c>
      <c r="Z3491">
        <v>-6.3896140000000001E-3</v>
      </c>
      <c r="AA3491">
        <v>0.8136951</v>
      </c>
      <c r="AB3491">
        <v>29</v>
      </c>
      <c r="AC3491">
        <v>8.1544000000000096</v>
      </c>
      <c r="AD3491">
        <v>-1.094285482101</v>
      </c>
      <c r="AE3491">
        <v>-9.7202999999999999</v>
      </c>
      <c r="AF3491">
        <v>7.4676882923779297</v>
      </c>
      <c r="AG3491">
        <v>-1.094285482101</v>
      </c>
      <c r="AH3491">
        <v>10.141185405231299</v>
      </c>
      <c r="AI3491">
        <v>94.965907199907093</v>
      </c>
      <c r="AJ3491">
        <v>53.633096971982098</v>
      </c>
      <c r="AK3491">
        <v>12.6414979560071</v>
      </c>
    </row>
    <row r="3492" spans="1:37" x14ac:dyDescent="0.2">
      <c r="A3492" t="str">
        <f>"20200111153719903"</f>
        <v>20200111153719903</v>
      </c>
      <c r="B3492" t="str">
        <f>"1578728239896088"</f>
        <v>1578728239896088</v>
      </c>
      <c r="C3492" t="s">
        <v>37</v>
      </c>
      <c r="D3492">
        <v>6.1620499999999998</v>
      </c>
      <c r="E3492">
        <v>0.7020111</v>
      </c>
      <c r="F3492" t="s">
        <v>50</v>
      </c>
      <c r="G3492">
        <v>-137.1549</v>
      </c>
      <c r="H3492">
        <v>1.8285769999999999</v>
      </c>
      <c r="I3492">
        <v>117.9007</v>
      </c>
      <c r="J3492">
        <v>-204.73699999999999</v>
      </c>
      <c r="K3492">
        <v>1.0941669999999999</v>
      </c>
      <c r="L3492">
        <v>214.61009999999999</v>
      </c>
      <c r="M3492">
        <v>0.96833089999999999</v>
      </c>
      <c r="N3492">
        <v>0</v>
      </c>
      <c r="O3492">
        <v>-0.2492201</v>
      </c>
      <c r="P3492">
        <v>0.89115610000000001</v>
      </c>
      <c r="Q3492">
        <v>4.2134169999999999E-2</v>
      </c>
      <c r="R3492">
        <v>-0.45173609999999997</v>
      </c>
      <c r="S3492">
        <v>1.9712069999999999</v>
      </c>
      <c r="T3492">
        <v>2.1327260000000001E-2</v>
      </c>
      <c r="U3492">
        <v>-2.8113250000000001</v>
      </c>
      <c r="V3492">
        <v>0.216764399999999</v>
      </c>
      <c r="W3492">
        <v>5.112738E-2</v>
      </c>
      <c r="X3492">
        <v>0.97488419999999898</v>
      </c>
      <c r="Y3492">
        <v>0.64984069999999905</v>
      </c>
      <c r="Z3492">
        <v>6.727708E-4</v>
      </c>
      <c r="AA3492">
        <v>0.76007019999999903</v>
      </c>
      <c r="AB3492">
        <v>29</v>
      </c>
      <c r="AC3492">
        <v>67.582099999999997</v>
      </c>
      <c r="AD3492">
        <v>0.73441000000000001</v>
      </c>
      <c r="AE3492">
        <v>-96.709400000000002</v>
      </c>
      <c r="AF3492">
        <v>76.809533400642806</v>
      </c>
      <c r="AG3492">
        <v>0.73441000000000001</v>
      </c>
      <c r="AH3492">
        <v>89.550350162025396</v>
      </c>
      <c r="AI3492">
        <v>89.643341925232605</v>
      </c>
      <c r="AJ3492">
        <v>49.379498095454103</v>
      </c>
      <c r="AK3492">
        <v>117.98096877638299</v>
      </c>
    </row>
    <row r="3493" spans="1:37" x14ac:dyDescent="0.2">
      <c r="A3493" t="str">
        <f>"20200111153719926"</f>
        <v>20200111153719926</v>
      </c>
      <c r="B3493" t="str">
        <f>"1578728239916584"</f>
        <v>1578728239916584</v>
      </c>
      <c r="C3493" t="s">
        <v>37</v>
      </c>
      <c r="D3493">
        <v>5.9399899999999999</v>
      </c>
      <c r="E3493">
        <v>0.70170519999999903</v>
      </c>
      <c r="F3493" t="s">
        <v>39</v>
      </c>
      <c r="G3493">
        <v>-186.9736</v>
      </c>
      <c r="H3493" s="1">
        <v>-4.6652229999999901E-6</v>
      </c>
      <c r="I3493">
        <v>189.2561</v>
      </c>
      <c r="J3493">
        <v>-204.4573</v>
      </c>
      <c r="K3493">
        <v>1.094069</v>
      </c>
      <c r="L3493">
        <v>214.52359999999999</v>
      </c>
      <c r="M3493">
        <v>0.96482239999999997</v>
      </c>
      <c r="N3493">
        <v>0</v>
      </c>
      <c r="O3493">
        <v>-0.262472599999999</v>
      </c>
      <c r="P3493">
        <v>0.88386139999999902</v>
      </c>
      <c r="Q3493">
        <v>4.217688E-2</v>
      </c>
      <c r="R3493">
        <v>-0.46584319999999901</v>
      </c>
      <c r="S3493">
        <v>1.9565279999999901</v>
      </c>
      <c r="T3493">
        <v>-0.120515899999999</v>
      </c>
      <c r="U3493">
        <v>-2.7925719999999998</v>
      </c>
      <c r="V3493">
        <v>0.21890870000000001</v>
      </c>
      <c r="W3493">
        <v>5.1092609999999997E-2</v>
      </c>
      <c r="X3493">
        <v>0.97440669999999996</v>
      </c>
      <c r="Y3493">
        <v>0.639428199999999</v>
      </c>
      <c r="Z3493">
        <v>-3.0499939999999999E-3</v>
      </c>
      <c r="AA3493">
        <v>0.76884479999999999</v>
      </c>
      <c r="AB3493">
        <v>29</v>
      </c>
      <c r="AC3493">
        <v>17.483699999999999</v>
      </c>
      <c r="AD3493">
        <v>-1.0940736652230001</v>
      </c>
      <c r="AE3493">
        <v>-25.267499999999899</v>
      </c>
      <c r="AF3493">
        <v>19.7668320280474</v>
      </c>
      <c r="AG3493">
        <v>-1.0940736652230001</v>
      </c>
      <c r="AH3493">
        <v>23.4735856708939</v>
      </c>
      <c r="AI3493">
        <v>92.041834355712993</v>
      </c>
      <c r="AJ3493">
        <v>49.8996608661339</v>
      </c>
      <c r="AK3493">
        <v>30.707228299844498</v>
      </c>
    </row>
    <row r="3494" spans="1:37" x14ac:dyDescent="0.2">
      <c r="A3494" t="str">
        <f>"20200111153719948"</f>
        <v>20200111153719948</v>
      </c>
      <c r="B3494" t="str">
        <f>"1578728239936105"</f>
        <v>1578728239936105</v>
      </c>
      <c r="C3494" t="s">
        <v>37</v>
      </c>
      <c r="D3494">
        <v>5.9241320000000002</v>
      </c>
      <c r="E3494">
        <v>0.70018409999999998</v>
      </c>
      <c r="F3494" t="s">
        <v>39</v>
      </c>
      <c r="G3494">
        <v>-182.2552</v>
      </c>
      <c r="H3494" s="1">
        <v>-2.7788469999999998E-6</v>
      </c>
      <c r="I3494">
        <v>181.75839999999999</v>
      </c>
      <c r="J3494">
        <v>-204.18039999999999</v>
      </c>
      <c r="K3494">
        <v>1.0940000000000001</v>
      </c>
      <c r="L3494">
        <v>214.43379999999999</v>
      </c>
      <c r="M3494">
        <v>0.96112419999999998</v>
      </c>
      <c r="N3494">
        <v>0</v>
      </c>
      <c r="O3494">
        <v>-0.2757057</v>
      </c>
      <c r="P3494">
        <v>0.87664379999999997</v>
      </c>
      <c r="Q3494">
        <v>4.2333849999999999E-2</v>
      </c>
      <c r="R3494">
        <v>-0.47927399999999998</v>
      </c>
      <c r="S3494">
        <v>1.911743</v>
      </c>
      <c r="T3494">
        <v>-9.4206869999999998E-2</v>
      </c>
      <c r="U3494">
        <v>-2.821304</v>
      </c>
      <c r="V3494">
        <v>0.2204033</v>
      </c>
      <c r="W3494">
        <v>5.1194030000000001E-2</v>
      </c>
      <c r="X3494">
        <v>0.9740645</v>
      </c>
      <c r="Y3494">
        <v>0.64094589999999996</v>
      </c>
      <c r="Z3494">
        <v>-2.0125550000000001E-3</v>
      </c>
      <c r="AA3494">
        <v>0.76758340000000003</v>
      </c>
      <c r="AB3494">
        <v>29</v>
      </c>
      <c r="AC3494">
        <v>21.925199999999901</v>
      </c>
      <c r="AD3494">
        <v>-1.0940027788469999</v>
      </c>
      <c r="AE3494">
        <v>-32.675400000000003</v>
      </c>
      <c r="AF3494">
        <v>25.3434999585754</v>
      </c>
      <c r="AG3494">
        <v>-1.0940027788469999</v>
      </c>
      <c r="AH3494">
        <v>30.061807303465201</v>
      </c>
      <c r="AI3494">
        <v>91.593762277095095</v>
      </c>
      <c r="AJ3494">
        <v>49.867555510448099</v>
      </c>
      <c r="AK3494">
        <v>39.334489835017699</v>
      </c>
    </row>
    <row r="3495" spans="1:37" x14ac:dyDescent="0.2">
      <c r="A3495" t="str">
        <f>"20200111153719971"</f>
        <v>20200111153719971</v>
      </c>
      <c r="B3495" t="str">
        <f>"1578728239966360"</f>
        <v>1578728239966360</v>
      </c>
      <c r="C3495" t="s">
        <v>37</v>
      </c>
      <c r="D3495">
        <v>5.9215349999999898</v>
      </c>
      <c r="E3495">
        <v>0.69817359999999995</v>
      </c>
      <c r="F3495" t="s">
        <v>39</v>
      </c>
      <c r="G3495">
        <v>-180.89510000000001</v>
      </c>
      <c r="H3495" s="1">
        <v>-5.6986389999999898E-6</v>
      </c>
      <c r="I3495">
        <v>179.15170000000001</v>
      </c>
      <c r="J3495">
        <v>-203.89429999999999</v>
      </c>
      <c r="K3495">
        <v>1.093934</v>
      </c>
      <c r="L3495">
        <v>214.3365</v>
      </c>
      <c r="M3495">
        <v>0.95705849999999903</v>
      </c>
      <c r="N3495">
        <v>0</v>
      </c>
      <c r="O3495">
        <v>-0.28950140000000002</v>
      </c>
      <c r="P3495">
        <v>0.86923739999999905</v>
      </c>
      <c r="Q3495">
        <v>4.4043590000000001E-2</v>
      </c>
      <c r="R3495">
        <v>-0.49242910000000001</v>
      </c>
      <c r="S3495">
        <v>1.873993</v>
      </c>
      <c r="T3495">
        <v>-8.8045239999999997E-2</v>
      </c>
      <c r="U3495">
        <v>-2.839493</v>
      </c>
      <c r="V3495">
        <v>0.22115090000000001</v>
      </c>
      <c r="W3495">
        <v>5.2872139999999998E-2</v>
      </c>
      <c r="X3495">
        <v>0.97380529999999998</v>
      </c>
      <c r="Y3495">
        <v>0.63927789999999995</v>
      </c>
      <c r="Z3495">
        <v>-1.4586169999999999E-3</v>
      </c>
      <c r="AA3495">
        <v>0.76897439999999995</v>
      </c>
      <c r="AB3495">
        <v>29</v>
      </c>
      <c r="AC3495">
        <v>22.999199999999899</v>
      </c>
      <c r="AD3495">
        <v>-1.093939698639</v>
      </c>
      <c r="AE3495">
        <v>-35.184800000000003</v>
      </c>
      <c r="AF3495">
        <v>27.000404407839898</v>
      </c>
      <c r="AG3495">
        <v>-1.093939698639</v>
      </c>
      <c r="AH3495">
        <v>32.1795048854489</v>
      </c>
      <c r="AI3495">
        <v>91.491769829862704</v>
      </c>
      <c r="AJ3495">
        <v>50.001469366702501</v>
      </c>
      <c r="AK3495">
        <v>42.020698196529104</v>
      </c>
    </row>
    <row r="3496" spans="1:37" x14ac:dyDescent="0.2">
      <c r="A3496" t="str">
        <f>"20200111153719994"</f>
        <v>20200111153719994</v>
      </c>
      <c r="B3496" t="str">
        <f>"1578728239986856"</f>
        <v>1578728239986856</v>
      </c>
      <c r="C3496" t="s">
        <v>37</v>
      </c>
      <c r="D3496">
        <v>5.8850949999999997</v>
      </c>
      <c r="E3496">
        <v>0.69680580000000003</v>
      </c>
      <c r="F3496" t="s">
        <v>39</v>
      </c>
      <c r="G3496">
        <v>-182.05520000000001</v>
      </c>
      <c r="H3496" s="1">
        <v>-2.386226E-6</v>
      </c>
      <c r="I3496">
        <v>180.44829999999999</v>
      </c>
      <c r="J3496">
        <v>-203.60910000000001</v>
      </c>
      <c r="K3496">
        <v>1.093869</v>
      </c>
      <c r="L3496">
        <v>214.23480000000001</v>
      </c>
      <c r="M3496">
        <v>0.95275209999999999</v>
      </c>
      <c r="N3496">
        <v>0</v>
      </c>
      <c r="O3496">
        <v>-0.30337219999999998</v>
      </c>
      <c r="P3496">
        <v>0.8618304</v>
      </c>
      <c r="Q3496">
        <v>4.5602400000000001E-2</v>
      </c>
      <c r="R3496">
        <v>-0.50514229999999904</v>
      </c>
      <c r="S3496">
        <v>1.8392029999999999</v>
      </c>
      <c r="T3496">
        <v>-9.2126970000000002E-2</v>
      </c>
      <c r="U3496">
        <v>-2.8539279999999998</v>
      </c>
      <c r="V3496">
        <v>0.22138479999999999</v>
      </c>
      <c r="W3496">
        <v>5.4416770000000003E-2</v>
      </c>
      <c r="X3496">
        <v>0.97366710000000001</v>
      </c>
      <c r="Y3496">
        <v>0.63647629999999999</v>
      </c>
      <c r="Z3496">
        <v>-1.057608E-3</v>
      </c>
      <c r="AA3496">
        <v>0.77129550000000002</v>
      </c>
      <c r="AB3496">
        <v>29</v>
      </c>
      <c r="AC3496">
        <v>21.553899999999999</v>
      </c>
      <c r="AD3496">
        <v>-1.0938713862260001</v>
      </c>
      <c r="AE3496">
        <v>-33.786499999999997</v>
      </c>
      <c r="AF3496">
        <v>25.6351406995046</v>
      </c>
      <c r="AG3496">
        <v>-1.0938713862260001</v>
      </c>
      <c r="AH3496">
        <v>30.7660090234093</v>
      </c>
      <c r="AI3496">
        <v>91.564653960832501</v>
      </c>
      <c r="AJ3496">
        <v>50.197946270321403</v>
      </c>
      <c r="AK3496">
        <v>40.061256901419199</v>
      </c>
    </row>
    <row r="3497" spans="1:37" x14ac:dyDescent="0.2">
      <c r="A3497" t="str">
        <f>"20200111153720016"</f>
        <v>20200111153720016</v>
      </c>
      <c r="B3497" t="str">
        <f>"1578728240006377"</f>
        <v>1578728240006377</v>
      </c>
      <c r="C3497" t="s">
        <v>37</v>
      </c>
      <c r="D3497">
        <v>5.8751509999999998</v>
      </c>
      <c r="E3497">
        <v>0.69553710000000002</v>
      </c>
      <c r="F3497" t="s">
        <v>39</v>
      </c>
      <c r="G3497">
        <v>-183.44579999999999</v>
      </c>
      <c r="H3497" s="1">
        <v>-2.58605599999999E-6</v>
      </c>
      <c r="I3497">
        <v>182.12280000000001</v>
      </c>
      <c r="J3497">
        <v>-203.33690000000001</v>
      </c>
      <c r="K3497">
        <v>1.0938030000000001</v>
      </c>
      <c r="L3497">
        <v>214.13319999999999</v>
      </c>
      <c r="M3497">
        <v>0.94839810000000002</v>
      </c>
      <c r="N3497">
        <v>0</v>
      </c>
      <c r="O3497">
        <v>-0.31672030000000001</v>
      </c>
      <c r="P3497">
        <v>0.85459549999999995</v>
      </c>
      <c r="Q3497">
        <v>4.713672E-2</v>
      </c>
      <c r="R3497">
        <v>-0.51715119999999903</v>
      </c>
      <c r="S3497">
        <v>1.80304</v>
      </c>
      <c r="T3497">
        <v>-9.781629E-2</v>
      </c>
      <c r="U3497">
        <v>-2.871521</v>
      </c>
      <c r="V3497">
        <v>0.221413</v>
      </c>
      <c r="W3497">
        <v>5.5943180000000002E-2</v>
      </c>
      <c r="X3497">
        <v>0.97357419999999995</v>
      </c>
      <c r="Y3497">
        <v>0.63471840000000002</v>
      </c>
      <c r="Z3497">
        <v>-6.5906530000000001E-4</v>
      </c>
      <c r="AA3497">
        <v>0.77274319999999996</v>
      </c>
      <c r="AB3497">
        <v>29</v>
      </c>
      <c r="AC3497">
        <v>19.891100000000002</v>
      </c>
      <c r="AD3497">
        <v>-1.0938055860560001</v>
      </c>
      <c r="AE3497">
        <v>-32.010399999999898</v>
      </c>
      <c r="AF3497">
        <v>24.041194981751701</v>
      </c>
      <c r="AG3497">
        <v>-1.0938055860560001</v>
      </c>
      <c r="AH3497">
        <v>28.981937649227401</v>
      </c>
      <c r="AI3497">
        <v>91.663845511583901</v>
      </c>
      <c r="AJ3497">
        <v>50.323499805669201</v>
      </c>
      <c r="AK3497">
        <v>37.671317692833597</v>
      </c>
    </row>
    <row r="3498" spans="1:37" x14ac:dyDescent="0.2">
      <c r="A3498" t="str">
        <f>"20200111153720038"</f>
        <v>20200111153720038</v>
      </c>
      <c r="B3498" t="str">
        <f>"1578728240026873"</f>
        <v>1578728240026873</v>
      </c>
      <c r="C3498" t="s">
        <v>37</v>
      </c>
      <c r="D3498">
        <v>5.8822289999999997</v>
      </c>
      <c r="E3498">
        <v>0.69408990000000004</v>
      </c>
      <c r="F3498" t="s">
        <v>39</v>
      </c>
      <c r="G3498">
        <v>-184.5121</v>
      </c>
      <c r="H3498" s="1">
        <v>-2.7318039999999999E-6</v>
      </c>
      <c r="I3498">
        <v>183.38480000000001</v>
      </c>
      <c r="J3498">
        <v>-203.0651</v>
      </c>
      <c r="K3498">
        <v>1.093744</v>
      </c>
      <c r="L3498">
        <v>214.0274</v>
      </c>
      <c r="M3498">
        <v>0.94380439999999999</v>
      </c>
      <c r="N3498">
        <v>0</v>
      </c>
      <c r="O3498">
        <v>-0.33015559999999899</v>
      </c>
      <c r="P3498">
        <v>0.84774939999999999</v>
      </c>
      <c r="Q3498">
        <v>4.8039869999999998E-2</v>
      </c>
      <c r="R3498">
        <v>-0.5282173</v>
      </c>
      <c r="S3498">
        <v>1.768265</v>
      </c>
      <c r="T3498">
        <v>-0.10274419999999999</v>
      </c>
      <c r="U3498">
        <v>-2.88829</v>
      </c>
      <c r="V3498">
        <v>0.22029550000000001</v>
      </c>
      <c r="W3498">
        <v>5.6872489999999998E-2</v>
      </c>
      <c r="X3498">
        <v>0.97377380000000002</v>
      </c>
      <c r="Y3498">
        <v>0.63249119999999903</v>
      </c>
      <c r="Z3498">
        <v>-1.8914790000000001E-4</v>
      </c>
      <c r="AA3498">
        <v>0.77456749999999996</v>
      </c>
      <c r="AB3498">
        <v>29</v>
      </c>
      <c r="AC3498">
        <v>18.553000000000001</v>
      </c>
      <c r="AD3498">
        <v>-1.0937467318039999</v>
      </c>
      <c r="AE3498">
        <v>-30.642599999999899</v>
      </c>
      <c r="AF3498">
        <v>22.776637719932001</v>
      </c>
      <c r="AG3498">
        <v>-1.0937467318039999</v>
      </c>
      <c r="AH3498">
        <v>27.604678874295299</v>
      </c>
      <c r="AI3498">
        <v>91.750510344905294</v>
      </c>
      <c r="AJ3498">
        <v>50.4739384851704</v>
      </c>
      <c r="AK3498">
        <v>35.804885190310699</v>
      </c>
    </row>
    <row r="3499" spans="1:37" x14ac:dyDescent="0.2">
      <c r="A3499" t="str">
        <f>"20200111153720061"</f>
        <v>20200111153720061</v>
      </c>
      <c r="B3499" t="str">
        <f>"1578728240056153"</f>
        <v>1578728240056153</v>
      </c>
      <c r="C3499" t="s">
        <v>37</v>
      </c>
      <c r="D3499">
        <v>5.7297779999999996</v>
      </c>
      <c r="E3499">
        <v>0.69255519999999904</v>
      </c>
      <c r="F3499" t="s">
        <v>39</v>
      </c>
      <c r="G3499">
        <v>-185.08</v>
      </c>
      <c r="H3499" s="1">
        <v>-2.7815730000000001E-6</v>
      </c>
      <c r="I3499">
        <v>183.97499999999999</v>
      </c>
      <c r="J3499">
        <v>-202.79230000000001</v>
      </c>
      <c r="K3499">
        <v>1.0936840000000001</v>
      </c>
      <c r="L3499">
        <v>213.91640000000001</v>
      </c>
      <c r="M3499">
        <v>0.93893359999999904</v>
      </c>
      <c r="N3499">
        <v>0</v>
      </c>
      <c r="O3499">
        <v>-0.34376209999999902</v>
      </c>
      <c r="P3499">
        <v>0.84098510000000004</v>
      </c>
      <c r="Q3499">
        <v>4.804373E-2</v>
      </c>
      <c r="R3499">
        <v>-0.53892109999999904</v>
      </c>
      <c r="S3499">
        <v>1.736664</v>
      </c>
      <c r="T3499">
        <v>-0.1056132</v>
      </c>
      <c r="U3499">
        <v>-2.9018860000000002</v>
      </c>
      <c r="V3499">
        <v>0.2185743</v>
      </c>
      <c r="W3499">
        <v>5.6921520000000003E-2</v>
      </c>
      <c r="X3499">
        <v>0.97415869999999904</v>
      </c>
      <c r="Y3499">
        <v>0.6290888</v>
      </c>
      <c r="Z3499">
        <v>3.5678129999999899E-4</v>
      </c>
      <c r="AA3499">
        <v>0.77733339999999995</v>
      </c>
      <c r="AB3499">
        <v>29</v>
      </c>
      <c r="AC3499">
        <v>17.712299999999999</v>
      </c>
      <c r="AD3499">
        <v>-1.093686781573</v>
      </c>
      <c r="AE3499">
        <v>-29.941400000000002</v>
      </c>
      <c r="AF3499">
        <v>22.004967454014</v>
      </c>
      <c r="AG3499">
        <v>-1.093686781573</v>
      </c>
      <c r="AH3499">
        <v>26.899919203093301</v>
      </c>
      <c r="AI3499">
        <v>91.8024798554531</v>
      </c>
      <c r="AJ3499">
        <v>50.715770160279398</v>
      </c>
      <c r="AK3499">
        <v>34.770970601370301</v>
      </c>
    </row>
    <row r="3500" spans="1:37" x14ac:dyDescent="0.2">
      <c r="A3500" t="str">
        <f>"20200111153720083"</f>
        <v>20200111153720083</v>
      </c>
      <c r="B3500" t="str">
        <f>"1578728240076651"</f>
        <v>1578728240076651</v>
      </c>
      <c r="C3500" t="s">
        <v>37</v>
      </c>
      <c r="D3500">
        <v>5.7278560000000001</v>
      </c>
      <c r="E3500">
        <v>0.69176459999999995</v>
      </c>
      <c r="F3500" t="s">
        <v>39</v>
      </c>
      <c r="G3500">
        <v>-185.71440000000001</v>
      </c>
      <c r="H3500" s="1">
        <v>-2.9538719999999999E-6</v>
      </c>
      <c r="I3500">
        <v>184.74629999999999</v>
      </c>
      <c r="J3500">
        <v>-202.51240000000001</v>
      </c>
      <c r="K3500">
        <v>1.093626</v>
      </c>
      <c r="L3500">
        <v>213.79730000000001</v>
      </c>
      <c r="M3500">
        <v>0.93365109999999996</v>
      </c>
      <c r="N3500">
        <v>0</v>
      </c>
      <c r="O3500">
        <v>-0.3578595</v>
      </c>
      <c r="P3500">
        <v>0.83375069999999996</v>
      </c>
      <c r="Q3500">
        <v>4.9084200000000001E-2</v>
      </c>
      <c r="R3500">
        <v>-0.54995509999999903</v>
      </c>
      <c r="S3500">
        <v>1.70607</v>
      </c>
      <c r="T3500">
        <v>-0.1092588</v>
      </c>
      <c r="U3500">
        <v>-2.9140779999999999</v>
      </c>
      <c r="V3500">
        <v>0.21680269999999999</v>
      </c>
      <c r="W3500">
        <v>5.8008339999999999E-2</v>
      </c>
      <c r="X3500">
        <v>0.97449050000000004</v>
      </c>
      <c r="Y3500">
        <v>0.62485970000000002</v>
      </c>
      <c r="Z3500">
        <v>9.7838789999999992E-4</v>
      </c>
      <c r="AA3500">
        <v>0.7807364</v>
      </c>
      <c r="AB3500">
        <v>29</v>
      </c>
      <c r="AC3500">
        <v>16.797999999999998</v>
      </c>
      <c r="AD3500">
        <v>-1.0936289538720001</v>
      </c>
      <c r="AE3500">
        <v>-29.050999999999998</v>
      </c>
      <c r="AF3500">
        <v>21.092224528717999</v>
      </c>
      <c r="AG3500">
        <v>-1.0936289538720001</v>
      </c>
      <c r="AH3500">
        <v>26.055003861481602</v>
      </c>
      <c r="AI3500">
        <v>91.868549940004797</v>
      </c>
      <c r="AJ3500">
        <v>51.008901613245499</v>
      </c>
      <c r="AK3500">
        <v>33.540142904889699</v>
      </c>
    </row>
    <row r="3501" spans="1:37" x14ac:dyDescent="0.2">
      <c r="A3501" t="str">
        <f>"20200111153720104"</f>
        <v>20200111153720104</v>
      </c>
      <c r="B3501" t="str">
        <f>"1578728240096168"</f>
        <v>1578728240096168</v>
      </c>
      <c r="C3501" t="s">
        <v>37</v>
      </c>
      <c r="D3501">
        <v>5.7227899999999998</v>
      </c>
      <c r="E3501">
        <v>0.69094560000000005</v>
      </c>
      <c r="F3501" t="s">
        <v>39</v>
      </c>
      <c r="G3501">
        <v>-185.5042</v>
      </c>
      <c r="H3501" s="1">
        <v>-2.6611299999999998E-6</v>
      </c>
      <c r="I3501">
        <v>183.9528</v>
      </c>
      <c r="J3501">
        <v>-202.25319999999999</v>
      </c>
      <c r="K3501">
        <v>1.093583</v>
      </c>
      <c r="L3501">
        <v>213.68260000000001</v>
      </c>
      <c r="M3501">
        <v>0.92850330000000003</v>
      </c>
      <c r="N3501">
        <v>0</v>
      </c>
      <c r="O3501">
        <v>-0.37101020000000001</v>
      </c>
      <c r="P3501">
        <v>0.82693050000000001</v>
      </c>
      <c r="Q3501">
        <v>5.0877180000000001E-2</v>
      </c>
      <c r="R3501">
        <v>-0.55999790000000005</v>
      </c>
      <c r="S3501">
        <v>1.6707459999999901</v>
      </c>
      <c r="T3501">
        <v>-0.10742930000000001</v>
      </c>
      <c r="U3501">
        <v>-2.931686</v>
      </c>
      <c r="V3501">
        <v>0.214921999999999</v>
      </c>
      <c r="W3501">
        <v>5.9853820000000002E-2</v>
      </c>
      <c r="X3501">
        <v>0.97479539999999998</v>
      </c>
      <c r="Y3501">
        <v>0.6229536</v>
      </c>
      <c r="Z3501">
        <v>1.479295E-3</v>
      </c>
      <c r="AA3501">
        <v>0.78225739999999999</v>
      </c>
      <c r="AB3501">
        <v>29</v>
      </c>
      <c r="AC3501">
        <v>16.748999999999899</v>
      </c>
      <c r="AD3501">
        <v>-1.0935856611299899</v>
      </c>
      <c r="AE3501">
        <v>-29.729800000000001</v>
      </c>
      <c r="AF3501">
        <v>21.370710954829899</v>
      </c>
      <c r="AG3501">
        <v>-1.0935856611299899</v>
      </c>
      <c r="AH3501">
        <v>26.557382082186098</v>
      </c>
      <c r="AI3501">
        <v>91.837482063554404</v>
      </c>
      <c r="AJ3501">
        <v>51.176385338840703</v>
      </c>
      <c r="AK3501">
        <v>34.105685147381799</v>
      </c>
    </row>
    <row r="3502" spans="1:37" x14ac:dyDescent="0.2">
      <c r="A3502" t="str">
        <f>"20200111153720128"</f>
        <v>20200111153720128</v>
      </c>
      <c r="B3502" t="str">
        <f>"1578728240116665"</f>
        <v>1578728240116665</v>
      </c>
      <c r="C3502" t="s">
        <v>37</v>
      </c>
      <c r="D3502">
        <v>5.67685</v>
      </c>
      <c r="E3502">
        <v>0.68999160000000004</v>
      </c>
      <c r="F3502" t="s">
        <v>39</v>
      </c>
      <c r="G3502">
        <v>-184.93899999999999</v>
      </c>
      <c r="H3502" s="1">
        <v>-2.3320669999999998E-6</v>
      </c>
      <c r="I3502">
        <v>182.54390000000001</v>
      </c>
      <c r="J3502">
        <v>-201.9846</v>
      </c>
      <c r="K3502">
        <v>1.09354</v>
      </c>
      <c r="L3502">
        <v>213.55879999999999</v>
      </c>
      <c r="M3502">
        <v>0.92289489999999996</v>
      </c>
      <c r="N3502">
        <v>0</v>
      </c>
      <c r="O3502">
        <v>-0.38474829999999999</v>
      </c>
      <c r="P3502">
        <v>0.81976680000000002</v>
      </c>
      <c r="Q3502">
        <v>5.288872E-2</v>
      </c>
      <c r="R3502">
        <v>-0.57025090000000001</v>
      </c>
      <c r="S3502">
        <v>1.6385959999999999</v>
      </c>
      <c r="T3502">
        <v>-0.1034958</v>
      </c>
      <c r="U3502">
        <v>-2.94693</v>
      </c>
      <c r="V3502">
        <v>0.21270529999999899</v>
      </c>
      <c r="W3502">
        <v>6.1928990000000003E-2</v>
      </c>
      <c r="X3502">
        <v>0.97515189999999996</v>
      </c>
      <c r="Y3502">
        <v>0.61958590000000002</v>
      </c>
      <c r="Z3502">
        <v>1.976247E-3</v>
      </c>
      <c r="AA3502">
        <v>0.78492640000000002</v>
      </c>
      <c r="AB3502">
        <v>29</v>
      </c>
      <c r="AC3502">
        <v>17.045599999999901</v>
      </c>
      <c r="AD3502">
        <v>-1.0935423320669999</v>
      </c>
      <c r="AE3502">
        <v>-31.014899999999901</v>
      </c>
      <c r="AF3502">
        <v>22.046757008121499</v>
      </c>
      <c r="AG3502">
        <v>-1.0935423320669999</v>
      </c>
      <c r="AH3502">
        <v>27.641070131954798</v>
      </c>
      <c r="AI3502">
        <v>91.771533912030307</v>
      </c>
      <c r="AJ3502">
        <v>51.4238340629487</v>
      </c>
      <c r="AK3502">
        <v>35.373494136808397</v>
      </c>
    </row>
    <row r="3503" spans="1:37" x14ac:dyDescent="0.2">
      <c r="A3503" t="str">
        <f>"20200111153720149"</f>
        <v>20200111153720149</v>
      </c>
      <c r="B3503" t="str">
        <f>"1578728240146922"</f>
        <v>1578728240146922</v>
      </c>
      <c r="C3503" t="s">
        <v>37</v>
      </c>
      <c r="D3503">
        <v>5.73299</v>
      </c>
      <c r="E3503">
        <v>0.68854029999999999</v>
      </c>
      <c r="F3503" t="s">
        <v>39</v>
      </c>
      <c r="G3503">
        <v>-184.48699999999999</v>
      </c>
      <c r="H3503" s="1">
        <v>-2.025856E-6</v>
      </c>
      <c r="I3503">
        <v>181.29069999999999</v>
      </c>
      <c r="J3503">
        <v>-201.72380000000001</v>
      </c>
      <c r="K3503">
        <v>1.0934999999999999</v>
      </c>
      <c r="L3503">
        <v>213.434</v>
      </c>
      <c r="M3503">
        <v>0.9171726</v>
      </c>
      <c r="N3503">
        <v>0</v>
      </c>
      <c r="O3503">
        <v>-0.39819549999999998</v>
      </c>
      <c r="P3503">
        <v>0.81280490000000005</v>
      </c>
      <c r="Q3503">
        <v>5.3967550000000003E-2</v>
      </c>
      <c r="R3503">
        <v>-0.58003099999999996</v>
      </c>
      <c r="S3503">
        <v>1.6059270000000001</v>
      </c>
      <c r="T3503">
        <v>-0.100365</v>
      </c>
      <c r="U3503">
        <v>-2.9615629999999999</v>
      </c>
      <c r="V3503">
        <v>0.2102011</v>
      </c>
      <c r="W3503">
        <v>6.3082100000000002E-2</v>
      </c>
      <c r="X3503">
        <v>0.97562090000000001</v>
      </c>
      <c r="Y3503">
        <v>0.61643019999999904</v>
      </c>
      <c r="Z3503">
        <v>2.43926E-3</v>
      </c>
      <c r="AA3503">
        <v>0.78740580000000004</v>
      </c>
      <c r="AB3503">
        <v>29</v>
      </c>
      <c r="AC3503">
        <v>17.236799999999999</v>
      </c>
      <c r="AD3503">
        <v>-1.093502025856</v>
      </c>
      <c r="AE3503">
        <v>-32.143300000000004</v>
      </c>
      <c r="AF3503">
        <v>22.5996793452791</v>
      </c>
      <c r="AG3503">
        <v>-1.093502025856</v>
      </c>
      <c r="AH3503">
        <v>28.586102039455099</v>
      </c>
      <c r="AI3503">
        <v>91.718808439291095</v>
      </c>
      <c r="AJ3503">
        <v>51.670711499202298</v>
      </c>
      <c r="AK3503">
        <v>36.4569126915613</v>
      </c>
    </row>
    <row r="3504" spans="1:37" x14ac:dyDescent="0.2">
      <c r="A3504" t="str">
        <f>"20200111153720173"</f>
        <v>20200111153720173</v>
      </c>
      <c r="B3504" t="str">
        <f>"1578728240166441"</f>
        <v>1578728240166441</v>
      </c>
      <c r="C3504" t="s">
        <v>37</v>
      </c>
      <c r="D3504">
        <v>5.9696999999999996</v>
      </c>
      <c r="E3504">
        <v>0.68657609999999902</v>
      </c>
      <c r="F3504" t="s">
        <v>39</v>
      </c>
      <c r="G3504">
        <v>-185.27709999999999</v>
      </c>
      <c r="H3504" s="1">
        <v>-2.20675399999999E-6</v>
      </c>
      <c r="I3504">
        <v>182.44</v>
      </c>
      <c r="J3504">
        <v>-201.45400000000001</v>
      </c>
      <c r="K3504">
        <v>1.0934569999999999</v>
      </c>
      <c r="L3504">
        <v>213.2997</v>
      </c>
      <c r="M3504">
        <v>0.91095090000000001</v>
      </c>
      <c r="N3504">
        <v>0</v>
      </c>
      <c r="O3504">
        <v>-0.41222910000000001</v>
      </c>
      <c r="P3504">
        <v>0.80491780000000002</v>
      </c>
      <c r="Q3504">
        <v>5.4777329999999999E-2</v>
      </c>
      <c r="R3504">
        <v>-0.59085299999999996</v>
      </c>
      <c r="S3504">
        <v>1.5770420000000001</v>
      </c>
      <c r="T3504">
        <v>-0.104853399999999</v>
      </c>
      <c r="U3504">
        <v>-2.9719389999999999</v>
      </c>
      <c r="V3504">
        <v>0.208328499999999</v>
      </c>
      <c r="W3504">
        <v>6.3946760000000005E-2</v>
      </c>
      <c r="X3504">
        <v>0.97596620000000001</v>
      </c>
      <c r="Y3504">
        <v>0.61142849999999904</v>
      </c>
      <c r="Z3504">
        <v>3.1563839999999999E-3</v>
      </c>
      <c r="AA3504">
        <v>0.79129340000000004</v>
      </c>
      <c r="AB3504">
        <v>29</v>
      </c>
      <c r="AC3504">
        <v>16.1769</v>
      </c>
      <c r="AD3504">
        <v>-1.0934592067540001</v>
      </c>
      <c r="AE3504">
        <v>-30.8597</v>
      </c>
      <c r="AF3504">
        <v>21.424508796018198</v>
      </c>
      <c r="AG3504">
        <v>-1.0934592067540001</v>
      </c>
      <c r="AH3504">
        <v>27.433844472731501</v>
      </c>
      <c r="AI3504">
        <v>91.799277868714398</v>
      </c>
      <c r="AJ3504">
        <v>52.011880800343597</v>
      </c>
      <c r="AK3504">
        <v>34.825580436534302</v>
      </c>
    </row>
    <row r="3505" spans="1:37" x14ac:dyDescent="0.2">
      <c r="A3505" t="str">
        <f>"20200111153720194"</f>
        <v>20200111153720194</v>
      </c>
      <c r="B3505" t="str">
        <f>"1578728240186936"</f>
        <v>1578728240186936</v>
      </c>
      <c r="C3505" t="s">
        <v>37</v>
      </c>
      <c r="D3505">
        <v>5.9548399999999999</v>
      </c>
      <c r="E3505">
        <v>0.68478349999999999</v>
      </c>
      <c r="F3505" t="s">
        <v>39</v>
      </c>
      <c r="G3505">
        <v>-186.68610000000001</v>
      </c>
      <c r="H3505" s="1">
        <v>-2.8183990000000002E-6</v>
      </c>
      <c r="I3505">
        <v>184.8323</v>
      </c>
      <c r="J3505">
        <v>-201.19280000000001</v>
      </c>
      <c r="K3505">
        <v>1.093407</v>
      </c>
      <c r="L3505">
        <v>213.16470000000001</v>
      </c>
      <c r="M3505">
        <v>0.90462699999999996</v>
      </c>
      <c r="N3505">
        <v>0</v>
      </c>
      <c r="O3505">
        <v>-0.425927</v>
      </c>
      <c r="P3505">
        <v>0.79684109999999997</v>
      </c>
      <c r="Q3505">
        <v>5.6403450000000001E-2</v>
      </c>
      <c r="R3505">
        <v>-0.60155110000000001</v>
      </c>
      <c r="S3505">
        <v>1.5465389999999899</v>
      </c>
      <c r="T3505">
        <v>-0.11451069999999899</v>
      </c>
      <c r="U3505">
        <v>-2.981201</v>
      </c>
      <c r="V3505">
        <v>0.20674049999999999</v>
      </c>
      <c r="W3505">
        <v>6.5618369999999995E-2</v>
      </c>
      <c r="X3505">
        <v>0.97619290000000003</v>
      </c>
      <c r="Y3505">
        <v>0.6068403</v>
      </c>
      <c r="Z3505">
        <v>4.0930790000000003E-3</v>
      </c>
      <c r="AA3505">
        <v>0.79481329999999994</v>
      </c>
      <c r="AB3505">
        <v>29</v>
      </c>
      <c r="AC3505">
        <v>14.506699999999899</v>
      </c>
      <c r="AD3505">
        <v>-1.093409818399</v>
      </c>
      <c r="AE3505">
        <v>-28.3324</v>
      </c>
      <c r="AF3505">
        <v>19.430827769569198</v>
      </c>
      <c r="AG3505">
        <v>-1.093409818399</v>
      </c>
      <c r="AH3505">
        <v>25.1639683352353</v>
      </c>
      <c r="AI3505">
        <v>91.969725165730793</v>
      </c>
      <c r="AJ3505">
        <v>52.3258049391127</v>
      </c>
      <c r="AK3505">
        <v>31.8116003246985</v>
      </c>
    </row>
    <row r="3506" spans="1:37" x14ac:dyDescent="0.2">
      <c r="A3506" t="str">
        <f>"20200111153720216"</f>
        <v>20200111153720216</v>
      </c>
      <c r="B3506" t="str">
        <f>"1578728240206457"</f>
        <v>1578728240206457</v>
      </c>
      <c r="C3506" t="s">
        <v>37</v>
      </c>
      <c r="D3506">
        <v>5.9046699999999896</v>
      </c>
      <c r="E3506">
        <v>0.68311849999999996</v>
      </c>
      <c r="F3506" t="s">
        <v>39</v>
      </c>
      <c r="G3506">
        <v>-187.4674</v>
      </c>
      <c r="H3506" s="1">
        <v>-3.2111800000000001E-6</v>
      </c>
      <c r="I3506">
        <v>186.07089999999999</v>
      </c>
      <c r="J3506">
        <v>-200.94489999999999</v>
      </c>
      <c r="K3506">
        <v>1.0933520000000001</v>
      </c>
      <c r="L3506">
        <v>213.0317</v>
      </c>
      <c r="M3506">
        <v>0.89833799999999997</v>
      </c>
      <c r="N3506">
        <v>0</v>
      </c>
      <c r="O3506">
        <v>-0.43903500000000001</v>
      </c>
      <c r="P3506">
        <v>0.78887549999999995</v>
      </c>
      <c r="Q3506">
        <v>5.7725400000000003E-2</v>
      </c>
      <c r="R3506">
        <v>-0.61183609999999999</v>
      </c>
      <c r="S3506">
        <v>1.5153049999999999</v>
      </c>
      <c r="T3506">
        <v>-0.12071419999999999</v>
      </c>
      <c r="U3506">
        <v>-2.991196</v>
      </c>
      <c r="V3506">
        <v>0.205296799999999</v>
      </c>
      <c r="W3506">
        <v>6.6982920000000001E-2</v>
      </c>
      <c r="X3506">
        <v>0.97640490000000002</v>
      </c>
      <c r="Y3506">
        <v>0.60293640000000004</v>
      </c>
      <c r="Z3506">
        <v>4.95809599999999E-3</v>
      </c>
      <c r="AA3506">
        <v>0.79777390000000004</v>
      </c>
      <c r="AB3506">
        <v>29</v>
      </c>
      <c r="AC3506">
        <v>13.4774999999999</v>
      </c>
      <c r="AD3506">
        <v>-1.09335521117999</v>
      </c>
      <c r="AE3506">
        <v>-26.960799999999999</v>
      </c>
      <c r="AF3506">
        <v>18.280933435913401</v>
      </c>
      <c r="AG3506">
        <v>-1.09335521117999</v>
      </c>
      <c r="AH3506">
        <v>23.915456819059699</v>
      </c>
      <c r="AI3506">
        <v>92.0801516855675</v>
      </c>
      <c r="AJ3506">
        <v>52.605766980666097</v>
      </c>
      <c r="AK3506">
        <v>30.122035584774501</v>
      </c>
    </row>
    <row r="3507" spans="1:37" x14ac:dyDescent="0.2">
      <c r="A3507" t="str">
        <f>"20200111153720238"</f>
        <v>20200111153720238</v>
      </c>
      <c r="B3507" t="str">
        <f>"1578728240236713"</f>
        <v>1578728240236713</v>
      </c>
      <c r="C3507" t="s">
        <v>37</v>
      </c>
      <c r="D3507">
        <v>5.8731010000000001</v>
      </c>
      <c r="E3507">
        <v>0.68094900000000003</v>
      </c>
      <c r="F3507" t="s">
        <v>39</v>
      </c>
      <c r="G3507">
        <v>-188.0615</v>
      </c>
      <c r="H3507" s="1">
        <v>-3.5009560000000001E-6</v>
      </c>
      <c r="I3507">
        <v>186.99199999999999</v>
      </c>
      <c r="J3507">
        <v>-200.69280000000001</v>
      </c>
      <c r="K3507">
        <v>1.0932919999999999</v>
      </c>
      <c r="L3507">
        <v>212.89169999999999</v>
      </c>
      <c r="M3507">
        <v>0.891652</v>
      </c>
      <c r="N3507">
        <v>0</v>
      </c>
      <c r="O3507">
        <v>-0.45245829999999998</v>
      </c>
      <c r="P3507">
        <v>0.78027329999999995</v>
      </c>
      <c r="Q3507">
        <v>5.8157210000000001E-2</v>
      </c>
      <c r="R3507">
        <v>-0.62272890000000003</v>
      </c>
      <c r="S3507">
        <v>1.4846950000000001</v>
      </c>
      <c r="T3507">
        <v>-0.12599949999999999</v>
      </c>
      <c r="U3507">
        <v>-3.000839</v>
      </c>
      <c r="V3507">
        <v>0.204243799999999</v>
      </c>
      <c r="W3507">
        <v>6.7445370000000004E-2</v>
      </c>
      <c r="X3507">
        <v>0.97659390000000001</v>
      </c>
      <c r="Y3507">
        <v>0.59850689999999995</v>
      </c>
      <c r="Z3507">
        <v>5.8755140000000001E-3</v>
      </c>
      <c r="AA3507">
        <v>0.80109609999999998</v>
      </c>
      <c r="AB3507">
        <v>29</v>
      </c>
      <c r="AC3507">
        <v>12.6313</v>
      </c>
      <c r="AD3507">
        <v>-1.0932955009559999</v>
      </c>
      <c r="AE3507">
        <v>-25.8996999999999</v>
      </c>
      <c r="AF3507">
        <v>17.355469391603599</v>
      </c>
      <c r="AG3507">
        <v>-1.0932955009559999</v>
      </c>
      <c r="AH3507">
        <v>22.950957364064401</v>
      </c>
      <c r="AI3507">
        <v>92.175940315932294</v>
      </c>
      <c r="AJ3507">
        <v>52.903499251618399</v>
      </c>
      <c r="AK3507">
        <v>28.795035280103502</v>
      </c>
    </row>
    <row r="3508" spans="1:37" x14ac:dyDescent="0.2">
      <c r="A3508" t="str">
        <f>"20200111153720263"</f>
        <v>20200111153720263</v>
      </c>
      <c r="B3508" t="str">
        <f>"1578728240256236"</f>
        <v>1578728240256236</v>
      </c>
      <c r="C3508" t="s">
        <v>37</v>
      </c>
      <c r="D3508">
        <v>5.8716919999999897</v>
      </c>
      <c r="E3508">
        <v>0.65478219999999898</v>
      </c>
      <c r="F3508" t="s">
        <v>39</v>
      </c>
      <c r="G3508">
        <v>-189.15309999999999</v>
      </c>
      <c r="H3508" s="1">
        <v>-4.175719E-6</v>
      </c>
      <c r="I3508">
        <v>189.0163</v>
      </c>
      <c r="J3508">
        <v>-200.42400000000001</v>
      </c>
      <c r="K3508">
        <v>1.093226</v>
      </c>
      <c r="L3508">
        <v>212.7362</v>
      </c>
      <c r="M3508">
        <v>0.88417679999999998</v>
      </c>
      <c r="N3508">
        <v>0</v>
      </c>
      <c r="O3508">
        <v>-0.46689700000000001</v>
      </c>
      <c r="P3508">
        <v>0.77047659999999996</v>
      </c>
      <c r="Q3508">
        <v>5.720948E-2</v>
      </c>
      <c r="R3508">
        <v>-0.63489649999999997</v>
      </c>
      <c r="S3508">
        <v>1.4540709999999999</v>
      </c>
      <c r="T3508">
        <v>-0.13776179999999999</v>
      </c>
      <c r="U3508">
        <v>-3.0084379999999999</v>
      </c>
      <c r="V3508">
        <v>0.2036366</v>
      </c>
      <c r="W3508">
        <v>6.6518110000000005E-2</v>
      </c>
      <c r="X3508">
        <v>0.97678419999999899</v>
      </c>
      <c r="Y3508">
        <v>0.59284590000000004</v>
      </c>
      <c r="Z3508">
        <v>7.2760699999999999E-3</v>
      </c>
      <c r="AA3508">
        <v>0.80528299999999997</v>
      </c>
      <c r="AB3508">
        <v>29</v>
      </c>
      <c r="AC3508">
        <v>11.270899999999999</v>
      </c>
      <c r="AD3508">
        <v>-1.0932301757189999</v>
      </c>
      <c r="AE3508">
        <v>-23.719899999999999</v>
      </c>
      <c r="AF3508">
        <v>15.684929209622901</v>
      </c>
      <c r="AG3508">
        <v>-1.0932301757189999</v>
      </c>
      <c r="AH3508">
        <v>21.006326026594898</v>
      </c>
      <c r="AI3508">
        <v>92.387893621862304</v>
      </c>
      <c r="AJ3508">
        <v>53.2521686884701</v>
      </c>
      <c r="AK3508">
        <v>26.2388622021532</v>
      </c>
    </row>
    <row r="3509" spans="1:37" x14ac:dyDescent="0.2">
      <c r="A3509" t="str">
        <f>"20200111153720285"</f>
        <v>20200111153720285</v>
      </c>
      <c r="B3509" t="str">
        <f>"1578728240276728"</f>
        <v>1578728240276728</v>
      </c>
      <c r="C3509" t="s">
        <v>37</v>
      </c>
      <c r="D3509">
        <v>5.7944420000000001</v>
      </c>
      <c r="E3509">
        <v>0.65498330000000005</v>
      </c>
      <c r="F3509" t="s">
        <v>44</v>
      </c>
      <c r="G3509">
        <v>-195.18219999999999</v>
      </c>
      <c r="H3509" s="1">
        <v>5.4508140000000004E-6</v>
      </c>
      <c r="I3509">
        <v>202.983</v>
      </c>
      <c r="J3509">
        <v>-200.17169999999999</v>
      </c>
      <c r="K3509">
        <v>1.0931679999999999</v>
      </c>
      <c r="L3509">
        <v>212.5849</v>
      </c>
      <c r="M3509">
        <v>0.87684390000000001</v>
      </c>
      <c r="N3509">
        <v>0</v>
      </c>
      <c r="O3509">
        <v>-0.48052619999999902</v>
      </c>
      <c r="P3509">
        <v>0.76087190000000005</v>
      </c>
      <c r="Q3509">
        <v>5.3993399999999997E-2</v>
      </c>
      <c r="R3509">
        <v>-0.64665189999999995</v>
      </c>
      <c r="S3509">
        <v>1.546478</v>
      </c>
      <c r="T3509">
        <v>-0.32253219999999999</v>
      </c>
      <c r="U3509">
        <v>-2.8774869999999999</v>
      </c>
      <c r="V3509">
        <v>0.20331740000000001</v>
      </c>
      <c r="W3509">
        <v>6.3316699999999906E-2</v>
      </c>
      <c r="X3509">
        <v>0.97706349999999997</v>
      </c>
      <c r="Y3509">
        <v>0.54452869999999998</v>
      </c>
      <c r="Z3509">
        <v>2.1746689999999999E-2</v>
      </c>
      <c r="AA3509">
        <v>0.83846030000000005</v>
      </c>
      <c r="AB3509">
        <v>28</v>
      </c>
      <c r="AC3509">
        <v>4.9894999999999898</v>
      </c>
      <c r="AD3509">
        <v>-1.093162549186</v>
      </c>
      <c r="AE3509">
        <v>-9.6019000000000005</v>
      </c>
      <c r="AF3509">
        <v>5.9616596962658397</v>
      </c>
      <c r="AG3509">
        <v>-1.093162549186</v>
      </c>
      <c r="AH3509">
        <v>8.8992300150831998</v>
      </c>
      <c r="AI3509">
        <v>95.827111983869401</v>
      </c>
      <c r="AJ3509">
        <v>56.181578278036703</v>
      </c>
      <c r="AK3509">
        <v>10.767204166095301</v>
      </c>
    </row>
    <row r="3510" spans="1:37" x14ac:dyDescent="0.2">
      <c r="A3510" t="str">
        <f>"20200111153720306"</f>
        <v>20200111153720306</v>
      </c>
      <c r="B3510" t="str">
        <f>"1578728240296250"</f>
        <v>1578728240296250</v>
      </c>
      <c r="C3510" t="s">
        <v>37</v>
      </c>
      <c r="D3510">
        <v>5.7934749999999999</v>
      </c>
      <c r="E3510">
        <v>0.65523330000000002</v>
      </c>
      <c r="F3510" t="s">
        <v>44</v>
      </c>
      <c r="G3510">
        <v>-195.11060000000001</v>
      </c>
      <c r="H3510" s="1">
        <v>5.5159E-6</v>
      </c>
      <c r="I3510">
        <v>202.7971</v>
      </c>
      <c r="J3510">
        <v>-199.9341</v>
      </c>
      <c r="K3510">
        <v>1.093118</v>
      </c>
      <c r="L3510">
        <v>212.4374</v>
      </c>
      <c r="M3510">
        <v>0.86965130000000002</v>
      </c>
      <c r="N3510">
        <v>0</v>
      </c>
      <c r="O3510">
        <v>-0.49342349999999902</v>
      </c>
      <c r="P3510">
        <v>0.75090239999999997</v>
      </c>
      <c r="Q3510">
        <v>5.0028990000000002E-2</v>
      </c>
      <c r="R3510">
        <v>-0.65851599999999999</v>
      </c>
      <c r="S3510">
        <v>1.5001679999999999</v>
      </c>
      <c r="T3510">
        <v>-0.32402449999999999</v>
      </c>
      <c r="U3510">
        <v>-2.9011990000000001</v>
      </c>
      <c r="V3510">
        <v>0.20397950000000001</v>
      </c>
      <c r="W3510">
        <v>5.9338809999999999E-2</v>
      </c>
      <c r="X3510">
        <v>0.97717509999999996</v>
      </c>
      <c r="Y3510">
        <v>0.54553260000000003</v>
      </c>
      <c r="Z3510">
        <v>2.3280550000000001E-2</v>
      </c>
      <c r="AA3510">
        <v>0.83776620000000002</v>
      </c>
      <c r="AB3510">
        <v>28</v>
      </c>
      <c r="AC3510">
        <v>4.8234999999999904</v>
      </c>
      <c r="AD3510">
        <v>-1.0931124840999999</v>
      </c>
      <c r="AE3510">
        <v>-9.6402999999999892</v>
      </c>
      <c r="AF3510">
        <v>5.9432769077846803</v>
      </c>
      <c r="AG3510">
        <v>-1.0931124840999999</v>
      </c>
      <c r="AH3510">
        <v>8.8614653586928291</v>
      </c>
      <c r="AI3510">
        <v>95.849409966472905</v>
      </c>
      <c r="AJ3510">
        <v>56.150723943293698</v>
      </c>
      <c r="AK3510">
        <v>10.7258101609535</v>
      </c>
    </row>
    <row r="3511" spans="1:37" x14ac:dyDescent="0.2">
      <c r="A3511" t="str">
        <f>"20200111153720328"</f>
        <v>20200111153720328</v>
      </c>
      <c r="B3511" t="str">
        <f>"1578728240316745"</f>
        <v>1578728240316745</v>
      </c>
      <c r="C3511" t="s">
        <v>37</v>
      </c>
      <c r="D3511">
        <v>5.7292309999999897</v>
      </c>
      <c r="E3511">
        <v>0.65448890000000004</v>
      </c>
      <c r="F3511" t="s">
        <v>44</v>
      </c>
      <c r="G3511">
        <v>-195.0609</v>
      </c>
      <c r="H3511" s="1">
        <v>5.5735069999999899E-6</v>
      </c>
      <c r="I3511">
        <v>202.62119999999999</v>
      </c>
      <c r="J3511">
        <v>-199.6962</v>
      </c>
      <c r="K3511">
        <v>1.093086</v>
      </c>
      <c r="L3511">
        <v>212.28479999999999</v>
      </c>
      <c r="M3511">
        <v>0.86216499999999996</v>
      </c>
      <c r="N3511">
        <v>0</v>
      </c>
      <c r="O3511">
        <v>-0.50639040000000002</v>
      </c>
      <c r="P3511">
        <v>0.74036139999999995</v>
      </c>
      <c r="Q3511">
        <v>4.6821729999999999E-2</v>
      </c>
      <c r="R3511">
        <v>-0.67057670000000003</v>
      </c>
      <c r="S3511">
        <v>1.451981</v>
      </c>
      <c r="T3511">
        <v>-0.32569349999999903</v>
      </c>
      <c r="U3511">
        <v>-2.9247589999999999</v>
      </c>
      <c r="V3511">
        <v>0.20495859999999999</v>
      </c>
      <c r="W3511">
        <v>5.6109810000000003E-2</v>
      </c>
      <c r="X3511">
        <v>0.97716099999999995</v>
      </c>
      <c r="Y3511">
        <v>0.5467767</v>
      </c>
      <c r="Z3511">
        <v>2.484546E-2</v>
      </c>
      <c r="AA3511">
        <v>0.83690980000000004</v>
      </c>
      <c r="AB3511">
        <v>28</v>
      </c>
      <c r="AC3511">
        <v>4.6353</v>
      </c>
      <c r="AD3511">
        <v>-1.0930804264930001</v>
      </c>
      <c r="AE3511">
        <v>-9.6636000000000006</v>
      </c>
      <c r="AF3511">
        <v>5.9234529480615299</v>
      </c>
      <c r="AG3511">
        <v>-1.0930804264930001</v>
      </c>
      <c r="AH3511">
        <v>8.7994886115503999</v>
      </c>
      <c r="AI3511">
        <v>95.883462078640093</v>
      </c>
      <c r="AJ3511">
        <v>56.053185646763403</v>
      </c>
      <c r="AK3511">
        <v>10.6636353778383</v>
      </c>
    </row>
    <row r="3512" spans="1:37" x14ac:dyDescent="0.2">
      <c r="A3512" t="str">
        <f>"20200111153720350"</f>
        <v>20200111153720350</v>
      </c>
      <c r="B3512" t="str">
        <f>"1578728240347001"</f>
        <v>1578728240347001</v>
      </c>
      <c r="C3512" t="s">
        <v>37</v>
      </c>
      <c r="D3512">
        <v>5.7499089999999997</v>
      </c>
      <c r="E3512">
        <v>0.65070150000000004</v>
      </c>
      <c r="F3512" t="s">
        <v>44</v>
      </c>
      <c r="G3512">
        <v>-195.0779</v>
      </c>
      <c r="H3512" s="1">
        <v>5.5662839999999999E-6</v>
      </c>
      <c r="I3512">
        <v>202.63419999999999</v>
      </c>
      <c r="J3512">
        <v>-199.45570000000001</v>
      </c>
      <c r="K3512">
        <v>1.0930660000000001</v>
      </c>
      <c r="L3512">
        <v>212.12530000000001</v>
      </c>
      <c r="M3512">
        <v>0.8543056</v>
      </c>
      <c r="N3512">
        <v>0</v>
      </c>
      <c r="O3512">
        <v>-0.51953959999999999</v>
      </c>
      <c r="P3512">
        <v>0.72900019999999999</v>
      </c>
      <c r="Q3512">
        <v>4.5133800000000002E-2</v>
      </c>
      <c r="R3512">
        <v>-0.68302399999999996</v>
      </c>
      <c r="S3512">
        <v>1.4080809999999999</v>
      </c>
      <c r="T3512">
        <v>-0.33327380000000001</v>
      </c>
      <c r="U3512">
        <v>-2.9424130000000002</v>
      </c>
      <c r="V3512">
        <v>0.20644119999999999</v>
      </c>
      <c r="W3512">
        <v>5.4385820000000001E-2</v>
      </c>
      <c r="X3512">
        <v>0.97694639999999999</v>
      </c>
      <c r="Y3512">
        <v>0.54608350000000005</v>
      </c>
      <c r="Z3512">
        <v>2.706165E-2</v>
      </c>
      <c r="AA3512">
        <v>0.83729349999999902</v>
      </c>
      <c r="AB3512">
        <v>28</v>
      </c>
      <c r="AC3512">
        <v>4.3777999999999997</v>
      </c>
      <c r="AD3512">
        <v>-1.0930604337159999</v>
      </c>
      <c r="AE3512">
        <v>-9.4911000000000101</v>
      </c>
      <c r="AF3512">
        <v>5.7714412524283896</v>
      </c>
      <c r="AG3512">
        <v>-1.0930604337159999</v>
      </c>
      <c r="AH3512">
        <v>8.5782079896781305</v>
      </c>
      <c r="AI3512">
        <v>96.035002588687206</v>
      </c>
      <c r="AJ3512">
        <v>56.067228603270003</v>
      </c>
      <c r="AK3512">
        <v>10.3966325103932</v>
      </c>
    </row>
    <row r="3513" spans="1:37" x14ac:dyDescent="0.2">
      <c r="A3513" t="str">
        <f>"20200111153720374"</f>
        <v>20200111153720374</v>
      </c>
      <c r="B3513" t="str">
        <f>"1578728240366521"</f>
        <v>1578728240366521</v>
      </c>
      <c r="C3513" t="s">
        <v>37</v>
      </c>
      <c r="D3513">
        <v>5.8090659999999996</v>
      </c>
      <c r="E3513">
        <v>0.64943479999999998</v>
      </c>
      <c r="F3513" t="s">
        <v>44</v>
      </c>
      <c r="G3513">
        <v>-194.67760000000001</v>
      </c>
      <c r="H3513" s="1">
        <v>5.8737339999999999E-6</v>
      </c>
      <c r="I3513">
        <v>201.92080000000001</v>
      </c>
      <c r="J3513">
        <v>-199.2071</v>
      </c>
      <c r="K3513">
        <v>1.0930610000000001</v>
      </c>
      <c r="L3513">
        <v>211.95480000000001</v>
      </c>
      <c r="M3513">
        <v>0.84586790000000001</v>
      </c>
      <c r="N3513">
        <v>0</v>
      </c>
      <c r="O3513">
        <v>-0.53316649999999999</v>
      </c>
      <c r="P3513">
        <v>0.71715419999999996</v>
      </c>
      <c r="Q3513">
        <v>4.3458179999999999E-2</v>
      </c>
      <c r="R3513">
        <v>-0.69555840000000002</v>
      </c>
      <c r="S3513">
        <v>1.3777919999999999</v>
      </c>
      <c r="T3513">
        <v>-0.3151873</v>
      </c>
      <c r="U3513">
        <v>-2.9425050000000001</v>
      </c>
      <c r="V3513">
        <v>0.207613299999999</v>
      </c>
      <c r="W3513">
        <v>5.2685000000000003E-2</v>
      </c>
      <c r="X3513">
        <v>0.97679119999999997</v>
      </c>
      <c r="Y3513">
        <v>0.53978839999999995</v>
      </c>
      <c r="Z3513">
        <v>2.759518E-2</v>
      </c>
      <c r="AA3513">
        <v>0.84134830000000005</v>
      </c>
      <c r="AB3513">
        <v>28</v>
      </c>
      <c r="AC3513">
        <v>4.5294999999999801</v>
      </c>
      <c r="AD3513">
        <v>-1.093055126266</v>
      </c>
      <c r="AE3513">
        <v>-10.033999999999899</v>
      </c>
      <c r="AF3513">
        <v>6.0139073353215897</v>
      </c>
      <c r="AG3513">
        <v>-1.093055126266</v>
      </c>
      <c r="AH3513">
        <v>9.0926223530785606</v>
      </c>
      <c r="AI3513">
        <v>95.725706400196302</v>
      </c>
      <c r="AJ3513">
        <v>56.519144172600598</v>
      </c>
      <c r="AK3513">
        <v>10.9561686826461</v>
      </c>
    </row>
    <row r="3514" spans="1:37" x14ac:dyDescent="0.2">
      <c r="A3514" t="str">
        <f>"20200111153720396"</f>
        <v>20200111153720396</v>
      </c>
      <c r="B3514" t="str">
        <f>"1578728240386041"</f>
        <v>1578728240386041</v>
      </c>
      <c r="C3514" t="s">
        <v>37</v>
      </c>
      <c r="D3514">
        <v>5.7818759999999996</v>
      </c>
      <c r="E3514">
        <v>0.65115239999999996</v>
      </c>
      <c r="F3514" t="s">
        <v>44</v>
      </c>
      <c r="G3514">
        <v>-194.76900000000001</v>
      </c>
      <c r="H3514" s="1">
        <v>5.7826919999999902E-6</v>
      </c>
      <c r="I3514">
        <v>202.1095</v>
      </c>
      <c r="J3514">
        <v>-198.9734</v>
      </c>
      <c r="K3514">
        <v>1.0930690000000001</v>
      </c>
      <c r="L3514">
        <v>211.78909999999999</v>
      </c>
      <c r="M3514">
        <v>0.83763679999999996</v>
      </c>
      <c r="N3514">
        <v>0</v>
      </c>
      <c r="O3514">
        <v>-0.54600660000000001</v>
      </c>
      <c r="P3514">
        <v>0.70541929999999997</v>
      </c>
      <c r="Q3514">
        <v>4.4096730000000001E-2</v>
      </c>
      <c r="R3514">
        <v>-0.70741699999999996</v>
      </c>
      <c r="S3514">
        <v>1.333664</v>
      </c>
      <c r="T3514">
        <v>-0.328464799999999</v>
      </c>
      <c r="U3514">
        <v>-2.9585270000000001</v>
      </c>
      <c r="V3514">
        <v>0.20903730000000001</v>
      </c>
      <c r="W3514">
        <v>5.3290209999999998E-2</v>
      </c>
      <c r="X3514">
        <v>0.97645459999999995</v>
      </c>
      <c r="Y3514">
        <v>0.53909459999999998</v>
      </c>
      <c r="Z3514">
        <v>3.0359770000000001E-2</v>
      </c>
      <c r="AA3514">
        <v>0.841697899999999</v>
      </c>
      <c r="AB3514">
        <v>28</v>
      </c>
      <c r="AC3514">
        <v>4.2043999999999899</v>
      </c>
      <c r="AD3514">
        <v>-1.0930632173079999</v>
      </c>
      <c r="AE3514">
        <v>-9.67959999999999</v>
      </c>
      <c r="AF3514">
        <v>5.7513604557457301</v>
      </c>
      <c r="AG3514">
        <v>-1.0930632173079999</v>
      </c>
      <c r="AH3514">
        <v>8.7144606301262701</v>
      </c>
      <c r="AI3514">
        <v>95.976347445913404</v>
      </c>
      <c r="AJ3514">
        <v>56.576029498432199</v>
      </c>
      <c r="AK3514">
        <v>10.498321692678701</v>
      </c>
    </row>
    <row r="3515" spans="1:37" x14ac:dyDescent="0.2">
      <c r="A3515" t="str">
        <f>"20200111153720418"</f>
        <v>20200111153720418</v>
      </c>
      <c r="B3515" t="str">
        <f>"1578728240406537"</f>
        <v>1578728240406537</v>
      </c>
      <c r="C3515" t="s">
        <v>37</v>
      </c>
      <c r="D3515">
        <v>5.7871639999999998</v>
      </c>
      <c r="E3515">
        <v>0.65013730000000003</v>
      </c>
      <c r="F3515" t="s">
        <v>44</v>
      </c>
      <c r="G3515">
        <v>-194.5702</v>
      </c>
      <c r="H3515" s="1">
        <v>6.0657960000000003E-6</v>
      </c>
      <c r="I3515">
        <v>201.45830000000001</v>
      </c>
      <c r="J3515">
        <v>-198.7433</v>
      </c>
      <c r="K3515">
        <v>1.093089</v>
      </c>
      <c r="L3515">
        <v>211.6207</v>
      </c>
      <c r="M3515">
        <v>0.82924779999999998</v>
      </c>
      <c r="N3515">
        <v>0</v>
      </c>
      <c r="O3515">
        <v>-0.55866499999999997</v>
      </c>
      <c r="P3515">
        <v>0.69413319999999901</v>
      </c>
      <c r="Q3515">
        <v>4.505369E-2</v>
      </c>
      <c r="R3515">
        <v>-0.7184353</v>
      </c>
      <c r="S3515">
        <v>1.2743070000000001</v>
      </c>
      <c r="T3515">
        <v>-0.31633810000000001</v>
      </c>
      <c r="U3515">
        <v>-2.989792</v>
      </c>
      <c r="V3515">
        <v>0.2096411</v>
      </c>
      <c r="W3515">
        <v>5.4239660000000002E-2</v>
      </c>
      <c r="X3515">
        <v>0.97627280000000005</v>
      </c>
      <c r="Y3515">
        <v>0.54367719999999997</v>
      </c>
      <c r="Z3515">
        <v>3.0429990000000001E-2</v>
      </c>
      <c r="AA3515">
        <v>0.83874259999999901</v>
      </c>
      <c r="AB3515">
        <v>28</v>
      </c>
      <c r="AC3515">
        <v>4.1730999999999998</v>
      </c>
      <c r="AD3515">
        <v>-1.093082934204</v>
      </c>
      <c r="AE3515">
        <v>-10.1623999999999</v>
      </c>
      <c r="AF3515">
        <v>6.0367548769750803</v>
      </c>
      <c r="AG3515">
        <v>-1.093082934204</v>
      </c>
      <c r="AH3515">
        <v>9.0494249163895493</v>
      </c>
      <c r="AI3515">
        <v>95.738055073341101</v>
      </c>
      <c r="AJ3515">
        <v>56.293257563696997</v>
      </c>
      <c r="AK3515">
        <v>10.9329470438259</v>
      </c>
    </row>
    <row r="3516" spans="1:37" x14ac:dyDescent="0.2">
      <c r="A3516" t="str">
        <f>"20200111153720441"</f>
        <v>20200111153720441</v>
      </c>
      <c r="B3516" t="str">
        <f>"1578728240436793"</f>
        <v>1578728240436793</v>
      </c>
      <c r="C3516" t="s">
        <v>37</v>
      </c>
      <c r="D3516">
        <v>5.8028029999999999</v>
      </c>
      <c r="E3516">
        <v>0.64909079999999997</v>
      </c>
      <c r="F3516" t="s">
        <v>44</v>
      </c>
      <c r="G3516">
        <v>-194.45949999999999</v>
      </c>
      <c r="H3516" s="1">
        <v>6.1899510000000002E-6</v>
      </c>
      <c r="I3516">
        <v>201.19040000000001</v>
      </c>
      <c r="J3516">
        <v>-198.51130000000001</v>
      </c>
      <c r="K3516">
        <v>1.0931029999999999</v>
      </c>
      <c r="L3516">
        <v>211.4451</v>
      </c>
      <c r="M3516">
        <v>0.82048299999999996</v>
      </c>
      <c r="N3516">
        <v>0</v>
      </c>
      <c r="O3516">
        <v>-0.57145990000000002</v>
      </c>
      <c r="P3516">
        <v>0.68223540000000005</v>
      </c>
      <c r="Q3516">
        <v>4.5845289999999997E-2</v>
      </c>
      <c r="R3516">
        <v>-0.72969399999999995</v>
      </c>
      <c r="S3516">
        <v>1.2336119999999999</v>
      </c>
      <c r="T3516">
        <v>-0.3147761</v>
      </c>
      <c r="U3516">
        <v>-3.0036320000000001</v>
      </c>
      <c r="V3516">
        <v>0.21051979999999901</v>
      </c>
      <c r="W3516">
        <v>5.5014300000000002E-2</v>
      </c>
      <c r="X3516">
        <v>0.97604040000000003</v>
      </c>
      <c r="Y3516">
        <v>0.54177430000000004</v>
      </c>
      <c r="Z3516">
        <v>3.1891139999999998E-2</v>
      </c>
      <c r="AA3516">
        <v>0.83991879999999997</v>
      </c>
      <c r="AB3516">
        <v>28</v>
      </c>
      <c r="AC3516">
        <v>4.0518000000000098</v>
      </c>
      <c r="AD3516">
        <v>-1.0930968100489999</v>
      </c>
      <c r="AE3516">
        <v>-10.2546999999999</v>
      </c>
      <c r="AF3516">
        <v>6.0397422922508097</v>
      </c>
      <c r="AG3516">
        <v>-1.0930968100489999</v>
      </c>
      <c r="AH3516">
        <v>9.0962915895245704</v>
      </c>
      <c r="AI3516">
        <v>95.716895597703001</v>
      </c>
      <c r="AJ3516">
        <v>56.416693378642002</v>
      </c>
      <c r="AK3516">
        <v>10.9734164358506</v>
      </c>
    </row>
    <row r="3517" spans="1:37" x14ac:dyDescent="0.2">
      <c r="A3517" t="str">
        <f>"20200111153720464"</f>
        <v>20200111153720464</v>
      </c>
      <c r="B3517" t="str">
        <f>"1578728240456315"</f>
        <v>1578728240456315</v>
      </c>
      <c r="C3517" t="s">
        <v>37</v>
      </c>
      <c r="D3517">
        <v>5.5178640000000003</v>
      </c>
      <c r="E3517">
        <v>0.65039899999999995</v>
      </c>
      <c r="F3517" t="s">
        <v>44</v>
      </c>
      <c r="G3517">
        <v>-194.25890000000001</v>
      </c>
      <c r="H3517" s="1">
        <v>6.4271279999999998E-6</v>
      </c>
      <c r="I3517">
        <v>200.6705</v>
      </c>
      <c r="J3517">
        <v>-198.2782</v>
      </c>
      <c r="K3517">
        <v>1.0931120000000001</v>
      </c>
      <c r="L3517">
        <v>211.26259999999999</v>
      </c>
      <c r="M3517">
        <v>0.81136180000000002</v>
      </c>
      <c r="N3517">
        <v>0</v>
      </c>
      <c r="O3517">
        <v>-0.58433749999999995</v>
      </c>
      <c r="P3517">
        <v>0.669842099999999</v>
      </c>
      <c r="Q3517">
        <v>4.5058880000000003E-2</v>
      </c>
      <c r="R3517">
        <v>-0.74113519999999999</v>
      </c>
      <c r="S3517">
        <v>1.1907809999999901</v>
      </c>
      <c r="T3517">
        <v>-0.30609409999999998</v>
      </c>
      <c r="U3517">
        <v>-3.017166</v>
      </c>
      <c r="V3517">
        <v>0.21157819999999999</v>
      </c>
      <c r="W3517">
        <v>5.420585E-2</v>
      </c>
      <c r="X3517">
        <v>0.97585679999999997</v>
      </c>
      <c r="Y3517">
        <v>0.54014619999999902</v>
      </c>
      <c r="Z3517">
        <v>3.2592650000000001E-2</v>
      </c>
      <c r="AA3517">
        <v>0.84093980000000002</v>
      </c>
      <c r="AB3517">
        <v>28</v>
      </c>
      <c r="AC3517">
        <v>4.0192999999999799</v>
      </c>
      <c r="AD3517">
        <v>-1.0931055728720001</v>
      </c>
      <c r="AE3517">
        <v>-10.592099999999901</v>
      </c>
      <c r="AF3517">
        <v>6.1885388960411696</v>
      </c>
      <c r="AG3517">
        <v>-1.0931055728720001</v>
      </c>
      <c r="AH3517">
        <v>9.3644297320771592</v>
      </c>
      <c r="AI3517">
        <v>95.562223278644893</v>
      </c>
      <c r="AJ3517">
        <v>56.541041605794199</v>
      </c>
      <c r="AK3517">
        <v>11.2776521345654</v>
      </c>
    </row>
    <row r="3518" spans="1:37" x14ac:dyDescent="0.2">
      <c r="A3518" t="str">
        <f>"20200111153720486"</f>
        <v>20200111153720486</v>
      </c>
      <c r="B3518" t="str">
        <f>"1578728240476808"</f>
        <v>1578728240476808</v>
      </c>
      <c r="C3518" t="s">
        <v>37</v>
      </c>
      <c r="D3518">
        <v>5.4671820000000002</v>
      </c>
      <c r="E3518">
        <v>0.65075699999999903</v>
      </c>
      <c r="F3518" t="s">
        <v>44</v>
      </c>
      <c r="G3518">
        <v>-194.13759999999999</v>
      </c>
      <c r="H3518" s="1">
        <v>6.6498479999999999E-6</v>
      </c>
      <c r="I3518">
        <v>200.1317</v>
      </c>
      <c r="J3518">
        <v>-198.05609999999999</v>
      </c>
      <c r="K3518">
        <v>1.0931150000000001</v>
      </c>
      <c r="L3518">
        <v>211.08320000000001</v>
      </c>
      <c r="M3518">
        <v>0.80236799999999997</v>
      </c>
      <c r="N3518">
        <v>0</v>
      </c>
      <c r="O3518">
        <v>-0.59662720000000002</v>
      </c>
      <c r="P3518">
        <v>0.65755090000000005</v>
      </c>
      <c r="Q3518">
        <v>4.3639709999999998E-2</v>
      </c>
      <c r="R3518">
        <v>-0.75214539999999996</v>
      </c>
      <c r="S3518">
        <v>1.131958</v>
      </c>
      <c r="T3518">
        <v>-0.29882740000000002</v>
      </c>
      <c r="U3518">
        <v>-3.0429080000000002</v>
      </c>
      <c r="V3518">
        <v>0.21280439999999901</v>
      </c>
      <c r="W3518">
        <v>5.275929E-2</v>
      </c>
      <c r="X3518">
        <v>0.97566939999999902</v>
      </c>
      <c r="Y3518">
        <v>0.54396929999999999</v>
      </c>
      <c r="Z3518">
        <v>3.2981070000000001E-2</v>
      </c>
      <c r="AA3518">
        <v>0.83845669999999894</v>
      </c>
      <c r="AB3518">
        <v>28</v>
      </c>
      <c r="AC3518">
        <v>3.9184999999999901</v>
      </c>
      <c r="AD3518">
        <v>-1.093108350152</v>
      </c>
      <c r="AE3518">
        <v>-10.951499999999999</v>
      </c>
      <c r="AF3518">
        <v>6.3935604595197999</v>
      </c>
      <c r="AG3518">
        <v>-1.093108350152</v>
      </c>
      <c r="AH3518">
        <v>9.5944722879459707</v>
      </c>
      <c r="AI3518">
        <v>95.415962609262806</v>
      </c>
      <c r="AJ3518">
        <v>56.321321461304301</v>
      </c>
      <c r="AK3518">
        <v>11.5812952513469</v>
      </c>
    </row>
    <row r="3519" spans="1:37" x14ac:dyDescent="0.2">
      <c r="A3519" t="str">
        <f>"20200111153720507"</f>
        <v>20200111153720507</v>
      </c>
      <c r="B3519" t="str">
        <f>"1578728240496328"</f>
        <v>1578728240496328</v>
      </c>
      <c r="C3519" t="s">
        <v>37</v>
      </c>
      <c r="D3519">
        <v>5.6199399999999997</v>
      </c>
      <c r="E3519">
        <v>0.65049889999999999</v>
      </c>
      <c r="F3519" t="s">
        <v>44</v>
      </c>
      <c r="G3519">
        <v>-194.06819999999999</v>
      </c>
      <c r="H3519" s="1">
        <v>6.7962259999999997E-6</v>
      </c>
      <c r="I3519">
        <v>199.76990000000001</v>
      </c>
      <c r="J3519">
        <v>-197.8434</v>
      </c>
      <c r="K3519">
        <v>1.093118</v>
      </c>
      <c r="L3519">
        <v>210.90610000000001</v>
      </c>
      <c r="M3519">
        <v>0.79347259999999997</v>
      </c>
      <c r="N3519">
        <v>0</v>
      </c>
      <c r="O3519">
        <v>-0.60840729999999998</v>
      </c>
      <c r="P3519">
        <v>0.64554750000000005</v>
      </c>
      <c r="Q3519">
        <v>4.1862699999999899E-2</v>
      </c>
      <c r="R3519">
        <v>-0.76257180000000002</v>
      </c>
      <c r="S3519">
        <v>1.079391</v>
      </c>
      <c r="T3519">
        <v>-0.2958653</v>
      </c>
      <c r="U3519">
        <v>-3.062103</v>
      </c>
      <c r="V3519">
        <v>0.21389040000000001</v>
      </c>
      <c r="W3519">
        <v>5.0958789999999997E-2</v>
      </c>
      <c r="X3519">
        <v>0.97552759999999905</v>
      </c>
      <c r="Y3519">
        <v>0.54605599999999999</v>
      </c>
      <c r="Z3519">
        <v>3.3865270000000003E-2</v>
      </c>
      <c r="AA3519">
        <v>0.83706389999999997</v>
      </c>
      <c r="AB3519">
        <v>28</v>
      </c>
      <c r="AC3519">
        <v>3.7752000000000101</v>
      </c>
      <c r="AD3519">
        <v>-1.0931112037740001</v>
      </c>
      <c r="AE3519">
        <v>-11.136200000000001</v>
      </c>
      <c r="AF3519">
        <v>6.4841654628457297</v>
      </c>
      <c r="AG3519">
        <v>-1.0931112037740001</v>
      </c>
      <c r="AH3519">
        <v>9.6883189898235393</v>
      </c>
      <c r="AI3519">
        <v>95.356691633912803</v>
      </c>
      <c r="AJ3519">
        <v>56.206529619546998</v>
      </c>
      <c r="AK3519">
        <v>11.709091284209601</v>
      </c>
    </row>
    <row r="3520" spans="1:37" x14ac:dyDescent="0.2">
      <c r="A3520" t="str">
        <f>"20200111153720530"</f>
        <v>20200111153720530</v>
      </c>
      <c r="B3520" t="str">
        <f>"1578728240526585"</f>
        <v>1578728240526585</v>
      </c>
      <c r="C3520" t="s">
        <v>37</v>
      </c>
      <c r="D3520">
        <v>5.8821649999999996</v>
      </c>
      <c r="E3520">
        <v>0.64776650000000002</v>
      </c>
      <c r="F3520" t="s">
        <v>39</v>
      </c>
      <c r="G3520">
        <v>-194.04949999999999</v>
      </c>
      <c r="H3520" s="1">
        <v>-5.0052809999999999E-6</v>
      </c>
      <c r="I3520">
        <v>199.58430000000001</v>
      </c>
      <c r="J3520">
        <v>-197.62190000000001</v>
      </c>
      <c r="K3520">
        <v>1.093124</v>
      </c>
      <c r="L3520">
        <v>210.7159</v>
      </c>
      <c r="M3520">
        <v>0.78389540000000002</v>
      </c>
      <c r="N3520">
        <v>0</v>
      </c>
      <c r="O3520">
        <v>-0.62069799999999997</v>
      </c>
      <c r="P3520">
        <v>0.63263919999999996</v>
      </c>
      <c r="Q3520">
        <v>3.9772769999999999E-2</v>
      </c>
      <c r="R3520">
        <v>-0.77342460000000002</v>
      </c>
      <c r="S3520">
        <v>1.0312349999999999</v>
      </c>
      <c r="T3520">
        <v>-0.29712050000000001</v>
      </c>
      <c r="U3520">
        <v>-3.0773769999999998</v>
      </c>
      <c r="V3520">
        <v>0.21510979999999999</v>
      </c>
      <c r="W3520">
        <v>4.8842370000000003E-2</v>
      </c>
      <c r="X3520">
        <v>0.97536769999999995</v>
      </c>
      <c r="Y3520">
        <v>0.54605199999999998</v>
      </c>
      <c r="Z3520">
        <v>3.5401309999999998E-2</v>
      </c>
      <c r="AA3520">
        <v>0.83700300000000005</v>
      </c>
      <c r="AB3520">
        <v>28</v>
      </c>
      <c r="AC3520">
        <v>3.5724000000000098</v>
      </c>
      <c r="AD3520">
        <v>-1.0931290052810001</v>
      </c>
      <c r="AE3520">
        <v>-11.131599999999899</v>
      </c>
      <c r="AF3520">
        <v>6.45299829704462</v>
      </c>
      <c r="AG3520">
        <v>-1.0931290052810001</v>
      </c>
      <c r="AH3520">
        <v>9.6267591282439593</v>
      </c>
      <c r="AI3520">
        <v>95.388250060845806</v>
      </c>
      <c r="AJ3520">
        <v>56.165307155898702</v>
      </c>
      <c r="AK3520">
        <v>11.64090242881</v>
      </c>
    </row>
    <row r="3521" spans="1:37" x14ac:dyDescent="0.2">
      <c r="A3521" t="str">
        <f>"20200111153720552"</f>
        <v>20200111153720552</v>
      </c>
      <c r="B3521" t="str">
        <f>"1578728240546107"</f>
        <v>1578728240546107</v>
      </c>
      <c r="C3521" t="s">
        <v>37</v>
      </c>
      <c r="D3521">
        <v>5.9371519999999904</v>
      </c>
      <c r="E3521">
        <v>0.61885840000000003</v>
      </c>
      <c r="F3521" t="s">
        <v>44</v>
      </c>
      <c r="G3521">
        <v>-194.244</v>
      </c>
      <c r="H3521" s="1">
        <v>6.5741079999999997E-6</v>
      </c>
      <c r="I3521">
        <v>200.26589999999999</v>
      </c>
      <c r="J3521">
        <v>-197.4051</v>
      </c>
      <c r="K3521">
        <v>1.0931249999999999</v>
      </c>
      <c r="L3521">
        <v>210.52379999999999</v>
      </c>
      <c r="M3521">
        <v>0.77420690000000003</v>
      </c>
      <c r="N3521">
        <v>0</v>
      </c>
      <c r="O3521">
        <v>-0.63274160000000002</v>
      </c>
      <c r="P3521">
        <v>0.6197724</v>
      </c>
      <c r="Q3521">
        <v>3.8502189999999999E-2</v>
      </c>
      <c r="R3521">
        <v>-0.78383649999999905</v>
      </c>
      <c r="S3521">
        <v>0.99586489999999905</v>
      </c>
      <c r="T3521">
        <v>-0.32226679999999902</v>
      </c>
      <c r="U3521">
        <v>-3.0807950000000002</v>
      </c>
      <c r="V3521">
        <v>0.21616009999999999</v>
      </c>
      <c r="W3521">
        <v>4.7549260000000003E-2</v>
      </c>
      <c r="X3521">
        <v>0.97519940000000005</v>
      </c>
      <c r="Y3521">
        <v>0.54207510000000003</v>
      </c>
      <c r="Z3521">
        <v>4.0146019999999998E-2</v>
      </c>
      <c r="AA3521">
        <v>0.83937059999999997</v>
      </c>
      <c r="AB3521">
        <v>28</v>
      </c>
      <c r="AC3521">
        <v>3.16109999999997</v>
      </c>
      <c r="AD3521">
        <v>-1.0931184258919999</v>
      </c>
      <c r="AE3521">
        <v>-10.257899999999999</v>
      </c>
      <c r="AF3521">
        <v>5.8813012355002501</v>
      </c>
      <c r="AG3521">
        <v>-1.0931184258919999</v>
      </c>
      <c r="AH3521">
        <v>8.8472716148030504</v>
      </c>
      <c r="AI3521">
        <v>95.874712559191494</v>
      </c>
      <c r="AJ3521">
        <v>56.385679070979698</v>
      </c>
      <c r="AK3521">
        <v>10.6798327300487</v>
      </c>
    </row>
    <row r="3522" spans="1:37" x14ac:dyDescent="0.2">
      <c r="A3522" t="str">
        <f>"20200111153720575"</f>
        <v>20200111153720575</v>
      </c>
      <c r="B3522" t="str">
        <f>"1578728240566600"</f>
        <v>1578728240566600</v>
      </c>
      <c r="C3522" t="s">
        <v>37</v>
      </c>
      <c r="D3522">
        <v>5.8948489999999998</v>
      </c>
      <c r="E3522">
        <v>0.63512139999999995</v>
      </c>
      <c r="F3522" t="s">
        <v>44</v>
      </c>
      <c r="G3522">
        <v>-195.22099999999901</v>
      </c>
      <c r="H3522" s="1">
        <v>4.9440989999999903E-6</v>
      </c>
      <c r="I3522">
        <v>204.80179999999999</v>
      </c>
      <c r="J3522">
        <v>-197.19479999999999</v>
      </c>
      <c r="K3522">
        <v>1.0931169999999999</v>
      </c>
      <c r="L3522">
        <v>210.33170000000001</v>
      </c>
      <c r="M3522">
        <v>0.76449500000000004</v>
      </c>
      <c r="N3522">
        <v>0</v>
      </c>
      <c r="O3522">
        <v>-0.64444219999999997</v>
      </c>
      <c r="P3522">
        <v>0.60825469999999904</v>
      </c>
      <c r="Q3522">
        <v>3.8381850000000002E-2</v>
      </c>
      <c r="R3522">
        <v>-0.79281359999999901</v>
      </c>
      <c r="S3522">
        <v>1.1303559999999999</v>
      </c>
      <c r="T3522">
        <v>-0.56573989999999996</v>
      </c>
      <c r="U3522">
        <v>-2.9613800000000001</v>
      </c>
      <c r="V3522">
        <v>0.2155754</v>
      </c>
      <c r="W3522">
        <v>4.7458279999999999E-2</v>
      </c>
      <c r="X3522">
        <v>0.97533329999999996</v>
      </c>
      <c r="Y3522">
        <v>0.4851182</v>
      </c>
      <c r="Z3522">
        <v>7.8818369999999999E-2</v>
      </c>
      <c r="AA3522">
        <v>0.87088920000000003</v>
      </c>
      <c r="AB3522">
        <v>28</v>
      </c>
      <c r="AC3522">
        <v>1.97380000000001</v>
      </c>
      <c r="AD3522">
        <v>-1.0931120559009999</v>
      </c>
      <c r="AE3522">
        <v>-5.52990000000002</v>
      </c>
      <c r="AF3522">
        <v>2.8569199516351902</v>
      </c>
      <c r="AG3522">
        <v>-1.0931120559009999</v>
      </c>
      <c r="AH3522">
        <v>4.9033294684040296</v>
      </c>
      <c r="AI3522">
        <v>100.902883220531</v>
      </c>
      <c r="AJ3522">
        <v>59.7728267622063</v>
      </c>
      <c r="AK3522">
        <v>5.7792322545928796</v>
      </c>
    </row>
    <row r="3523" spans="1:37" x14ac:dyDescent="0.2">
      <c r="A3523" t="str">
        <f>"20200111153720597"</f>
        <v>20200111153720597</v>
      </c>
      <c r="B3523" t="str">
        <f>"1578728240586121"</f>
        <v>1578728240586121</v>
      </c>
      <c r="C3523" t="s">
        <v>37</v>
      </c>
      <c r="D3523">
        <v>5.8601289999999997</v>
      </c>
      <c r="E3523">
        <v>0.64797349999999998</v>
      </c>
      <c r="F3523" t="s">
        <v>44</v>
      </c>
      <c r="G3523">
        <v>-193.89060000000001</v>
      </c>
      <c r="H3523" s="1">
        <v>6.7501829999999902E-6</v>
      </c>
      <c r="I3523">
        <v>200.03380000000001</v>
      </c>
      <c r="J3523">
        <v>-196.9837</v>
      </c>
      <c r="K3523">
        <v>1.093126</v>
      </c>
      <c r="L3523">
        <v>210.13290000000001</v>
      </c>
      <c r="M3523">
        <v>0.75442529999999997</v>
      </c>
      <c r="N3523">
        <v>0</v>
      </c>
      <c r="O3523">
        <v>-0.65620210000000001</v>
      </c>
      <c r="P3523">
        <v>0.59716059999999904</v>
      </c>
      <c r="Q3523">
        <v>3.7881449999999997E-2</v>
      </c>
      <c r="R3523">
        <v>-0.80122689999999996</v>
      </c>
      <c r="S3523">
        <v>0.97833250000000005</v>
      </c>
      <c r="T3523">
        <v>-0.32365719999999998</v>
      </c>
      <c r="U3523">
        <v>-3.0490879999999998</v>
      </c>
      <c r="V3523">
        <v>0.21404960000000001</v>
      </c>
      <c r="W3523">
        <v>4.7017699999999898E-2</v>
      </c>
      <c r="X3523">
        <v>0.97569059999999896</v>
      </c>
      <c r="Y3523">
        <v>0.51801319999999995</v>
      </c>
      <c r="Z3523">
        <v>4.487418E-2</v>
      </c>
      <c r="AA3523">
        <v>0.85419480000000003</v>
      </c>
      <c r="AB3523">
        <v>28</v>
      </c>
      <c r="AC3523">
        <v>3.09309999999999</v>
      </c>
      <c r="AD3523">
        <v>-1.0931192498169999</v>
      </c>
      <c r="AE3523">
        <v>-10.0990999999999</v>
      </c>
      <c r="AF3523">
        <v>5.5307523201127697</v>
      </c>
      <c r="AG3523">
        <v>-1.0931192498169999</v>
      </c>
      <c r="AH3523">
        <v>8.8666737139344303</v>
      </c>
      <c r="AI3523">
        <v>95.971565210075497</v>
      </c>
      <c r="AJ3523">
        <v>58.045381881146803</v>
      </c>
      <c r="AK3523">
        <v>10.5072372044286</v>
      </c>
    </row>
    <row r="3524" spans="1:37" x14ac:dyDescent="0.2">
      <c r="A3524" t="str">
        <f>"20200111153720620"</f>
        <v>20200111153720620</v>
      </c>
      <c r="B3524" t="str">
        <f>"1578728240616376"</f>
        <v>1578728240616376</v>
      </c>
      <c r="C3524" t="s">
        <v>37</v>
      </c>
      <c r="D3524">
        <v>5.8140289999999997</v>
      </c>
      <c r="E3524">
        <v>0.65346169999999903</v>
      </c>
      <c r="F3524" t="s">
        <v>39</v>
      </c>
      <c r="G3524">
        <v>-194.0992</v>
      </c>
      <c r="H3524" s="1">
        <v>-5.0084479999999998E-6</v>
      </c>
      <c r="I3524">
        <v>199.5676</v>
      </c>
      <c r="J3524">
        <v>-196.7817</v>
      </c>
      <c r="K3524">
        <v>1.0931299999999999</v>
      </c>
      <c r="L3524">
        <v>209.93680000000001</v>
      </c>
      <c r="M3524">
        <v>0.74446780000000001</v>
      </c>
      <c r="N3524">
        <v>0</v>
      </c>
      <c r="O3524">
        <v>-0.6674774</v>
      </c>
      <c r="P3524">
        <v>0.58720490000000003</v>
      </c>
      <c r="Q3524">
        <v>3.6879799999999997E-2</v>
      </c>
      <c r="R3524">
        <v>-0.80859789999999998</v>
      </c>
      <c r="S3524">
        <v>0.85287479999999904</v>
      </c>
      <c r="T3524">
        <v>-0.32321079999999902</v>
      </c>
      <c r="U3524">
        <v>-3.1238860000000002</v>
      </c>
      <c r="V3524">
        <v>0.21144079999999901</v>
      </c>
      <c r="W3524">
        <v>4.610889E-2</v>
      </c>
      <c r="X3524">
        <v>0.97630260000000002</v>
      </c>
      <c r="Y3524">
        <v>0.54243799999999998</v>
      </c>
      <c r="Z3524">
        <v>4.4559630000000003E-2</v>
      </c>
      <c r="AA3524">
        <v>0.83891329999999997</v>
      </c>
      <c r="AB3524">
        <v>28</v>
      </c>
      <c r="AC3524">
        <v>2.6825000000000001</v>
      </c>
      <c r="AD3524">
        <v>-1.093135008448</v>
      </c>
      <c r="AE3524">
        <v>-10.369199999999999</v>
      </c>
      <c r="AF3524">
        <v>5.8686131874179699</v>
      </c>
      <c r="AG3524">
        <v>-1.093135008448</v>
      </c>
      <c r="AH3524">
        <v>8.8273685445204499</v>
      </c>
      <c r="AI3524">
        <v>95.887788303286797</v>
      </c>
      <c r="AJ3524">
        <v>56.383236224705897</v>
      </c>
      <c r="AK3524">
        <v>10.656359618134999</v>
      </c>
    </row>
    <row r="3525" spans="1:37" x14ac:dyDescent="0.2">
      <c r="A3525" t="str">
        <f>"20200111153720642"</f>
        <v>20200111153720642</v>
      </c>
      <c r="B3525" t="str">
        <f>"1578728240636873"</f>
        <v>1578728240636873</v>
      </c>
      <c r="C3525" t="s">
        <v>37</v>
      </c>
      <c r="D3525">
        <v>5.8868359999999997</v>
      </c>
      <c r="E3525">
        <v>0.65359029999999996</v>
      </c>
      <c r="F3525" t="s">
        <v>39</v>
      </c>
      <c r="G3525">
        <v>-193.9676</v>
      </c>
      <c r="H3525" s="1">
        <v>-4.622669E-6</v>
      </c>
      <c r="I3525">
        <v>198.5026</v>
      </c>
      <c r="J3525">
        <v>-196.5797</v>
      </c>
      <c r="K3525">
        <v>1.0931420000000001</v>
      </c>
      <c r="L3525">
        <v>209.73400000000001</v>
      </c>
      <c r="M3525">
        <v>0.73416979999999998</v>
      </c>
      <c r="N3525">
        <v>0</v>
      </c>
      <c r="O3525">
        <v>-0.67878809999999901</v>
      </c>
      <c r="P3525">
        <v>0.57777239999999996</v>
      </c>
      <c r="Q3525">
        <v>3.5706170000000002E-2</v>
      </c>
      <c r="R3525">
        <v>-0.81541669999999999</v>
      </c>
      <c r="S3525">
        <v>0.77754209999999901</v>
      </c>
      <c r="T3525">
        <v>-0.30202760000000001</v>
      </c>
      <c r="U3525">
        <v>-3.159195</v>
      </c>
      <c r="V3525">
        <v>0.20784610000000001</v>
      </c>
      <c r="W3525">
        <v>4.5059509999999997E-2</v>
      </c>
      <c r="X3525">
        <v>0.97712310000000002</v>
      </c>
      <c r="Y3525">
        <v>0.55070739999999996</v>
      </c>
      <c r="Z3525">
        <v>4.2425169999999998E-2</v>
      </c>
      <c r="AA3525">
        <v>0.83361949999999996</v>
      </c>
      <c r="AB3525">
        <v>28</v>
      </c>
      <c r="AC3525">
        <v>2.6120999999999901</v>
      </c>
      <c r="AD3525">
        <v>-1.0931466226690001</v>
      </c>
      <c r="AE3525">
        <v>-11.231400000000001</v>
      </c>
      <c r="AF3525">
        <v>6.4158152393350303</v>
      </c>
      <c r="AG3525">
        <v>-1.0931466226690001</v>
      </c>
      <c r="AH3525">
        <v>9.4576225179971303</v>
      </c>
      <c r="AI3525">
        <v>95.463799132136401</v>
      </c>
      <c r="AJ3525">
        <v>55.848009976230998</v>
      </c>
      <c r="AK3525">
        <v>11.4806044447521</v>
      </c>
    </row>
    <row r="3526" spans="1:37" x14ac:dyDescent="0.2">
      <c r="A3526" t="str">
        <f>"20200111153720665"</f>
        <v>20200111153720665</v>
      </c>
      <c r="B3526" t="str">
        <f>"1578728240656396"</f>
        <v>1578728240656396</v>
      </c>
      <c r="C3526" t="s">
        <v>37</v>
      </c>
      <c r="D3526">
        <v>5.9258870000000003</v>
      </c>
      <c r="E3526">
        <v>0.65297309999999997</v>
      </c>
      <c r="F3526" t="s">
        <v>39</v>
      </c>
      <c r="G3526">
        <v>-193.87389999999999</v>
      </c>
      <c r="H3526" s="1">
        <v>-4.482345E-6</v>
      </c>
      <c r="I3526">
        <v>198.13910000000001</v>
      </c>
      <c r="J3526">
        <v>-196.3783</v>
      </c>
      <c r="K3526">
        <v>1.0931569999999999</v>
      </c>
      <c r="L3526">
        <v>209.5256</v>
      </c>
      <c r="M3526">
        <v>0.72356549999999997</v>
      </c>
      <c r="N3526">
        <v>0</v>
      </c>
      <c r="O3526">
        <v>-0.6900811</v>
      </c>
      <c r="P3526">
        <v>0.56803819999999905</v>
      </c>
      <c r="Q3526">
        <v>3.5848199999999997E-2</v>
      </c>
      <c r="R3526">
        <v>-0.8222216</v>
      </c>
      <c r="S3526">
        <v>0.73934940000000005</v>
      </c>
      <c r="T3526">
        <v>-0.2987012</v>
      </c>
      <c r="U3526">
        <v>-3.168304</v>
      </c>
      <c r="V3526">
        <v>0.204318</v>
      </c>
      <c r="W3526">
        <v>4.5321500000000001E-2</v>
      </c>
      <c r="X3526">
        <v>0.97785480000000002</v>
      </c>
      <c r="Y3526">
        <v>0.54786029999999997</v>
      </c>
      <c r="Z3526">
        <v>4.3407519999999998E-2</v>
      </c>
      <c r="AA3526">
        <v>0.83544300000000005</v>
      </c>
      <c r="AB3526">
        <v>28</v>
      </c>
      <c r="AC3526">
        <v>2.5044</v>
      </c>
      <c r="AD3526">
        <v>-1.093161482345</v>
      </c>
      <c r="AE3526">
        <v>-11.3864999999999</v>
      </c>
      <c r="AF3526">
        <v>6.4546769040547103</v>
      </c>
      <c r="AG3526">
        <v>-1.093161482345</v>
      </c>
      <c r="AH3526">
        <v>9.5865894015748108</v>
      </c>
      <c r="AI3526">
        <v>95.403429846444297</v>
      </c>
      <c r="AJ3526">
        <v>56.047509559728198</v>
      </c>
      <c r="AK3526">
        <v>11.6086412777984</v>
      </c>
    </row>
    <row r="3527" spans="1:37" x14ac:dyDescent="0.2">
      <c r="A3527" t="str">
        <f>"20200111153720686"</f>
        <v>20200111153720686</v>
      </c>
      <c r="B3527" t="str">
        <f>"1578728240676888"</f>
        <v>1578728240676888</v>
      </c>
      <c r="C3527" t="s">
        <v>37</v>
      </c>
      <c r="D3527">
        <v>5.896058</v>
      </c>
      <c r="E3527">
        <v>0.65236930000000004</v>
      </c>
      <c r="F3527" t="s">
        <v>39</v>
      </c>
      <c r="G3527">
        <v>-193.81479999999999</v>
      </c>
      <c r="H3527" s="1">
        <v>-4.4239990000000001E-6</v>
      </c>
      <c r="I3527">
        <v>197.9984</v>
      </c>
      <c r="J3527">
        <v>-196.19110000000001</v>
      </c>
      <c r="K3527">
        <v>1.093191</v>
      </c>
      <c r="L3527">
        <v>209.32599999999999</v>
      </c>
      <c r="M3527">
        <v>0.71338639999999998</v>
      </c>
      <c r="N3527">
        <v>0</v>
      </c>
      <c r="O3527">
        <v>-0.70059869999999902</v>
      </c>
      <c r="P3527">
        <v>0.55758299999999905</v>
      </c>
      <c r="Q3527">
        <v>3.6070390000000001E-2</v>
      </c>
      <c r="R3527">
        <v>-0.82933709999999905</v>
      </c>
      <c r="S3527">
        <v>0.70588680000000004</v>
      </c>
      <c r="T3527">
        <v>-0.30101409999999901</v>
      </c>
      <c r="U3527">
        <v>-3.1741329999999999</v>
      </c>
      <c r="V3527">
        <v>0.20237929999999901</v>
      </c>
      <c r="W3527">
        <v>4.5613019999999997E-2</v>
      </c>
      <c r="X3527">
        <v>0.97824439999999901</v>
      </c>
      <c r="Y3527">
        <v>0.5443481</v>
      </c>
      <c r="Z3527">
        <v>4.5164040000000003E-2</v>
      </c>
      <c r="AA3527">
        <v>0.83764269999999996</v>
      </c>
      <c r="AB3527">
        <v>28</v>
      </c>
      <c r="AC3527">
        <v>2.3763000000000098</v>
      </c>
      <c r="AD3527">
        <v>-1.093195423999</v>
      </c>
      <c r="AE3527">
        <v>-11.327599999999901</v>
      </c>
      <c r="AF3527">
        <v>6.3601580429929703</v>
      </c>
      <c r="AG3527">
        <v>-1.093195423999</v>
      </c>
      <c r="AH3527">
        <v>9.5473121046587401</v>
      </c>
      <c r="AI3527">
        <v>95.4435028210967</v>
      </c>
      <c r="AJ3527">
        <v>56.3295334339414</v>
      </c>
      <c r="AK3527">
        <v>11.5237951643833</v>
      </c>
    </row>
    <row r="3528" spans="1:37" x14ac:dyDescent="0.2">
      <c r="A3528" t="str">
        <f>"20200111153720709"</f>
        <v>20200111153720709</v>
      </c>
      <c r="B3528" t="str">
        <f>"1578728240696409"</f>
        <v>1578728240696409</v>
      </c>
      <c r="C3528" t="s">
        <v>37</v>
      </c>
      <c r="D3528">
        <v>5.9387619999999997</v>
      </c>
      <c r="E3528">
        <v>0.65172030000000003</v>
      </c>
      <c r="F3528" t="s">
        <v>39</v>
      </c>
      <c r="G3528">
        <v>-193.7782</v>
      </c>
      <c r="H3528" s="1">
        <v>-4.3740909999999997E-6</v>
      </c>
      <c r="I3528">
        <v>197.8708</v>
      </c>
      <c r="J3528">
        <v>-196.00020000000001</v>
      </c>
      <c r="K3528">
        <v>1.093224</v>
      </c>
      <c r="L3528">
        <v>209.1163</v>
      </c>
      <c r="M3528">
        <v>0.70267860000000004</v>
      </c>
      <c r="N3528">
        <v>0</v>
      </c>
      <c r="O3528">
        <v>-0.71133789999999997</v>
      </c>
      <c r="P3528">
        <v>0.54736669999999998</v>
      </c>
      <c r="Q3528">
        <v>3.729996E-2</v>
      </c>
      <c r="R3528">
        <v>-0.836061099999999</v>
      </c>
      <c r="S3528">
        <v>0.66984560000000004</v>
      </c>
      <c r="T3528">
        <v>-0.30349179999999998</v>
      </c>
      <c r="U3528">
        <v>-3.180161</v>
      </c>
      <c r="V3528">
        <v>0.1995354</v>
      </c>
      <c r="W3528">
        <v>4.694007E-2</v>
      </c>
      <c r="X3528">
        <v>0.97876569999999996</v>
      </c>
      <c r="Y3528">
        <v>0.54105119999999995</v>
      </c>
      <c r="Z3528">
        <v>4.6989719999999999E-2</v>
      </c>
      <c r="AA3528">
        <v>0.83967579999999997</v>
      </c>
      <c r="AB3528">
        <v>28</v>
      </c>
      <c r="AC3528">
        <v>2.222</v>
      </c>
      <c r="AD3528">
        <v>-1.093228374091</v>
      </c>
      <c r="AE3528">
        <v>-11.2454999999999</v>
      </c>
      <c r="AF3528">
        <v>6.2651564689380903</v>
      </c>
      <c r="AG3528">
        <v>-1.093228374091</v>
      </c>
      <c r="AH3528">
        <v>9.4756684632175006</v>
      </c>
      <c r="AI3528">
        <v>95.497118661615005</v>
      </c>
      <c r="AJ3528">
        <v>56.5279767281312</v>
      </c>
      <c r="AK3528">
        <v>11.4120824866896</v>
      </c>
    </row>
    <row r="3529" spans="1:37" x14ac:dyDescent="0.2">
      <c r="A3529" t="str">
        <f>"20200111153720731"</f>
        <v>20200111153720731</v>
      </c>
      <c r="B3529" t="str">
        <f>"1578728240726665"</f>
        <v>1578728240726665</v>
      </c>
      <c r="C3529" t="s">
        <v>37</v>
      </c>
      <c r="D3529">
        <v>5.9876309999999897</v>
      </c>
      <c r="E3529">
        <v>0.65050149999999995</v>
      </c>
      <c r="F3529" t="s">
        <v>39</v>
      </c>
      <c r="G3529">
        <v>-193.6917</v>
      </c>
      <c r="H3529" s="1">
        <v>-4.2447149999999902E-6</v>
      </c>
      <c r="I3529">
        <v>197.53579999999999</v>
      </c>
      <c r="J3529">
        <v>-195.81030000000001</v>
      </c>
      <c r="K3529">
        <v>1.093267</v>
      </c>
      <c r="L3529">
        <v>208.90119999999999</v>
      </c>
      <c r="M3529">
        <v>0.69167489999999998</v>
      </c>
      <c r="N3529">
        <v>0</v>
      </c>
      <c r="O3529">
        <v>-0.72204199999999996</v>
      </c>
      <c r="P3529">
        <v>0.53658779999999995</v>
      </c>
      <c r="Q3529">
        <v>3.9107080000000002E-2</v>
      </c>
      <c r="R3529">
        <v>-0.84293799999999997</v>
      </c>
      <c r="S3529">
        <v>0.63508609999999999</v>
      </c>
      <c r="T3529">
        <v>-0.30075659999999999</v>
      </c>
      <c r="U3529">
        <v>-3.1859130000000002</v>
      </c>
      <c r="V3529">
        <v>0.19706399999999999</v>
      </c>
      <c r="W3529">
        <v>4.8831890000000003E-2</v>
      </c>
      <c r="X3529">
        <v>0.97917379999999998</v>
      </c>
      <c r="Y3529">
        <v>0.53725730000000005</v>
      </c>
      <c r="Z3529">
        <v>4.8028519999999998E-2</v>
      </c>
      <c r="AA3529">
        <v>0.84204979999999996</v>
      </c>
      <c r="AB3529">
        <v>28</v>
      </c>
      <c r="AC3529">
        <v>2.11860000000001</v>
      </c>
      <c r="AD3529">
        <v>-1.0932712447149999</v>
      </c>
      <c r="AE3529">
        <v>-11.3653999999999</v>
      </c>
      <c r="AF3529">
        <v>6.2760844160708098</v>
      </c>
      <c r="AG3529">
        <v>-1.0932712447149999</v>
      </c>
      <c r="AH3529">
        <v>9.5871137595717109</v>
      </c>
      <c r="AI3529">
        <v>95.450072577315495</v>
      </c>
      <c r="AJ3529">
        <v>56.789736831449503</v>
      </c>
      <c r="AK3529">
        <v>11.510744018139601</v>
      </c>
    </row>
    <row r="3530" spans="1:37" x14ac:dyDescent="0.2">
      <c r="A3530" t="str">
        <f>"20200111153720754"</f>
        <v>20200111153720754</v>
      </c>
      <c r="B3530" t="str">
        <f>"1578728240746188"</f>
        <v>1578728240746188</v>
      </c>
      <c r="C3530" t="s">
        <v>37</v>
      </c>
      <c r="D3530">
        <v>5.9558759999999999</v>
      </c>
      <c r="E3530">
        <v>0.64949469999999898</v>
      </c>
      <c r="F3530" t="s">
        <v>39</v>
      </c>
      <c r="G3530">
        <v>-193.58340000000001</v>
      </c>
      <c r="H3530" s="1">
        <v>-4.0837219999999997E-6</v>
      </c>
      <c r="I3530">
        <v>197.11920000000001</v>
      </c>
      <c r="J3530">
        <v>-195.61609999999999</v>
      </c>
      <c r="K3530">
        <v>1.0933090000000001</v>
      </c>
      <c r="L3530">
        <v>208.67429999999999</v>
      </c>
      <c r="M3530">
        <v>0.68004600000000004</v>
      </c>
      <c r="N3530">
        <v>0</v>
      </c>
      <c r="O3530">
        <v>-0.73300549999999998</v>
      </c>
      <c r="P3530">
        <v>0.52410290000000004</v>
      </c>
      <c r="Q3530">
        <v>4.1646710000000003E-2</v>
      </c>
      <c r="R3530">
        <v>-0.85063619999999995</v>
      </c>
      <c r="S3530">
        <v>0.60273739999999998</v>
      </c>
      <c r="T3530">
        <v>-0.29591020000000001</v>
      </c>
      <c r="U3530">
        <v>-3.1889949999999998</v>
      </c>
      <c r="V3530">
        <v>0.19583299999999901</v>
      </c>
      <c r="W3530">
        <v>5.1417860000000003E-2</v>
      </c>
      <c r="X3530">
        <v>0.9792883</v>
      </c>
      <c r="Y3530">
        <v>0.53217950000000003</v>
      </c>
      <c r="Z3530">
        <v>4.8808829999999997E-2</v>
      </c>
      <c r="AA3530">
        <v>0.84522339999999996</v>
      </c>
      <c r="AB3530">
        <v>28</v>
      </c>
      <c r="AC3530">
        <v>2.03269999999997</v>
      </c>
      <c r="AD3530">
        <v>-1.093313083722</v>
      </c>
      <c r="AE3530">
        <v>-11.5550999999999</v>
      </c>
      <c r="AF3530">
        <v>6.3139561083283198</v>
      </c>
      <c r="AG3530">
        <v>-1.093313083722</v>
      </c>
      <c r="AH3530">
        <v>9.7686375571456807</v>
      </c>
      <c r="AI3530">
        <v>95.369779455187796</v>
      </c>
      <c r="AJ3530">
        <v>57.123404747671003</v>
      </c>
      <c r="AK3530">
        <v>11.6827931146541</v>
      </c>
    </row>
    <row r="3531" spans="1:37" x14ac:dyDescent="0.2">
      <c r="A3531" t="str">
        <f>"20200111153720776"</f>
        <v>20200111153720776</v>
      </c>
      <c r="B3531" t="str">
        <f>"1578728240766680"</f>
        <v>1578728240766680</v>
      </c>
      <c r="C3531" t="s">
        <v>37</v>
      </c>
      <c r="D3531">
        <v>6.0107730000000004</v>
      </c>
      <c r="E3531">
        <v>0.64932599999999996</v>
      </c>
      <c r="F3531" t="s">
        <v>39</v>
      </c>
      <c r="G3531">
        <v>-193.4975</v>
      </c>
      <c r="H3531" s="1">
        <v>-3.9127029999999997E-6</v>
      </c>
      <c r="I3531">
        <v>196.66139999999999</v>
      </c>
      <c r="J3531">
        <v>-195.4442</v>
      </c>
      <c r="K3531">
        <v>1.0933409999999999</v>
      </c>
      <c r="L3531">
        <v>208.46719999999999</v>
      </c>
      <c r="M3531">
        <v>0.66941470000000003</v>
      </c>
      <c r="N3531">
        <v>0</v>
      </c>
      <c r="O3531">
        <v>-0.74272669999999996</v>
      </c>
      <c r="P3531">
        <v>0.51260299999999903</v>
      </c>
      <c r="Q3531">
        <v>4.3127499999999999E-2</v>
      </c>
      <c r="R3531">
        <v>-0.85754180000000002</v>
      </c>
      <c r="S3531">
        <v>0.5632935</v>
      </c>
      <c r="T3531">
        <v>-0.29068829999999901</v>
      </c>
      <c r="U3531">
        <v>-3.1939850000000001</v>
      </c>
      <c r="V3531">
        <v>0.19489679999999901</v>
      </c>
      <c r="W3531">
        <v>5.2935000000000003E-2</v>
      </c>
      <c r="X3531">
        <v>0.97939430000000005</v>
      </c>
      <c r="Y3531">
        <v>0.53033920000000001</v>
      </c>
      <c r="Z3531">
        <v>4.9196009999999998E-2</v>
      </c>
      <c r="AA3531">
        <v>0.84635689999999997</v>
      </c>
      <c r="AB3531">
        <v>28</v>
      </c>
      <c r="AC3531">
        <v>1.9466999999999901</v>
      </c>
      <c r="AD3531">
        <v>-1.0933449127029999</v>
      </c>
      <c r="AE3531">
        <v>-11.8058</v>
      </c>
      <c r="AF3531">
        <v>6.4044130825435097</v>
      </c>
      <c r="AG3531">
        <v>-1.0933449127029999</v>
      </c>
      <c r="AH3531">
        <v>9.9894371906885109</v>
      </c>
      <c r="AI3531">
        <v>95.264361493254398</v>
      </c>
      <c r="AJ3531">
        <v>57.335316142587999</v>
      </c>
      <c r="AK3531">
        <v>11.9164074039409</v>
      </c>
    </row>
    <row r="3532" spans="1:37" x14ac:dyDescent="0.2">
      <c r="A3532" t="str">
        <f>"20200111153720797"</f>
        <v>20200111153720797</v>
      </c>
      <c r="B3532" t="str">
        <f>"1578728240786201"</f>
        <v>1578728240786201</v>
      </c>
      <c r="C3532" t="s">
        <v>37</v>
      </c>
      <c r="D3532">
        <v>6.043355</v>
      </c>
      <c r="E3532">
        <v>0.64831859999999997</v>
      </c>
      <c r="F3532" t="s">
        <v>39</v>
      </c>
      <c r="G3532">
        <v>-193.4418</v>
      </c>
      <c r="H3532" s="1">
        <v>-3.7401960000000001E-6</v>
      </c>
      <c r="I3532">
        <v>196.18350000000001</v>
      </c>
      <c r="J3532">
        <v>-195.27090000000001</v>
      </c>
      <c r="K3532">
        <v>1.093367</v>
      </c>
      <c r="L3532">
        <v>208.25200000000001</v>
      </c>
      <c r="M3532">
        <v>0.65836269999999997</v>
      </c>
      <c r="N3532">
        <v>0</v>
      </c>
      <c r="O3532">
        <v>-0.75254129999999997</v>
      </c>
      <c r="P3532">
        <v>0.50048239999999999</v>
      </c>
      <c r="Q3532">
        <v>4.3552729999999998E-2</v>
      </c>
      <c r="R3532">
        <v>-0.86465099999999995</v>
      </c>
      <c r="S3532">
        <v>0.52175899999999997</v>
      </c>
      <c r="T3532">
        <v>-0.28489730000000002</v>
      </c>
      <c r="U3532">
        <v>-3.2008209999999999</v>
      </c>
      <c r="V3532">
        <v>0.194197799999999</v>
      </c>
      <c r="W3532">
        <v>5.3390199999999902E-2</v>
      </c>
      <c r="X3532">
        <v>0.97950839999999995</v>
      </c>
      <c r="Y3532">
        <v>0.52880559999999999</v>
      </c>
      <c r="Z3532">
        <v>4.9417290000000003E-2</v>
      </c>
      <c r="AA3532">
        <v>0.84730319999999903</v>
      </c>
      <c r="AB3532">
        <v>28</v>
      </c>
      <c r="AC3532">
        <v>1.8291000000000099</v>
      </c>
      <c r="AD3532">
        <v>-1.093370740196</v>
      </c>
      <c r="AE3532">
        <v>-12.0685</v>
      </c>
      <c r="AF3532">
        <v>6.51747274586348</v>
      </c>
      <c r="AG3532">
        <v>-1.093370740196</v>
      </c>
      <c r="AH3532">
        <v>10.205606279651301</v>
      </c>
      <c r="AI3532">
        <v>95.159407527641704</v>
      </c>
      <c r="AJ3532">
        <v>57.437010472305303</v>
      </c>
      <c r="AK3532">
        <v>12.1584254779904</v>
      </c>
    </row>
    <row r="3533" spans="1:37" x14ac:dyDescent="0.2">
      <c r="A3533" t="str">
        <f>"20200111153720821"</f>
        <v>20200111153720821</v>
      </c>
      <c r="B3533" t="str">
        <f>"1578728240816457"</f>
        <v>1578728240816457</v>
      </c>
      <c r="C3533" t="s">
        <v>37</v>
      </c>
      <c r="D3533">
        <v>6.0211639999999997</v>
      </c>
      <c r="E3533">
        <v>0.64779119999999901</v>
      </c>
      <c r="F3533" t="s">
        <v>39</v>
      </c>
      <c r="G3533">
        <v>-193.4118</v>
      </c>
      <c r="H3533" s="1">
        <v>-3.6299499999999999E-6</v>
      </c>
      <c r="I3533">
        <v>195.93450000000001</v>
      </c>
      <c r="J3533">
        <v>-195.095</v>
      </c>
      <c r="K3533">
        <v>1.093399</v>
      </c>
      <c r="L3533">
        <v>208.0266</v>
      </c>
      <c r="M3533">
        <v>0.6467811</v>
      </c>
      <c r="N3533">
        <v>0</v>
      </c>
      <c r="O3533">
        <v>-0.76251809999999998</v>
      </c>
      <c r="P3533">
        <v>0.48820580000000002</v>
      </c>
      <c r="Q3533">
        <v>4.356148E-2</v>
      </c>
      <c r="R3533">
        <v>-0.87164069999999905</v>
      </c>
      <c r="S3533">
        <v>0.483581499999999</v>
      </c>
      <c r="T3533">
        <v>-0.28440739999999998</v>
      </c>
      <c r="U3533">
        <v>-3.2040250000000001</v>
      </c>
      <c r="V3533">
        <v>0.1930685</v>
      </c>
      <c r="W3533">
        <v>5.3443539999999998E-2</v>
      </c>
      <c r="X3533">
        <v>0.97972870000000001</v>
      </c>
      <c r="Y3533">
        <v>0.52583119999999905</v>
      </c>
      <c r="Z3533">
        <v>5.064279E-2</v>
      </c>
      <c r="AA3533">
        <v>0.84907999999999995</v>
      </c>
      <c r="AB3533">
        <v>28</v>
      </c>
      <c r="AC3533">
        <v>1.68319999999999</v>
      </c>
      <c r="AD3533">
        <v>-1.0934026299499999</v>
      </c>
      <c r="AE3533">
        <v>-12.092099999999901</v>
      </c>
      <c r="AF3533">
        <v>6.48623175571191</v>
      </c>
      <c r="AG3533">
        <v>-1.0934026299499999</v>
      </c>
      <c r="AH3533">
        <v>10.228306147541099</v>
      </c>
      <c r="AI3533">
        <v>95.158549598125802</v>
      </c>
      <c r="AJ3533">
        <v>57.619366907147501</v>
      </c>
      <c r="AK3533">
        <v>12.1607967809603</v>
      </c>
    </row>
    <row r="3534" spans="1:37" x14ac:dyDescent="0.2">
      <c r="A3534" t="str">
        <f>"20200111153720843"</f>
        <v>20200111153720843</v>
      </c>
      <c r="B3534" t="str">
        <f>"1578728240836970"</f>
        <v>1578728240836970</v>
      </c>
      <c r="C3534" t="s">
        <v>37</v>
      </c>
      <c r="D3534">
        <v>6.0679379999999998</v>
      </c>
      <c r="E3534">
        <v>0.64650989999999997</v>
      </c>
      <c r="F3534" t="s">
        <v>39</v>
      </c>
      <c r="G3534">
        <v>-193.3852</v>
      </c>
      <c r="H3534" s="1">
        <v>-3.4822319999999999E-6</v>
      </c>
      <c r="I3534">
        <v>195.60669999999999</v>
      </c>
      <c r="J3534">
        <v>-194.9152</v>
      </c>
      <c r="K3534">
        <v>1.093445</v>
      </c>
      <c r="L3534">
        <v>207.78819999999999</v>
      </c>
      <c r="M3534">
        <v>0.634544199999999</v>
      </c>
      <c r="N3534">
        <v>0</v>
      </c>
      <c r="O3534">
        <v>-0.77273139999999996</v>
      </c>
      <c r="P3534">
        <v>0.47579290000000002</v>
      </c>
      <c r="Q3534">
        <v>4.34581E-2</v>
      </c>
      <c r="R3534">
        <v>-0.87848340000000003</v>
      </c>
      <c r="S3534">
        <v>0.44169619999999998</v>
      </c>
      <c r="T3534">
        <v>-0.28246379999999999</v>
      </c>
      <c r="U3534">
        <v>-3.2084959999999998</v>
      </c>
      <c r="V3534">
        <v>0.1913417</v>
      </c>
      <c r="W3534">
        <v>5.3404489999999999E-2</v>
      </c>
      <c r="X3534">
        <v>0.98006959999999999</v>
      </c>
      <c r="Y3534">
        <v>0.52331810000000001</v>
      </c>
      <c r="Z3534">
        <v>5.1599430000000002E-2</v>
      </c>
      <c r="AA3534">
        <v>0.85057380000000005</v>
      </c>
      <c r="AB3534">
        <v>28</v>
      </c>
      <c r="AC3534">
        <v>1.53</v>
      </c>
      <c r="AD3534">
        <v>-1.0934484822320001</v>
      </c>
      <c r="AE3534">
        <v>-12.1815</v>
      </c>
      <c r="AF3534">
        <v>6.4966730884250596</v>
      </c>
      <c r="AG3534">
        <v>-1.0934484822320001</v>
      </c>
      <c r="AH3534">
        <v>10.303396336430801</v>
      </c>
      <c r="AI3534">
        <v>95.129678372867502</v>
      </c>
      <c r="AJ3534">
        <v>57.767049934454697</v>
      </c>
      <c r="AK3534">
        <v>12.2295693655475</v>
      </c>
    </row>
    <row r="3535" spans="1:37" x14ac:dyDescent="0.2">
      <c r="A3535" t="str">
        <f>"20200111153720867"</f>
        <v>20200111153720867</v>
      </c>
      <c r="B3535" t="str">
        <f>"1578728240856472"</f>
        <v>1578728240856472</v>
      </c>
      <c r="C3535" t="s">
        <v>37</v>
      </c>
      <c r="D3535">
        <v>6.0573879999999898</v>
      </c>
      <c r="E3535">
        <v>0.62580839999999904</v>
      </c>
      <c r="F3535" t="s">
        <v>39</v>
      </c>
      <c r="G3535">
        <v>-193.3603</v>
      </c>
      <c r="H3535" s="1">
        <v>-3.4139329999999999E-6</v>
      </c>
      <c r="I3535">
        <v>195.46289999999999</v>
      </c>
      <c r="J3535">
        <v>-194.7457</v>
      </c>
      <c r="K3535">
        <v>1.0934889999999999</v>
      </c>
      <c r="L3535">
        <v>207.55629999999999</v>
      </c>
      <c r="M3535">
        <v>0.6226351</v>
      </c>
      <c r="N3535">
        <v>0</v>
      </c>
      <c r="O3535">
        <v>-0.78235919999999903</v>
      </c>
      <c r="P3535">
        <v>0.4643255</v>
      </c>
      <c r="Q3535">
        <v>4.3324639999999998E-2</v>
      </c>
      <c r="R3535">
        <v>-0.88460459999999996</v>
      </c>
      <c r="S3535">
        <v>0.40492250000000002</v>
      </c>
      <c r="T3535">
        <v>-0.28475659999999903</v>
      </c>
      <c r="U3535">
        <v>-3.2097630000000001</v>
      </c>
      <c r="V3535">
        <v>0.1890725</v>
      </c>
      <c r="W3535">
        <v>5.3351160000000002E-2</v>
      </c>
      <c r="X3535">
        <v>0.98051270000000001</v>
      </c>
      <c r="Y3535">
        <v>0.51990159999999996</v>
      </c>
      <c r="Z3535">
        <v>5.332866E-2</v>
      </c>
      <c r="AA3535">
        <v>0.85255990000000004</v>
      </c>
      <c r="AB3535">
        <v>28</v>
      </c>
      <c r="AC3535">
        <v>1.3854</v>
      </c>
      <c r="AD3535">
        <v>-1.093492413933</v>
      </c>
      <c r="AE3535">
        <v>-12.093400000000001</v>
      </c>
      <c r="AF3535">
        <v>6.3950593073383102</v>
      </c>
      <c r="AG3535">
        <v>-1.093492413933</v>
      </c>
      <c r="AH3535">
        <v>10.2425612968074</v>
      </c>
      <c r="AI3535">
        <v>95.174477075960993</v>
      </c>
      <c r="AJ3535">
        <v>58.020938024953601</v>
      </c>
      <c r="AK3535">
        <v>12.1244616838258</v>
      </c>
    </row>
    <row r="3536" spans="1:37" x14ac:dyDescent="0.2">
      <c r="A3536" t="str">
        <f>"20200111153720887"</f>
        <v>20200111153720887</v>
      </c>
      <c r="B3536" t="str">
        <f>"1578728240876969"</f>
        <v>1578728240876969</v>
      </c>
      <c r="C3536" t="s">
        <v>37</v>
      </c>
      <c r="D3536">
        <v>6.0477600000000002</v>
      </c>
      <c r="E3536">
        <v>0.62129899999999905</v>
      </c>
      <c r="F3536" t="s">
        <v>39</v>
      </c>
      <c r="G3536">
        <v>-193.30070000000001</v>
      </c>
      <c r="H3536" s="1">
        <v>-4.5548419999999999E-6</v>
      </c>
      <c r="I3536">
        <v>198.65090000000001</v>
      </c>
      <c r="J3536">
        <v>-194.59690000000001</v>
      </c>
      <c r="K3536">
        <v>1.0935330000000001</v>
      </c>
      <c r="L3536">
        <v>207.34630000000001</v>
      </c>
      <c r="M3536">
        <v>0.61186700000000005</v>
      </c>
      <c r="N3536">
        <v>0</v>
      </c>
      <c r="O3536">
        <v>-0.79080919999999999</v>
      </c>
      <c r="P3536">
        <v>0.45389989999999902</v>
      </c>
      <c r="Q3536">
        <v>4.2651729999999999E-2</v>
      </c>
      <c r="R3536">
        <v>-0.89003129999999997</v>
      </c>
      <c r="S3536">
        <v>0.50994870000000003</v>
      </c>
      <c r="T3536">
        <v>-0.385887799999999</v>
      </c>
      <c r="U3536">
        <v>-3.142639</v>
      </c>
      <c r="V3536">
        <v>0.18716479999999999</v>
      </c>
      <c r="W3536">
        <v>5.2747860000000001E-2</v>
      </c>
      <c r="X3536">
        <v>0.98091130000000004</v>
      </c>
      <c r="Y3536">
        <v>0.47763270000000002</v>
      </c>
      <c r="Z3536">
        <v>7.6529180000000002E-2</v>
      </c>
      <c r="AA3536">
        <v>0.875220199999999</v>
      </c>
      <c r="AB3536">
        <v>28</v>
      </c>
      <c r="AC3536">
        <v>1.29619999999999</v>
      </c>
      <c r="AD3536">
        <v>-1.0935375548420001</v>
      </c>
      <c r="AE3536">
        <v>-8.6953999999999994</v>
      </c>
      <c r="AF3536">
        <v>4.2304431081990197</v>
      </c>
      <c r="AG3536">
        <v>-1.0935375548420001</v>
      </c>
      <c r="AH3536">
        <v>7.5535554315952496</v>
      </c>
      <c r="AI3536">
        <v>97.198938232718604</v>
      </c>
      <c r="AJ3536">
        <v>60.7485633099678</v>
      </c>
      <c r="AK3536">
        <v>8.7263206985384496</v>
      </c>
    </row>
    <row r="3537" spans="1:37" x14ac:dyDescent="0.2">
      <c r="A3537" t="str">
        <f>"20200111153720911"</f>
        <v>20200111153720911</v>
      </c>
      <c r="B3537" t="str">
        <f>"1578728240906248"</f>
        <v>1578728240906248</v>
      </c>
      <c r="C3537" t="s">
        <v>37</v>
      </c>
      <c r="D3537">
        <v>6.0417550000000002</v>
      </c>
      <c r="E3537">
        <v>0.61728109999999903</v>
      </c>
      <c r="F3537" t="s">
        <v>39</v>
      </c>
      <c r="G3537">
        <v>-193.33189999999999</v>
      </c>
      <c r="H3537" s="1">
        <v>-4.8472449999999997E-6</v>
      </c>
      <c r="I3537">
        <v>199.4939</v>
      </c>
      <c r="J3537">
        <v>-194.4324</v>
      </c>
      <c r="K3537">
        <v>1.0935870000000001</v>
      </c>
      <c r="L3537">
        <v>207.10720000000001</v>
      </c>
      <c r="M3537">
        <v>0.59962419999999905</v>
      </c>
      <c r="N3537">
        <v>0</v>
      </c>
      <c r="O3537">
        <v>-0.80013230000000002</v>
      </c>
      <c r="P3537">
        <v>0.44146439999999998</v>
      </c>
      <c r="Q3537">
        <v>4.2135489999999998E-2</v>
      </c>
      <c r="R3537">
        <v>-0.89628909999999995</v>
      </c>
      <c r="S3537">
        <v>0.50488279999999996</v>
      </c>
      <c r="T3537">
        <v>-0.43645220000000001</v>
      </c>
      <c r="U3537">
        <v>-3.134064</v>
      </c>
      <c r="V3537">
        <v>0.18571689999999999</v>
      </c>
      <c r="W3537">
        <v>5.2290250000000003E-2</v>
      </c>
      <c r="X3537">
        <v>0.9812109</v>
      </c>
      <c r="Y3537">
        <v>0.4652018</v>
      </c>
      <c r="Z3537">
        <v>8.8960239999999996E-2</v>
      </c>
      <c r="AA3537">
        <v>0.88072320000000004</v>
      </c>
      <c r="AB3537">
        <v>28</v>
      </c>
      <c r="AC3537">
        <v>1.10050000000001</v>
      </c>
      <c r="AD3537">
        <v>-1.0935918472449999</v>
      </c>
      <c r="AE3537">
        <v>-7.6132999999999997</v>
      </c>
      <c r="AF3537">
        <v>3.61201223953706</v>
      </c>
      <c r="AG3537">
        <v>-1.0935918472449999</v>
      </c>
      <c r="AH3537">
        <v>6.6185742831137002</v>
      </c>
      <c r="AI3537">
        <v>98.252519331860498</v>
      </c>
      <c r="AJ3537">
        <v>61.3769934035004</v>
      </c>
      <c r="AK3537">
        <v>7.61893044252409</v>
      </c>
    </row>
    <row r="3538" spans="1:37" x14ac:dyDescent="0.2">
      <c r="A3538" t="str">
        <f>"20200111153720933"</f>
        <v>20200111153720933</v>
      </c>
      <c r="B3538" t="str">
        <f>"1578728240926745"</f>
        <v>1578728240926745</v>
      </c>
      <c r="C3538" t="s">
        <v>37</v>
      </c>
      <c r="D3538">
        <v>6.0676670000000001</v>
      </c>
      <c r="E3538">
        <v>0.61539290000000002</v>
      </c>
      <c r="F3538" t="s">
        <v>44</v>
      </c>
      <c r="G3538">
        <v>-193.28399999999999</v>
      </c>
      <c r="H3538" s="1">
        <v>6.9992200000000004E-6</v>
      </c>
      <c r="I3538">
        <v>199.78579999999999</v>
      </c>
      <c r="J3538">
        <v>-194.27350000000001</v>
      </c>
      <c r="K3538">
        <v>1.093658</v>
      </c>
      <c r="L3538">
        <v>206.86850000000001</v>
      </c>
      <c r="M3538">
        <v>0.58745340000000001</v>
      </c>
      <c r="N3538">
        <v>0</v>
      </c>
      <c r="O3538">
        <v>-0.80911049999999995</v>
      </c>
      <c r="P3538">
        <v>0.4290175</v>
      </c>
      <c r="Q3538">
        <v>4.1381229999999998E-2</v>
      </c>
      <c r="R3538">
        <v>-0.90234780000000003</v>
      </c>
      <c r="S3538">
        <v>0.49055479999999901</v>
      </c>
      <c r="T3538">
        <v>-0.46714559999999999</v>
      </c>
      <c r="U3538">
        <v>-3.1274570000000002</v>
      </c>
      <c r="V3538">
        <v>0.1844451</v>
      </c>
      <c r="W3538">
        <v>5.1591680000000001E-2</v>
      </c>
      <c r="X3538">
        <v>0.98148780000000002</v>
      </c>
      <c r="Y3538">
        <v>0.45554420000000001</v>
      </c>
      <c r="Z3538">
        <v>9.7604510000000005E-2</v>
      </c>
      <c r="AA3538">
        <v>0.88484619999999903</v>
      </c>
      <c r="AB3538">
        <v>27</v>
      </c>
      <c r="AC3538">
        <v>0.98949999999999205</v>
      </c>
      <c r="AD3538">
        <v>-1.09365100078</v>
      </c>
      <c r="AE3538">
        <v>-7.0827000000000098</v>
      </c>
      <c r="AF3538">
        <v>3.2837471613775602</v>
      </c>
      <c r="AG3538">
        <v>-1.09365100078</v>
      </c>
      <c r="AH3538">
        <v>6.1684667976882297</v>
      </c>
      <c r="AI3538">
        <v>98.894798541313094</v>
      </c>
      <c r="AJ3538">
        <v>61.971656505867003</v>
      </c>
      <c r="AK3538">
        <v>7.0731216987652896</v>
      </c>
    </row>
    <row r="3539" spans="1:37" x14ac:dyDescent="0.2">
      <c r="A3539" t="str">
        <f>"20200111153720956"</f>
        <v>20200111153720956</v>
      </c>
      <c r="B3539" t="str">
        <f>"1578728240946267"</f>
        <v>1578728240946267</v>
      </c>
      <c r="C3539" t="s">
        <v>37</v>
      </c>
      <c r="D3539">
        <v>6.0411830000000002</v>
      </c>
      <c r="E3539">
        <v>0.61443709999999996</v>
      </c>
      <c r="F3539" t="s">
        <v>44</v>
      </c>
      <c r="G3539">
        <v>-193.22110000000001</v>
      </c>
      <c r="H3539" s="1">
        <v>7.031541E-6</v>
      </c>
      <c r="I3539">
        <v>199.74170000000001</v>
      </c>
      <c r="J3539">
        <v>-194.1233</v>
      </c>
      <c r="K3539">
        <v>1.0937429999999999</v>
      </c>
      <c r="L3539">
        <v>206.63570000000001</v>
      </c>
      <c r="M3539">
        <v>0.57564519999999997</v>
      </c>
      <c r="N3539">
        <v>0</v>
      </c>
      <c r="O3539">
        <v>-0.81755409999999995</v>
      </c>
      <c r="P3539">
        <v>0.41832370000000002</v>
      </c>
      <c r="Q3539">
        <v>4.0365930000000001E-2</v>
      </c>
      <c r="R3539">
        <v>-0.90740049999999906</v>
      </c>
      <c r="S3539">
        <v>0.46176149999999999</v>
      </c>
      <c r="T3539">
        <v>-0.47988130000000001</v>
      </c>
      <c r="U3539">
        <v>-3.1271360000000001</v>
      </c>
      <c r="V3539">
        <v>0.18178059999999999</v>
      </c>
      <c r="W3539">
        <v>5.0676400000000003E-2</v>
      </c>
      <c r="X3539">
        <v>0.98203240000000003</v>
      </c>
      <c r="Y3539">
        <v>0.45062989999999897</v>
      </c>
      <c r="Z3539">
        <v>0.10230019999999999</v>
      </c>
      <c r="AA3539">
        <v>0.88682989999999995</v>
      </c>
      <c r="AB3539">
        <v>27</v>
      </c>
      <c r="AC3539">
        <v>0.90219999999999301</v>
      </c>
      <c r="AD3539">
        <v>-1.093735968459</v>
      </c>
      <c r="AE3539">
        <v>-6.8940000000000001</v>
      </c>
      <c r="AF3539">
        <v>3.1532541939084902</v>
      </c>
      <c r="AG3539">
        <v>-1.093735968459</v>
      </c>
      <c r="AH3539">
        <v>6.0076316668924497</v>
      </c>
      <c r="AI3539">
        <v>99.157407412512995</v>
      </c>
      <c r="AJ3539">
        <v>62.306153007628097</v>
      </c>
      <c r="AK3539">
        <v>6.8724747089495697</v>
      </c>
    </row>
    <row r="3540" spans="1:37" x14ac:dyDescent="0.2">
      <c r="A3540" t="str">
        <f>"20200111153720977"</f>
        <v>20200111153720977</v>
      </c>
      <c r="B3540" t="str">
        <f>"1578728240966760"</f>
        <v>1578728240966760</v>
      </c>
      <c r="C3540" t="s">
        <v>37</v>
      </c>
      <c r="D3540">
        <v>6.0489870000000003</v>
      </c>
      <c r="E3540">
        <v>0.60125580000000001</v>
      </c>
      <c r="F3540" t="s">
        <v>44</v>
      </c>
      <c r="G3540">
        <v>-193.1551</v>
      </c>
      <c r="H3540" s="1">
        <v>7.0913449999999999E-6</v>
      </c>
      <c r="I3540">
        <v>199.6223</v>
      </c>
      <c r="J3540">
        <v>-193.97980000000001</v>
      </c>
      <c r="K3540">
        <v>1.0938429999999999</v>
      </c>
      <c r="L3540">
        <v>206.40620000000001</v>
      </c>
      <c r="M3540">
        <v>0.56409310000000001</v>
      </c>
      <c r="N3540">
        <v>0</v>
      </c>
      <c r="O3540">
        <v>-0.82556770000000002</v>
      </c>
      <c r="P3540">
        <v>0.40889130000000001</v>
      </c>
      <c r="Q3540">
        <v>3.9170440000000001E-2</v>
      </c>
      <c r="R3540">
        <v>-0.91174239999999995</v>
      </c>
      <c r="S3540">
        <v>0.4319153</v>
      </c>
      <c r="T3540">
        <v>-0.48792529999999901</v>
      </c>
      <c r="U3540">
        <v>-3.1287379999999998</v>
      </c>
      <c r="V3540">
        <v>0.178137299999999</v>
      </c>
      <c r="W3540">
        <v>4.961248E-2</v>
      </c>
      <c r="X3540">
        <v>0.98275409999999996</v>
      </c>
      <c r="Y3540">
        <v>0.44648279999999901</v>
      </c>
      <c r="Z3540">
        <v>0.10591440000000001</v>
      </c>
      <c r="AA3540">
        <v>0.88850169999999995</v>
      </c>
      <c r="AB3540">
        <v>27</v>
      </c>
      <c r="AC3540">
        <v>0.82470000000000698</v>
      </c>
      <c r="AD3540">
        <v>-1.093835908655</v>
      </c>
      <c r="AE3540">
        <v>-6.7839000000000098</v>
      </c>
      <c r="AF3540">
        <v>3.06768507524224</v>
      </c>
      <c r="AG3540">
        <v>-1.093835908655</v>
      </c>
      <c r="AH3540">
        <v>5.9149556242383898</v>
      </c>
      <c r="AI3540">
        <v>99.322654636264303</v>
      </c>
      <c r="AJ3540">
        <v>62.587301963922798</v>
      </c>
      <c r="AK3540">
        <v>6.7523232115055398</v>
      </c>
    </row>
    <row r="3541" spans="1:37" x14ac:dyDescent="0.2">
      <c r="A3541" t="str">
        <f>"20200111153720999"</f>
        <v>20200111153720999</v>
      </c>
      <c r="B3541" t="str">
        <f>"1578728240986281"</f>
        <v>1578728240986281</v>
      </c>
      <c r="C3541" t="s">
        <v>37</v>
      </c>
      <c r="D3541">
        <v>5.9910930000000002</v>
      </c>
      <c r="E3541">
        <v>0.60099840000000004</v>
      </c>
      <c r="F3541" t="s">
        <v>44</v>
      </c>
      <c r="G3541">
        <v>-192.95339999999999</v>
      </c>
      <c r="H3541" s="1">
        <v>7.0168769999999899E-6</v>
      </c>
      <c r="I3541">
        <v>199.98480000000001</v>
      </c>
      <c r="J3541">
        <v>-193.83529999999999</v>
      </c>
      <c r="K3541">
        <v>1.0939760000000001</v>
      </c>
      <c r="L3541">
        <v>206.16810000000001</v>
      </c>
      <c r="M3541">
        <v>0.55221609999999999</v>
      </c>
      <c r="N3541">
        <v>0</v>
      </c>
      <c r="O3541">
        <v>-0.83355949999999901</v>
      </c>
      <c r="P3541">
        <v>0.39790969999999998</v>
      </c>
      <c r="Q3541">
        <v>3.9494599999999998E-2</v>
      </c>
      <c r="R3541">
        <v>-0.91657449999999996</v>
      </c>
      <c r="S3541">
        <v>0.49414059999999999</v>
      </c>
      <c r="T3541">
        <v>-0.52659940000000005</v>
      </c>
      <c r="U3541">
        <v>-3.091415</v>
      </c>
      <c r="V3541">
        <v>0.17585519999999999</v>
      </c>
      <c r="W3541">
        <v>5.0030619999999998E-2</v>
      </c>
      <c r="X3541">
        <v>0.98314389999999996</v>
      </c>
      <c r="Y3541">
        <v>0.41471759999999902</v>
      </c>
      <c r="Z3541">
        <v>0.1185872</v>
      </c>
      <c r="AA3541">
        <v>0.90218980000000004</v>
      </c>
      <c r="AB3541">
        <v>27</v>
      </c>
      <c r="AC3541">
        <v>0.88190000000000102</v>
      </c>
      <c r="AD3541">
        <v>-1.0939689831229999</v>
      </c>
      <c r="AE3541">
        <v>-6.1833</v>
      </c>
      <c r="AF3541">
        <v>2.5999569959796198</v>
      </c>
      <c r="AG3541">
        <v>-1.0939689831229999</v>
      </c>
      <c r="AH3541">
        <v>5.4738868920088803</v>
      </c>
      <c r="AI3541">
        <v>100.233045344047</v>
      </c>
      <c r="AJ3541">
        <v>64.593471365583397</v>
      </c>
      <c r="AK3541">
        <v>6.1579202839501903</v>
      </c>
    </row>
    <row r="3542" spans="1:37" x14ac:dyDescent="0.2">
      <c r="A3542" t="str">
        <f>"20200111153721023"</f>
        <v>20200111153721023</v>
      </c>
      <c r="B3542" t="str">
        <f>"1578728241016537"</f>
        <v>1578728241016537</v>
      </c>
      <c r="C3542" t="s">
        <v>37</v>
      </c>
      <c r="D3542">
        <v>6.0205010000000003</v>
      </c>
      <c r="E3542">
        <v>0.60144469999999906</v>
      </c>
      <c r="F3542" t="s">
        <v>39</v>
      </c>
      <c r="G3542">
        <v>-192.8605</v>
      </c>
      <c r="H3542" s="1">
        <v>-4.8013540000000003E-6</v>
      </c>
      <c r="I3542">
        <v>199.60470000000001</v>
      </c>
      <c r="J3542">
        <v>-193.68879999999999</v>
      </c>
      <c r="K3542">
        <v>1.094144</v>
      </c>
      <c r="L3542">
        <v>205.91810000000001</v>
      </c>
      <c r="M3542">
        <v>0.53990700000000003</v>
      </c>
      <c r="N3542">
        <v>0</v>
      </c>
      <c r="O3542">
        <v>-0.84158500000000003</v>
      </c>
      <c r="P3542">
        <v>0.38598909999999997</v>
      </c>
      <c r="Q3542">
        <v>4.0051080000000003E-2</v>
      </c>
      <c r="R3542">
        <v>-0.9216337</v>
      </c>
      <c r="S3542">
        <v>0.45977780000000001</v>
      </c>
      <c r="T3542">
        <v>-0.51598750000000004</v>
      </c>
      <c r="U3542">
        <v>-3.095688</v>
      </c>
      <c r="V3542">
        <v>0.17413779999999901</v>
      </c>
      <c r="W3542">
        <v>5.066735E-2</v>
      </c>
      <c r="X3542">
        <v>0.98341690000000004</v>
      </c>
      <c r="Y3542">
        <v>0.41132299999999899</v>
      </c>
      <c r="Z3542">
        <v>0.1181948</v>
      </c>
      <c r="AA3542">
        <v>0.90379390000000004</v>
      </c>
      <c r="AB3542">
        <v>27</v>
      </c>
      <c r="AC3542">
        <v>0.82829999999998405</v>
      </c>
      <c r="AD3542">
        <v>-1.0941488013539999</v>
      </c>
      <c r="AE3542">
        <v>-6.3133999999999997</v>
      </c>
      <c r="AF3542">
        <v>2.6341064461194001</v>
      </c>
      <c r="AG3542">
        <v>-1.0941488013539999</v>
      </c>
      <c r="AH3542">
        <v>5.5959162791096597</v>
      </c>
      <c r="AI3542">
        <v>100.032222396916</v>
      </c>
      <c r="AJ3542">
        <v>64.7927232301315</v>
      </c>
      <c r="AK3542">
        <v>6.2809201055097601</v>
      </c>
    </row>
    <row r="3543" spans="1:37" x14ac:dyDescent="0.2">
      <c r="A3543" t="str">
        <f>"20200111153721045"</f>
        <v>20200111153721045</v>
      </c>
      <c r="B3543" t="str">
        <f>"1578728241037035"</f>
        <v>1578728241037035</v>
      </c>
      <c r="C3543" t="s">
        <v>37</v>
      </c>
      <c r="D3543">
        <v>6.1222110000000001</v>
      </c>
      <c r="E3543">
        <v>0.60108569999999995</v>
      </c>
      <c r="F3543" t="s">
        <v>39</v>
      </c>
      <c r="G3543">
        <v>-192.7681</v>
      </c>
      <c r="H3543" s="1">
        <v>-4.6047439999999997E-6</v>
      </c>
      <c r="I3543">
        <v>199.07509999999999</v>
      </c>
      <c r="J3543">
        <v>-193.5496</v>
      </c>
      <c r="K3543">
        <v>1.094325</v>
      </c>
      <c r="L3543">
        <v>205.673</v>
      </c>
      <c r="M3543">
        <v>0.5279914</v>
      </c>
      <c r="N3543">
        <v>0</v>
      </c>
      <c r="O3543">
        <v>-0.84911219999999998</v>
      </c>
      <c r="P3543">
        <v>0.37539400000000001</v>
      </c>
      <c r="Q3543">
        <v>4.0121410000000003E-2</v>
      </c>
      <c r="R3543">
        <v>-0.92599679999999995</v>
      </c>
      <c r="S3543">
        <v>0.41732789999999997</v>
      </c>
      <c r="T3543">
        <v>-0.49596709999999899</v>
      </c>
      <c r="U3543">
        <v>-3.10183699999999</v>
      </c>
      <c r="V3543">
        <v>0.17153170000000001</v>
      </c>
      <c r="W3543">
        <v>5.084259E-2</v>
      </c>
      <c r="X3543">
        <v>0.98386580000000001</v>
      </c>
      <c r="Y3543">
        <v>0.41082809999999997</v>
      </c>
      <c r="Z3543">
        <v>0.1153016</v>
      </c>
      <c r="AA3543">
        <v>0.90439249999999904</v>
      </c>
      <c r="AB3543">
        <v>27</v>
      </c>
      <c r="AC3543">
        <v>0.78149999999999398</v>
      </c>
      <c r="AD3543">
        <v>-1.0943296047440001</v>
      </c>
      <c r="AE3543">
        <v>-6.5979000000000099</v>
      </c>
      <c r="AF3543">
        <v>2.7458893465321599</v>
      </c>
      <c r="AG3543">
        <v>-1.0943296047440001</v>
      </c>
      <c r="AH3543">
        <v>5.8567960289642897</v>
      </c>
      <c r="AI3543">
        <v>99.6022260168927</v>
      </c>
      <c r="AJ3543">
        <v>64.881025021461397</v>
      </c>
      <c r="AK3543">
        <v>6.5604516088536098</v>
      </c>
    </row>
    <row r="3544" spans="1:37" x14ac:dyDescent="0.2">
      <c r="A3544" t="str">
        <f>"20200111153721066"</f>
        <v>20200111153721066</v>
      </c>
      <c r="B3544" t="str">
        <f>"1578728241056552"</f>
        <v>1578728241056552</v>
      </c>
      <c r="C3544" t="s">
        <v>37</v>
      </c>
      <c r="D3544">
        <v>6.0771940000000004</v>
      </c>
      <c r="E3544">
        <v>0.60193680000000005</v>
      </c>
      <c r="F3544" t="s">
        <v>39</v>
      </c>
      <c r="G3544">
        <v>-192.6884</v>
      </c>
      <c r="H3544" s="1">
        <v>-4.4628979999999996E-6</v>
      </c>
      <c r="I3544">
        <v>198.69990000000001</v>
      </c>
      <c r="J3544">
        <v>-193.42019999999999</v>
      </c>
      <c r="K3544">
        <v>1.0945009999999999</v>
      </c>
      <c r="L3544">
        <v>205.43819999999999</v>
      </c>
      <c r="M3544">
        <v>0.51670539999999998</v>
      </c>
      <c r="N3544">
        <v>0</v>
      </c>
      <c r="O3544">
        <v>-0.85602730000000005</v>
      </c>
      <c r="P3544">
        <v>0.36633529999999997</v>
      </c>
      <c r="Q3544">
        <v>4.043629E-2</v>
      </c>
      <c r="R3544">
        <v>-0.92960419999999999</v>
      </c>
      <c r="S3544">
        <v>0.38352969999999997</v>
      </c>
      <c r="T3544">
        <v>-0.48734709999999998</v>
      </c>
      <c r="U3544">
        <v>-3.1053769999999998</v>
      </c>
      <c r="V3544">
        <v>0.16809179999999899</v>
      </c>
      <c r="W3544">
        <v>5.1278329999999997E-2</v>
      </c>
      <c r="X3544">
        <v>0.9844368</v>
      </c>
      <c r="Y3544">
        <v>0.40857919999999998</v>
      </c>
      <c r="Z3544">
        <v>0.114903399999999</v>
      </c>
      <c r="AA3544">
        <v>0.90546139999999997</v>
      </c>
      <c r="AB3544">
        <v>27</v>
      </c>
      <c r="AC3544">
        <v>0.73179999999999201</v>
      </c>
      <c r="AD3544">
        <v>-1.094505462898</v>
      </c>
      <c r="AE3544">
        <v>-6.7382999999999802</v>
      </c>
      <c r="AF3544">
        <v>2.78303684182865</v>
      </c>
      <c r="AG3544">
        <v>-1.094505462898</v>
      </c>
      <c r="AH3544">
        <v>5.9907927205116698</v>
      </c>
      <c r="AI3544">
        <v>99.407966809142096</v>
      </c>
      <c r="AJ3544">
        <v>65.082664490930995</v>
      </c>
      <c r="AK3544">
        <v>6.6957324984967004</v>
      </c>
    </row>
    <row r="3545" spans="1:37" x14ac:dyDescent="0.2">
      <c r="A3545" t="str">
        <f>"20200111153721088"</f>
        <v>20200111153721088</v>
      </c>
      <c r="B3545" t="str">
        <f>"1578728241077049"</f>
        <v>1578728241077049</v>
      </c>
      <c r="C3545" t="s">
        <v>37</v>
      </c>
      <c r="D3545">
        <v>6.0923870000000004</v>
      </c>
      <c r="E3545">
        <v>0.60275000000000001</v>
      </c>
      <c r="F3545" t="s">
        <v>39</v>
      </c>
      <c r="G3545">
        <v>-192.63419999999999</v>
      </c>
      <c r="H3545" s="1">
        <v>-4.3404080000000002E-6</v>
      </c>
      <c r="I3545">
        <v>198.3682</v>
      </c>
      <c r="J3545">
        <v>-193.29089999999999</v>
      </c>
      <c r="K3545">
        <v>1.094678</v>
      </c>
      <c r="L3545">
        <v>205.19640000000001</v>
      </c>
      <c r="M3545">
        <v>0.50522990000000001</v>
      </c>
      <c r="N3545">
        <v>0</v>
      </c>
      <c r="O3545">
        <v>-0.86285069999999997</v>
      </c>
      <c r="P3545">
        <v>0.35564279999999998</v>
      </c>
      <c r="Q3545">
        <v>4.2204520000000002E-2</v>
      </c>
      <c r="R3545">
        <v>-0.93366909999999903</v>
      </c>
      <c r="S3545">
        <v>0.34591669999999902</v>
      </c>
      <c r="T3545">
        <v>-0.48174119999999998</v>
      </c>
      <c r="U3545">
        <v>-3.1118160000000001</v>
      </c>
      <c r="V3545">
        <v>0.16622819999999999</v>
      </c>
      <c r="W3545">
        <v>5.3121170000000002E-2</v>
      </c>
      <c r="X3545">
        <v>0.98465539999999996</v>
      </c>
      <c r="Y3545">
        <v>0.40742209999999901</v>
      </c>
      <c r="Z3545">
        <v>0.1149932</v>
      </c>
      <c r="AA3545">
        <v>0.90597119999999998</v>
      </c>
      <c r="AB3545">
        <v>27</v>
      </c>
      <c r="AC3545">
        <v>0.65669999999999995</v>
      </c>
      <c r="AD3545">
        <v>-1.0946823404079999</v>
      </c>
      <c r="AE3545">
        <v>-6.8282000000000096</v>
      </c>
      <c r="AF3545">
        <v>2.8119017907369299</v>
      </c>
      <c r="AG3545">
        <v>-1.0946823404079999</v>
      </c>
      <c r="AH3545">
        <v>6.0696505593539296</v>
      </c>
      <c r="AI3545">
        <v>99.2938163387185</v>
      </c>
      <c r="AJ3545">
        <v>65.143010870056202</v>
      </c>
      <c r="AK3545">
        <v>6.7783315808402396</v>
      </c>
    </row>
    <row r="3546" spans="1:37" x14ac:dyDescent="0.2">
      <c r="A3546" t="str">
        <f>"20200111153721112"</f>
        <v>20200111153721112</v>
      </c>
      <c r="B3546" t="str">
        <f>"1578728241106329"</f>
        <v>1578728241106329</v>
      </c>
      <c r="C3546" t="s">
        <v>37</v>
      </c>
      <c r="D3546">
        <v>6.0949749999999998</v>
      </c>
      <c r="E3546">
        <v>0.60266750000000002</v>
      </c>
      <c r="F3546" t="s">
        <v>39</v>
      </c>
      <c r="G3546">
        <v>-192.58250000000001</v>
      </c>
      <c r="H3546" s="1">
        <v>-4.1956600000000001E-6</v>
      </c>
      <c r="I3546">
        <v>197.96979999999999</v>
      </c>
      <c r="J3546">
        <v>-193.16069999999999</v>
      </c>
      <c r="K3546">
        <v>1.0948530000000001</v>
      </c>
      <c r="L3546">
        <v>204.9451</v>
      </c>
      <c r="M3546">
        <v>0.49345539999999999</v>
      </c>
      <c r="N3546">
        <v>0</v>
      </c>
      <c r="O3546">
        <v>-0.86963869999999899</v>
      </c>
      <c r="P3546">
        <v>0.34439330000000001</v>
      </c>
      <c r="Q3546">
        <v>4.369017E-2</v>
      </c>
      <c r="R3546">
        <v>-0.93780830000000004</v>
      </c>
      <c r="S3546">
        <v>0.30567929999999999</v>
      </c>
      <c r="T3546">
        <v>-0.47231339999999999</v>
      </c>
      <c r="U3546">
        <v>-3.1180110000000001</v>
      </c>
      <c r="V3546">
        <v>0.16466120000000001</v>
      </c>
      <c r="W3546">
        <v>5.4671020000000001E-2</v>
      </c>
      <c r="X3546">
        <v>0.98483390000000004</v>
      </c>
      <c r="Y3546">
        <v>0.4067692</v>
      </c>
      <c r="Z3546">
        <v>0.1141262</v>
      </c>
      <c r="AA3546">
        <v>0.90637409999999996</v>
      </c>
      <c r="AB3546">
        <v>27</v>
      </c>
      <c r="AC3546">
        <v>0.57819999999998095</v>
      </c>
      <c r="AD3546">
        <v>-1.0948571956599999</v>
      </c>
      <c r="AE3546">
        <v>-6.9752999999999998</v>
      </c>
      <c r="AF3546">
        <v>2.8693040132652898</v>
      </c>
      <c r="AG3546">
        <v>-1.0948571956599999</v>
      </c>
      <c r="AH3546">
        <v>6.2003228476272296</v>
      </c>
      <c r="AI3546">
        <v>99.104415815530402</v>
      </c>
      <c r="AJ3546">
        <v>65.166863689867398</v>
      </c>
      <c r="AK3546">
        <v>6.9192211421688903</v>
      </c>
    </row>
    <row r="3547" spans="1:37" x14ac:dyDescent="0.2">
      <c r="A3547" t="str">
        <f>"20200111153721134"</f>
        <v>20200111153721134</v>
      </c>
      <c r="B3547" t="str">
        <f>"1578728241126824"</f>
        <v>1578728241126824</v>
      </c>
      <c r="C3547" t="s">
        <v>37</v>
      </c>
      <c r="D3547">
        <v>6.1010039999999996</v>
      </c>
      <c r="E3547">
        <v>0.60208050000000002</v>
      </c>
      <c r="F3547" t="s">
        <v>39</v>
      </c>
      <c r="G3547">
        <v>-192.52199999999999</v>
      </c>
      <c r="H3547" s="1">
        <v>-4.0443529999999902E-6</v>
      </c>
      <c r="I3547">
        <v>197.55670000000001</v>
      </c>
      <c r="J3547">
        <v>-193.03129999999999</v>
      </c>
      <c r="K3547">
        <v>1.095038</v>
      </c>
      <c r="L3547">
        <v>204.6874</v>
      </c>
      <c r="M3547">
        <v>0.4815488</v>
      </c>
      <c r="N3547">
        <v>0</v>
      </c>
      <c r="O3547">
        <v>-0.87628850000000003</v>
      </c>
      <c r="P3547">
        <v>0.33475949999999999</v>
      </c>
      <c r="Q3547">
        <v>4.4748620000000003E-2</v>
      </c>
      <c r="R3547">
        <v>-0.94124069999999904</v>
      </c>
      <c r="S3547">
        <v>0.26983639999999998</v>
      </c>
      <c r="T3547">
        <v>-0.46254719999999999</v>
      </c>
      <c r="U3547">
        <v>-3.1213989999999998</v>
      </c>
      <c r="V3547">
        <v>0.161303</v>
      </c>
      <c r="W3547">
        <v>5.583892E-2</v>
      </c>
      <c r="X3547">
        <v>0.98532399999999998</v>
      </c>
      <c r="Y3547">
        <v>0.40472550000000002</v>
      </c>
      <c r="Z3547">
        <v>0.1132276</v>
      </c>
      <c r="AA3547">
        <v>0.90740109999999996</v>
      </c>
      <c r="AB3547">
        <v>27</v>
      </c>
      <c r="AC3547">
        <v>0.509299999999967</v>
      </c>
      <c r="AD3547">
        <v>-1.095042044353</v>
      </c>
      <c r="AE3547">
        <v>-7.1306999999999903</v>
      </c>
      <c r="AF3547">
        <v>2.9193318528830101</v>
      </c>
      <c r="AG3547">
        <v>-1.095042044353</v>
      </c>
      <c r="AH3547">
        <v>6.3456580840699699</v>
      </c>
      <c r="AI3547">
        <v>98.909800816417899</v>
      </c>
      <c r="AJ3547">
        <v>65.295117034149797</v>
      </c>
      <c r="AK3547">
        <v>7.0702893905469502</v>
      </c>
    </row>
    <row r="3548" spans="1:37" x14ac:dyDescent="0.2">
      <c r="A3548" t="str">
        <f>"20200111153721156"</f>
        <v>20200111153721156</v>
      </c>
      <c r="B3548" t="str">
        <f>"1578728241146344"</f>
        <v>1578728241146344</v>
      </c>
      <c r="C3548" t="s">
        <v>37</v>
      </c>
      <c r="D3548">
        <v>6.0159799999999999</v>
      </c>
      <c r="E3548">
        <v>0.6019236</v>
      </c>
      <c r="F3548" t="s">
        <v>39</v>
      </c>
      <c r="G3548">
        <v>-192.45009999999999</v>
      </c>
      <c r="H3548" s="1">
        <v>-3.9030410000000002E-6</v>
      </c>
      <c r="I3548">
        <v>197.179</v>
      </c>
      <c r="J3548">
        <v>-192.9151</v>
      </c>
      <c r="K3548">
        <v>1.0952139999999999</v>
      </c>
      <c r="L3548">
        <v>204.44839999999999</v>
      </c>
      <c r="M3548">
        <v>0.47066940000000002</v>
      </c>
      <c r="N3548">
        <v>0</v>
      </c>
      <c r="O3548">
        <v>-0.88218050000000003</v>
      </c>
      <c r="P3548">
        <v>0.32766230000000002</v>
      </c>
      <c r="Q3548">
        <v>4.6680890000000003E-2</v>
      </c>
      <c r="R3548">
        <v>-0.94364110000000001</v>
      </c>
      <c r="S3548">
        <v>0.24176030000000001</v>
      </c>
      <c r="T3548">
        <v>-0.45546249999999999</v>
      </c>
      <c r="U3548">
        <v>-3.122986</v>
      </c>
      <c r="V3548">
        <v>0.15650539999999999</v>
      </c>
      <c r="W3548">
        <v>5.7913140000000002E-2</v>
      </c>
      <c r="X3548">
        <v>0.98597780000000002</v>
      </c>
      <c r="Y3548">
        <v>0.40155759999999902</v>
      </c>
      <c r="Z3548">
        <v>0.11284809999999899</v>
      </c>
      <c r="AA3548">
        <v>0.90885469999999902</v>
      </c>
      <c r="AB3548">
        <v>27</v>
      </c>
      <c r="AC3548">
        <v>0.46500000000000302</v>
      </c>
      <c r="AD3548">
        <v>-1.0952179030410001</v>
      </c>
      <c r="AE3548">
        <v>-7.2693999999999903</v>
      </c>
      <c r="AF3548">
        <v>2.9450368215568701</v>
      </c>
      <c r="AG3548">
        <v>-1.0952179030410001</v>
      </c>
      <c r="AH3548">
        <v>6.4859170159522401</v>
      </c>
      <c r="AI3548">
        <v>98.740951401283894</v>
      </c>
      <c r="AJ3548">
        <v>65.578798396196603</v>
      </c>
      <c r="AK3548">
        <v>7.2069316406697101</v>
      </c>
    </row>
    <row r="3549" spans="1:37" x14ac:dyDescent="0.2">
      <c r="A3549" t="str">
        <f>"20200111153721178"</f>
        <v>20200111153721178</v>
      </c>
      <c r="B3549" t="str">
        <f>"1578728241166840"</f>
        <v>1578728241166840</v>
      </c>
      <c r="C3549" t="s">
        <v>37</v>
      </c>
      <c r="D3549">
        <v>6.092651</v>
      </c>
      <c r="E3549">
        <v>0.60164019999999996</v>
      </c>
      <c r="F3549" t="s">
        <v>39</v>
      </c>
      <c r="G3549">
        <v>-192.37450000000001</v>
      </c>
      <c r="H3549" s="1">
        <v>-3.6928349999999999E-6</v>
      </c>
      <c r="I3549">
        <v>196.72450000000001</v>
      </c>
      <c r="J3549">
        <v>-192.79939999999999</v>
      </c>
      <c r="K3549">
        <v>1.095386</v>
      </c>
      <c r="L3549">
        <v>204.20320000000001</v>
      </c>
      <c r="M3549">
        <v>0.45965739999999999</v>
      </c>
      <c r="N3549">
        <v>0</v>
      </c>
      <c r="O3549">
        <v>-0.88796909999999896</v>
      </c>
      <c r="P3549">
        <v>0.32047589999999998</v>
      </c>
      <c r="Q3549">
        <v>4.7599679999999998E-2</v>
      </c>
      <c r="R3549">
        <v>-0.94606039999999902</v>
      </c>
      <c r="S3549">
        <v>0.2187347</v>
      </c>
      <c r="T3549">
        <v>-0.44313089999999999</v>
      </c>
      <c r="U3549">
        <v>-3.1251530000000001</v>
      </c>
      <c r="V3549">
        <v>0.1517085</v>
      </c>
      <c r="W3549">
        <v>5.8972289999999997E-2</v>
      </c>
      <c r="X3549">
        <v>0.98666450000000006</v>
      </c>
      <c r="Y3549">
        <v>0.39686779999999999</v>
      </c>
      <c r="Z3549">
        <v>0.11113439999999999</v>
      </c>
      <c r="AA3549">
        <v>0.91112299999999902</v>
      </c>
      <c r="AB3549">
        <v>27</v>
      </c>
      <c r="AC3549">
        <v>0.42489999999997902</v>
      </c>
      <c r="AD3549">
        <v>-1.095389692835</v>
      </c>
      <c r="AE3549">
        <v>-7.4786999999999999</v>
      </c>
      <c r="AF3549">
        <v>2.9966085658905</v>
      </c>
      <c r="AG3549">
        <v>-1.095389692835</v>
      </c>
      <c r="AH3549">
        <v>6.6937963943042602</v>
      </c>
      <c r="AI3549">
        <v>98.494849887864206</v>
      </c>
      <c r="AJ3549">
        <v>65.883392733137299</v>
      </c>
      <c r="AK3549">
        <v>7.4152850009111804</v>
      </c>
    </row>
    <row r="3550" spans="1:37" x14ac:dyDescent="0.2">
      <c r="A3550" t="str">
        <f>"20200111153721201"</f>
        <v>20200111153721201</v>
      </c>
      <c r="B3550" t="str">
        <f>"1578728241197097"</f>
        <v>1578728241197097</v>
      </c>
      <c r="C3550" t="s">
        <v>37</v>
      </c>
      <c r="D3550">
        <v>6.0909420000000001</v>
      </c>
      <c r="E3550">
        <v>0.60125869999999904</v>
      </c>
      <c r="F3550" t="s">
        <v>39</v>
      </c>
      <c r="G3550">
        <v>-192.30359999999999</v>
      </c>
      <c r="H3550" s="1">
        <v>-3.512315E-6</v>
      </c>
      <c r="I3550">
        <v>196.3477</v>
      </c>
      <c r="J3550">
        <v>-192.68340000000001</v>
      </c>
      <c r="K3550">
        <v>1.095556</v>
      </c>
      <c r="L3550">
        <v>203.9495</v>
      </c>
      <c r="M3550">
        <v>0.4484282</v>
      </c>
      <c r="N3550">
        <v>0</v>
      </c>
      <c r="O3550">
        <v>-0.89369310000000002</v>
      </c>
      <c r="P3550">
        <v>0.31530989999999998</v>
      </c>
      <c r="Q3550">
        <v>4.7357089999999998E-2</v>
      </c>
      <c r="R3550">
        <v>-0.94780679999999995</v>
      </c>
      <c r="S3550">
        <v>0.19732669999999999</v>
      </c>
      <c r="T3550">
        <v>-0.43590800000000002</v>
      </c>
      <c r="U3550">
        <v>-3.1261139999999998</v>
      </c>
      <c r="V3550">
        <v>0.1446209</v>
      </c>
      <c r="W3550">
        <v>5.8924209999999998E-2</v>
      </c>
      <c r="X3550">
        <v>0.98773109999999997</v>
      </c>
      <c r="Y3550">
        <v>0.39153119999999902</v>
      </c>
      <c r="Z3550">
        <v>0.1106635</v>
      </c>
      <c r="AA3550">
        <v>0.91348609999999897</v>
      </c>
      <c r="AB3550">
        <v>27</v>
      </c>
      <c r="AC3550">
        <v>0.37980000000001701</v>
      </c>
      <c r="AD3550">
        <v>-1.0955595123149999</v>
      </c>
      <c r="AE3550">
        <v>-7.6017999999999901</v>
      </c>
      <c r="AF3550">
        <v>3.00747187913626</v>
      </c>
      <c r="AG3550">
        <v>-1.0955595123149999</v>
      </c>
      <c r="AH3550">
        <v>6.8234020811654696</v>
      </c>
      <c r="AI3550">
        <v>98.358160991309802</v>
      </c>
      <c r="AJ3550">
        <v>66.214109923890604</v>
      </c>
      <c r="AK3550">
        <v>7.5368397694307303</v>
      </c>
    </row>
    <row r="3551" spans="1:37" x14ac:dyDescent="0.2">
      <c r="A3551" t="str">
        <f>"20200111153721235"</f>
        <v>20200111153721235</v>
      </c>
      <c r="B3551" t="str">
        <f>"1578728241226376"</f>
        <v>1578728241226376</v>
      </c>
      <c r="C3551" t="s">
        <v>37</v>
      </c>
      <c r="D3551">
        <v>5.9787419999999996</v>
      </c>
      <c r="E3551">
        <v>0.60046750000000004</v>
      </c>
      <c r="F3551" t="s">
        <v>39</v>
      </c>
      <c r="G3551">
        <v>-192.21530000000001</v>
      </c>
      <c r="H3551" s="1">
        <v>-3.3064129999999999E-6</v>
      </c>
      <c r="I3551">
        <v>195.92240000000001</v>
      </c>
      <c r="J3551">
        <v>-192.51439999999999</v>
      </c>
      <c r="K3551">
        <v>1.0958030000000001</v>
      </c>
      <c r="L3551">
        <v>203.5641</v>
      </c>
      <c r="M3551">
        <v>0.4316719</v>
      </c>
      <c r="N3551">
        <v>0</v>
      </c>
      <c r="O3551">
        <v>-0.90190700000000001</v>
      </c>
      <c r="P3551">
        <v>0.30553669999999999</v>
      </c>
      <c r="Q3551">
        <v>4.6195819999999999E-2</v>
      </c>
      <c r="R3551">
        <v>-0.95105910000000005</v>
      </c>
      <c r="S3551">
        <v>0.18229679999999901</v>
      </c>
      <c r="T3551">
        <v>-0.42663259999999997</v>
      </c>
      <c r="U3551">
        <v>-3.1258849999999998</v>
      </c>
      <c r="V3551">
        <v>0.13630709999999999</v>
      </c>
      <c r="W3551">
        <v>5.7983109999999997E-2</v>
      </c>
      <c r="X3551">
        <v>0.98896830000000002</v>
      </c>
      <c r="Y3551">
        <v>0.37871059999999901</v>
      </c>
      <c r="Z3551">
        <v>0.1103746</v>
      </c>
      <c r="AA3551">
        <v>0.91891009999999995</v>
      </c>
      <c r="AB3551">
        <v>27</v>
      </c>
      <c r="AC3551">
        <v>0.29909999999998099</v>
      </c>
      <c r="AD3551">
        <v>-1.0958063064129999</v>
      </c>
      <c r="AE3551">
        <v>-7.6416999999999797</v>
      </c>
      <c r="AF3551">
        <v>2.9683399913663902</v>
      </c>
      <c r="AG3551">
        <v>-1.0958063064129999</v>
      </c>
      <c r="AH3551">
        <v>6.8807269194629503</v>
      </c>
      <c r="AI3551">
        <v>98.319423776802694</v>
      </c>
      <c r="AJ3551">
        <v>66.664671995277402</v>
      </c>
      <c r="AK3551">
        <v>7.5733900405130097</v>
      </c>
    </row>
    <row r="3552" spans="1:37" x14ac:dyDescent="0.2">
      <c r="A3552" t="str">
        <f>"20200111153721256"</f>
        <v>20200111153721256</v>
      </c>
      <c r="B3552" t="str">
        <f>"1578728241246872"</f>
        <v>1578728241246872</v>
      </c>
      <c r="C3552" t="s">
        <v>37</v>
      </c>
      <c r="D3552">
        <v>6.0781460000000003</v>
      </c>
      <c r="E3552">
        <v>0.59981890000000004</v>
      </c>
      <c r="F3552" t="s">
        <v>39</v>
      </c>
      <c r="G3552">
        <v>-192.1146</v>
      </c>
      <c r="H3552" s="1">
        <v>-3.103645E-6</v>
      </c>
      <c r="I3552">
        <v>195.51230000000001</v>
      </c>
      <c r="J3552">
        <v>-192.41099999999901</v>
      </c>
      <c r="K3552">
        <v>1.095933</v>
      </c>
      <c r="L3552">
        <v>203.31909999999999</v>
      </c>
      <c r="M3552">
        <v>0.42116110000000001</v>
      </c>
      <c r="N3552">
        <v>0</v>
      </c>
      <c r="O3552">
        <v>-0.90686350000000004</v>
      </c>
      <c r="P3552">
        <v>0.29941899999999999</v>
      </c>
      <c r="Q3552">
        <v>4.6074440000000001E-2</v>
      </c>
      <c r="R3552">
        <v>-0.95300890000000005</v>
      </c>
      <c r="S3552">
        <v>0.1551971</v>
      </c>
      <c r="T3552">
        <v>-0.42532059999999999</v>
      </c>
      <c r="U3552">
        <v>-3.1251980000000001</v>
      </c>
      <c r="V3552">
        <v>0.1311436</v>
      </c>
      <c r="W3552">
        <v>5.7989779999999998E-2</v>
      </c>
      <c r="X3552">
        <v>0.98966589999999999</v>
      </c>
      <c r="Y3552">
        <v>0.37589429999999902</v>
      </c>
      <c r="Z3552">
        <v>0.1111472</v>
      </c>
      <c r="AA3552">
        <v>0.91997269999999898</v>
      </c>
      <c r="AB3552">
        <v>27</v>
      </c>
      <c r="AC3552">
        <v>0.29639999999997702</v>
      </c>
      <c r="AD3552">
        <v>-1.0959361036449999</v>
      </c>
      <c r="AE3552">
        <v>-7.8067999999999804</v>
      </c>
      <c r="AF3552">
        <v>2.9611885325460698</v>
      </c>
      <c r="AG3552">
        <v>-1.0959361036449999</v>
      </c>
      <c r="AH3552">
        <v>7.0662777494158204</v>
      </c>
      <c r="AI3552">
        <v>98.140467200329496</v>
      </c>
      <c r="AJ3552">
        <v>67.263431853189303</v>
      </c>
      <c r="AK3552">
        <v>7.7396378920750601</v>
      </c>
    </row>
    <row r="3553" spans="1:37" x14ac:dyDescent="0.2">
      <c r="A3553" t="str">
        <f>"20200111153721280"</f>
        <v>20200111153721280</v>
      </c>
      <c r="B3553" t="str">
        <f>"1578728241276153"</f>
        <v>1578728241276153</v>
      </c>
      <c r="C3553" t="s">
        <v>37</v>
      </c>
      <c r="D3553">
        <v>5.681908</v>
      </c>
      <c r="E3553">
        <v>0.59955190000000003</v>
      </c>
      <c r="F3553" t="s">
        <v>39</v>
      </c>
      <c r="G3553">
        <v>-192.05260000000001</v>
      </c>
      <c r="H3553" s="1">
        <v>-2.9798190000000001E-6</v>
      </c>
      <c r="I3553">
        <v>195.2621</v>
      </c>
      <c r="J3553">
        <v>-192.30719999999999</v>
      </c>
      <c r="K3553">
        <v>1.0960639999999999</v>
      </c>
      <c r="L3553">
        <v>203.0652</v>
      </c>
      <c r="M3553">
        <v>0.41039730000000002</v>
      </c>
      <c r="N3553">
        <v>0</v>
      </c>
      <c r="O3553">
        <v>-0.91178599999999999</v>
      </c>
      <c r="P3553">
        <v>0.29309970000000002</v>
      </c>
      <c r="Q3553">
        <v>4.5569070000000003E-2</v>
      </c>
      <c r="R3553">
        <v>-0.95499559999999994</v>
      </c>
      <c r="S3553">
        <v>0.139022799999999</v>
      </c>
      <c r="T3553">
        <v>-0.42504219999999998</v>
      </c>
      <c r="U3553">
        <v>-3.1247859999999998</v>
      </c>
      <c r="V3553">
        <v>0.1259596</v>
      </c>
      <c r="W3553">
        <v>5.7608949999999999E-2</v>
      </c>
      <c r="X3553">
        <v>0.99036119999999905</v>
      </c>
      <c r="Y3553">
        <v>0.36967470000000002</v>
      </c>
      <c r="Z3553">
        <v>0.1122512</v>
      </c>
      <c r="AA3553">
        <v>0.92235579999999995</v>
      </c>
      <c r="AB3553">
        <v>27</v>
      </c>
      <c r="AC3553">
        <v>0.25459999999998201</v>
      </c>
      <c r="AD3553">
        <v>-1.0960669798189999</v>
      </c>
      <c r="AE3553">
        <v>-7.8030999999999997</v>
      </c>
      <c r="AF3553">
        <v>2.91314091646244</v>
      </c>
      <c r="AG3553">
        <v>-1.0960669798189999</v>
      </c>
      <c r="AH3553">
        <v>7.0804864533931298</v>
      </c>
      <c r="AI3553">
        <v>98.146990216817201</v>
      </c>
      <c r="AJ3553">
        <v>67.636150658732902</v>
      </c>
      <c r="AK3553">
        <v>7.7344063275794399</v>
      </c>
    </row>
    <row r="3554" spans="1:37" x14ac:dyDescent="0.2">
      <c r="A3554" t="str">
        <f>"20200111153721302"</f>
        <v>20200111153721302</v>
      </c>
      <c r="B3554" t="str">
        <f>"1578728241296649"</f>
        <v>1578728241296649</v>
      </c>
      <c r="C3554" t="s">
        <v>37</v>
      </c>
      <c r="D3554">
        <v>6.0431989999999898</v>
      </c>
      <c r="E3554">
        <v>0.58422649999999998</v>
      </c>
      <c r="F3554" t="s">
        <v>39</v>
      </c>
      <c r="G3554">
        <v>-191.9922</v>
      </c>
      <c r="H3554" s="1">
        <v>-2.787693E-6</v>
      </c>
      <c r="I3554">
        <v>194.85169999999999</v>
      </c>
      <c r="J3554">
        <v>-192.20519999999999</v>
      </c>
      <c r="K3554">
        <v>1.0962019999999999</v>
      </c>
      <c r="L3554">
        <v>202.80690000000001</v>
      </c>
      <c r="M3554">
        <v>0.39959539999999999</v>
      </c>
      <c r="N3554">
        <v>0</v>
      </c>
      <c r="O3554">
        <v>-0.91657199999999905</v>
      </c>
      <c r="P3554">
        <v>0.28745479999999901</v>
      </c>
      <c r="Q3554">
        <v>4.5440109999999999E-2</v>
      </c>
      <c r="R3554">
        <v>-0.95671609999999996</v>
      </c>
      <c r="S3554">
        <v>0.11984249999999901</v>
      </c>
      <c r="T3554">
        <v>-0.41695059999999901</v>
      </c>
      <c r="U3554">
        <v>-3.124466</v>
      </c>
      <c r="V3554">
        <v>0.1200811</v>
      </c>
      <c r="W3554">
        <v>5.7615599999999899E-2</v>
      </c>
      <c r="X3554">
        <v>0.99109080000000005</v>
      </c>
      <c r="Y3554">
        <v>0.3643438</v>
      </c>
      <c r="Z3554">
        <v>0.1112486</v>
      </c>
      <c r="AA3554">
        <v>0.92459579999999997</v>
      </c>
      <c r="AB3554">
        <v>27</v>
      </c>
      <c r="AC3554">
        <v>0.212999999999993</v>
      </c>
      <c r="AD3554">
        <v>-1.0962047876929999</v>
      </c>
      <c r="AE3554">
        <v>-7.9552000000000103</v>
      </c>
      <c r="AF3554">
        <v>2.9283939163820598</v>
      </c>
      <c r="AG3554">
        <v>-1.0962047876929999</v>
      </c>
      <c r="AH3554">
        <v>7.2400599261622203</v>
      </c>
      <c r="AI3554">
        <v>97.989928793533096</v>
      </c>
      <c r="AJ3554">
        <v>67.978098292192698</v>
      </c>
      <c r="AK3554">
        <v>7.8864202018713598</v>
      </c>
    </row>
    <row r="3555" spans="1:37" x14ac:dyDescent="0.2">
      <c r="A3555" t="str">
        <f>"20200111153721324"</f>
        <v>20200111153721324</v>
      </c>
      <c r="B3555" t="str">
        <f>"1578728241317144"</f>
        <v>1578728241317144</v>
      </c>
      <c r="C3555" t="s">
        <v>37</v>
      </c>
      <c r="D3555">
        <v>5.9817609999999997</v>
      </c>
      <c r="E3555">
        <v>0.58510469999999903</v>
      </c>
      <c r="F3555" t="s">
        <v>39</v>
      </c>
      <c r="G3555">
        <v>-191.67230000000001</v>
      </c>
      <c r="H3555" s="1">
        <v>-2.8633729999999999E-6</v>
      </c>
      <c r="I3555">
        <v>195.22649999999999</v>
      </c>
      <c r="J3555">
        <v>-192.10470000000001</v>
      </c>
      <c r="K3555">
        <v>1.096349</v>
      </c>
      <c r="L3555">
        <v>202.54349999999999</v>
      </c>
      <c r="M3555">
        <v>0.38870300000000002</v>
      </c>
      <c r="N3555">
        <v>0</v>
      </c>
      <c r="O3555">
        <v>-0.92124450000000002</v>
      </c>
      <c r="P3555">
        <v>0.28172729999999901</v>
      </c>
      <c r="Q3555">
        <v>4.6140090000000002E-2</v>
      </c>
      <c r="R3555">
        <v>-0.95838449999999997</v>
      </c>
      <c r="S3555">
        <v>0.21734619999999999</v>
      </c>
      <c r="T3555">
        <v>-0.44708239999999999</v>
      </c>
      <c r="U3555">
        <v>-3.0916440000000001</v>
      </c>
      <c r="V3555">
        <v>0.114237799999999</v>
      </c>
      <c r="W3555">
        <v>5.8444860000000001E-2</v>
      </c>
      <c r="X3555">
        <v>0.99173279999999997</v>
      </c>
      <c r="Y3555">
        <v>0.32363540000000002</v>
      </c>
      <c r="Z3555">
        <v>0.1223788</v>
      </c>
      <c r="AA3555">
        <v>0.93823429999999997</v>
      </c>
      <c r="AB3555">
        <v>27</v>
      </c>
      <c r="AC3555">
        <v>0.43240000000000101</v>
      </c>
      <c r="AD3555">
        <v>-1.0963518633730001</v>
      </c>
      <c r="AE3555">
        <v>-7.3170000000000002</v>
      </c>
      <c r="AF3555">
        <v>2.3925334323173799</v>
      </c>
      <c r="AG3555">
        <v>-1.0963518633730001</v>
      </c>
      <c r="AH3555">
        <v>6.7583727370629401</v>
      </c>
      <c r="AI3555">
        <v>98.694413445271095</v>
      </c>
      <c r="AJ3555">
        <v>70.505513465854094</v>
      </c>
      <c r="AK3555">
        <v>7.2527102304003197</v>
      </c>
    </row>
    <row r="3556" spans="1:37" x14ac:dyDescent="0.2">
      <c r="A3556" t="str">
        <f>"20200111153721346"</f>
        <v>20200111153721346</v>
      </c>
      <c r="B3556" t="str">
        <f>"1578728241336667"</f>
        <v>1578728241336667</v>
      </c>
      <c r="C3556" t="s">
        <v>37</v>
      </c>
      <c r="D3556">
        <v>6.0316939999999999</v>
      </c>
      <c r="E3556">
        <v>0.5862792</v>
      </c>
      <c r="F3556" t="s">
        <v>39</v>
      </c>
      <c r="G3556">
        <v>-191.61189999999999</v>
      </c>
      <c r="H3556" s="1">
        <v>-2.5731369999999999E-6</v>
      </c>
      <c r="I3556">
        <v>194.5874</v>
      </c>
      <c r="J3556">
        <v>-192.01230000000001</v>
      </c>
      <c r="K3556">
        <v>1.0964769999999999</v>
      </c>
      <c r="L3556">
        <v>202.29339999999999</v>
      </c>
      <c r="M3556">
        <v>0.37845780000000001</v>
      </c>
      <c r="N3556">
        <v>0</v>
      </c>
      <c r="O3556">
        <v>-0.92550119999999902</v>
      </c>
      <c r="P3556">
        <v>0.27526899999999999</v>
      </c>
      <c r="Q3556">
        <v>4.8524949999999997E-2</v>
      </c>
      <c r="R3556">
        <v>-0.96014179999999905</v>
      </c>
      <c r="S3556">
        <v>0.19166559999999999</v>
      </c>
      <c r="T3556">
        <v>-0.42642079999999999</v>
      </c>
      <c r="U3556">
        <v>-3.0944669999999999</v>
      </c>
      <c r="V3556">
        <v>0.10989409999999999</v>
      </c>
      <c r="W3556">
        <v>6.092094E-2</v>
      </c>
      <c r="X3556">
        <v>0.99207449999999997</v>
      </c>
      <c r="Y3556">
        <v>0.32092039999999999</v>
      </c>
      <c r="Z3556">
        <v>0.117668699999999</v>
      </c>
      <c r="AA3556">
        <v>0.9397681</v>
      </c>
      <c r="AB3556">
        <v>27</v>
      </c>
      <c r="AC3556">
        <v>0.40040000000001802</v>
      </c>
      <c r="AD3556">
        <v>-1.0964795731370001</v>
      </c>
      <c r="AE3556">
        <v>-7.70599999999998</v>
      </c>
      <c r="AF3556">
        <v>2.4957091505334601</v>
      </c>
      <c r="AG3556">
        <v>-1.0964795731370001</v>
      </c>
      <c r="AH3556">
        <v>7.1400680723394601</v>
      </c>
      <c r="AI3556">
        <v>98.248511014733694</v>
      </c>
      <c r="AJ3556">
        <v>70.733653199810206</v>
      </c>
      <c r="AK3556">
        <v>7.6427353543089902</v>
      </c>
    </row>
    <row r="3557" spans="1:37" x14ac:dyDescent="0.2">
      <c r="A3557" t="str">
        <f>"20200111153721368"</f>
        <v>20200111153721368</v>
      </c>
      <c r="B3557" t="str">
        <f>"1578728241356184"</f>
        <v>1578728241356184</v>
      </c>
      <c r="C3557" t="s">
        <v>37</v>
      </c>
      <c r="D3557">
        <v>6.0599470000000002</v>
      </c>
      <c r="E3557">
        <v>0.58748310000000004</v>
      </c>
      <c r="F3557" t="s">
        <v>39</v>
      </c>
      <c r="G3557">
        <v>-191.55119999999999</v>
      </c>
      <c r="H3557" s="1">
        <v>-2.0997540000000002E-6</v>
      </c>
      <c r="I3557">
        <v>193.52160000000001</v>
      </c>
      <c r="J3557">
        <v>-191.9221</v>
      </c>
      <c r="K3557">
        <v>1.0966119999999999</v>
      </c>
      <c r="L3557">
        <v>202.04079999999999</v>
      </c>
      <c r="M3557">
        <v>0.36819730000000001</v>
      </c>
      <c r="N3557">
        <v>0</v>
      </c>
      <c r="O3557">
        <v>-0.92963150000000006</v>
      </c>
      <c r="P3557">
        <v>0.26960020000000001</v>
      </c>
      <c r="Q3557">
        <v>4.9910950000000003E-2</v>
      </c>
      <c r="R3557">
        <v>-0.96167809999999898</v>
      </c>
      <c r="S3557">
        <v>0.16284179999999901</v>
      </c>
      <c r="T3557">
        <v>-0.38717469999999998</v>
      </c>
      <c r="U3557">
        <v>-3.097397</v>
      </c>
      <c r="V3557">
        <v>0.1047527</v>
      </c>
      <c r="W3557">
        <v>6.2413929999999999E-2</v>
      </c>
      <c r="X3557">
        <v>0.99253789999999997</v>
      </c>
      <c r="Y3557">
        <v>0.31916800000000001</v>
      </c>
      <c r="Z3557">
        <v>0.1077239</v>
      </c>
      <c r="AA3557">
        <v>0.94155580000000005</v>
      </c>
      <c r="AB3557">
        <v>27</v>
      </c>
      <c r="AC3557">
        <v>0.370900000000006</v>
      </c>
      <c r="AD3557">
        <v>-1.0966140997539999</v>
      </c>
      <c r="AE3557">
        <v>-8.5191999999999801</v>
      </c>
      <c r="AF3557">
        <v>2.7468203269900502</v>
      </c>
      <c r="AG3557">
        <v>-1.0966140997539999</v>
      </c>
      <c r="AH3557">
        <v>7.9260686443611998</v>
      </c>
      <c r="AI3557">
        <v>97.447907469085393</v>
      </c>
      <c r="AJ3557">
        <v>70.885975109306401</v>
      </c>
      <c r="AK3557">
        <v>8.4599142163304997</v>
      </c>
    </row>
    <row r="3558" spans="1:37" x14ac:dyDescent="0.2">
      <c r="A3558" t="str">
        <f>"20200111153721390"</f>
        <v>20200111153721390</v>
      </c>
      <c r="B3558" t="str">
        <f>"1578728241386442"</f>
        <v>1578728241386442</v>
      </c>
      <c r="C3558" t="s">
        <v>37</v>
      </c>
      <c r="D3558">
        <v>5.7582050000000002</v>
      </c>
      <c r="E3558">
        <v>0.5912712</v>
      </c>
      <c r="F3558" t="s">
        <v>39</v>
      </c>
      <c r="G3558">
        <v>-191.51179999999999</v>
      </c>
      <c r="H3558" s="1">
        <v>-1.7245299999999999E-6</v>
      </c>
      <c r="I3558">
        <v>192.67140000000001</v>
      </c>
      <c r="J3558">
        <v>-191.83260000000001</v>
      </c>
      <c r="K3558">
        <v>1.096751</v>
      </c>
      <c r="L3558">
        <v>201.7817</v>
      </c>
      <c r="M3558">
        <v>0.35777909999999902</v>
      </c>
      <c r="N3558">
        <v>0</v>
      </c>
      <c r="O3558">
        <v>-0.93369099999999905</v>
      </c>
      <c r="P3558">
        <v>0.26582879999999998</v>
      </c>
      <c r="Q3558">
        <v>5.0299959999999998E-2</v>
      </c>
      <c r="R3558">
        <v>-0.96270730000000004</v>
      </c>
      <c r="S3558">
        <v>0.1357727</v>
      </c>
      <c r="T3558">
        <v>-0.36286779999999902</v>
      </c>
      <c r="U3558">
        <v>-3.100311</v>
      </c>
      <c r="V3558">
        <v>9.7520309999999999E-2</v>
      </c>
      <c r="W3558">
        <v>6.2951709999999994E-2</v>
      </c>
      <c r="X3558">
        <v>0.99324059999999903</v>
      </c>
      <c r="Y3558">
        <v>0.31679829999999998</v>
      </c>
      <c r="Z3558">
        <v>0.10172059999999999</v>
      </c>
      <c r="AA3558">
        <v>0.94302269999999899</v>
      </c>
      <c r="AB3558">
        <v>27</v>
      </c>
      <c r="AC3558">
        <v>0.32080000000001901</v>
      </c>
      <c r="AD3558">
        <v>-1.0967527245299999</v>
      </c>
      <c r="AE3558">
        <v>-9.1102999999999899</v>
      </c>
      <c r="AF3558">
        <v>2.9180274564049302</v>
      </c>
      <c r="AG3558">
        <v>-1.0967527245299999</v>
      </c>
      <c r="AH3558">
        <v>8.4988884661806008</v>
      </c>
      <c r="AI3558">
        <v>96.958700092219303</v>
      </c>
      <c r="AJ3558">
        <v>71.050488497343295</v>
      </c>
      <c r="AK3558">
        <v>9.05256073913203</v>
      </c>
    </row>
    <row r="3559" spans="1:37" x14ac:dyDescent="0.2">
      <c r="A3559" t="str">
        <f>"20200111153721413"</f>
        <v>20200111153721413</v>
      </c>
      <c r="B3559" t="str">
        <f>"1578728241406936"</f>
        <v>1578728241406936</v>
      </c>
      <c r="C3559" t="s">
        <v>37</v>
      </c>
      <c r="D3559">
        <v>5.7542179999999998</v>
      </c>
      <c r="E3559">
        <v>0.59192900000000004</v>
      </c>
      <c r="F3559" t="s">
        <v>39</v>
      </c>
      <c r="G3559">
        <v>-191.49789999999999</v>
      </c>
      <c r="H3559" s="1">
        <v>-8.5975929999999997E-7</v>
      </c>
      <c r="I3559">
        <v>190.66419999999999</v>
      </c>
      <c r="J3559">
        <v>-191.74340000000001</v>
      </c>
      <c r="K3559">
        <v>1.0968990000000001</v>
      </c>
      <c r="L3559">
        <v>201.51390000000001</v>
      </c>
      <c r="M3559">
        <v>0.34711969999999998</v>
      </c>
      <c r="N3559">
        <v>0</v>
      </c>
      <c r="O3559">
        <v>-0.93770659999999895</v>
      </c>
      <c r="P3559">
        <v>0.262754299999999</v>
      </c>
      <c r="Q3559">
        <v>5.1769639999999999E-2</v>
      </c>
      <c r="R3559">
        <v>-0.96347309999999997</v>
      </c>
      <c r="S3559">
        <v>9.3521119999999999E-2</v>
      </c>
      <c r="T3559">
        <v>-0.30644749999999998</v>
      </c>
      <c r="U3559">
        <v>-3.1063999999999998</v>
      </c>
      <c r="V3559">
        <v>8.9351730000000004E-2</v>
      </c>
      <c r="W3559">
        <v>6.4583929999999998E-2</v>
      </c>
      <c r="X3559">
        <v>0.99390400000000001</v>
      </c>
      <c r="Y3559">
        <v>0.31885370000000002</v>
      </c>
      <c r="Z3559">
        <v>8.6465399999999998E-2</v>
      </c>
      <c r="AA3559">
        <v>0.94385169999999996</v>
      </c>
      <c r="AB3559">
        <v>27</v>
      </c>
      <c r="AC3559">
        <v>0.24550000000002101</v>
      </c>
      <c r="AD3559">
        <v>-1.0968998597593</v>
      </c>
      <c r="AE3559">
        <v>-10.8497</v>
      </c>
      <c r="AF3559">
        <v>3.5005551939773198</v>
      </c>
      <c r="AG3559">
        <v>-1.0968998597593</v>
      </c>
      <c r="AH3559">
        <v>10.156395722557299</v>
      </c>
      <c r="AI3559">
        <v>95.830052040021897</v>
      </c>
      <c r="AJ3559">
        <v>70.982714568861795</v>
      </c>
      <c r="AK3559">
        <v>10.798585557451601</v>
      </c>
    </row>
    <row r="3560" spans="1:37" x14ac:dyDescent="0.2">
      <c r="A3560" t="str">
        <f>"20200111153721436"</f>
        <v>20200111153721436</v>
      </c>
      <c r="B3560" t="str">
        <f>"1578728241426456"</f>
        <v>1578728241426456</v>
      </c>
      <c r="C3560" t="s">
        <v>37</v>
      </c>
      <c r="D3560">
        <v>5.7572510000000001</v>
      </c>
      <c r="E3560">
        <v>0.59244419999999898</v>
      </c>
      <c r="F3560" t="s">
        <v>39</v>
      </c>
      <c r="G3560">
        <v>-191.4436</v>
      </c>
      <c r="H3560" s="1">
        <v>-4.5374589999999997E-6</v>
      </c>
      <c r="I3560">
        <v>189.56790000000001</v>
      </c>
      <c r="J3560">
        <v>-191.66069999999999</v>
      </c>
      <c r="K3560">
        <v>1.0970610000000001</v>
      </c>
      <c r="L3560">
        <v>201.25659999999999</v>
      </c>
      <c r="M3560">
        <v>0.33698669999999997</v>
      </c>
      <c r="N3560">
        <v>0</v>
      </c>
      <c r="O3560">
        <v>-0.94139640000000002</v>
      </c>
      <c r="P3560">
        <v>0.2586833</v>
      </c>
      <c r="Q3560">
        <v>5.4283999999999999E-2</v>
      </c>
      <c r="R3560">
        <v>-0.96443619999999997</v>
      </c>
      <c r="S3560">
        <v>7.8002929999999998E-2</v>
      </c>
      <c r="T3560">
        <v>-0.28536149999999999</v>
      </c>
      <c r="U3560">
        <v>-3.1077880000000002</v>
      </c>
      <c r="V3560">
        <v>8.2807829999999999E-2</v>
      </c>
      <c r="W3560">
        <v>6.7222710000000005E-2</v>
      </c>
      <c r="X3560">
        <v>0.9942957</v>
      </c>
      <c r="Y3560">
        <v>0.31334409999999902</v>
      </c>
      <c r="Z3560">
        <v>8.1120819999999996E-2</v>
      </c>
      <c r="AA3560">
        <v>0.94616849999999997</v>
      </c>
      <c r="AB3560">
        <v>27</v>
      </c>
      <c r="AC3560">
        <v>0.217099999999987</v>
      </c>
      <c r="AD3560">
        <v>-1.0970655374589999</v>
      </c>
      <c r="AE3560">
        <v>-11.6886999999999</v>
      </c>
      <c r="AF3560">
        <v>3.7023534259992701</v>
      </c>
      <c r="AG3560">
        <v>-1.0970655374589999</v>
      </c>
      <c r="AH3560">
        <v>10.9813359901518</v>
      </c>
      <c r="AI3560">
        <v>95.407909774336503</v>
      </c>
      <c r="AJ3560">
        <v>71.368484791223096</v>
      </c>
      <c r="AK3560">
        <v>11.6404773876801</v>
      </c>
    </row>
    <row r="3561" spans="1:37" x14ac:dyDescent="0.2">
      <c r="A3561" t="str">
        <f>"20200111153721457"</f>
        <v>20200111153721457</v>
      </c>
      <c r="B3561" t="str">
        <f>"1578728241446952"</f>
        <v>1578728241446952</v>
      </c>
      <c r="C3561" t="s">
        <v>37</v>
      </c>
      <c r="D3561">
        <v>5.7812029999999996</v>
      </c>
      <c r="E3561">
        <v>0.59254459999999998</v>
      </c>
      <c r="F3561" t="s">
        <v>39</v>
      </c>
      <c r="G3561">
        <v>-191.41139999999999</v>
      </c>
      <c r="H3561" s="1">
        <v>-4.1806679999999996E-6</v>
      </c>
      <c r="I3561">
        <v>188.53620000000001</v>
      </c>
      <c r="J3561">
        <v>-191.5838</v>
      </c>
      <c r="K3561">
        <v>1.0972189999999999</v>
      </c>
      <c r="L3561">
        <v>201.00890000000001</v>
      </c>
      <c r="M3561">
        <v>0.3273392</v>
      </c>
      <c r="N3561">
        <v>0</v>
      </c>
      <c r="O3561">
        <v>-0.94479439999999903</v>
      </c>
      <c r="P3561">
        <v>0.25447140000000001</v>
      </c>
      <c r="Q3561">
        <v>5.6761289999999999E-2</v>
      </c>
      <c r="R3561">
        <v>-0.96541330000000003</v>
      </c>
      <c r="S3561">
        <v>6.0928339999999998E-2</v>
      </c>
      <c r="T3561">
        <v>-0.26816630000000002</v>
      </c>
      <c r="U3561">
        <v>-3.109375</v>
      </c>
      <c r="V3561">
        <v>7.695312E-2</v>
      </c>
      <c r="W3561">
        <v>6.9808239999999994E-2</v>
      </c>
      <c r="X3561">
        <v>0.99458789999999997</v>
      </c>
      <c r="Y3561">
        <v>0.3088301</v>
      </c>
      <c r="Z3561">
        <v>7.6732339999999996E-2</v>
      </c>
      <c r="AA3561">
        <v>0.94801689999999905</v>
      </c>
      <c r="AB3561">
        <v>27</v>
      </c>
      <c r="AC3561">
        <v>0.17240000000000999</v>
      </c>
      <c r="AD3561">
        <v>-1.097223180668</v>
      </c>
      <c r="AE3561">
        <v>-12.4727</v>
      </c>
      <c r="AF3561">
        <v>3.8902381161848498</v>
      </c>
      <c r="AG3561">
        <v>-1.097223180668</v>
      </c>
      <c r="AH3561">
        <v>11.7509095846995</v>
      </c>
      <c r="AI3561">
        <v>95.065581761714199</v>
      </c>
      <c r="AJ3561">
        <v>71.6824373260242</v>
      </c>
      <c r="AK3561">
        <v>12.4266539091018</v>
      </c>
    </row>
    <row r="3562" spans="1:37" x14ac:dyDescent="0.2">
      <c r="A3562" t="str">
        <f>"20200111153721480"</f>
        <v>20200111153721480</v>
      </c>
      <c r="B3562" t="str">
        <f>"1578728241476237"</f>
        <v>1578728241476237</v>
      </c>
      <c r="C3562" t="s">
        <v>37</v>
      </c>
      <c r="D3562">
        <v>5.7789519999999897</v>
      </c>
      <c r="E3562">
        <v>0.59249839999999998</v>
      </c>
      <c r="F3562" t="s">
        <v>39</v>
      </c>
      <c r="G3562">
        <v>-191.3835</v>
      </c>
      <c r="H3562" s="1">
        <v>-3.7894149999999999E-6</v>
      </c>
      <c r="I3562">
        <v>187.5643</v>
      </c>
      <c r="J3562">
        <v>-191.50559999999999</v>
      </c>
      <c r="K3562">
        <v>1.097391</v>
      </c>
      <c r="L3562">
        <v>200.74780000000001</v>
      </c>
      <c r="M3562">
        <v>0.31728829999999902</v>
      </c>
      <c r="N3562">
        <v>0</v>
      </c>
      <c r="O3562">
        <v>-0.94821769999999905</v>
      </c>
      <c r="P3562">
        <v>0.25013939999999901</v>
      </c>
      <c r="Q3562">
        <v>5.9060500000000002E-2</v>
      </c>
      <c r="R3562">
        <v>-0.96640700000000002</v>
      </c>
      <c r="S3562">
        <v>4.6340939999999997E-2</v>
      </c>
      <c r="T3562">
        <v>-0.25382379999999999</v>
      </c>
      <c r="U3562">
        <v>-3.1101839999999998</v>
      </c>
      <c r="V3562">
        <v>7.0824239999999997E-2</v>
      </c>
      <c r="W3562">
        <v>7.2217320000000002E-2</v>
      </c>
      <c r="X3562">
        <v>0.99487109999999901</v>
      </c>
      <c r="Y3562">
        <v>0.30317509999999998</v>
      </c>
      <c r="Z3562">
        <v>7.3128369999999998E-2</v>
      </c>
      <c r="AA3562">
        <v>0.95012479999999999</v>
      </c>
      <c r="AB3562">
        <v>27</v>
      </c>
      <c r="AC3562">
        <v>0.122099999999989</v>
      </c>
      <c r="AD3562">
        <v>-1.097394789415</v>
      </c>
      <c r="AE3562">
        <v>-13.1835</v>
      </c>
      <c r="AF3562">
        <v>4.0396349173618402</v>
      </c>
      <c r="AG3562">
        <v>-1.097394789415</v>
      </c>
      <c r="AH3562">
        <v>12.4546048219337</v>
      </c>
      <c r="AI3562">
        <v>94.790941724015696</v>
      </c>
      <c r="AJ3562">
        <v>72.029596426380607</v>
      </c>
      <c r="AK3562">
        <v>13.139258230963399</v>
      </c>
    </row>
    <row r="3563" spans="1:37" x14ac:dyDescent="0.2">
      <c r="A3563" t="str">
        <f>"20200111153721504"</f>
        <v>20200111153721504</v>
      </c>
      <c r="B3563" t="str">
        <f>"1578728241496731"</f>
        <v>1578728241496731</v>
      </c>
      <c r="C3563" t="s">
        <v>37</v>
      </c>
      <c r="D3563">
        <v>5.8144169999999997</v>
      </c>
      <c r="E3563">
        <v>0.59232379999999996</v>
      </c>
      <c r="F3563" t="s">
        <v>39</v>
      </c>
      <c r="G3563">
        <v>-191.35669999999999</v>
      </c>
      <c r="H3563" s="1">
        <v>-3.2751059999999999E-6</v>
      </c>
      <c r="I3563">
        <v>186.38200000000001</v>
      </c>
      <c r="J3563">
        <v>-191.42500000000001</v>
      </c>
      <c r="K3563">
        <v>1.097559</v>
      </c>
      <c r="L3563">
        <v>200.46719999999999</v>
      </c>
      <c r="M3563">
        <v>0.30664940000000002</v>
      </c>
      <c r="N3563">
        <v>0</v>
      </c>
      <c r="O3563">
        <v>-0.951712</v>
      </c>
      <c r="P3563">
        <v>0.244591899999999</v>
      </c>
      <c r="Q3563">
        <v>6.2101900000000002E-2</v>
      </c>
      <c r="R3563">
        <v>-0.96763529999999998</v>
      </c>
      <c r="S3563">
        <v>3.2241819999999997E-2</v>
      </c>
      <c r="T3563">
        <v>-0.2376093</v>
      </c>
      <c r="U3563">
        <v>-3.1104889999999998</v>
      </c>
      <c r="V3563">
        <v>6.5357540000000006E-2</v>
      </c>
      <c r="W3563">
        <v>7.5350150000000005E-2</v>
      </c>
      <c r="X3563">
        <v>0.99501289999999998</v>
      </c>
      <c r="Y3563">
        <v>0.29680499999999999</v>
      </c>
      <c r="Z3563">
        <v>6.8952589999999994E-2</v>
      </c>
      <c r="AA3563">
        <v>0.9524454</v>
      </c>
      <c r="AB3563">
        <v>27</v>
      </c>
      <c r="AC3563">
        <v>6.8300000000021996E-2</v>
      </c>
      <c r="AD3563">
        <v>-1.0975622751059999</v>
      </c>
      <c r="AE3563">
        <v>-14.085199999999899</v>
      </c>
      <c r="AF3563">
        <v>4.2289860129526202</v>
      </c>
      <c r="AG3563">
        <v>-1.0975622751059999</v>
      </c>
      <c r="AH3563">
        <v>13.3463733768348</v>
      </c>
      <c r="AI3563">
        <v>94.482552091830101</v>
      </c>
      <c r="AJ3563">
        <v>72.418462922545501</v>
      </c>
      <c r="AK3563">
        <v>14.0433132828179</v>
      </c>
    </row>
    <row r="3564" spans="1:37" x14ac:dyDescent="0.2">
      <c r="A3564" t="str">
        <f>"20200111153721525"</f>
        <v>20200111153721525</v>
      </c>
      <c r="B3564" t="str">
        <f>"1578728241516252"</f>
        <v>1578728241516252</v>
      </c>
      <c r="C3564" t="s">
        <v>37</v>
      </c>
      <c r="D3564">
        <v>5.7698460000000003</v>
      </c>
      <c r="E3564">
        <v>0.59211910000000001</v>
      </c>
      <c r="F3564" t="s">
        <v>39</v>
      </c>
      <c r="G3564">
        <v>-191.34899999999999</v>
      </c>
      <c r="H3564" s="1">
        <v>-2.8237880000000001E-6</v>
      </c>
      <c r="I3564">
        <v>185.3348</v>
      </c>
      <c r="J3564">
        <v>-191.35589999999999</v>
      </c>
      <c r="K3564">
        <v>1.097691</v>
      </c>
      <c r="L3564">
        <v>200.2176</v>
      </c>
      <c r="M3564">
        <v>0.297291799999999</v>
      </c>
      <c r="N3564">
        <v>0</v>
      </c>
      <c r="O3564">
        <v>-0.95467669999999905</v>
      </c>
      <c r="P3564">
        <v>0.2397764</v>
      </c>
      <c r="Q3564">
        <v>6.4967810000000001E-2</v>
      </c>
      <c r="R3564">
        <v>-0.96865190000000001</v>
      </c>
      <c r="S3564">
        <v>1.5625E-2</v>
      </c>
      <c r="T3564">
        <v>-0.2256339</v>
      </c>
      <c r="U3564">
        <v>-3.1108859999999998</v>
      </c>
      <c r="V3564">
        <v>6.050871E-2</v>
      </c>
      <c r="W3564">
        <v>7.8293989999999994E-2</v>
      </c>
      <c r="X3564">
        <v>0.99509230000000004</v>
      </c>
      <c r="Y3564">
        <v>0.29251779999999999</v>
      </c>
      <c r="Z3564">
        <v>6.5856230000000002E-2</v>
      </c>
      <c r="AA3564">
        <v>0.95398969999999905</v>
      </c>
      <c r="AB3564">
        <v>27</v>
      </c>
      <c r="AC3564">
        <v>6.89999999997326E-3</v>
      </c>
      <c r="AD3564">
        <v>-1.0976938237880001</v>
      </c>
      <c r="AE3564">
        <v>-14.8828</v>
      </c>
      <c r="AF3564">
        <v>4.3945052672410503</v>
      </c>
      <c r="AG3564">
        <v>-1.0976938237880001</v>
      </c>
      <c r="AH3564">
        <v>14.1349130170741</v>
      </c>
      <c r="AI3564">
        <v>94.241125047149097</v>
      </c>
      <c r="AJ3564">
        <v>72.729675483832295</v>
      </c>
      <c r="AK3564">
        <v>14.8429233736094</v>
      </c>
    </row>
    <row r="3565" spans="1:37" x14ac:dyDescent="0.2">
      <c r="A3565" t="str">
        <f>"20200111153721548"</f>
        <v>20200111153721548</v>
      </c>
      <c r="B3565" t="str">
        <f>"1578728241536748"</f>
        <v>1578728241536748</v>
      </c>
      <c r="C3565" t="s">
        <v>37</v>
      </c>
      <c r="D3565">
        <v>5.8018419999999997</v>
      </c>
      <c r="E3565">
        <v>0.5919276</v>
      </c>
      <c r="F3565" t="s">
        <v>39</v>
      </c>
      <c r="G3565">
        <v>-191.34440000000001</v>
      </c>
      <c r="H3565" s="1">
        <v>-2.4261579999999999E-6</v>
      </c>
      <c r="I3565">
        <v>184.41069999999999</v>
      </c>
      <c r="J3565">
        <v>-191.28399999999999</v>
      </c>
      <c r="K3565">
        <v>1.0978110000000001</v>
      </c>
      <c r="L3565">
        <v>199.94799999999901</v>
      </c>
      <c r="M3565">
        <v>0.28730689999999998</v>
      </c>
      <c r="N3565">
        <v>0</v>
      </c>
      <c r="O3565">
        <v>-0.95772959999999996</v>
      </c>
      <c r="P3565">
        <v>0.23437089999999999</v>
      </c>
      <c r="Q3565">
        <v>6.620856E-2</v>
      </c>
      <c r="R3565">
        <v>-0.96989029999999998</v>
      </c>
      <c r="S3565">
        <v>2.2583009999999999E-3</v>
      </c>
      <c r="T3565">
        <v>-0.21603939999999899</v>
      </c>
      <c r="U3565">
        <v>-3.110992</v>
      </c>
      <c r="V3565">
        <v>5.5637659999999999E-2</v>
      </c>
      <c r="W3565">
        <v>7.9611669999999995E-2</v>
      </c>
      <c r="X3565">
        <v>0.99527199999999905</v>
      </c>
      <c r="Y3565">
        <v>0.2866283</v>
      </c>
      <c r="Z3565">
        <v>6.3445089999999996E-2</v>
      </c>
      <c r="AA3565">
        <v>0.95593879999999998</v>
      </c>
      <c r="AB3565">
        <v>27</v>
      </c>
      <c r="AC3565">
        <v>-6.0399999999987103E-2</v>
      </c>
      <c r="AD3565">
        <v>-1.0978134261579999</v>
      </c>
      <c r="AE3565">
        <v>-15.537299999999901</v>
      </c>
      <c r="AF3565">
        <v>4.4998279974681097</v>
      </c>
      <c r="AG3565">
        <v>-1.0978134261579999</v>
      </c>
      <c r="AH3565">
        <v>14.7908900822628</v>
      </c>
      <c r="AI3565">
        <v>94.061689443063898</v>
      </c>
      <c r="AJ3565">
        <v>73.078681692374701</v>
      </c>
      <c r="AK3565">
        <v>15.4991637113436</v>
      </c>
    </row>
    <row r="3566" spans="1:37" x14ac:dyDescent="0.2">
      <c r="A3566" t="str">
        <f>"20200111153721570"</f>
        <v>20200111153721570</v>
      </c>
      <c r="B3566" t="str">
        <f>"1578728241556268"</f>
        <v>1578728241556268</v>
      </c>
      <c r="C3566" t="s">
        <v>37</v>
      </c>
      <c r="D3566">
        <v>5.7869510000000002</v>
      </c>
      <c r="E3566">
        <v>0.59170900000000004</v>
      </c>
      <c r="F3566" t="s">
        <v>39</v>
      </c>
      <c r="G3566">
        <v>-191.35249999999999</v>
      </c>
      <c r="H3566" s="1">
        <v>-2.201744E-6</v>
      </c>
      <c r="I3566">
        <v>183.8826</v>
      </c>
      <c r="J3566">
        <v>-191.2192</v>
      </c>
      <c r="K3566">
        <v>1.097912</v>
      </c>
      <c r="L3566">
        <v>199.69489999999999</v>
      </c>
      <c r="M3566">
        <v>0.27806209999999998</v>
      </c>
      <c r="N3566">
        <v>0</v>
      </c>
      <c r="O3566">
        <v>-0.9604549</v>
      </c>
      <c r="P3566">
        <v>0.22985029999999901</v>
      </c>
      <c r="Q3566">
        <v>6.515311E-2</v>
      </c>
      <c r="R3566">
        <v>-0.97104299999999999</v>
      </c>
      <c r="S3566">
        <v>-1.325989E-2</v>
      </c>
      <c r="T3566">
        <v>-0.2125766</v>
      </c>
      <c r="U3566">
        <v>-3.1108549999999999</v>
      </c>
      <c r="V3566">
        <v>5.0654650000000002E-2</v>
      </c>
      <c r="W3566">
        <v>7.8634850000000006E-2</v>
      </c>
      <c r="X3566">
        <v>0.99561569999999899</v>
      </c>
      <c r="Y3566">
        <v>0.28216059999999998</v>
      </c>
      <c r="Z3566">
        <v>6.2757919999999995E-2</v>
      </c>
      <c r="AA3566">
        <v>0.9573123</v>
      </c>
      <c r="AB3566">
        <v>27</v>
      </c>
      <c r="AC3566">
        <v>-0.13329999999999101</v>
      </c>
      <c r="AD3566">
        <v>-1.097914201744</v>
      </c>
      <c r="AE3566">
        <v>-15.812299999999899</v>
      </c>
      <c r="AF3566">
        <v>4.5035895649709099</v>
      </c>
      <c r="AG3566">
        <v>-1.097914201744</v>
      </c>
      <c r="AH3566">
        <v>15.0788186443794</v>
      </c>
      <c r="AI3566">
        <v>93.990855644649898</v>
      </c>
      <c r="AJ3566">
        <v>73.370696880732098</v>
      </c>
      <c r="AK3566">
        <v>15.775249800690601</v>
      </c>
    </row>
    <row r="3567" spans="1:37" x14ac:dyDescent="0.2">
      <c r="A3567" t="str">
        <f>"20200111153721594"</f>
        <v>20200111153721594</v>
      </c>
      <c r="B3567" t="str">
        <f>"1578728241586524"</f>
        <v>1578728241586524</v>
      </c>
      <c r="C3567" t="s">
        <v>37</v>
      </c>
      <c r="D3567">
        <v>5.8032639999999898</v>
      </c>
      <c r="E3567">
        <v>0.59128950000000002</v>
      </c>
      <c r="F3567" t="s">
        <v>39</v>
      </c>
      <c r="G3567">
        <v>-191.3518</v>
      </c>
      <c r="H3567" s="1">
        <v>-2.211256E-6</v>
      </c>
      <c r="I3567">
        <v>183.90520000000001</v>
      </c>
      <c r="J3567">
        <v>-191.15129999999999</v>
      </c>
      <c r="K3567">
        <v>1.098028</v>
      </c>
      <c r="L3567">
        <v>199.4195</v>
      </c>
      <c r="M3567">
        <v>0.26814850000000001</v>
      </c>
      <c r="N3567">
        <v>0</v>
      </c>
      <c r="O3567">
        <v>-0.96327019999999997</v>
      </c>
      <c r="P3567">
        <v>0.22503960000000001</v>
      </c>
      <c r="Q3567">
        <v>6.3399380000000005E-2</v>
      </c>
      <c r="R3567">
        <v>-0.97228490000000001</v>
      </c>
      <c r="S3567">
        <v>-2.6123049999999998E-2</v>
      </c>
      <c r="T3567">
        <v>-0.21626199999999901</v>
      </c>
      <c r="U3567">
        <v>-3.1101839999999998</v>
      </c>
      <c r="V3567">
        <v>4.5293279999999998E-2</v>
      </c>
      <c r="W3567">
        <v>7.6963370000000003E-2</v>
      </c>
      <c r="X3567">
        <v>0.99600460000000002</v>
      </c>
      <c r="Y3567">
        <v>0.27622729999999901</v>
      </c>
      <c r="Z3567">
        <v>6.4205620000000005E-2</v>
      </c>
      <c r="AA3567">
        <v>0.9589453</v>
      </c>
      <c r="AB3567">
        <v>27</v>
      </c>
      <c r="AC3567">
        <v>-0.20050000000000501</v>
      </c>
      <c r="AD3567">
        <v>-1.0980302112560001</v>
      </c>
      <c r="AE3567">
        <v>-15.514299999999899</v>
      </c>
      <c r="AF3567">
        <v>4.3320262186128398</v>
      </c>
      <c r="AG3567">
        <v>-1.0980302112560001</v>
      </c>
      <c r="AH3567">
        <v>14.8180264478237</v>
      </c>
      <c r="AI3567">
        <v>94.068247996089795</v>
      </c>
      <c r="AJ3567">
        <v>73.7038041603045</v>
      </c>
      <c r="AK3567">
        <v>15.477274608663601</v>
      </c>
    </row>
    <row r="3568" spans="1:37" x14ac:dyDescent="0.2">
      <c r="A3568" t="str">
        <f>"20200111153721616"</f>
        <v>20200111153721616</v>
      </c>
      <c r="B3568" t="str">
        <f>"1578728241607020"</f>
        <v>1578728241607020</v>
      </c>
      <c r="C3568" t="s">
        <v>37</v>
      </c>
      <c r="D3568">
        <v>5.8064900000000002</v>
      </c>
      <c r="E3568">
        <v>0.57443230000000001</v>
      </c>
      <c r="F3568" t="s">
        <v>39</v>
      </c>
      <c r="G3568">
        <v>-191.3432</v>
      </c>
      <c r="H3568" s="1">
        <v>-2.3020530000000001E-6</v>
      </c>
      <c r="I3568">
        <v>184.12209999999999</v>
      </c>
      <c r="J3568">
        <v>-191.08920000000001</v>
      </c>
      <c r="K3568">
        <v>1.0981459999999901</v>
      </c>
      <c r="L3568">
        <v>199.1566</v>
      </c>
      <c r="M3568">
        <v>0.25882889999999997</v>
      </c>
      <c r="N3568">
        <v>0</v>
      </c>
      <c r="O3568">
        <v>-0.96581659999999903</v>
      </c>
      <c r="P3568">
        <v>0.21996689999999999</v>
      </c>
      <c r="Q3568">
        <v>6.1820939999999998E-2</v>
      </c>
      <c r="R3568">
        <v>-0.97354669999999899</v>
      </c>
      <c r="S3568">
        <v>-3.9001460000000002E-2</v>
      </c>
      <c r="T3568">
        <v>-0.22316659999999999</v>
      </c>
      <c r="U3568">
        <v>-3.10907</v>
      </c>
      <c r="V3568">
        <v>4.083386E-2</v>
      </c>
      <c r="W3568">
        <v>7.5447630000000002E-2</v>
      </c>
      <c r="X3568">
        <v>0.99631329999999996</v>
      </c>
      <c r="Y3568">
        <v>0.27090959999999997</v>
      </c>
      <c r="Z3568">
        <v>6.6594310000000004E-2</v>
      </c>
      <c r="AA3568">
        <v>0.96029850000000005</v>
      </c>
      <c r="AB3568">
        <v>27</v>
      </c>
      <c r="AC3568">
        <v>-0.25399999999999001</v>
      </c>
      <c r="AD3568">
        <v>-1.0981483020529901</v>
      </c>
      <c r="AE3568">
        <v>-15.0345</v>
      </c>
      <c r="AF3568">
        <v>4.1151578544451803</v>
      </c>
      <c r="AG3568">
        <v>-1.0981483020529901</v>
      </c>
      <c r="AH3568">
        <v>14.3796203777166</v>
      </c>
      <c r="AI3568">
        <v>94.199178195543098</v>
      </c>
      <c r="AJ3568">
        <v>74.0299445351136</v>
      </c>
      <c r="AK3568">
        <v>14.997130927865699</v>
      </c>
    </row>
    <row r="3569" spans="1:37" x14ac:dyDescent="0.2">
      <c r="A3569" t="str">
        <f>"20200111153721639"</f>
        <v>20200111153721639</v>
      </c>
      <c r="B3569" t="str">
        <f>"1578728241626541"</f>
        <v>1578728241626541</v>
      </c>
      <c r="C3569" t="s">
        <v>37</v>
      </c>
      <c r="D3569">
        <v>5.7970069999999998</v>
      </c>
      <c r="E3569">
        <v>0.57535669999999905</v>
      </c>
      <c r="F3569" t="s">
        <v>39</v>
      </c>
      <c r="G3569">
        <v>-190.71709999999999</v>
      </c>
      <c r="H3569" s="1">
        <v>-2.0767299999999999E-6</v>
      </c>
      <c r="I3569">
        <v>183.98519999999999</v>
      </c>
      <c r="J3569">
        <v>-191.02879999999999</v>
      </c>
      <c r="K3569">
        <v>1.0982700000000001</v>
      </c>
      <c r="L3569">
        <v>198.89019999999999</v>
      </c>
      <c r="M3569">
        <v>0.24953110000000001</v>
      </c>
      <c r="N3569">
        <v>0</v>
      </c>
      <c r="O3569">
        <v>-0.96826080000000003</v>
      </c>
      <c r="P3569">
        <v>0.21418619999999999</v>
      </c>
      <c r="Q3569">
        <v>6.15413E-2</v>
      </c>
      <c r="R3569">
        <v>-0.9748523</v>
      </c>
      <c r="S3569">
        <v>7.5500490000000003E-2</v>
      </c>
      <c r="T3569">
        <v>-0.2228395</v>
      </c>
      <c r="U3569">
        <v>-3.0786129999999998</v>
      </c>
      <c r="V3569">
        <v>3.7138320000000002E-2</v>
      </c>
      <c r="W3569">
        <v>7.5214169999999997E-2</v>
      </c>
      <c r="X3569">
        <v>0.99647559999999902</v>
      </c>
      <c r="Y3569">
        <v>0.2257904</v>
      </c>
      <c r="Z3569">
        <v>6.7832310000000007E-2</v>
      </c>
      <c r="AA3569">
        <v>0.97181139999999999</v>
      </c>
      <c r="AB3569">
        <v>27</v>
      </c>
      <c r="AC3569">
        <v>0.31170000000000098</v>
      </c>
      <c r="AD3569">
        <v>-1.0982720767299901</v>
      </c>
      <c r="AE3569">
        <v>-14.904999999999999</v>
      </c>
      <c r="AF3569">
        <v>3.39935635915973</v>
      </c>
      <c r="AG3569">
        <v>-1.0982720767299901</v>
      </c>
      <c r="AH3569">
        <v>14.4328670895556</v>
      </c>
      <c r="AI3569">
        <v>94.236077606741304</v>
      </c>
      <c r="AJ3569">
        <v>76.746737969142501</v>
      </c>
      <c r="AK3569">
        <v>14.868405349460399</v>
      </c>
    </row>
    <row r="3570" spans="1:37" x14ac:dyDescent="0.2">
      <c r="A3570" t="str">
        <f>"20200111153721661"</f>
        <v>20200111153721661</v>
      </c>
      <c r="B3570" t="str">
        <f>"1578728241656797"</f>
        <v>1578728241656797</v>
      </c>
      <c r="C3570" t="s">
        <v>37</v>
      </c>
      <c r="D3570">
        <v>5.7694729999999996</v>
      </c>
      <c r="E3570">
        <v>0.57533339999999999</v>
      </c>
      <c r="F3570" t="s">
        <v>39</v>
      </c>
      <c r="G3570">
        <v>-190.7638</v>
      </c>
      <c r="H3570" s="1">
        <v>-1.4843360000000001E-6</v>
      </c>
      <c r="I3570">
        <v>182.5754</v>
      </c>
      <c r="J3570">
        <v>-190.97200000000001</v>
      </c>
      <c r="K3570">
        <v>1.098401</v>
      </c>
      <c r="L3570">
        <v>198.62870000000001</v>
      </c>
      <c r="M3570">
        <v>0.2405447</v>
      </c>
      <c r="N3570">
        <v>0</v>
      </c>
      <c r="O3570">
        <v>-0.97053279999999997</v>
      </c>
      <c r="P3570">
        <v>0.20837910000000001</v>
      </c>
      <c r="Q3570">
        <v>6.1467569999999999E-2</v>
      </c>
      <c r="R3570">
        <v>-0.97611499999999995</v>
      </c>
      <c r="S3570">
        <v>5.0018310000000003E-2</v>
      </c>
      <c r="T3570">
        <v>-0.20730380000000001</v>
      </c>
      <c r="U3570">
        <v>-3.0794980000000001</v>
      </c>
      <c r="V3570">
        <v>3.3805969999999998E-2</v>
      </c>
      <c r="W3570">
        <v>7.5178999999999996E-2</v>
      </c>
      <c r="X3570">
        <v>0.99659690000000001</v>
      </c>
      <c r="Y3570">
        <v>0.224800799999999</v>
      </c>
      <c r="Z3570">
        <v>6.3347180000000003E-2</v>
      </c>
      <c r="AA3570">
        <v>0.97234339999999997</v>
      </c>
      <c r="AB3570">
        <v>27</v>
      </c>
      <c r="AC3570">
        <v>0.20820000000000499</v>
      </c>
      <c r="AD3570">
        <v>-1.0984024843359901</v>
      </c>
      <c r="AE3570">
        <v>-16.0533</v>
      </c>
      <c r="AF3570">
        <v>3.6427939944943901</v>
      </c>
      <c r="AG3570">
        <v>-1.0984024843359901</v>
      </c>
      <c r="AH3570">
        <v>15.559103474261301</v>
      </c>
      <c r="AI3570">
        <v>93.932138666114696</v>
      </c>
      <c r="AJ3570">
        <v>76.822902161160101</v>
      </c>
      <c r="AK3570">
        <v>16.017557149162599</v>
      </c>
    </row>
    <row r="3571" spans="1:37" x14ac:dyDescent="0.2">
      <c r="A3571" t="str">
        <f>"20200111153721682"</f>
        <v>20200111153721682</v>
      </c>
      <c r="B3571" t="str">
        <f>"1578728241676316"</f>
        <v>1578728241676316</v>
      </c>
      <c r="C3571" t="s">
        <v>37</v>
      </c>
      <c r="D3571">
        <v>5.789377</v>
      </c>
      <c r="E3571">
        <v>0.57544519999999899</v>
      </c>
      <c r="F3571" t="s">
        <v>39</v>
      </c>
      <c r="G3571">
        <v>-190.80420000000001</v>
      </c>
      <c r="H3571" s="1">
        <v>-1.3393029999999999E-6</v>
      </c>
      <c r="I3571">
        <v>182.2123</v>
      </c>
      <c r="J3571">
        <v>-190.92</v>
      </c>
      <c r="K3571">
        <v>1.098519</v>
      </c>
      <c r="L3571">
        <v>198.3785</v>
      </c>
      <c r="M3571">
        <v>0.23208099999999901</v>
      </c>
      <c r="N3571">
        <v>0</v>
      </c>
      <c r="O3571">
        <v>-0.97259180000000001</v>
      </c>
      <c r="P3571">
        <v>0.2025602</v>
      </c>
      <c r="Q3571">
        <v>6.144459E-2</v>
      </c>
      <c r="R3571">
        <v>-0.97734030000000005</v>
      </c>
      <c r="S3571">
        <v>3.1478880000000001E-2</v>
      </c>
      <c r="T3571">
        <v>-0.20605670000000001</v>
      </c>
      <c r="U3571">
        <v>-3.079666</v>
      </c>
      <c r="V3571">
        <v>3.1037289999999999E-2</v>
      </c>
      <c r="W3571">
        <v>7.5183730000000004E-2</v>
      </c>
      <c r="X3571">
        <v>0.99668659999999998</v>
      </c>
      <c r="Y3571">
        <v>0.22216509999999901</v>
      </c>
      <c r="Z3571">
        <v>6.3192139999999994E-2</v>
      </c>
      <c r="AA3571">
        <v>0.97295909999999997</v>
      </c>
      <c r="AB3571">
        <v>27</v>
      </c>
      <c r="AC3571">
        <v>0.115799999999978</v>
      </c>
      <c r="AD3571">
        <v>-1.0985203393030001</v>
      </c>
      <c r="AE3571">
        <v>-16.1662</v>
      </c>
      <c r="AF3571">
        <v>3.6228847053308502</v>
      </c>
      <c r="AG3571">
        <v>-1.0985203393030001</v>
      </c>
      <c r="AH3571">
        <v>15.679198246633799</v>
      </c>
      <c r="AI3571">
        <v>93.905161660326399</v>
      </c>
      <c r="AJ3571">
        <v>76.989396185460706</v>
      </c>
      <c r="AK3571">
        <v>16.129764356035299</v>
      </c>
    </row>
    <row r="3572" spans="1:37" x14ac:dyDescent="0.2">
      <c r="A3572" t="str">
        <f>"20200111153721705"</f>
        <v>20200111153721705</v>
      </c>
      <c r="B3572" t="str">
        <f>"1578728241696812"</f>
        <v>1578728241696812</v>
      </c>
      <c r="C3572" t="s">
        <v>37</v>
      </c>
      <c r="D3572">
        <v>5.8288789999999997</v>
      </c>
      <c r="E3572">
        <v>0.57515260000000001</v>
      </c>
      <c r="F3572" t="s">
        <v>39</v>
      </c>
      <c r="G3572">
        <v>-190.8579</v>
      </c>
      <c r="H3572" s="1">
        <v>-1.167229E-6</v>
      </c>
      <c r="I3572">
        <v>181.77780000000001</v>
      </c>
      <c r="J3572">
        <v>-190.8655</v>
      </c>
      <c r="K3572">
        <v>1.0986229999999999</v>
      </c>
      <c r="L3572">
        <v>198.10499999999999</v>
      </c>
      <c r="M3572">
        <v>0.22294320000000001</v>
      </c>
      <c r="N3572">
        <v>0</v>
      </c>
      <c r="O3572">
        <v>-0.97472749999999997</v>
      </c>
      <c r="P3572">
        <v>0.19603799999999999</v>
      </c>
      <c r="Q3572">
        <v>6.100854E-2</v>
      </c>
      <c r="R3572">
        <v>-0.97869689999999998</v>
      </c>
      <c r="S3572">
        <v>1.1505130000000001E-2</v>
      </c>
      <c r="T3572">
        <v>-0.2038131</v>
      </c>
      <c r="U3572">
        <v>-3.0800019999999999</v>
      </c>
      <c r="V3572">
        <v>2.8306209999999998E-2</v>
      </c>
      <c r="W3572">
        <v>7.4771950000000004E-2</v>
      </c>
      <c r="X3572">
        <v>0.99679879999999998</v>
      </c>
      <c r="Y3572">
        <v>0.21932449999999901</v>
      </c>
      <c r="Z3572">
        <v>6.2733490000000003E-2</v>
      </c>
      <c r="AA3572">
        <v>0.97363310000000003</v>
      </c>
      <c r="AB3572">
        <v>26</v>
      </c>
      <c r="AC3572">
        <v>7.5999999999964898E-3</v>
      </c>
      <c r="AD3572">
        <v>-1.09862416722899</v>
      </c>
      <c r="AE3572">
        <v>-16.327199999999898</v>
      </c>
      <c r="AF3572">
        <v>3.6166235043236998</v>
      </c>
      <c r="AG3572">
        <v>-1.09862416722899</v>
      </c>
      <c r="AH3572">
        <v>15.846131952221601</v>
      </c>
      <c r="AI3572">
        <v>93.866890148299106</v>
      </c>
      <c r="AJ3572">
        <v>77.1433819591918</v>
      </c>
      <c r="AK3572">
        <v>16.290697912614501</v>
      </c>
    </row>
    <row r="3573" spans="1:37" x14ac:dyDescent="0.2">
      <c r="A3573" t="str">
        <f>"20200111153721726"</f>
        <v>20200111153721726</v>
      </c>
      <c r="B3573" t="str">
        <f>"1578728241716331"</f>
        <v>1578728241716331</v>
      </c>
      <c r="C3573" t="s">
        <v>37</v>
      </c>
      <c r="D3573">
        <v>5.8562050000000001</v>
      </c>
      <c r="E3573">
        <v>0.57429180000000002</v>
      </c>
      <c r="F3573" t="s">
        <v>39</v>
      </c>
      <c r="G3573">
        <v>-190.90350000000001</v>
      </c>
      <c r="H3573" s="1">
        <v>-1.076862E-6</v>
      </c>
      <c r="I3573">
        <v>181.53890000000001</v>
      </c>
      <c r="J3573">
        <v>-190.81790000000001</v>
      </c>
      <c r="K3573">
        <v>1.0987100000000001</v>
      </c>
      <c r="L3573">
        <v>197.8546</v>
      </c>
      <c r="M3573">
        <v>0.21467620000000001</v>
      </c>
      <c r="N3573">
        <v>0</v>
      </c>
      <c r="O3573">
        <v>-0.97658199999999995</v>
      </c>
      <c r="P3573">
        <v>0.1884412</v>
      </c>
      <c r="Q3573">
        <v>6.0690920000000002E-2</v>
      </c>
      <c r="R3573">
        <v>-0.98020769999999902</v>
      </c>
      <c r="S3573">
        <v>-7.0495610000000002E-3</v>
      </c>
      <c r="T3573">
        <v>-0.20422070000000001</v>
      </c>
      <c r="U3573">
        <v>-3.0794220000000001</v>
      </c>
      <c r="V3573">
        <v>2.7573259999999999E-2</v>
      </c>
      <c r="W3573">
        <v>7.4448139999999996E-2</v>
      </c>
      <c r="X3573">
        <v>0.99684359999999905</v>
      </c>
      <c r="Y3573">
        <v>0.2169228</v>
      </c>
      <c r="Z3573">
        <v>6.3071390000000005E-2</v>
      </c>
      <c r="AA3573">
        <v>0.97414909999999999</v>
      </c>
      <c r="AB3573">
        <v>26</v>
      </c>
      <c r="AC3573">
        <v>-8.5599999999999399E-2</v>
      </c>
      <c r="AD3573">
        <v>-1.0987110768620001</v>
      </c>
      <c r="AE3573">
        <v>-16.3156999999999</v>
      </c>
      <c r="AF3573">
        <v>3.5703593400631499</v>
      </c>
      <c r="AG3573">
        <v>-1.0987110768620001</v>
      </c>
      <c r="AH3573">
        <v>15.8449966696326</v>
      </c>
      <c r="AI3573">
        <v>93.869886727301406</v>
      </c>
      <c r="AJ3573">
        <v>77.301599772415798</v>
      </c>
      <c r="AK3573">
        <v>16.2793903850317</v>
      </c>
    </row>
    <row r="3574" spans="1:37" x14ac:dyDescent="0.2">
      <c r="A3574" t="str">
        <f>"20200111153721747"</f>
        <v>20200111153721747</v>
      </c>
      <c r="B3574" t="str">
        <f>"1578728241736828"</f>
        <v>1578728241736828</v>
      </c>
      <c r="C3574" t="s">
        <v>37</v>
      </c>
      <c r="D3574">
        <v>5.8869059999999998</v>
      </c>
      <c r="E3574">
        <v>0.57364950000000003</v>
      </c>
      <c r="F3574" t="s">
        <v>39</v>
      </c>
      <c r="G3574">
        <v>-190.94739999999999</v>
      </c>
      <c r="H3574" s="1">
        <v>-1.1860909999999999E-6</v>
      </c>
      <c r="I3574">
        <v>181.7663</v>
      </c>
      <c r="J3574">
        <v>-190.77209999999999</v>
      </c>
      <c r="K3574">
        <v>1.098789</v>
      </c>
      <c r="L3574">
        <v>197.6026</v>
      </c>
      <c r="M3574">
        <v>0.206460799999999</v>
      </c>
      <c r="N3574">
        <v>0</v>
      </c>
      <c r="O3574">
        <v>-0.97835209999999995</v>
      </c>
      <c r="P3574">
        <v>0.1824499</v>
      </c>
      <c r="Q3574">
        <v>5.9934849999999998E-2</v>
      </c>
      <c r="R3574">
        <v>-0.98138689999999995</v>
      </c>
      <c r="S3574">
        <v>-2.478027E-2</v>
      </c>
      <c r="T3574">
        <v>-0.2102292</v>
      </c>
      <c r="U3574">
        <v>-3.078354</v>
      </c>
      <c r="V3574">
        <v>2.526397E-2</v>
      </c>
      <c r="W3574">
        <v>7.3711079999999998E-2</v>
      </c>
      <c r="X3574">
        <v>0.99695959999999995</v>
      </c>
      <c r="Y3574">
        <v>0.21432789999999999</v>
      </c>
      <c r="Z3574">
        <v>6.5139970000000005E-2</v>
      </c>
      <c r="AA3574">
        <v>0.97458729999999905</v>
      </c>
      <c r="AB3574">
        <v>26</v>
      </c>
      <c r="AC3574">
        <v>-0.17529999999999199</v>
      </c>
      <c r="AD3574">
        <v>-1.0987901860910001</v>
      </c>
      <c r="AE3574">
        <v>-15.8362999999999</v>
      </c>
      <c r="AF3574">
        <v>3.42494010453151</v>
      </c>
      <c r="AG3574">
        <v>-1.0987901860910001</v>
      </c>
      <c r="AH3574">
        <v>15.3847832936824</v>
      </c>
      <c r="AI3574">
        <v>93.987865398494506</v>
      </c>
      <c r="AJ3574">
        <v>77.449547867165194</v>
      </c>
      <c r="AK3574">
        <v>15.799655426187201</v>
      </c>
    </row>
    <row r="3575" spans="1:37" x14ac:dyDescent="0.2">
      <c r="A3575" t="str">
        <f>"20200111153721763"</f>
        <v>20200111153721763</v>
      </c>
      <c r="B3575" t="str">
        <f>"1578728241756560"</f>
        <v>1578728241756560</v>
      </c>
      <c r="C3575" t="s">
        <v>37</v>
      </c>
      <c r="D3575">
        <v>5.8784970000000003</v>
      </c>
      <c r="E3575">
        <v>0.57337389999999999</v>
      </c>
      <c r="F3575" t="s">
        <v>39</v>
      </c>
      <c r="G3575">
        <v>-190.96950000000001</v>
      </c>
      <c r="H3575" s="1">
        <v>-1.269228E-6</v>
      </c>
      <c r="I3575">
        <v>181.94640000000001</v>
      </c>
      <c r="J3575">
        <v>-190.7397</v>
      </c>
      <c r="K3575">
        <v>1.098854</v>
      </c>
      <c r="L3575">
        <v>197.41759999999999</v>
      </c>
      <c r="M3575">
        <v>0.20049059999999999</v>
      </c>
      <c r="N3575">
        <v>0</v>
      </c>
      <c r="O3575">
        <v>-0.97959300000000005</v>
      </c>
      <c r="P3575">
        <v>0.177204799999999</v>
      </c>
      <c r="Q3575">
        <v>5.9581139999999998E-2</v>
      </c>
      <c r="R3575">
        <v>-0.98236880000000004</v>
      </c>
      <c r="S3575">
        <v>-3.88031E-2</v>
      </c>
      <c r="T3575">
        <v>-0.21597060000000001</v>
      </c>
      <c r="U3575">
        <v>-3.077286</v>
      </c>
      <c r="V3575">
        <v>2.449571E-2</v>
      </c>
      <c r="W3575">
        <v>7.3356320000000003E-2</v>
      </c>
      <c r="X3575">
        <v>0.99700489999999997</v>
      </c>
      <c r="Y3575">
        <v>0.21281259999999999</v>
      </c>
      <c r="Z3575">
        <v>6.7073510000000003E-2</v>
      </c>
      <c r="AA3575">
        <v>0.97478809999999905</v>
      </c>
      <c r="AB3575">
        <v>26</v>
      </c>
      <c r="AC3575">
        <v>-0.229800000000011</v>
      </c>
      <c r="AD3575">
        <v>-1.098855269228</v>
      </c>
      <c r="AE3575">
        <v>-15.4711999999999</v>
      </c>
      <c r="AF3575">
        <v>3.31057807377739</v>
      </c>
      <c r="AG3575">
        <v>-1.098855269228</v>
      </c>
      <c r="AH3575">
        <v>15.0350953584484</v>
      </c>
      <c r="AI3575">
        <v>94.082631848189095</v>
      </c>
      <c r="AJ3575">
        <v>77.582196705055296</v>
      </c>
      <c r="AK3575">
        <v>15.434425888996399</v>
      </c>
    </row>
    <row r="3576" spans="1:37" x14ac:dyDescent="0.2">
      <c r="A3576" t="str">
        <f>"20200111153721776"</f>
        <v>20200111153721776</v>
      </c>
      <c r="B3576" t="str">
        <f>"1578728241766322"</f>
        <v>1578728241766322</v>
      </c>
      <c r="C3576" t="s">
        <v>37</v>
      </c>
      <c r="D3576">
        <v>5.8813300000000002</v>
      </c>
      <c r="E3576">
        <v>0.57304750000000004</v>
      </c>
      <c r="F3576" t="s">
        <v>39</v>
      </c>
      <c r="G3576">
        <v>-191.00839999999999</v>
      </c>
      <c r="H3576" s="1">
        <v>-1.2297109999999999E-6</v>
      </c>
      <c r="I3576">
        <v>181.83009999999999</v>
      </c>
      <c r="J3576">
        <v>-190.71289999999999</v>
      </c>
      <c r="K3576">
        <v>1.0989149999999901</v>
      </c>
      <c r="L3576">
        <v>197.2593</v>
      </c>
      <c r="M3576">
        <v>0.19542879999999899</v>
      </c>
      <c r="N3576">
        <v>0</v>
      </c>
      <c r="O3576">
        <v>-0.98061580000000004</v>
      </c>
      <c r="P3576">
        <v>0.17249690000000001</v>
      </c>
      <c r="Q3576">
        <v>5.9387679999999998E-2</v>
      </c>
      <c r="R3576">
        <v>-0.98321819999999904</v>
      </c>
      <c r="S3576">
        <v>-5.3039549999999998E-2</v>
      </c>
      <c r="T3576">
        <v>-0.21688539999999901</v>
      </c>
      <c r="U3576">
        <v>-3.0765689999999899</v>
      </c>
      <c r="V3576">
        <v>2.4110329999999999E-2</v>
      </c>
      <c r="W3576">
        <v>7.3157059999999996E-2</v>
      </c>
      <c r="X3576">
        <v>0.9970289</v>
      </c>
      <c r="Y3576">
        <v>0.21227849999999901</v>
      </c>
      <c r="Z3576">
        <v>6.7481070000000004E-2</v>
      </c>
      <c r="AA3576">
        <v>0.97487649999999904</v>
      </c>
      <c r="AB3576">
        <v>26</v>
      </c>
      <c r="AC3576">
        <v>-0.29550000000000398</v>
      </c>
      <c r="AD3576">
        <v>-1.09891622971099</v>
      </c>
      <c r="AE3576">
        <v>-15.4292</v>
      </c>
      <c r="AF3576">
        <v>3.2887361821666299</v>
      </c>
      <c r="AG3576">
        <v>-1.09891622971099</v>
      </c>
      <c r="AH3576">
        <v>14.9978252109313</v>
      </c>
      <c r="AI3576">
        <v>94.093746612964594</v>
      </c>
      <c r="AJ3576">
        <v>77.631888266584298</v>
      </c>
      <c r="AK3576">
        <v>15.393445475703601</v>
      </c>
    </row>
    <row r="3577" spans="1:37" x14ac:dyDescent="0.2">
      <c r="A3577" t="str">
        <f>"20200111153721793"</f>
        <v>20200111153721793</v>
      </c>
      <c r="B3577" t="str">
        <f>"1578728241786816"</f>
        <v>1578728241786816</v>
      </c>
      <c r="C3577" t="s">
        <v>37</v>
      </c>
      <c r="D3577">
        <v>5.819928</v>
      </c>
      <c r="E3577">
        <v>0.57252199999999998</v>
      </c>
      <c r="F3577" t="s">
        <v>39</v>
      </c>
      <c r="G3577">
        <v>-191.04249999999999</v>
      </c>
      <c r="H3577" s="1">
        <v>-1.1893509999999999E-6</v>
      </c>
      <c r="I3577">
        <v>181.715</v>
      </c>
      <c r="J3577">
        <v>-190.68109999999999</v>
      </c>
      <c r="K3577">
        <v>1.098994</v>
      </c>
      <c r="L3577">
        <v>197.06440000000001</v>
      </c>
      <c r="M3577">
        <v>0.18927439999999901</v>
      </c>
      <c r="N3577">
        <v>0</v>
      </c>
      <c r="O3577">
        <v>-0.98182239999999998</v>
      </c>
      <c r="P3577">
        <v>0.1669078</v>
      </c>
      <c r="Q3577">
        <v>5.9009069999999997E-2</v>
      </c>
      <c r="R3577">
        <v>-0.98420509999999894</v>
      </c>
      <c r="S3577">
        <v>-6.5216060000000006E-2</v>
      </c>
      <c r="T3577">
        <v>-0.21744139999999901</v>
      </c>
      <c r="U3577">
        <v>-3.075745</v>
      </c>
      <c r="V3577">
        <v>2.35046E-2</v>
      </c>
      <c r="W3577">
        <v>7.2773749999999998E-2</v>
      </c>
      <c r="X3577">
        <v>0.99707139999999905</v>
      </c>
      <c r="Y3577">
        <v>0.21001109999999901</v>
      </c>
      <c r="Z3577">
        <v>6.7813310000000002E-2</v>
      </c>
      <c r="AA3577">
        <v>0.9753444</v>
      </c>
      <c r="AB3577">
        <v>26</v>
      </c>
      <c r="AC3577">
        <v>-0.361400000000003</v>
      </c>
      <c r="AD3577">
        <v>-1.0989951893509999</v>
      </c>
      <c r="AE3577">
        <v>-15.349399999999999</v>
      </c>
      <c r="AF3577">
        <v>3.2437855224047798</v>
      </c>
      <c r="AG3577">
        <v>-1.0989951893509999</v>
      </c>
      <c r="AH3577">
        <v>14.9270024901077</v>
      </c>
      <c r="AI3577">
        <v>94.115081678922195</v>
      </c>
      <c r="AJ3577">
        <v>77.739679616824006</v>
      </c>
      <c r="AK3577">
        <v>15.3148731069265</v>
      </c>
    </row>
    <row r="3578" spans="1:37" x14ac:dyDescent="0.2">
      <c r="A3578" t="str">
        <f>"20200111153721807"</f>
        <v>20200111153721807</v>
      </c>
      <c r="B3578" t="str">
        <f>"1578728241796576"</f>
        <v>1578728241796576</v>
      </c>
      <c r="C3578" t="s">
        <v>37</v>
      </c>
      <c r="D3578">
        <v>5.891165</v>
      </c>
      <c r="E3578">
        <v>0.57215959999999999</v>
      </c>
      <c r="F3578" t="s">
        <v>39</v>
      </c>
      <c r="G3578">
        <v>-191.0744</v>
      </c>
      <c r="H3578" s="1">
        <v>-1.1409730000000001E-6</v>
      </c>
      <c r="I3578">
        <v>181.58240000000001</v>
      </c>
      <c r="J3578">
        <v>-190.65520000000001</v>
      </c>
      <c r="K3578">
        <v>1.099067</v>
      </c>
      <c r="L3578">
        <v>196.9008</v>
      </c>
      <c r="M3578">
        <v>0.1841679</v>
      </c>
      <c r="N3578">
        <v>0</v>
      </c>
      <c r="O3578">
        <v>-0.98279329999999998</v>
      </c>
      <c r="P3578">
        <v>0.16192309999999999</v>
      </c>
      <c r="Q3578">
        <v>5.8916570000000001E-2</v>
      </c>
      <c r="R3578">
        <v>-0.985043</v>
      </c>
      <c r="S3578">
        <v>-7.8109739999999997E-2</v>
      </c>
      <c r="T3578">
        <v>-0.2182432</v>
      </c>
      <c r="U3578">
        <v>-3.0744929999999999</v>
      </c>
      <c r="V3578">
        <v>2.335454E-2</v>
      </c>
      <c r="W3578">
        <v>7.26715E-2</v>
      </c>
      <c r="X3578">
        <v>0.99708249999999998</v>
      </c>
      <c r="Y3578">
        <v>0.2090246</v>
      </c>
      <c r="Z3578">
        <v>6.8196690000000004E-2</v>
      </c>
      <c r="AA3578">
        <v>0.9755296</v>
      </c>
      <c r="AB3578">
        <v>26</v>
      </c>
      <c r="AC3578">
        <v>-0.41919999999998903</v>
      </c>
      <c r="AD3578">
        <v>-1.0990681409730001</v>
      </c>
      <c r="AE3578">
        <v>-15.318399999999899</v>
      </c>
      <c r="AF3578">
        <v>3.21691939359311</v>
      </c>
      <c r="AG3578">
        <v>-1.0990681409730001</v>
      </c>
      <c r="AH3578">
        <v>14.9024544677723</v>
      </c>
      <c r="AI3578">
        <v>94.123337635320496</v>
      </c>
      <c r="AJ3578">
        <v>77.8187532463552</v>
      </c>
      <c r="AK3578">
        <v>15.285276259440201</v>
      </c>
    </row>
    <row r="3579" spans="1:37" x14ac:dyDescent="0.2">
      <c r="A3579" t="str">
        <f>"20200111153721826"</f>
        <v>20200111153721826</v>
      </c>
      <c r="B3579" t="str">
        <f>"1578728241816099"</f>
        <v>1578728241816099</v>
      </c>
      <c r="C3579" t="s">
        <v>37</v>
      </c>
      <c r="D3579">
        <v>5.8036440000000002</v>
      </c>
      <c r="E3579">
        <v>0.57176019999999905</v>
      </c>
      <c r="F3579" t="s">
        <v>39</v>
      </c>
      <c r="G3579">
        <v>-191.10910000000001</v>
      </c>
      <c r="H3579" s="1">
        <v>-1.123619E-6</v>
      </c>
      <c r="I3579">
        <v>181.5204</v>
      </c>
      <c r="J3579">
        <v>-190.6207</v>
      </c>
      <c r="K3579">
        <v>1.0991649999999999</v>
      </c>
      <c r="L3579">
        <v>196.67439999999999</v>
      </c>
      <c r="M3579">
        <v>0.1772078</v>
      </c>
      <c r="N3579">
        <v>0</v>
      </c>
      <c r="O3579">
        <v>-0.98407239999999996</v>
      </c>
      <c r="P3579">
        <v>0.15504949999999901</v>
      </c>
      <c r="Q3579">
        <v>5.8038609999999997E-2</v>
      </c>
      <c r="R3579">
        <v>-0.98620059999999998</v>
      </c>
      <c r="S3579">
        <v>-9.0698239999999999E-2</v>
      </c>
      <c r="T3579">
        <v>-0.2196369</v>
      </c>
      <c r="U3579">
        <v>-3.0735929999999998</v>
      </c>
      <c r="V3579">
        <v>2.3226429999999999E-2</v>
      </c>
      <c r="W3579">
        <v>7.1779300000000004E-2</v>
      </c>
      <c r="X3579">
        <v>0.99715010000000004</v>
      </c>
      <c r="Y3579">
        <v>0.20610149999999999</v>
      </c>
      <c r="Z3579">
        <v>6.8804790000000005E-2</v>
      </c>
      <c r="AA3579">
        <v>0.97610859999999899</v>
      </c>
      <c r="AB3579">
        <v>26</v>
      </c>
      <c r="AC3579">
        <v>-0.48840000000001199</v>
      </c>
      <c r="AD3579">
        <v>-1.099166123619</v>
      </c>
      <c r="AE3579">
        <v>-15.1539999999999</v>
      </c>
      <c r="AF3579">
        <v>3.1497888916352998</v>
      </c>
      <c r="AG3579">
        <v>-1.099166123619</v>
      </c>
      <c r="AH3579">
        <v>14.7500394717493</v>
      </c>
      <c r="AI3579">
        <v>94.168143516738397</v>
      </c>
      <c r="AJ3579">
        <v>77.945856454299602</v>
      </c>
      <c r="AK3579">
        <v>15.1225990043823</v>
      </c>
    </row>
    <row r="3580" spans="1:37" x14ac:dyDescent="0.2">
      <c r="A3580" t="str">
        <f>"20200111153721849"</f>
        <v>20200111153721849</v>
      </c>
      <c r="B3580" t="str">
        <f>"1578728241836592"</f>
        <v>1578728241836592</v>
      </c>
      <c r="C3580" t="s">
        <v>37</v>
      </c>
      <c r="D3580">
        <v>5.8929210000000003</v>
      </c>
      <c r="E3580">
        <v>0.57192580000000004</v>
      </c>
      <c r="F3580" t="s">
        <v>39</v>
      </c>
      <c r="G3580">
        <v>-191.16139999999999</v>
      </c>
      <c r="H3580" s="1">
        <v>-1.102968E-6</v>
      </c>
      <c r="I3580">
        <v>181.43979999999999</v>
      </c>
      <c r="J3580">
        <v>-190.58320000000001</v>
      </c>
      <c r="K3580">
        <v>1.0992839999999999</v>
      </c>
      <c r="L3580">
        <v>196.41579999999999</v>
      </c>
      <c r="M3580">
        <v>0.16942850000000001</v>
      </c>
      <c r="N3580">
        <v>0</v>
      </c>
      <c r="O3580">
        <v>-0.98544219999999905</v>
      </c>
      <c r="P3580">
        <v>0.147620899999999</v>
      </c>
      <c r="Q3580">
        <v>5.6252900000000002E-2</v>
      </c>
      <c r="R3580">
        <v>-0.98744319999999897</v>
      </c>
      <c r="S3580">
        <v>-0.109024</v>
      </c>
      <c r="T3580">
        <v>-0.2216552</v>
      </c>
      <c r="U3580">
        <v>-3.0721590000000001</v>
      </c>
      <c r="V3580">
        <v>2.2821330000000001E-2</v>
      </c>
      <c r="W3580">
        <v>6.9981379999999996E-2</v>
      </c>
      <c r="X3580">
        <v>0.99728719999999904</v>
      </c>
      <c r="Y3580">
        <v>0.2041992</v>
      </c>
      <c r="Z3580">
        <v>6.9621249999999996E-2</v>
      </c>
      <c r="AA3580">
        <v>0.976450499999999</v>
      </c>
      <c r="AB3580">
        <v>26</v>
      </c>
      <c r="AC3580">
        <v>-0.57819999999998095</v>
      </c>
      <c r="AD3580">
        <v>-1.099285102968</v>
      </c>
      <c r="AE3580">
        <v>-14.9759999999999</v>
      </c>
      <c r="AF3580">
        <v>3.0908223917632198</v>
      </c>
      <c r="AG3580">
        <v>-1.099285102968</v>
      </c>
      <c r="AH3580">
        <v>14.583011271717099</v>
      </c>
      <c r="AI3580">
        <v>94.217533636243701</v>
      </c>
      <c r="AJ3580">
        <v>78.033431373758305</v>
      </c>
      <c r="AK3580">
        <v>14.947435517374201</v>
      </c>
    </row>
    <row r="3581" spans="1:37" x14ac:dyDescent="0.2">
      <c r="A3581" t="str">
        <f>"20200111153721863"</f>
        <v>20200111153721863</v>
      </c>
      <c r="B3581" t="str">
        <f>"1578728241856623"</f>
        <v>1578728241856623</v>
      </c>
      <c r="C3581" t="s">
        <v>37</v>
      </c>
      <c r="D3581">
        <v>5.8343970000000001</v>
      </c>
      <c r="E3581">
        <v>0.58207900000000001</v>
      </c>
      <c r="F3581" t="s">
        <v>39</v>
      </c>
      <c r="G3581">
        <v>-191.22980000000001</v>
      </c>
      <c r="H3581" s="1">
        <v>-1.1641799999999899E-6</v>
      </c>
      <c r="I3581">
        <v>181.5401</v>
      </c>
      <c r="J3581">
        <v>-190.5592</v>
      </c>
      <c r="K3581">
        <v>1.0993740000000001</v>
      </c>
      <c r="L3581">
        <v>196.24369999999999</v>
      </c>
      <c r="M3581">
        <v>0.16433789999999901</v>
      </c>
      <c r="N3581">
        <v>0</v>
      </c>
      <c r="O3581">
        <v>-0.98630399999999996</v>
      </c>
      <c r="P3581">
        <v>0.1427648</v>
      </c>
      <c r="Q3581">
        <v>5.5441999999999998E-2</v>
      </c>
      <c r="R3581">
        <v>-0.98820269999999999</v>
      </c>
      <c r="S3581">
        <v>-0.13349910000000001</v>
      </c>
      <c r="T3581">
        <v>-0.22694400000000001</v>
      </c>
      <c r="U3581">
        <v>-3.0710599999999899</v>
      </c>
      <c r="V3581">
        <v>2.2552869999999999E-2</v>
      </c>
      <c r="W3581">
        <v>6.9161299999999995E-2</v>
      </c>
      <c r="X3581">
        <v>0.99735049999999903</v>
      </c>
      <c r="Y3581">
        <v>0.20692039999999901</v>
      </c>
      <c r="Z3581">
        <v>7.1361610000000006E-2</v>
      </c>
      <c r="AA3581">
        <v>0.97575179999999995</v>
      </c>
      <c r="AB3581">
        <v>26</v>
      </c>
      <c r="AC3581">
        <v>-0.67060000000000697</v>
      </c>
      <c r="AD3581">
        <v>-1.09937516418</v>
      </c>
      <c r="AE3581">
        <v>-14.7035999999999</v>
      </c>
      <c r="AF3581">
        <v>3.06100138018303</v>
      </c>
      <c r="AG3581">
        <v>-1.09937516418</v>
      </c>
      <c r="AH3581">
        <v>14.3135828864509</v>
      </c>
      <c r="AI3581">
        <v>94.2953159332951</v>
      </c>
      <c r="AJ3581">
        <v>77.928954091758101</v>
      </c>
      <c r="AK3581">
        <v>14.678453946121101</v>
      </c>
    </row>
    <row r="3582" spans="1:37" x14ac:dyDescent="0.2">
      <c r="A3582" t="str">
        <f>"20200111153721876"</f>
        <v>20200111153721876</v>
      </c>
      <c r="B3582" t="str">
        <f>"1578728241866382"</f>
        <v>1578728241866382</v>
      </c>
      <c r="C3582" t="s">
        <v>37</v>
      </c>
      <c r="D3582">
        <v>5.8675160000000002</v>
      </c>
      <c r="E3582">
        <v>0.58201550000000002</v>
      </c>
      <c r="F3582" t="s">
        <v>39</v>
      </c>
      <c r="G3582">
        <v>-191.5676</v>
      </c>
      <c r="H3582" s="1">
        <v>-1.7410210000000001E-6</v>
      </c>
      <c r="I3582">
        <v>182.67519999999999</v>
      </c>
      <c r="J3582">
        <v>-190.5378</v>
      </c>
      <c r="K3582">
        <v>1.099456</v>
      </c>
      <c r="L3582">
        <v>196.0855</v>
      </c>
      <c r="M3582">
        <v>0.15974089999999999</v>
      </c>
      <c r="N3582">
        <v>0</v>
      </c>
      <c r="O3582">
        <v>-0.98705919999999903</v>
      </c>
      <c r="P3582">
        <v>0.13839969999999999</v>
      </c>
      <c r="Q3582">
        <v>5.4941209999999997E-2</v>
      </c>
      <c r="R3582">
        <v>-0.9888517</v>
      </c>
      <c r="S3582">
        <v>-0.22914119999999999</v>
      </c>
      <c r="T3582">
        <v>-0.2497916</v>
      </c>
      <c r="U3582">
        <v>-3.082932</v>
      </c>
      <c r="V3582">
        <v>2.229138E-2</v>
      </c>
      <c r="W3582">
        <v>6.8652779999999997E-2</v>
      </c>
      <c r="X3582">
        <v>0.99739149999999999</v>
      </c>
      <c r="Y3582">
        <v>0.232250599999999</v>
      </c>
      <c r="Z3582">
        <v>7.7990359999999995E-2</v>
      </c>
      <c r="AA3582">
        <v>0.96952419999999995</v>
      </c>
      <c r="AB3582">
        <v>26</v>
      </c>
      <c r="AC3582">
        <v>-1.0297999999999901</v>
      </c>
      <c r="AD3582">
        <v>-1.099457741021</v>
      </c>
      <c r="AE3582">
        <v>-13.410299999999999</v>
      </c>
      <c r="AF3582">
        <v>3.1379890826888901</v>
      </c>
      <c r="AG3582">
        <v>-1.099457741021</v>
      </c>
      <c r="AH3582">
        <v>12.986764907136999</v>
      </c>
      <c r="AI3582">
        <v>94.704363778268203</v>
      </c>
      <c r="AJ3582">
        <v>76.416005908679395</v>
      </c>
      <c r="AK3582">
        <v>13.4056646817907</v>
      </c>
    </row>
    <row r="3583" spans="1:37" x14ac:dyDescent="0.2">
      <c r="A3583" t="str">
        <f>"20200111153721889"</f>
        <v>20200111153721889</v>
      </c>
      <c r="B3583" t="str">
        <f>"1578728241886878"</f>
        <v>1578728241886878</v>
      </c>
      <c r="C3583" t="s">
        <v>37</v>
      </c>
      <c r="D3583">
        <v>5.8367190000000004</v>
      </c>
      <c r="E3583">
        <v>0.58114219999999905</v>
      </c>
      <c r="F3583" t="s">
        <v>39</v>
      </c>
      <c r="G3583">
        <v>-191.60820000000001</v>
      </c>
      <c r="H3583" s="1">
        <v>-1.6519589999999999E-6</v>
      </c>
      <c r="I3583">
        <v>182.44239999999999</v>
      </c>
      <c r="J3583">
        <v>-190.5179</v>
      </c>
      <c r="K3583">
        <v>1.099539</v>
      </c>
      <c r="L3583">
        <v>195.93170000000001</v>
      </c>
      <c r="M3583">
        <v>0.15535829999999901</v>
      </c>
      <c r="N3583">
        <v>0</v>
      </c>
      <c r="O3583">
        <v>-0.98775869999999999</v>
      </c>
      <c r="P3583">
        <v>0.13426679999999999</v>
      </c>
      <c r="Q3583">
        <v>5.4532320000000002E-2</v>
      </c>
      <c r="R3583">
        <v>-0.98944379999999998</v>
      </c>
      <c r="S3583">
        <v>-0.24174499999999999</v>
      </c>
      <c r="T3583">
        <v>-0.24832559999999901</v>
      </c>
      <c r="U3583">
        <v>-3.0814509999999999</v>
      </c>
      <c r="V3583">
        <v>2.2013850000000001E-2</v>
      </c>
      <c r="W3583">
        <v>6.823651E-2</v>
      </c>
      <c r="X3583">
        <v>0.99742629999999999</v>
      </c>
      <c r="Y3583">
        <v>0.23191329999999999</v>
      </c>
      <c r="Z3583">
        <v>7.7647850000000004E-2</v>
      </c>
      <c r="AA3583">
        <v>0.96963239999999995</v>
      </c>
      <c r="AB3583">
        <v>26</v>
      </c>
      <c r="AC3583">
        <v>-1.09030000000001</v>
      </c>
      <c r="AD3583">
        <v>-1.0995406519590001</v>
      </c>
      <c r="AE3583">
        <v>-13.4893</v>
      </c>
      <c r="AF3583">
        <v>3.1521323484152601</v>
      </c>
      <c r="AG3583">
        <v>-1.0995406519590001</v>
      </c>
      <c r="AH3583">
        <v>13.0698042793778</v>
      </c>
      <c r="AI3583">
        <v>94.675439342875805</v>
      </c>
      <c r="AJ3583">
        <v>76.440535365182299</v>
      </c>
      <c r="AK3583">
        <v>13.489429635402599</v>
      </c>
    </row>
    <row r="3584" spans="1:37" x14ac:dyDescent="0.2">
      <c r="A3584" t="str">
        <f>"20200111153721905"</f>
        <v>20200111153721905</v>
      </c>
      <c r="B3584" t="str">
        <f>"1578728241896637"</f>
        <v>1578728241896637</v>
      </c>
      <c r="C3584" t="s">
        <v>37</v>
      </c>
      <c r="D3584">
        <v>5.8619909999999997</v>
      </c>
      <c r="E3584">
        <v>0.58017659999999904</v>
      </c>
      <c r="F3584" t="s">
        <v>39</v>
      </c>
      <c r="G3584">
        <v>-191.61439999999999</v>
      </c>
      <c r="H3584" s="1">
        <v>-1.584822E-6</v>
      </c>
      <c r="I3584">
        <v>182.28210000000001</v>
      </c>
      <c r="J3584">
        <v>-190.4941</v>
      </c>
      <c r="K3584">
        <v>1.0996360000000001</v>
      </c>
      <c r="L3584">
        <v>195.74369999999999</v>
      </c>
      <c r="M3584">
        <v>0.15008540000000001</v>
      </c>
      <c r="N3584">
        <v>0</v>
      </c>
      <c r="O3584">
        <v>-0.98857399999999995</v>
      </c>
      <c r="P3584">
        <v>0.1307479</v>
      </c>
      <c r="Q3584">
        <v>5.3362880000000001E-2</v>
      </c>
      <c r="R3584">
        <v>-0.98997869999999999</v>
      </c>
      <c r="S3584">
        <v>-0.2473755</v>
      </c>
      <c r="T3584">
        <v>-0.24804580000000001</v>
      </c>
      <c r="U3584">
        <v>-3.0792389999999998</v>
      </c>
      <c r="V3584">
        <v>2.021102E-2</v>
      </c>
      <c r="W3584">
        <v>6.7077129999999999E-2</v>
      </c>
      <c r="X3584">
        <v>0.99754310000000002</v>
      </c>
      <c r="Y3584">
        <v>0.22853789999999999</v>
      </c>
      <c r="Z3584">
        <v>7.7740680000000006E-2</v>
      </c>
      <c r="AA3584">
        <v>0.97042609999999996</v>
      </c>
      <c r="AB3584">
        <v>26</v>
      </c>
      <c r="AC3584">
        <v>-1.1202999999999801</v>
      </c>
      <c r="AD3584">
        <v>-1.0996375848219999</v>
      </c>
      <c r="AE3584">
        <v>-13.461599999999899</v>
      </c>
      <c r="AF3584">
        <v>3.10760170377712</v>
      </c>
      <c r="AG3584">
        <v>-1.0996375848219999</v>
      </c>
      <c r="AH3584">
        <v>13.0544238356311</v>
      </c>
      <c r="AI3584">
        <v>94.684637750027207</v>
      </c>
      <c r="AJ3584">
        <v>76.609971328761503</v>
      </c>
      <c r="AK3584">
        <v>13.464188532829001</v>
      </c>
    </row>
    <row r="3585" spans="1:37" x14ac:dyDescent="0.2">
      <c r="A3585" t="str">
        <f>"20200111153721921"</f>
        <v>20200111153721921</v>
      </c>
      <c r="B3585" t="str">
        <f>"1578728241916158"</f>
        <v>1578728241916158</v>
      </c>
      <c r="C3585" t="s">
        <v>37</v>
      </c>
      <c r="D3585">
        <v>5.8236489999999996</v>
      </c>
      <c r="E3585">
        <v>0.57905469999999903</v>
      </c>
      <c r="F3585" t="s">
        <v>39</v>
      </c>
      <c r="G3585">
        <v>-191.58099999999999</v>
      </c>
      <c r="H3585" s="1">
        <v>-1.609231E-6</v>
      </c>
      <c r="I3585">
        <v>182.3596</v>
      </c>
      <c r="J3585">
        <v>-190.47299999999899</v>
      </c>
      <c r="K3585">
        <v>1.0997349999999999</v>
      </c>
      <c r="L3585">
        <v>195.57060000000001</v>
      </c>
      <c r="M3585">
        <v>0.14532539999999999</v>
      </c>
      <c r="N3585">
        <v>0</v>
      </c>
      <c r="O3585">
        <v>-0.98928519999999898</v>
      </c>
      <c r="P3585">
        <v>0.12716159999999899</v>
      </c>
      <c r="Q3585">
        <v>5.2499560000000001E-2</v>
      </c>
      <c r="R3585">
        <v>-0.99049169999999997</v>
      </c>
      <c r="S3585">
        <v>-0.24987789999999999</v>
      </c>
      <c r="T3585">
        <v>-0.25280609999999998</v>
      </c>
      <c r="U3585">
        <v>-3.076981</v>
      </c>
      <c r="V3585">
        <v>1.899872E-2</v>
      </c>
      <c r="W3585">
        <v>6.6216919999999999E-2</v>
      </c>
      <c r="X3585">
        <v>0.99762430000000002</v>
      </c>
      <c r="Y3585">
        <v>0.22468109999999999</v>
      </c>
      <c r="Z3585">
        <v>7.9401810000000003E-2</v>
      </c>
      <c r="AA3585">
        <v>0.9711919</v>
      </c>
      <c r="AB3585">
        <v>26</v>
      </c>
      <c r="AC3585">
        <v>-1.1080000000000001</v>
      </c>
      <c r="AD3585">
        <v>-1.0997366092309999</v>
      </c>
      <c r="AE3585">
        <v>-13.211</v>
      </c>
      <c r="AF3585">
        <v>2.9957025350532001</v>
      </c>
      <c r="AG3585">
        <v>-1.0997366092309999</v>
      </c>
      <c r="AH3585">
        <v>12.821460511535999</v>
      </c>
      <c r="AI3585">
        <v>94.7744668726545</v>
      </c>
      <c r="AJ3585">
        <v>76.848906436510404</v>
      </c>
      <c r="AK3585">
        <v>13.2126266857535</v>
      </c>
    </row>
    <row r="3586" spans="1:37" x14ac:dyDescent="0.2">
      <c r="A3586" t="str">
        <f>"20200111153721933"</f>
        <v>20200111153721933</v>
      </c>
      <c r="B3586" t="str">
        <f>"1578728241926894"</f>
        <v>1578728241926894</v>
      </c>
      <c r="C3586" t="s">
        <v>37</v>
      </c>
      <c r="D3586">
        <v>5.8318009999999996</v>
      </c>
      <c r="E3586">
        <v>0.5786597</v>
      </c>
      <c r="F3586" t="s">
        <v>39</v>
      </c>
      <c r="G3586">
        <v>-191.57239999999999</v>
      </c>
      <c r="H3586" s="1">
        <v>-1.520474E-6</v>
      </c>
      <c r="I3586">
        <v>182.15809999999999</v>
      </c>
      <c r="J3586">
        <v>-190.45339999999999</v>
      </c>
      <c r="K3586">
        <v>1.0998330000000001</v>
      </c>
      <c r="L3586">
        <v>195.4025</v>
      </c>
      <c r="M3586">
        <v>0.14082510000000001</v>
      </c>
      <c r="N3586">
        <v>0</v>
      </c>
      <c r="O3586">
        <v>-0.98993619999999904</v>
      </c>
      <c r="P3586">
        <v>0.1238278</v>
      </c>
      <c r="Q3586">
        <v>5.1719469999999997E-2</v>
      </c>
      <c r="R3586">
        <v>-0.99095540000000004</v>
      </c>
      <c r="S3586">
        <v>-0.25201420000000002</v>
      </c>
      <c r="T3586">
        <v>-0.25209110000000001</v>
      </c>
      <c r="U3586">
        <v>-3.0745239999999998</v>
      </c>
      <c r="V3586">
        <v>1.7796159999999998E-2</v>
      </c>
      <c r="W3586">
        <v>6.5438040000000003E-2</v>
      </c>
      <c r="X3586">
        <v>0.99769789999999903</v>
      </c>
      <c r="Y3586">
        <v>0.22098229999999999</v>
      </c>
      <c r="Z3586">
        <v>7.9353409999999999E-2</v>
      </c>
      <c r="AA3586">
        <v>0.97204419999999903</v>
      </c>
      <c r="AB3586">
        <v>26</v>
      </c>
      <c r="AC3586">
        <v>-1.11899999999999</v>
      </c>
      <c r="AD3586">
        <v>-1.0998345204740001</v>
      </c>
      <c r="AE3586">
        <v>-13.244400000000001</v>
      </c>
      <c r="AF3586">
        <v>2.9529529821978602</v>
      </c>
      <c r="AG3586">
        <v>-1.0998345204740001</v>
      </c>
      <c r="AH3586">
        <v>12.8666899923074</v>
      </c>
      <c r="AI3586">
        <v>94.762497929671696</v>
      </c>
      <c r="AJ3586">
        <v>77.074245532708204</v>
      </c>
      <c r="AK3586">
        <v>13.2469346886607</v>
      </c>
    </row>
    <row r="3587" spans="1:37" x14ac:dyDescent="0.2">
      <c r="A3587" t="str">
        <f>"20200111153721949"</f>
        <v>20200111153721949</v>
      </c>
      <c r="B3587" t="str">
        <f>"1578728241946414"</f>
        <v>1578728241946414</v>
      </c>
      <c r="C3587" t="s">
        <v>37</v>
      </c>
      <c r="D3587">
        <v>5.8149119999999996</v>
      </c>
      <c r="E3587">
        <v>0.5781134</v>
      </c>
      <c r="F3587" t="s">
        <v>39</v>
      </c>
      <c r="G3587">
        <v>-191.57929999999999</v>
      </c>
      <c r="H3587" s="1">
        <v>-1.4748230000000001E-6</v>
      </c>
      <c r="I3587">
        <v>182.04750000000001</v>
      </c>
      <c r="J3587">
        <v>-190.4342</v>
      </c>
      <c r="K3587">
        <v>1.09992</v>
      </c>
      <c r="L3587">
        <v>195.2321</v>
      </c>
      <c r="M3587">
        <v>0.13634270000000001</v>
      </c>
      <c r="N3587">
        <v>0</v>
      </c>
      <c r="O3587">
        <v>-0.99056359999999999</v>
      </c>
      <c r="P3587">
        <v>0.1209465</v>
      </c>
      <c r="Q3587">
        <v>5.0568870000000002E-2</v>
      </c>
      <c r="R3587">
        <v>-0.99137059999999999</v>
      </c>
      <c r="S3587">
        <v>-0.25904850000000001</v>
      </c>
      <c r="T3587">
        <v>-0.2530695</v>
      </c>
      <c r="U3587">
        <v>-3.0729679999999999</v>
      </c>
      <c r="V3587">
        <v>1.6155389999999999E-2</v>
      </c>
      <c r="W3587">
        <v>6.4294610000000002E-2</v>
      </c>
      <c r="X3587">
        <v>0.99780020000000003</v>
      </c>
      <c r="Y3587">
        <v>0.2188147</v>
      </c>
      <c r="Z3587">
        <v>7.9788979999999995E-2</v>
      </c>
      <c r="AA3587">
        <v>0.9724988</v>
      </c>
      <c r="AB3587">
        <v>26</v>
      </c>
      <c r="AC3587">
        <v>-1.14509999999998</v>
      </c>
      <c r="AD3587">
        <v>-1.099921474823</v>
      </c>
      <c r="AE3587">
        <v>-13.1845999999999</v>
      </c>
      <c r="AF3587">
        <v>2.91208792371043</v>
      </c>
      <c r="AG3587">
        <v>-1.099921474823</v>
      </c>
      <c r="AH3587">
        <v>12.816780508082701</v>
      </c>
      <c r="AI3587">
        <v>94.783704707256405</v>
      </c>
      <c r="AJ3587">
        <v>77.199205773824502</v>
      </c>
      <c r="AK3587">
        <v>13.189387624850699</v>
      </c>
    </row>
    <row r="3588" spans="1:37" x14ac:dyDescent="0.2">
      <c r="A3588" t="str">
        <f>"20200111153721963"</f>
        <v>20200111153721963</v>
      </c>
      <c r="B3588" t="str">
        <f>"1578728241956174"</f>
        <v>1578728241956174</v>
      </c>
      <c r="C3588" t="s">
        <v>37</v>
      </c>
      <c r="D3588">
        <v>5.8262780000000003</v>
      </c>
      <c r="E3588">
        <v>0.57788709999999999</v>
      </c>
      <c r="F3588" t="s">
        <v>39</v>
      </c>
      <c r="G3588">
        <v>-191.5652</v>
      </c>
      <c r="H3588" s="1">
        <v>-1.4708869999999901E-6</v>
      </c>
      <c r="I3588">
        <v>182.047</v>
      </c>
      <c r="J3588">
        <v>-190.41480000000001</v>
      </c>
      <c r="K3588">
        <v>1.1000270000000001</v>
      </c>
      <c r="L3588">
        <v>195.05410000000001</v>
      </c>
      <c r="M3588">
        <v>0.131739299999999</v>
      </c>
      <c r="N3588">
        <v>0</v>
      </c>
      <c r="O3588">
        <v>-0.99118669999999998</v>
      </c>
      <c r="P3588">
        <v>0.1167566</v>
      </c>
      <c r="Q3588">
        <v>5.0273560000000002E-2</v>
      </c>
      <c r="R3588">
        <v>-0.99188759999999998</v>
      </c>
      <c r="S3588">
        <v>-0.26345829999999998</v>
      </c>
      <c r="T3588">
        <v>-0.25621579999999999</v>
      </c>
      <c r="U3588">
        <v>-3.0713499999999998</v>
      </c>
      <c r="V3588">
        <v>1.5716210000000001E-2</v>
      </c>
      <c r="W3588">
        <v>6.3989119999999997E-2</v>
      </c>
      <c r="X3588">
        <v>0.99782680000000001</v>
      </c>
      <c r="Y3588">
        <v>0.21570239999999999</v>
      </c>
      <c r="Z3588">
        <v>8.0917790000000003E-2</v>
      </c>
      <c r="AA3588">
        <v>0.97310059999999998</v>
      </c>
      <c r="AB3588">
        <v>26</v>
      </c>
      <c r="AC3588">
        <v>-1.1503999999999901</v>
      </c>
      <c r="AD3588">
        <v>-1.1000284708870001</v>
      </c>
      <c r="AE3588">
        <v>-13.007099999999999</v>
      </c>
      <c r="AF3588">
        <v>2.8339716889888802</v>
      </c>
      <c r="AG3588">
        <v>-1.1000284708870001</v>
      </c>
      <c r="AH3588">
        <v>12.652354360642899</v>
      </c>
      <c r="AI3588">
        <v>94.849383614648801</v>
      </c>
      <c r="AJ3588">
        <v>77.374834464772107</v>
      </c>
      <c r="AK3588">
        <v>13.012437474894201</v>
      </c>
    </row>
    <row r="3589" spans="1:37" x14ac:dyDescent="0.2">
      <c r="A3589" t="str">
        <f>"20200111153721983"</f>
        <v>20200111153721983</v>
      </c>
      <c r="B3589" t="str">
        <f>"1578728241976669"</f>
        <v>1578728241976669</v>
      </c>
      <c r="C3589" t="s">
        <v>37</v>
      </c>
      <c r="D3589">
        <v>5.836284</v>
      </c>
      <c r="E3589">
        <v>0.57733690000000004</v>
      </c>
      <c r="F3589" t="s">
        <v>39</v>
      </c>
      <c r="G3589">
        <v>-191.5959</v>
      </c>
      <c r="H3589" s="1">
        <v>-1.3945269999999901E-6</v>
      </c>
      <c r="I3589">
        <v>181.85</v>
      </c>
      <c r="J3589">
        <v>-190.3912</v>
      </c>
      <c r="K3589">
        <v>1.100158</v>
      </c>
      <c r="L3589">
        <v>194.82759999999999</v>
      </c>
      <c r="M3589">
        <v>0.12601889999999999</v>
      </c>
      <c r="N3589">
        <v>0</v>
      </c>
      <c r="O3589">
        <v>-0.99193050000000005</v>
      </c>
      <c r="P3589">
        <v>0.1106951</v>
      </c>
      <c r="Q3589">
        <v>5.0787800000000001E-2</v>
      </c>
      <c r="R3589">
        <v>-0.99255599999999999</v>
      </c>
      <c r="S3589">
        <v>-0.27459719999999999</v>
      </c>
      <c r="T3589">
        <v>-0.25574619999999998</v>
      </c>
      <c r="U3589">
        <v>-3.069839</v>
      </c>
      <c r="V3589">
        <v>1.6036640000000001E-2</v>
      </c>
      <c r="W3589">
        <v>6.4480670000000004E-2</v>
      </c>
      <c r="X3589">
        <v>0.99779010000000001</v>
      </c>
      <c r="Y3589">
        <v>0.21361430000000001</v>
      </c>
      <c r="Z3589">
        <v>8.0908629999999995E-2</v>
      </c>
      <c r="AA3589">
        <v>0.97356189999999998</v>
      </c>
      <c r="AB3589">
        <v>26</v>
      </c>
      <c r="AC3589">
        <v>-1.2047000000000001</v>
      </c>
      <c r="AD3589">
        <v>-1.1001593945270001</v>
      </c>
      <c r="AE3589">
        <v>-12.977599999999899</v>
      </c>
      <c r="AF3589">
        <v>2.8106485064811499</v>
      </c>
      <c r="AG3589">
        <v>-1.1001593945270001</v>
      </c>
      <c r="AH3589">
        <v>12.632283472520999</v>
      </c>
      <c r="AI3589">
        <v>94.859159483705895</v>
      </c>
      <c r="AJ3589">
        <v>77.456176038452298</v>
      </c>
      <c r="AK3589">
        <v>12.987866701290001</v>
      </c>
    </row>
    <row r="3590" spans="1:37" x14ac:dyDescent="0.2">
      <c r="A3590" t="str">
        <f>"20200111153722005"</f>
        <v>20200111153722005</v>
      </c>
      <c r="B3590" t="str">
        <f>"1578728241996193"</f>
        <v>1578728241996193</v>
      </c>
      <c r="C3590" t="s">
        <v>37</v>
      </c>
      <c r="D3590">
        <v>5.8908009999999997</v>
      </c>
      <c r="E3590">
        <v>0.56862480000000004</v>
      </c>
      <c r="F3590" t="s">
        <v>39</v>
      </c>
      <c r="G3590">
        <v>-191.64699999999999</v>
      </c>
      <c r="H3590" s="1">
        <v>-1.2570800000000001E-6</v>
      </c>
      <c r="I3590">
        <v>181.49789999999999</v>
      </c>
      <c r="J3590">
        <v>-190.36529999999999</v>
      </c>
      <c r="K3590">
        <v>1.1003000000000001</v>
      </c>
      <c r="L3590">
        <v>194.5652</v>
      </c>
      <c r="M3590">
        <v>0.1195609</v>
      </c>
      <c r="N3590">
        <v>0</v>
      </c>
      <c r="O3590">
        <v>-0.992729999999999</v>
      </c>
      <c r="P3590">
        <v>0.103009199999999</v>
      </c>
      <c r="Q3590">
        <v>5.1388499999999997E-2</v>
      </c>
      <c r="R3590">
        <v>-0.99335209999999996</v>
      </c>
      <c r="S3590">
        <v>-0.28901670000000002</v>
      </c>
      <c r="T3590">
        <v>-0.25318989999999902</v>
      </c>
      <c r="U3590">
        <v>-3.067688</v>
      </c>
      <c r="V3590">
        <v>1.7247849999999999E-2</v>
      </c>
      <c r="W3590">
        <v>6.5045489999999997E-2</v>
      </c>
      <c r="X3590">
        <v>0.99773319999999999</v>
      </c>
      <c r="Y3590">
        <v>0.21186079999999899</v>
      </c>
      <c r="Z3590">
        <v>8.0258019999999999E-2</v>
      </c>
      <c r="AA3590">
        <v>0.97399880000000005</v>
      </c>
      <c r="AB3590">
        <v>26</v>
      </c>
      <c r="AC3590">
        <v>-1.28170000000002</v>
      </c>
      <c r="AD3590">
        <v>-1.1003012570799999</v>
      </c>
      <c r="AE3590">
        <v>-13.067299999999999</v>
      </c>
      <c r="AF3590">
        <v>2.8152228681764901</v>
      </c>
      <c r="AG3590">
        <v>-1.1003012570799999</v>
      </c>
      <c r="AH3590">
        <v>12.730889507815</v>
      </c>
      <c r="AI3590">
        <v>94.823704476129294</v>
      </c>
      <c r="AJ3590">
        <v>77.530663777488499</v>
      </c>
      <c r="AK3590">
        <v>13.084788508570901</v>
      </c>
    </row>
    <row r="3591" spans="1:37" x14ac:dyDescent="0.2">
      <c r="A3591" t="str">
        <f>"20200111153722020"</f>
        <v>20200111153722020</v>
      </c>
      <c r="B3591" t="str">
        <f>"1578728242016686"</f>
        <v>1578728242016686</v>
      </c>
      <c r="C3591" t="s">
        <v>37</v>
      </c>
      <c r="D3591">
        <v>5.8417269999999997</v>
      </c>
      <c r="E3591">
        <v>0.56974910000000001</v>
      </c>
      <c r="F3591" t="s">
        <v>38</v>
      </c>
      <c r="G3591">
        <v>-190.43690000000001</v>
      </c>
      <c r="H3591">
        <v>1.0197290000000001</v>
      </c>
      <c r="I3591">
        <v>193.67080000000001</v>
      </c>
      <c r="J3591">
        <v>-190.35</v>
      </c>
      <c r="K3591">
        <v>1.100382</v>
      </c>
      <c r="L3591">
        <v>194.40350000000001</v>
      </c>
      <c r="M3591">
        <v>0.1156433</v>
      </c>
      <c r="N3591">
        <v>0</v>
      </c>
      <c r="O3591">
        <v>-0.99319429999999997</v>
      </c>
      <c r="P3591">
        <v>9.8468710000000001E-2</v>
      </c>
      <c r="Q3591">
        <v>5.186106E-2</v>
      </c>
      <c r="R3591">
        <v>-0.99378820000000001</v>
      </c>
      <c r="S3591">
        <v>-0.2444916</v>
      </c>
      <c r="T3591">
        <v>-0.27557919999999902</v>
      </c>
      <c r="U3591">
        <v>-3.0596919999999899</v>
      </c>
      <c r="V3591">
        <v>1.7861249999999999E-2</v>
      </c>
      <c r="W3591">
        <v>6.5498479999999998E-2</v>
      </c>
      <c r="X3591">
        <v>0.99769279999999905</v>
      </c>
      <c r="Y3591">
        <v>0.1940916</v>
      </c>
      <c r="Z3591">
        <v>8.7808800000000006E-2</v>
      </c>
      <c r="AA3591">
        <v>0.97704559999999996</v>
      </c>
      <c r="AB3591">
        <v>26</v>
      </c>
      <c r="AC3591">
        <v>-8.6900000000014105E-2</v>
      </c>
      <c r="AD3591">
        <v>-8.0652999999999794E-2</v>
      </c>
      <c r="AE3591">
        <v>-0.73269999999999402</v>
      </c>
      <c r="AF3591">
        <v>0.16903704775453099</v>
      </c>
      <c r="AG3591">
        <v>-8.0652999999999794E-2</v>
      </c>
      <c r="AH3591">
        <v>0.70925811933787497</v>
      </c>
      <c r="AI3591">
        <v>96.312192536163806</v>
      </c>
      <c r="AJ3591">
        <v>76.594807287166404</v>
      </c>
      <c r="AK3591">
        <v>0.73357038501378102</v>
      </c>
    </row>
    <row r="3592" spans="1:37" x14ac:dyDescent="0.2">
      <c r="A3592" t="str">
        <f>"20200111153722032"</f>
        <v>20200111153722032</v>
      </c>
      <c r="B3592" t="str">
        <f>"1578728242026446"</f>
        <v>1578728242026446</v>
      </c>
      <c r="C3592" t="s">
        <v>37</v>
      </c>
      <c r="D3592">
        <v>5.8355059999999996</v>
      </c>
      <c r="E3592">
        <v>0.56945159999999995</v>
      </c>
      <c r="F3592" t="s">
        <v>39</v>
      </c>
      <c r="G3592">
        <v>-191.47649999999999</v>
      </c>
      <c r="H3592" s="1">
        <v>-1.2215080000000001E-6</v>
      </c>
      <c r="I3592">
        <v>181.52070000000001</v>
      </c>
      <c r="J3592">
        <v>-190.33599999999899</v>
      </c>
      <c r="K3592">
        <v>1.100447</v>
      </c>
      <c r="L3592">
        <v>194.2466</v>
      </c>
      <c r="M3592">
        <v>0.111903</v>
      </c>
      <c r="N3592">
        <v>0</v>
      </c>
      <c r="O3592">
        <v>-0.99362280000000003</v>
      </c>
      <c r="P3592">
        <v>9.4210710000000003E-2</v>
      </c>
      <c r="Q3592">
        <v>5.2635679999999997E-2</v>
      </c>
      <c r="R3592">
        <v>-0.99416000000000004</v>
      </c>
      <c r="S3592">
        <v>-0.26747129999999902</v>
      </c>
      <c r="T3592">
        <v>-0.2612719</v>
      </c>
      <c r="U3592">
        <v>-3.0588679999999999</v>
      </c>
      <c r="V3592">
        <v>1.8373009999999999E-2</v>
      </c>
      <c r="W3592">
        <v>6.625499E-2</v>
      </c>
      <c r="X3592">
        <v>0.99763359999999901</v>
      </c>
      <c r="Y3592">
        <v>0.19774129999999901</v>
      </c>
      <c r="Z3592">
        <v>8.3303630000000004E-2</v>
      </c>
      <c r="AA3592">
        <v>0.97670820000000003</v>
      </c>
      <c r="AB3592">
        <v>26</v>
      </c>
      <c r="AC3592">
        <v>-1.1405000000000001</v>
      </c>
      <c r="AD3592">
        <v>-1.100448221508</v>
      </c>
      <c r="AE3592">
        <v>-12.7258999999999</v>
      </c>
      <c r="AF3592">
        <v>2.5387058533190499</v>
      </c>
      <c r="AG3592">
        <v>-1.100448221508</v>
      </c>
      <c r="AH3592">
        <v>12.4261400416932</v>
      </c>
      <c r="AI3592">
        <v>94.958953254962395</v>
      </c>
      <c r="AJ3592">
        <v>78.453167456785096</v>
      </c>
      <c r="AK3592">
        <v>12.730474069478699</v>
      </c>
    </row>
    <row r="3593" spans="1:37" x14ac:dyDescent="0.2">
      <c r="A3593" t="str">
        <f>"20200111153722050"</f>
        <v>20200111153722050</v>
      </c>
      <c r="B3593" t="str">
        <f>"1578728242046941"</f>
        <v>1578728242046941</v>
      </c>
      <c r="C3593" t="s">
        <v>37</v>
      </c>
      <c r="D3593">
        <v>5.8930540000000002</v>
      </c>
      <c r="E3593">
        <v>0.56890130000000005</v>
      </c>
      <c r="F3593" t="s">
        <v>39</v>
      </c>
      <c r="G3593">
        <v>-191.53290000000001</v>
      </c>
      <c r="H3593" s="1">
        <v>-1.0533999999999999E-6</v>
      </c>
      <c r="I3593">
        <v>181.09379999999999</v>
      </c>
      <c r="J3593">
        <v>-190.31790000000001</v>
      </c>
      <c r="K3593">
        <v>1.100525</v>
      </c>
      <c r="L3593">
        <v>194.0352</v>
      </c>
      <c r="M3593">
        <v>0.1069055</v>
      </c>
      <c r="N3593">
        <v>0</v>
      </c>
      <c r="O3593">
        <v>-0.99417310000000003</v>
      </c>
      <c r="P3593">
        <v>8.6981059999999999E-2</v>
      </c>
      <c r="Q3593">
        <v>5.4635919999999998E-2</v>
      </c>
      <c r="R3593">
        <v>-0.99471069999999995</v>
      </c>
      <c r="S3593">
        <v>-0.27824399999999999</v>
      </c>
      <c r="T3593">
        <v>-0.25581509999999902</v>
      </c>
      <c r="U3593">
        <v>-3.0575410000000001</v>
      </c>
      <c r="V3593">
        <v>2.0609510000000001E-2</v>
      </c>
      <c r="W3593">
        <v>6.8214629999999998E-2</v>
      </c>
      <c r="X3593">
        <v>0.99745779999999995</v>
      </c>
      <c r="Y3593">
        <v>0.19627620000000001</v>
      </c>
      <c r="Z3593">
        <v>8.1679310000000005E-2</v>
      </c>
      <c r="AA3593">
        <v>0.97714080000000003</v>
      </c>
      <c r="AB3593">
        <v>26</v>
      </c>
      <c r="AC3593">
        <v>-1.2150000000000001</v>
      </c>
      <c r="AD3593">
        <v>-1.1005260534000001</v>
      </c>
      <c r="AE3593">
        <v>-12.9414</v>
      </c>
      <c r="AF3593">
        <v>2.5732286206589401</v>
      </c>
      <c r="AG3593">
        <v>-1.1005260534000001</v>
      </c>
      <c r="AH3593">
        <v>12.6466611389436</v>
      </c>
      <c r="AI3593">
        <v>94.874037063881104</v>
      </c>
      <c r="AJ3593">
        <v>78.498971858379306</v>
      </c>
      <c r="AK3593">
        <v>12.952632979115</v>
      </c>
    </row>
    <row r="3594" spans="1:37" x14ac:dyDescent="0.2">
      <c r="A3594" t="str">
        <f>"20200111153722064"</f>
        <v>20200111153722064</v>
      </c>
      <c r="B3594" t="str">
        <f>"1578728242056702"</f>
        <v>1578728242056702</v>
      </c>
      <c r="C3594" t="s">
        <v>37</v>
      </c>
      <c r="D3594">
        <v>5.9018769999999998</v>
      </c>
      <c r="E3594">
        <v>0.56890130000000005</v>
      </c>
      <c r="F3594" t="s">
        <v>39</v>
      </c>
      <c r="G3594">
        <v>-191.59460000000001</v>
      </c>
      <c r="H3594" s="1">
        <v>-9.7016830000000004E-7</v>
      </c>
      <c r="I3594">
        <v>180.86160000000001</v>
      </c>
      <c r="J3594">
        <v>-190.30430000000001</v>
      </c>
      <c r="K3594">
        <v>1.1005750000000001</v>
      </c>
      <c r="L3594">
        <v>193.86920000000001</v>
      </c>
      <c r="M3594">
        <v>0.10300819999999999</v>
      </c>
      <c r="N3594">
        <v>0</v>
      </c>
      <c r="O3594">
        <v>-0.99458480000000005</v>
      </c>
      <c r="P3594">
        <v>8.1113320000000003E-2</v>
      </c>
      <c r="Q3594">
        <v>5.590622E-2</v>
      </c>
      <c r="R3594">
        <v>-0.99513600000000002</v>
      </c>
      <c r="S3594">
        <v>-0.29615779999999903</v>
      </c>
      <c r="T3594">
        <v>-0.25528729999999999</v>
      </c>
      <c r="U3594">
        <v>-3.0558619999999999</v>
      </c>
      <c r="V3594">
        <v>2.258332E-2</v>
      </c>
      <c r="W3594">
        <v>6.9451479999999996E-2</v>
      </c>
      <c r="X3594">
        <v>0.99732969999999899</v>
      </c>
      <c r="Y3594">
        <v>0.19816039999999999</v>
      </c>
      <c r="Z3594">
        <v>8.1569520000000006E-2</v>
      </c>
      <c r="AA3594">
        <v>0.97676960000000002</v>
      </c>
      <c r="AB3594">
        <v>26</v>
      </c>
      <c r="AC3594">
        <v>-1.2903</v>
      </c>
      <c r="AD3594">
        <v>-1.1005759701683</v>
      </c>
      <c r="AE3594">
        <v>-13.007599999999901</v>
      </c>
      <c r="AF3594">
        <v>2.6049848881657298</v>
      </c>
      <c r="AG3594">
        <v>-1.1005759701683</v>
      </c>
      <c r="AH3594">
        <v>12.7153281440384</v>
      </c>
      <c r="AI3594">
        <v>94.846737730847096</v>
      </c>
      <c r="AJ3594">
        <v>78.422040991368306</v>
      </c>
      <c r="AK3594">
        <v>13.026004128060899</v>
      </c>
    </row>
    <row r="3595" spans="1:37" x14ac:dyDescent="0.2">
      <c r="A3595" t="str">
        <f>"20200111153722077"</f>
        <v>20200111153722077</v>
      </c>
      <c r="B3595" t="str">
        <f>"1578728242066462"</f>
        <v>1578728242066462</v>
      </c>
      <c r="C3595" t="s">
        <v>37</v>
      </c>
      <c r="D3595">
        <v>5.8051019999999998</v>
      </c>
      <c r="E3595">
        <v>0.59508619999999901</v>
      </c>
      <c r="F3595" t="s">
        <v>39</v>
      </c>
      <c r="G3595">
        <v>-191.6738</v>
      </c>
      <c r="H3595" s="1">
        <v>-8.4924449999999896E-7</v>
      </c>
      <c r="I3595">
        <v>180.53059999999999</v>
      </c>
      <c r="J3595">
        <v>-190.29239999999999</v>
      </c>
      <c r="K3595">
        <v>1.100611</v>
      </c>
      <c r="L3595">
        <v>193.7175</v>
      </c>
      <c r="M3595">
        <v>9.9463629999999997E-2</v>
      </c>
      <c r="N3595">
        <v>0</v>
      </c>
      <c r="O3595">
        <v>-0.99494559999999999</v>
      </c>
      <c r="P3595">
        <v>7.5730110000000003E-2</v>
      </c>
      <c r="Q3595">
        <v>5.6461280000000003E-2</v>
      </c>
      <c r="R3595">
        <v>-0.99552850000000004</v>
      </c>
      <c r="S3595">
        <v>-0.31359860000000001</v>
      </c>
      <c r="T3595">
        <v>-0.2520191</v>
      </c>
      <c r="U3595">
        <v>-3.0543819999999999</v>
      </c>
      <c r="V3595">
        <v>2.442248E-2</v>
      </c>
      <c r="W3595">
        <v>6.99771E-2</v>
      </c>
      <c r="X3595">
        <v>0.99724959999999996</v>
      </c>
      <c r="Y3595">
        <v>0.20024400000000001</v>
      </c>
      <c r="Z3595">
        <v>8.0575289999999994E-2</v>
      </c>
      <c r="AA3595">
        <v>0.97642709999999999</v>
      </c>
      <c r="AB3595">
        <v>26</v>
      </c>
      <c r="AC3595">
        <v>-1.38140000000001</v>
      </c>
      <c r="AD3595">
        <v>-1.1006118492445001</v>
      </c>
      <c r="AE3595">
        <v>-13.1869</v>
      </c>
      <c r="AF3595">
        <v>2.6679074334181601</v>
      </c>
      <c r="AG3595">
        <v>-1.1006118492445001</v>
      </c>
      <c r="AH3595">
        <v>12.8952311509748</v>
      </c>
      <c r="AI3595">
        <v>94.777691834481402</v>
      </c>
      <c r="AJ3595">
        <v>78.310935153384605</v>
      </c>
      <c r="AK3595">
        <v>13.214237130953</v>
      </c>
    </row>
    <row r="3596" spans="1:37" x14ac:dyDescent="0.2">
      <c r="A3596" t="str">
        <f>"20200111153722095"</f>
        <v>20200111153722095</v>
      </c>
      <c r="B3596" t="str">
        <f>"1578728242086957"</f>
        <v>1578728242086957</v>
      </c>
      <c r="C3596" t="s">
        <v>37</v>
      </c>
      <c r="D3596">
        <v>6.1639109999999997</v>
      </c>
      <c r="E3596">
        <v>0.60396050000000001</v>
      </c>
      <c r="F3596" t="s">
        <v>39</v>
      </c>
      <c r="G3596">
        <v>-193.21770000000001</v>
      </c>
      <c r="H3596" s="1">
        <v>-3.9845699999999902E-6</v>
      </c>
      <c r="I3596">
        <v>177.01840000000001</v>
      </c>
      <c r="J3596">
        <v>-190.2775</v>
      </c>
      <c r="K3596">
        <v>1.1006450000000001</v>
      </c>
      <c r="L3596">
        <v>193.51499999999999</v>
      </c>
      <c r="M3596">
        <v>9.4745109999999993E-2</v>
      </c>
      <c r="N3596">
        <v>0</v>
      </c>
      <c r="O3596">
        <v>-0.99540599999999901</v>
      </c>
      <c r="P3596">
        <v>6.7099800000000001E-2</v>
      </c>
      <c r="Q3596">
        <v>5.7328480000000001E-2</v>
      </c>
      <c r="R3596">
        <v>-0.99609799999999904</v>
      </c>
      <c r="S3596">
        <v>-0.53706359999999997</v>
      </c>
      <c r="T3596">
        <v>-0.2020612</v>
      </c>
      <c r="U3596">
        <v>-3.0657809999999999</v>
      </c>
      <c r="V3596">
        <v>2.833952E-2</v>
      </c>
      <c r="W3596">
        <v>7.0789519999999995E-2</v>
      </c>
      <c r="X3596">
        <v>0.99708859999999999</v>
      </c>
      <c r="Y3596">
        <v>0.26475379999999998</v>
      </c>
      <c r="Z3596">
        <v>6.3664479999999996E-2</v>
      </c>
      <c r="AA3596">
        <v>0.96221209999999902</v>
      </c>
      <c r="AB3596">
        <v>26</v>
      </c>
      <c r="AC3596">
        <v>-2.9401999999999999</v>
      </c>
      <c r="AD3596">
        <v>-1.10064898457</v>
      </c>
      <c r="AE3596">
        <v>-16.496599999999901</v>
      </c>
      <c r="AF3596">
        <v>4.4708029167862797</v>
      </c>
      <c r="AG3596">
        <v>-1.10064898457</v>
      </c>
      <c r="AH3596">
        <v>16.0744282262526</v>
      </c>
      <c r="AI3596">
        <v>93.774220802274598</v>
      </c>
      <c r="AJ3596">
        <v>74.457082049137995</v>
      </c>
      <c r="AK3596">
        <v>16.720847756885</v>
      </c>
    </row>
    <row r="3597" spans="1:37" x14ac:dyDescent="0.2">
      <c r="A3597" t="str">
        <f>"20200111153722117"</f>
        <v>20200111153722117</v>
      </c>
      <c r="B3597" t="str">
        <f>"1578728242106477"</f>
        <v>1578728242106477</v>
      </c>
      <c r="C3597" t="s">
        <v>37</v>
      </c>
      <c r="D3597">
        <v>5.7283540000000004</v>
      </c>
      <c r="E3597">
        <v>0.60875749999999995</v>
      </c>
      <c r="F3597" t="s">
        <v>39</v>
      </c>
      <c r="G3597">
        <v>-193.88409999999999</v>
      </c>
      <c r="H3597" s="1">
        <v>-3.7780570000000002E-6</v>
      </c>
      <c r="I3597">
        <v>176.0642</v>
      </c>
      <c r="J3597">
        <v>-190.25989999999999</v>
      </c>
      <c r="K3597">
        <v>1.100665</v>
      </c>
      <c r="L3597">
        <v>193.2602</v>
      </c>
      <c r="M3597">
        <v>8.8808830000000005E-2</v>
      </c>
      <c r="N3597">
        <v>0</v>
      </c>
      <c r="O3597">
        <v>-0.99595339999999999</v>
      </c>
      <c r="P3597">
        <v>5.7618639999999999E-2</v>
      </c>
      <c r="Q3597">
        <v>5.8127310000000001E-2</v>
      </c>
      <c r="R3597">
        <v>-0.99664519999999901</v>
      </c>
      <c r="S3597">
        <v>-0.63356020000000002</v>
      </c>
      <c r="T3597">
        <v>-0.19334860000000001</v>
      </c>
      <c r="U3597">
        <v>-3.0655519999999998</v>
      </c>
      <c r="V3597">
        <v>3.1886039999999997E-2</v>
      </c>
      <c r="W3597">
        <v>7.1535779999999993E-2</v>
      </c>
      <c r="X3597">
        <v>0.99692819999999904</v>
      </c>
      <c r="Y3597">
        <v>0.2881959</v>
      </c>
      <c r="Z3597">
        <v>6.0598550000000001E-2</v>
      </c>
      <c r="AA3597">
        <v>0.9556521</v>
      </c>
      <c r="AB3597">
        <v>26</v>
      </c>
      <c r="AC3597">
        <v>-3.6242000000000001</v>
      </c>
      <c r="AD3597">
        <v>-1.1006687780569999</v>
      </c>
      <c r="AE3597">
        <v>-17.195999999999898</v>
      </c>
      <c r="AF3597">
        <v>5.1171057344292397</v>
      </c>
      <c r="AG3597">
        <v>-1.1006687780569999</v>
      </c>
      <c r="AH3597">
        <v>16.740481160807299</v>
      </c>
      <c r="AI3597">
        <v>93.597852568706003</v>
      </c>
      <c r="AJ3597">
        <v>73.003045494128699</v>
      </c>
      <c r="AK3597">
        <v>17.539667965832798</v>
      </c>
    </row>
    <row r="3598" spans="1:37" x14ac:dyDescent="0.2">
      <c r="A3598" t="str">
        <f>"20200111153722138"</f>
        <v>20200111153722138</v>
      </c>
      <c r="B3598" t="str">
        <f>"1578728242126974"</f>
        <v>1578728242126974</v>
      </c>
      <c r="C3598" t="s">
        <v>37</v>
      </c>
      <c r="D3598">
        <v>5.7484869999999999</v>
      </c>
      <c r="E3598">
        <v>0.61168710000000004</v>
      </c>
      <c r="F3598" t="s">
        <v>39</v>
      </c>
      <c r="G3598">
        <v>-194.62379999999999</v>
      </c>
      <c r="H3598" s="1">
        <v>-3.2056880000000002E-6</v>
      </c>
      <c r="I3598">
        <v>174.19380000000001</v>
      </c>
      <c r="J3598">
        <v>-190.244</v>
      </c>
      <c r="K3598">
        <v>1.1006750000000001</v>
      </c>
      <c r="L3598">
        <v>193.00630000000001</v>
      </c>
      <c r="M3598">
        <v>8.2884330000000006E-2</v>
      </c>
      <c r="N3598">
        <v>0</v>
      </c>
      <c r="O3598">
        <v>-0.99646420000000002</v>
      </c>
      <c r="P3598">
        <v>4.9580649999999997E-2</v>
      </c>
      <c r="Q3598">
        <v>5.8809029999999998E-2</v>
      </c>
      <c r="R3598">
        <v>-0.99703739999999996</v>
      </c>
      <c r="S3598">
        <v>-0.7005768</v>
      </c>
      <c r="T3598">
        <v>-0.1767011</v>
      </c>
      <c r="U3598">
        <v>-3.0609130000000002</v>
      </c>
      <c r="V3598">
        <v>3.399957E-2</v>
      </c>
      <c r="W3598">
        <v>7.21826E-2</v>
      </c>
      <c r="X3598">
        <v>0.99681169999999997</v>
      </c>
      <c r="Y3598">
        <v>0.30279889999999998</v>
      </c>
      <c r="Z3598">
        <v>5.5268539999999998E-2</v>
      </c>
      <c r="AA3598">
        <v>0.95145059999999904</v>
      </c>
      <c r="AB3598">
        <v>26</v>
      </c>
      <c r="AC3598">
        <v>-4.3797999999999604</v>
      </c>
      <c r="AD3598">
        <v>-1.100678205688</v>
      </c>
      <c r="AE3598">
        <v>-18.8125</v>
      </c>
      <c r="AF3598">
        <v>5.9049617026347203</v>
      </c>
      <c r="AG3598">
        <v>-1.100678205688</v>
      </c>
      <c r="AH3598">
        <v>18.3252011558031</v>
      </c>
      <c r="AI3598">
        <v>93.271975468114903</v>
      </c>
      <c r="AJ3598">
        <v>72.139411192924001</v>
      </c>
      <c r="AK3598">
        <v>19.284529100362001</v>
      </c>
    </row>
    <row r="3599" spans="1:37" x14ac:dyDescent="0.2">
      <c r="A3599" t="str">
        <f>"20200111153722163"</f>
        <v>20200111153722163</v>
      </c>
      <c r="B3599" t="str">
        <f>"1578728242156254"</f>
        <v>1578728242156254</v>
      </c>
      <c r="C3599" t="s">
        <v>37</v>
      </c>
      <c r="D3599">
        <v>5.790851</v>
      </c>
      <c r="E3599">
        <v>0.61239739999999998</v>
      </c>
      <c r="F3599" t="s">
        <v>39</v>
      </c>
      <c r="G3599">
        <v>-195.3674</v>
      </c>
      <c r="H3599" s="1">
        <v>-2.502784E-6</v>
      </c>
      <c r="I3599">
        <v>172.0941</v>
      </c>
      <c r="J3599">
        <v>-190.2285</v>
      </c>
      <c r="K3599">
        <v>1.100679</v>
      </c>
      <c r="L3599">
        <v>192.7311</v>
      </c>
      <c r="M3599">
        <v>7.6445200000000005E-2</v>
      </c>
      <c r="N3599">
        <v>0</v>
      </c>
      <c r="O3599">
        <v>-0.99697909999999901</v>
      </c>
      <c r="P3599">
        <v>4.1520700000000001E-2</v>
      </c>
      <c r="Q3599">
        <v>5.9125799999999999E-2</v>
      </c>
      <c r="R3599">
        <v>-0.99738669999999996</v>
      </c>
      <c r="S3599">
        <v>-0.74862669999999998</v>
      </c>
      <c r="T3599">
        <v>-0.16082839999999901</v>
      </c>
      <c r="U3599">
        <v>-3.055634</v>
      </c>
      <c r="V3599">
        <v>3.5618839999999999E-2</v>
      </c>
      <c r="W3599">
        <v>7.2470329999999999E-2</v>
      </c>
      <c r="X3599">
        <v>0.99673429999999996</v>
      </c>
      <c r="Y3599">
        <v>0.31121670000000001</v>
      </c>
      <c r="Z3599">
        <v>5.028233E-2</v>
      </c>
      <c r="AA3599">
        <v>0.94900779999999996</v>
      </c>
      <c r="AB3599">
        <v>26</v>
      </c>
      <c r="AC3599">
        <v>-5.1388999999999996</v>
      </c>
      <c r="AD3599">
        <v>-1.100681502784</v>
      </c>
      <c r="AE3599">
        <v>-20.637</v>
      </c>
      <c r="AF3599">
        <v>6.6837054195640402</v>
      </c>
      <c r="AG3599">
        <v>-1.100681502784</v>
      </c>
      <c r="AH3599">
        <v>20.129799927698901</v>
      </c>
      <c r="AI3599">
        <v>92.970613844499894</v>
      </c>
      <c r="AJ3599">
        <v>71.632265003976798</v>
      </c>
      <c r="AK3599">
        <v>21.238932718836601</v>
      </c>
    </row>
    <row r="3600" spans="1:37" x14ac:dyDescent="0.2">
      <c r="A3600" t="str">
        <f>"20200111153722184"</f>
        <v>20200111153722184</v>
      </c>
      <c r="B3600" t="str">
        <f>"1578728242176752"</f>
        <v>1578728242176752</v>
      </c>
      <c r="C3600" t="s">
        <v>37</v>
      </c>
      <c r="D3600">
        <v>5.7933089999999998</v>
      </c>
      <c r="E3600">
        <v>0.61173029999999995</v>
      </c>
      <c r="F3600" t="s">
        <v>39</v>
      </c>
      <c r="G3600">
        <v>-195.84970000000001</v>
      </c>
      <c r="H3600" s="1">
        <v>-2.0419229999999999E-6</v>
      </c>
      <c r="I3600">
        <v>170.72069999999999</v>
      </c>
      <c r="J3600">
        <v>-190.21539999999999</v>
      </c>
      <c r="K3600">
        <v>1.1006769999999999</v>
      </c>
      <c r="L3600">
        <v>192.46770000000001</v>
      </c>
      <c r="M3600">
        <v>7.0259589999999997E-2</v>
      </c>
      <c r="N3600">
        <v>0</v>
      </c>
      <c r="O3600">
        <v>-0.9974343</v>
      </c>
      <c r="P3600">
        <v>3.4792299999999998E-2</v>
      </c>
      <c r="Q3600">
        <v>5.9310179999999997E-2</v>
      </c>
      <c r="R3600">
        <v>-0.99763329999999995</v>
      </c>
      <c r="S3600">
        <v>-0.77874759999999998</v>
      </c>
      <c r="T3600">
        <v>-0.1524875</v>
      </c>
      <c r="U3600">
        <v>-3.0493009999999998</v>
      </c>
      <c r="V3600">
        <v>3.6160480000000002E-2</v>
      </c>
      <c r="W3600">
        <v>7.2639170000000003E-2</v>
      </c>
      <c r="X3600">
        <v>0.99670259999999999</v>
      </c>
      <c r="Y3600">
        <v>0.31462839999999997</v>
      </c>
      <c r="Z3600">
        <v>4.7726770000000002E-2</v>
      </c>
      <c r="AA3600">
        <v>0.94801429999999998</v>
      </c>
      <c r="AB3600">
        <v>26</v>
      </c>
      <c r="AC3600">
        <v>-5.6343000000000201</v>
      </c>
      <c r="AD3600">
        <v>-1.1006790419229999</v>
      </c>
      <c r="AE3600">
        <v>-21.747</v>
      </c>
      <c r="AF3600">
        <v>7.1313338235415999</v>
      </c>
      <c r="AG3600">
        <v>-1.1006790419229999</v>
      </c>
      <c r="AH3600">
        <v>21.2463439568665</v>
      </c>
      <c r="AI3600">
        <v>92.811699440785006</v>
      </c>
      <c r="AJ3600">
        <v>71.4456763152821</v>
      </c>
      <c r="AK3600">
        <v>22.438238522432901</v>
      </c>
    </row>
    <row r="3601" spans="1:37" x14ac:dyDescent="0.2">
      <c r="A3601" t="str">
        <f>"20200111153722198"</f>
        <v>20200111153722198</v>
      </c>
      <c r="B3601" t="str">
        <f>"1578728242186510"</f>
        <v>1578728242186510</v>
      </c>
      <c r="C3601" t="s">
        <v>37</v>
      </c>
      <c r="D3601">
        <v>5.7815310000000002</v>
      </c>
      <c r="E3601">
        <v>0.61120259999999904</v>
      </c>
      <c r="F3601" t="s">
        <v>39</v>
      </c>
      <c r="G3601">
        <v>-196.05170000000001</v>
      </c>
      <c r="H3601" s="1">
        <v>-1.827084E-6</v>
      </c>
      <c r="I3601">
        <v>170.09469999999999</v>
      </c>
      <c r="J3601">
        <v>-190.20820000000001</v>
      </c>
      <c r="K3601">
        <v>1.10067</v>
      </c>
      <c r="L3601">
        <v>192.31030000000001</v>
      </c>
      <c r="M3601">
        <v>6.6555530000000002E-2</v>
      </c>
      <c r="N3601">
        <v>0</v>
      </c>
      <c r="O3601">
        <v>-0.99768819999999903</v>
      </c>
      <c r="P3601">
        <v>3.1077609999999999E-2</v>
      </c>
      <c r="Q3601">
        <v>5.8968800000000002E-2</v>
      </c>
      <c r="R3601">
        <v>-0.997776</v>
      </c>
      <c r="S3601">
        <v>-0.79399109999999995</v>
      </c>
      <c r="T3601">
        <v>-0.1497407</v>
      </c>
      <c r="U3601">
        <v>-3.0437159999999999</v>
      </c>
      <c r="V3601">
        <v>3.6168169999999999E-2</v>
      </c>
      <c r="W3601">
        <v>7.2292930000000005E-2</v>
      </c>
      <c r="X3601">
        <v>0.99672749999999999</v>
      </c>
      <c r="Y3601">
        <v>0.31598140000000002</v>
      </c>
      <c r="Z3601">
        <v>4.6930960000000001E-2</v>
      </c>
      <c r="AA3601">
        <v>0.94760390000000005</v>
      </c>
      <c r="AB3601">
        <v>26</v>
      </c>
      <c r="AC3601">
        <v>-5.8434999999999997</v>
      </c>
      <c r="AD3601">
        <v>-1.1006718270839999</v>
      </c>
      <c r="AE3601">
        <v>-22.215599999999998</v>
      </c>
      <c r="AF3601">
        <v>7.2925087998778197</v>
      </c>
      <c r="AG3601">
        <v>-1.1006718270839999</v>
      </c>
      <c r="AH3601">
        <v>21.727495317237</v>
      </c>
      <c r="AI3601">
        <v>92.749525837369504</v>
      </c>
      <c r="AJ3601">
        <v>71.446442882349203</v>
      </c>
      <c r="AK3601">
        <v>22.945069531988601</v>
      </c>
    </row>
    <row r="3602" spans="1:37" x14ac:dyDescent="0.2">
      <c r="A3602" t="str">
        <f>"20200111153722217"</f>
        <v>20200111153722217</v>
      </c>
      <c r="B3602" t="str">
        <f>"1578728242207005"</f>
        <v>1578728242207005</v>
      </c>
      <c r="C3602" t="s">
        <v>37</v>
      </c>
      <c r="D3602">
        <v>5.8076080000000001</v>
      </c>
      <c r="E3602">
        <v>0.61018830000000002</v>
      </c>
      <c r="F3602" t="s">
        <v>39</v>
      </c>
      <c r="G3602">
        <v>-196.03139999999999</v>
      </c>
      <c r="H3602" s="1">
        <v>-1.872184E-6</v>
      </c>
      <c r="I3602">
        <v>170.2124</v>
      </c>
      <c r="J3602">
        <v>-190.19919999999999</v>
      </c>
      <c r="K3602">
        <v>1.1006579999999999</v>
      </c>
      <c r="L3602">
        <v>192.08709999999999</v>
      </c>
      <c r="M3602">
        <v>6.129399E-2</v>
      </c>
      <c r="N3602">
        <v>0</v>
      </c>
      <c r="O3602">
        <v>-0.99802539999999995</v>
      </c>
      <c r="P3602">
        <v>2.6735579999999998E-2</v>
      </c>
      <c r="Q3602">
        <v>5.7948060000000003E-2</v>
      </c>
      <c r="R3602">
        <v>-0.99796180000000001</v>
      </c>
      <c r="S3602">
        <v>-0.80125429999999997</v>
      </c>
      <c r="T3602">
        <v>-0.1514481</v>
      </c>
      <c r="U3602">
        <v>-3.0405880000000001</v>
      </c>
      <c r="V3602">
        <v>3.5241620000000001E-2</v>
      </c>
      <c r="W3602">
        <v>7.1276560000000003E-2</v>
      </c>
      <c r="X3602">
        <v>0.99683379999999999</v>
      </c>
      <c r="Y3602">
        <v>0.31332680000000002</v>
      </c>
      <c r="Z3602">
        <v>4.7544199999999898E-2</v>
      </c>
      <c r="AA3602">
        <v>0.94845440000000003</v>
      </c>
      <c r="AB3602">
        <v>26</v>
      </c>
      <c r="AC3602">
        <v>-5.8322000000000003</v>
      </c>
      <c r="AD3602">
        <v>-1.100659872184</v>
      </c>
      <c r="AE3602">
        <v>-21.874699999999901</v>
      </c>
      <c r="AF3602">
        <v>7.1452564397596801</v>
      </c>
      <c r="AG3602">
        <v>-1.100659872184</v>
      </c>
      <c r="AH3602">
        <v>21.425406102934499</v>
      </c>
      <c r="AI3602">
        <v>92.789995458383601</v>
      </c>
      <c r="AJ3602">
        <v>71.556737591330204</v>
      </c>
      <c r="AK3602">
        <v>22.612257039486899</v>
      </c>
    </row>
    <row r="3603" spans="1:37" x14ac:dyDescent="0.2">
      <c r="A3603" t="str">
        <f>"20200111153722233"</f>
        <v>20200111153722233</v>
      </c>
      <c r="B3603" t="str">
        <f>"1578728242226526"</f>
        <v>1578728242226526</v>
      </c>
      <c r="C3603" t="s">
        <v>37</v>
      </c>
      <c r="D3603">
        <v>5.8684599999999998</v>
      </c>
      <c r="E3603">
        <v>0.59166209999999997</v>
      </c>
      <c r="F3603" t="s">
        <v>39</v>
      </c>
      <c r="G3603">
        <v>-195.90979999999999</v>
      </c>
      <c r="H3603" s="1">
        <v>-2.0031689999999999E-6</v>
      </c>
      <c r="I3603">
        <v>170.5932</v>
      </c>
      <c r="J3603">
        <v>-190.1927</v>
      </c>
      <c r="K3603">
        <v>1.100652</v>
      </c>
      <c r="L3603">
        <v>191.90360000000001</v>
      </c>
      <c r="M3603">
        <v>5.6962869999999999E-2</v>
      </c>
      <c r="N3603">
        <v>0</v>
      </c>
      <c r="O3603">
        <v>-0.998282</v>
      </c>
      <c r="P3603">
        <v>2.289128E-2</v>
      </c>
      <c r="Q3603">
        <v>5.7095699999999999E-2</v>
      </c>
      <c r="R3603">
        <v>-0.99810650000000001</v>
      </c>
      <c r="S3603">
        <v>-0.80682369999999903</v>
      </c>
      <c r="T3603">
        <v>-0.15550739999999999</v>
      </c>
      <c r="U3603">
        <v>-3.03678899999999</v>
      </c>
      <c r="V3603">
        <v>3.4749149999999999E-2</v>
      </c>
      <c r="W3603">
        <v>7.0424689999999998E-2</v>
      </c>
      <c r="X3603">
        <v>0.99691160000000001</v>
      </c>
      <c r="Y3603">
        <v>0.31110690000000002</v>
      </c>
      <c r="Z3603">
        <v>4.8900779999999998E-2</v>
      </c>
      <c r="AA3603">
        <v>0.94911599999999996</v>
      </c>
      <c r="AB3603">
        <v>26</v>
      </c>
      <c r="AC3603">
        <v>-5.7170999999999799</v>
      </c>
      <c r="AD3603">
        <v>-1.100654003169</v>
      </c>
      <c r="AE3603">
        <v>-21.310400000000001</v>
      </c>
      <c r="AF3603">
        <v>6.90464911709633</v>
      </c>
      <c r="AG3603">
        <v>-1.100654003169</v>
      </c>
      <c r="AH3603">
        <v>20.8980940923684</v>
      </c>
      <c r="AI3603">
        <v>92.862910095273307</v>
      </c>
      <c r="AJ3603">
        <v>71.716645551354603</v>
      </c>
      <c r="AK3603">
        <v>22.036695654258001</v>
      </c>
    </row>
    <row r="3604" spans="1:37" x14ac:dyDescent="0.2">
      <c r="A3604" t="str">
        <f>"20200111153722251"</f>
        <v>20200111153722251</v>
      </c>
      <c r="B3604" t="str">
        <f>"1578728242247022"</f>
        <v>1578728242247022</v>
      </c>
      <c r="C3604" t="s">
        <v>37</v>
      </c>
      <c r="D3604">
        <v>5.9043989999999997</v>
      </c>
      <c r="E3604">
        <v>0.59083599999999903</v>
      </c>
      <c r="F3604" t="s">
        <v>39</v>
      </c>
      <c r="G3604">
        <v>-194.2388</v>
      </c>
      <c r="H3604" s="1">
        <v>-2.8599980000000001E-6</v>
      </c>
      <c r="I3604">
        <v>173.6268</v>
      </c>
      <c r="J3604">
        <v>-190.18610000000001</v>
      </c>
      <c r="K3604">
        <v>1.100641</v>
      </c>
      <c r="L3604">
        <v>191.69040000000001</v>
      </c>
      <c r="M3604">
        <v>5.1923860000000002E-2</v>
      </c>
      <c r="N3604">
        <v>0</v>
      </c>
      <c r="O3604">
        <v>-0.99855680000000002</v>
      </c>
      <c r="P3604">
        <v>1.8589580000000001E-2</v>
      </c>
      <c r="Q3604">
        <v>5.5394020000000002E-2</v>
      </c>
      <c r="R3604">
        <v>-0.99829159999999995</v>
      </c>
      <c r="S3604">
        <v>-0.67111209999999999</v>
      </c>
      <c r="T3604">
        <v>-0.18256259999999999</v>
      </c>
      <c r="U3604">
        <v>-3.0315249999999998</v>
      </c>
      <c r="V3604">
        <v>3.4000199999999897E-2</v>
      </c>
      <c r="W3604">
        <v>6.8727940000000001E-2</v>
      </c>
      <c r="X3604">
        <v>0.99705589999999999</v>
      </c>
      <c r="Y3604">
        <v>0.26618569999999903</v>
      </c>
      <c r="Z3604">
        <v>5.8203899999999899E-2</v>
      </c>
      <c r="AA3604">
        <v>0.96216290000000004</v>
      </c>
      <c r="AB3604">
        <v>26</v>
      </c>
      <c r="AC3604">
        <v>-4.0526999999999802</v>
      </c>
      <c r="AD3604">
        <v>-1.100643859998</v>
      </c>
      <c r="AE3604">
        <v>-18.063600000000001</v>
      </c>
      <c r="AF3604">
        <v>4.9676927194476699</v>
      </c>
      <c r="AG3604">
        <v>-1.100643859998</v>
      </c>
      <c r="AH3604">
        <v>17.765978816634298</v>
      </c>
      <c r="AI3604">
        <v>93.414434995062194</v>
      </c>
      <c r="AJ3604">
        <v>74.378035634784098</v>
      </c>
      <c r="AK3604">
        <v>18.480243266107301</v>
      </c>
    </row>
    <row r="3605" spans="1:37" x14ac:dyDescent="0.2">
      <c r="A3605" t="str">
        <f>"20200111153722266"</f>
        <v>20200111153722266</v>
      </c>
      <c r="B3605" t="str">
        <f>"1578728242256782"</f>
        <v>1578728242256782</v>
      </c>
      <c r="C3605" t="s">
        <v>37</v>
      </c>
      <c r="D3605">
        <v>5.8789809999999996</v>
      </c>
      <c r="E3605">
        <v>0.59028049999999999</v>
      </c>
      <c r="F3605" t="s">
        <v>39</v>
      </c>
      <c r="G3605">
        <v>-194.05690000000001</v>
      </c>
      <c r="H3605" s="1">
        <v>-3.1383099999999902E-6</v>
      </c>
      <c r="I3605">
        <v>174.38839999999999</v>
      </c>
      <c r="J3605">
        <v>-190.1814</v>
      </c>
      <c r="K3605">
        <v>1.1006339999999999</v>
      </c>
      <c r="L3605">
        <v>191.51159999999999</v>
      </c>
      <c r="M3605">
        <v>4.7700090000000001E-2</v>
      </c>
      <c r="N3605">
        <v>0</v>
      </c>
      <c r="O3605">
        <v>-0.99876769999999904</v>
      </c>
      <c r="P3605">
        <v>1.4475089999999999E-2</v>
      </c>
      <c r="Q3605">
        <v>5.4406889999999999E-2</v>
      </c>
      <c r="R3605">
        <v>-0.99841420000000003</v>
      </c>
      <c r="S3605">
        <v>-0.67752080000000003</v>
      </c>
      <c r="T3605">
        <v>-0.19265199999999999</v>
      </c>
      <c r="U3605">
        <v>-3.0284580000000001</v>
      </c>
      <c r="V3605">
        <v>3.38841E-2</v>
      </c>
      <c r="W3605">
        <v>6.7738430000000002E-2</v>
      </c>
      <c r="X3605">
        <v>0.99712749999999895</v>
      </c>
      <c r="Y3605">
        <v>0.26421129999999998</v>
      </c>
      <c r="Z3605">
        <v>6.149172E-2</v>
      </c>
      <c r="AA3605">
        <v>0.96250249999999904</v>
      </c>
      <c r="AB3605">
        <v>26</v>
      </c>
      <c r="AC3605">
        <v>-3.8755000000000099</v>
      </c>
      <c r="AD3605">
        <v>-1.10063713831</v>
      </c>
      <c r="AE3605">
        <v>-17.123199999999901</v>
      </c>
      <c r="AF3605">
        <v>4.6695898225382502</v>
      </c>
      <c r="AG3605">
        <v>-1.10063713831</v>
      </c>
      <c r="AH3605">
        <v>16.8525907235034</v>
      </c>
      <c r="AI3605">
        <v>93.601347442046702</v>
      </c>
      <c r="AJ3605">
        <v>74.512777922094799</v>
      </c>
      <c r="AK3605">
        <v>17.5221655429599</v>
      </c>
    </row>
    <row r="3606" spans="1:37" x14ac:dyDescent="0.2">
      <c r="A3606" t="str">
        <f>"20200111153722286"</f>
        <v>20200111153722286</v>
      </c>
      <c r="B3606" t="str">
        <f>"1578728242276310"</f>
        <v>1578728242276310</v>
      </c>
      <c r="C3606" t="s">
        <v>37</v>
      </c>
      <c r="D3606">
        <v>5.867909</v>
      </c>
      <c r="E3606">
        <v>0.58955679999999999</v>
      </c>
      <c r="F3606" t="s">
        <v>39</v>
      </c>
      <c r="G3606">
        <v>-193.99520000000001</v>
      </c>
      <c r="H3606" s="1">
        <v>-3.248235E-6</v>
      </c>
      <c r="I3606">
        <v>174.68289999999999</v>
      </c>
      <c r="J3606">
        <v>-190.17660000000001</v>
      </c>
      <c r="K3606">
        <v>1.1006320000000001</v>
      </c>
      <c r="L3606">
        <v>191.2919</v>
      </c>
      <c r="M3606">
        <v>4.2514990000000003E-2</v>
      </c>
      <c r="N3606">
        <v>0</v>
      </c>
      <c r="O3606">
        <v>-0.99900180000000005</v>
      </c>
      <c r="P3606">
        <v>9.8397329999999998E-3</v>
      </c>
      <c r="Q3606">
        <v>5.3237489999999998E-2</v>
      </c>
      <c r="R3606">
        <v>-0.99853320000000001</v>
      </c>
      <c r="S3606">
        <v>-0.68565369999999903</v>
      </c>
      <c r="T3606">
        <v>-0.19787399999999999</v>
      </c>
      <c r="U3606">
        <v>-3.0254819999999998</v>
      </c>
      <c r="V3606">
        <v>3.3326210000000002E-2</v>
      </c>
      <c r="W3606">
        <v>6.6571379999999999E-2</v>
      </c>
      <c r="X3606">
        <v>0.99722500000000003</v>
      </c>
      <c r="Y3606">
        <v>0.26184479999999999</v>
      </c>
      <c r="Z3606">
        <v>6.3237169999999995E-2</v>
      </c>
      <c r="AA3606">
        <v>0.963036</v>
      </c>
      <c r="AB3606">
        <v>26</v>
      </c>
      <c r="AC3606">
        <v>-3.8186</v>
      </c>
      <c r="AD3606">
        <v>-1.1006352482349999</v>
      </c>
      <c r="AE3606">
        <v>-16.609000000000002</v>
      </c>
      <c r="AF3606">
        <v>4.5025647590974698</v>
      </c>
      <c r="AG3606">
        <v>-1.1006352482349999</v>
      </c>
      <c r="AH3606">
        <v>16.363366879794601</v>
      </c>
      <c r="AI3606">
        <v>93.710541451631897</v>
      </c>
      <c r="AJ3606">
        <v>74.615158839553203</v>
      </c>
      <c r="AK3606">
        <v>17.007182688566701</v>
      </c>
    </row>
    <row r="3607" spans="1:37" x14ac:dyDescent="0.2">
      <c r="A3607" t="str">
        <f>"20200111153722307"</f>
        <v>20200111153722307</v>
      </c>
      <c r="B3607" t="str">
        <f>"1578728242296800"</f>
        <v>1578728242296800</v>
      </c>
      <c r="C3607" t="s">
        <v>37</v>
      </c>
      <c r="D3607">
        <v>5.9078720000000002</v>
      </c>
      <c r="E3607">
        <v>0.58854790000000001</v>
      </c>
      <c r="F3607" t="s">
        <v>39</v>
      </c>
      <c r="G3607">
        <v>-193.94589999999999</v>
      </c>
      <c r="H3607" s="1">
        <v>-3.3138459999999999E-6</v>
      </c>
      <c r="I3607">
        <v>174.8664</v>
      </c>
      <c r="J3607">
        <v>-190.17259999999999</v>
      </c>
      <c r="K3607">
        <v>1.100641</v>
      </c>
      <c r="L3607">
        <v>191.04130000000001</v>
      </c>
      <c r="M3607">
        <v>3.6618419999999999E-2</v>
      </c>
      <c r="N3607">
        <v>0</v>
      </c>
      <c r="O3607">
        <v>-0.999235399999999</v>
      </c>
      <c r="P3607">
        <v>4.2052219999999998E-3</v>
      </c>
      <c r="Q3607">
        <v>5.2236419999999999E-2</v>
      </c>
      <c r="R3607">
        <v>-0.99862580000000001</v>
      </c>
      <c r="S3607">
        <v>-0.69349669999999997</v>
      </c>
      <c r="T3607">
        <v>-0.20250109999999999</v>
      </c>
      <c r="U3607">
        <v>-3.022049</v>
      </c>
      <c r="V3607">
        <v>3.3056679999999998E-2</v>
      </c>
      <c r="W3607">
        <v>6.5568890000000005E-2</v>
      </c>
      <c r="X3607">
        <v>0.99730030000000003</v>
      </c>
      <c r="Y3607">
        <v>0.25873750000000001</v>
      </c>
      <c r="Z3607">
        <v>6.4813380000000004E-2</v>
      </c>
      <c r="AA3607">
        <v>0.96377080000000004</v>
      </c>
      <c r="AB3607">
        <v>26</v>
      </c>
      <c r="AC3607">
        <v>-3.7732999999999999</v>
      </c>
      <c r="AD3607">
        <v>-1.100644313846</v>
      </c>
      <c r="AE3607">
        <v>-16.174900000000001</v>
      </c>
      <c r="AF3607">
        <v>4.3440475382957802</v>
      </c>
      <c r="AG3607">
        <v>-1.100644313846</v>
      </c>
      <c r="AH3607">
        <v>15.9557972030765</v>
      </c>
      <c r="AI3607">
        <v>93.807887080366498</v>
      </c>
      <c r="AJ3607">
        <v>74.770063629046504</v>
      </c>
      <c r="AK3607">
        <v>16.5731599674377</v>
      </c>
    </row>
    <row r="3608" spans="1:37" x14ac:dyDescent="0.2">
      <c r="A3608" t="str">
        <f>"20200111153722329"</f>
        <v>20200111153722329</v>
      </c>
      <c r="B3608" t="str">
        <f>"1578728242316317"</f>
        <v>1578728242316317</v>
      </c>
      <c r="C3608" t="s">
        <v>37</v>
      </c>
      <c r="D3608">
        <v>5.8691889999999898</v>
      </c>
      <c r="E3608">
        <v>0.588505099999999</v>
      </c>
      <c r="F3608" t="s">
        <v>39</v>
      </c>
      <c r="G3608">
        <v>-193.9494</v>
      </c>
      <c r="H3608" s="1">
        <v>-3.292269E-6</v>
      </c>
      <c r="I3608">
        <v>174.81389999999999</v>
      </c>
      <c r="J3608">
        <v>-190.17</v>
      </c>
      <c r="K3608">
        <v>1.1006590000000001</v>
      </c>
      <c r="L3608">
        <v>190.78460000000001</v>
      </c>
      <c r="M3608">
        <v>3.0605440000000001E-2</v>
      </c>
      <c r="N3608">
        <v>0</v>
      </c>
      <c r="O3608">
        <v>-0.99943769999999998</v>
      </c>
      <c r="P3608">
        <v>-2.8475039999999998E-3</v>
      </c>
      <c r="Q3608">
        <v>5.1625599999999897E-2</v>
      </c>
      <c r="R3608">
        <v>-0.99866279999999996</v>
      </c>
      <c r="S3608">
        <v>-0.70237729999999998</v>
      </c>
      <c r="T3608">
        <v>-0.20468649999999999</v>
      </c>
      <c r="U3608">
        <v>-3.0178069999999999</v>
      </c>
      <c r="V3608">
        <v>3.4090580000000002E-2</v>
      </c>
      <c r="W3608">
        <v>6.4942710000000001E-2</v>
      </c>
      <c r="X3608">
        <v>0.99730649999999998</v>
      </c>
      <c r="Y3608">
        <v>0.25590089999999999</v>
      </c>
      <c r="Z3608">
        <v>6.5623280000000006E-2</v>
      </c>
      <c r="AA3608">
        <v>0.96447309999999997</v>
      </c>
      <c r="AB3608">
        <v>26</v>
      </c>
      <c r="AC3608">
        <v>-3.7793999999999999</v>
      </c>
      <c r="AD3608">
        <v>-1.1006622922689999</v>
      </c>
      <c r="AE3608">
        <v>-15.970700000000001</v>
      </c>
      <c r="AF3608">
        <v>4.24736174340884</v>
      </c>
      <c r="AG3608">
        <v>-1.1006622922689999</v>
      </c>
      <c r="AH3608">
        <v>15.776576787875699</v>
      </c>
      <c r="AI3608">
        <v>93.854018741148593</v>
      </c>
      <c r="AJ3608">
        <v>74.932115139314007</v>
      </c>
      <c r="AK3608">
        <v>16.375344711020102</v>
      </c>
    </row>
    <row r="3609" spans="1:37" x14ac:dyDescent="0.2">
      <c r="A3609" t="str">
        <f>"20200111153722343"</f>
        <v>20200111153722343</v>
      </c>
      <c r="B3609" t="str">
        <f>"1578728242336815"</f>
        <v>1578728242336815</v>
      </c>
      <c r="C3609" t="s">
        <v>37</v>
      </c>
      <c r="D3609">
        <v>5.8862389999999998</v>
      </c>
      <c r="E3609">
        <v>0.5888139</v>
      </c>
      <c r="F3609" t="s">
        <v>39</v>
      </c>
      <c r="G3609">
        <v>-194.00599999999901</v>
      </c>
      <c r="H3609" s="1">
        <v>-3.2988359999999998E-6</v>
      </c>
      <c r="I3609">
        <v>174.79419999999999</v>
      </c>
      <c r="J3609">
        <v>-190.16900000000001</v>
      </c>
      <c r="K3609">
        <v>1.1006819999999999</v>
      </c>
      <c r="L3609">
        <v>190.614</v>
      </c>
      <c r="M3609">
        <v>2.6630930000000001E-2</v>
      </c>
      <c r="N3609">
        <v>0</v>
      </c>
      <c r="O3609">
        <v>-0.99955159999999998</v>
      </c>
      <c r="P3609">
        <v>-7.7891949999999996E-3</v>
      </c>
      <c r="Q3609">
        <v>5.1107800000000002E-2</v>
      </c>
      <c r="R3609">
        <v>-0.99866279999999996</v>
      </c>
      <c r="S3609">
        <v>-0.72271730000000001</v>
      </c>
      <c r="T3609">
        <v>-0.20737139999999901</v>
      </c>
      <c r="U3609">
        <v>-3.0126949999999999</v>
      </c>
      <c r="V3609">
        <v>3.5052119999999999E-2</v>
      </c>
      <c r="W3609">
        <v>6.4412620000000004E-2</v>
      </c>
      <c r="X3609">
        <v>0.99730750000000001</v>
      </c>
      <c r="Y3609">
        <v>0.25857029999999998</v>
      </c>
      <c r="Z3609">
        <v>6.6526230000000006E-2</v>
      </c>
      <c r="AA3609">
        <v>0.96369889999999903</v>
      </c>
      <c r="AB3609">
        <v>26</v>
      </c>
      <c r="AC3609">
        <v>-3.8369999999999602</v>
      </c>
      <c r="AD3609">
        <v>-1.1006852988359901</v>
      </c>
      <c r="AE3609">
        <v>-15.819800000000001</v>
      </c>
      <c r="AF3609">
        <v>4.2376003668375199</v>
      </c>
      <c r="AG3609">
        <v>-1.1006852988359901</v>
      </c>
      <c r="AH3609">
        <v>15.640488610346001</v>
      </c>
      <c r="AI3609">
        <v>93.885855241317103</v>
      </c>
      <c r="AJ3609">
        <v>74.840352932614493</v>
      </c>
      <c r="AK3609">
        <v>16.241725553846202</v>
      </c>
    </row>
    <row r="3610" spans="1:37" x14ac:dyDescent="0.2">
      <c r="A3610" t="str">
        <f>"20200111153722357"</f>
        <v>20200111153722357</v>
      </c>
      <c r="B3610" t="str">
        <f>"1578728242346574"</f>
        <v>1578728242346574</v>
      </c>
      <c r="C3610" t="s">
        <v>37</v>
      </c>
      <c r="D3610">
        <v>5.8769530000000003</v>
      </c>
      <c r="E3610">
        <v>0.58893509999999905</v>
      </c>
      <c r="F3610" t="s">
        <v>39</v>
      </c>
      <c r="G3610">
        <v>-194.0789</v>
      </c>
      <c r="H3610" s="1">
        <v>-3.2821209999999998E-6</v>
      </c>
      <c r="I3610">
        <v>174.71</v>
      </c>
      <c r="J3610">
        <v>-190.1687</v>
      </c>
      <c r="K3610">
        <v>1.1007069999999901</v>
      </c>
      <c r="L3610">
        <v>190.45679999999999</v>
      </c>
      <c r="M3610">
        <v>2.299402E-2</v>
      </c>
      <c r="N3610">
        <v>0</v>
      </c>
      <c r="O3610">
        <v>-0.99964200000000003</v>
      </c>
      <c r="P3610">
        <v>-1.2150319999999999E-2</v>
      </c>
      <c r="Q3610">
        <v>5.070703E-2</v>
      </c>
      <c r="R3610">
        <v>-0.99863979999999997</v>
      </c>
      <c r="S3610">
        <v>-0.73971560000000003</v>
      </c>
      <c r="T3610">
        <v>-0.20824110000000001</v>
      </c>
      <c r="U3610">
        <v>-3.0089109999999999</v>
      </c>
      <c r="V3610">
        <v>3.577143E-2</v>
      </c>
      <c r="W3610">
        <v>6.4001959999999997E-2</v>
      </c>
      <c r="X3610">
        <v>0.99730839999999998</v>
      </c>
      <c r="Y3610">
        <v>0.26046649999999999</v>
      </c>
      <c r="Z3610">
        <v>6.6833439999999994E-2</v>
      </c>
      <c r="AA3610">
        <v>0.96316689999999905</v>
      </c>
      <c r="AB3610">
        <v>26</v>
      </c>
      <c r="AC3610">
        <v>-3.9102000000000001</v>
      </c>
      <c r="AD3610">
        <v>-1.100710282121</v>
      </c>
      <c r="AE3610">
        <v>-15.746799999999901</v>
      </c>
      <c r="AF3610">
        <v>4.2517143932384096</v>
      </c>
      <c r="AG3610">
        <v>-1.100710282121</v>
      </c>
      <c r="AH3610">
        <v>15.5810076257921</v>
      </c>
      <c r="AI3610">
        <v>93.898822408388995</v>
      </c>
      <c r="AJ3610">
        <v>74.736842782332204</v>
      </c>
      <c r="AK3610">
        <v>16.188157308409998</v>
      </c>
    </row>
    <row r="3611" spans="1:37" x14ac:dyDescent="0.2">
      <c r="A3611" t="str">
        <f>"20200111153722374"</f>
        <v>20200111153722374</v>
      </c>
      <c r="B3611" t="str">
        <f>"1578728242367069"</f>
        <v>1578728242367069</v>
      </c>
      <c r="C3611" t="s">
        <v>37</v>
      </c>
      <c r="D3611">
        <v>5.8715739999999998</v>
      </c>
      <c r="E3611">
        <v>0.58891959999999999</v>
      </c>
      <c r="F3611" t="s">
        <v>39</v>
      </c>
      <c r="G3611">
        <v>-194.1369</v>
      </c>
      <c r="H3611" s="1">
        <v>-3.2628289999999899E-6</v>
      </c>
      <c r="I3611">
        <v>174.62899999999999</v>
      </c>
      <c r="J3611">
        <v>-190.16929999999999</v>
      </c>
      <c r="K3611">
        <v>1.100751</v>
      </c>
      <c r="L3611">
        <v>190.2543</v>
      </c>
      <c r="M3611">
        <v>1.8353950000000001E-2</v>
      </c>
      <c r="N3611">
        <v>0</v>
      </c>
      <c r="O3611">
        <v>-0.99973799999999902</v>
      </c>
      <c r="P3611">
        <v>-1.8394589999999999E-2</v>
      </c>
      <c r="Q3611">
        <v>4.96546E-2</v>
      </c>
      <c r="R3611">
        <v>-0.99859709999999902</v>
      </c>
      <c r="S3611">
        <v>-0.75350950000000005</v>
      </c>
      <c r="T3611">
        <v>-0.20901239999999999</v>
      </c>
      <c r="U3611">
        <v>-3.0055239999999999</v>
      </c>
      <c r="V3611">
        <v>3.7362859999999998E-2</v>
      </c>
      <c r="W3611">
        <v>6.2931249999999994E-2</v>
      </c>
      <c r="X3611">
        <v>0.99731829999999999</v>
      </c>
      <c r="Y3611">
        <v>0.26039649999999998</v>
      </c>
      <c r="Z3611">
        <v>6.7127010000000001E-2</v>
      </c>
      <c r="AA3611">
        <v>0.96316539999999995</v>
      </c>
      <c r="AB3611">
        <v>26</v>
      </c>
      <c r="AC3611">
        <v>-3.9676</v>
      </c>
      <c r="AD3611">
        <v>-1.1007542628289999</v>
      </c>
      <c r="AE3611">
        <v>-15.6252999999999</v>
      </c>
      <c r="AF3611">
        <v>4.2340046942554599</v>
      </c>
      <c r="AG3611">
        <v>-1.1007542628289999</v>
      </c>
      <c r="AH3611">
        <v>15.4776799412237</v>
      </c>
      <c r="AI3611">
        <v>93.924251985775498</v>
      </c>
      <c r="AJ3611">
        <v>74.700721179950605</v>
      </c>
      <c r="AK3611">
        <v>16.084061429286798</v>
      </c>
    </row>
    <row r="3612" spans="1:37" x14ac:dyDescent="0.2">
      <c r="A3612" t="str">
        <f>"20200111153722388"</f>
        <v>20200111153722388</v>
      </c>
      <c r="B3612" t="str">
        <f>"1578728242376830"</f>
        <v>1578728242376830</v>
      </c>
      <c r="C3612" t="s">
        <v>37</v>
      </c>
      <c r="D3612">
        <v>5.8459029999999998</v>
      </c>
      <c r="E3612">
        <v>0.58876949999999995</v>
      </c>
      <c r="F3612" t="s">
        <v>39</v>
      </c>
      <c r="G3612">
        <v>-194.1842</v>
      </c>
      <c r="H3612" s="1">
        <v>-3.2821190000000002E-6</v>
      </c>
      <c r="I3612">
        <v>174.6447</v>
      </c>
      <c r="J3612">
        <v>-190.1703</v>
      </c>
      <c r="K3612">
        <v>1.100787</v>
      </c>
      <c r="L3612">
        <v>190.10050000000001</v>
      </c>
      <c r="M3612">
        <v>1.4873920000000001E-2</v>
      </c>
      <c r="N3612">
        <v>0</v>
      </c>
      <c r="O3612">
        <v>-0.99979580000000001</v>
      </c>
      <c r="P3612">
        <v>-2.3293129999999999E-2</v>
      </c>
      <c r="Q3612">
        <v>4.9038369999999998E-2</v>
      </c>
      <c r="R3612">
        <v>-0.99852529999999995</v>
      </c>
      <c r="S3612">
        <v>-0.77175899999999997</v>
      </c>
      <c r="T3612">
        <v>-0.2115911</v>
      </c>
      <c r="U3612">
        <v>-3.000534</v>
      </c>
      <c r="V3612">
        <v>3.8772559999999998E-2</v>
      </c>
      <c r="W3612">
        <v>6.2298770000000003E-2</v>
      </c>
      <c r="X3612">
        <v>0.99730409999999903</v>
      </c>
      <c r="Y3612">
        <v>0.2629012</v>
      </c>
      <c r="Z3612">
        <v>6.7992910000000004E-2</v>
      </c>
      <c r="AA3612">
        <v>0.96242399999999995</v>
      </c>
      <c r="AB3612">
        <v>26</v>
      </c>
      <c r="AC3612">
        <v>-4.0138999999999996</v>
      </c>
      <c r="AD3612">
        <v>-1.1007902821190001</v>
      </c>
      <c r="AE3612">
        <v>-15.4558</v>
      </c>
      <c r="AF3612">
        <v>4.2232964321556796</v>
      </c>
      <c r="AG3612">
        <v>-1.1007902821190001</v>
      </c>
      <c r="AH3612">
        <v>15.321573075945899</v>
      </c>
      <c r="AI3612">
        <v>93.962130913564195</v>
      </c>
      <c r="AJ3612">
        <v>74.589461496409101</v>
      </c>
      <c r="AK3612">
        <v>15.9310568864912</v>
      </c>
    </row>
    <row r="3613" spans="1:37" x14ac:dyDescent="0.2">
      <c r="A3613" t="str">
        <f>"20200111153722418"</f>
        <v>20200111153722418</v>
      </c>
      <c r="B3613" t="str">
        <f>"1578728242407085"</f>
        <v>1578728242407085</v>
      </c>
      <c r="C3613" t="s">
        <v>37</v>
      </c>
      <c r="D3613">
        <v>5.8793129999999998</v>
      </c>
      <c r="E3613">
        <v>0.58803760000000005</v>
      </c>
      <c r="F3613" t="s">
        <v>39</v>
      </c>
      <c r="G3613">
        <v>-194.1968</v>
      </c>
      <c r="H3613" s="1">
        <v>-3.3207560000000001E-6</v>
      </c>
      <c r="I3613">
        <v>174.7269</v>
      </c>
      <c r="J3613">
        <v>-190.17410000000001</v>
      </c>
      <c r="K3613">
        <v>1.100894</v>
      </c>
      <c r="L3613">
        <v>189.75460000000001</v>
      </c>
      <c r="M3613">
        <v>7.1685289999999999E-3</v>
      </c>
      <c r="N3613">
        <v>0</v>
      </c>
      <c r="O3613">
        <v>-0.99988099999999902</v>
      </c>
      <c r="P3613">
        <v>-3.3866239999999999E-2</v>
      </c>
      <c r="Q3613">
        <v>4.8235630000000002E-2</v>
      </c>
      <c r="R3613">
        <v>-0.99826170000000003</v>
      </c>
      <c r="S3613">
        <v>-0.78485109999999902</v>
      </c>
      <c r="T3613">
        <v>-0.2145677</v>
      </c>
      <c r="U3613">
        <v>-2.9966430000000002</v>
      </c>
      <c r="V3613">
        <v>4.1625629999999997E-2</v>
      </c>
      <c r="W3613">
        <v>6.1464480000000002E-2</v>
      </c>
      <c r="X3613">
        <v>0.99724089999999999</v>
      </c>
      <c r="Y3613">
        <v>0.25968819999999998</v>
      </c>
      <c r="Z3613">
        <v>6.9033479999999994E-2</v>
      </c>
      <c r="AA3613">
        <v>0.96322189999999996</v>
      </c>
      <c r="AB3613">
        <v>26</v>
      </c>
      <c r="AC3613">
        <v>-4.02269999999998</v>
      </c>
      <c r="AD3613">
        <v>-1.100897320756</v>
      </c>
      <c r="AE3613">
        <v>-15.027699999999999</v>
      </c>
      <c r="AF3613">
        <v>4.1097520575023401</v>
      </c>
      <c r="AG3613">
        <v>-1.100897320756</v>
      </c>
      <c r="AH3613">
        <v>14.923738077717999</v>
      </c>
      <c r="AI3613">
        <v>94.068067296504196</v>
      </c>
      <c r="AJ3613">
        <v>74.6033197241767</v>
      </c>
      <c r="AK3613">
        <v>15.5183760457505</v>
      </c>
    </row>
    <row r="3614" spans="1:37" x14ac:dyDescent="0.2">
      <c r="A3614" t="str">
        <f>"20200111153722442"</f>
        <v>20200111153722442</v>
      </c>
      <c r="B3614" t="str">
        <f>"1578728242436366"</f>
        <v>1578728242436366</v>
      </c>
      <c r="C3614" t="s">
        <v>37</v>
      </c>
      <c r="D3614">
        <v>5.9117230000000003</v>
      </c>
      <c r="E3614">
        <v>0.58077570000000001</v>
      </c>
      <c r="F3614" t="s">
        <v>39</v>
      </c>
      <c r="G3614">
        <v>-194.2347</v>
      </c>
      <c r="H3614" s="1">
        <v>-3.3492399999999999E-6</v>
      </c>
      <c r="I3614">
        <v>174.7698</v>
      </c>
      <c r="J3614">
        <v>-190.1788</v>
      </c>
      <c r="K3614">
        <v>1.10097</v>
      </c>
      <c r="L3614">
        <v>189.48939999999999</v>
      </c>
      <c r="M3614">
        <v>1.4024039999999899E-3</v>
      </c>
      <c r="N3614">
        <v>0</v>
      </c>
      <c r="O3614">
        <v>-0.99990579999999996</v>
      </c>
      <c r="P3614">
        <v>-4.094863E-2</v>
      </c>
      <c r="Q3614">
        <v>4.6536630000000002E-2</v>
      </c>
      <c r="R3614">
        <v>-0.99807710000000005</v>
      </c>
      <c r="S3614">
        <v>-0.8097839</v>
      </c>
      <c r="T3614">
        <v>-0.2195452</v>
      </c>
      <c r="U3614">
        <v>-2.9883419999999998</v>
      </c>
      <c r="V3614">
        <v>4.2921649999999999E-2</v>
      </c>
      <c r="W3614">
        <v>5.9752439999999997E-2</v>
      </c>
      <c r="X3614">
        <v>0.99729000000000001</v>
      </c>
      <c r="Y3614">
        <v>0.2622468</v>
      </c>
      <c r="Z3614">
        <v>7.0718939999999994E-2</v>
      </c>
      <c r="AA3614">
        <v>0.96240609999999904</v>
      </c>
      <c r="AB3614">
        <v>26</v>
      </c>
      <c r="AC3614">
        <v>-4.0559000000000003</v>
      </c>
      <c r="AD3614">
        <v>-1.10097334924</v>
      </c>
      <c r="AE3614">
        <v>-14.7195999999999</v>
      </c>
      <c r="AF3614">
        <v>4.05545354774081</v>
      </c>
      <c r="AG3614">
        <v>-1.10097334924</v>
      </c>
      <c r="AH3614">
        <v>14.637784634627399</v>
      </c>
      <c r="AI3614">
        <v>94.145777716838296</v>
      </c>
      <c r="AJ3614">
        <v>74.514406773275994</v>
      </c>
      <c r="AK3614">
        <v>15.2290375534159</v>
      </c>
    </row>
    <row r="3615" spans="1:37" x14ac:dyDescent="0.2">
      <c r="A3615" t="str">
        <f>"20200111153722464"</f>
        <v>20200111153722464</v>
      </c>
      <c r="B3615" t="str">
        <f>"1578728242456861"</f>
        <v>1578728242456861</v>
      </c>
      <c r="C3615" t="s">
        <v>37</v>
      </c>
      <c r="D3615">
        <v>5.8898679999999999</v>
      </c>
      <c r="E3615">
        <v>0.57966410000000002</v>
      </c>
      <c r="F3615" t="s">
        <v>39</v>
      </c>
      <c r="G3615">
        <v>-193.93170000000001</v>
      </c>
      <c r="H3615" s="1">
        <v>-3.3672780000000002E-6</v>
      </c>
      <c r="I3615">
        <v>174.99979999999999</v>
      </c>
      <c r="J3615">
        <v>-190.18510000000001</v>
      </c>
      <c r="K3615">
        <v>1.101054</v>
      </c>
      <c r="L3615">
        <v>189.22149999999999</v>
      </c>
      <c r="M3615">
        <v>-4.2794469999999996E-3</v>
      </c>
      <c r="N3615">
        <v>0</v>
      </c>
      <c r="O3615">
        <v>-0.999897699999999</v>
      </c>
      <c r="P3615">
        <v>-4.6524940000000001E-2</v>
      </c>
      <c r="Q3615">
        <v>4.438918E-2</v>
      </c>
      <c r="R3615">
        <v>-0.9979304</v>
      </c>
      <c r="S3615">
        <v>-0.77304079999999997</v>
      </c>
      <c r="T3615">
        <v>-0.22678519999999999</v>
      </c>
      <c r="U3615">
        <v>-2.9846650000000001</v>
      </c>
      <c r="V3615">
        <v>4.2792440000000001E-2</v>
      </c>
      <c r="W3615">
        <v>5.7607039999999998E-2</v>
      </c>
      <c r="X3615">
        <v>0.99742180000000003</v>
      </c>
      <c r="Y3615">
        <v>0.2459093</v>
      </c>
      <c r="Z3615">
        <v>7.3396729999999993E-2</v>
      </c>
      <c r="AA3615">
        <v>0.96650999999999998</v>
      </c>
      <c r="AB3615">
        <v>26</v>
      </c>
      <c r="AC3615">
        <v>-3.7465999999999999</v>
      </c>
      <c r="AD3615">
        <v>-1.101057367278</v>
      </c>
      <c r="AE3615">
        <v>-14.221699999999901</v>
      </c>
      <c r="AF3615">
        <v>3.6651557942274802</v>
      </c>
      <c r="AG3615">
        <v>-1.101057367278</v>
      </c>
      <c r="AH3615">
        <v>14.1582475897696</v>
      </c>
      <c r="AI3615">
        <v>94.305459290124702</v>
      </c>
      <c r="AJ3615">
        <v>75.486406286168304</v>
      </c>
      <c r="AK3615">
        <v>14.666344777592499</v>
      </c>
    </row>
    <row r="3616" spans="1:37" x14ac:dyDescent="0.2">
      <c r="A3616" t="str">
        <f>"20200111153722486"</f>
        <v>20200111153722486</v>
      </c>
      <c r="B3616" t="str">
        <f>"1578728242476381"</f>
        <v>1578728242476381</v>
      </c>
      <c r="C3616" t="s">
        <v>37</v>
      </c>
      <c r="D3616">
        <v>5.9484209999999997</v>
      </c>
      <c r="E3616">
        <v>0.57913950000000003</v>
      </c>
      <c r="F3616" t="s">
        <v>39</v>
      </c>
      <c r="G3616">
        <v>-193.73660000000001</v>
      </c>
      <c r="H3616" s="1">
        <v>-3.599923E-6</v>
      </c>
      <c r="I3616">
        <v>175.66309999999999</v>
      </c>
      <c r="J3616">
        <v>-190.19210000000001</v>
      </c>
      <c r="K3616">
        <v>1.1011309999999901</v>
      </c>
      <c r="L3616">
        <v>188.97139999999999</v>
      </c>
      <c r="M3616">
        <v>-9.4735219999999998E-3</v>
      </c>
      <c r="N3616">
        <v>0</v>
      </c>
      <c r="O3616">
        <v>-0.99986209999999898</v>
      </c>
      <c r="P3616">
        <v>-5.0916139999999999E-2</v>
      </c>
      <c r="Q3616">
        <v>4.2155989999999997E-2</v>
      </c>
      <c r="R3616">
        <v>-0.99781280000000006</v>
      </c>
      <c r="S3616">
        <v>-0.78074650000000001</v>
      </c>
      <c r="T3616">
        <v>-0.2420493</v>
      </c>
      <c r="U3616">
        <v>-2.980591</v>
      </c>
      <c r="V3616">
        <v>4.1966589999999998E-2</v>
      </c>
      <c r="W3616">
        <v>5.5381380000000001E-2</v>
      </c>
      <c r="X3616">
        <v>0.99758289999999905</v>
      </c>
      <c r="Y3616">
        <v>0.243438299999999</v>
      </c>
      <c r="Z3616">
        <v>7.8405150000000007E-2</v>
      </c>
      <c r="AA3616">
        <v>0.966742199999999</v>
      </c>
      <c r="AB3616">
        <v>26</v>
      </c>
      <c r="AC3616">
        <v>-3.5445000000000002</v>
      </c>
      <c r="AD3616">
        <v>-1.10113459992299</v>
      </c>
      <c r="AE3616">
        <v>-13.308299999999999</v>
      </c>
      <c r="AF3616">
        <v>3.3965402501324098</v>
      </c>
      <c r="AG3616">
        <v>-1.10113459992299</v>
      </c>
      <c r="AH3616">
        <v>13.256541961824</v>
      </c>
      <c r="AI3616">
        <v>94.6003566487028</v>
      </c>
      <c r="AJ3616">
        <v>75.629040855377497</v>
      </c>
      <c r="AK3616">
        <v>13.728979855164701</v>
      </c>
    </row>
    <row r="3617" spans="1:37" x14ac:dyDescent="0.2">
      <c r="A3617" t="str">
        <f>"20200111153722508"</f>
        <v>20200111153722508</v>
      </c>
      <c r="B3617" t="str">
        <f>"1578728242496881"</f>
        <v>1578728242496881</v>
      </c>
      <c r="C3617" t="s">
        <v>37</v>
      </c>
      <c r="D3617">
        <v>5.9383879999999998</v>
      </c>
      <c r="E3617">
        <v>0.57830700000000002</v>
      </c>
      <c r="F3617" t="s">
        <v>39</v>
      </c>
      <c r="G3617">
        <v>-193.65309999999999</v>
      </c>
      <c r="H3617" s="1">
        <v>-3.6887559999999998E-6</v>
      </c>
      <c r="I3617">
        <v>175.9222</v>
      </c>
      <c r="J3617">
        <v>-190.2003</v>
      </c>
      <c r="K3617">
        <v>1.1012189999999999</v>
      </c>
      <c r="L3617">
        <v>188.72069999999999</v>
      </c>
      <c r="M3617">
        <v>-1.455888E-2</v>
      </c>
      <c r="N3617">
        <v>0</v>
      </c>
      <c r="O3617">
        <v>-0.99980119999999895</v>
      </c>
      <c r="P3617">
        <v>-5.568733E-2</v>
      </c>
      <c r="Q3617">
        <v>4.2086510000000001E-2</v>
      </c>
      <c r="R3617">
        <v>-0.99756100000000003</v>
      </c>
      <c r="S3617">
        <v>-0.7895508</v>
      </c>
      <c r="T3617">
        <v>-0.25120130000000002</v>
      </c>
      <c r="U3617">
        <v>-2.9768979999999998</v>
      </c>
      <c r="V3617">
        <v>4.1650569999999998E-2</v>
      </c>
      <c r="W3617">
        <v>5.5313309999999997E-2</v>
      </c>
      <c r="X3617">
        <v>0.99760000000000004</v>
      </c>
      <c r="Y3617">
        <v>0.24141079999999901</v>
      </c>
      <c r="Z3617">
        <v>8.1430260000000004E-2</v>
      </c>
      <c r="AA3617">
        <v>0.96700049999999904</v>
      </c>
      <c r="AB3617">
        <v>26</v>
      </c>
      <c r="AC3617">
        <v>-3.4527999999999901</v>
      </c>
      <c r="AD3617">
        <v>-1.1012226887559999</v>
      </c>
      <c r="AE3617">
        <v>-12.798499999999899</v>
      </c>
      <c r="AF3617">
        <v>3.2436996489397698</v>
      </c>
      <c r="AG3617">
        <v>-1.1012226887559999</v>
      </c>
      <c r="AH3617">
        <v>12.7593627450595</v>
      </c>
      <c r="AI3617">
        <v>94.781453731092896</v>
      </c>
      <c r="AJ3617">
        <v>75.736357148564394</v>
      </c>
      <c r="AK3617">
        <v>13.211192848595299</v>
      </c>
    </row>
    <row r="3618" spans="1:37" x14ac:dyDescent="0.2">
      <c r="A3618" t="str">
        <f>"20200111153722530"</f>
        <v>20200111153722530</v>
      </c>
      <c r="B3618" t="str">
        <f>"1578728242526157"</f>
        <v>1578728242526157</v>
      </c>
      <c r="C3618" t="s">
        <v>37</v>
      </c>
      <c r="D3618">
        <v>5.9789029999999999</v>
      </c>
      <c r="E3618">
        <v>0.57723769999999996</v>
      </c>
      <c r="F3618" t="s">
        <v>39</v>
      </c>
      <c r="G3618">
        <v>-193.68219999999999</v>
      </c>
      <c r="H3618" s="1">
        <v>-3.6129129999999999E-6</v>
      </c>
      <c r="I3618">
        <v>175.72710000000001</v>
      </c>
      <c r="J3618">
        <v>-190.2098</v>
      </c>
      <c r="K3618">
        <v>1.1013189999999999</v>
      </c>
      <c r="L3618">
        <v>188.46469999999999</v>
      </c>
      <c r="M3618">
        <v>-1.9607920000000001E-2</v>
      </c>
      <c r="N3618">
        <v>0</v>
      </c>
      <c r="O3618">
        <v>-0.99971509999999997</v>
      </c>
      <c r="P3618">
        <v>-6.0627489999999999E-2</v>
      </c>
      <c r="Q3618">
        <v>4.299791E-2</v>
      </c>
      <c r="R3618">
        <v>-0.99723399999999995</v>
      </c>
      <c r="S3618">
        <v>-0.79679869999999997</v>
      </c>
      <c r="T3618">
        <v>-0.2520056</v>
      </c>
      <c r="U3618">
        <v>-2.9734799999999999</v>
      </c>
      <c r="V3618">
        <v>4.1548210000000002E-2</v>
      </c>
      <c r="W3618">
        <v>5.6223599999999999E-2</v>
      </c>
      <c r="X3618">
        <v>0.99755329999999998</v>
      </c>
      <c r="Y3618">
        <v>0.2389791</v>
      </c>
      <c r="Z3618">
        <v>8.1768610000000005E-2</v>
      </c>
      <c r="AA3618">
        <v>0.96757579999999999</v>
      </c>
      <c r="AB3618">
        <v>26</v>
      </c>
      <c r="AC3618">
        <v>-3.4723999999999902</v>
      </c>
      <c r="AD3618">
        <v>-1.101322612913</v>
      </c>
      <c r="AE3618">
        <v>-12.737599999999899</v>
      </c>
      <c r="AF3618">
        <v>3.1996859886558799</v>
      </c>
      <c r="AG3618">
        <v>-1.101322612913</v>
      </c>
      <c r="AH3618">
        <v>12.7147665997958</v>
      </c>
      <c r="AI3618">
        <v>94.801498395537195</v>
      </c>
      <c r="AJ3618">
        <v>75.8747507018726</v>
      </c>
      <c r="AK3618">
        <v>13.1573626388801</v>
      </c>
    </row>
    <row r="3619" spans="1:37" x14ac:dyDescent="0.2">
      <c r="A3619" t="str">
        <f>"20200111153722554"</f>
        <v>20200111153722554</v>
      </c>
      <c r="B3619" t="str">
        <f>"1578728242546653"</f>
        <v>1578728242546653</v>
      </c>
      <c r="C3619" t="s">
        <v>37</v>
      </c>
      <c r="D3619">
        <v>5.9862140000000004</v>
      </c>
      <c r="E3619">
        <v>0.57664629999999995</v>
      </c>
      <c r="F3619" t="s">
        <v>39</v>
      </c>
      <c r="G3619">
        <v>-193.7251</v>
      </c>
      <c r="H3619" s="1">
        <v>-3.509638E-6</v>
      </c>
      <c r="I3619">
        <v>175.4597</v>
      </c>
      <c r="J3619">
        <v>-190.22120000000001</v>
      </c>
      <c r="K3619">
        <v>1.1014539999999999</v>
      </c>
      <c r="L3619">
        <v>188.19229999999999</v>
      </c>
      <c r="M3619">
        <v>-2.479278E-2</v>
      </c>
      <c r="N3619">
        <v>0</v>
      </c>
      <c r="O3619">
        <v>-0.9996003</v>
      </c>
      <c r="P3619">
        <v>-6.5789570000000006E-2</v>
      </c>
      <c r="Q3619">
        <v>4.3378229999999997E-2</v>
      </c>
      <c r="R3619">
        <v>-0.99689050000000001</v>
      </c>
      <c r="S3619">
        <v>-0.80290220000000001</v>
      </c>
      <c r="T3619">
        <v>-0.25154389999999999</v>
      </c>
      <c r="U3619">
        <v>-2.970367</v>
      </c>
      <c r="V3619">
        <v>4.1523959999999999E-2</v>
      </c>
      <c r="W3619">
        <v>5.6603510000000003E-2</v>
      </c>
      <c r="X3619">
        <v>0.9975328</v>
      </c>
      <c r="Y3619">
        <v>0.2360517</v>
      </c>
      <c r="Z3619">
        <v>8.1696050000000006E-2</v>
      </c>
      <c r="AA3619">
        <v>0.96830020000000006</v>
      </c>
      <c r="AB3619">
        <v>26</v>
      </c>
      <c r="AC3619">
        <v>-3.5038999999999798</v>
      </c>
      <c r="AD3619">
        <v>-1.1014575096379999</v>
      </c>
      <c r="AE3619">
        <v>-12.7325999999999</v>
      </c>
      <c r="AF3619">
        <v>3.1650986872253202</v>
      </c>
      <c r="AG3619">
        <v>-1.1014575096379999</v>
      </c>
      <c r="AH3619">
        <v>12.7270278395383</v>
      </c>
      <c r="AI3619">
        <v>94.800807959410804</v>
      </c>
      <c r="AJ3619">
        <v>76.034360680297098</v>
      </c>
      <c r="AK3619">
        <v>13.160862280785301</v>
      </c>
    </row>
    <row r="3620" spans="1:37" x14ac:dyDescent="0.2">
      <c r="A3620" t="str">
        <f>"20200111153722575"</f>
        <v>20200111153722575</v>
      </c>
      <c r="B3620" t="str">
        <f>"1578728242566176"</f>
        <v>1578728242566176</v>
      </c>
      <c r="C3620" t="s">
        <v>37</v>
      </c>
      <c r="D3620">
        <v>5.9556649999999998</v>
      </c>
      <c r="E3620">
        <v>0.57620569999999904</v>
      </c>
      <c r="F3620" t="s">
        <v>39</v>
      </c>
      <c r="G3620">
        <v>-193.78630000000001</v>
      </c>
      <c r="H3620" s="1">
        <v>-3.41391799999999E-6</v>
      </c>
      <c r="I3620">
        <v>175.1987</v>
      </c>
      <c r="J3620">
        <v>-190.23269999999999</v>
      </c>
      <c r="K3620">
        <v>1.1016079999999999</v>
      </c>
      <c r="L3620">
        <v>187.94329999999999</v>
      </c>
      <c r="M3620">
        <v>-2.9322210000000001E-2</v>
      </c>
      <c r="N3620">
        <v>0</v>
      </c>
      <c r="O3620">
        <v>-0.99947790000000003</v>
      </c>
      <c r="P3620">
        <v>-7.1045150000000001E-2</v>
      </c>
      <c r="Q3620">
        <v>4.3346990000000002E-2</v>
      </c>
      <c r="R3620">
        <v>-0.99653099999999994</v>
      </c>
      <c r="S3620">
        <v>-0.81394960000000005</v>
      </c>
      <c r="T3620">
        <v>-0.25147449999999999</v>
      </c>
      <c r="U3620">
        <v>-2.966583</v>
      </c>
      <c r="V3620">
        <v>4.2242559999999998E-2</v>
      </c>
      <c r="W3620">
        <v>5.6566850000000002E-2</v>
      </c>
      <c r="X3620">
        <v>0.99750479999999997</v>
      </c>
      <c r="Y3620">
        <v>0.23531630000000001</v>
      </c>
      <c r="Z3620">
        <v>8.1726809999999997E-2</v>
      </c>
      <c r="AA3620">
        <v>0.96847659999999902</v>
      </c>
      <c r="AB3620">
        <v>26</v>
      </c>
      <c r="AC3620">
        <v>-3.5536000000000101</v>
      </c>
      <c r="AD3620">
        <v>-1.101611413918</v>
      </c>
      <c r="AE3620">
        <v>-12.744599999999901</v>
      </c>
      <c r="AF3620">
        <v>3.1564554540160699</v>
      </c>
      <c r="AG3620">
        <v>-1.101611413918</v>
      </c>
      <c r="AH3620">
        <v>12.754905056953801</v>
      </c>
      <c r="AI3620">
        <v>94.792391517050405</v>
      </c>
      <c r="AJ3620">
        <v>76.100272712325904</v>
      </c>
      <c r="AK3620">
        <v>13.185763601413701</v>
      </c>
    </row>
    <row r="3621" spans="1:37" x14ac:dyDescent="0.2">
      <c r="A3621" t="str">
        <f>"20200111153722598"</f>
        <v>20200111153722598</v>
      </c>
      <c r="B3621" t="str">
        <f>"1578728242586669"</f>
        <v>1578728242586669</v>
      </c>
      <c r="C3621" t="s">
        <v>37</v>
      </c>
      <c r="D3621">
        <v>5.9261599999999897</v>
      </c>
      <c r="E3621">
        <v>0.57602419999999899</v>
      </c>
      <c r="F3621" t="s">
        <v>39</v>
      </c>
      <c r="G3621">
        <v>-193.81360000000001</v>
      </c>
      <c r="H3621" s="1">
        <v>-3.3771299999999998E-6</v>
      </c>
      <c r="I3621">
        <v>175.09599999999901</v>
      </c>
      <c r="J3621">
        <v>-190.24549999999999</v>
      </c>
      <c r="K3621">
        <v>1.101799</v>
      </c>
      <c r="L3621">
        <v>187.68260000000001</v>
      </c>
      <c r="M3621">
        <v>-3.3805599999999998E-2</v>
      </c>
      <c r="N3621">
        <v>0</v>
      </c>
      <c r="O3621">
        <v>-0.99933649999999996</v>
      </c>
      <c r="P3621">
        <v>-7.7278550000000001E-2</v>
      </c>
      <c r="Q3621">
        <v>4.3567469999999997E-2</v>
      </c>
      <c r="R3621">
        <v>-0.99605739999999998</v>
      </c>
      <c r="S3621">
        <v>-0.82577509999999998</v>
      </c>
      <c r="T3621">
        <v>-0.25403399999999998</v>
      </c>
      <c r="U3621">
        <v>-2.9626160000000001</v>
      </c>
      <c r="V3621">
        <v>4.3984699999999897E-2</v>
      </c>
      <c r="W3621">
        <v>5.6776800000000002E-2</v>
      </c>
      <c r="X3621">
        <v>0.99741749999999996</v>
      </c>
      <c r="Y3621">
        <v>0.2348596</v>
      </c>
      <c r="Z3621">
        <v>8.2602770000000006E-2</v>
      </c>
      <c r="AA3621">
        <v>0.96851319999999996</v>
      </c>
      <c r="AB3621">
        <v>25</v>
      </c>
      <c r="AC3621">
        <v>-3.56810000000001</v>
      </c>
      <c r="AD3621">
        <v>-1.1018023771300001</v>
      </c>
      <c r="AE3621">
        <v>-12.586600000000001</v>
      </c>
      <c r="AF3621">
        <v>3.1184051559649899</v>
      </c>
      <c r="AG3621">
        <v>-1.1018023771300001</v>
      </c>
      <c r="AH3621">
        <v>12.6105923271341</v>
      </c>
      <c r="AI3621">
        <v>94.848019404489705</v>
      </c>
      <c r="AJ3621">
        <v>76.110279495582105</v>
      </c>
      <c r="AK3621">
        <v>13.0370801192665</v>
      </c>
    </row>
    <row r="3622" spans="1:37" x14ac:dyDescent="0.2">
      <c r="A3622" t="str">
        <f>"20200111153722620"</f>
        <v>20200111153722620</v>
      </c>
      <c r="B3622" t="str">
        <f>"1578728242616925"</f>
        <v>1578728242616925</v>
      </c>
      <c r="C3622" t="s">
        <v>37</v>
      </c>
      <c r="D3622">
        <v>5.938097</v>
      </c>
      <c r="E3622">
        <v>0.57563759999999997</v>
      </c>
      <c r="F3622" t="s">
        <v>39</v>
      </c>
      <c r="G3622">
        <v>-193.90549999999999</v>
      </c>
      <c r="H3622" s="1">
        <v>-3.2874320000000001E-6</v>
      </c>
      <c r="I3622">
        <v>174.82990000000001</v>
      </c>
      <c r="J3622">
        <v>-190.2585</v>
      </c>
      <c r="K3622">
        <v>1.102015</v>
      </c>
      <c r="L3622">
        <v>187.43610000000001</v>
      </c>
      <c r="M3622">
        <v>-3.7742860000000003E-2</v>
      </c>
      <c r="N3622">
        <v>0</v>
      </c>
      <c r="O3622">
        <v>-0.99919559999999996</v>
      </c>
      <c r="P3622">
        <v>-8.3298720000000007E-2</v>
      </c>
      <c r="Q3622">
        <v>4.3734420000000003E-2</v>
      </c>
      <c r="R3622">
        <v>-0.99556429999999996</v>
      </c>
      <c r="S3622">
        <v>-0.84220890000000004</v>
      </c>
      <c r="T3622">
        <v>-0.25354199999999999</v>
      </c>
      <c r="U3622">
        <v>-2.957611</v>
      </c>
      <c r="V3622">
        <v>4.6057029999999999E-2</v>
      </c>
      <c r="W3622">
        <v>5.693438E-2</v>
      </c>
      <c r="X3622">
        <v>0.99731499999999995</v>
      </c>
      <c r="Y3622">
        <v>0.23644200000000001</v>
      </c>
      <c r="Z3622">
        <v>8.2483130000000002E-2</v>
      </c>
      <c r="AA3622">
        <v>0.96813830000000001</v>
      </c>
      <c r="AB3622">
        <v>25</v>
      </c>
      <c r="AC3622">
        <v>-3.64699999999999</v>
      </c>
      <c r="AD3622">
        <v>-1.1020182874319999</v>
      </c>
      <c r="AE3622">
        <v>-12.606199999999999</v>
      </c>
      <c r="AF3622">
        <v>3.1463755384997398</v>
      </c>
      <c r="AG3622">
        <v>-1.1020182874319999</v>
      </c>
      <c r="AH3622">
        <v>12.645701740426301</v>
      </c>
      <c r="AI3622">
        <v>94.833851207164003</v>
      </c>
      <c r="AJ3622">
        <v>76.027952200552093</v>
      </c>
      <c r="AK3622">
        <v>13.0777634113378</v>
      </c>
    </row>
    <row r="3623" spans="1:37" x14ac:dyDescent="0.2">
      <c r="A3623" t="str">
        <f>"20200111153722643"</f>
        <v>20200111153722643</v>
      </c>
      <c r="B3623" t="str">
        <f>"1578728242636446"</f>
        <v>1578728242636446</v>
      </c>
      <c r="C3623" t="s">
        <v>37</v>
      </c>
      <c r="D3623">
        <v>5.9347940000000001</v>
      </c>
      <c r="E3623">
        <v>0.57536100000000001</v>
      </c>
      <c r="F3623" t="s">
        <v>39</v>
      </c>
      <c r="G3623">
        <v>-194.01490000000001</v>
      </c>
      <c r="H3623" s="1">
        <v>-3.169111E-6</v>
      </c>
      <c r="I3623">
        <v>174.4862</v>
      </c>
      <c r="J3623">
        <v>-190.2732</v>
      </c>
      <c r="K3623">
        <v>1.1022689999999999</v>
      </c>
      <c r="L3623">
        <v>187.17099999999999</v>
      </c>
      <c r="M3623">
        <v>-4.1595439999999997E-2</v>
      </c>
      <c r="N3623">
        <v>0</v>
      </c>
      <c r="O3623">
        <v>-0.99904289999999996</v>
      </c>
      <c r="P3623">
        <v>-8.9682499999999998E-2</v>
      </c>
      <c r="Q3623">
        <v>4.3651349999999998E-2</v>
      </c>
      <c r="R3623">
        <v>-0.9950135</v>
      </c>
      <c r="S3623">
        <v>-0.85652159999999999</v>
      </c>
      <c r="T3623">
        <v>-0.251278</v>
      </c>
      <c r="U3623">
        <v>-2.9527739999999998</v>
      </c>
      <c r="V3623">
        <v>4.8573030000000003E-2</v>
      </c>
      <c r="W3623">
        <v>5.6843440000000002E-2</v>
      </c>
      <c r="X3623">
        <v>0.9972008</v>
      </c>
      <c r="Y3623">
        <v>0.2374637</v>
      </c>
      <c r="Z3623">
        <v>8.1796939999999999E-2</v>
      </c>
      <c r="AA3623">
        <v>0.96794639999999998</v>
      </c>
      <c r="AB3623">
        <v>25</v>
      </c>
      <c r="AC3623">
        <v>-3.7416999999999998</v>
      </c>
      <c r="AD3623">
        <v>-1.102272169111</v>
      </c>
      <c r="AE3623">
        <v>-12.6847999999999</v>
      </c>
      <c r="AF3623">
        <v>3.18863256394686</v>
      </c>
      <c r="AG3623">
        <v>-1.102272169111</v>
      </c>
      <c r="AH3623">
        <v>12.740964352295499</v>
      </c>
      <c r="AI3623">
        <v>94.797344825598401</v>
      </c>
      <c r="AJ3623">
        <v>75.949403193944605</v>
      </c>
      <c r="AK3623">
        <v>13.180081721640599</v>
      </c>
    </row>
    <row r="3624" spans="1:37" x14ac:dyDescent="0.2">
      <c r="A3624" t="str">
        <f>"20200111153722665"</f>
        <v>20200111153722665</v>
      </c>
      <c r="B3624" t="str">
        <f>"1578728242656941"</f>
        <v>1578728242656941</v>
      </c>
      <c r="C3624" t="s">
        <v>37</v>
      </c>
      <c r="D3624">
        <v>5.9031890000000002</v>
      </c>
      <c r="E3624">
        <v>0.5751714</v>
      </c>
      <c r="F3624" t="s">
        <v>39</v>
      </c>
      <c r="G3624">
        <v>-194.0865</v>
      </c>
      <c r="H3624" s="1">
        <v>-3.10688199999999E-6</v>
      </c>
      <c r="I3624">
        <v>174.29679999999999</v>
      </c>
      <c r="J3624">
        <v>-190.28829999999999</v>
      </c>
      <c r="K3624">
        <v>1.1024929999999999</v>
      </c>
      <c r="L3624">
        <v>186.90989999999999</v>
      </c>
      <c r="M3624">
        <v>-4.5080130000000003E-2</v>
      </c>
      <c r="N3624">
        <v>0</v>
      </c>
      <c r="O3624">
        <v>-0.99889219999999901</v>
      </c>
      <c r="P3624">
        <v>-9.4933489999999995E-2</v>
      </c>
      <c r="Q3624">
        <v>4.3131570000000001E-2</v>
      </c>
      <c r="R3624">
        <v>-0.99454909999999996</v>
      </c>
      <c r="S3624">
        <v>-0.87301640000000003</v>
      </c>
      <c r="T3624">
        <v>-0.25235469999999999</v>
      </c>
      <c r="U3624">
        <v>-2.9474330000000002</v>
      </c>
      <c r="V3624">
        <v>5.0322569999999997E-2</v>
      </c>
      <c r="W3624">
        <v>5.6322619999999997E-2</v>
      </c>
      <c r="X3624">
        <v>0.99714360000000002</v>
      </c>
      <c r="Y3624">
        <v>0.23952319999999999</v>
      </c>
      <c r="Z3624">
        <v>8.2184019999999997E-2</v>
      </c>
      <c r="AA3624">
        <v>0.96740599999999999</v>
      </c>
      <c r="AB3624">
        <v>25</v>
      </c>
      <c r="AC3624">
        <v>-3.7982</v>
      </c>
      <c r="AD3624">
        <v>-1.1024961068819901</v>
      </c>
      <c r="AE3624">
        <v>-12.613099999999999</v>
      </c>
      <c r="AF3624">
        <v>3.2032469672096502</v>
      </c>
      <c r="AG3624">
        <v>-1.1024961068819901</v>
      </c>
      <c r="AH3624">
        <v>12.682670690630401</v>
      </c>
      <c r="AI3624">
        <v>94.817654268181101</v>
      </c>
      <c r="AJ3624">
        <v>75.825316596094595</v>
      </c>
      <c r="AK3624">
        <v>13.127315972642799</v>
      </c>
    </row>
    <row r="3625" spans="1:37" x14ac:dyDescent="0.2">
      <c r="A3625" t="str">
        <f>"20200111153722687"</f>
        <v>20200111153722687</v>
      </c>
      <c r="B3625" t="str">
        <f>"1578728242676461"</f>
        <v>1578728242676461</v>
      </c>
      <c r="C3625" t="s">
        <v>37</v>
      </c>
      <c r="D3625">
        <v>5.9337249999999999</v>
      </c>
      <c r="E3625">
        <v>0.56813259999999999</v>
      </c>
      <c r="F3625" t="s">
        <v>39</v>
      </c>
      <c r="G3625">
        <v>-194.14400000000001</v>
      </c>
      <c r="H3625" s="1">
        <v>-3.043933E-6</v>
      </c>
      <c r="I3625">
        <v>174.11439999999999</v>
      </c>
      <c r="J3625">
        <v>-190.30250000000001</v>
      </c>
      <c r="K3625">
        <v>1.102695</v>
      </c>
      <c r="L3625">
        <v>186.67150000000001</v>
      </c>
      <c r="M3625">
        <v>-4.7980540000000002E-2</v>
      </c>
      <c r="N3625">
        <v>0</v>
      </c>
      <c r="O3625">
        <v>-0.99875709999999995</v>
      </c>
      <c r="P3625">
        <v>-9.8308950000000006E-2</v>
      </c>
      <c r="Q3625">
        <v>4.2239239999999997E-2</v>
      </c>
      <c r="R3625">
        <v>-0.99425919999999901</v>
      </c>
      <c r="S3625">
        <v>-0.88676449999999996</v>
      </c>
      <c r="T3625">
        <v>-0.25355810000000001</v>
      </c>
      <c r="U3625">
        <v>-2.9427949999999998</v>
      </c>
      <c r="V3625">
        <v>5.0778089999999998E-2</v>
      </c>
      <c r="W3625">
        <v>5.5436619999999999E-2</v>
      </c>
      <c r="X3625">
        <v>0.99717019999999901</v>
      </c>
      <c r="Y3625">
        <v>0.2412581</v>
      </c>
      <c r="Z3625">
        <v>8.2608420000000002E-2</v>
      </c>
      <c r="AA3625">
        <v>0.96693869999999904</v>
      </c>
      <c r="AB3625">
        <v>25</v>
      </c>
      <c r="AC3625">
        <v>-3.8414999999999901</v>
      </c>
      <c r="AD3625">
        <v>-1.1026980439330001</v>
      </c>
      <c r="AE3625">
        <v>-12.5571</v>
      </c>
      <c r="AF3625">
        <v>3.2118750292781901</v>
      </c>
      <c r="AG3625">
        <v>-1.1026980439330001</v>
      </c>
      <c r="AH3625">
        <v>12.6378533929598</v>
      </c>
      <c r="AI3625">
        <v>94.833731352934294</v>
      </c>
      <c r="AJ3625">
        <v>75.740336203572596</v>
      </c>
      <c r="AK3625">
        <v>13.0861538490781</v>
      </c>
    </row>
    <row r="3626" spans="1:37" x14ac:dyDescent="0.2">
      <c r="A3626" t="str">
        <f>"20200111153722708"</f>
        <v>20200111153722708</v>
      </c>
      <c r="B3626" t="str">
        <f>"1578728242696957"</f>
        <v>1578728242696957</v>
      </c>
      <c r="C3626" t="s">
        <v>37</v>
      </c>
      <c r="D3626">
        <v>5.9248479999999999</v>
      </c>
      <c r="E3626">
        <v>0.56747919999999996</v>
      </c>
      <c r="F3626" t="s">
        <v>39</v>
      </c>
      <c r="G3626">
        <v>-193.69820000000001</v>
      </c>
      <c r="H3626" s="1">
        <v>-3.2116950000000002E-6</v>
      </c>
      <c r="I3626">
        <v>174.78190000000001</v>
      </c>
      <c r="J3626">
        <v>-190.3176</v>
      </c>
      <c r="K3626">
        <v>1.1029009999999999</v>
      </c>
      <c r="L3626">
        <v>186.42590000000001</v>
      </c>
      <c r="M3626">
        <v>-5.0658460000000002E-2</v>
      </c>
      <c r="N3626">
        <v>0</v>
      </c>
      <c r="O3626">
        <v>-0.99862519999999999</v>
      </c>
      <c r="P3626">
        <v>-0.1004815</v>
      </c>
      <c r="Q3626">
        <v>4.1962930000000002E-2</v>
      </c>
      <c r="R3626">
        <v>-0.99405399999999999</v>
      </c>
      <c r="S3626">
        <v>-0.84132389999999901</v>
      </c>
      <c r="T3626">
        <v>-0.273204</v>
      </c>
      <c r="U3626">
        <v>-2.9457550000000001</v>
      </c>
      <c r="V3626">
        <v>5.0253470000000001E-2</v>
      </c>
      <c r="W3626">
        <v>5.517238E-2</v>
      </c>
      <c r="X3626">
        <v>0.99721139999999997</v>
      </c>
      <c r="Y3626">
        <v>0.22446239999999901</v>
      </c>
      <c r="Z3626">
        <v>8.922563E-2</v>
      </c>
      <c r="AA3626">
        <v>0.97038930000000001</v>
      </c>
      <c r="AB3626">
        <v>25</v>
      </c>
      <c r="AC3626">
        <v>-3.38060000000001</v>
      </c>
      <c r="AD3626">
        <v>-1.1029042116950001</v>
      </c>
      <c r="AE3626">
        <v>-11.644</v>
      </c>
      <c r="AF3626">
        <v>2.7634725364118999</v>
      </c>
      <c r="AG3626">
        <v>-1.1029042116950001</v>
      </c>
      <c r="AH3626">
        <v>11.703481571699101</v>
      </c>
      <c r="AI3626">
        <v>95.240232743839101</v>
      </c>
      <c r="AJ3626">
        <v>76.714435638788601</v>
      </c>
      <c r="AK3626">
        <v>12.075788134063</v>
      </c>
    </row>
    <row r="3627" spans="1:37" x14ac:dyDescent="0.2">
      <c r="A3627" t="str">
        <f>"20200111153722731"</f>
        <v>20200111153722731</v>
      </c>
      <c r="B3627" t="str">
        <f>"1578728242726238"</f>
        <v>1578728242726238</v>
      </c>
      <c r="C3627" t="s">
        <v>37</v>
      </c>
      <c r="D3627">
        <v>5.9359120000000001</v>
      </c>
      <c r="E3627">
        <v>0.56650599999999995</v>
      </c>
      <c r="F3627" t="s">
        <v>39</v>
      </c>
      <c r="G3627">
        <v>-193.7791</v>
      </c>
      <c r="H3627" s="1">
        <v>-3.0367629999999999E-6</v>
      </c>
      <c r="I3627">
        <v>174.32400000000001</v>
      </c>
      <c r="J3627">
        <v>-190.3338</v>
      </c>
      <c r="K3627">
        <v>1.103135</v>
      </c>
      <c r="L3627">
        <v>186.1679</v>
      </c>
      <c r="M3627">
        <v>-5.313263E-2</v>
      </c>
      <c r="N3627">
        <v>0</v>
      </c>
      <c r="O3627">
        <v>-0.99849679999999996</v>
      </c>
      <c r="P3627">
        <v>-0.1027049</v>
      </c>
      <c r="Q3627">
        <v>4.267949E-2</v>
      </c>
      <c r="R3627">
        <v>-0.99379589999999995</v>
      </c>
      <c r="S3627">
        <v>-0.84211729999999996</v>
      </c>
      <c r="T3627">
        <v>-0.26831349999999998</v>
      </c>
      <c r="U3627">
        <v>-2.9441380000000001</v>
      </c>
      <c r="V3627">
        <v>4.9987289999999997E-2</v>
      </c>
      <c r="W3627">
        <v>5.5899850000000001E-2</v>
      </c>
      <c r="X3627">
        <v>0.99718430000000002</v>
      </c>
      <c r="Y3627">
        <v>0.222467999999999</v>
      </c>
      <c r="Z3627">
        <v>8.7687249999999994E-2</v>
      </c>
      <c r="AA3627">
        <v>0.97098859999999998</v>
      </c>
      <c r="AB3627">
        <v>25</v>
      </c>
      <c r="AC3627">
        <v>-3.4453</v>
      </c>
      <c r="AD3627">
        <v>-1.1031380367629999</v>
      </c>
      <c r="AE3627">
        <v>-11.8438999999999</v>
      </c>
      <c r="AF3627">
        <v>2.7887727568514098</v>
      </c>
      <c r="AG3627">
        <v>-1.1031380367629999</v>
      </c>
      <c r="AH3627">
        <v>11.914943133316999</v>
      </c>
      <c r="AI3627">
        <v>95.151179860451094</v>
      </c>
      <c r="AJ3627">
        <v>76.826675902334799</v>
      </c>
      <c r="AK3627">
        <v>12.286579543863599</v>
      </c>
    </row>
    <row r="3628" spans="1:37" x14ac:dyDescent="0.2">
      <c r="A3628" t="str">
        <f>"20200111153722754"</f>
        <v>20200111153722754</v>
      </c>
      <c r="B3628" t="str">
        <f>"1578728242746736"</f>
        <v>1578728242746736</v>
      </c>
      <c r="C3628" t="s">
        <v>37</v>
      </c>
      <c r="D3628">
        <v>5.945557</v>
      </c>
      <c r="E3628">
        <v>0.56598409999999999</v>
      </c>
      <c r="F3628" t="s">
        <v>39</v>
      </c>
      <c r="G3628">
        <v>-193.8476</v>
      </c>
      <c r="H3628" s="1">
        <v>-2.855183E-6</v>
      </c>
      <c r="I3628">
        <v>173.85820000000001</v>
      </c>
      <c r="J3628">
        <v>-190.35069999999999</v>
      </c>
      <c r="K3628">
        <v>1.1033899999999901</v>
      </c>
      <c r="L3628">
        <v>185.90350000000001</v>
      </c>
      <c r="M3628">
        <v>-5.5325489999999998E-2</v>
      </c>
      <c r="N3628">
        <v>0</v>
      </c>
      <c r="O3628">
        <v>-0.99837790000000004</v>
      </c>
      <c r="P3628">
        <v>-0.1052321</v>
      </c>
      <c r="Q3628">
        <v>4.4295349999999997E-2</v>
      </c>
      <c r="R3628">
        <v>-0.99346080000000003</v>
      </c>
      <c r="S3628">
        <v>-0.84014889999999998</v>
      </c>
      <c r="T3628">
        <v>-0.26375959999999898</v>
      </c>
      <c r="U3628">
        <v>-2.9432369999999999</v>
      </c>
      <c r="V3628">
        <v>5.0309470000000002E-2</v>
      </c>
      <c r="W3628">
        <v>5.7526580000000001E-2</v>
      </c>
      <c r="X3628">
        <v>0.99707559999999995</v>
      </c>
      <c r="Y3628">
        <v>0.2198389</v>
      </c>
      <c r="Z3628">
        <v>8.6253860000000002E-2</v>
      </c>
      <c r="AA3628">
        <v>0.97171559999999901</v>
      </c>
      <c r="AB3628">
        <v>25</v>
      </c>
      <c r="AC3628">
        <v>-3.4969000000000099</v>
      </c>
      <c r="AD3628">
        <v>-1.1033928551829999</v>
      </c>
      <c r="AE3628">
        <v>-12.0452999999999</v>
      </c>
      <c r="AF3628">
        <v>2.8033755152225699</v>
      </c>
      <c r="AG3628">
        <v>-1.1033928551829999</v>
      </c>
      <c r="AH3628">
        <v>12.1264864238395</v>
      </c>
      <c r="AI3628">
        <v>95.066153772817401</v>
      </c>
      <c r="AJ3628">
        <v>76.983154758615001</v>
      </c>
      <c r="AK3628">
        <v>12.495121570428299</v>
      </c>
    </row>
    <row r="3629" spans="1:37" x14ac:dyDescent="0.2">
      <c r="A3629" t="str">
        <f>"20200111153722776"</f>
        <v>20200111153722776</v>
      </c>
      <c r="B3629" t="str">
        <f>"1578728242766256"</f>
        <v>1578728242766256</v>
      </c>
      <c r="C3629" t="s">
        <v>37</v>
      </c>
      <c r="D3629">
        <v>5.9146130000000001</v>
      </c>
      <c r="E3629">
        <v>0.56566969999999905</v>
      </c>
      <c r="F3629" t="s">
        <v>39</v>
      </c>
      <c r="G3629">
        <v>-193.9502</v>
      </c>
      <c r="H3629" s="1">
        <v>-2.6608799999999899E-6</v>
      </c>
      <c r="I3629">
        <v>173.3417</v>
      </c>
      <c r="J3629">
        <v>-190.3665</v>
      </c>
      <c r="K3629">
        <v>1.10364</v>
      </c>
      <c r="L3629">
        <v>185.65880000000001</v>
      </c>
      <c r="M3629">
        <v>-5.7039199999999901E-2</v>
      </c>
      <c r="N3629">
        <v>0</v>
      </c>
      <c r="O3629">
        <v>-0.99828169999999905</v>
      </c>
      <c r="P3629">
        <v>-0.1083615</v>
      </c>
      <c r="Q3629">
        <v>4.5238159999999999E-2</v>
      </c>
      <c r="R3629">
        <v>-0.99308200000000002</v>
      </c>
      <c r="S3629">
        <v>-0.84300229999999998</v>
      </c>
      <c r="T3629">
        <v>-0.25841399999999998</v>
      </c>
      <c r="U3629">
        <v>-2.941986</v>
      </c>
      <c r="V3629">
        <v>5.1711739999999999E-2</v>
      </c>
      <c r="W3629">
        <v>5.8478660000000002E-2</v>
      </c>
      <c r="X3629">
        <v>0.99694839999999996</v>
      </c>
      <c r="Y3629">
        <v>0.219185399999999</v>
      </c>
      <c r="Z3629">
        <v>8.4536059999999996E-2</v>
      </c>
      <c r="AA3629">
        <v>0.97201409999999999</v>
      </c>
      <c r="AB3629">
        <v>25</v>
      </c>
      <c r="AC3629">
        <v>-3.5836999999999901</v>
      </c>
      <c r="AD3629">
        <v>-1.1036426608799901</v>
      </c>
      <c r="AE3629">
        <v>-12.3171</v>
      </c>
      <c r="AF3629">
        <v>2.8541174679580101</v>
      </c>
      <c r="AG3629">
        <v>-1.1036426608799901</v>
      </c>
      <c r="AH3629">
        <v>12.409617251919601</v>
      </c>
      <c r="AI3629">
        <v>94.953543005697099</v>
      </c>
      <c r="AJ3629">
        <v>77.047649876918797</v>
      </c>
      <c r="AK3629">
        <v>12.7813385051394</v>
      </c>
    </row>
    <row r="3630" spans="1:37" x14ac:dyDescent="0.2">
      <c r="A3630" t="str">
        <f>"20200111153722799"</f>
        <v>20200111153722799</v>
      </c>
      <c r="B3630" t="str">
        <f>"1578728242786749"</f>
        <v>1578728242786749</v>
      </c>
      <c r="C3630" t="s">
        <v>37</v>
      </c>
      <c r="D3630">
        <v>5.914002</v>
      </c>
      <c r="E3630">
        <v>0.56551010000000002</v>
      </c>
      <c r="F3630" t="s">
        <v>39</v>
      </c>
      <c r="G3630">
        <v>-194.01689999999999</v>
      </c>
      <c r="H3630" s="1">
        <v>-2.5431069999999998E-6</v>
      </c>
      <c r="I3630">
        <v>173.0258</v>
      </c>
      <c r="J3630">
        <v>-190.3827</v>
      </c>
      <c r="K3630">
        <v>1.1038889999999999</v>
      </c>
      <c r="L3630">
        <v>185.40790000000001</v>
      </c>
      <c r="M3630">
        <v>-5.8479070000000001E-2</v>
      </c>
      <c r="N3630">
        <v>0</v>
      </c>
      <c r="O3630">
        <v>-0.99819849999999999</v>
      </c>
      <c r="P3630">
        <v>-0.1119931</v>
      </c>
      <c r="Q3630">
        <v>4.5755610000000002E-2</v>
      </c>
      <c r="R3630">
        <v>-0.99265509999999901</v>
      </c>
      <c r="S3630">
        <v>-0.84951779999999999</v>
      </c>
      <c r="T3630">
        <v>-0.25683660000000003</v>
      </c>
      <c r="U3630">
        <v>-2.9399259999999998</v>
      </c>
      <c r="V3630">
        <v>5.3889199999999901E-2</v>
      </c>
      <c r="W3630">
        <v>5.8998460000000003E-2</v>
      </c>
      <c r="X3630">
        <v>0.99680239999999998</v>
      </c>
      <c r="Y3630">
        <v>0.21995970000000001</v>
      </c>
      <c r="Z3630">
        <v>8.4036879999999994E-2</v>
      </c>
      <c r="AA3630">
        <v>0.97188249999999998</v>
      </c>
      <c r="AB3630">
        <v>25</v>
      </c>
      <c r="AC3630">
        <v>-3.6341999999999901</v>
      </c>
      <c r="AD3630">
        <v>-1.103891543107</v>
      </c>
      <c r="AE3630">
        <v>-12.382099999999999</v>
      </c>
      <c r="AF3630">
        <v>2.8827255715070299</v>
      </c>
      <c r="AG3630">
        <v>-1.103891543107</v>
      </c>
      <c r="AH3630">
        <v>12.4821089264212</v>
      </c>
      <c r="AI3630">
        <v>94.924995975866494</v>
      </c>
      <c r="AJ3630">
        <v>76.995626164382898</v>
      </c>
      <c r="AK3630">
        <v>12.858138532097399</v>
      </c>
    </row>
    <row r="3631" spans="1:37" x14ac:dyDescent="0.2">
      <c r="A3631" t="str">
        <f>"20200111153722821"</f>
        <v>20200111153722821</v>
      </c>
      <c r="B3631" t="str">
        <f>"1578728242817008"</f>
        <v>1578728242817008</v>
      </c>
      <c r="C3631" t="s">
        <v>37</v>
      </c>
      <c r="D3631">
        <v>5.939063</v>
      </c>
      <c r="E3631">
        <v>0.56490549999999995</v>
      </c>
      <c r="F3631" t="s">
        <v>39</v>
      </c>
      <c r="G3631">
        <v>-194.11779999999999</v>
      </c>
      <c r="H3631" s="1">
        <v>-2.4025910000000001E-6</v>
      </c>
      <c r="I3631">
        <v>172.63570000000001</v>
      </c>
      <c r="J3631">
        <v>-190.39949999999999</v>
      </c>
      <c r="K3631">
        <v>1.1041299999999901</v>
      </c>
      <c r="L3631">
        <v>185.14779999999999</v>
      </c>
      <c r="M3631">
        <v>-5.961267E-2</v>
      </c>
      <c r="N3631">
        <v>0</v>
      </c>
      <c r="O3631">
        <v>-0.99813209999999997</v>
      </c>
      <c r="P3631">
        <v>-0.11431139999999999</v>
      </c>
      <c r="Q3631">
        <v>4.5384809999999998E-2</v>
      </c>
      <c r="R3631">
        <v>-0.99240779999999995</v>
      </c>
      <c r="S3631">
        <v>-0.85887150000000001</v>
      </c>
      <c r="T3631">
        <v>-0.25384129999999999</v>
      </c>
      <c r="U3631">
        <v>-2.9369809999999998</v>
      </c>
      <c r="V3631">
        <v>5.5049809999999998E-2</v>
      </c>
      <c r="W3631">
        <v>5.8617179999999998E-2</v>
      </c>
      <c r="X3631">
        <v>0.99676149999999997</v>
      </c>
      <c r="Y3631">
        <v>0.22198799999999999</v>
      </c>
      <c r="Z3631">
        <v>8.3079500000000001E-2</v>
      </c>
      <c r="AA3631">
        <v>0.97150360000000002</v>
      </c>
      <c r="AB3631">
        <v>25</v>
      </c>
      <c r="AC3631">
        <v>-3.7182999999999899</v>
      </c>
      <c r="AD3631">
        <v>-1.10413240259099</v>
      </c>
      <c r="AE3631">
        <v>-12.512099999999901</v>
      </c>
      <c r="AF3631">
        <v>2.94466981932533</v>
      </c>
      <c r="AG3631">
        <v>-1.10413240259099</v>
      </c>
      <c r="AH3631">
        <v>12.6212133344146</v>
      </c>
      <c r="AI3631">
        <v>94.869513095070005</v>
      </c>
      <c r="AJ3631">
        <v>76.867182990196895</v>
      </c>
      <c r="AK3631">
        <v>13.007121693138</v>
      </c>
    </row>
    <row r="3632" spans="1:37" x14ac:dyDescent="0.2">
      <c r="A3632" t="str">
        <f>"20200111153722844"</f>
        <v>20200111153722844</v>
      </c>
      <c r="B3632" t="str">
        <f>"1578728242836525"</f>
        <v>1578728242836525</v>
      </c>
      <c r="C3632" t="s">
        <v>37</v>
      </c>
      <c r="D3632">
        <v>5.9179729999999999</v>
      </c>
      <c r="E3632">
        <v>0.5645057</v>
      </c>
      <c r="F3632" t="s">
        <v>39</v>
      </c>
      <c r="G3632">
        <v>-194.13900000000001</v>
      </c>
      <c r="H3632" s="1">
        <v>-2.304098E-6</v>
      </c>
      <c r="I3632">
        <v>172.3929</v>
      </c>
      <c r="J3632">
        <v>-190.41569999999999</v>
      </c>
      <c r="K3632">
        <v>1.104328</v>
      </c>
      <c r="L3632">
        <v>184.89660000000001</v>
      </c>
      <c r="M3632">
        <v>-6.040765E-2</v>
      </c>
      <c r="N3632">
        <v>0</v>
      </c>
      <c r="O3632">
        <v>-0.99808519999999901</v>
      </c>
      <c r="P3632">
        <v>-0.116508999999999</v>
      </c>
      <c r="Q3632">
        <v>4.542769E-2</v>
      </c>
      <c r="R3632">
        <v>-0.99215039999999999</v>
      </c>
      <c r="S3632">
        <v>-0.86061100000000001</v>
      </c>
      <c r="T3632">
        <v>-0.25410630000000001</v>
      </c>
      <c r="U3632">
        <v>-2.9354399999999998</v>
      </c>
      <c r="V3632">
        <v>5.6434900000000003E-2</v>
      </c>
      <c r="W3632">
        <v>5.8633829999999998E-2</v>
      </c>
      <c r="X3632">
        <v>0.99668310000000004</v>
      </c>
      <c r="Y3632">
        <v>0.22187649999999901</v>
      </c>
      <c r="Z3632">
        <v>8.3195569999999996E-2</v>
      </c>
      <c r="AA3632">
        <v>0.97151909999999897</v>
      </c>
      <c r="AB3632">
        <v>25</v>
      </c>
      <c r="AC3632">
        <v>-3.72330000000002</v>
      </c>
      <c r="AD3632">
        <v>-1.1043303040979999</v>
      </c>
      <c r="AE3632">
        <v>-12.5037</v>
      </c>
      <c r="AF3632">
        <v>2.9400474981959701</v>
      </c>
      <c r="AG3632">
        <v>-1.1043303040979999</v>
      </c>
      <c r="AH3632">
        <v>12.615406170887001</v>
      </c>
      <c r="AI3632">
        <v>94.872890622267704</v>
      </c>
      <c r="AJ3632">
        <v>76.881257560267997</v>
      </c>
      <c r="AK3632">
        <v>13.000457590740799</v>
      </c>
    </row>
    <row r="3633" spans="1:37" x14ac:dyDescent="0.2">
      <c r="A3633" t="str">
        <f>"20200111153722866"</f>
        <v>20200111153722866</v>
      </c>
      <c r="B3633" t="str">
        <f>"1578728242857021"</f>
        <v>1578728242857021</v>
      </c>
      <c r="C3633" t="s">
        <v>37</v>
      </c>
      <c r="D3633">
        <v>5.9266120000000004</v>
      </c>
      <c r="E3633">
        <v>0.56400419999999996</v>
      </c>
      <c r="F3633" t="s">
        <v>39</v>
      </c>
      <c r="G3633">
        <v>-194.1387</v>
      </c>
      <c r="H3633" s="1">
        <v>-2.2399049999999999E-6</v>
      </c>
      <c r="I3633">
        <v>172.24340000000001</v>
      </c>
      <c r="J3633">
        <v>-190.43170000000001</v>
      </c>
      <c r="K3633">
        <v>1.1044909999999999</v>
      </c>
      <c r="L3633">
        <v>184.6463</v>
      </c>
      <c r="M3633">
        <v>-6.0976389999999998E-2</v>
      </c>
      <c r="N3633">
        <v>0</v>
      </c>
      <c r="O3633">
        <v>-0.99805100000000002</v>
      </c>
      <c r="P3633">
        <v>-0.11851389999999901</v>
      </c>
      <c r="Q3633">
        <v>4.6480550000000002E-2</v>
      </c>
      <c r="R3633">
        <v>-0.99186399999999997</v>
      </c>
      <c r="S3633">
        <v>-0.86331179999999996</v>
      </c>
      <c r="T3633">
        <v>-0.25607729999999901</v>
      </c>
      <c r="U3633">
        <v>-2.9340820000000001</v>
      </c>
      <c r="V3633">
        <v>5.7862329999999997E-2</v>
      </c>
      <c r="W3633">
        <v>5.9653440000000002E-2</v>
      </c>
      <c r="X3633">
        <v>0.99654069999999995</v>
      </c>
      <c r="Y3633">
        <v>0.22225</v>
      </c>
      <c r="Z3633">
        <v>8.3854650000000003E-2</v>
      </c>
      <c r="AA3633">
        <v>0.97137700000000005</v>
      </c>
      <c r="AB3633">
        <v>25</v>
      </c>
      <c r="AC3633">
        <v>-3.7069999999999901</v>
      </c>
      <c r="AD3633">
        <v>-1.10449323990499</v>
      </c>
      <c r="AE3633">
        <v>-12.402899999999899</v>
      </c>
      <c r="AF3633">
        <v>2.92247510601428</v>
      </c>
      <c r="AG3633">
        <v>-1.10449323990499</v>
      </c>
      <c r="AH3633">
        <v>12.514770944883599</v>
      </c>
      <c r="AI3633">
        <v>94.912097072234005</v>
      </c>
      <c r="AJ3633">
        <v>76.855723140694593</v>
      </c>
      <c r="AK3633">
        <v>12.898847152562499</v>
      </c>
    </row>
    <row r="3634" spans="1:37" x14ac:dyDescent="0.2">
      <c r="A3634" t="str">
        <f>"20200111153722888"</f>
        <v>20200111153722888</v>
      </c>
      <c r="B3634" t="str">
        <f>"1578728242876542"</f>
        <v>1578728242876542</v>
      </c>
      <c r="C3634" t="s">
        <v>37</v>
      </c>
      <c r="D3634">
        <v>5.9523330000000003</v>
      </c>
      <c r="E3634">
        <v>0.56357690000000005</v>
      </c>
      <c r="F3634" t="s">
        <v>39</v>
      </c>
      <c r="G3634">
        <v>-194.19370000000001</v>
      </c>
      <c r="H3634" s="1">
        <v>-2.1009990000000001E-6</v>
      </c>
      <c r="I3634">
        <v>171.88550000000001</v>
      </c>
      <c r="J3634">
        <v>-190.44739999999999</v>
      </c>
      <c r="K3634">
        <v>1.1046100000000001</v>
      </c>
      <c r="L3634">
        <v>184.40020000000001</v>
      </c>
      <c r="M3634">
        <v>-6.134208E-2</v>
      </c>
      <c r="N3634">
        <v>0</v>
      </c>
      <c r="O3634">
        <v>-0.99802950000000001</v>
      </c>
      <c r="P3634">
        <v>-0.1188</v>
      </c>
      <c r="Q3634">
        <v>4.660835E-2</v>
      </c>
      <c r="R3634">
        <v>-0.99182359999999903</v>
      </c>
      <c r="S3634">
        <v>-0.86471559999999903</v>
      </c>
      <c r="T3634">
        <v>-0.2538764</v>
      </c>
      <c r="U3634">
        <v>-2.9331669999999899</v>
      </c>
      <c r="V3634">
        <v>5.7765919999999998E-2</v>
      </c>
      <c r="W3634">
        <v>5.9739590000000002E-2</v>
      </c>
      <c r="X3634">
        <v>0.99654109999999996</v>
      </c>
      <c r="Y3634">
        <v>0.22241929999999999</v>
      </c>
      <c r="Z3634">
        <v>8.3153879999999999E-2</v>
      </c>
      <c r="AA3634">
        <v>0.97139850000000005</v>
      </c>
      <c r="AB3634">
        <v>25</v>
      </c>
      <c r="AC3634">
        <v>-3.74630000000001</v>
      </c>
      <c r="AD3634">
        <v>-1.104612100999</v>
      </c>
      <c r="AE3634">
        <v>-12.514699999999999</v>
      </c>
      <c r="AF3634">
        <v>2.95040368233553</v>
      </c>
      <c r="AG3634">
        <v>-1.104612100999</v>
      </c>
      <c r="AH3634">
        <v>12.630644776106699</v>
      </c>
      <c r="AI3634">
        <v>94.867698279157906</v>
      </c>
      <c r="AJ3634">
        <v>76.851982979624196</v>
      </c>
      <c r="AK3634">
        <v>13.0176125784494</v>
      </c>
    </row>
    <row r="3635" spans="1:37" x14ac:dyDescent="0.2">
      <c r="A3635" t="str">
        <f>"20200111153722910"</f>
        <v>20200111153722910</v>
      </c>
      <c r="B3635" t="str">
        <f>"1578728242906797"</f>
        <v>1578728242906797</v>
      </c>
      <c r="C3635" t="s">
        <v>37</v>
      </c>
      <c r="D3635">
        <v>5.9557310000000001</v>
      </c>
      <c r="E3635">
        <v>0.56288939999999998</v>
      </c>
      <c r="F3635" t="s">
        <v>39</v>
      </c>
      <c r="G3635">
        <v>-194.1926</v>
      </c>
      <c r="H3635" s="1">
        <v>-2.0055199999999998E-6</v>
      </c>
      <c r="I3635">
        <v>171.6636</v>
      </c>
      <c r="J3635">
        <v>-190.46299999999999</v>
      </c>
      <c r="K3635">
        <v>1.104711</v>
      </c>
      <c r="L3635">
        <v>184.15379999999999</v>
      </c>
      <c r="M3635">
        <v>-6.153732E-2</v>
      </c>
      <c r="N3635">
        <v>0</v>
      </c>
      <c r="O3635">
        <v>-0.99801849999999903</v>
      </c>
      <c r="P3635">
        <v>-0.1182575</v>
      </c>
      <c r="Q3635">
        <v>4.5269530000000002E-2</v>
      </c>
      <c r="R3635">
        <v>-0.99195080000000002</v>
      </c>
      <c r="S3635">
        <v>-0.86256409999999994</v>
      </c>
      <c r="T3635">
        <v>-0.25440469999999998</v>
      </c>
      <c r="U3635">
        <v>-2.9333649999999998</v>
      </c>
      <c r="V3635">
        <v>5.7004720000000002E-2</v>
      </c>
      <c r="W3635">
        <v>5.8350609999999997E-2</v>
      </c>
      <c r="X3635">
        <v>0.99666730000000003</v>
      </c>
      <c r="Y3635">
        <v>0.2215509</v>
      </c>
      <c r="Z3635">
        <v>8.3335530000000005E-2</v>
      </c>
      <c r="AA3635">
        <v>0.97158140000000004</v>
      </c>
      <c r="AB3635">
        <v>25</v>
      </c>
      <c r="AC3635">
        <v>-3.7296</v>
      </c>
      <c r="AD3635">
        <v>-1.1047130055200001</v>
      </c>
      <c r="AE3635">
        <v>-12.4901999999999</v>
      </c>
      <c r="AF3635">
        <v>2.9327864194448998</v>
      </c>
      <c r="AG3635">
        <v>-1.1047130055200001</v>
      </c>
      <c r="AH3635">
        <v>12.6055162785212</v>
      </c>
      <c r="AI3635">
        <v>94.878798790165902</v>
      </c>
      <c r="AJ3635">
        <v>76.902626375498002</v>
      </c>
      <c r="AK3635">
        <v>12.9892520052045</v>
      </c>
    </row>
    <row r="3636" spans="1:37" x14ac:dyDescent="0.2">
      <c r="A3636" t="str">
        <f>"20200111153722933"</f>
        <v>20200111153722933</v>
      </c>
      <c r="B3636" t="str">
        <f>"1578728242926318"</f>
        <v>1578728242926318</v>
      </c>
      <c r="C3636" t="s">
        <v>37</v>
      </c>
      <c r="D3636">
        <v>5.9660459999999897</v>
      </c>
      <c r="E3636">
        <v>0.56264389999999997</v>
      </c>
      <c r="F3636" t="s">
        <v>39</v>
      </c>
      <c r="G3636">
        <v>-194.10589999999999</v>
      </c>
      <c r="H3636" s="1">
        <v>-1.9806149999999999E-6</v>
      </c>
      <c r="I3636">
        <v>171.65940000000001</v>
      </c>
      <c r="J3636">
        <v>-190.47919999999999</v>
      </c>
      <c r="K3636">
        <v>1.104803</v>
      </c>
      <c r="L3636">
        <v>183.89599999999999</v>
      </c>
      <c r="M3636">
        <v>-6.1601719999999999E-2</v>
      </c>
      <c r="N3636">
        <v>0</v>
      </c>
      <c r="O3636">
        <v>-0.99801550000000006</v>
      </c>
      <c r="P3636">
        <v>-0.11817419999999999</v>
      </c>
      <c r="Q3636">
        <v>4.4700070000000001E-2</v>
      </c>
      <c r="R3636">
        <v>-0.99198660000000005</v>
      </c>
      <c r="S3636">
        <v>-0.85549929999999996</v>
      </c>
      <c r="T3636">
        <v>-0.25942880000000001</v>
      </c>
      <c r="U3636">
        <v>-2.9341740000000001</v>
      </c>
      <c r="V3636">
        <v>5.6840330000000001E-2</v>
      </c>
      <c r="W3636">
        <v>5.7725099999999897E-2</v>
      </c>
      <c r="X3636">
        <v>0.99671309999999902</v>
      </c>
      <c r="Y3636">
        <v>0.219221</v>
      </c>
      <c r="Z3636">
        <v>8.4997039999999996E-2</v>
      </c>
      <c r="AA3636">
        <v>0.97196589999999905</v>
      </c>
      <c r="AB3636">
        <v>25</v>
      </c>
      <c r="AC3636">
        <v>-3.6267</v>
      </c>
      <c r="AD3636">
        <v>-1.104804980615</v>
      </c>
      <c r="AE3636">
        <v>-12.2365999999999</v>
      </c>
      <c r="AF3636">
        <v>2.8446350041712098</v>
      </c>
      <c r="AG3636">
        <v>-1.104804980615</v>
      </c>
      <c r="AH3636">
        <v>12.344284667663601</v>
      </c>
      <c r="AI3636">
        <v>94.984359378254894</v>
      </c>
      <c r="AJ3636">
        <v>77.023214725182299</v>
      </c>
      <c r="AK3636">
        <v>12.715891880181299</v>
      </c>
    </row>
    <row r="3637" spans="1:37" x14ac:dyDescent="0.2">
      <c r="A3637" t="str">
        <f>"20200111153722946"</f>
        <v>20200111153722946</v>
      </c>
      <c r="B3637" t="str">
        <f>"1578728242937053"</f>
        <v>1578728242937053</v>
      </c>
      <c r="C3637" t="s">
        <v>37</v>
      </c>
      <c r="D3637">
        <v>5.9422750000000004</v>
      </c>
      <c r="E3637">
        <v>0.55644359999999904</v>
      </c>
      <c r="F3637" t="s">
        <v>39</v>
      </c>
      <c r="G3637">
        <v>-194.0864</v>
      </c>
      <c r="H3637" s="1">
        <v>-1.903467E-6</v>
      </c>
      <c r="I3637">
        <v>171.49160000000001</v>
      </c>
      <c r="J3637">
        <v>-190.4889</v>
      </c>
      <c r="K3637">
        <v>1.1048519999999999</v>
      </c>
      <c r="L3637">
        <v>183.739</v>
      </c>
      <c r="M3637">
        <v>-6.158947E-2</v>
      </c>
      <c r="N3637">
        <v>0</v>
      </c>
      <c r="O3637">
        <v>-0.99801669999999998</v>
      </c>
      <c r="P3637">
        <v>-0.1182125</v>
      </c>
      <c r="Q3637">
        <v>4.4592659999999999E-2</v>
      </c>
      <c r="R3637">
        <v>-0.99198699999999995</v>
      </c>
      <c r="S3637">
        <v>-0.85333250000000005</v>
      </c>
      <c r="T3637">
        <v>-0.26135249999999999</v>
      </c>
      <c r="U3637">
        <v>-2.9343720000000002</v>
      </c>
      <c r="V3637">
        <v>5.688323E-2</v>
      </c>
      <c r="W3637">
        <v>5.7584669999999998E-2</v>
      </c>
      <c r="X3637">
        <v>0.99671880000000002</v>
      </c>
      <c r="Y3637">
        <v>0.21853839999999999</v>
      </c>
      <c r="Z3637">
        <v>8.5632440000000004E-2</v>
      </c>
      <c r="AA3637">
        <v>0.97206380000000003</v>
      </c>
      <c r="AB3637">
        <v>25</v>
      </c>
      <c r="AC3637">
        <v>-3.5974999999999899</v>
      </c>
      <c r="AD3637">
        <v>-1.104853903467</v>
      </c>
      <c r="AE3637">
        <v>-12.247400000000001</v>
      </c>
      <c r="AF3637">
        <v>2.81520381712805</v>
      </c>
      <c r="AG3637">
        <v>-1.104853903467</v>
      </c>
      <c r="AH3637">
        <v>12.3531858256893</v>
      </c>
      <c r="AI3637">
        <v>94.983756175523496</v>
      </c>
      <c r="AJ3637">
        <v>77.161948341473305</v>
      </c>
      <c r="AK3637">
        <v>12.71799019987</v>
      </c>
    </row>
    <row r="3638" spans="1:37" x14ac:dyDescent="0.2">
      <c r="A3638" t="str">
        <f>"20200111153722966"</f>
        <v>20200111153722966</v>
      </c>
      <c r="B3638" t="str">
        <f>"1578728242956573"</f>
        <v>1578728242956573</v>
      </c>
      <c r="C3638" t="s">
        <v>37</v>
      </c>
      <c r="D3638">
        <v>5.9552709999999998</v>
      </c>
      <c r="E3638">
        <v>0.55604390000000004</v>
      </c>
      <c r="F3638" t="s">
        <v>39</v>
      </c>
      <c r="G3638">
        <v>-193.58500000000001</v>
      </c>
      <c r="H3638" s="1">
        <v>-2.1646669999999999E-6</v>
      </c>
      <c r="I3638">
        <v>172.41149999999999</v>
      </c>
      <c r="J3638">
        <v>-190.50239999999999</v>
      </c>
      <c r="K3638">
        <v>1.104911</v>
      </c>
      <c r="L3638">
        <v>183.52180000000001</v>
      </c>
      <c r="M3638">
        <v>-6.152328E-2</v>
      </c>
      <c r="N3638">
        <v>0</v>
      </c>
      <c r="O3638">
        <v>-0.9980213</v>
      </c>
      <c r="P3638">
        <v>-0.1189161</v>
      </c>
      <c r="Q3638">
        <v>4.5749230000000002E-2</v>
      </c>
      <c r="R3638">
        <v>-0.9918498</v>
      </c>
      <c r="S3638">
        <v>-0.80392459999999999</v>
      </c>
      <c r="T3638">
        <v>-0.28688639999999999</v>
      </c>
      <c r="U3638">
        <v>-2.9413149999999999</v>
      </c>
      <c r="V3638">
        <v>5.7651170000000002E-2</v>
      </c>
      <c r="W3638">
        <v>5.8695709999999998E-2</v>
      </c>
      <c r="X3638">
        <v>0.99660979999999999</v>
      </c>
      <c r="Y3638">
        <v>0.2026309</v>
      </c>
      <c r="Z3638">
        <v>9.4086799999999998E-2</v>
      </c>
      <c r="AA3638">
        <v>0.97472479999999995</v>
      </c>
      <c r="AB3638">
        <v>25</v>
      </c>
      <c r="AC3638">
        <v>-3.08260000000001</v>
      </c>
      <c r="AD3638">
        <v>-1.1049131646670001</v>
      </c>
      <c r="AE3638">
        <v>-11.110300000000001</v>
      </c>
      <c r="AF3638">
        <v>2.37138282128875</v>
      </c>
      <c r="AG3638">
        <v>-1.1049131646670001</v>
      </c>
      <c r="AH3638">
        <v>11.176282596995399</v>
      </c>
      <c r="AI3638">
        <v>95.523858596817504</v>
      </c>
      <c r="AJ3638">
        <v>78.020648352422398</v>
      </c>
      <c r="AK3638">
        <v>11.4783963285147</v>
      </c>
    </row>
    <row r="3639" spans="1:37" x14ac:dyDescent="0.2">
      <c r="A3639" t="str">
        <f>"20200111153722979"</f>
        <v>20200111153722979</v>
      </c>
      <c r="B3639" t="str">
        <f>"1578728242977070"</f>
        <v>1578728242977070</v>
      </c>
      <c r="C3639" t="s">
        <v>37</v>
      </c>
      <c r="D3639">
        <v>5.9707030000000003</v>
      </c>
      <c r="E3639">
        <v>0.55680499999999999</v>
      </c>
      <c r="F3639" t="s">
        <v>39</v>
      </c>
      <c r="G3639">
        <v>-193.65979999999999</v>
      </c>
      <c r="H3639" s="1">
        <v>-1.9873480000000001E-6</v>
      </c>
      <c r="I3639">
        <v>171.95179999999999</v>
      </c>
      <c r="J3639">
        <v>-190.51159999999999</v>
      </c>
      <c r="K3639">
        <v>1.104948</v>
      </c>
      <c r="L3639">
        <v>183.37110000000001</v>
      </c>
      <c r="M3639">
        <v>-6.1451980000000003E-2</v>
      </c>
      <c r="N3639">
        <v>0</v>
      </c>
      <c r="O3639">
        <v>-0.99802639999999998</v>
      </c>
      <c r="P3639">
        <v>-0.1201184</v>
      </c>
      <c r="Q3639">
        <v>4.628583E-2</v>
      </c>
      <c r="R3639">
        <v>-0.99168020000000001</v>
      </c>
      <c r="S3639">
        <v>-0.80268859999999997</v>
      </c>
      <c r="T3639">
        <v>-0.28089639999999999</v>
      </c>
      <c r="U3639">
        <v>-2.9413909999999999</v>
      </c>
      <c r="V3639">
        <v>5.892754E-2</v>
      </c>
      <c r="W3639">
        <v>5.9201719999999999E-2</v>
      </c>
      <c r="X3639">
        <v>0.99650530000000004</v>
      </c>
      <c r="Y3639">
        <v>0.20236109999999999</v>
      </c>
      <c r="Z3639">
        <v>9.2145439999999995E-2</v>
      </c>
      <c r="AA3639">
        <v>0.97496629999999995</v>
      </c>
      <c r="AB3639">
        <v>25</v>
      </c>
      <c r="AC3639">
        <v>-3.1482000000000001</v>
      </c>
      <c r="AD3639">
        <v>-1.104949987348</v>
      </c>
      <c r="AE3639">
        <v>-11.4193</v>
      </c>
      <c r="AF3639">
        <v>2.4193995637934198</v>
      </c>
      <c r="AG3639">
        <v>-1.104949987348</v>
      </c>
      <c r="AH3639">
        <v>11.491203502306901</v>
      </c>
      <c r="AI3639">
        <v>95.375320428387198</v>
      </c>
      <c r="AJ3639">
        <v>78.1103926774977</v>
      </c>
      <c r="AK3639">
        <v>11.7950060048842</v>
      </c>
    </row>
    <row r="3640" spans="1:37" x14ac:dyDescent="0.2">
      <c r="A3640" t="str">
        <f>"20200111153722998"</f>
        <v>20200111153722998</v>
      </c>
      <c r="B3640" t="str">
        <f>"1578728242986829"</f>
        <v>1578728242986829</v>
      </c>
      <c r="C3640" t="s">
        <v>37</v>
      </c>
      <c r="D3640">
        <v>5.9940129999999998</v>
      </c>
      <c r="E3640">
        <v>0.55688130000000002</v>
      </c>
      <c r="F3640" t="s">
        <v>39</v>
      </c>
      <c r="G3640">
        <v>-193.73840000000001</v>
      </c>
      <c r="H3640" s="1">
        <v>-1.895856E-6</v>
      </c>
      <c r="I3640">
        <v>171.68969999999999</v>
      </c>
      <c r="J3640">
        <v>-190.5248</v>
      </c>
      <c r="K3640">
        <v>1.104989</v>
      </c>
      <c r="L3640">
        <v>183.15539999999999</v>
      </c>
      <c r="M3640">
        <v>-6.1304730000000002E-2</v>
      </c>
      <c r="N3640">
        <v>0</v>
      </c>
      <c r="O3640">
        <v>-0.99803600000000003</v>
      </c>
      <c r="P3640">
        <v>-0.12292400000000001</v>
      </c>
      <c r="Q3640">
        <v>4.6608669999999998E-2</v>
      </c>
      <c r="R3640">
        <v>-0.99132129999999996</v>
      </c>
      <c r="S3640">
        <v>-0.81207280000000004</v>
      </c>
      <c r="T3640">
        <v>-0.27807690000000002</v>
      </c>
      <c r="U3640">
        <v>-2.9398040000000001</v>
      </c>
      <c r="V3640">
        <v>6.1891370000000001E-2</v>
      </c>
      <c r="W3640">
        <v>5.9481600000000003E-2</v>
      </c>
      <c r="X3640">
        <v>0.99630889999999905</v>
      </c>
      <c r="Y3640">
        <v>0.20555509999999999</v>
      </c>
      <c r="Z3640">
        <v>9.1208510000000007E-2</v>
      </c>
      <c r="AA3640">
        <v>0.97438599999999997</v>
      </c>
      <c r="AB3640">
        <v>25</v>
      </c>
      <c r="AC3640">
        <v>-3.2136000000000098</v>
      </c>
      <c r="AD3640">
        <v>-1.104990895856</v>
      </c>
      <c r="AE3640">
        <v>-11.465699999999901</v>
      </c>
      <c r="AF3640">
        <v>2.4832106786442698</v>
      </c>
      <c r="AG3640">
        <v>-1.104990895856</v>
      </c>
      <c r="AH3640">
        <v>11.5417651053508</v>
      </c>
      <c r="AI3640">
        <v>95.347117929109899</v>
      </c>
      <c r="AJ3640">
        <v>77.8579058351323</v>
      </c>
      <c r="AK3640">
        <v>11.8574736728171</v>
      </c>
    </row>
    <row r="3641" spans="1:37" x14ac:dyDescent="0.2">
      <c r="A3641" t="str">
        <f>"20200111153723013"</f>
        <v>20200111153723013</v>
      </c>
      <c r="B3641" t="str">
        <f>"1578728243006350"</f>
        <v>1578728243006350</v>
      </c>
      <c r="C3641" t="s">
        <v>37</v>
      </c>
      <c r="D3641">
        <v>5.9361230000000003</v>
      </c>
      <c r="E3641">
        <v>0.55701199999999995</v>
      </c>
      <c r="F3641" t="s">
        <v>39</v>
      </c>
      <c r="G3641">
        <v>-193.81049999999999</v>
      </c>
      <c r="H3641" s="1">
        <v>-1.791173E-6</v>
      </c>
      <c r="I3641">
        <v>171.40099999999899</v>
      </c>
      <c r="J3641">
        <v>-190.53440000000001</v>
      </c>
      <c r="K3641">
        <v>1.1050059999999999</v>
      </c>
      <c r="L3641">
        <v>182.99789999999999</v>
      </c>
      <c r="M3641">
        <v>-6.1170950000000002E-2</v>
      </c>
      <c r="N3641">
        <v>0</v>
      </c>
      <c r="O3641">
        <v>-0.99804439999999905</v>
      </c>
      <c r="P3641">
        <v>-0.1239103</v>
      </c>
      <c r="Q3641">
        <v>4.6799540000000001E-2</v>
      </c>
      <c r="R3641">
        <v>-0.99118909999999905</v>
      </c>
      <c r="S3641">
        <v>-0.82109069999999995</v>
      </c>
      <c r="T3641">
        <v>-0.27613939999999998</v>
      </c>
      <c r="U3641">
        <v>-2.9374539999999998</v>
      </c>
      <c r="V3641">
        <v>6.3014599999999907E-2</v>
      </c>
      <c r="W3641">
        <v>5.9643920000000003E-2</v>
      </c>
      <c r="X3641">
        <v>0.99622880000000003</v>
      </c>
      <c r="Y3641">
        <v>0.20867749999999999</v>
      </c>
      <c r="Z3641">
        <v>9.0582140000000005E-2</v>
      </c>
      <c r="AA3641">
        <v>0.9737806</v>
      </c>
      <c r="AB3641">
        <v>25</v>
      </c>
      <c r="AC3641">
        <v>-3.27609999999998</v>
      </c>
      <c r="AD3641">
        <v>-1.1050077911730001</v>
      </c>
      <c r="AE3641">
        <v>-11.5969</v>
      </c>
      <c r="AF3641">
        <v>2.5391620411400901</v>
      </c>
      <c r="AG3641">
        <v>-1.1050077911730001</v>
      </c>
      <c r="AH3641">
        <v>11.6774119992109</v>
      </c>
      <c r="AI3641">
        <v>95.282950420444294</v>
      </c>
      <c r="AJ3641">
        <v>77.732442324077596</v>
      </c>
      <c r="AK3641">
        <v>12.001263978808</v>
      </c>
    </row>
    <row r="3642" spans="1:37" x14ac:dyDescent="0.2">
      <c r="A3642" t="str">
        <f>"20200111153723026"</f>
        <v>20200111153723026</v>
      </c>
      <c r="B3642" t="str">
        <f>"1578728243017086"</f>
        <v>1578728243017086</v>
      </c>
      <c r="C3642" t="s">
        <v>37</v>
      </c>
      <c r="D3642">
        <v>5.9784129999999998</v>
      </c>
      <c r="E3642">
        <v>0.55692450000000004</v>
      </c>
      <c r="F3642" t="s">
        <v>39</v>
      </c>
      <c r="G3642">
        <v>-193.82910000000001</v>
      </c>
      <c r="H3642" s="1">
        <v>-1.7416180000000001E-6</v>
      </c>
      <c r="I3642">
        <v>171.274</v>
      </c>
      <c r="J3642">
        <v>-190.5436</v>
      </c>
      <c r="K3642">
        <v>1.1050199999999999</v>
      </c>
      <c r="L3642">
        <v>182.84540000000001</v>
      </c>
      <c r="M3642">
        <v>-6.1029369999999999E-2</v>
      </c>
      <c r="N3642">
        <v>0</v>
      </c>
      <c r="O3642">
        <v>-0.99805370000000004</v>
      </c>
      <c r="P3642">
        <v>-0.1246826</v>
      </c>
      <c r="Q3642">
        <v>4.6603430000000001E-2</v>
      </c>
      <c r="R3642">
        <v>-0.99110189999999998</v>
      </c>
      <c r="S3642">
        <v>-0.82524109999999995</v>
      </c>
      <c r="T3642">
        <v>-0.27677570000000001</v>
      </c>
      <c r="U3642">
        <v>-2.9365540000000001</v>
      </c>
      <c r="V3642">
        <v>6.3929949999999999E-2</v>
      </c>
      <c r="W3642">
        <v>5.9421620000000001E-2</v>
      </c>
      <c r="X3642">
        <v>0.99618379999999995</v>
      </c>
      <c r="Y3642">
        <v>0.2101645</v>
      </c>
      <c r="Z3642">
        <v>9.0785389999999994E-2</v>
      </c>
      <c r="AA3642">
        <v>0.97344179999999902</v>
      </c>
      <c r="AB3642">
        <v>25</v>
      </c>
      <c r="AC3642">
        <v>-3.2855000000000101</v>
      </c>
      <c r="AD3642">
        <v>-1.1050217416179999</v>
      </c>
      <c r="AE3642">
        <v>-11.571400000000001</v>
      </c>
      <c r="AF3642">
        <v>2.5515882906672198</v>
      </c>
      <c r="AG3642">
        <v>-1.1050217416179999</v>
      </c>
      <c r="AH3642">
        <v>11.6520225484277</v>
      </c>
      <c r="AI3642">
        <v>95.292774273866399</v>
      </c>
      <c r="AJ3642">
        <v>77.648203862341603</v>
      </c>
      <c r="AK3642">
        <v>11.9792030337409</v>
      </c>
    </row>
    <row r="3643" spans="1:37" x14ac:dyDescent="0.2">
      <c r="A3643" t="str">
        <f>"20200111153723045"</f>
        <v>20200111153723045</v>
      </c>
      <c r="B3643" t="str">
        <f>"1578728243036605"</f>
        <v>1578728243036605</v>
      </c>
      <c r="C3643" t="s">
        <v>37</v>
      </c>
      <c r="D3643">
        <v>6.0101290000000001</v>
      </c>
      <c r="E3643">
        <v>0.55699809999999905</v>
      </c>
      <c r="F3643" t="s">
        <v>39</v>
      </c>
      <c r="G3643">
        <v>-193.845</v>
      </c>
      <c r="H3643" s="1">
        <v>-1.680967E-6</v>
      </c>
      <c r="I3643">
        <v>171.12270000000001</v>
      </c>
      <c r="J3643">
        <v>-190.55619999999999</v>
      </c>
      <c r="K3643">
        <v>1.1050309999999901</v>
      </c>
      <c r="L3643">
        <v>182.63630000000001</v>
      </c>
      <c r="M3643">
        <v>-6.0816160000000001E-2</v>
      </c>
      <c r="N3643">
        <v>0</v>
      </c>
      <c r="O3643">
        <v>-0.99806709999999998</v>
      </c>
      <c r="P3643">
        <v>-0.1272095</v>
      </c>
      <c r="Q3643">
        <v>4.6038009999999997E-2</v>
      </c>
      <c r="R3643">
        <v>-0.99080709999999905</v>
      </c>
      <c r="S3643">
        <v>-0.82682800000000001</v>
      </c>
      <c r="T3643">
        <v>-0.27675169999999999</v>
      </c>
      <c r="U3643">
        <v>-2.9359280000000001</v>
      </c>
      <c r="V3643">
        <v>6.6680740000000002E-2</v>
      </c>
      <c r="W3643">
        <v>5.8822340000000001E-2</v>
      </c>
      <c r="X3643">
        <v>0.99603899999999901</v>
      </c>
      <c r="Y3643">
        <v>0.21091489999999999</v>
      </c>
      <c r="Z3643">
        <v>9.0783920000000004E-2</v>
      </c>
      <c r="AA3643">
        <v>0.97327960000000002</v>
      </c>
      <c r="AB3643">
        <v>25</v>
      </c>
      <c r="AC3643">
        <v>-3.2888000000000002</v>
      </c>
      <c r="AD3643">
        <v>-1.1050326809669999</v>
      </c>
      <c r="AE3643">
        <v>-11.513599999999901</v>
      </c>
      <c r="AF3643">
        <v>2.5606334247137901</v>
      </c>
      <c r="AG3643">
        <v>-1.1050326809669999</v>
      </c>
      <c r="AH3643">
        <v>11.593575829274799</v>
      </c>
      <c r="AI3643">
        <v>95.317266412582995</v>
      </c>
      <c r="AJ3643">
        <v>77.545230990143907</v>
      </c>
      <c r="AK3643">
        <v>11.9243004520564</v>
      </c>
    </row>
    <row r="3644" spans="1:37" x14ac:dyDescent="0.2">
      <c r="A3644" t="str">
        <f>"20200111153723059"</f>
        <v>20200111153723059</v>
      </c>
      <c r="B3644" t="str">
        <f>"1578728243046366"</f>
        <v>1578728243046366</v>
      </c>
      <c r="C3644" t="s">
        <v>37</v>
      </c>
      <c r="D3644">
        <v>6.0079409999999998</v>
      </c>
      <c r="E3644">
        <v>0.55698110000000001</v>
      </c>
      <c r="F3644" t="s">
        <v>39</v>
      </c>
      <c r="G3644">
        <v>-193.86</v>
      </c>
      <c r="H3644" s="1">
        <v>-1.643237E-6</v>
      </c>
      <c r="I3644">
        <v>171.02549999999999</v>
      </c>
      <c r="J3644">
        <v>-190.5652</v>
      </c>
      <c r="K3644">
        <v>1.10504</v>
      </c>
      <c r="L3644">
        <v>182.48509999999999</v>
      </c>
      <c r="M3644">
        <v>-6.0652900000000003E-2</v>
      </c>
      <c r="N3644">
        <v>0</v>
      </c>
      <c r="O3644">
        <v>-0.99807710000000005</v>
      </c>
      <c r="P3644">
        <v>-0.12862029999999999</v>
      </c>
      <c r="Q3644">
        <v>4.5683550000000003E-2</v>
      </c>
      <c r="R3644">
        <v>-0.9906412</v>
      </c>
      <c r="S3644">
        <v>-0.83474729999999997</v>
      </c>
      <c r="T3644">
        <v>-0.2791999</v>
      </c>
      <c r="U3644">
        <v>-2.933624</v>
      </c>
      <c r="V3644">
        <v>6.8260749999999995E-2</v>
      </c>
      <c r="W3644">
        <v>5.8444860000000001E-2</v>
      </c>
      <c r="X3644">
        <v>0.99595419999999901</v>
      </c>
      <c r="Y3644">
        <v>0.2136855</v>
      </c>
      <c r="Z3644">
        <v>9.1589439999999994E-2</v>
      </c>
      <c r="AA3644">
        <v>0.97259959999999901</v>
      </c>
      <c r="AB3644">
        <v>25</v>
      </c>
      <c r="AC3644">
        <v>-3.2948</v>
      </c>
      <c r="AD3644">
        <v>-1.105041643237</v>
      </c>
      <c r="AE3644">
        <v>-11.459599999999901</v>
      </c>
      <c r="AF3644">
        <v>2.5715323019192899</v>
      </c>
      <c r="AG3644">
        <v>-1.105041643237</v>
      </c>
      <c r="AH3644">
        <v>11.539247526986999</v>
      </c>
      <c r="AI3644">
        <v>95.339971237490403</v>
      </c>
      <c r="AJ3644">
        <v>77.436868504236202</v>
      </c>
      <c r="AK3644">
        <v>11.873842213124499</v>
      </c>
    </row>
    <row r="3645" spans="1:37" x14ac:dyDescent="0.2">
      <c r="A3645" t="str">
        <f>"20200111153723077"</f>
        <v>20200111153723077</v>
      </c>
      <c r="B3645" t="str">
        <f>"1578728243066961"</f>
        <v>1578728243066961</v>
      </c>
      <c r="C3645" t="s">
        <v>37</v>
      </c>
      <c r="D3645">
        <v>6.0275790000000002</v>
      </c>
      <c r="E3645">
        <v>0.5568535</v>
      </c>
      <c r="F3645" t="s">
        <v>39</v>
      </c>
      <c r="G3645">
        <v>-193.8597</v>
      </c>
      <c r="H3645" s="1">
        <v>-1.6183560000000001E-6</v>
      </c>
      <c r="I3645">
        <v>170.9676</v>
      </c>
      <c r="J3645">
        <v>-190.57769999999999</v>
      </c>
      <c r="K3645">
        <v>1.1050389999999899</v>
      </c>
      <c r="L3645">
        <v>182.2747</v>
      </c>
      <c r="M3645">
        <v>-6.0414509999999998E-2</v>
      </c>
      <c r="N3645">
        <v>0</v>
      </c>
      <c r="O3645">
        <v>-0.99809219999999899</v>
      </c>
      <c r="P3645">
        <v>-0.1322892</v>
      </c>
      <c r="Q3645">
        <v>4.4679999999999997E-2</v>
      </c>
      <c r="R3645">
        <v>-0.99020390000000003</v>
      </c>
      <c r="S3645">
        <v>-0.83880619999999995</v>
      </c>
      <c r="T3645">
        <v>-0.28135060000000001</v>
      </c>
      <c r="U3645">
        <v>-2.9324189999999999</v>
      </c>
      <c r="V3645">
        <v>7.218695E-2</v>
      </c>
      <c r="W3645">
        <v>5.7411860000000002E-2</v>
      </c>
      <c r="X3645">
        <v>0.99573739999999999</v>
      </c>
      <c r="Y3645">
        <v>0.21525079999999999</v>
      </c>
      <c r="Z3645">
        <v>9.2293890000000003E-2</v>
      </c>
      <c r="AA3645">
        <v>0.97218769999999999</v>
      </c>
      <c r="AB3645">
        <v>25</v>
      </c>
      <c r="AC3645">
        <v>-3.2820000000000098</v>
      </c>
      <c r="AD3645">
        <v>-1.105040618356</v>
      </c>
      <c r="AE3645">
        <v>-11.307099999999901</v>
      </c>
      <c r="AF3645">
        <v>2.5701950604319599</v>
      </c>
      <c r="AG3645">
        <v>-1.105040618356</v>
      </c>
      <c r="AH3645">
        <v>11.3844542053777</v>
      </c>
      <c r="AI3645">
        <v>95.408799581028802</v>
      </c>
      <c r="AJ3645">
        <v>77.277981898789307</v>
      </c>
      <c r="AK3645">
        <v>11.723174270274599</v>
      </c>
    </row>
    <row r="3646" spans="1:37" x14ac:dyDescent="0.2">
      <c r="A3646" t="str">
        <f>"20200111153723091"</f>
        <v>20200111153723091</v>
      </c>
      <c r="B3646" t="str">
        <f>"1578728243086481"</f>
        <v>1578728243086481</v>
      </c>
      <c r="C3646" t="s">
        <v>37</v>
      </c>
      <c r="D3646">
        <v>6.0418010000000004</v>
      </c>
      <c r="E3646">
        <v>0.55655269999999901</v>
      </c>
      <c r="F3646" t="s">
        <v>39</v>
      </c>
      <c r="G3646">
        <v>-193.85310000000001</v>
      </c>
      <c r="H3646" s="1">
        <v>-1.6147799999999899E-6</v>
      </c>
      <c r="I3646">
        <v>170.96340000000001</v>
      </c>
      <c r="J3646">
        <v>-190.5865</v>
      </c>
      <c r="K3646">
        <v>1.105038</v>
      </c>
      <c r="L3646">
        <v>182.1259</v>
      </c>
      <c r="M3646">
        <v>-6.0242230000000001E-2</v>
      </c>
      <c r="N3646">
        <v>0</v>
      </c>
      <c r="O3646">
        <v>-0.99810290000000002</v>
      </c>
      <c r="P3646">
        <v>-0.13398479999999999</v>
      </c>
      <c r="Q3646">
        <v>4.3978990000000003E-2</v>
      </c>
      <c r="R3646">
        <v>-0.99000739999999998</v>
      </c>
      <c r="S3646">
        <v>-0.8482056</v>
      </c>
      <c r="T3646">
        <v>-0.28616950000000002</v>
      </c>
      <c r="U3646">
        <v>-2.92925999999999</v>
      </c>
      <c r="V3646">
        <v>7.4063550000000006E-2</v>
      </c>
      <c r="W3646">
        <v>5.6694439999999999E-2</v>
      </c>
      <c r="X3646">
        <v>0.99564059999999899</v>
      </c>
      <c r="Y3646">
        <v>0.2185347</v>
      </c>
      <c r="Z3646">
        <v>9.3883190000000005E-2</v>
      </c>
      <c r="AA3646">
        <v>0.97130249999999996</v>
      </c>
      <c r="AB3646">
        <v>25</v>
      </c>
      <c r="AC3646">
        <v>-3.2666000000000102</v>
      </c>
      <c r="AD3646">
        <v>-1.1050396147799999</v>
      </c>
      <c r="AE3646">
        <v>-11.1624999999999</v>
      </c>
      <c r="AF3646">
        <v>2.5650035061679901</v>
      </c>
      <c r="AG3646">
        <v>-1.1050396147799999</v>
      </c>
      <c r="AH3646">
        <v>11.2375837883498</v>
      </c>
      <c r="AI3646">
        <v>95.476132932520002</v>
      </c>
      <c r="AJ3646">
        <v>77.142380582690706</v>
      </c>
      <c r="AK3646">
        <v>11.5794492501617</v>
      </c>
    </row>
    <row r="3647" spans="1:37" x14ac:dyDescent="0.2">
      <c r="A3647" t="str">
        <f>"20200111153723106"</f>
        <v>20200111153723106</v>
      </c>
      <c r="B3647" t="str">
        <f>"1578728243096242"</f>
        <v>1578728243096242</v>
      </c>
      <c r="C3647" t="s">
        <v>37</v>
      </c>
      <c r="D3647">
        <v>6.0270049999999999</v>
      </c>
      <c r="E3647">
        <v>0.55641779999999996</v>
      </c>
      <c r="F3647" t="s">
        <v>39</v>
      </c>
      <c r="G3647">
        <v>-193.833</v>
      </c>
      <c r="H3647" s="1">
        <v>-1.604274E-6</v>
      </c>
      <c r="I3647">
        <v>170.95140000000001</v>
      </c>
      <c r="J3647">
        <v>-190.59620000000001</v>
      </c>
      <c r="K3647">
        <v>1.105029</v>
      </c>
      <c r="L3647">
        <v>181.9614</v>
      </c>
      <c r="M3647">
        <v>-6.0050819999999998E-2</v>
      </c>
      <c r="N3647">
        <v>0</v>
      </c>
      <c r="O3647">
        <v>-0.99811459999999996</v>
      </c>
      <c r="P3647">
        <v>-0.1356349</v>
      </c>
      <c r="Q3647">
        <v>4.3533139999999998E-2</v>
      </c>
      <c r="R3647">
        <v>-0.98980219999999897</v>
      </c>
      <c r="S3647">
        <v>-0.85066219999999904</v>
      </c>
      <c r="T3647">
        <v>-0.28955219999999998</v>
      </c>
      <c r="U3647">
        <v>-2.9280550000000001</v>
      </c>
      <c r="V3647">
        <v>7.591444E-2</v>
      </c>
      <c r="W3647">
        <v>5.6234550000000001E-2</v>
      </c>
      <c r="X3647">
        <v>0.9955273</v>
      </c>
      <c r="Y3647">
        <v>0.21955069999999999</v>
      </c>
      <c r="Z3647">
        <v>9.4999849999999997E-2</v>
      </c>
      <c r="AA3647">
        <v>0.97096469999999901</v>
      </c>
      <c r="AB3647">
        <v>25</v>
      </c>
      <c r="AC3647">
        <v>-3.2367999999999801</v>
      </c>
      <c r="AD3647">
        <v>-1.1050306042739999</v>
      </c>
      <c r="AE3647">
        <v>-11.0099999999999</v>
      </c>
      <c r="AF3647">
        <v>2.5461371169581901</v>
      </c>
      <c r="AG3647">
        <v>-1.1050306042739999</v>
      </c>
      <c r="AH3647">
        <v>11.081765451371</v>
      </c>
      <c r="AI3647">
        <v>95.550799738740693</v>
      </c>
      <c r="AJ3647">
        <v>77.060342015640202</v>
      </c>
      <c r="AK3647">
        <v>11.424072495127801</v>
      </c>
    </row>
    <row r="3648" spans="1:37" x14ac:dyDescent="0.2">
      <c r="A3648" t="str">
        <f>"20200111153723124"</f>
        <v>20200111153723124</v>
      </c>
      <c r="B3648" t="str">
        <f>"1578728243116737"</f>
        <v>1578728243116737</v>
      </c>
      <c r="C3648" t="s">
        <v>37</v>
      </c>
      <c r="D3648">
        <v>6.0354559999999999</v>
      </c>
      <c r="E3648">
        <v>0.5563169</v>
      </c>
      <c r="F3648" t="s">
        <v>39</v>
      </c>
      <c r="G3648">
        <v>-193.83609999999999</v>
      </c>
      <c r="H3648" s="1">
        <v>-1.568265E-6</v>
      </c>
      <c r="I3648">
        <v>170.8655</v>
      </c>
      <c r="J3648">
        <v>-190.60810000000001</v>
      </c>
      <c r="K3648">
        <v>1.1050180000000001</v>
      </c>
      <c r="L3648">
        <v>181.75989999999999</v>
      </c>
      <c r="M3648">
        <v>-5.981471E-2</v>
      </c>
      <c r="N3648">
        <v>0</v>
      </c>
      <c r="O3648">
        <v>-0.99812880000000004</v>
      </c>
      <c r="P3648">
        <v>-0.13880319999999999</v>
      </c>
      <c r="Q3648">
        <v>4.2081929999999997E-2</v>
      </c>
      <c r="R3648">
        <v>-0.98942569999999996</v>
      </c>
      <c r="S3648">
        <v>-0.85453799999999902</v>
      </c>
      <c r="T3648">
        <v>-0.29146309999999997</v>
      </c>
      <c r="U3648">
        <v>-2.9266509999999899</v>
      </c>
      <c r="V3648">
        <v>7.9336809999999994E-2</v>
      </c>
      <c r="W3648">
        <v>5.4771489999999999E-2</v>
      </c>
      <c r="X3648">
        <v>0.99534199999999995</v>
      </c>
      <c r="Y3648">
        <v>0.2210742</v>
      </c>
      <c r="Z3648">
        <v>9.5632720000000004E-2</v>
      </c>
      <c r="AA3648">
        <v>0.97055689999999994</v>
      </c>
      <c r="AB3648">
        <v>25</v>
      </c>
      <c r="AC3648">
        <v>-3.2279999999999802</v>
      </c>
      <c r="AD3648">
        <v>-1.1050195682649999</v>
      </c>
      <c r="AE3648">
        <v>-10.8943999999999</v>
      </c>
      <c r="AF3648">
        <v>2.5464379250914502</v>
      </c>
      <c r="AG3648">
        <v>-1.1050195682649999</v>
      </c>
      <c r="AH3648">
        <v>10.9642905189926</v>
      </c>
      <c r="AI3648">
        <v>95.606797834541098</v>
      </c>
      <c r="AJ3648">
        <v>76.924949279663807</v>
      </c>
      <c r="AK3648">
        <v>11.310220198451701</v>
      </c>
    </row>
    <row r="3649" spans="1:37" x14ac:dyDescent="0.2">
      <c r="A3649" t="str">
        <f>"20200111153723146"</f>
        <v>20200111153723146</v>
      </c>
      <c r="B3649" t="str">
        <f>"1578728243136258"</f>
        <v>1578728243136258</v>
      </c>
      <c r="C3649" t="s">
        <v>37</v>
      </c>
      <c r="D3649">
        <v>6.0420850000000002</v>
      </c>
      <c r="E3649">
        <v>0.5527919</v>
      </c>
      <c r="F3649" t="s">
        <v>39</v>
      </c>
      <c r="G3649">
        <v>-193.8082</v>
      </c>
      <c r="H3649" s="1">
        <v>-1.5839109999999899E-6</v>
      </c>
      <c r="I3649">
        <v>170.91929999999999</v>
      </c>
      <c r="J3649">
        <v>-190.6232</v>
      </c>
      <c r="K3649">
        <v>1.105002</v>
      </c>
      <c r="L3649">
        <v>181.50129999999999</v>
      </c>
      <c r="M3649">
        <v>-5.9506740000000002E-2</v>
      </c>
      <c r="N3649">
        <v>0</v>
      </c>
      <c r="O3649">
        <v>-0.99814740000000002</v>
      </c>
      <c r="P3649">
        <v>-0.14193800000000001</v>
      </c>
      <c r="Q3649">
        <v>4.0613160000000002E-2</v>
      </c>
      <c r="R3649">
        <v>-0.98904210000000004</v>
      </c>
      <c r="S3649">
        <v>-0.86306759999999905</v>
      </c>
      <c r="T3649">
        <v>-0.29801889999999998</v>
      </c>
      <c r="U3649">
        <v>-2.9236759999999999</v>
      </c>
      <c r="V3649">
        <v>8.2798819999999995E-2</v>
      </c>
      <c r="W3649">
        <v>5.3289740000000002E-2</v>
      </c>
      <c r="X3649">
        <v>0.99514049999999998</v>
      </c>
      <c r="Y3649">
        <v>0.2241872</v>
      </c>
      <c r="Z3649">
        <v>9.7785919999999998E-2</v>
      </c>
      <c r="AA3649">
        <v>0.96962780000000004</v>
      </c>
      <c r="AB3649">
        <v>25</v>
      </c>
      <c r="AC3649">
        <v>-3.1850000000000001</v>
      </c>
      <c r="AD3649">
        <v>-1.105003583911</v>
      </c>
      <c r="AE3649">
        <v>-10.581999999999899</v>
      </c>
      <c r="AF3649">
        <v>2.5243644540236199</v>
      </c>
      <c r="AG3649">
        <v>-1.105003583911</v>
      </c>
      <c r="AH3649">
        <v>10.646342570466199</v>
      </c>
      <c r="AI3649">
        <v>95.766845824249501</v>
      </c>
      <c r="AJ3649">
        <v>76.660883840435204</v>
      </c>
      <c r="AK3649">
        <v>10.997184137083201</v>
      </c>
    </row>
    <row r="3650" spans="1:37" x14ac:dyDescent="0.2">
      <c r="A3650" t="str">
        <f>"20200111153723167"</f>
        <v>20200111153723167</v>
      </c>
      <c r="B3650" t="str">
        <f>"1578728243156756"</f>
        <v>1578728243156756</v>
      </c>
      <c r="C3650" t="s">
        <v>37</v>
      </c>
      <c r="D3650">
        <v>6.0538610000000004</v>
      </c>
      <c r="E3650">
        <v>0.55292759999999996</v>
      </c>
      <c r="F3650" t="s">
        <v>39</v>
      </c>
      <c r="G3650">
        <v>-193.54650000000001</v>
      </c>
      <c r="H3650" s="1">
        <v>-1.706696E-6</v>
      </c>
      <c r="I3650">
        <v>171.36779999999999</v>
      </c>
      <c r="J3650">
        <v>-190.63640000000001</v>
      </c>
      <c r="K3650">
        <v>1.104986</v>
      </c>
      <c r="L3650">
        <v>181.27340000000001</v>
      </c>
      <c r="M3650">
        <v>-5.9236730000000001E-2</v>
      </c>
      <c r="N3650">
        <v>0</v>
      </c>
      <c r="O3650">
        <v>-0.99816360000000004</v>
      </c>
      <c r="P3650">
        <v>-0.14502689999999999</v>
      </c>
      <c r="Q3650">
        <v>3.9078420000000003E-2</v>
      </c>
      <c r="R3650">
        <v>-0.98865590000000003</v>
      </c>
      <c r="S3650">
        <v>-0.84387209999999901</v>
      </c>
      <c r="T3650">
        <v>-0.31898080000000001</v>
      </c>
      <c r="U3650">
        <v>-2.9252319999999998</v>
      </c>
      <c r="V3650">
        <v>8.6176799999999998E-2</v>
      </c>
      <c r="W3650">
        <v>5.1743589999999999E-2</v>
      </c>
      <c r="X3650">
        <v>0.99493529999999997</v>
      </c>
      <c r="Y3650">
        <v>0.21824789999999999</v>
      </c>
      <c r="Z3650">
        <v>0.10470359999999999</v>
      </c>
      <c r="AA3650">
        <v>0.97026029999999996</v>
      </c>
      <c r="AB3650">
        <v>25</v>
      </c>
      <c r="AC3650">
        <v>-2.9100999999999999</v>
      </c>
      <c r="AD3650">
        <v>-1.1049877066960001</v>
      </c>
      <c r="AE3650">
        <v>-9.9056000000000193</v>
      </c>
      <c r="AF3650">
        <v>2.2919123496434599</v>
      </c>
      <c r="AG3650">
        <v>-1.1049877066960001</v>
      </c>
      <c r="AH3650">
        <v>9.9466609339655001</v>
      </c>
      <c r="AI3650">
        <v>96.178475691926394</v>
      </c>
      <c r="AJ3650">
        <v>77.024367424186394</v>
      </c>
      <c r="AK3650">
        <v>10.266933514232599</v>
      </c>
    </row>
    <row r="3651" spans="1:37" x14ac:dyDescent="0.2">
      <c r="A3651" t="str">
        <f>"20200111153723181"</f>
        <v>20200111153723181</v>
      </c>
      <c r="B3651" t="str">
        <f>"1578728243177249"</f>
        <v>1578728243177249</v>
      </c>
      <c r="C3651" t="s">
        <v>37</v>
      </c>
      <c r="D3651">
        <v>6.0572109999999997</v>
      </c>
      <c r="E3651">
        <v>0.552597</v>
      </c>
      <c r="F3651" t="s">
        <v>39</v>
      </c>
      <c r="G3651">
        <v>-193.5813</v>
      </c>
      <c r="H3651" s="1">
        <v>-1.6392830000000001E-6</v>
      </c>
      <c r="I3651">
        <v>171.1891</v>
      </c>
      <c r="J3651">
        <v>-190.64519999999999</v>
      </c>
      <c r="K3651">
        <v>1.1049789999999999</v>
      </c>
      <c r="L3651">
        <v>181.1234</v>
      </c>
      <c r="M3651">
        <v>-5.9062070000000001E-2</v>
      </c>
      <c r="N3651">
        <v>0</v>
      </c>
      <c r="O3651">
        <v>-0.9981738</v>
      </c>
      <c r="P3651">
        <v>-0.14596609999999999</v>
      </c>
      <c r="Q3651">
        <v>3.8494099999999899E-2</v>
      </c>
      <c r="R3651">
        <v>-0.98854039999999999</v>
      </c>
      <c r="S3651">
        <v>-0.85325620000000002</v>
      </c>
      <c r="T3651">
        <v>-0.32016749999999999</v>
      </c>
      <c r="U3651">
        <v>-2.9219059999999999</v>
      </c>
      <c r="V3651">
        <v>8.7296460000000006E-2</v>
      </c>
      <c r="W3651">
        <v>5.1153560000000001E-2</v>
      </c>
      <c r="X3651">
        <v>0.99486819999999898</v>
      </c>
      <c r="Y3651">
        <v>0.2215731</v>
      </c>
      <c r="Z3651">
        <v>0.1051184</v>
      </c>
      <c r="AA3651">
        <v>0.96946139999999903</v>
      </c>
      <c r="AB3651">
        <v>25</v>
      </c>
      <c r="AC3651">
        <v>-2.9361000000000099</v>
      </c>
      <c r="AD3651">
        <v>-1.1049806392829999</v>
      </c>
      <c r="AE3651">
        <v>-9.9343000000000004</v>
      </c>
      <c r="AF3651">
        <v>2.31781413962872</v>
      </c>
      <c r="AG3651">
        <v>-1.1049806392829999</v>
      </c>
      <c r="AH3651">
        <v>9.9768645585853797</v>
      </c>
      <c r="AI3651">
        <v>96.1573279343622</v>
      </c>
      <c r="AJ3651">
        <v>76.921112059748097</v>
      </c>
      <c r="AK3651">
        <v>10.3019935458827</v>
      </c>
    </row>
    <row r="3652" spans="1:37" x14ac:dyDescent="0.2">
      <c r="A3652" t="str">
        <f>"20200111153723200"</f>
        <v>20200111153723200</v>
      </c>
      <c r="B3652" t="str">
        <f>"1578728243196769"</f>
        <v>1578728243196769</v>
      </c>
      <c r="C3652" t="s">
        <v>37</v>
      </c>
      <c r="D3652">
        <v>6.0599530000000001</v>
      </c>
      <c r="E3652">
        <v>0.55231209999999997</v>
      </c>
      <c r="F3652" t="s">
        <v>39</v>
      </c>
      <c r="G3652">
        <v>-193.5719</v>
      </c>
      <c r="H3652" s="1">
        <v>-1.5996750000000001E-6</v>
      </c>
      <c r="I3652">
        <v>171.1026</v>
      </c>
      <c r="J3652">
        <v>-190.65790000000001</v>
      </c>
      <c r="K3652">
        <v>1.104976</v>
      </c>
      <c r="L3652">
        <v>180.904</v>
      </c>
      <c r="M3652">
        <v>-5.8815800000000001E-2</v>
      </c>
      <c r="N3652">
        <v>0</v>
      </c>
      <c r="O3652">
        <v>-0.99818850000000003</v>
      </c>
      <c r="P3652">
        <v>-0.1476317</v>
      </c>
      <c r="Q3652">
        <v>3.7966550000000002E-2</v>
      </c>
      <c r="R3652">
        <v>-0.98831380000000002</v>
      </c>
      <c r="S3652">
        <v>-0.85321039999999904</v>
      </c>
      <c r="T3652">
        <v>-0.32213309999999901</v>
      </c>
      <c r="U3652">
        <v>-2.9213259999999899</v>
      </c>
      <c r="V3652">
        <v>8.9219209999999993E-2</v>
      </c>
      <c r="W3652">
        <v>5.0625440000000001E-2</v>
      </c>
      <c r="X3652">
        <v>0.99472459999999996</v>
      </c>
      <c r="Y3652">
        <v>0.2218319</v>
      </c>
      <c r="Z3652">
        <v>0.1057757</v>
      </c>
      <c r="AA3652">
        <v>0.96933069999999899</v>
      </c>
      <c r="AB3652">
        <v>25</v>
      </c>
      <c r="AC3652">
        <v>-2.9139999999999802</v>
      </c>
      <c r="AD3652">
        <v>-1.104977599675</v>
      </c>
      <c r="AE3652">
        <v>-9.8014000000000294</v>
      </c>
      <c r="AF3652">
        <v>2.3055088471626601</v>
      </c>
      <c r="AG3652">
        <v>-1.104977599675</v>
      </c>
      <c r="AH3652">
        <v>9.8409162680947109</v>
      </c>
      <c r="AI3652">
        <v>96.239021593191893</v>
      </c>
      <c r="AJ3652">
        <v>76.814665060191999</v>
      </c>
      <c r="AK3652">
        <v>10.1675945796328</v>
      </c>
    </row>
    <row r="3653" spans="1:37" x14ac:dyDescent="0.2">
      <c r="A3653" t="str">
        <f>"20200111153723214"</f>
        <v>20200111153723214</v>
      </c>
      <c r="B3653" t="str">
        <f>"1578728243206529"</f>
        <v>1578728243206529</v>
      </c>
      <c r="C3653" t="s">
        <v>37</v>
      </c>
      <c r="D3653">
        <v>6.0790620000000004</v>
      </c>
      <c r="E3653">
        <v>0.5522224</v>
      </c>
      <c r="F3653" t="s">
        <v>39</v>
      </c>
      <c r="G3653">
        <v>-193.56819999999999</v>
      </c>
      <c r="H3653" s="1">
        <v>-1.5402220000000001E-6</v>
      </c>
      <c r="I3653">
        <v>170.96629999999999</v>
      </c>
      <c r="J3653">
        <v>-190.66730000000001</v>
      </c>
      <c r="K3653">
        <v>1.104975</v>
      </c>
      <c r="L3653">
        <v>180.73990000000001</v>
      </c>
      <c r="M3653">
        <v>-5.8634770000000003E-2</v>
      </c>
      <c r="N3653">
        <v>0</v>
      </c>
      <c r="O3653">
        <v>-0.99819899999999995</v>
      </c>
      <c r="P3653">
        <v>-0.1481827</v>
      </c>
      <c r="Q3653">
        <v>3.8107479999999999E-2</v>
      </c>
      <c r="R3653">
        <v>-0.98822589999999999</v>
      </c>
      <c r="S3653">
        <v>-0.85520940000000001</v>
      </c>
      <c r="T3653">
        <v>-0.32469429999999999</v>
      </c>
      <c r="U3653">
        <v>-2.9201809999999999</v>
      </c>
      <c r="V3653">
        <v>8.9955419999999994E-2</v>
      </c>
      <c r="W3653">
        <v>5.0772589999999999E-2</v>
      </c>
      <c r="X3653">
        <v>0.99465079999999995</v>
      </c>
      <c r="Y3653">
        <v>0.22269649999999999</v>
      </c>
      <c r="Z3653">
        <v>0.10662770000000001</v>
      </c>
      <c r="AA3653">
        <v>0.96903909999999904</v>
      </c>
      <c r="AB3653">
        <v>25</v>
      </c>
      <c r="AC3653">
        <v>-2.9008999999999698</v>
      </c>
      <c r="AD3653">
        <v>-1.104976540222</v>
      </c>
      <c r="AE3653">
        <v>-9.7736000000000107</v>
      </c>
      <c r="AF3653">
        <v>2.2958201848129201</v>
      </c>
      <c r="AG3653">
        <v>-1.104976540222</v>
      </c>
      <c r="AH3653">
        <v>9.8116311357289892</v>
      </c>
      <c r="AI3653">
        <v>96.257887113893801</v>
      </c>
      <c r="AJ3653">
        <v>76.830320055714694</v>
      </c>
      <c r="AK3653">
        <v>10.1370542574774</v>
      </c>
    </row>
    <row r="3654" spans="1:37" x14ac:dyDescent="0.2">
      <c r="A3654" t="str">
        <f>"20200111153723235"</f>
        <v>20200111153723235</v>
      </c>
      <c r="B3654" t="str">
        <f>"1578728243227024"</f>
        <v>1578728243227024</v>
      </c>
      <c r="C3654" t="s">
        <v>37</v>
      </c>
      <c r="D3654">
        <v>6.0721299999999996</v>
      </c>
      <c r="E3654">
        <v>0.55213789999999996</v>
      </c>
      <c r="F3654" t="s">
        <v>38</v>
      </c>
      <c r="G3654">
        <v>-190.89080000000001</v>
      </c>
      <c r="H3654">
        <v>1.0202869999999999</v>
      </c>
      <c r="I3654">
        <v>179.97720000000001</v>
      </c>
      <c r="J3654">
        <v>-190.68039999999999</v>
      </c>
      <c r="K3654">
        <v>1.1049819999999999</v>
      </c>
      <c r="L3654">
        <v>180.51179999999999</v>
      </c>
      <c r="M3654">
        <v>-5.8381870000000002E-2</v>
      </c>
      <c r="N3654">
        <v>0</v>
      </c>
      <c r="O3654">
        <v>-0.99821349999999998</v>
      </c>
      <c r="P3654">
        <v>-0.1489161</v>
      </c>
      <c r="Q3654">
        <v>3.9469789999999998E-2</v>
      </c>
      <c r="R3654">
        <v>-0.988062</v>
      </c>
      <c r="S3654">
        <v>-0.85592649999999904</v>
      </c>
      <c r="T3654">
        <v>-0.32421729999999999</v>
      </c>
      <c r="U3654">
        <v>-2.9199069999999998</v>
      </c>
      <c r="V3654">
        <v>9.0949530000000001E-2</v>
      </c>
      <c r="W3654">
        <v>5.2148350000000003E-2</v>
      </c>
      <c r="X3654">
        <v>0.99448919999999996</v>
      </c>
      <c r="Y3654">
        <v>0.223191799999999</v>
      </c>
      <c r="Z3654">
        <v>0.106475</v>
      </c>
      <c r="AA3654">
        <v>0.96894190000000002</v>
      </c>
      <c r="AB3654">
        <v>25</v>
      </c>
      <c r="AC3654">
        <v>-0.21040000000002099</v>
      </c>
      <c r="AD3654">
        <v>-8.4694999999999701E-2</v>
      </c>
      <c r="AE3654">
        <v>-0.53459999999998298</v>
      </c>
      <c r="AF3654">
        <v>0.175023843705535</v>
      </c>
      <c r="AG3654">
        <v>-8.4694999999999701E-2</v>
      </c>
      <c r="AH3654">
        <v>0.53435940966856499</v>
      </c>
      <c r="AI3654">
        <v>98.565747336706494</v>
      </c>
      <c r="AJ3654">
        <v>71.864331747069002</v>
      </c>
      <c r="AK3654">
        <v>0.568635707278216</v>
      </c>
    </row>
    <row r="3655" spans="1:37" x14ac:dyDescent="0.2">
      <c r="A3655" t="str">
        <f>"20200111153723249"</f>
        <v>20200111153723249</v>
      </c>
      <c r="B3655" t="str">
        <f>"1578728243236785"</f>
        <v>1578728243236785</v>
      </c>
      <c r="C3655" t="s">
        <v>37</v>
      </c>
      <c r="D3655">
        <v>6.1044710000000002</v>
      </c>
      <c r="E3655">
        <v>0.5521855</v>
      </c>
      <c r="F3655" t="s">
        <v>39</v>
      </c>
      <c r="G3655">
        <v>-193.6361</v>
      </c>
      <c r="H3655" s="1">
        <v>-1.3326050000000001E-6</v>
      </c>
      <c r="I3655">
        <v>170.4402</v>
      </c>
      <c r="J3655">
        <v>-190.68899999999999</v>
      </c>
      <c r="K3655">
        <v>1.1049850000000001</v>
      </c>
      <c r="L3655">
        <v>180.36109999999999</v>
      </c>
      <c r="M3655">
        <v>-5.8213139999999997E-2</v>
      </c>
      <c r="N3655">
        <v>0</v>
      </c>
      <c r="O3655">
        <v>-0.99822319999999998</v>
      </c>
      <c r="P3655">
        <v>-0.149312</v>
      </c>
      <c r="Q3655">
        <v>3.9714619999999999E-2</v>
      </c>
      <c r="R3655">
        <v>-0.98799230000000005</v>
      </c>
      <c r="S3655">
        <v>-0.85690309999999903</v>
      </c>
      <c r="T3655">
        <v>-0.3203473</v>
      </c>
      <c r="U3655">
        <v>-2.919861</v>
      </c>
      <c r="V3655">
        <v>9.151745E-2</v>
      </c>
      <c r="W3655">
        <v>5.2408820000000002E-2</v>
      </c>
      <c r="X3655">
        <v>0.99442339999999996</v>
      </c>
      <c r="Y3655">
        <v>0.223696799999999</v>
      </c>
      <c r="Z3655">
        <v>0.10521079999999999</v>
      </c>
      <c r="AA3655">
        <v>0.96896360000000004</v>
      </c>
      <c r="AB3655">
        <v>25</v>
      </c>
      <c r="AC3655">
        <v>-2.9470999999999701</v>
      </c>
      <c r="AD3655">
        <v>-1.104986332605</v>
      </c>
      <c r="AE3655">
        <v>-9.9208999999999801</v>
      </c>
      <c r="AF3655">
        <v>2.3378774044164601</v>
      </c>
      <c r="AG3655">
        <v>-1.104986332605</v>
      </c>
      <c r="AH3655">
        <v>9.9620843833073494</v>
      </c>
      <c r="AI3655">
        <v>96.163229539410494</v>
      </c>
      <c r="AJ3655">
        <v>76.792959027949607</v>
      </c>
      <c r="AK3655">
        <v>10.2922199166876</v>
      </c>
    </row>
    <row r="3656" spans="1:37" x14ac:dyDescent="0.2">
      <c r="A3656" t="str">
        <f>"20200111153723267"</f>
        <v>20200111153723267</v>
      </c>
      <c r="B3656" t="str">
        <f>"1578728243256305"</f>
        <v>1578728243256305</v>
      </c>
      <c r="C3656" t="s">
        <v>37</v>
      </c>
      <c r="D3656">
        <v>6.106439</v>
      </c>
      <c r="E3656">
        <v>0.55180839999999998</v>
      </c>
      <c r="F3656" t="s">
        <v>39</v>
      </c>
      <c r="G3656">
        <v>-193.67019999999999</v>
      </c>
      <c r="H3656" s="1">
        <v>-1.247356E-6</v>
      </c>
      <c r="I3656">
        <v>170.22040000000001</v>
      </c>
      <c r="J3656">
        <v>-190.70079999999999</v>
      </c>
      <c r="K3656">
        <v>1.104986</v>
      </c>
      <c r="L3656">
        <v>180.15530000000001</v>
      </c>
      <c r="M3656">
        <v>-5.7981270000000001E-2</v>
      </c>
      <c r="N3656">
        <v>0</v>
      </c>
      <c r="O3656">
        <v>-0.99823639999999902</v>
      </c>
      <c r="P3656">
        <v>-0.14930399999999999</v>
      </c>
      <c r="Q3656">
        <v>4.0000069999999999E-2</v>
      </c>
      <c r="R3656">
        <v>-0.98798209999999997</v>
      </c>
      <c r="S3656">
        <v>-0.85827640000000005</v>
      </c>
      <c r="T3656">
        <v>-0.31812760000000001</v>
      </c>
      <c r="U3656">
        <v>-2.9195250000000001</v>
      </c>
      <c r="V3656">
        <v>9.1741680000000006E-2</v>
      </c>
      <c r="W3656">
        <v>5.2725000000000001E-2</v>
      </c>
      <c r="X3656">
        <v>0.99438599999999999</v>
      </c>
      <c r="Y3656">
        <v>0.22439419999999999</v>
      </c>
      <c r="Z3656">
        <v>0.1044882</v>
      </c>
      <c r="AA3656">
        <v>0.96888050000000003</v>
      </c>
      <c r="AB3656">
        <v>25</v>
      </c>
      <c r="AC3656">
        <v>-2.9693999999999998</v>
      </c>
      <c r="AD3656">
        <v>-1.1049872473559901</v>
      </c>
      <c r="AE3656">
        <v>-9.9349000000000007</v>
      </c>
      <c r="AF3656">
        <v>2.3615015107880302</v>
      </c>
      <c r="AG3656">
        <v>-1.1049872473559901</v>
      </c>
      <c r="AH3656">
        <v>9.9770670744280494</v>
      </c>
      <c r="AI3656">
        <v>96.151302747381806</v>
      </c>
      <c r="AJ3656">
        <v>76.683560664102998</v>
      </c>
      <c r="AK3656">
        <v>10.3121071372397</v>
      </c>
    </row>
    <row r="3657" spans="1:37" x14ac:dyDescent="0.2">
      <c r="A3657" t="str">
        <f>"20200111153723290"</f>
        <v>20200111153723290</v>
      </c>
      <c r="B3657" t="str">
        <f>"1578728243286540"</f>
        <v>1578728243286540</v>
      </c>
      <c r="C3657" t="s">
        <v>37</v>
      </c>
      <c r="D3657">
        <v>6.1290809999999896</v>
      </c>
      <c r="E3657">
        <v>0.55164650000000004</v>
      </c>
      <c r="F3657" t="s">
        <v>39</v>
      </c>
      <c r="G3657">
        <v>-193.67670000000001</v>
      </c>
      <c r="H3657" s="1">
        <v>-1.1506729999999999E-6</v>
      </c>
      <c r="I3657">
        <v>169.99099999999899</v>
      </c>
      <c r="J3657">
        <v>-190.715</v>
      </c>
      <c r="K3657">
        <v>1.1049899999999999</v>
      </c>
      <c r="L3657">
        <v>179.904</v>
      </c>
      <c r="M3657">
        <v>-5.7697199999999997E-2</v>
      </c>
      <c r="N3657">
        <v>0</v>
      </c>
      <c r="O3657">
        <v>-0.99825209999999998</v>
      </c>
      <c r="P3657">
        <v>-0.149303399999999</v>
      </c>
      <c r="Q3657">
        <v>3.9674599999999997E-2</v>
      </c>
      <c r="R3657">
        <v>-0.98799530000000002</v>
      </c>
      <c r="S3657">
        <v>-0.85496519999999998</v>
      </c>
      <c r="T3657">
        <v>-0.31745800000000002</v>
      </c>
      <c r="U3657">
        <v>-2.920166</v>
      </c>
      <c r="V3657">
        <v>9.2024049999999996E-2</v>
      </c>
      <c r="W3657">
        <v>5.244882E-2</v>
      </c>
      <c r="X3657">
        <v>0.99437450000000005</v>
      </c>
      <c r="Y3657">
        <v>0.22360839999999901</v>
      </c>
      <c r="Z3657">
        <v>0.10427739999999899</v>
      </c>
      <c r="AA3657">
        <v>0.96908490000000003</v>
      </c>
      <c r="AB3657">
        <v>25</v>
      </c>
      <c r="AC3657">
        <v>-2.9617</v>
      </c>
      <c r="AD3657">
        <v>-1.1049911506729999</v>
      </c>
      <c r="AE3657">
        <v>-9.9130000000000393</v>
      </c>
      <c r="AF3657">
        <v>2.3578697788741798</v>
      </c>
      <c r="AG3657">
        <v>-1.1049911506729999</v>
      </c>
      <c r="AH3657">
        <v>9.9538350832104001</v>
      </c>
      <c r="AI3657">
        <v>96.165313581620296</v>
      </c>
      <c r="AJ3657">
        <v>76.673383850808804</v>
      </c>
      <c r="AK3657">
        <v>10.288799162241601</v>
      </c>
    </row>
    <row r="3658" spans="1:37" x14ac:dyDescent="0.2">
      <c r="A3658" t="str">
        <f>"20200111153723313"</f>
        <v>20200111153723313</v>
      </c>
      <c r="B3658" t="str">
        <f>"1578728243307037"</f>
        <v>1578728243307037</v>
      </c>
      <c r="C3658" t="s">
        <v>37</v>
      </c>
      <c r="D3658">
        <v>6.1237529999999998</v>
      </c>
      <c r="E3658">
        <v>0.55159769999999997</v>
      </c>
      <c r="F3658" t="s">
        <v>39</v>
      </c>
      <c r="G3658">
        <v>-193.6728</v>
      </c>
      <c r="H3658" s="1">
        <v>-1.061044E-6</v>
      </c>
      <c r="I3658">
        <v>169.78450000000001</v>
      </c>
      <c r="J3658">
        <v>-190.72970000000001</v>
      </c>
      <c r="K3658">
        <v>1.1049979999999999</v>
      </c>
      <c r="L3658">
        <v>179.64420000000001</v>
      </c>
      <c r="M3658">
        <v>-5.7404129999999998E-2</v>
      </c>
      <c r="N3658">
        <v>0</v>
      </c>
      <c r="O3658">
        <v>-0.9982683</v>
      </c>
      <c r="P3658">
        <v>-0.14947460000000001</v>
      </c>
      <c r="Q3658">
        <v>3.862314E-2</v>
      </c>
      <c r="R3658">
        <v>-0.98801090000000003</v>
      </c>
      <c r="S3658">
        <v>-0.85353089999999998</v>
      </c>
      <c r="T3658">
        <v>-0.31887459999999901</v>
      </c>
      <c r="U3658">
        <v>-2.920258</v>
      </c>
      <c r="V3658">
        <v>9.2486670000000007E-2</v>
      </c>
      <c r="W3658">
        <v>5.1449290000000002E-2</v>
      </c>
      <c r="X3658">
        <v>0.99438379999999904</v>
      </c>
      <c r="Y3658">
        <v>0.22343389999999999</v>
      </c>
      <c r="Z3658">
        <v>0.10474609999999999</v>
      </c>
      <c r="AA3658">
        <v>0.96907459999999901</v>
      </c>
      <c r="AB3658">
        <v>25</v>
      </c>
      <c r="AC3658">
        <v>-2.9430999999999798</v>
      </c>
      <c r="AD3658">
        <v>-1.1049990610439999</v>
      </c>
      <c r="AE3658">
        <v>-9.8597000000000001</v>
      </c>
      <c r="AF3658">
        <v>2.3451659225189401</v>
      </c>
      <c r="AG3658">
        <v>-1.1049990610439999</v>
      </c>
      <c r="AH3658">
        <v>9.8982461627182996</v>
      </c>
      <c r="AI3658">
        <v>96.199648668923103</v>
      </c>
      <c r="AJ3658">
        <v>76.670840304801501</v>
      </c>
      <c r="AK3658">
        <v>10.2321113767794</v>
      </c>
    </row>
    <row r="3659" spans="1:37" x14ac:dyDescent="0.2">
      <c r="A3659" t="str">
        <f>"20200111153723336"</f>
        <v>20200111153723336</v>
      </c>
      <c r="B3659" t="str">
        <f>"1578728243326556"</f>
        <v>1578728243326556</v>
      </c>
      <c r="C3659" t="s">
        <v>37</v>
      </c>
      <c r="D3659">
        <v>6.1310320000000003</v>
      </c>
      <c r="E3659">
        <v>0.55168649999999997</v>
      </c>
      <c r="F3659" t="s">
        <v>39</v>
      </c>
      <c r="G3659">
        <v>-193.65530000000001</v>
      </c>
      <c r="H3659" s="1">
        <v>-9.9200790000000006E-7</v>
      </c>
      <c r="I3659">
        <v>169.6344</v>
      </c>
      <c r="J3659">
        <v>-190.7439</v>
      </c>
      <c r="K3659">
        <v>1.105008</v>
      </c>
      <c r="L3659">
        <v>179.39330000000001</v>
      </c>
      <c r="M3659">
        <v>-5.7123199999999999E-2</v>
      </c>
      <c r="N3659">
        <v>0</v>
      </c>
      <c r="O3659">
        <v>-0.99828379999999906</v>
      </c>
      <c r="P3659">
        <v>-0.14993099999999901</v>
      </c>
      <c r="Q3659">
        <v>3.9098880000000003E-2</v>
      </c>
      <c r="R3659">
        <v>-0.98792309999999905</v>
      </c>
      <c r="S3659">
        <v>-0.85339359999999997</v>
      </c>
      <c r="T3659">
        <v>-0.32233089999999998</v>
      </c>
      <c r="U3659">
        <v>-2.9198759999999999</v>
      </c>
      <c r="V3659">
        <v>9.3226870000000003E-2</v>
      </c>
      <c r="W3659">
        <v>5.197073E-2</v>
      </c>
      <c r="X3659">
        <v>0.99428760000000005</v>
      </c>
      <c r="Y3659">
        <v>0.22366649999999999</v>
      </c>
      <c r="Z3659">
        <v>0.105881999999999</v>
      </c>
      <c r="AA3659">
        <v>0.96889749999999997</v>
      </c>
      <c r="AB3659">
        <v>25</v>
      </c>
      <c r="AC3659">
        <v>-2.9114000000000102</v>
      </c>
      <c r="AD3659">
        <v>-1.10500899200789</v>
      </c>
      <c r="AE3659">
        <v>-9.7589000000000095</v>
      </c>
      <c r="AF3659">
        <v>2.3218038387013</v>
      </c>
      <c r="AG3659">
        <v>-1.10500899200789</v>
      </c>
      <c r="AH3659">
        <v>9.7939765488242596</v>
      </c>
      <c r="AI3659">
        <v>96.264994573618196</v>
      </c>
      <c r="AJ3659">
        <v>76.663405607211899</v>
      </c>
      <c r="AK3659">
        <v>10.125897223295601</v>
      </c>
    </row>
    <row r="3660" spans="1:37" x14ac:dyDescent="0.2">
      <c r="A3660" t="str">
        <f>"20200111153723356"</f>
        <v>20200111153723356</v>
      </c>
      <c r="B3660" t="str">
        <f>"1578728243347052"</f>
        <v>1578728243347052</v>
      </c>
      <c r="C3660" t="s">
        <v>37</v>
      </c>
      <c r="D3660">
        <v>6.1234549999999999</v>
      </c>
      <c r="E3660">
        <v>0.55178990000000006</v>
      </c>
      <c r="F3660" t="s">
        <v>39</v>
      </c>
      <c r="G3660">
        <v>-193.6763</v>
      </c>
      <c r="H3660" s="1">
        <v>-5.2954290000000003E-6</v>
      </c>
      <c r="I3660">
        <v>169.3776</v>
      </c>
      <c r="J3660">
        <v>-190.75710000000001</v>
      </c>
      <c r="K3660">
        <v>1.1050089999999999</v>
      </c>
      <c r="L3660">
        <v>179.15700000000001</v>
      </c>
      <c r="M3660">
        <v>-5.6859609999999998E-2</v>
      </c>
      <c r="N3660">
        <v>0</v>
      </c>
      <c r="O3660">
        <v>-0.99829829999999997</v>
      </c>
      <c r="P3660">
        <v>-0.15157390000000001</v>
      </c>
      <c r="Q3660">
        <v>3.8814019999999998E-2</v>
      </c>
      <c r="R3660">
        <v>-0.9876838</v>
      </c>
      <c r="S3660">
        <v>-0.85482789999999997</v>
      </c>
      <c r="T3660">
        <v>-0.32211809999999902</v>
      </c>
      <c r="U3660">
        <v>-2.91966199999999</v>
      </c>
      <c r="V3660">
        <v>9.5143220000000001E-2</v>
      </c>
      <c r="W3660">
        <v>5.1726439999999999E-2</v>
      </c>
      <c r="X3660">
        <v>0.99411879999999997</v>
      </c>
      <c r="Y3660">
        <v>0.22438350000000001</v>
      </c>
      <c r="Z3660">
        <v>0.1058067</v>
      </c>
      <c r="AA3660">
        <v>0.96873989999999999</v>
      </c>
      <c r="AB3660">
        <v>25</v>
      </c>
      <c r="AC3660">
        <v>-2.91919999999998</v>
      </c>
      <c r="AD3660">
        <v>-1.1050142954289901</v>
      </c>
      <c r="AE3660">
        <v>-9.7794000000000096</v>
      </c>
      <c r="AF3660">
        <v>2.3310499644432099</v>
      </c>
      <c r="AG3660">
        <v>-1.1050142954289901</v>
      </c>
      <c r="AH3660">
        <v>9.8145182228795491</v>
      </c>
      <c r="AI3660">
        <v>96.251394453047496</v>
      </c>
      <c r="AJ3660">
        <v>76.6392185163958</v>
      </c>
      <c r="AK3660">
        <v>10.147887389849499</v>
      </c>
    </row>
    <row r="3661" spans="1:37" x14ac:dyDescent="0.2">
      <c r="A3661" t="str">
        <f>"20200111153723379"</f>
        <v>20200111153723379</v>
      </c>
      <c r="B3661" t="str">
        <f>"1578728243366614"</f>
        <v>1578728243366614</v>
      </c>
      <c r="C3661" t="s">
        <v>37</v>
      </c>
      <c r="D3661">
        <v>6.1418169999999996</v>
      </c>
      <c r="E3661">
        <v>0.55179009999999995</v>
      </c>
      <c r="F3661" t="s">
        <v>39</v>
      </c>
      <c r="G3661">
        <v>-193.6909</v>
      </c>
      <c r="H3661" s="1">
        <v>-5.2301320000000002E-6</v>
      </c>
      <c r="I3661">
        <v>169.20079999999999</v>
      </c>
      <c r="J3661">
        <v>-190.7706</v>
      </c>
      <c r="K3661">
        <v>1.1050040000000001</v>
      </c>
      <c r="L3661">
        <v>178.91550000000001</v>
      </c>
      <c r="M3661">
        <v>-5.6589809999999997E-2</v>
      </c>
      <c r="N3661">
        <v>0</v>
      </c>
      <c r="O3661">
        <v>-0.99831309999999995</v>
      </c>
      <c r="P3661">
        <v>-0.154410299999999</v>
      </c>
      <c r="Q3661">
        <v>3.6361930000000001E-2</v>
      </c>
      <c r="R3661">
        <v>-0.98733780000000004</v>
      </c>
      <c r="S3661">
        <v>-0.85990909999999998</v>
      </c>
      <c r="T3661">
        <v>-0.32388289999999997</v>
      </c>
      <c r="U3661">
        <v>-2.9181979999999998</v>
      </c>
      <c r="V3661">
        <v>9.8264210000000005E-2</v>
      </c>
      <c r="W3661">
        <v>4.9313870000000003E-2</v>
      </c>
      <c r="X3661">
        <v>0.99393779999999998</v>
      </c>
      <c r="Y3661">
        <v>0.22631289999999901</v>
      </c>
      <c r="Z3661">
        <v>0.106383399999999</v>
      </c>
      <c r="AA3661">
        <v>0.96822779999999997</v>
      </c>
      <c r="AB3661">
        <v>25</v>
      </c>
      <c r="AC3661">
        <v>-2.9202999999999899</v>
      </c>
      <c r="AD3661">
        <v>-1.105009230132</v>
      </c>
      <c r="AE3661">
        <v>-9.7147000000000201</v>
      </c>
      <c r="AF3661">
        <v>2.3380766703409601</v>
      </c>
      <c r="AG3661">
        <v>-1.105009230132</v>
      </c>
      <c r="AH3661">
        <v>9.7487252354121399</v>
      </c>
      <c r="AI3661">
        <v>96.2899435523628</v>
      </c>
      <c r="AJ3661">
        <v>76.513255140700494</v>
      </c>
      <c r="AK3661">
        <v>10.0858956781552</v>
      </c>
    </row>
    <row r="3662" spans="1:37" x14ac:dyDescent="0.2">
      <c r="A3662" t="str">
        <f>"20200111153723401"</f>
        <v>20200111153723401</v>
      </c>
      <c r="B3662" t="str">
        <f>"1578728243396870"</f>
        <v>1578728243396870</v>
      </c>
      <c r="C3662" t="s">
        <v>37</v>
      </c>
      <c r="D3662">
        <v>6.1287120000000002</v>
      </c>
      <c r="E3662">
        <v>0.55179909999999999</v>
      </c>
      <c r="F3662" t="s">
        <v>38</v>
      </c>
      <c r="G3662">
        <v>-190.98240000000001</v>
      </c>
      <c r="H3662">
        <v>1.023703</v>
      </c>
      <c r="I3662">
        <v>178.20339999999999</v>
      </c>
      <c r="J3662">
        <v>-190.7843</v>
      </c>
      <c r="K3662">
        <v>1.105002</v>
      </c>
      <c r="L3662">
        <v>178.66839999999999</v>
      </c>
      <c r="M3662">
        <v>-5.6311260000000002E-2</v>
      </c>
      <c r="N3662">
        <v>0</v>
      </c>
      <c r="O3662">
        <v>-0.9983284</v>
      </c>
      <c r="P3662">
        <v>-0.158210299999999</v>
      </c>
      <c r="Q3662">
        <v>3.3098740000000001E-2</v>
      </c>
      <c r="R3662">
        <v>-0.98685040000000002</v>
      </c>
      <c r="S3662">
        <v>-0.86636349999999995</v>
      </c>
      <c r="T3662">
        <v>-0.33291850000000001</v>
      </c>
      <c r="U3662">
        <v>-2.9152369999999999</v>
      </c>
      <c r="V3662">
        <v>0.10236439999999999</v>
      </c>
      <c r="W3662">
        <v>4.6086969999999998E-2</v>
      </c>
      <c r="X3662">
        <v>0.99367879999999997</v>
      </c>
      <c r="Y3662">
        <v>0.2287295</v>
      </c>
      <c r="Z3662">
        <v>0.1093585</v>
      </c>
      <c r="AA3662">
        <v>0.96732809999999902</v>
      </c>
      <c r="AB3662">
        <v>25</v>
      </c>
      <c r="AC3662">
        <v>-0.19810000000000999</v>
      </c>
      <c r="AD3662">
        <v>-8.1298999999999996E-2</v>
      </c>
      <c r="AE3662">
        <v>-0.46500000000000302</v>
      </c>
      <c r="AF3662">
        <v>0.16727099556486599</v>
      </c>
      <c r="AG3662">
        <v>-8.1298999999999996E-2</v>
      </c>
      <c r="AH3662">
        <v>0.46342835035610003</v>
      </c>
      <c r="AI3662">
        <v>99.369930479249703</v>
      </c>
      <c r="AJ3662">
        <v>70.153331454159797</v>
      </c>
      <c r="AK3662">
        <v>0.49935453264392998</v>
      </c>
    </row>
    <row r="3663" spans="1:37" x14ac:dyDescent="0.2">
      <c r="A3663" t="str">
        <f>"20200111153723425"</f>
        <v>20200111153723425</v>
      </c>
      <c r="B3663" t="str">
        <f>"1578728243416392"</f>
        <v>1578728243416392</v>
      </c>
      <c r="C3663" t="s">
        <v>37</v>
      </c>
      <c r="D3663">
        <v>6.1291399999999996</v>
      </c>
      <c r="E3663">
        <v>0.55171110000000001</v>
      </c>
      <c r="F3663" t="s">
        <v>39</v>
      </c>
      <c r="G3663">
        <v>-193.59270000000001</v>
      </c>
      <c r="H3663" s="1">
        <v>-5.2630689999999998E-6</v>
      </c>
      <c r="I3663">
        <v>169.33189999999999</v>
      </c>
      <c r="J3663">
        <v>-190.79859999999999</v>
      </c>
      <c r="K3663">
        <v>1.1049979999999999</v>
      </c>
      <c r="L3663">
        <v>178.40880000000001</v>
      </c>
      <c r="M3663">
        <v>-5.6017440000000002E-2</v>
      </c>
      <c r="N3663">
        <v>0</v>
      </c>
      <c r="O3663">
        <v>-0.99834460000000003</v>
      </c>
      <c r="P3663">
        <v>-0.1622835</v>
      </c>
      <c r="Q3663">
        <v>3.1277659999999999E-2</v>
      </c>
      <c r="R3663">
        <v>-0.98624849999999997</v>
      </c>
      <c r="S3663">
        <v>-0.87567139999999999</v>
      </c>
      <c r="T3663">
        <v>-0.34454899999999999</v>
      </c>
      <c r="U3663">
        <v>-2.9111630000000002</v>
      </c>
      <c r="V3663">
        <v>0.1067583</v>
      </c>
      <c r="W3663">
        <v>4.4296849999999999E-2</v>
      </c>
      <c r="X3663">
        <v>0.99329780000000001</v>
      </c>
      <c r="Y3663">
        <v>0.23209949999999999</v>
      </c>
      <c r="Z3663">
        <v>0.1131861</v>
      </c>
      <c r="AA3663">
        <v>0.96608419999999895</v>
      </c>
      <c r="AB3663">
        <v>25</v>
      </c>
      <c r="AC3663">
        <v>-2.79410000000001</v>
      </c>
      <c r="AD3663">
        <v>-1.1050032630689901</v>
      </c>
      <c r="AE3663">
        <v>-9.0769000000000197</v>
      </c>
      <c r="AF3663">
        <v>2.2507349312401699</v>
      </c>
      <c r="AG3663">
        <v>-1.1050032630689901</v>
      </c>
      <c r="AH3663">
        <v>9.0960400625932305</v>
      </c>
      <c r="AI3663">
        <v>96.725561199401099</v>
      </c>
      <c r="AJ3663">
        <v>76.101824619677004</v>
      </c>
      <c r="AK3663">
        <v>9.4352946303970207</v>
      </c>
    </row>
    <row r="3664" spans="1:37" x14ac:dyDescent="0.2">
      <c r="A3664" t="str">
        <f>"20200111153723437"</f>
        <v>20200111153723437</v>
      </c>
      <c r="B3664" t="str">
        <f>"1578728243427127"</f>
        <v>1578728243427127</v>
      </c>
      <c r="C3664" t="s">
        <v>37</v>
      </c>
      <c r="D3664">
        <v>6.1318859999999997</v>
      </c>
      <c r="E3664">
        <v>0.55173669999999997</v>
      </c>
      <c r="F3664" t="s">
        <v>39</v>
      </c>
      <c r="G3664">
        <v>-193.58690000000001</v>
      </c>
      <c r="H3664" s="1">
        <v>-5.2326849999999997E-6</v>
      </c>
      <c r="I3664">
        <v>169.25540000000001</v>
      </c>
      <c r="J3664">
        <v>-190.80670000000001</v>
      </c>
      <c r="K3664">
        <v>1.104997</v>
      </c>
      <c r="L3664">
        <v>178.2611</v>
      </c>
      <c r="M3664">
        <v>-5.5849860000000001E-2</v>
      </c>
      <c r="N3664">
        <v>0</v>
      </c>
      <c r="O3664">
        <v>-0.99835370000000001</v>
      </c>
      <c r="P3664">
        <v>-0.164411</v>
      </c>
      <c r="Q3664">
        <v>3.1272939999999999E-2</v>
      </c>
      <c r="R3664">
        <v>-0.9858962</v>
      </c>
      <c r="S3664">
        <v>-0.88560490000000003</v>
      </c>
      <c r="T3664">
        <v>-0.35096349999999998</v>
      </c>
      <c r="U3664">
        <v>-2.9072269999999998</v>
      </c>
      <c r="V3664">
        <v>0.109068899999999</v>
      </c>
      <c r="W3664">
        <v>4.4307800000000001E-2</v>
      </c>
      <c r="X3664">
        <v>0.99304619999999999</v>
      </c>
      <c r="Y3664">
        <v>0.23557449999999999</v>
      </c>
      <c r="Z3664">
        <v>0.115309799999999</v>
      </c>
      <c r="AA3664">
        <v>0.96499140000000005</v>
      </c>
      <c r="AB3664">
        <v>25</v>
      </c>
      <c r="AC3664">
        <v>-2.7801999999999998</v>
      </c>
      <c r="AD3664">
        <v>-1.105002232685</v>
      </c>
      <c r="AE3664">
        <v>-9.0056999999999903</v>
      </c>
      <c r="AF3664">
        <v>2.2420323046503401</v>
      </c>
      <c r="AG3664">
        <v>-1.105002232685</v>
      </c>
      <c r="AH3664">
        <v>9.0229052481085397</v>
      </c>
      <c r="AI3664">
        <v>96.777930035770197</v>
      </c>
      <c r="AJ3664">
        <v>76.045628018437398</v>
      </c>
      <c r="AK3664">
        <v>9.3627217146340094</v>
      </c>
    </row>
    <row r="3665" spans="1:37" x14ac:dyDescent="0.2">
      <c r="A3665" t="str">
        <f>"20200111153723457"</f>
        <v>20200111153723457</v>
      </c>
      <c r="B3665" t="str">
        <f>"1578728243446649"</f>
        <v>1578728243446649</v>
      </c>
      <c r="C3665" t="s">
        <v>37</v>
      </c>
      <c r="D3665">
        <v>6.2073369999999999</v>
      </c>
      <c r="E3665">
        <v>0.55221909999999996</v>
      </c>
      <c r="F3665" t="s">
        <v>38</v>
      </c>
      <c r="G3665">
        <v>-191.02959999999999</v>
      </c>
      <c r="H3665">
        <v>1.01715</v>
      </c>
      <c r="I3665">
        <v>177.53540000000001</v>
      </c>
      <c r="J3665">
        <v>-190.81819999999999</v>
      </c>
      <c r="K3665">
        <v>1.104994</v>
      </c>
      <c r="L3665">
        <v>178.0522</v>
      </c>
      <c r="M3665">
        <v>-5.5612750000000002E-2</v>
      </c>
      <c r="N3665">
        <v>0</v>
      </c>
      <c r="O3665">
        <v>-0.99836650000000005</v>
      </c>
      <c r="P3665">
        <v>-0.17225509999999999</v>
      </c>
      <c r="Q3665">
        <v>3.1908649999999997E-2</v>
      </c>
      <c r="R3665">
        <v>-0.98453539999999995</v>
      </c>
      <c r="S3665">
        <v>-0.89146419999999904</v>
      </c>
      <c r="T3665">
        <v>-0.35177329999999901</v>
      </c>
      <c r="U3665">
        <v>-2.9054570000000002</v>
      </c>
      <c r="V3665">
        <v>0.11721230000000001</v>
      </c>
      <c r="W3665">
        <v>4.4957570000000002E-2</v>
      </c>
      <c r="X3665">
        <v>0.99208869999999905</v>
      </c>
      <c r="Y3665">
        <v>0.23773910000000001</v>
      </c>
      <c r="Z3665">
        <v>0.1155771</v>
      </c>
      <c r="AA3665">
        <v>0.96442839999999996</v>
      </c>
      <c r="AB3665">
        <v>25</v>
      </c>
      <c r="AC3665">
        <v>-0.21139999999999701</v>
      </c>
      <c r="AD3665">
        <v>-8.7844000000000005E-2</v>
      </c>
      <c r="AE3665">
        <v>-0.51679999999998905</v>
      </c>
      <c r="AF3665">
        <v>0.17792586626236301</v>
      </c>
      <c r="AG3665">
        <v>-8.7844000000000005E-2</v>
      </c>
      <c r="AH3665">
        <v>0.51501075672714702</v>
      </c>
      <c r="AI3665">
        <v>99.158268646957495</v>
      </c>
      <c r="AJ3665">
        <v>70.9409975207831</v>
      </c>
      <c r="AK3665">
        <v>0.55191508564803804</v>
      </c>
    </row>
    <row r="3666" spans="1:37" x14ac:dyDescent="0.2">
      <c r="A3666" t="str">
        <f>"20200111153723479"</f>
        <v>20200111153723479</v>
      </c>
      <c r="B3666" t="str">
        <f>"1578728243476902"</f>
        <v>1578728243476902</v>
      </c>
      <c r="C3666" t="s">
        <v>37</v>
      </c>
      <c r="D3666">
        <v>6.0403169999999999</v>
      </c>
      <c r="E3666">
        <v>0.55378839999999996</v>
      </c>
      <c r="F3666" t="s">
        <v>39</v>
      </c>
      <c r="G3666">
        <v>-193.6909</v>
      </c>
      <c r="H3666" s="1">
        <v>-5.1374220000000003E-6</v>
      </c>
      <c r="I3666">
        <v>168.95939999999999</v>
      </c>
      <c r="J3666">
        <v>-190.83160000000001</v>
      </c>
      <c r="K3666">
        <v>1.104994</v>
      </c>
      <c r="L3666">
        <v>177.80549999999999</v>
      </c>
      <c r="M3666">
        <v>-5.5333109999999998E-2</v>
      </c>
      <c r="N3666">
        <v>0</v>
      </c>
      <c r="O3666">
        <v>-0.99838179999999999</v>
      </c>
      <c r="P3666">
        <v>-0.17832879999999901</v>
      </c>
      <c r="Q3666">
        <v>3.2367420000000001E-2</v>
      </c>
      <c r="R3666">
        <v>-0.98343860000000005</v>
      </c>
      <c r="S3666">
        <v>-0.915664699999999</v>
      </c>
      <c r="T3666">
        <v>-0.35221799999999998</v>
      </c>
      <c r="U3666">
        <v>-2.8983460000000001</v>
      </c>
      <c r="V3666">
        <v>0.12361519999999999</v>
      </c>
      <c r="W3666">
        <v>4.543345E-2</v>
      </c>
      <c r="X3666">
        <v>0.99128959999999999</v>
      </c>
      <c r="Y3666">
        <v>0.24599989999999899</v>
      </c>
      <c r="Z3666">
        <v>0.1157316</v>
      </c>
      <c r="AA3666">
        <v>0.96233579999999996</v>
      </c>
      <c r="AB3666">
        <v>25</v>
      </c>
      <c r="AC3666">
        <v>-2.85929999999999</v>
      </c>
      <c r="AD3666">
        <v>-1.1049991374220001</v>
      </c>
      <c r="AE3666">
        <v>-8.8460999999999999</v>
      </c>
      <c r="AF3666">
        <v>2.3324428378061399</v>
      </c>
      <c r="AG3666">
        <v>-1.1049991374220001</v>
      </c>
      <c r="AH3666">
        <v>8.8655252471754693</v>
      </c>
      <c r="AI3666">
        <v>96.873167635958197</v>
      </c>
      <c r="AJ3666">
        <v>75.260004030904696</v>
      </c>
      <c r="AK3666">
        <v>9.2335719303876296</v>
      </c>
    </row>
    <row r="3667" spans="1:37" x14ac:dyDescent="0.2">
      <c r="A3667" t="str">
        <f>"20200111153723502"</f>
        <v>20200111153723502</v>
      </c>
      <c r="B3667" t="str">
        <f>"1578728243496422"</f>
        <v>1578728243496422</v>
      </c>
      <c r="C3667" t="s">
        <v>37</v>
      </c>
      <c r="D3667">
        <v>6.0864630000000002</v>
      </c>
      <c r="E3667">
        <v>0.55458350000000001</v>
      </c>
      <c r="F3667" t="s">
        <v>39</v>
      </c>
      <c r="G3667">
        <v>-193.8075</v>
      </c>
      <c r="H3667" s="1">
        <v>-5.055535E-6</v>
      </c>
      <c r="I3667">
        <v>168.69229999999999</v>
      </c>
      <c r="J3667">
        <v>-190.84520000000001</v>
      </c>
      <c r="K3667">
        <v>1.1049789999999999</v>
      </c>
      <c r="L3667">
        <v>177.554</v>
      </c>
      <c r="M3667">
        <v>-5.504908E-2</v>
      </c>
      <c r="N3667">
        <v>0</v>
      </c>
      <c r="O3667">
        <v>-0.99839709999999904</v>
      </c>
      <c r="P3667">
        <v>-0.18343760000000001</v>
      </c>
      <c r="Q3667">
        <v>3.0994009999999999E-2</v>
      </c>
      <c r="R3667">
        <v>-0.98254259999999904</v>
      </c>
      <c r="S3667">
        <v>-0.94400019999999996</v>
      </c>
      <c r="T3667">
        <v>-0.35052820000000001</v>
      </c>
      <c r="U3667">
        <v>-2.8908839999999998</v>
      </c>
      <c r="V3667">
        <v>0.12904839999999901</v>
      </c>
      <c r="W3667">
        <v>4.407486E-2</v>
      </c>
      <c r="X3667">
        <v>0.99065829999999999</v>
      </c>
      <c r="Y3667">
        <v>0.25554589999999999</v>
      </c>
      <c r="Z3667">
        <v>0.1151546</v>
      </c>
      <c r="AA3667">
        <v>0.95991439999999995</v>
      </c>
      <c r="AB3667">
        <v>25</v>
      </c>
      <c r="AC3667">
        <v>-2.9622999999999902</v>
      </c>
      <c r="AD3667">
        <v>-1.1049840555349999</v>
      </c>
      <c r="AE3667">
        <v>-8.8617000000000097</v>
      </c>
      <c r="AF3667">
        <v>2.4358702609173002</v>
      </c>
      <c r="AG3667">
        <v>-1.1049840555349999</v>
      </c>
      <c r="AH3667">
        <v>8.8870576561448509</v>
      </c>
      <c r="AI3667">
        <v>96.837890449765595</v>
      </c>
      <c r="AJ3667">
        <v>74.672133670026398</v>
      </c>
      <c r="AK3667">
        <v>9.2808538117271695</v>
      </c>
    </row>
    <row r="3668" spans="1:37" x14ac:dyDescent="0.2">
      <c r="A3668" t="str">
        <f>"20200111153723524"</f>
        <v>20200111153723524</v>
      </c>
      <c r="B3668" t="str">
        <f>"1578728243516918"</f>
        <v>1578728243516918</v>
      </c>
      <c r="C3668" t="s">
        <v>37</v>
      </c>
      <c r="D3668">
        <v>6.0802800000000001</v>
      </c>
      <c r="E3668">
        <v>0.55517659999999902</v>
      </c>
      <c r="F3668" t="s">
        <v>39</v>
      </c>
      <c r="G3668">
        <v>-193.85120000000001</v>
      </c>
      <c r="H3668" s="1">
        <v>-5.0137040000000001E-6</v>
      </c>
      <c r="I3668">
        <v>168.56309999999999</v>
      </c>
      <c r="J3668">
        <v>-190.8586</v>
      </c>
      <c r="K3668">
        <v>1.1049659999999999</v>
      </c>
      <c r="L3668">
        <v>177.3056</v>
      </c>
      <c r="M3668">
        <v>-5.4768509999999999E-2</v>
      </c>
      <c r="N3668">
        <v>0</v>
      </c>
      <c r="O3668">
        <v>-0.99841229999999903</v>
      </c>
      <c r="P3668">
        <v>-0.1865636</v>
      </c>
      <c r="Q3668">
        <v>2.9280589999999999E-2</v>
      </c>
      <c r="R3668">
        <v>-0.9820065</v>
      </c>
      <c r="S3668">
        <v>-0.96437070000000003</v>
      </c>
      <c r="T3668">
        <v>-0.35449759999999902</v>
      </c>
      <c r="U3668">
        <v>-2.88443</v>
      </c>
      <c r="V3668">
        <v>0.13247829999999999</v>
      </c>
      <c r="W3668">
        <v>4.2376530000000003E-2</v>
      </c>
      <c r="X3668">
        <v>0.99027960000000004</v>
      </c>
      <c r="Y3668">
        <v>0.26250709999999999</v>
      </c>
      <c r="Z3668">
        <v>0.11645229999999999</v>
      </c>
      <c r="AA3668">
        <v>0.95787730000000004</v>
      </c>
      <c r="AB3668">
        <v>25</v>
      </c>
      <c r="AC3668">
        <v>-2.9925999999999999</v>
      </c>
      <c r="AD3668">
        <v>-1.1049710137039901</v>
      </c>
      <c r="AE3668">
        <v>-8.7424999999999997</v>
      </c>
      <c r="AF3668">
        <v>2.4738780210401599</v>
      </c>
      <c r="AG3668">
        <v>-1.1049710137039901</v>
      </c>
      <c r="AH3668">
        <v>8.7679166136298505</v>
      </c>
      <c r="AI3668">
        <v>96.915564234281106</v>
      </c>
      <c r="AJ3668">
        <v>74.243524515074895</v>
      </c>
      <c r="AK3668">
        <v>9.1770036039917695</v>
      </c>
    </row>
    <row r="3669" spans="1:37" x14ac:dyDescent="0.2">
      <c r="A3669" t="str">
        <f>"20200111153723547"</f>
        <v>20200111153723547</v>
      </c>
      <c r="B3669" t="str">
        <f>"1578728243536438"</f>
        <v>1578728243536438</v>
      </c>
      <c r="C3669" t="s">
        <v>37</v>
      </c>
      <c r="D3669">
        <v>6.0625150000000003</v>
      </c>
      <c r="E3669">
        <v>0.5557626</v>
      </c>
      <c r="F3669" t="s">
        <v>39</v>
      </c>
      <c r="G3669">
        <v>-193.87739999999999</v>
      </c>
      <c r="H3669" s="1">
        <v>-4.9642939999999901E-6</v>
      </c>
      <c r="I3669">
        <v>168.42240000000001</v>
      </c>
      <c r="J3669">
        <v>-190.87180000000001</v>
      </c>
      <c r="K3669">
        <v>1.104956</v>
      </c>
      <c r="L3669">
        <v>177.0591</v>
      </c>
      <c r="M3669">
        <v>-5.449027E-2</v>
      </c>
      <c r="N3669">
        <v>0</v>
      </c>
      <c r="O3669">
        <v>-0.99842759999999997</v>
      </c>
      <c r="P3669">
        <v>-0.18906199999999901</v>
      </c>
      <c r="Q3669">
        <v>2.8314599999999902E-2</v>
      </c>
      <c r="R3669">
        <v>-0.98155740000000002</v>
      </c>
      <c r="S3669">
        <v>-0.97860720000000001</v>
      </c>
      <c r="T3669">
        <v>-0.35820170000000001</v>
      </c>
      <c r="U3669">
        <v>-2.879715</v>
      </c>
      <c r="V3669">
        <v>0.1352739</v>
      </c>
      <c r="W3669">
        <v>4.142274E-2</v>
      </c>
      <c r="X3669">
        <v>0.98994199999999999</v>
      </c>
      <c r="Y3669">
        <v>0.26744980000000002</v>
      </c>
      <c r="Z3669">
        <v>0.1176637</v>
      </c>
      <c r="AA3669">
        <v>0.95636080000000001</v>
      </c>
      <c r="AB3669">
        <v>25</v>
      </c>
      <c r="AC3669">
        <v>-3.0055999999999798</v>
      </c>
      <c r="AD3669">
        <v>-1.1049609642939999</v>
      </c>
      <c r="AE3669">
        <v>-8.6366999999999905</v>
      </c>
      <c r="AF3669">
        <v>2.4940637403279098</v>
      </c>
      <c r="AG3669">
        <v>-1.1049609642939999</v>
      </c>
      <c r="AH3669">
        <v>8.6612032327944792</v>
      </c>
      <c r="AI3669">
        <v>96.989264748951797</v>
      </c>
      <c r="AJ3669">
        <v>73.935815616103497</v>
      </c>
      <c r="AK3669">
        <v>9.0806241037277609</v>
      </c>
    </row>
    <row r="3670" spans="1:37" x14ac:dyDescent="0.2">
      <c r="A3670" t="str">
        <f>"20200111153723569"</f>
        <v>20200111153723569</v>
      </c>
      <c r="B3670" t="str">
        <f>"1578728243566694"</f>
        <v>1578728243566694</v>
      </c>
      <c r="C3670" t="s">
        <v>37</v>
      </c>
      <c r="D3670">
        <v>6.0790839999999999</v>
      </c>
      <c r="E3670">
        <v>0.55650840000000001</v>
      </c>
      <c r="F3670" t="s">
        <v>39</v>
      </c>
      <c r="G3670">
        <v>-193.9145</v>
      </c>
      <c r="H3670" s="1">
        <v>-4.8960530000000002E-6</v>
      </c>
      <c r="I3670">
        <v>168.22749999999999</v>
      </c>
      <c r="J3670">
        <v>-190.88470000000001</v>
      </c>
      <c r="K3670">
        <v>1.104949</v>
      </c>
      <c r="L3670">
        <v>176.81720000000001</v>
      </c>
      <c r="M3670">
        <v>-5.421716E-2</v>
      </c>
      <c r="N3670">
        <v>0</v>
      </c>
      <c r="O3670">
        <v>-0.99844239999999995</v>
      </c>
      <c r="P3670">
        <v>-0.19201860000000001</v>
      </c>
      <c r="Q3670">
        <v>2.825685E-2</v>
      </c>
      <c r="R3670">
        <v>-0.98098459999999998</v>
      </c>
      <c r="S3670">
        <v>-0.99082950000000003</v>
      </c>
      <c r="T3670">
        <v>-0.35981849999999999</v>
      </c>
      <c r="U3670">
        <v>-2.8759000000000001</v>
      </c>
      <c r="V3670">
        <v>0.13852819999999999</v>
      </c>
      <c r="W3670">
        <v>4.1373189999999997E-2</v>
      </c>
      <c r="X3670">
        <v>0.98949390000000004</v>
      </c>
      <c r="Y3670">
        <v>0.27171489999999998</v>
      </c>
      <c r="Z3670">
        <v>0.1181859</v>
      </c>
      <c r="AA3670">
        <v>0.95509330000000003</v>
      </c>
      <c r="AB3670">
        <v>25</v>
      </c>
      <c r="AC3670">
        <v>-3.0297999999999901</v>
      </c>
      <c r="AD3670">
        <v>-1.1049538960529901</v>
      </c>
      <c r="AE3670">
        <v>-8.5897000000000201</v>
      </c>
      <c r="AF3670">
        <v>2.5224713523631501</v>
      </c>
      <c r="AG3670">
        <v>-1.1049538960529901</v>
      </c>
      <c r="AH3670">
        <v>8.6145685270414898</v>
      </c>
      <c r="AI3670">
        <v>97.017637503723293</v>
      </c>
      <c r="AJ3670">
        <v>73.679199302124104</v>
      </c>
      <c r="AK3670">
        <v>9.0440353682960204</v>
      </c>
    </row>
    <row r="3671" spans="1:37" x14ac:dyDescent="0.2">
      <c r="A3671" t="str">
        <f>"20200111153723592"</f>
        <v>20200111153723592</v>
      </c>
      <c r="B3671" t="str">
        <f>"1578728243587191"</f>
        <v>1578728243587191</v>
      </c>
      <c r="C3671" t="s">
        <v>37</v>
      </c>
      <c r="D3671">
        <v>6.0964279999999897</v>
      </c>
      <c r="E3671">
        <v>0.55688040000000005</v>
      </c>
      <c r="F3671" t="s">
        <v>39</v>
      </c>
      <c r="G3671">
        <v>-193.96010000000001</v>
      </c>
      <c r="H3671" s="1">
        <v>-4.8277170000000002E-6</v>
      </c>
      <c r="I3671">
        <v>168.02850000000001</v>
      </c>
      <c r="J3671">
        <v>-190.89769999999999</v>
      </c>
      <c r="K3671">
        <v>1.104948</v>
      </c>
      <c r="L3671">
        <v>176.572</v>
      </c>
      <c r="M3671">
        <v>-5.3939929999999997E-2</v>
      </c>
      <c r="N3671">
        <v>0</v>
      </c>
      <c r="O3671">
        <v>-0.99845699999999904</v>
      </c>
      <c r="P3671">
        <v>-0.19418829999999901</v>
      </c>
      <c r="Q3671">
        <v>2.848647E-2</v>
      </c>
      <c r="R3671">
        <v>-0.98055099999999995</v>
      </c>
      <c r="S3671">
        <v>-1.004929</v>
      </c>
      <c r="T3671">
        <v>-0.36105969999999998</v>
      </c>
      <c r="U3671">
        <v>-2.8718409999999999</v>
      </c>
      <c r="V3671">
        <v>0.14099289999999901</v>
      </c>
      <c r="W3671">
        <v>4.161045E-2</v>
      </c>
      <c r="X3671">
        <v>0.98913580000000001</v>
      </c>
      <c r="Y3671">
        <v>0.2765629</v>
      </c>
      <c r="Z3671">
        <v>0.11857129999999901</v>
      </c>
      <c r="AA3671">
        <v>0.95365290000000003</v>
      </c>
      <c r="AB3671">
        <v>25</v>
      </c>
      <c r="AC3671">
        <v>-3.0624000000000202</v>
      </c>
      <c r="AD3671">
        <v>-1.104952827717</v>
      </c>
      <c r="AE3671">
        <v>-8.5434999999999892</v>
      </c>
      <c r="AF3671">
        <v>2.5591323950698199</v>
      </c>
      <c r="AG3671">
        <v>-1.104952827717</v>
      </c>
      <c r="AH3671">
        <v>8.5692428821454403</v>
      </c>
      <c r="AI3671">
        <v>97.043319060921505</v>
      </c>
      <c r="AJ3671">
        <v>73.372186704791702</v>
      </c>
      <c r="AK3671">
        <v>9.01121539750193</v>
      </c>
    </row>
    <row r="3672" spans="1:37" x14ac:dyDescent="0.2">
      <c r="A3672" t="str">
        <f>"20200111153723616"</f>
        <v>20200111153723616</v>
      </c>
      <c r="B3672" t="str">
        <f>"1578728243606710"</f>
        <v>1578728243606710</v>
      </c>
      <c r="C3672" t="s">
        <v>37</v>
      </c>
      <c r="D3672">
        <v>6.0938099999999897</v>
      </c>
      <c r="E3672">
        <v>0.55718429999999997</v>
      </c>
      <c r="F3672" t="s">
        <v>39</v>
      </c>
      <c r="G3672">
        <v>-194.0061</v>
      </c>
      <c r="H3672" s="1">
        <v>-4.7401699999999902E-6</v>
      </c>
      <c r="I3672">
        <v>167.77930000000001</v>
      </c>
      <c r="J3672">
        <v>-190.9117</v>
      </c>
      <c r="K3672">
        <v>1.104946</v>
      </c>
      <c r="L3672">
        <v>176.30619999999999</v>
      </c>
      <c r="M3672">
        <v>-5.3639680000000002E-2</v>
      </c>
      <c r="N3672">
        <v>0</v>
      </c>
      <c r="O3672">
        <v>-0.99847299999999894</v>
      </c>
      <c r="P3672">
        <v>-0.19571810000000001</v>
      </c>
      <c r="Q3672">
        <v>2.8297070000000001E-2</v>
      </c>
      <c r="R3672">
        <v>-0.98025229999999997</v>
      </c>
      <c r="S3672">
        <v>-1.014313</v>
      </c>
      <c r="T3672">
        <v>-0.36055389999999998</v>
      </c>
      <c r="U3672">
        <v>-2.8691249999999999</v>
      </c>
      <c r="V3672">
        <v>0.14283419999999999</v>
      </c>
      <c r="W3672">
        <v>4.1428930000000003E-2</v>
      </c>
      <c r="X3672">
        <v>0.98887919999999996</v>
      </c>
      <c r="Y3672">
        <v>0.279914099999999</v>
      </c>
      <c r="Z3672">
        <v>0.1183945</v>
      </c>
      <c r="AA3672">
        <v>0.9526966</v>
      </c>
      <c r="AB3672">
        <v>25</v>
      </c>
      <c r="AC3672">
        <v>-3.0943999999999998</v>
      </c>
      <c r="AD3672">
        <v>-1.1049507401700001</v>
      </c>
      <c r="AE3672">
        <v>-8.5268999999999799</v>
      </c>
      <c r="AF3672">
        <v>2.59403414670013</v>
      </c>
      <c r="AG3672">
        <v>-1.1049507401700001</v>
      </c>
      <c r="AH3672">
        <v>8.5536998781345499</v>
      </c>
      <c r="AI3672">
        <v>97.047070071333906</v>
      </c>
      <c r="AJ3672">
        <v>73.129308221944399</v>
      </c>
      <c r="AK3672">
        <v>9.0064260890570598</v>
      </c>
    </row>
    <row r="3673" spans="1:37" x14ac:dyDescent="0.2">
      <c r="A3673" t="str">
        <f>"20200111153723637"</f>
        <v>20200111153723637</v>
      </c>
      <c r="B3673" t="str">
        <f>"1578728243627207"</f>
        <v>1578728243627207</v>
      </c>
      <c r="C3673" t="s">
        <v>37</v>
      </c>
      <c r="D3673">
        <v>6.0821529999999999</v>
      </c>
      <c r="E3673">
        <v>0.55747880000000005</v>
      </c>
      <c r="F3673" t="s">
        <v>39</v>
      </c>
      <c r="G3673">
        <v>-194.03389999999999</v>
      </c>
      <c r="H3673" s="1">
        <v>-4.6521069999999999E-6</v>
      </c>
      <c r="I3673">
        <v>167.53710000000001</v>
      </c>
      <c r="J3673">
        <v>-190.92420000000001</v>
      </c>
      <c r="K3673">
        <v>1.1049450000000001</v>
      </c>
      <c r="L3673">
        <v>176.06780000000001</v>
      </c>
      <c r="M3673">
        <v>-5.3370380000000002E-2</v>
      </c>
      <c r="N3673">
        <v>0</v>
      </c>
      <c r="O3673">
        <v>-0.99848729999999997</v>
      </c>
      <c r="P3673">
        <v>-0.19669449999999999</v>
      </c>
      <c r="Q3673">
        <v>2.787243E-2</v>
      </c>
      <c r="R3673">
        <v>-0.98006859999999996</v>
      </c>
      <c r="S3673">
        <v>-1.020813</v>
      </c>
      <c r="T3673">
        <v>-0.36126209999999997</v>
      </c>
      <c r="U3673">
        <v>-2.867035</v>
      </c>
      <c r="V3673">
        <v>0.14408609999999999</v>
      </c>
      <c r="W3673">
        <v>4.1010629999999999E-2</v>
      </c>
      <c r="X3673">
        <v>0.98871500000000001</v>
      </c>
      <c r="Y3673">
        <v>0.28229959999999998</v>
      </c>
      <c r="Z3673">
        <v>0.11862109999999999</v>
      </c>
      <c r="AA3673">
        <v>0.95196429999999999</v>
      </c>
      <c r="AB3673">
        <v>25</v>
      </c>
      <c r="AC3673">
        <v>-3.1096999999999699</v>
      </c>
      <c r="AD3673">
        <v>-1.1049496521069999</v>
      </c>
      <c r="AE3673">
        <v>-8.5306999999999906</v>
      </c>
      <c r="AF3673">
        <v>2.6112700097588402</v>
      </c>
      <c r="AG3673">
        <v>-1.1049496521069999</v>
      </c>
      <c r="AH3673">
        <v>8.55778643416172</v>
      </c>
      <c r="AI3673">
        <v>97.040103632106906</v>
      </c>
      <c r="AJ3673">
        <v>73.031279944184703</v>
      </c>
      <c r="AK3673">
        <v>9.0152844353508801</v>
      </c>
    </row>
    <row r="3674" spans="1:37" x14ac:dyDescent="0.2">
      <c r="A3674" t="str">
        <f>"20200111153723658"</f>
        <v>20200111153723658</v>
      </c>
      <c r="B3674" t="str">
        <f>"1578728243646726"</f>
        <v>1578728243646726</v>
      </c>
      <c r="C3674" t="s">
        <v>37</v>
      </c>
      <c r="D3674">
        <v>6.0516930000000002</v>
      </c>
      <c r="E3674">
        <v>0.5577647</v>
      </c>
      <c r="F3674" t="s">
        <v>39</v>
      </c>
      <c r="G3674">
        <v>-194.04490000000001</v>
      </c>
      <c r="H3674" s="1">
        <v>-4.579925E-6</v>
      </c>
      <c r="I3674">
        <v>167.3441</v>
      </c>
      <c r="J3674">
        <v>-190.9357</v>
      </c>
      <c r="K3674">
        <v>1.1049359999999999</v>
      </c>
      <c r="L3674">
        <v>175.84559999999999</v>
      </c>
      <c r="M3674">
        <v>-5.311797E-2</v>
      </c>
      <c r="N3674">
        <v>0</v>
      </c>
      <c r="O3674">
        <v>-0.99850090000000002</v>
      </c>
      <c r="P3674">
        <v>-0.1967662</v>
      </c>
      <c r="Q3674">
        <v>2.6512540000000001E-2</v>
      </c>
      <c r="R3674">
        <v>-0.98009230000000003</v>
      </c>
      <c r="S3674">
        <v>-1.025101</v>
      </c>
      <c r="T3674">
        <v>-0.36295539999999998</v>
      </c>
      <c r="U3674">
        <v>-2.8655849999999998</v>
      </c>
      <c r="V3674">
        <v>0.14440699999999901</v>
      </c>
      <c r="W3674">
        <v>3.965751E-2</v>
      </c>
      <c r="X3674">
        <v>0.98872329999999997</v>
      </c>
      <c r="Y3674">
        <v>0.2839352</v>
      </c>
      <c r="Z3674">
        <v>0.1191692</v>
      </c>
      <c r="AA3674">
        <v>0.95140919999999896</v>
      </c>
      <c r="AB3674">
        <v>25</v>
      </c>
      <c r="AC3674">
        <v>-3.1092000000000102</v>
      </c>
      <c r="AD3674">
        <v>-1.1049405799250001</v>
      </c>
      <c r="AE3674">
        <v>-8.5014999999999894</v>
      </c>
      <c r="AF3674">
        <v>2.6142374924251399</v>
      </c>
      <c r="AG3674">
        <v>-1.1049405799250001</v>
      </c>
      <c r="AH3674">
        <v>8.5276086463603207</v>
      </c>
      <c r="AI3674">
        <v>97.061916511834596</v>
      </c>
      <c r="AJ3674">
        <v>72.956470725991593</v>
      </c>
      <c r="AK3674">
        <v>8.9875046913726599</v>
      </c>
    </row>
    <row r="3675" spans="1:37" x14ac:dyDescent="0.2">
      <c r="A3675" t="str">
        <f>"20200111153723681"</f>
        <v>20200111153723681</v>
      </c>
      <c r="B3675" t="str">
        <f>"1578728243676983"</f>
        <v>1578728243676983</v>
      </c>
      <c r="C3675" t="s">
        <v>37</v>
      </c>
      <c r="D3675">
        <v>5.7009439999999998</v>
      </c>
      <c r="E3675">
        <v>0.55618880000000004</v>
      </c>
      <c r="F3675" t="s">
        <v>39</v>
      </c>
      <c r="G3675">
        <v>-194.0411</v>
      </c>
      <c r="H3675" s="1">
        <v>-4.517555E-6</v>
      </c>
      <c r="I3675">
        <v>167.18340000000001</v>
      </c>
      <c r="J3675">
        <v>-190.94900000000001</v>
      </c>
      <c r="K3675">
        <v>1.1049290000000001</v>
      </c>
      <c r="L3675">
        <v>175.58930000000001</v>
      </c>
      <c r="M3675">
        <v>-5.282241E-2</v>
      </c>
      <c r="N3675">
        <v>0</v>
      </c>
      <c r="O3675">
        <v>-0.99851639999999997</v>
      </c>
      <c r="P3675">
        <v>-0.1954505</v>
      </c>
      <c r="Q3675">
        <v>2.606706E-2</v>
      </c>
      <c r="R3675">
        <v>-0.98036759999999901</v>
      </c>
      <c r="S3675">
        <v>-1.0269619999999999</v>
      </c>
      <c r="T3675">
        <v>-0.36541259999999998</v>
      </c>
      <c r="U3675">
        <v>-2.864655</v>
      </c>
      <c r="V3675">
        <v>0.14337130000000001</v>
      </c>
      <c r="W3675">
        <v>3.9221069999999997E-2</v>
      </c>
      <c r="X3675">
        <v>0.98889150000000003</v>
      </c>
      <c r="Y3675">
        <v>0.28483199999999997</v>
      </c>
      <c r="Z3675">
        <v>0.119974</v>
      </c>
      <c r="AA3675">
        <v>0.95104</v>
      </c>
      <c r="AB3675">
        <v>25</v>
      </c>
      <c r="AC3675">
        <v>-3.0920999999999799</v>
      </c>
      <c r="AD3675">
        <v>-1.1049335175549999</v>
      </c>
      <c r="AE3675">
        <v>-8.4059000000000008</v>
      </c>
      <c r="AF3675">
        <v>2.6040918471676102</v>
      </c>
      <c r="AG3675">
        <v>-1.1049335175549999</v>
      </c>
      <c r="AH3675">
        <v>8.4292240831477194</v>
      </c>
      <c r="AI3675">
        <v>97.138732514485895</v>
      </c>
      <c r="AJ3675">
        <v>72.832191692936703</v>
      </c>
      <c r="AK3675">
        <v>8.8912311335730596</v>
      </c>
    </row>
    <row r="3676" spans="1:37" x14ac:dyDescent="0.2">
      <c r="A3676" t="str">
        <f>"20200111153723703"</f>
        <v>20200111153723703</v>
      </c>
      <c r="B3676" t="str">
        <f>"1578728243696502"</f>
        <v>1578728243696502</v>
      </c>
      <c r="C3676" t="s">
        <v>37</v>
      </c>
      <c r="D3676">
        <v>6.1088379999999898</v>
      </c>
      <c r="E3676">
        <v>0.45047999999999999</v>
      </c>
      <c r="F3676" t="s">
        <v>39</v>
      </c>
      <c r="G3676">
        <v>-194.0264</v>
      </c>
      <c r="H3676" s="1">
        <v>-4.3894879999999997E-6</v>
      </c>
      <c r="I3676">
        <v>166.85669999999999</v>
      </c>
      <c r="J3676">
        <v>-190.9616</v>
      </c>
      <c r="K3676">
        <v>1.1049359999999999</v>
      </c>
      <c r="L3676">
        <v>175.345</v>
      </c>
      <c r="M3676">
        <v>-5.2535060000000001E-2</v>
      </c>
      <c r="N3676">
        <v>0</v>
      </c>
      <c r="O3676">
        <v>-0.99853139999999996</v>
      </c>
      <c r="P3676">
        <v>-0.1932719</v>
      </c>
      <c r="Q3676">
        <v>2.601589E-2</v>
      </c>
      <c r="R3676">
        <v>-0.98080059999999902</v>
      </c>
      <c r="S3676">
        <v>-1.0107569999999999</v>
      </c>
      <c r="T3676">
        <v>-0.3629156</v>
      </c>
      <c r="U3676">
        <v>-2.8682249999999998</v>
      </c>
      <c r="V3676">
        <v>0.14145739999999901</v>
      </c>
      <c r="W3676">
        <v>3.9178659999999997E-2</v>
      </c>
      <c r="X3676">
        <v>0.98916879999999996</v>
      </c>
      <c r="Y3676">
        <v>0.27998620000000002</v>
      </c>
      <c r="Z3676">
        <v>0.1192261</v>
      </c>
      <c r="AA3676">
        <v>0.95257169999999902</v>
      </c>
      <c r="AB3676">
        <v>25</v>
      </c>
      <c r="AC3676">
        <v>-3.0647999999999902</v>
      </c>
      <c r="AD3676">
        <v>-1.1049403894880001</v>
      </c>
      <c r="AE3676">
        <v>-8.4883000000000095</v>
      </c>
      <c r="AF3676">
        <v>2.5759792901421599</v>
      </c>
      <c r="AG3676">
        <v>-1.1049403894880001</v>
      </c>
      <c r="AH3676">
        <v>8.51002987279292</v>
      </c>
      <c r="AI3676">
        <v>97.083900757978498</v>
      </c>
      <c r="AJ3676">
        <v>73.158977765273406</v>
      </c>
      <c r="AK3676">
        <v>8.9597528427625299</v>
      </c>
    </row>
    <row r="3677" spans="1:37" x14ac:dyDescent="0.2">
      <c r="A3677" t="str">
        <f>"20200111153723726"</f>
        <v>20200111153723726</v>
      </c>
      <c r="B3677" t="str">
        <f>"1578728243716998"</f>
        <v>1578728243716998</v>
      </c>
      <c r="C3677" t="s">
        <v>37</v>
      </c>
      <c r="D3677">
        <v>5.9032599999999897</v>
      </c>
      <c r="E3677">
        <v>0.44357619999999998</v>
      </c>
      <c r="F3677" t="s">
        <v>38</v>
      </c>
      <c r="G3677">
        <v>-191.0145</v>
      </c>
      <c r="H3677">
        <v>1.0242450000000001</v>
      </c>
      <c r="I3677">
        <v>174.4588</v>
      </c>
      <c r="J3677">
        <v>-190.9743</v>
      </c>
      <c r="K3677">
        <v>1.1049420000000001</v>
      </c>
      <c r="L3677">
        <v>175.09599999999901</v>
      </c>
      <c r="M3677">
        <v>-5.2237499999999999E-2</v>
      </c>
      <c r="N3677">
        <v>0</v>
      </c>
      <c r="O3677">
        <v>-0.99854690000000002</v>
      </c>
      <c r="P3677">
        <v>-0.19045519999999999</v>
      </c>
      <c r="Q3677">
        <v>2.6757E-2</v>
      </c>
      <c r="R3677">
        <v>-0.98133119999999996</v>
      </c>
      <c r="S3677">
        <v>-0.17999270000000001</v>
      </c>
      <c r="T3677">
        <v>-0.276099599999999</v>
      </c>
      <c r="U3677">
        <v>-3.0305789999999999</v>
      </c>
      <c r="V3677">
        <v>0.13891099999999901</v>
      </c>
      <c r="W3677">
        <v>3.9928129999999999E-2</v>
      </c>
      <c r="X3677">
        <v>0.98949959999999904</v>
      </c>
      <c r="Y3677">
        <v>6.8131399999999996E-3</v>
      </c>
      <c r="Z3677">
        <v>9.0463509999999997E-2</v>
      </c>
      <c r="AA3677">
        <v>0.99587649999999905</v>
      </c>
      <c r="AB3677">
        <v>24</v>
      </c>
      <c r="AC3677">
        <v>-4.0199999999998598E-2</v>
      </c>
      <c r="AD3677">
        <v>-8.0697000000000005E-2</v>
      </c>
      <c r="AE3677">
        <v>-0.63719999999997801</v>
      </c>
      <c r="AF3677">
        <v>6.7486426020870998E-3</v>
      </c>
      <c r="AG3677">
        <v>-8.0697000000000005E-2</v>
      </c>
      <c r="AH3677">
        <v>0.62839151248164304</v>
      </c>
      <c r="AI3677">
        <v>97.317360860127906</v>
      </c>
      <c r="AJ3677">
        <v>89.3846927177878</v>
      </c>
      <c r="AK3677">
        <v>0.63358775473089601</v>
      </c>
    </row>
    <row r="3678" spans="1:37" x14ac:dyDescent="0.2">
      <c r="A3678" t="str">
        <f>"20200111153723747"</f>
        <v>20200111153723747</v>
      </c>
      <c r="B3678" t="str">
        <f>"1578728243736518"</f>
        <v>1578728243736518</v>
      </c>
      <c r="C3678" t="s">
        <v>37</v>
      </c>
      <c r="D3678">
        <v>5.8597640000000002</v>
      </c>
      <c r="E3678">
        <v>0.44217849999999997</v>
      </c>
      <c r="F3678" t="s">
        <v>38</v>
      </c>
      <c r="G3678">
        <v>-191.0069</v>
      </c>
      <c r="H3678">
        <v>1.0176129999999901</v>
      </c>
      <c r="I3678">
        <v>174.2424</v>
      </c>
      <c r="J3678">
        <v>-190.98580000000001</v>
      </c>
      <c r="K3678">
        <v>1.104949</v>
      </c>
      <c r="L3678">
        <v>174.87</v>
      </c>
      <c r="M3678">
        <v>-5.1963790000000003E-2</v>
      </c>
      <c r="N3678">
        <v>0</v>
      </c>
      <c r="O3678">
        <v>-0.99856100000000003</v>
      </c>
      <c r="P3678">
        <v>-0.18754009999999999</v>
      </c>
      <c r="Q3678">
        <v>2.7182069999999999E-2</v>
      </c>
      <c r="R3678">
        <v>-0.98188069999999905</v>
      </c>
      <c r="S3678">
        <v>-0.1161194</v>
      </c>
      <c r="T3678">
        <v>-0.311339799999999</v>
      </c>
      <c r="U3678">
        <v>-3.0430450000000002</v>
      </c>
      <c r="V3678">
        <v>0.13624220000000001</v>
      </c>
      <c r="W3678">
        <v>4.036124E-2</v>
      </c>
      <c r="X3678">
        <v>0.98985299999999998</v>
      </c>
      <c r="Y3678">
        <v>-1.404821E-2</v>
      </c>
      <c r="Z3678">
        <v>0.1015334</v>
      </c>
      <c r="AA3678">
        <v>0.99473289999999903</v>
      </c>
      <c r="AB3678">
        <v>24</v>
      </c>
      <c r="AC3678">
        <v>-2.1099999999989901E-2</v>
      </c>
      <c r="AD3678">
        <v>-8.7335999999999997E-2</v>
      </c>
      <c r="AE3678">
        <v>-0.62760000000000005</v>
      </c>
      <c r="AF3678">
        <v>-1.13247930009867E-2</v>
      </c>
      <c r="AG3678">
        <v>-8.7335999999999997E-2</v>
      </c>
      <c r="AH3678">
        <v>0.61593428730598399</v>
      </c>
      <c r="AI3678">
        <v>98.0690718186856</v>
      </c>
      <c r="AJ3678">
        <v>91.053342463896996</v>
      </c>
      <c r="AK3678">
        <v>0.62219842020986005</v>
      </c>
    </row>
    <row r="3679" spans="1:37" x14ac:dyDescent="0.2">
      <c r="A3679" t="str">
        <f>"20200111153723770"</f>
        <v>20200111153723770</v>
      </c>
      <c r="B3679" t="str">
        <f>"1578728243766560"</f>
        <v>1578728243766560</v>
      </c>
      <c r="C3679" t="s">
        <v>37</v>
      </c>
      <c r="D3679">
        <v>5.9141699999999897</v>
      </c>
      <c r="E3679">
        <v>0.44070879999999901</v>
      </c>
      <c r="F3679" t="s">
        <v>38</v>
      </c>
      <c r="G3679">
        <v>-191.01249999999999</v>
      </c>
      <c r="H3679">
        <v>1.0143340000000001</v>
      </c>
      <c r="I3679">
        <v>174.02549999999999</v>
      </c>
      <c r="J3679">
        <v>-190.9982</v>
      </c>
      <c r="K3679">
        <v>1.104949</v>
      </c>
      <c r="L3679">
        <v>174.62540000000001</v>
      </c>
      <c r="M3679">
        <v>-5.1664509999999997E-2</v>
      </c>
      <c r="N3679">
        <v>0</v>
      </c>
      <c r="O3679">
        <v>-0.99857669999999998</v>
      </c>
      <c r="P3679">
        <v>-0.1843747</v>
      </c>
      <c r="Q3679">
        <v>2.777278E-2</v>
      </c>
      <c r="R3679">
        <v>-0.9824638</v>
      </c>
      <c r="S3679">
        <v>-9.5581050000000001E-2</v>
      </c>
      <c r="T3679">
        <v>-0.3269862</v>
      </c>
      <c r="U3679">
        <v>-3.0461580000000001</v>
      </c>
      <c r="V3679">
        <v>0.1333473</v>
      </c>
      <c r="W3679">
        <v>4.0958689999999999E-2</v>
      </c>
      <c r="X3679">
        <v>0.99022259999999995</v>
      </c>
      <c r="Y3679">
        <v>-2.050188E-2</v>
      </c>
      <c r="Z3679">
        <v>0.106480399999999</v>
      </c>
      <c r="AA3679">
        <v>0.99410339999999997</v>
      </c>
      <c r="AB3679">
        <v>24</v>
      </c>
      <c r="AC3679">
        <v>-1.42999999999915E-2</v>
      </c>
      <c r="AD3679">
        <v>-9.0614999999999807E-2</v>
      </c>
      <c r="AE3679">
        <v>-0.59990000000001897</v>
      </c>
      <c r="AF3679">
        <v>-1.6342692683718001E-2</v>
      </c>
      <c r="AG3679">
        <v>-9.0614999999999807E-2</v>
      </c>
      <c r="AH3679">
        <v>0.58646429706585401</v>
      </c>
      <c r="AI3679">
        <v>98.779997792913903</v>
      </c>
      <c r="AJ3679">
        <v>91.596218318000098</v>
      </c>
      <c r="AK3679">
        <v>0.593648493270302</v>
      </c>
    </row>
    <row r="3680" spans="1:37" x14ac:dyDescent="0.2">
      <c r="A3680" t="str">
        <f>"20200111153723792"</f>
        <v>20200111153723792</v>
      </c>
      <c r="B3680" t="str">
        <f>"1578728243787056"</f>
        <v>1578728243787056</v>
      </c>
      <c r="C3680" t="s">
        <v>37</v>
      </c>
      <c r="D3680">
        <v>5.8108420000000001</v>
      </c>
      <c r="E3680">
        <v>0.44074170000000001</v>
      </c>
      <c r="F3680" t="s">
        <v>38</v>
      </c>
      <c r="G3680">
        <v>-191.0181</v>
      </c>
      <c r="H3680">
        <v>1.012432</v>
      </c>
      <c r="I3680">
        <v>173.8082</v>
      </c>
      <c r="J3680">
        <v>-191.01089999999999</v>
      </c>
      <c r="K3680">
        <v>1.1049439999999999</v>
      </c>
      <c r="L3680">
        <v>174.3715</v>
      </c>
      <c r="M3680">
        <v>-5.1351359999999999E-2</v>
      </c>
      <c r="N3680">
        <v>0</v>
      </c>
      <c r="O3680">
        <v>-0.9985927</v>
      </c>
      <c r="P3680">
        <v>-0.18129129999999999</v>
      </c>
      <c r="Q3680">
        <v>2.7392719999999999E-2</v>
      </c>
      <c r="R3680">
        <v>-0.98304789999999997</v>
      </c>
      <c r="S3680">
        <v>-7.3867799999999997E-2</v>
      </c>
      <c r="T3680">
        <v>-0.34533379999999902</v>
      </c>
      <c r="U3680">
        <v>-3.0494539999999999</v>
      </c>
      <c r="V3680">
        <v>0.13054869999999999</v>
      </c>
      <c r="W3680">
        <v>4.0585160000000002E-2</v>
      </c>
      <c r="X3680">
        <v>0.99061080000000001</v>
      </c>
      <c r="Y3680">
        <v>-2.7309819999999999E-2</v>
      </c>
      <c r="Z3680">
        <v>0.112266</v>
      </c>
      <c r="AA3680">
        <v>0.99330280000000004</v>
      </c>
      <c r="AB3680">
        <v>24</v>
      </c>
      <c r="AC3680">
        <v>-7.2000000000116398E-3</v>
      </c>
      <c r="AD3680">
        <v>-9.2512000000000094E-2</v>
      </c>
      <c r="AE3680">
        <v>-0.56329999999999802</v>
      </c>
      <c r="AF3680">
        <v>-2.1167423894599201E-2</v>
      </c>
      <c r="AG3680">
        <v>-9.2512000000000094E-2</v>
      </c>
      <c r="AH3680">
        <v>0.54814419215986099</v>
      </c>
      <c r="AI3680">
        <v>99.572707611892497</v>
      </c>
      <c r="AJ3680">
        <v>92.211465066072094</v>
      </c>
      <c r="AK3680">
        <v>0.55629900716873504</v>
      </c>
    </row>
    <row r="3681" spans="1:37" x14ac:dyDescent="0.2">
      <c r="A3681" t="str">
        <f>"20200111153723815"</f>
        <v>20200111153723815</v>
      </c>
      <c r="B3681" t="str">
        <f>"1578728243806575"</f>
        <v>1578728243806575</v>
      </c>
      <c r="C3681" t="s">
        <v>37</v>
      </c>
      <c r="D3681">
        <v>5.814616</v>
      </c>
      <c r="E3681">
        <v>0.4411832</v>
      </c>
      <c r="F3681" t="s">
        <v>38</v>
      </c>
      <c r="G3681">
        <v>-191.02760000000001</v>
      </c>
      <c r="H3681">
        <v>1.015331</v>
      </c>
      <c r="I3681">
        <v>173.589</v>
      </c>
      <c r="J3681">
        <v>-191.0231</v>
      </c>
      <c r="K3681">
        <v>1.104941</v>
      </c>
      <c r="L3681">
        <v>174.1276</v>
      </c>
      <c r="M3681">
        <v>-5.1053130000000002E-2</v>
      </c>
      <c r="N3681">
        <v>0</v>
      </c>
      <c r="O3681">
        <v>-0.99860789999999999</v>
      </c>
      <c r="P3681">
        <v>-0.1790649</v>
      </c>
      <c r="Q3681">
        <v>2.6306110000000001E-2</v>
      </c>
      <c r="R3681">
        <v>-0.98348530000000001</v>
      </c>
      <c r="S3681">
        <v>-6.4331050000000001E-2</v>
      </c>
      <c r="T3681">
        <v>-0.34937099999999999</v>
      </c>
      <c r="U3681">
        <v>-3.0495909999999999</v>
      </c>
      <c r="V3681">
        <v>0.12859949999999901</v>
      </c>
      <c r="W3681">
        <v>3.9502660000000002E-2</v>
      </c>
      <c r="X3681">
        <v>0.990909499999999</v>
      </c>
      <c r="Y3681">
        <v>-3.0120009999999999E-2</v>
      </c>
      <c r="Z3681">
        <v>0.11355850000000001</v>
      </c>
      <c r="AA3681">
        <v>0.99307469999999998</v>
      </c>
      <c r="AB3681">
        <v>24</v>
      </c>
      <c r="AC3681">
        <v>-4.5000000000072699E-3</v>
      </c>
      <c r="AD3681">
        <v>-8.9609999999999898E-2</v>
      </c>
      <c r="AE3681">
        <v>-0.53859999999997399</v>
      </c>
      <c r="AF3681">
        <v>-2.2385884744964699E-2</v>
      </c>
      <c r="AG3681">
        <v>-8.9609999999999898E-2</v>
      </c>
      <c r="AH3681">
        <v>0.52363362821841297</v>
      </c>
      <c r="AI3681">
        <v>99.702327066436496</v>
      </c>
      <c r="AJ3681">
        <v>92.447963826154293</v>
      </c>
      <c r="AK3681">
        <v>0.531717271241958</v>
      </c>
    </row>
    <row r="3682" spans="1:37" x14ac:dyDescent="0.2">
      <c r="A3682" t="str">
        <f>"20200111153723836"</f>
        <v>20200111153723836</v>
      </c>
      <c r="B3682" t="str">
        <f>"1578728243827075"</f>
        <v>1578728243827075</v>
      </c>
      <c r="C3682" t="s">
        <v>37</v>
      </c>
      <c r="D3682">
        <v>5.7768739999999896</v>
      </c>
      <c r="E3682">
        <v>0.44166090000000002</v>
      </c>
      <c r="F3682" t="s">
        <v>38</v>
      </c>
      <c r="G3682">
        <v>-191.03809999999999</v>
      </c>
      <c r="H3682">
        <v>1.0175270000000001</v>
      </c>
      <c r="I3682">
        <v>173.37049999999999</v>
      </c>
      <c r="J3682">
        <v>-191.03460000000001</v>
      </c>
      <c r="K3682">
        <v>1.1049359999999999</v>
      </c>
      <c r="L3682">
        <v>173.8973</v>
      </c>
      <c r="M3682">
        <v>-5.0780680000000002E-2</v>
      </c>
      <c r="N3682">
        <v>0</v>
      </c>
      <c r="O3682">
        <v>-0.99862199999999901</v>
      </c>
      <c r="P3682">
        <v>-0.17757429999999999</v>
      </c>
      <c r="Q3682">
        <v>2.5649809999999999E-2</v>
      </c>
      <c r="R3682">
        <v>-0.98377340000000002</v>
      </c>
      <c r="S3682">
        <v>-6.0394290000000003E-2</v>
      </c>
      <c r="T3682">
        <v>-0.35194389999999998</v>
      </c>
      <c r="U3682">
        <v>-3.048813</v>
      </c>
      <c r="V3682">
        <v>0.12736739999999999</v>
      </c>
      <c r="W3682">
        <v>3.8847510000000002E-2</v>
      </c>
      <c r="X3682">
        <v>0.99109459999999905</v>
      </c>
      <c r="Y3682">
        <v>-3.1125659999999999E-2</v>
      </c>
      <c r="Z3682">
        <v>0.11441469999999999</v>
      </c>
      <c r="AA3682">
        <v>0.99294539999999998</v>
      </c>
      <c r="AB3682">
        <v>24</v>
      </c>
      <c r="AC3682">
        <v>-3.4999999999740798E-3</v>
      </c>
      <c r="AD3682">
        <v>-8.7409000000000001E-2</v>
      </c>
      <c r="AE3682">
        <v>-0.52680000000000804</v>
      </c>
      <c r="AF3682">
        <v>-2.26349906487247E-2</v>
      </c>
      <c r="AG3682">
        <v>-8.7409000000000001E-2</v>
      </c>
      <c r="AH3682">
        <v>0.51219732392388195</v>
      </c>
      <c r="AI3682">
        <v>99.675248081196401</v>
      </c>
      <c r="AJ3682">
        <v>92.530364992793395</v>
      </c>
      <c r="AK3682">
        <v>0.52009496701799895</v>
      </c>
    </row>
    <row r="3683" spans="1:37" x14ac:dyDescent="0.2">
      <c r="A3683" t="str">
        <f>"20200111153723859"</f>
        <v>20200111153723859</v>
      </c>
      <c r="B3683" t="str">
        <f>"1578728243856352"</f>
        <v>1578728243856352</v>
      </c>
      <c r="C3683" t="s">
        <v>37</v>
      </c>
      <c r="D3683">
        <v>5.7984780000000002</v>
      </c>
      <c r="E3683">
        <v>0.4423861</v>
      </c>
      <c r="F3683" t="s">
        <v>38</v>
      </c>
      <c r="G3683">
        <v>-191.04920000000001</v>
      </c>
      <c r="H3683">
        <v>1.018545</v>
      </c>
      <c r="I3683">
        <v>173.15270000000001</v>
      </c>
      <c r="J3683">
        <v>-191.04660000000001</v>
      </c>
      <c r="K3683">
        <v>1.104932</v>
      </c>
      <c r="L3683">
        <v>173.65469999999999</v>
      </c>
      <c r="M3683">
        <v>-5.0507450000000002E-2</v>
      </c>
      <c r="N3683">
        <v>0</v>
      </c>
      <c r="O3683">
        <v>-0.99863579999999996</v>
      </c>
      <c r="P3683">
        <v>-0.17601449999999999</v>
      </c>
      <c r="Q3683">
        <v>2.58292E-2</v>
      </c>
      <c r="R3683">
        <v>-0.98404899999999995</v>
      </c>
      <c r="S3683">
        <v>-5.9173580000000003E-2</v>
      </c>
      <c r="T3683">
        <v>-0.35379519999999998</v>
      </c>
      <c r="U3683">
        <v>-3.048019</v>
      </c>
      <c r="V3683">
        <v>0.12606769999999901</v>
      </c>
      <c r="W3683">
        <v>3.9026190000000002E-2</v>
      </c>
      <c r="X3683">
        <v>0.99125370000000002</v>
      </c>
      <c r="Y3683">
        <v>-3.1245970000000001E-2</v>
      </c>
      <c r="Z3683">
        <v>0.1150408</v>
      </c>
      <c r="AA3683">
        <v>0.99286929999999995</v>
      </c>
      <c r="AB3683">
        <v>24</v>
      </c>
      <c r="AC3683">
        <v>-2.6000000000010398E-3</v>
      </c>
      <c r="AD3683">
        <v>-8.6386999999999894E-2</v>
      </c>
      <c r="AE3683">
        <v>-0.50199999999998102</v>
      </c>
      <c r="AF3683">
        <v>-2.2105676240385799E-2</v>
      </c>
      <c r="AG3683">
        <v>-8.6386999999999894E-2</v>
      </c>
      <c r="AH3683">
        <v>0.48706714476941998</v>
      </c>
      <c r="AI3683">
        <v>100.04734920268299</v>
      </c>
      <c r="AJ3683">
        <v>92.598601460644801</v>
      </c>
      <c r="AK3683">
        <v>0.49516237559499598</v>
      </c>
    </row>
    <row r="3684" spans="1:37" x14ac:dyDescent="0.2">
      <c r="A3684" t="str">
        <f>"20200111153723882"</f>
        <v>20200111153723882</v>
      </c>
      <c r="B3684" t="str">
        <f>"1578728243876381"</f>
        <v>1578728243876381</v>
      </c>
      <c r="C3684" t="s">
        <v>37</v>
      </c>
      <c r="D3684">
        <v>5.818956</v>
      </c>
      <c r="E3684">
        <v>0.4425519</v>
      </c>
      <c r="F3684" t="s">
        <v>38</v>
      </c>
      <c r="G3684">
        <v>-191.0607</v>
      </c>
      <c r="H3684">
        <v>1.020769</v>
      </c>
      <c r="I3684">
        <v>172.93440000000001</v>
      </c>
      <c r="J3684">
        <v>-191.05879999999999</v>
      </c>
      <c r="K3684">
        <v>1.1049279999999999</v>
      </c>
      <c r="L3684">
        <v>173.40780000000001</v>
      </c>
      <c r="M3684">
        <v>-5.0245329999999998E-2</v>
      </c>
      <c r="N3684">
        <v>0</v>
      </c>
      <c r="O3684">
        <v>-0.99864909999999996</v>
      </c>
      <c r="P3684">
        <v>-0.1756539</v>
      </c>
      <c r="Q3684">
        <v>2.6284419999999999E-2</v>
      </c>
      <c r="R3684">
        <v>-0.98410159999999902</v>
      </c>
      <c r="S3684">
        <v>-5.941772E-2</v>
      </c>
      <c r="T3684">
        <v>-0.35610710000000001</v>
      </c>
      <c r="U3684">
        <v>-3.0473629999999998</v>
      </c>
      <c r="V3684">
        <v>0.1259661</v>
      </c>
      <c r="W3684">
        <v>3.9478829999999999E-2</v>
      </c>
      <c r="X3684">
        <v>0.99124869999999898</v>
      </c>
      <c r="Y3684">
        <v>-3.0901700000000001E-2</v>
      </c>
      <c r="Z3684">
        <v>0.11580989999999999</v>
      </c>
      <c r="AA3684">
        <v>0.99279059999999897</v>
      </c>
      <c r="AB3684">
        <v>24</v>
      </c>
      <c r="AC3684">
        <v>-1.90000000000623E-3</v>
      </c>
      <c r="AD3684">
        <v>-8.4159000000000095E-2</v>
      </c>
      <c r="AE3684">
        <v>-0.47339999999999799</v>
      </c>
      <c r="AF3684">
        <v>-2.12199957114435E-2</v>
      </c>
      <c r="AG3684">
        <v>-8.4159000000000095E-2</v>
      </c>
      <c r="AH3684">
        <v>0.45840997927090898</v>
      </c>
      <c r="AI3684">
        <v>100.39214049591899</v>
      </c>
      <c r="AJ3684">
        <v>92.650354369834901</v>
      </c>
      <c r="AK3684">
        <v>0.466554106823795</v>
      </c>
    </row>
    <row r="3685" spans="1:37" x14ac:dyDescent="0.2">
      <c r="A3685" t="str">
        <f>"20200111153723904"</f>
        <v>20200111153723904</v>
      </c>
      <c r="B3685" t="str">
        <f>"1578728243896876"</f>
        <v>1578728243896876</v>
      </c>
      <c r="C3685" t="s">
        <v>37</v>
      </c>
      <c r="D3685">
        <v>5.8465160000000003</v>
      </c>
      <c r="E3685">
        <v>0.44275519999999902</v>
      </c>
      <c r="F3685" t="s">
        <v>38</v>
      </c>
      <c r="G3685">
        <v>-191.07599999999999</v>
      </c>
      <c r="H3685">
        <v>1.0006699999999999</v>
      </c>
      <c r="I3685">
        <v>172.5103</v>
      </c>
      <c r="J3685">
        <v>-191.07089999999999</v>
      </c>
      <c r="K3685">
        <v>1.1049209999999901</v>
      </c>
      <c r="L3685">
        <v>173.16</v>
      </c>
      <c r="M3685">
        <v>-4.9994209999999997E-2</v>
      </c>
      <c r="N3685">
        <v>0</v>
      </c>
      <c r="O3685">
        <v>-0.99866180000000004</v>
      </c>
      <c r="P3685">
        <v>-0.1758885</v>
      </c>
      <c r="Q3685">
        <v>2.7028690000000001E-2</v>
      </c>
      <c r="R3685">
        <v>-0.98403949999999996</v>
      </c>
      <c r="S3685">
        <v>-5.85021999999999E-2</v>
      </c>
      <c r="T3685">
        <v>-0.35398109999999999</v>
      </c>
      <c r="U3685">
        <v>-3.047485</v>
      </c>
      <c r="V3685">
        <v>0.1264537</v>
      </c>
      <c r="W3685">
        <v>4.0218770000000001E-2</v>
      </c>
      <c r="X3685">
        <v>0.99115689999999901</v>
      </c>
      <c r="Y3685">
        <v>-3.094775E-2</v>
      </c>
      <c r="Z3685">
        <v>0.11512559999999999</v>
      </c>
      <c r="AA3685">
        <v>0.99286869999999905</v>
      </c>
      <c r="AB3685">
        <v>24</v>
      </c>
      <c r="AC3685">
        <v>-5.0999999999987696E-3</v>
      </c>
      <c r="AD3685">
        <v>-0.104250999999999</v>
      </c>
      <c r="AE3685">
        <v>-0.64969999999999495</v>
      </c>
      <c r="AF3685">
        <v>-2.6702970572876301E-2</v>
      </c>
      <c r="AG3685">
        <v>-0.104250999999999</v>
      </c>
      <c r="AH3685">
        <v>0.63284913903512696</v>
      </c>
      <c r="AI3685">
        <v>99.346310368987403</v>
      </c>
      <c r="AJ3685">
        <v>92.416153237005503</v>
      </c>
      <c r="AK3685">
        <v>0.64193407170512196</v>
      </c>
    </row>
    <row r="3686" spans="1:37" x14ac:dyDescent="0.2">
      <c r="A3686" t="str">
        <f>"20200111153723927"</f>
        <v>20200111153723927</v>
      </c>
      <c r="B3686" t="str">
        <f>"1578728243916400"</f>
        <v>1578728243916400</v>
      </c>
      <c r="C3686" t="s">
        <v>37</v>
      </c>
      <c r="D3686">
        <v>6.1643610000000004</v>
      </c>
      <c r="E3686">
        <v>0.44281110000000001</v>
      </c>
      <c r="F3686" t="s">
        <v>38</v>
      </c>
      <c r="G3686">
        <v>-191.0883</v>
      </c>
      <c r="H3686">
        <v>1.0051129999999999</v>
      </c>
      <c r="I3686">
        <v>172.29169999999999</v>
      </c>
      <c r="J3686">
        <v>-191.08260000000001</v>
      </c>
      <c r="K3686">
        <v>1.104916</v>
      </c>
      <c r="L3686">
        <v>172.92160000000001</v>
      </c>
      <c r="M3686">
        <v>-4.9761979999999997E-2</v>
      </c>
      <c r="N3686">
        <v>0</v>
      </c>
      <c r="O3686">
        <v>-0.99867320000000004</v>
      </c>
      <c r="P3686">
        <v>-0.17699309999999999</v>
      </c>
      <c r="Q3686">
        <v>2.725371E-2</v>
      </c>
      <c r="R3686">
        <v>-0.98383500000000002</v>
      </c>
      <c r="S3686">
        <v>-6.0592649999999998E-2</v>
      </c>
      <c r="T3686">
        <v>-0.35037819999999997</v>
      </c>
      <c r="U3686">
        <v>-3.0474549999999998</v>
      </c>
      <c r="V3686">
        <v>0.1277982</v>
      </c>
      <c r="W3686">
        <v>4.0439839999999998E-2</v>
      </c>
      <c r="X3686">
        <v>0.99097539999999995</v>
      </c>
      <c r="Y3686">
        <v>-3.0031660000000002E-2</v>
      </c>
      <c r="Z3686">
        <v>0.11397309999999999</v>
      </c>
      <c r="AA3686">
        <v>0.99302979999999996</v>
      </c>
      <c r="AB3686">
        <v>24</v>
      </c>
      <c r="AC3686">
        <v>-5.6999999999902597E-3</v>
      </c>
      <c r="AD3686">
        <v>-9.9803000000000003E-2</v>
      </c>
      <c r="AE3686">
        <v>-0.62990000000002</v>
      </c>
      <c r="AF3686">
        <v>-2.50266668466094E-2</v>
      </c>
      <c r="AG3686">
        <v>-9.9803000000000003E-2</v>
      </c>
      <c r="AH3686">
        <v>0.61399075222351596</v>
      </c>
      <c r="AI3686">
        <v>99.2250401610452</v>
      </c>
      <c r="AJ3686">
        <v>92.334121564459593</v>
      </c>
      <c r="AK3686">
        <v>0.62255250114223304</v>
      </c>
    </row>
    <row r="3687" spans="1:37" x14ac:dyDescent="0.2">
      <c r="A3687" t="str">
        <f>"20200111153723948"</f>
        <v>20200111153723948</v>
      </c>
      <c r="B3687" t="str">
        <f>"1578728243936893"</f>
        <v>1578728243936893</v>
      </c>
      <c r="C3687" t="s">
        <v>37</v>
      </c>
      <c r="D3687">
        <v>6.2764249999999997</v>
      </c>
      <c r="E3687">
        <v>0.4454323</v>
      </c>
      <c r="F3687" t="s">
        <v>38</v>
      </c>
      <c r="G3687">
        <v>-191.10040000000001</v>
      </c>
      <c r="H3687">
        <v>1.0079180000000001</v>
      </c>
      <c r="I3687">
        <v>172.07419999999999</v>
      </c>
      <c r="J3687">
        <v>-191.09399999999999</v>
      </c>
      <c r="K3687">
        <v>1.1049</v>
      </c>
      <c r="L3687">
        <v>172.68559999999999</v>
      </c>
      <c r="M3687">
        <v>-4.9538199999999998E-2</v>
      </c>
      <c r="N3687">
        <v>0</v>
      </c>
      <c r="O3687">
        <v>-0.99868440000000003</v>
      </c>
      <c r="P3687">
        <v>-0.1783555</v>
      </c>
      <c r="Q3687">
        <v>2.6920940000000001E-2</v>
      </c>
      <c r="R3687">
        <v>-0.98359789999999903</v>
      </c>
      <c r="S3687">
        <v>-6.4315800000000006E-2</v>
      </c>
      <c r="T3687">
        <v>-0.34880850000000002</v>
      </c>
      <c r="U3687">
        <v>-3.0473789999999998</v>
      </c>
      <c r="V3687">
        <v>0.12939329999999999</v>
      </c>
      <c r="W3687">
        <v>4.0103949999999999E-2</v>
      </c>
      <c r="X3687">
        <v>0.99078199999999905</v>
      </c>
      <c r="Y3687">
        <v>-2.8593230000000001E-2</v>
      </c>
      <c r="Z3687">
        <v>0.1134748</v>
      </c>
      <c r="AA3687">
        <v>0.99312939999999905</v>
      </c>
      <c r="AB3687">
        <v>24</v>
      </c>
      <c r="AC3687">
        <v>-6.39999999998508E-3</v>
      </c>
      <c r="AD3687">
        <v>-9.6981999999999902E-2</v>
      </c>
      <c r="AE3687">
        <v>-0.61140000000000305</v>
      </c>
      <c r="AF3687">
        <v>-2.33116859110797E-2</v>
      </c>
      <c r="AG3687">
        <v>-9.6981999999999902E-2</v>
      </c>
      <c r="AH3687">
        <v>0.59597253855812804</v>
      </c>
      <c r="AI3687">
        <v>99.235726689826507</v>
      </c>
      <c r="AJ3687">
        <v>92.240003627203606</v>
      </c>
      <c r="AK3687">
        <v>0.60426170633214504</v>
      </c>
    </row>
    <row r="3688" spans="1:37" x14ac:dyDescent="0.2">
      <c r="A3688" t="str">
        <f>"20200111153723970"</f>
        <v>20200111153723970</v>
      </c>
      <c r="B3688" t="str">
        <f>"1578728243966680"</f>
        <v>1578728243966680</v>
      </c>
      <c r="C3688" t="s">
        <v>37</v>
      </c>
      <c r="D3688">
        <v>6.1478190000000001</v>
      </c>
      <c r="E3688">
        <v>0.56576910000000002</v>
      </c>
      <c r="F3688" t="s">
        <v>38</v>
      </c>
      <c r="G3688">
        <v>-191.11840000000001</v>
      </c>
      <c r="H3688">
        <v>1.0102329999999999</v>
      </c>
      <c r="I3688">
        <v>171.85749999999999</v>
      </c>
      <c r="J3688">
        <v>-191.10570000000001</v>
      </c>
      <c r="K3688">
        <v>1.104889</v>
      </c>
      <c r="L3688">
        <v>172.4452</v>
      </c>
      <c r="M3688">
        <v>-4.9312870000000002E-2</v>
      </c>
      <c r="N3688">
        <v>0</v>
      </c>
      <c r="O3688">
        <v>-0.99869540000000001</v>
      </c>
      <c r="P3688">
        <v>-0.1806132</v>
      </c>
      <c r="Q3688">
        <v>2.6003559999999998E-2</v>
      </c>
      <c r="R3688">
        <v>-0.98321039999999904</v>
      </c>
      <c r="S3688">
        <v>-8.9187619999999995E-2</v>
      </c>
      <c r="T3688">
        <v>-0.34796319999999997</v>
      </c>
      <c r="U3688">
        <v>-3.0433650000000001</v>
      </c>
      <c r="V3688">
        <v>0.13189149999999999</v>
      </c>
      <c r="W3688">
        <v>3.9182469999999997E-2</v>
      </c>
      <c r="X3688">
        <v>0.99048950000000002</v>
      </c>
      <c r="Y3688">
        <v>-2.022767E-2</v>
      </c>
      <c r="Z3688">
        <v>0.1133527</v>
      </c>
      <c r="AA3688">
        <v>0.99334889999999998</v>
      </c>
      <c r="AB3688">
        <v>24</v>
      </c>
      <c r="AC3688">
        <v>-1.26999999999952E-2</v>
      </c>
      <c r="AD3688">
        <v>-9.4656000000000004E-2</v>
      </c>
      <c r="AE3688">
        <v>-0.58770000000001199</v>
      </c>
      <c r="AF3688">
        <v>-1.58872376226049E-2</v>
      </c>
      <c r="AG3688">
        <v>-9.4656000000000004E-2</v>
      </c>
      <c r="AH3688">
        <v>0.57276021914278596</v>
      </c>
      <c r="AI3688">
        <v>99.380503059407104</v>
      </c>
      <c r="AJ3688">
        <v>91.588864392884602</v>
      </c>
      <c r="AK3688">
        <v>0.58074644319855295</v>
      </c>
    </row>
    <row r="3689" spans="1:37" x14ac:dyDescent="0.2">
      <c r="A3689" t="str">
        <f>"20200111153723994"</f>
        <v>20200111153723994</v>
      </c>
      <c r="B3689" t="str">
        <f>"1578728243986202"</f>
        <v>1578728243986202</v>
      </c>
      <c r="C3689" t="s">
        <v>37</v>
      </c>
      <c r="D3689">
        <v>6.054856</v>
      </c>
      <c r="E3689">
        <v>0.57000699999999904</v>
      </c>
      <c r="F3689" t="s">
        <v>39</v>
      </c>
      <c r="G3689">
        <v>-194.58260000000001</v>
      </c>
      <c r="H3689" s="1">
        <v>-2.7726509999999999E-6</v>
      </c>
      <c r="I3689">
        <v>162.8777</v>
      </c>
      <c r="J3689">
        <v>-191.1181</v>
      </c>
      <c r="K3689">
        <v>1.104884</v>
      </c>
      <c r="L3689">
        <v>172.18879999999999</v>
      </c>
      <c r="M3689">
        <v>-4.9071570000000002E-2</v>
      </c>
      <c r="N3689">
        <v>0</v>
      </c>
      <c r="O3689">
        <v>-0.99870729999999996</v>
      </c>
      <c r="P3689">
        <v>-0.18292259999999999</v>
      </c>
      <c r="Q3689">
        <v>2.5653789999999999E-2</v>
      </c>
      <c r="R3689">
        <v>-0.98279269999999996</v>
      </c>
      <c r="S3689">
        <v>-1.042435</v>
      </c>
      <c r="T3689">
        <v>-0.33126499999999998</v>
      </c>
      <c r="U3689">
        <v>-2.8685</v>
      </c>
      <c r="V3689">
        <v>0.1344581</v>
      </c>
      <c r="W3689">
        <v>3.8828929999999998E-2</v>
      </c>
      <c r="X3689">
        <v>0.99015830000000005</v>
      </c>
      <c r="Y3689">
        <v>0.29300179999999998</v>
      </c>
      <c r="Z3689">
        <v>0.1085716</v>
      </c>
      <c r="AA3689">
        <v>0.94992739999999998</v>
      </c>
      <c r="AB3689">
        <v>24</v>
      </c>
      <c r="AC3689">
        <v>-3.4645000000000099</v>
      </c>
      <c r="AD3689">
        <v>-1.1048867726510001</v>
      </c>
      <c r="AE3689">
        <v>-9.3110999999999802</v>
      </c>
      <c r="AF3689">
        <v>2.9666812620399599</v>
      </c>
      <c r="AG3689">
        <v>-1.1048867726510001</v>
      </c>
      <c r="AH3689">
        <v>9.3542053880233809</v>
      </c>
      <c r="AI3689">
        <v>96.423871500797404</v>
      </c>
      <c r="AJ3689">
        <v>72.403603359017296</v>
      </c>
      <c r="AK3689">
        <v>9.8753800398892899</v>
      </c>
    </row>
    <row r="3690" spans="1:37" x14ac:dyDescent="0.2">
      <c r="A3690" t="str">
        <f>"20200111153724007"</f>
        <v>20200111153724007</v>
      </c>
      <c r="B3690" t="str">
        <f>"1578728243996936"</f>
        <v>1578728243996936</v>
      </c>
      <c r="C3690" t="s">
        <v>37</v>
      </c>
      <c r="D3690">
        <v>6.0864699999999896</v>
      </c>
      <c r="E3690">
        <v>0.57094880000000003</v>
      </c>
      <c r="F3690" t="s">
        <v>39</v>
      </c>
      <c r="G3690">
        <v>-194.5737</v>
      </c>
      <c r="H3690" s="1">
        <v>-2.8553279999999999E-6</v>
      </c>
      <c r="I3690">
        <v>163.05760000000001</v>
      </c>
      <c r="J3690">
        <v>-191.1249</v>
      </c>
      <c r="K3690">
        <v>1.1048899999999999</v>
      </c>
      <c r="L3690">
        <v>172.04640000000001</v>
      </c>
      <c r="M3690">
        <v>-4.8936130000000001E-2</v>
      </c>
      <c r="N3690">
        <v>0</v>
      </c>
      <c r="O3690">
        <v>-0.9987142</v>
      </c>
      <c r="P3690">
        <v>-0.18396379999999901</v>
      </c>
      <c r="Q3690">
        <v>2.5566209999999999E-2</v>
      </c>
      <c r="R3690">
        <v>-0.9826009</v>
      </c>
      <c r="S3690">
        <v>-1.082382</v>
      </c>
      <c r="T3690">
        <v>-0.34607659999999901</v>
      </c>
      <c r="U3690">
        <v>-2.8601070000000002</v>
      </c>
      <c r="V3690">
        <v>0.13564189999999901</v>
      </c>
      <c r="W3690">
        <v>3.8739349999999999E-2</v>
      </c>
      <c r="X3690">
        <v>0.99000030000000006</v>
      </c>
      <c r="Y3690">
        <v>0.30547729999999901</v>
      </c>
      <c r="Z3690">
        <v>0.113180999999999</v>
      </c>
      <c r="AA3690">
        <v>0.94544889999999904</v>
      </c>
      <c r="AB3690">
        <v>24</v>
      </c>
      <c r="AC3690">
        <v>-3.4487999999999999</v>
      </c>
      <c r="AD3690">
        <v>-1.104892855328</v>
      </c>
      <c r="AE3690">
        <v>-8.9887999999999906</v>
      </c>
      <c r="AF3690">
        <v>2.9656927134853399</v>
      </c>
      <c r="AG3690">
        <v>-1.104892855328</v>
      </c>
      <c r="AH3690">
        <v>9.0279143882381803</v>
      </c>
      <c r="AI3690">
        <v>96.632184307283097</v>
      </c>
      <c r="AJ3690">
        <v>71.814517338942807</v>
      </c>
      <c r="AK3690">
        <v>9.5665751287455407</v>
      </c>
    </row>
    <row r="3691" spans="1:37" x14ac:dyDescent="0.2">
      <c r="A3691" t="str">
        <f>"20200111153724027"</f>
        <v>20200111153724027</v>
      </c>
      <c r="B3691" t="str">
        <f>"1578728244016455"</f>
        <v>1578728244016455</v>
      </c>
      <c r="C3691" t="s">
        <v>37</v>
      </c>
      <c r="D3691">
        <v>6.0603920000000002</v>
      </c>
      <c r="E3691">
        <v>0.57176269999999996</v>
      </c>
      <c r="F3691" t="s">
        <v>39</v>
      </c>
      <c r="G3691">
        <v>-194.58629999999999</v>
      </c>
      <c r="H3691" s="1">
        <v>-2.82802799999999E-6</v>
      </c>
      <c r="I3691">
        <v>162.99270000000001</v>
      </c>
      <c r="J3691">
        <v>-191.13480000000001</v>
      </c>
      <c r="K3691">
        <v>1.1048929999999999</v>
      </c>
      <c r="L3691">
        <v>171.83920000000001</v>
      </c>
      <c r="M3691">
        <v>-4.8737099999999998E-2</v>
      </c>
      <c r="N3691">
        <v>0</v>
      </c>
      <c r="O3691">
        <v>-0.99872399999999995</v>
      </c>
      <c r="P3691">
        <v>-0.1854411</v>
      </c>
      <c r="Q3691">
        <v>2.5363239999999999E-2</v>
      </c>
      <c r="R3691">
        <v>-0.98232830000000004</v>
      </c>
      <c r="S3691">
        <v>-1.0925450000000001</v>
      </c>
      <c r="T3691">
        <v>-0.34874579999999999</v>
      </c>
      <c r="U3691">
        <v>-2.8576809999999999</v>
      </c>
      <c r="V3691">
        <v>0.13732800000000001</v>
      </c>
      <c r="W3691">
        <v>3.853351E-2</v>
      </c>
      <c r="X3691">
        <v>0.98977579999999998</v>
      </c>
      <c r="Y3691">
        <v>0.3088342</v>
      </c>
      <c r="Z3691">
        <v>0.1140009</v>
      </c>
      <c r="AA3691">
        <v>0.94425910000000002</v>
      </c>
      <c r="AB3691">
        <v>24</v>
      </c>
      <c r="AC3691">
        <v>-3.4514999999999798</v>
      </c>
      <c r="AD3691">
        <v>-1.1048958280279999</v>
      </c>
      <c r="AE3691">
        <v>-8.84649999999999</v>
      </c>
      <c r="AF3691">
        <v>2.9759182851585102</v>
      </c>
      <c r="AG3691">
        <v>-1.1048958280279999</v>
      </c>
      <c r="AH3691">
        <v>8.8839426847912808</v>
      </c>
      <c r="AI3691">
        <v>96.725794731955702</v>
      </c>
      <c r="AJ3691">
        <v>71.480324832623197</v>
      </c>
      <c r="AK3691">
        <v>9.4340512006979793</v>
      </c>
    </row>
    <row r="3692" spans="1:37" x14ac:dyDescent="0.2">
      <c r="A3692" t="str">
        <f>"20200111153724040"</f>
        <v>20200111153724040</v>
      </c>
      <c r="B3692" t="str">
        <f>"1578728244036953"</f>
        <v>1578728244036953</v>
      </c>
      <c r="C3692" t="s">
        <v>37</v>
      </c>
      <c r="D3692">
        <v>6.0247479999999998</v>
      </c>
      <c r="E3692">
        <v>0.57264510000000002</v>
      </c>
      <c r="F3692" t="s">
        <v>39</v>
      </c>
      <c r="G3692">
        <v>-194.61340000000001</v>
      </c>
      <c r="H3692" s="1">
        <v>-2.7614519999999899E-6</v>
      </c>
      <c r="I3692">
        <v>162.8366</v>
      </c>
      <c r="J3692">
        <v>-191.14179999999999</v>
      </c>
      <c r="K3692">
        <v>1.104894</v>
      </c>
      <c r="L3692">
        <v>171.6919</v>
      </c>
      <c r="M3692">
        <v>-4.8594690000000003E-2</v>
      </c>
      <c r="N3692">
        <v>0</v>
      </c>
      <c r="O3692">
        <v>-0.99873069999999897</v>
      </c>
      <c r="P3692">
        <v>-0.1861178</v>
      </c>
      <c r="Q3692">
        <v>2.5323720000000001E-2</v>
      </c>
      <c r="R3692">
        <v>-0.982201199999999</v>
      </c>
      <c r="S3692">
        <v>-1.1031040000000001</v>
      </c>
      <c r="T3692">
        <v>-0.35037360000000001</v>
      </c>
      <c r="U3692">
        <v>-2.854797</v>
      </c>
      <c r="V3692">
        <v>0.1381513</v>
      </c>
      <c r="W3692">
        <v>3.8492539999999999E-2</v>
      </c>
      <c r="X3692">
        <v>0.98966279999999995</v>
      </c>
      <c r="Y3692">
        <v>0.31230819999999998</v>
      </c>
      <c r="Z3692">
        <v>0.11449429999999999</v>
      </c>
      <c r="AA3692">
        <v>0.94305599999999901</v>
      </c>
      <c r="AB3692">
        <v>24</v>
      </c>
      <c r="AC3692">
        <v>-3.47160000000002</v>
      </c>
      <c r="AD3692">
        <v>-1.104896761452</v>
      </c>
      <c r="AE3692">
        <v>-8.8552999999999997</v>
      </c>
      <c r="AF3692">
        <v>2.9967014755828401</v>
      </c>
      <c r="AG3692">
        <v>-1.104896761452</v>
      </c>
      <c r="AH3692">
        <v>8.8935413509453092</v>
      </c>
      <c r="AI3692">
        <v>96.714638921022996</v>
      </c>
      <c r="AJ3692">
        <v>71.378624769805597</v>
      </c>
      <c r="AK3692">
        <v>9.4496610705464796</v>
      </c>
    </row>
    <row r="3693" spans="1:37" x14ac:dyDescent="0.2">
      <c r="A3693" t="str">
        <f>"20200111153724060"</f>
        <v>20200111153724060</v>
      </c>
      <c r="B3693" t="str">
        <f>"1578728244056472"</f>
        <v>1578728244056472</v>
      </c>
      <c r="C3693" t="s">
        <v>37</v>
      </c>
      <c r="D3693">
        <v>6.0836110000000003</v>
      </c>
      <c r="E3693">
        <v>0.57195410000000002</v>
      </c>
      <c r="F3693" t="s">
        <v>39</v>
      </c>
      <c r="G3693">
        <v>-194.65559999999999</v>
      </c>
      <c r="H3693" s="1">
        <v>-2.6972659999999999E-6</v>
      </c>
      <c r="I3693">
        <v>162.6771</v>
      </c>
      <c r="J3693">
        <v>-191.1523</v>
      </c>
      <c r="K3693">
        <v>1.104894</v>
      </c>
      <c r="L3693">
        <v>171.4727</v>
      </c>
      <c r="M3693">
        <v>-4.8381859999999999E-2</v>
      </c>
      <c r="N3693">
        <v>0</v>
      </c>
      <c r="O3693">
        <v>-0.99874110000000005</v>
      </c>
      <c r="P3693">
        <v>-0.18746450000000001</v>
      </c>
      <c r="Q3693">
        <v>2.5583760000000001E-2</v>
      </c>
      <c r="R3693">
        <v>-0.98193829999999904</v>
      </c>
      <c r="S3693">
        <v>-1.1119079999999999</v>
      </c>
      <c r="T3693">
        <v>-0.34964079999999997</v>
      </c>
      <c r="U3693">
        <v>-2.8526919999999998</v>
      </c>
      <c r="V3693">
        <v>0.13972000000000001</v>
      </c>
      <c r="W3693">
        <v>3.8749350000000002E-2</v>
      </c>
      <c r="X3693">
        <v>0.989432599999999</v>
      </c>
      <c r="Y3693">
        <v>0.315283799999999</v>
      </c>
      <c r="Z3693">
        <v>0.114219</v>
      </c>
      <c r="AA3693">
        <v>0.94209880000000001</v>
      </c>
      <c r="AB3693">
        <v>24</v>
      </c>
      <c r="AC3693">
        <v>-3.5032999999999901</v>
      </c>
      <c r="AD3693">
        <v>-1.1048966972659999</v>
      </c>
      <c r="AE3693">
        <v>-8.7956000000000092</v>
      </c>
      <c r="AF3693">
        <v>3.0323130879018798</v>
      </c>
      <c r="AG3693">
        <v>-1.1048966972659999</v>
      </c>
      <c r="AH3693">
        <v>8.8344871728619303</v>
      </c>
      <c r="AI3693">
        <v>96.746294179327293</v>
      </c>
      <c r="AJ3693">
        <v>71.055939715875795</v>
      </c>
      <c r="AK3693">
        <v>9.4055240673846701</v>
      </c>
    </row>
    <row r="3694" spans="1:37" x14ac:dyDescent="0.2">
      <c r="A3694" t="str">
        <f>"20200111153724085"</f>
        <v>20200111153724085</v>
      </c>
      <c r="B3694" t="str">
        <f>"1578728244076499"</f>
        <v>1578728244076499</v>
      </c>
      <c r="C3694" t="s">
        <v>37</v>
      </c>
      <c r="D3694">
        <v>6.1062479999999999</v>
      </c>
      <c r="E3694">
        <v>0.57144130000000004</v>
      </c>
      <c r="F3694" t="s">
        <v>39</v>
      </c>
      <c r="G3694">
        <v>-194.65219999999999</v>
      </c>
      <c r="H3694" s="1">
        <v>-2.6022269999999999E-6</v>
      </c>
      <c r="I3694">
        <v>162.47799999999901</v>
      </c>
      <c r="J3694">
        <v>-191.1644</v>
      </c>
      <c r="K3694">
        <v>1.1048929999999999</v>
      </c>
      <c r="L3694">
        <v>171.21539999999999</v>
      </c>
      <c r="M3694">
        <v>-4.8135070000000002E-2</v>
      </c>
      <c r="N3694">
        <v>0</v>
      </c>
      <c r="O3694">
        <v>-0.99875309999999995</v>
      </c>
      <c r="P3694">
        <v>-0.18851809999999999</v>
      </c>
      <c r="Q3694">
        <v>2.5789889999999999E-2</v>
      </c>
      <c r="R3694">
        <v>-0.98173120000000003</v>
      </c>
      <c r="S3694">
        <v>-1.1098939999999999</v>
      </c>
      <c r="T3694">
        <v>-0.35038750000000002</v>
      </c>
      <c r="U3694">
        <v>-2.8524319999999999</v>
      </c>
      <c r="V3694">
        <v>0.14102690000000001</v>
      </c>
      <c r="W3694">
        <v>3.8952340000000002E-2</v>
      </c>
      <c r="X3694">
        <v>0.98923919999999999</v>
      </c>
      <c r="Y3694">
        <v>0.31495809999999902</v>
      </c>
      <c r="Z3694">
        <v>0.1144915</v>
      </c>
      <c r="AA3694">
        <v>0.94217469999999903</v>
      </c>
      <c r="AB3694">
        <v>24</v>
      </c>
      <c r="AC3694">
        <v>-3.4877999999999898</v>
      </c>
      <c r="AD3694">
        <v>-1.104895602227</v>
      </c>
      <c r="AE3694">
        <v>-8.7373999999999992</v>
      </c>
      <c r="AF3694">
        <v>3.0214683914655298</v>
      </c>
      <c r="AG3694">
        <v>-1.104895602227</v>
      </c>
      <c r="AH3694">
        <v>8.77414671114634</v>
      </c>
      <c r="AI3694">
        <v>96.789924342139201</v>
      </c>
      <c r="AJ3694">
        <v>70.998322224479296</v>
      </c>
      <c r="AK3694">
        <v>9.3453579942753393</v>
      </c>
    </row>
    <row r="3695" spans="1:37" x14ac:dyDescent="0.2">
      <c r="A3695" t="str">
        <f>"20200111153724106"</f>
        <v>20200111153724106</v>
      </c>
      <c r="B3695" t="str">
        <f>"1578728244096996"</f>
        <v>1578728244096996</v>
      </c>
      <c r="C3695" t="s">
        <v>37</v>
      </c>
      <c r="D3695">
        <v>6.11008</v>
      </c>
      <c r="E3695">
        <v>0.57114319999999996</v>
      </c>
      <c r="F3695" t="s">
        <v>39</v>
      </c>
      <c r="G3695">
        <v>-194.65190000000001</v>
      </c>
      <c r="H3695" s="1">
        <v>-2.4903659999999998E-6</v>
      </c>
      <c r="I3695">
        <v>162.2415</v>
      </c>
      <c r="J3695">
        <v>-191.17529999999999</v>
      </c>
      <c r="K3695">
        <v>1.104889</v>
      </c>
      <c r="L3695">
        <v>170.9854</v>
      </c>
      <c r="M3695">
        <v>-4.7919929999999999E-2</v>
      </c>
      <c r="N3695">
        <v>0</v>
      </c>
      <c r="O3695">
        <v>-0.99876330000000002</v>
      </c>
      <c r="P3695">
        <v>-0.1899894</v>
      </c>
      <c r="Q3695">
        <v>2.5835500000000001E-2</v>
      </c>
      <c r="R3695">
        <v>-0.9814465</v>
      </c>
      <c r="S3695">
        <v>-1.1084290000000001</v>
      </c>
      <c r="T3695">
        <v>-0.35116799999999998</v>
      </c>
      <c r="U3695">
        <v>-2.8521879999999999</v>
      </c>
      <c r="V3695">
        <v>0.14272370000000001</v>
      </c>
      <c r="W3695">
        <v>3.8993310000000003E-2</v>
      </c>
      <c r="X3695">
        <v>0.98899419999999905</v>
      </c>
      <c r="Y3695">
        <v>0.31475779999999998</v>
      </c>
      <c r="Z3695">
        <v>0.11476789999999901</v>
      </c>
      <c r="AA3695">
        <v>0.94220800000000005</v>
      </c>
      <c r="AB3695">
        <v>24</v>
      </c>
      <c r="AC3695">
        <v>-3.4766000000000101</v>
      </c>
      <c r="AD3695">
        <v>-1.1048914903660001</v>
      </c>
      <c r="AE3695">
        <v>-8.7438999999999893</v>
      </c>
      <c r="AF3695">
        <v>3.0120328786661599</v>
      </c>
      <c r="AG3695">
        <v>-1.1048914903660001</v>
      </c>
      <c r="AH3695">
        <v>8.7794193828929501</v>
      </c>
      <c r="AI3695">
        <v>96.788508387352806</v>
      </c>
      <c r="AJ3695">
        <v>71.063990967277107</v>
      </c>
      <c r="AK3695">
        <v>9.3472633411263999</v>
      </c>
    </row>
    <row r="3696" spans="1:37" x14ac:dyDescent="0.2">
      <c r="A3696" t="str">
        <f>"20200111153724129"</f>
        <v>20200111153724129</v>
      </c>
      <c r="B3696" t="str">
        <f>"1578728244116517"</f>
        <v>1578728244116517</v>
      </c>
      <c r="C3696" t="s">
        <v>37</v>
      </c>
      <c r="D3696">
        <v>5.9907329999999996</v>
      </c>
      <c r="E3696">
        <v>0.57064680000000001</v>
      </c>
      <c r="F3696" t="s">
        <v>39</v>
      </c>
      <c r="G3696">
        <v>-194.6463</v>
      </c>
      <c r="H3696" s="1">
        <v>-2.4074430000000002E-6</v>
      </c>
      <c r="I3696">
        <v>162.0692</v>
      </c>
      <c r="J3696">
        <v>-191.1866</v>
      </c>
      <c r="K3696">
        <v>1.104884</v>
      </c>
      <c r="L3696">
        <v>170.74449999999999</v>
      </c>
      <c r="M3696">
        <v>-4.7707119999999999E-2</v>
      </c>
      <c r="N3696">
        <v>0</v>
      </c>
      <c r="O3696">
        <v>-0.99877349999999998</v>
      </c>
      <c r="P3696">
        <v>-0.19144220000000001</v>
      </c>
      <c r="Q3696">
        <v>2.5234920000000001E-2</v>
      </c>
      <c r="R3696">
        <v>-0.98117949999999998</v>
      </c>
      <c r="S3696">
        <v>-1.1099399999999999</v>
      </c>
      <c r="T3696">
        <v>-0.35331679999999999</v>
      </c>
      <c r="U3696">
        <v>-2.8511660000000001</v>
      </c>
      <c r="V3696">
        <v>0.14439920000000001</v>
      </c>
      <c r="W3696">
        <v>3.838627E-2</v>
      </c>
      <c r="X3696">
        <v>0.98877469999999901</v>
      </c>
      <c r="Y3696">
        <v>0.31547770000000003</v>
      </c>
      <c r="Z3696">
        <v>0.11547549999999999</v>
      </c>
      <c r="AA3696">
        <v>0.94188069999999902</v>
      </c>
      <c r="AB3696">
        <v>24</v>
      </c>
      <c r="AC3696">
        <v>-3.45969999999999</v>
      </c>
      <c r="AD3696">
        <v>-1.10488640744299</v>
      </c>
      <c r="AE3696">
        <v>-8.6752999999999894</v>
      </c>
      <c r="AF3696">
        <v>2.99986743933442</v>
      </c>
      <c r="AG3696">
        <v>-1.10488640744299</v>
      </c>
      <c r="AH3696">
        <v>8.7086115555919701</v>
      </c>
      <c r="AI3696">
        <v>96.840250387403799</v>
      </c>
      <c r="AJ3696">
        <v>70.992636208327596</v>
      </c>
      <c r="AK3696">
        <v>9.2768471935847501</v>
      </c>
    </row>
    <row r="3697" spans="1:37" x14ac:dyDescent="0.2">
      <c r="A3697" t="str">
        <f>"20200111153724150"</f>
        <v>20200111153724150</v>
      </c>
      <c r="B3697" t="str">
        <f>"1578728244137012"</f>
        <v>1578728244137012</v>
      </c>
      <c r="C3697" t="s">
        <v>37</v>
      </c>
      <c r="D3697">
        <v>6.1140429999999997</v>
      </c>
      <c r="E3697">
        <v>0.57056609999999996</v>
      </c>
      <c r="F3697" t="s">
        <v>39</v>
      </c>
      <c r="G3697">
        <v>-194.6037</v>
      </c>
      <c r="H3697" s="1">
        <v>-2.348615E-6</v>
      </c>
      <c r="I3697">
        <v>161.96879999999999</v>
      </c>
      <c r="J3697">
        <v>-191.19720000000001</v>
      </c>
      <c r="K3697">
        <v>1.104867</v>
      </c>
      <c r="L3697">
        <v>170.517</v>
      </c>
      <c r="M3697">
        <v>-4.752369E-2</v>
      </c>
      <c r="N3697">
        <v>0</v>
      </c>
      <c r="O3697">
        <v>-0.99878210000000001</v>
      </c>
      <c r="P3697">
        <v>-0.1928337</v>
      </c>
      <c r="Q3697">
        <v>2.4154800000000001E-2</v>
      </c>
      <c r="R3697">
        <v>-0.98093410000000003</v>
      </c>
      <c r="S3697">
        <v>-1.1098330000000001</v>
      </c>
      <c r="T3697">
        <v>-0.35885040000000001</v>
      </c>
      <c r="U3697">
        <v>-2.8502350000000001</v>
      </c>
      <c r="V3697">
        <v>0.1459839</v>
      </c>
      <c r="W3697">
        <v>3.7298909999999998E-2</v>
      </c>
      <c r="X3697">
        <v>0.98858359999999901</v>
      </c>
      <c r="Y3697">
        <v>0.31564809999999999</v>
      </c>
      <c r="Z3697">
        <v>0.1172921</v>
      </c>
      <c r="AA3697">
        <v>0.94159910000000002</v>
      </c>
      <c r="AB3697">
        <v>24</v>
      </c>
      <c r="AC3697">
        <v>-3.4064999999999901</v>
      </c>
      <c r="AD3697">
        <v>-1.1048693486150001</v>
      </c>
      <c r="AE3697">
        <v>-8.5481999999999996</v>
      </c>
      <c r="AF3697">
        <v>2.9537891495082298</v>
      </c>
      <c r="AG3697">
        <v>-1.1048693486150001</v>
      </c>
      <c r="AH3697">
        <v>8.5767955655994399</v>
      </c>
      <c r="AI3697">
        <v>96.944418292350704</v>
      </c>
      <c r="AJ3697">
        <v>70.996646037811104</v>
      </c>
      <c r="AK3697">
        <v>9.1382180315063497</v>
      </c>
    </row>
    <row r="3698" spans="1:37" x14ac:dyDescent="0.2">
      <c r="A3698" t="str">
        <f>"20200111153724173"</f>
        <v>20200111153724173</v>
      </c>
      <c r="B3698" t="str">
        <f>"1578728244166803"</f>
        <v>1578728244166803</v>
      </c>
      <c r="C3698" t="s">
        <v>37</v>
      </c>
      <c r="D3698">
        <v>6.0433649999999997</v>
      </c>
      <c r="E3698">
        <v>0.57081959999999998</v>
      </c>
      <c r="F3698" t="s">
        <v>39</v>
      </c>
      <c r="G3698">
        <v>-194.59049999999999</v>
      </c>
      <c r="H3698" s="1">
        <v>-2.2805559999999999E-6</v>
      </c>
      <c r="I3698">
        <v>161.8322</v>
      </c>
      <c r="J3698">
        <v>-191.2088</v>
      </c>
      <c r="K3698">
        <v>1.1048389999999999</v>
      </c>
      <c r="L3698">
        <v>170.2687</v>
      </c>
      <c r="M3698">
        <v>-4.7349960000000003E-2</v>
      </c>
      <c r="N3698">
        <v>0</v>
      </c>
      <c r="O3698">
        <v>-0.99879039999999997</v>
      </c>
      <c r="P3698">
        <v>-0.1937451</v>
      </c>
      <c r="Q3698">
        <v>2.329488E-2</v>
      </c>
      <c r="R3698">
        <v>-0.98077510000000001</v>
      </c>
      <c r="S3698">
        <v>-1.11293</v>
      </c>
      <c r="T3698">
        <v>-0.36237579999999903</v>
      </c>
      <c r="U3698">
        <v>-2.8484500000000001</v>
      </c>
      <c r="V3698">
        <v>0.1470757</v>
      </c>
      <c r="W3698">
        <v>3.6430230000000001E-2</v>
      </c>
      <c r="X3698">
        <v>0.988454099999999</v>
      </c>
      <c r="Y3698">
        <v>0.31685099999999999</v>
      </c>
      <c r="Z3698">
        <v>0.1184504</v>
      </c>
      <c r="AA3698">
        <v>0.94104989999999999</v>
      </c>
      <c r="AB3698">
        <v>24</v>
      </c>
      <c r="AC3698">
        <v>-3.3816999999999902</v>
      </c>
      <c r="AD3698">
        <v>-1.1048412805559999</v>
      </c>
      <c r="AE3698">
        <v>-8.4364999999999899</v>
      </c>
      <c r="AF3698">
        <v>2.9350343790436599</v>
      </c>
      <c r="AG3698">
        <v>-1.1048412805559999</v>
      </c>
      <c r="AH3698">
        <v>8.4621342544872</v>
      </c>
      <c r="AI3698">
        <v>97.032132071593296</v>
      </c>
      <c r="AJ3698">
        <v>70.871240729454499</v>
      </c>
      <c r="AK3698">
        <v>9.0245674246666603</v>
      </c>
    </row>
    <row r="3699" spans="1:37" x14ac:dyDescent="0.2">
      <c r="A3699" t="str">
        <f>"20200111153724196"</f>
        <v>20200111153724196</v>
      </c>
      <c r="B3699" t="str">
        <f>"1578728244186322"</f>
        <v>1578728244186322</v>
      </c>
      <c r="C3699" t="s">
        <v>37</v>
      </c>
      <c r="D3699">
        <v>6.0289029999999997</v>
      </c>
      <c r="E3699">
        <v>0.57123080000000004</v>
      </c>
      <c r="F3699" t="s">
        <v>39</v>
      </c>
      <c r="G3699">
        <v>-194.60480000000001</v>
      </c>
      <c r="H3699" s="1">
        <v>-2.184808E-6</v>
      </c>
      <c r="I3699">
        <v>161.6216</v>
      </c>
      <c r="J3699">
        <v>-191.22030000000001</v>
      </c>
      <c r="K3699">
        <v>1.1048100000000001</v>
      </c>
      <c r="L3699">
        <v>170.02330000000001</v>
      </c>
      <c r="M3699">
        <v>-4.7213199999999997E-2</v>
      </c>
      <c r="N3699">
        <v>0</v>
      </c>
      <c r="O3699">
        <v>-0.99879709999999999</v>
      </c>
      <c r="P3699">
        <v>-0.19413649999999999</v>
      </c>
      <c r="Q3699">
        <v>2.249398E-2</v>
      </c>
      <c r="R3699">
        <v>-0.9807169</v>
      </c>
      <c r="S3699">
        <v>-1.11795</v>
      </c>
      <c r="T3699">
        <v>-0.3637068</v>
      </c>
      <c r="U3699">
        <v>-2.8465880000000001</v>
      </c>
      <c r="V3699">
        <v>0.14760699999999999</v>
      </c>
      <c r="W3699">
        <v>3.561918E-2</v>
      </c>
      <c r="X3699">
        <v>0.98840450000000002</v>
      </c>
      <c r="Y3699">
        <v>0.31860889999999997</v>
      </c>
      <c r="Z3699">
        <v>0.11887919999999901</v>
      </c>
      <c r="AA3699">
        <v>0.94040210000000002</v>
      </c>
      <c r="AB3699">
        <v>24</v>
      </c>
      <c r="AC3699">
        <v>-3.3845000000000001</v>
      </c>
      <c r="AD3699">
        <v>-1.1048121848079999</v>
      </c>
      <c r="AE3699">
        <v>-8.4016999999999999</v>
      </c>
      <c r="AF3699">
        <v>2.9402748831946202</v>
      </c>
      <c r="AG3699">
        <v>-1.1048121848079999</v>
      </c>
      <c r="AH3699">
        <v>8.4267659964892694</v>
      </c>
      <c r="AI3699">
        <v>97.056660162013699</v>
      </c>
      <c r="AJ3699">
        <v>70.765052163466606</v>
      </c>
      <c r="AK3699">
        <v>8.9931202322682804</v>
      </c>
    </row>
    <row r="3700" spans="1:37" x14ac:dyDescent="0.2">
      <c r="A3700" t="str">
        <f>"20200111153724216"</f>
        <v>20200111153724216</v>
      </c>
      <c r="B3700" t="str">
        <f>"1578728244206821"</f>
        <v>1578728244206821</v>
      </c>
      <c r="C3700" t="s">
        <v>37</v>
      </c>
      <c r="D3700">
        <v>6.0260249999999997</v>
      </c>
      <c r="E3700">
        <v>0.57158929999999997</v>
      </c>
      <c r="F3700" t="s">
        <v>39</v>
      </c>
      <c r="G3700">
        <v>-194.6087</v>
      </c>
      <c r="H3700" s="1">
        <v>-2.0969810000000001E-6</v>
      </c>
      <c r="I3700">
        <v>161.43360000000001</v>
      </c>
      <c r="J3700">
        <v>-191.23060000000001</v>
      </c>
      <c r="K3700">
        <v>1.1047799999999901</v>
      </c>
      <c r="L3700">
        <v>169.80160000000001</v>
      </c>
      <c r="M3700">
        <v>-4.712848E-2</v>
      </c>
      <c r="N3700">
        <v>0</v>
      </c>
      <c r="O3700">
        <v>-0.9988011</v>
      </c>
      <c r="P3700">
        <v>-0.1947989</v>
      </c>
      <c r="Q3700">
        <v>2.2001320000000001E-2</v>
      </c>
      <c r="R3700">
        <v>-0.98059649999999998</v>
      </c>
      <c r="S3700">
        <v>-1.1223749999999999</v>
      </c>
      <c r="T3700">
        <v>-0.36595279999999902</v>
      </c>
      <c r="U3700">
        <v>-2.8452299999999999</v>
      </c>
      <c r="V3700">
        <v>0.1483604</v>
      </c>
      <c r="W3700">
        <v>3.5114989999999999E-2</v>
      </c>
      <c r="X3700">
        <v>0.98830969999999996</v>
      </c>
      <c r="Y3700">
        <v>0.32007649999999999</v>
      </c>
      <c r="Z3700">
        <v>0.11959259999999999</v>
      </c>
      <c r="AA3700">
        <v>0.93981309999999996</v>
      </c>
      <c r="AB3700">
        <v>24</v>
      </c>
      <c r="AC3700">
        <v>-3.3780999999999799</v>
      </c>
      <c r="AD3700">
        <v>-1.1047820969809901</v>
      </c>
      <c r="AE3700">
        <v>-8.3679999999999897</v>
      </c>
      <c r="AF3700">
        <v>2.93593636416391</v>
      </c>
      <c r="AG3700">
        <v>-1.1047820969809901</v>
      </c>
      <c r="AH3700">
        <v>8.3921378745683395</v>
      </c>
      <c r="AI3700">
        <v>97.083276595984003</v>
      </c>
      <c r="AJ3700">
        <v>70.717933413503204</v>
      </c>
      <c r="AK3700">
        <v>8.9592546521456899</v>
      </c>
    </row>
    <row r="3701" spans="1:37" x14ac:dyDescent="0.2">
      <c r="A3701" t="str">
        <f>"20200111153724239"</f>
        <v>20200111153724239</v>
      </c>
      <c r="B3701" t="str">
        <f>"1578728244226338"</f>
        <v>1578728244226338</v>
      </c>
      <c r="C3701" t="s">
        <v>37</v>
      </c>
      <c r="D3701">
        <v>6.0121330000000004</v>
      </c>
      <c r="E3701">
        <v>0.57199560000000005</v>
      </c>
      <c r="F3701" t="s">
        <v>39</v>
      </c>
      <c r="G3701">
        <v>-194.6189</v>
      </c>
      <c r="H3701" s="1">
        <v>-2.0135560000000001E-6</v>
      </c>
      <c r="I3701">
        <v>161.25139999999999</v>
      </c>
      <c r="J3701">
        <v>-191.24180000000001</v>
      </c>
      <c r="K3701">
        <v>1.1047469999999999</v>
      </c>
      <c r="L3701">
        <v>169.56399999999999</v>
      </c>
      <c r="M3701">
        <v>-4.7077470000000003E-2</v>
      </c>
      <c r="N3701">
        <v>0</v>
      </c>
      <c r="O3701">
        <v>-0.99880340000000001</v>
      </c>
      <c r="P3701">
        <v>-0.19546129999999901</v>
      </c>
      <c r="Q3701">
        <v>2.1413290000000001E-2</v>
      </c>
      <c r="R3701">
        <v>-0.98047759999999995</v>
      </c>
      <c r="S3701">
        <v>-1.126892</v>
      </c>
      <c r="T3701">
        <v>-0.36744159999999998</v>
      </c>
      <c r="U3701">
        <v>-2.8437349999999899</v>
      </c>
      <c r="V3701">
        <v>0.14908089999999999</v>
      </c>
      <c r="W3701">
        <v>3.4514080000000003E-2</v>
      </c>
      <c r="X3701">
        <v>0.9882225</v>
      </c>
      <c r="Y3701">
        <v>0.32156309999999999</v>
      </c>
      <c r="Z3701">
        <v>0.12006559999999999</v>
      </c>
      <c r="AA3701">
        <v>0.939245199999999</v>
      </c>
      <c r="AB3701">
        <v>24</v>
      </c>
      <c r="AC3701">
        <v>-3.37709999999998</v>
      </c>
      <c r="AD3701">
        <v>-1.1047490135560001</v>
      </c>
      <c r="AE3701">
        <v>-8.31260000000003</v>
      </c>
      <c r="AF3701">
        <v>2.9374516515896101</v>
      </c>
      <c r="AG3701">
        <v>-1.1047490135560001</v>
      </c>
      <c r="AH3701">
        <v>8.3360042772180307</v>
      </c>
      <c r="AI3701">
        <v>97.124678499368301</v>
      </c>
      <c r="AJ3701">
        <v>70.588497701212404</v>
      </c>
      <c r="AK3701">
        <v>8.9071914708384199</v>
      </c>
    </row>
    <row r="3702" spans="1:37" x14ac:dyDescent="0.2">
      <c r="A3702" t="str">
        <f>"20200111153724262"</f>
        <v>20200111153724262</v>
      </c>
      <c r="B3702" t="str">
        <f>"1578728244256595"</f>
        <v>1578728244256595</v>
      </c>
      <c r="C3702" t="s">
        <v>37</v>
      </c>
      <c r="D3702">
        <v>6.0140859999999998</v>
      </c>
      <c r="E3702">
        <v>0.57279239999999998</v>
      </c>
      <c r="F3702" t="s">
        <v>39</v>
      </c>
      <c r="G3702">
        <v>-194.6302</v>
      </c>
      <c r="H3702" s="1">
        <v>-1.9234020000000001E-6</v>
      </c>
      <c r="I3702">
        <v>161.05430000000001</v>
      </c>
      <c r="J3702">
        <v>-191.2533</v>
      </c>
      <c r="K3702">
        <v>1.1047100000000001</v>
      </c>
      <c r="L3702">
        <v>169.3177</v>
      </c>
      <c r="M3702">
        <v>-4.7063939999999999E-2</v>
      </c>
      <c r="N3702">
        <v>0</v>
      </c>
      <c r="O3702">
        <v>-0.99880429999999998</v>
      </c>
      <c r="P3702">
        <v>-0.19652420000000001</v>
      </c>
      <c r="Q3702">
        <v>2.091995E-2</v>
      </c>
      <c r="R3702">
        <v>-0.98027589999999998</v>
      </c>
      <c r="S3702">
        <v>-1.1317139999999899</v>
      </c>
      <c r="T3702">
        <v>-0.36898330000000001</v>
      </c>
      <c r="U3702">
        <v>-2.8421939999999899</v>
      </c>
      <c r="V3702">
        <v>0.15016769999999999</v>
      </c>
      <c r="W3702">
        <v>3.4007969999999998E-2</v>
      </c>
      <c r="X3702">
        <v>0.98807540000000005</v>
      </c>
      <c r="Y3702">
        <v>0.32310420000000001</v>
      </c>
      <c r="Z3702">
        <v>0.1205532</v>
      </c>
      <c r="AA3702">
        <v>0.93865359999999998</v>
      </c>
      <c r="AB3702">
        <v>24</v>
      </c>
      <c r="AC3702">
        <v>-3.3769</v>
      </c>
      <c r="AD3702">
        <v>-1.104711923402</v>
      </c>
      <c r="AE3702">
        <v>-8.2633999999999901</v>
      </c>
      <c r="AF3702">
        <v>2.93920205829445</v>
      </c>
      <c r="AG3702">
        <v>-1.104711923402</v>
      </c>
      <c r="AH3702">
        <v>8.2862834804123793</v>
      </c>
      <c r="AI3702">
        <v>97.161566213563503</v>
      </c>
      <c r="AJ3702">
        <v>70.470052110112604</v>
      </c>
      <c r="AK3702">
        <v>8.86125223040988</v>
      </c>
    </row>
    <row r="3703" spans="1:37" x14ac:dyDescent="0.2">
      <c r="A3703" t="str">
        <f>"20200111153724275"</f>
        <v>20200111153724275</v>
      </c>
      <c r="B3703" t="str">
        <f>"1578728244266865"</f>
        <v>1578728244266865</v>
      </c>
      <c r="C3703" t="s">
        <v>37</v>
      </c>
      <c r="D3703">
        <v>5.9899789999999999</v>
      </c>
      <c r="E3703">
        <v>0.5730594</v>
      </c>
      <c r="F3703" t="s">
        <v>39</v>
      </c>
      <c r="G3703">
        <v>-194.65620000000001</v>
      </c>
      <c r="H3703" s="1">
        <v>-1.8324029999999999E-6</v>
      </c>
      <c r="I3703">
        <v>160.84719999999999</v>
      </c>
      <c r="J3703">
        <v>-191.26009999999999</v>
      </c>
      <c r="K3703">
        <v>1.1046929999999999</v>
      </c>
      <c r="L3703">
        <v>169.173</v>
      </c>
      <c r="M3703">
        <v>-4.7074209999999998E-2</v>
      </c>
      <c r="N3703">
        <v>0</v>
      </c>
      <c r="O3703">
        <v>-0.99880369999999996</v>
      </c>
      <c r="P3703">
        <v>-0.1971415</v>
      </c>
      <c r="Q3703">
        <v>2.0737430000000001E-2</v>
      </c>
      <c r="R3703">
        <v>-0.98015580000000002</v>
      </c>
      <c r="S3703">
        <v>-1.1407320000000001</v>
      </c>
      <c r="T3703">
        <v>-0.3703322</v>
      </c>
      <c r="U3703">
        <v>-2.839569</v>
      </c>
      <c r="V3703">
        <v>0.1507811</v>
      </c>
      <c r="W3703">
        <v>3.3818300000000003E-2</v>
      </c>
      <c r="X3703">
        <v>0.98798850000000005</v>
      </c>
      <c r="Y3703">
        <v>0.32594240000000002</v>
      </c>
      <c r="Z3703">
        <v>0.120960999999999</v>
      </c>
      <c r="AA3703">
        <v>0.93761930000000004</v>
      </c>
      <c r="AB3703">
        <v>24</v>
      </c>
      <c r="AC3703">
        <v>-3.3961000000000099</v>
      </c>
      <c r="AD3703">
        <v>-1.1046948324029999</v>
      </c>
      <c r="AE3703">
        <v>-8.3258000000000099</v>
      </c>
      <c r="AF3703">
        <v>2.9557567396460001</v>
      </c>
      <c r="AG3703">
        <v>-1.1046948324029999</v>
      </c>
      <c r="AH3703">
        <v>8.3504136685333208</v>
      </c>
      <c r="AI3703">
        <v>97.108664453480102</v>
      </c>
      <c r="AJ3703">
        <v>70.5078033400208</v>
      </c>
      <c r="AK3703">
        <v>8.9267159141718402</v>
      </c>
    </row>
    <row r="3704" spans="1:37" x14ac:dyDescent="0.2">
      <c r="A3704" t="str">
        <f>"20200111153724288"</f>
        <v>20200111153724288</v>
      </c>
      <c r="B3704" t="str">
        <f>"1578728244276625"</f>
        <v>1578728244276625</v>
      </c>
      <c r="C3704" t="s">
        <v>37</v>
      </c>
      <c r="D3704">
        <v>5.9628550000000002</v>
      </c>
      <c r="E3704">
        <v>0.57334390000000002</v>
      </c>
      <c r="F3704" t="s">
        <v>39</v>
      </c>
      <c r="G3704">
        <v>-194.66739999999999</v>
      </c>
      <c r="H3704" s="1">
        <v>-1.7773679999999899E-6</v>
      </c>
      <c r="I3704">
        <v>160.72450000000001</v>
      </c>
      <c r="J3704">
        <v>-191.2663</v>
      </c>
      <c r="K3704">
        <v>1.1046799999999899</v>
      </c>
      <c r="L3704">
        <v>169.04230000000001</v>
      </c>
      <c r="M3704">
        <v>-4.7094039999999997E-2</v>
      </c>
      <c r="N3704">
        <v>0</v>
      </c>
      <c r="O3704">
        <v>-0.99880290000000005</v>
      </c>
      <c r="P3704">
        <v>-0.19750470000000001</v>
      </c>
      <c r="Q3704">
        <v>2.0521609999999999E-2</v>
      </c>
      <c r="R3704">
        <v>-0.9800875</v>
      </c>
      <c r="S3704">
        <v>-1.144684</v>
      </c>
      <c r="T3704">
        <v>-0.37113200000000002</v>
      </c>
      <c r="U3704">
        <v>-2.8383639999999999</v>
      </c>
      <c r="V3704">
        <v>0.1511284</v>
      </c>
      <c r="W3704">
        <v>3.3597179999999997E-2</v>
      </c>
      <c r="X3704">
        <v>0.98794309999999996</v>
      </c>
      <c r="Y3704">
        <v>0.3271734</v>
      </c>
      <c r="Z3704">
        <v>0.1212086</v>
      </c>
      <c r="AA3704">
        <v>0.93715849999999901</v>
      </c>
      <c r="AB3704">
        <v>24</v>
      </c>
      <c r="AC3704">
        <v>-3.40109999999998</v>
      </c>
      <c r="AD3704">
        <v>-1.104681777368</v>
      </c>
      <c r="AE3704">
        <v>-8.3178000000000001</v>
      </c>
      <c r="AF3704">
        <v>2.96082935638869</v>
      </c>
      <c r="AG3704">
        <v>-1.104681777368</v>
      </c>
      <c r="AH3704">
        <v>8.3426826266561402</v>
      </c>
      <c r="AI3704">
        <v>97.113025924141297</v>
      </c>
      <c r="AJ3704">
        <v>70.460157278938993</v>
      </c>
      <c r="AK3704">
        <v>8.9211650425273596</v>
      </c>
    </row>
    <row r="3705" spans="1:37" x14ac:dyDescent="0.2">
      <c r="A3705" t="str">
        <f>"20200111153724302"</f>
        <v>20200111153724302</v>
      </c>
      <c r="B3705" t="str">
        <f>"1578728244297121"</f>
        <v>1578728244297121</v>
      </c>
      <c r="C3705" t="s">
        <v>37</v>
      </c>
      <c r="D3705">
        <v>5.9525189999999997</v>
      </c>
      <c r="E3705">
        <v>0.57390399999999997</v>
      </c>
      <c r="F3705" t="s">
        <v>39</v>
      </c>
      <c r="G3705">
        <v>-194.67760000000001</v>
      </c>
      <c r="H3705" s="1">
        <v>-1.7251579999999999E-6</v>
      </c>
      <c r="I3705">
        <v>160.60820000000001</v>
      </c>
      <c r="J3705">
        <v>-191.2732</v>
      </c>
      <c r="K3705">
        <v>1.104663</v>
      </c>
      <c r="L3705">
        <v>168.89580000000001</v>
      </c>
      <c r="M3705">
        <v>-4.7126050000000003E-2</v>
      </c>
      <c r="N3705">
        <v>0</v>
      </c>
      <c r="O3705">
        <v>-0.99880119999999895</v>
      </c>
      <c r="P3705">
        <v>-0.19808999999999999</v>
      </c>
      <c r="Q3705">
        <v>2.0386439999999999E-2</v>
      </c>
      <c r="R3705">
        <v>-0.97997190000000001</v>
      </c>
      <c r="S3705">
        <v>-1.147659</v>
      </c>
      <c r="T3705">
        <v>-0.37164639999999999</v>
      </c>
      <c r="U3705">
        <v>-2.8374630000000001</v>
      </c>
      <c r="V3705">
        <v>0.15168789999999999</v>
      </c>
      <c r="W3705">
        <v>3.3454680000000001E-2</v>
      </c>
      <c r="X3705">
        <v>0.98786209999999997</v>
      </c>
      <c r="Y3705">
        <v>0.32808389999999998</v>
      </c>
      <c r="Z3705">
        <v>0.12136660000000001</v>
      </c>
      <c r="AA3705">
        <v>0.93681970000000003</v>
      </c>
      <c r="AB3705">
        <v>24</v>
      </c>
      <c r="AC3705">
        <v>-3.4043999999999999</v>
      </c>
      <c r="AD3705">
        <v>-1.104664725158</v>
      </c>
      <c r="AE3705">
        <v>-8.2875999999999905</v>
      </c>
      <c r="AF3705">
        <v>2.9649492950262801</v>
      </c>
      <c r="AG3705">
        <v>-1.104664725158</v>
      </c>
      <c r="AH3705">
        <v>8.3124788006124799</v>
      </c>
      <c r="AI3705">
        <v>97.134514258882604</v>
      </c>
      <c r="AJ3705">
        <v>70.369366798481295</v>
      </c>
      <c r="AK3705">
        <v>8.8942966156811494</v>
      </c>
    </row>
    <row r="3706" spans="1:37" x14ac:dyDescent="0.2">
      <c r="A3706" t="str">
        <f>"20200111153724318"</f>
        <v>20200111153724318</v>
      </c>
      <c r="B3706" t="str">
        <f>"1578728244306881"</f>
        <v>1578728244306881</v>
      </c>
      <c r="C3706" t="s">
        <v>37</v>
      </c>
      <c r="D3706">
        <v>5.9527839999999896</v>
      </c>
      <c r="E3706">
        <v>0.57412759999999996</v>
      </c>
      <c r="F3706" t="s">
        <v>39</v>
      </c>
      <c r="G3706">
        <v>-194.7055</v>
      </c>
      <c r="H3706" s="1">
        <v>-1.6627199999999999E-6</v>
      </c>
      <c r="I3706">
        <v>160.46039999999999</v>
      </c>
      <c r="J3706">
        <v>-191.2817</v>
      </c>
      <c r="K3706">
        <v>1.1046400000000001</v>
      </c>
      <c r="L3706">
        <v>168.7183</v>
      </c>
      <c r="M3706">
        <v>-4.7192829999999998E-2</v>
      </c>
      <c r="N3706">
        <v>0</v>
      </c>
      <c r="O3706">
        <v>-0.99879810000000002</v>
      </c>
      <c r="P3706">
        <v>-0.19912650000000001</v>
      </c>
      <c r="Q3706">
        <v>1.962817E-2</v>
      </c>
      <c r="R3706">
        <v>-0.97977729999999996</v>
      </c>
      <c r="S3706">
        <v>-1.15387</v>
      </c>
      <c r="T3706">
        <v>-0.37136599999999997</v>
      </c>
      <c r="U3706">
        <v>-2.8357999999999999</v>
      </c>
      <c r="V3706">
        <v>0.1526679</v>
      </c>
      <c r="W3706">
        <v>3.268596E-2</v>
      </c>
      <c r="X3706">
        <v>0.98773690000000003</v>
      </c>
      <c r="Y3706">
        <v>0.32997789999999999</v>
      </c>
      <c r="Z3706">
        <v>0.12125219999999901</v>
      </c>
      <c r="AA3706">
        <v>0.93616900000000003</v>
      </c>
      <c r="AB3706">
        <v>24</v>
      </c>
      <c r="AC3706">
        <v>-3.4238</v>
      </c>
      <c r="AD3706">
        <v>-1.10464166272</v>
      </c>
      <c r="AE3706">
        <v>-8.2578999999999994</v>
      </c>
      <c r="AF3706">
        <v>2.9846636516824399</v>
      </c>
      <c r="AG3706">
        <v>-1.10464166272</v>
      </c>
      <c r="AH3706">
        <v>8.2838043314298098</v>
      </c>
      <c r="AI3706">
        <v>97.150676655714605</v>
      </c>
      <c r="AJ3706">
        <v>70.185853647843501</v>
      </c>
      <c r="AK3706">
        <v>8.8741120411062209</v>
      </c>
    </row>
    <row r="3707" spans="1:37" x14ac:dyDescent="0.2">
      <c r="A3707" t="str">
        <f>"20200111153724340"</f>
        <v>20200111153724340</v>
      </c>
      <c r="B3707" t="str">
        <f>"1578728244337137"</f>
        <v>1578728244337137</v>
      </c>
      <c r="C3707" t="s">
        <v>37</v>
      </c>
      <c r="D3707">
        <v>5.9552480000000001</v>
      </c>
      <c r="E3707">
        <v>0.58509580000000005</v>
      </c>
      <c r="F3707" t="s">
        <v>39</v>
      </c>
      <c r="G3707">
        <v>-194.7046</v>
      </c>
      <c r="H3707" s="1">
        <v>-1.607337E-6</v>
      </c>
      <c r="I3707">
        <v>160.34379999999999</v>
      </c>
      <c r="J3707">
        <v>-191.29249999999999</v>
      </c>
      <c r="K3707">
        <v>1.1046119999999999</v>
      </c>
      <c r="L3707">
        <v>168.49189999999999</v>
      </c>
      <c r="M3707">
        <v>-4.7323589999999999E-2</v>
      </c>
      <c r="N3707">
        <v>0</v>
      </c>
      <c r="O3707">
        <v>-0.99879189999999995</v>
      </c>
      <c r="P3707">
        <v>-0.2007912</v>
      </c>
      <c r="Q3707">
        <v>1.8550190000000001E-2</v>
      </c>
      <c r="R3707">
        <v>-0.97945849999999901</v>
      </c>
      <c r="S3707">
        <v>-1.158325</v>
      </c>
      <c r="T3707">
        <v>-0.37381700000000001</v>
      </c>
      <c r="U3707">
        <v>-2.83396899999999</v>
      </c>
      <c r="V3707">
        <v>0.15421899999999999</v>
      </c>
      <c r="W3707">
        <v>3.1591710000000002E-2</v>
      </c>
      <c r="X3707">
        <v>0.98753150000000001</v>
      </c>
      <c r="Y3707">
        <v>0.33129049999999999</v>
      </c>
      <c r="Z3707">
        <v>0.122047499999999</v>
      </c>
      <c r="AA3707">
        <v>0.93560189999999999</v>
      </c>
      <c r="AB3707">
        <v>24</v>
      </c>
      <c r="AC3707">
        <v>-3.4121000000000001</v>
      </c>
      <c r="AD3707">
        <v>-1.1046136073370001</v>
      </c>
      <c r="AE3707">
        <v>-8.1480999999999995</v>
      </c>
      <c r="AF3707">
        <v>2.9761096420444999</v>
      </c>
      <c r="AG3707">
        <v>-1.1046136073370001</v>
      </c>
      <c r="AH3707">
        <v>8.1726651624817794</v>
      </c>
      <c r="AI3707">
        <v>97.237868287353393</v>
      </c>
      <c r="AJ3707">
        <v>69.990697435523899</v>
      </c>
      <c r="AK3707">
        <v>8.76754559047329</v>
      </c>
    </row>
    <row r="3708" spans="1:37" x14ac:dyDescent="0.2">
      <c r="A3708" t="str">
        <f>"20200111153724353"</f>
        <v>20200111153724353</v>
      </c>
      <c r="B3708" t="str">
        <f>"1578728244346897"</f>
        <v>1578728244346897</v>
      </c>
      <c r="C3708" t="s">
        <v>37</v>
      </c>
      <c r="D3708">
        <v>5.9535130000000001</v>
      </c>
      <c r="E3708">
        <v>0.58559249999999996</v>
      </c>
      <c r="F3708" t="s">
        <v>39</v>
      </c>
      <c r="G3708">
        <v>-195.06460000000001</v>
      </c>
      <c r="H3708" s="1">
        <v>-1.5384889999999899E-6</v>
      </c>
      <c r="I3708">
        <v>159.99549999999999</v>
      </c>
      <c r="J3708">
        <v>-191.30009999999999</v>
      </c>
      <c r="K3708">
        <v>1.104579</v>
      </c>
      <c r="L3708">
        <v>168.33420000000001</v>
      </c>
      <c r="M3708">
        <v>-4.7459069999999999E-2</v>
      </c>
      <c r="N3708">
        <v>0</v>
      </c>
      <c r="O3708">
        <v>-0.9987857</v>
      </c>
      <c r="P3708">
        <v>-0.20166700000000001</v>
      </c>
      <c r="Q3708">
        <v>1.8436439999999998E-2</v>
      </c>
      <c r="R3708">
        <v>-0.97928119999999996</v>
      </c>
      <c r="S3708">
        <v>-1.249207</v>
      </c>
      <c r="T3708">
        <v>-0.36581429999999998</v>
      </c>
      <c r="U3708">
        <v>-2.8137509999999999</v>
      </c>
      <c r="V3708">
        <v>0.15497059999999999</v>
      </c>
      <c r="W3708">
        <v>3.1463499999999998E-2</v>
      </c>
      <c r="X3708">
        <v>0.98741789999999996</v>
      </c>
      <c r="Y3708">
        <v>0.35906369999999999</v>
      </c>
      <c r="Z3708">
        <v>0.1189075</v>
      </c>
      <c r="AA3708">
        <v>0.92570750000000002</v>
      </c>
      <c r="AB3708">
        <v>24</v>
      </c>
      <c r="AC3708">
        <v>-3.7645000000000199</v>
      </c>
      <c r="AD3708">
        <v>-1.104580538489</v>
      </c>
      <c r="AE3708">
        <v>-8.33870000000001</v>
      </c>
      <c r="AF3708">
        <v>3.31613943677175</v>
      </c>
      <c r="AG3708">
        <v>-1.104580538489</v>
      </c>
      <c r="AH3708">
        <v>8.3857459618916508</v>
      </c>
      <c r="AI3708">
        <v>96.983447807105094</v>
      </c>
      <c r="AJ3708">
        <v>68.423702746643798</v>
      </c>
      <c r="AK3708">
        <v>9.08502142361281</v>
      </c>
    </row>
    <row r="3709" spans="1:37" x14ac:dyDescent="0.2">
      <c r="A3709" t="str">
        <f>"20200111153724374"</f>
        <v>20200111153724374</v>
      </c>
      <c r="B3709" t="str">
        <f>"1578728244366924"</f>
        <v>1578728244366924</v>
      </c>
      <c r="C3709" t="s">
        <v>37</v>
      </c>
      <c r="D3709">
        <v>6.0505529999999998</v>
      </c>
      <c r="E3709">
        <v>0.58248929999999999</v>
      </c>
      <c r="F3709" t="s">
        <v>39</v>
      </c>
      <c r="G3709">
        <v>-195.1138</v>
      </c>
      <c r="H3709" s="1">
        <v>-1.4570829999999999E-6</v>
      </c>
      <c r="I3709">
        <v>159.79560000000001</v>
      </c>
      <c r="J3709">
        <v>-191.31010000000001</v>
      </c>
      <c r="K3709">
        <v>1.104536</v>
      </c>
      <c r="L3709">
        <v>168.12860000000001</v>
      </c>
      <c r="M3709">
        <v>-4.7673479999999997E-2</v>
      </c>
      <c r="N3709">
        <v>0</v>
      </c>
      <c r="O3709">
        <v>-0.99877549999999904</v>
      </c>
      <c r="P3709">
        <v>-0.2033866</v>
      </c>
      <c r="Q3709">
        <v>1.8022590000000002E-2</v>
      </c>
      <c r="R3709">
        <v>-0.97893289999999999</v>
      </c>
      <c r="S3709">
        <v>-1.255814</v>
      </c>
      <c r="T3709">
        <v>-0.36373</v>
      </c>
      <c r="U3709">
        <v>-2.8116910000000002</v>
      </c>
      <c r="V3709">
        <v>0.1564961</v>
      </c>
      <c r="W3709">
        <v>3.1027409999999998E-2</v>
      </c>
      <c r="X3709">
        <v>0.98719109999999999</v>
      </c>
      <c r="Y3709">
        <v>0.36096299999999998</v>
      </c>
      <c r="Z3709">
        <v>0.11821810000000001</v>
      </c>
      <c r="AA3709">
        <v>0.92505680000000001</v>
      </c>
      <c r="AB3709">
        <v>24</v>
      </c>
      <c r="AC3709">
        <v>-3.8036999999999899</v>
      </c>
      <c r="AD3709">
        <v>-1.104537457083</v>
      </c>
      <c r="AE3709">
        <v>-8.3329999999999895</v>
      </c>
      <c r="AF3709">
        <v>3.3533194523728498</v>
      </c>
      <c r="AG3709">
        <v>-1.104537457083</v>
      </c>
      <c r="AH3709">
        <v>8.3829868427757201</v>
      </c>
      <c r="AI3709">
        <v>96.974618704936603</v>
      </c>
      <c r="AJ3709">
        <v>68.197855689811007</v>
      </c>
      <c r="AK3709">
        <v>9.0961103088030093</v>
      </c>
    </row>
    <row r="3710" spans="1:37" x14ac:dyDescent="0.2">
      <c r="A3710" t="str">
        <f>"20200111153724396"</f>
        <v>20200111153724396</v>
      </c>
      <c r="B3710" t="str">
        <f>"1578728244386444"</f>
        <v>1578728244386444</v>
      </c>
      <c r="C3710" t="s">
        <v>37</v>
      </c>
      <c r="D3710">
        <v>6.049169</v>
      </c>
      <c r="E3710">
        <v>0.58150170000000001</v>
      </c>
      <c r="F3710" t="s">
        <v>51</v>
      </c>
      <c r="G3710">
        <v>-195.07390000000001</v>
      </c>
      <c r="H3710" s="1">
        <v>-1.4963510000000001E-5</v>
      </c>
      <c r="I3710">
        <v>159.5607</v>
      </c>
      <c r="J3710">
        <v>-191.32169999999999</v>
      </c>
      <c r="K3710">
        <v>1.104471</v>
      </c>
      <c r="L3710">
        <v>167.89340000000001</v>
      </c>
      <c r="M3710">
        <v>-4.7997749999999999E-2</v>
      </c>
      <c r="N3710">
        <v>0</v>
      </c>
      <c r="O3710">
        <v>-0.99875979999999998</v>
      </c>
      <c r="P3710">
        <v>-0.2050216</v>
      </c>
      <c r="Q3710">
        <v>1.7804730000000001E-2</v>
      </c>
      <c r="R3710">
        <v>-0.97859599999999902</v>
      </c>
      <c r="S3710">
        <v>-1.2363280000000001</v>
      </c>
      <c r="T3710">
        <v>-0.36282579999999998</v>
      </c>
      <c r="U3710">
        <v>-2.8143769999999999</v>
      </c>
      <c r="V3710">
        <v>0.1578292</v>
      </c>
      <c r="W3710">
        <v>3.0781960000000001E-2</v>
      </c>
      <c r="X3710">
        <v>0.98698649999999999</v>
      </c>
      <c r="Y3710">
        <v>0.3549737</v>
      </c>
      <c r="Z3710">
        <v>0.11812060000000001</v>
      </c>
      <c r="AA3710">
        <v>0.92738410000000004</v>
      </c>
      <c r="AB3710">
        <v>24</v>
      </c>
      <c r="AC3710">
        <v>-3.75220000000001</v>
      </c>
      <c r="AD3710">
        <v>-1.1044859635099999</v>
      </c>
      <c r="AE3710">
        <v>-8.3327000000000098</v>
      </c>
      <c r="AF3710">
        <v>3.2996895405645299</v>
      </c>
      <c r="AG3710">
        <v>-1.1044859635099999</v>
      </c>
      <c r="AH3710">
        <v>8.3807875283086695</v>
      </c>
      <c r="AI3710">
        <v>96.991030922668401</v>
      </c>
      <c r="AJ3710">
        <v>68.509413359839698</v>
      </c>
      <c r="AK3710">
        <v>9.0744388202442501</v>
      </c>
    </row>
    <row r="3711" spans="1:37" x14ac:dyDescent="0.2">
      <c r="A3711" t="str">
        <f>"20200111153724417"</f>
        <v>20200111153724417</v>
      </c>
      <c r="B3711" t="str">
        <f>"1578728244406944"</f>
        <v>1578728244406944</v>
      </c>
      <c r="C3711" t="s">
        <v>37</v>
      </c>
      <c r="D3711">
        <v>6.0373939999999999</v>
      </c>
      <c r="E3711">
        <v>0.58127589999999996</v>
      </c>
      <c r="F3711" t="s">
        <v>51</v>
      </c>
      <c r="G3711">
        <v>-195.05289999999999</v>
      </c>
      <c r="H3711" s="1">
        <v>-1.491815E-5</v>
      </c>
      <c r="I3711">
        <v>159.38040000000001</v>
      </c>
      <c r="J3711">
        <v>-191.33330000000001</v>
      </c>
      <c r="K3711">
        <v>1.1043969999999901</v>
      </c>
      <c r="L3711">
        <v>167.6602</v>
      </c>
      <c r="M3711">
        <v>-4.8431750000000003E-2</v>
      </c>
      <c r="N3711">
        <v>0</v>
      </c>
      <c r="O3711">
        <v>-0.99873889999999999</v>
      </c>
      <c r="P3711">
        <v>-0.20714489999999999</v>
      </c>
      <c r="Q3711">
        <v>1.7144E-2</v>
      </c>
      <c r="R3711">
        <v>-0.97816039999999904</v>
      </c>
      <c r="S3711">
        <v>-1.2333529999999999</v>
      </c>
      <c r="T3711">
        <v>-0.36508109999999999</v>
      </c>
      <c r="U3711">
        <v>-2.8138890000000001</v>
      </c>
      <c r="V3711">
        <v>0.15954699999999999</v>
      </c>
      <c r="W3711">
        <v>3.0087530000000001E-2</v>
      </c>
      <c r="X3711">
        <v>0.98673169999999899</v>
      </c>
      <c r="Y3711">
        <v>0.35376679999999999</v>
      </c>
      <c r="Z3711">
        <v>0.1189105</v>
      </c>
      <c r="AA3711">
        <v>0.92774419999999902</v>
      </c>
      <c r="AB3711">
        <v>24</v>
      </c>
      <c r="AC3711">
        <v>-3.7195999999999798</v>
      </c>
      <c r="AD3711">
        <v>-1.1044119181499901</v>
      </c>
      <c r="AE3711">
        <v>-8.2797999999999892</v>
      </c>
      <c r="AF3711">
        <v>3.26584573638526</v>
      </c>
      <c r="AG3711">
        <v>-1.1044119181499901</v>
      </c>
      <c r="AH3711">
        <v>8.3269702658416502</v>
      </c>
      <c r="AI3711">
        <v>97.038899528289306</v>
      </c>
      <c r="AJ3711">
        <v>68.584840712083604</v>
      </c>
      <c r="AK3711">
        <v>9.0124307413165994</v>
      </c>
    </row>
    <row r="3712" spans="1:37" x14ac:dyDescent="0.2">
      <c r="A3712" t="str">
        <f>"20200111153724452"</f>
        <v>20200111153724452</v>
      </c>
      <c r="B3712" t="str">
        <f>"1578728244446957"</f>
        <v>1578728244446957</v>
      </c>
      <c r="C3712" t="s">
        <v>37</v>
      </c>
      <c r="D3712">
        <v>6.0193849999999998</v>
      </c>
      <c r="E3712">
        <v>0.58185430000000005</v>
      </c>
      <c r="F3712" t="s">
        <v>51</v>
      </c>
      <c r="G3712">
        <v>-195.09819999999999</v>
      </c>
      <c r="H3712" s="1">
        <v>-1.4849989999999999E-5</v>
      </c>
      <c r="I3712">
        <v>159.1096</v>
      </c>
      <c r="J3712">
        <v>-191.35169999999999</v>
      </c>
      <c r="K3712">
        <v>1.1042510000000001</v>
      </c>
      <c r="L3712">
        <v>167.30260000000001</v>
      </c>
      <c r="M3712">
        <v>-4.9382299999999997E-2</v>
      </c>
      <c r="N3712">
        <v>0</v>
      </c>
      <c r="O3712">
        <v>-0.99869229999999998</v>
      </c>
      <c r="P3712">
        <v>-0.207092999999999</v>
      </c>
      <c r="Q3712">
        <v>1.8193999999999998E-2</v>
      </c>
      <c r="R3712">
        <v>-0.97815229999999997</v>
      </c>
      <c r="S3712">
        <v>-1.237808</v>
      </c>
      <c r="T3712">
        <v>-0.36310490000000001</v>
      </c>
      <c r="U3712">
        <v>-2.8112339999999998</v>
      </c>
      <c r="V3712">
        <v>0.15856789999999901</v>
      </c>
      <c r="W3712">
        <v>3.108412E-2</v>
      </c>
      <c r="X3712">
        <v>0.98685869999999998</v>
      </c>
      <c r="Y3712">
        <v>0.35446070000000002</v>
      </c>
      <c r="Z3712">
        <v>0.1183172</v>
      </c>
      <c r="AA3712">
        <v>0.92755519999999902</v>
      </c>
      <c r="AB3712">
        <v>24</v>
      </c>
      <c r="AC3712">
        <v>-3.7464999999999899</v>
      </c>
      <c r="AD3712">
        <v>-1.10426584999</v>
      </c>
      <c r="AE3712">
        <v>-8.1930000000000103</v>
      </c>
      <c r="AF3712">
        <v>3.2879048753261699</v>
      </c>
      <c r="AG3712">
        <v>-1.10426584999</v>
      </c>
      <c r="AH3712">
        <v>8.2441657141453302</v>
      </c>
      <c r="AI3712">
        <v>97.092049070509006</v>
      </c>
      <c r="AJ3712">
        <v>68.257097496499298</v>
      </c>
      <c r="AK3712">
        <v>8.9440477334894108</v>
      </c>
    </row>
    <row r="3713" spans="1:37" x14ac:dyDescent="0.2">
      <c r="A3713" t="str">
        <f>"20200111153724474"</f>
        <v>20200111153724474</v>
      </c>
      <c r="B3713" t="str">
        <f>"1578728244466476"</f>
        <v>1578728244466476</v>
      </c>
      <c r="C3713" t="s">
        <v>37</v>
      </c>
      <c r="D3713">
        <v>6.0172189999999999</v>
      </c>
      <c r="E3713">
        <v>0.58234469999999905</v>
      </c>
      <c r="F3713" t="s">
        <v>51</v>
      </c>
      <c r="G3713">
        <v>-195.23500000000001</v>
      </c>
      <c r="H3713" s="1">
        <v>-1.470346E-5</v>
      </c>
      <c r="I3713">
        <v>158.52719999999999</v>
      </c>
      <c r="J3713">
        <v>-191.3646</v>
      </c>
      <c r="K3713">
        <v>1.1041399999999999</v>
      </c>
      <c r="L3713">
        <v>167.05959999999999</v>
      </c>
      <c r="M3713">
        <v>-5.0214729999999999E-2</v>
      </c>
      <c r="N3713">
        <v>0</v>
      </c>
      <c r="O3713">
        <v>-0.99865059999999894</v>
      </c>
      <c r="P3713">
        <v>-0.20675660000000001</v>
      </c>
      <c r="Q3713">
        <v>1.8131939999999999E-2</v>
      </c>
      <c r="R3713">
        <v>-0.97822439999999999</v>
      </c>
      <c r="S3713">
        <v>-1.243622</v>
      </c>
      <c r="T3713">
        <v>-0.35363790000000001</v>
      </c>
      <c r="U3713">
        <v>-2.81028699999999</v>
      </c>
      <c r="V3713">
        <v>0.1574132</v>
      </c>
      <c r="W3713">
        <v>3.098594E-2</v>
      </c>
      <c r="X3713">
        <v>0.9870466</v>
      </c>
      <c r="Y3713">
        <v>0.35554930000000001</v>
      </c>
      <c r="Z3713">
        <v>0.1152344</v>
      </c>
      <c r="AA3713">
        <v>0.92752670000000004</v>
      </c>
      <c r="AB3713">
        <v>24</v>
      </c>
      <c r="AC3713">
        <v>-3.8704000000000098</v>
      </c>
      <c r="AD3713">
        <v>-1.1041547034600001</v>
      </c>
      <c r="AE3713">
        <v>-8.5323999999999902</v>
      </c>
      <c r="AF3713">
        <v>3.3899454280502499</v>
      </c>
      <c r="AG3713">
        <v>-1.1041547034600001</v>
      </c>
      <c r="AH3713">
        <v>8.59660822026005</v>
      </c>
      <c r="AI3713">
        <v>96.813751242212803</v>
      </c>
      <c r="AJ3713">
        <v>68.478935689877105</v>
      </c>
      <c r="AK3713">
        <v>9.3065869418909095</v>
      </c>
    </row>
    <row r="3714" spans="1:37" x14ac:dyDescent="0.2">
      <c r="A3714" t="str">
        <f>"20200111153724496"</f>
        <v>20200111153724496</v>
      </c>
      <c r="B3714" t="str">
        <f>"1578728244486975"</f>
        <v>1578728244486975</v>
      </c>
      <c r="C3714" t="s">
        <v>37</v>
      </c>
      <c r="D3714">
        <v>6.0961720000000001</v>
      </c>
      <c r="E3714">
        <v>0.58253440000000001</v>
      </c>
      <c r="F3714" t="s">
        <v>51</v>
      </c>
      <c r="G3714">
        <v>-195.33709999999999</v>
      </c>
      <c r="H3714" s="1">
        <v>-1.45997499999999E-5</v>
      </c>
      <c r="I3714">
        <v>158.11500000000001</v>
      </c>
      <c r="J3714">
        <v>-191.37710000000001</v>
      </c>
      <c r="K3714">
        <v>1.1040190000000001</v>
      </c>
      <c r="L3714">
        <v>166.8306</v>
      </c>
      <c r="M3714">
        <v>-5.1155689999999997E-2</v>
      </c>
      <c r="N3714">
        <v>0</v>
      </c>
      <c r="O3714">
        <v>-0.99860300000000002</v>
      </c>
      <c r="P3714">
        <v>-0.20770130000000001</v>
      </c>
      <c r="Q3714">
        <v>1.5306299999999899E-2</v>
      </c>
      <c r="R3714">
        <v>-0.97807250000000001</v>
      </c>
      <c r="S3714">
        <v>-1.2477719999999899</v>
      </c>
      <c r="T3714">
        <v>-0.3468118</v>
      </c>
      <c r="U3714">
        <v>-2.80946399999999</v>
      </c>
      <c r="V3714">
        <v>0.1574371</v>
      </c>
      <c r="W3714">
        <v>2.8122350000000001E-2</v>
      </c>
      <c r="X3714">
        <v>0.98712849999999996</v>
      </c>
      <c r="Y3714">
        <v>0.35601840000000001</v>
      </c>
      <c r="Z3714">
        <v>0.11302</v>
      </c>
      <c r="AA3714">
        <v>0.92761919999999898</v>
      </c>
      <c r="AB3714">
        <v>24</v>
      </c>
      <c r="AC3714">
        <v>-3.9599999999999702</v>
      </c>
      <c r="AD3714">
        <v>-1.1040335997499999</v>
      </c>
      <c r="AE3714">
        <v>-8.7155999999999896</v>
      </c>
      <c r="AF3714">
        <v>3.4628652326597602</v>
      </c>
      <c r="AG3714">
        <v>-1.1040335997499999</v>
      </c>
      <c r="AH3714">
        <v>8.7898722450752107</v>
      </c>
      <c r="AI3714">
        <v>96.665418527111001</v>
      </c>
      <c r="AJ3714">
        <v>68.497503232253905</v>
      </c>
      <c r="AK3714">
        <v>9.5116864905065199</v>
      </c>
    </row>
    <row r="3715" spans="1:37" x14ac:dyDescent="0.2">
      <c r="A3715" t="str">
        <f>"20200111153724518"</f>
        <v>20200111153724518</v>
      </c>
      <c r="B3715" t="str">
        <f>"1578728244506492"</f>
        <v>1578728244506492</v>
      </c>
      <c r="C3715" t="s">
        <v>37</v>
      </c>
      <c r="D3715">
        <v>5.9402589999999904</v>
      </c>
      <c r="E3715">
        <v>0.58737059999999996</v>
      </c>
      <c r="F3715" t="s">
        <v>51</v>
      </c>
      <c r="G3715">
        <v>-195.28909999999999</v>
      </c>
      <c r="H3715" s="1">
        <v>-1.458592E-5</v>
      </c>
      <c r="I3715">
        <v>158.06010000000001</v>
      </c>
      <c r="J3715">
        <v>-191.38990000000001</v>
      </c>
      <c r="K3715">
        <v>1.1039019999999999</v>
      </c>
      <c r="L3715">
        <v>166.60290000000001</v>
      </c>
      <c r="M3715">
        <v>-5.2263879999999999E-2</v>
      </c>
      <c r="N3715">
        <v>0</v>
      </c>
      <c r="O3715">
        <v>-0.99854560000000003</v>
      </c>
      <c r="P3715">
        <v>-0.20983080000000001</v>
      </c>
      <c r="Q3715">
        <v>1.253572E-2</v>
      </c>
      <c r="R3715">
        <v>-0.97765759999999902</v>
      </c>
      <c r="S3715">
        <v>-1.2519990000000001</v>
      </c>
      <c r="T3715">
        <v>-0.35333229999999999</v>
      </c>
      <c r="U3715">
        <v>-2.8069000000000002</v>
      </c>
      <c r="V3715">
        <v>0.15849160000000001</v>
      </c>
      <c r="W3715">
        <v>2.5307639999999999E-2</v>
      </c>
      <c r="X3715">
        <v>0.98703589999999997</v>
      </c>
      <c r="Y3715">
        <v>0.35636269999999998</v>
      </c>
      <c r="Z3715">
        <v>0.11515879999999901</v>
      </c>
      <c r="AA3715">
        <v>0.92722389999999999</v>
      </c>
      <c r="AB3715">
        <v>24</v>
      </c>
      <c r="AC3715">
        <v>-3.8991999999999698</v>
      </c>
      <c r="AD3715">
        <v>-1.10391658592</v>
      </c>
      <c r="AE3715">
        <v>-8.5427999999999997</v>
      </c>
      <c r="AF3715">
        <v>3.4003604101821399</v>
      </c>
      <c r="AG3715">
        <v>-1.10391658592</v>
      </c>
      <c r="AH3715">
        <v>8.6158623949190094</v>
      </c>
      <c r="AI3715">
        <v>96.7964615856108</v>
      </c>
      <c r="AJ3715">
        <v>68.462694374753795</v>
      </c>
      <c r="AK3715">
        <v>9.3281384828905196</v>
      </c>
    </row>
    <row r="3716" spans="1:37" x14ac:dyDescent="0.2">
      <c r="A3716" t="str">
        <f>"20200111153724540"</f>
        <v>20200111153724540</v>
      </c>
      <c r="B3716" t="str">
        <f>"1578728244536749"</f>
        <v>1578728244536749</v>
      </c>
      <c r="C3716" t="s">
        <v>37</v>
      </c>
      <c r="D3716">
        <v>6.0365570000000002</v>
      </c>
      <c r="E3716">
        <v>0.58942799999999995</v>
      </c>
      <c r="F3716" t="s">
        <v>51</v>
      </c>
      <c r="G3716">
        <v>-195.93729999999999</v>
      </c>
      <c r="H3716" s="1">
        <v>-1.4271359999999999E-5</v>
      </c>
      <c r="I3716">
        <v>156.8099</v>
      </c>
      <c r="J3716">
        <v>-191.40379999999999</v>
      </c>
      <c r="K3716">
        <v>1.1037779999999999</v>
      </c>
      <c r="L3716">
        <v>166.3655</v>
      </c>
      <c r="M3716">
        <v>-5.36202E-2</v>
      </c>
      <c r="N3716">
        <v>0</v>
      </c>
      <c r="O3716">
        <v>-0.99847369999999902</v>
      </c>
      <c r="P3716">
        <v>-0.21251639999999899</v>
      </c>
      <c r="Q3716">
        <v>1.1098190000000001E-2</v>
      </c>
      <c r="R3716">
        <v>-0.97709480000000004</v>
      </c>
      <c r="S3716">
        <v>-1.297455</v>
      </c>
      <c r="T3716">
        <v>-0.31496809999999997</v>
      </c>
      <c r="U3716">
        <v>-2.79412799999999</v>
      </c>
      <c r="V3716">
        <v>0.15986689999999901</v>
      </c>
      <c r="W3716">
        <v>2.3817020000000001E-2</v>
      </c>
      <c r="X3716">
        <v>0.98685119999999904</v>
      </c>
      <c r="Y3716">
        <v>0.36969990000000003</v>
      </c>
      <c r="Z3716">
        <v>0.1026127</v>
      </c>
      <c r="AA3716">
        <v>0.92346779999999995</v>
      </c>
      <c r="AB3716">
        <v>24</v>
      </c>
      <c r="AC3716">
        <v>-4.5335000000000001</v>
      </c>
      <c r="AD3716">
        <v>-1.1037922713599999</v>
      </c>
      <c r="AE3716">
        <v>-9.5555999999999894</v>
      </c>
      <c r="AF3716">
        <v>3.9713050498707498</v>
      </c>
      <c r="AG3716">
        <v>-1.1037922713599999</v>
      </c>
      <c r="AH3716">
        <v>9.6795337845622207</v>
      </c>
      <c r="AI3716">
        <v>96.0223989743223</v>
      </c>
      <c r="AJ3716">
        <v>67.692709367679598</v>
      </c>
      <c r="AK3716">
        <v>10.5205986266906</v>
      </c>
    </row>
    <row r="3717" spans="1:37" x14ac:dyDescent="0.2">
      <c r="A3717" t="str">
        <f>"20200111153724565"</f>
        <v>20200111153724565</v>
      </c>
      <c r="B3717" t="str">
        <f>"1578728244557245"</f>
        <v>1578728244557245</v>
      </c>
      <c r="C3717" t="s">
        <v>37</v>
      </c>
      <c r="D3717">
        <v>5.9804029999999999</v>
      </c>
      <c r="E3717">
        <v>0.59016550000000001</v>
      </c>
      <c r="F3717" t="s">
        <v>51</v>
      </c>
      <c r="G3717">
        <v>-195.8569</v>
      </c>
      <c r="H3717" s="1">
        <v>-1.431128E-5</v>
      </c>
      <c r="I3717">
        <v>156.96850000000001</v>
      </c>
      <c r="J3717">
        <v>-191.4194</v>
      </c>
      <c r="K3717">
        <v>1.10364</v>
      </c>
      <c r="L3717">
        <v>166.11019999999999</v>
      </c>
      <c r="M3717">
        <v>-5.5314750000000003E-2</v>
      </c>
      <c r="N3717">
        <v>0</v>
      </c>
      <c r="O3717">
        <v>-0.99838130000000003</v>
      </c>
      <c r="P3717">
        <v>-0.21571589999999999</v>
      </c>
      <c r="Q3717">
        <v>1.131333E-2</v>
      </c>
      <c r="R3717">
        <v>-0.97639089999999995</v>
      </c>
      <c r="S3717">
        <v>-1.3206329999999999</v>
      </c>
      <c r="T3717">
        <v>-0.32734639999999998</v>
      </c>
      <c r="U3717">
        <v>-2.7868189999999999</v>
      </c>
      <c r="V3717">
        <v>0.16143379999999999</v>
      </c>
      <c r="W3717">
        <v>2.3971470000000002E-2</v>
      </c>
      <c r="X3717">
        <v>0.98659240000000004</v>
      </c>
      <c r="Y3717">
        <v>0.37515879999999902</v>
      </c>
      <c r="Z3717">
        <v>0.1065338</v>
      </c>
      <c r="AA3717">
        <v>0.92081829999999998</v>
      </c>
      <c r="AB3717">
        <v>24</v>
      </c>
      <c r="AC3717">
        <v>-4.4375</v>
      </c>
      <c r="AD3717">
        <v>-1.1036543112799999</v>
      </c>
      <c r="AE3717">
        <v>-9.1416999999999806</v>
      </c>
      <c r="AF3717">
        <v>3.8792313255903799</v>
      </c>
      <c r="AG3717">
        <v>-1.1036543112799999</v>
      </c>
      <c r="AH3717">
        <v>9.2639073415237405</v>
      </c>
      <c r="AI3717">
        <v>96.271032446904897</v>
      </c>
      <c r="AJ3717">
        <v>67.278659045773097</v>
      </c>
      <c r="AK3717">
        <v>10.1037848229555</v>
      </c>
    </row>
    <row r="3718" spans="1:37" x14ac:dyDescent="0.2">
      <c r="A3718" t="str">
        <f>"20200111153724586"</f>
        <v>20200111153724586</v>
      </c>
      <c r="B3718" t="str">
        <f>"1578728244576765"</f>
        <v>1578728244576765</v>
      </c>
      <c r="C3718" t="s">
        <v>37</v>
      </c>
      <c r="D3718">
        <v>5.9544639999999998</v>
      </c>
      <c r="E3718">
        <v>0.59057930000000003</v>
      </c>
      <c r="F3718" t="s">
        <v>51</v>
      </c>
      <c r="G3718">
        <v>-195.79900000000001</v>
      </c>
      <c r="H3718" s="1">
        <v>-1.4315339999999999E-5</v>
      </c>
      <c r="I3718">
        <v>156.9846</v>
      </c>
      <c r="J3718">
        <v>-191.43369999999999</v>
      </c>
      <c r="K3718">
        <v>1.103539</v>
      </c>
      <c r="L3718">
        <v>165.88419999999999</v>
      </c>
      <c r="M3718">
        <v>-5.6972179999999997E-2</v>
      </c>
      <c r="N3718">
        <v>0</v>
      </c>
      <c r="O3718">
        <v>-0.9982877</v>
      </c>
      <c r="P3718">
        <v>-0.21834479999999901</v>
      </c>
      <c r="Q3718">
        <v>1.353388E-2</v>
      </c>
      <c r="R3718">
        <v>-0.97577789999999998</v>
      </c>
      <c r="S3718">
        <v>-1.3349299999999999</v>
      </c>
      <c r="T3718">
        <v>-0.33639750000000002</v>
      </c>
      <c r="U3718">
        <v>-2.7815089999999998</v>
      </c>
      <c r="V3718">
        <v>0.162468</v>
      </c>
      <c r="W3718">
        <v>2.61423E-2</v>
      </c>
      <c r="X3718">
        <v>0.98636749999999995</v>
      </c>
      <c r="Y3718">
        <v>0.37801879999999999</v>
      </c>
      <c r="Z3718">
        <v>0.1094328</v>
      </c>
      <c r="AA3718">
        <v>0.91930750000000006</v>
      </c>
      <c r="AB3718">
        <v>24</v>
      </c>
      <c r="AC3718">
        <v>-4.3653000000000102</v>
      </c>
      <c r="AD3718">
        <v>-1.1035533153399999</v>
      </c>
      <c r="AE3718">
        <v>-8.8995999999999906</v>
      </c>
      <c r="AF3718">
        <v>3.8039872329558002</v>
      </c>
      <c r="AG3718">
        <v>-1.1035533153399999</v>
      </c>
      <c r="AH3718">
        <v>9.0220446925156992</v>
      </c>
      <c r="AI3718">
        <v>96.430593619029096</v>
      </c>
      <c r="AJ3718">
        <v>67.138130947589502</v>
      </c>
      <c r="AK3718">
        <v>9.8531943663991193</v>
      </c>
    </row>
    <row r="3719" spans="1:37" x14ac:dyDescent="0.2">
      <c r="A3719" t="str">
        <f>"20200111153724607"</f>
        <v>20200111153724607</v>
      </c>
      <c r="B3719" t="str">
        <f>"1578728244596284"</f>
        <v>1578728244596284</v>
      </c>
      <c r="C3719" t="s">
        <v>37</v>
      </c>
      <c r="D3719">
        <v>5.9515510000000003</v>
      </c>
      <c r="E3719">
        <v>0.59123409999999998</v>
      </c>
      <c r="F3719" t="s">
        <v>51</v>
      </c>
      <c r="G3719">
        <v>-195.84119999999999</v>
      </c>
      <c r="H3719" s="1">
        <v>-1.42644899999999E-5</v>
      </c>
      <c r="I3719">
        <v>156.7826</v>
      </c>
      <c r="J3719">
        <v>-191.4487</v>
      </c>
      <c r="K3719">
        <v>1.1034360000000001</v>
      </c>
      <c r="L3719">
        <v>165.65610000000001</v>
      </c>
      <c r="M3719">
        <v>-5.8805780000000002E-2</v>
      </c>
      <c r="N3719">
        <v>0</v>
      </c>
      <c r="O3719">
        <v>-0.998181599999999</v>
      </c>
      <c r="P3719">
        <v>-0.22185869999999999</v>
      </c>
      <c r="Q3719">
        <v>1.5688069999999998E-2</v>
      </c>
      <c r="R3719">
        <v>-0.97495279999999995</v>
      </c>
      <c r="S3719">
        <v>-1.3453059999999999</v>
      </c>
      <c r="T3719">
        <v>-0.33683849999999999</v>
      </c>
      <c r="U3719">
        <v>-2.7781069999999999</v>
      </c>
      <c r="V3719">
        <v>0.16422529999999999</v>
      </c>
      <c r="W3719">
        <v>2.8245329999999999E-2</v>
      </c>
      <c r="X3719">
        <v>0.98601839999999996</v>
      </c>
      <c r="Y3719">
        <v>0.3795384</v>
      </c>
      <c r="Z3719">
        <v>0.10955719999999999</v>
      </c>
      <c r="AA3719">
        <v>0.91866630000000005</v>
      </c>
      <c r="AB3719">
        <v>24</v>
      </c>
      <c r="AC3719">
        <v>-4.3924999999999796</v>
      </c>
      <c r="AD3719">
        <v>-1.1034502644899999</v>
      </c>
      <c r="AE3719">
        <v>-8.8734999999999999</v>
      </c>
      <c r="AF3719">
        <v>3.8156467671621002</v>
      </c>
      <c r="AG3719">
        <v>-1.1034502644899999</v>
      </c>
      <c r="AH3719">
        <v>9.0046278376825004</v>
      </c>
      <c r="AI3719">
        <v>96.437497827879</v>
      </c>
      <c r="AJ3719">
        <v>67.035544570292501</v>
      </c>
      <c r="AK3719">
        <v>9.8417521424350198</v>
      </c>
    </row>
    <row r="3720" spans="1:37" x14ac:dyDescent="0.2">
      <c r="A3720" t="str">
        <f>"20200111153724631"</f>
        <v>20200111153724631</v>
      </c>
      <c r="B3720" t="str">
        <f>"1578728244626541"</f>
        <v>1578728244626541</v>
      </c>
      <c r="C3720" t="s">
        <v>37</v>
      </c>
      <c r="D3720">
        <v>5.8845640000000001</v>
      </c>
      <c r="E3720">
        <v>0.59222909999999995</v>
      </c>
      <c r="F3720" t="s">
        <v>51</v>
      </c>
      <c r="G3720">
        <v>-195.959</v>
      </c>
      <c r="H3720" s="1">
        <v>-1.415736E-5</v>
      </c>
      <c r="I3720">
        <v>156.4639</v>
      </c>
      <c r="J3720">
        <v>-191.46559999999999</v>
      </c>
      <c r="K3720">
        <v>1.1033269999999999</v>
      </c>
      <c r="L3720">
        <v>165.4111</v>
      </c>
      <c r="M3720">
        <v>-6.0971310000000001E-2</v>
      </c>
      <c r="N3720">
        <v>0</v>
      </c>
      <c r="O3720">
        <v>-0.99805159999999904</v>
      </c>
      <c r="P3720">
        <v>-0.22574079999999999</v>
      </c>
      <c r="Q3720">
        <v>1.6090420000000001E-2</v>
      </c>
      <c r="R3720">
        <v>-0.97405489999999995</v>
      </c>
      <c r="S3720">
        <v>-1.3605039999999999</v>
      </c>
      <c r="T3720">
        <v>-0.33285219999999999</v>
      </c>
      <c r="U3720">
        <v>-2.7728120000000001</v>
      </c>
      <c r="V3720">
        <v>0.166024</v>
      </c>
      <c r="W3720">
        <v>2.8593759999999999E-2</v>
      </c>
      <c r="X3720">
        <v>0.985707</v>
      </c>
      <c r="Y3720">
        <v>0.38234980000000002</v>
      </c>
      <c r="Z3720">
        <v>0.108252099999999</v>
      </c>
      <c r="AA3720">
        <v>0.91765459999999999</v>
      </c>
      <c r="AB3720">
        <v>24</v>
      </c>
      <c r="AC3720">
        <v>-4.4934000000000003</v>
      </c>
      <c r="AD3720">
        <v>-1.10334115736</v>
      </c>
      <c r="AE3720">
        <v>-8.9472000000000094</v>
      </c>
      <c r="AF3720">
        <v>3.8922009742503998</v>
      </c>
      <c r="AG3720">
        <v>-1.10334115736</v>
      </c>
      <c r="AH3720">
        <v>9.0941037743086106</v>
      </c>
      <c r="AI3720">
        <v>96.364383521209504</v>
      </c>
      <c r="AJ3720">
        <v>66.829476956503498</v>
      </c>
      <c r="AK3720">
        <v>9.9533569006327909</v>
      </c>
    </row>
    <row r="3721" spans="1:37" x14ac:dyDescent="0.2">
      <c r="A3721" t="str">
        <f>"20200111153724652"</f>
        <v>20200111153724652</v>
      </c>
      <c r="B3721" t="str">
        <f>"1578728244647037"</f>
        <v>1578728244647037</v>
      </c>
      <c r="C3721" t="s">
        <v>37</v>
      </c>
      <c r="D3721">
        <v>5.9317869999999999</v>
      </c>
      <c r="E3721">
        <v>0.59293339999999894</v>
      </c>
      <c r="F3721" t="s">
        <v>51</v>
      </c>
      <c r="G3721">
        <v>-196.05119999999999</v>
      </c>
      <c r="H3721" s="1">
        <v>-1.406044E-5</v>
      </c>
      <c r="I3721">
        <v>156.21889999999999</v>
      </c>
      <c r="J3721">
        <v>-191.482</v>
      </c>
      <c r="K3721">
        <v>1.1032120000000001</v>
      </c>
      <c r="L3721">
        <v>165.1815</v>
      </c>
      <c r="M3721">
        <v>-6.3191999999999998E-2</v>
      </c>
      <c r="N3721">
        <v>0</v>
      </c>
      <c r="O3721">
        <v>-0.99791350000000001</v>
      </c>
      <c r="P3721">
        <v>-0.2292207</v>
      </c>
      <c r="Q3721">
        <v>1.6938060000000001E-2</v>
      </c>
      <c r="R3721">
        <v>-0.97322710000000001</v>
      </c>
      <c r="S3721">
        <v>-1.379669</v>
      </c>
      <c r="T3721">
        <v>-0.331962799999999</v>
      </c>
      <c r="U3721">
        <v>-2.76567099999999</v>
      </c>
      <c r="V3721">
        <v>0.16736599999999999</v>
      </c>
      <c r="W3721">
        <v>2.9390220000000002E-2</v>
      </c>
      <c r="X3721">
        <v>0.98545659999999902</v>
      </c>
      <c r="Y3721">
        <v>0.38635039999999998</v>
      </c>
      <c r="Z3721">
        <v>0.1079416</v>
      </c>
      <c r="AA3721">
        <v>0.9160142</v>
      </c>
      <c r="AB3721">
        <v>24</v>
      </c>
      <c r="AC3721">
        <v>-4.5691999999999897</v>
      </c>
      <c r="AD3721">
        <v>-1.1032260604399999</v>
      </c>
      <c r="AE3721">
        <v>-8.9626000000000001</v>
      </c>
      <c r="AF3721">
        <v>3.9461948292332001</v>
      </c>
      <c r="AG3721">
        <v>-1.1032260604399999</v>
      </c>
      <c r="AH3721">
        <v>9.1237237837917302</v>
      </c>
      <c r="AI3721">
        <v>96.332898664234193</v>
      </c>
      <c r="AJ3721">
        <v>66.610542616740702</v>
      </c>
      <c r="AK3721">
        <v>10.001594725523899</v>
      </c>
    </row>
    <row r="3722" spans="1:37" x14ac:dyDescent="0.2">
      <c r="A3722" t="str">
        <f>"20200111153724675"</f>
        <v>20200111153724675</v>
      </c>
      <c r="B3722" t="str">
        <f>"1578728244666556"</f>
        <v>1578728244666556</v>
      </c>
      <c r="C3722" t="s">
        <v>37</v>
      </c>
      <c r="D3722">
        <v>5.9063220000000003</v>
      </c>
      <c r="E3722">
        <v>0.59358250000000001</v>
      </c>
      <c r="F3722" t="s">
        <v>51</v>
      </c>
      <c r="G3722">
        <v>-196.15219999999999</v>
      </c>
      <c r="H3722" s="1">
        <v>-1.3951479999999901E-5</v>
      </c>
      <c r="I3722">
        <v>155.94399999999999</v>
      </c>
      <c r="J3722">
        <v>-191.49969999999999</v>
      </c>
      <c r="K3722">
        <v>1.1030879999999901</v>
      </c>
      <c r="L3722">
        <v>164.94579999999999</v>
      </c>
      <c r="M3722">
        <v>-6.566951E-2</v>
      </c>
      <c r="N3722">
        <v>0</v>
      </c>
      <c r="O3722">
        <v>-0.99775340000000001</v>
      </c>
      <c r="P3722">
        <v>-0.23270099999999999</v>
      </c>
      <c r="Q3722">
        <v>1.7502090000000001E-2</v>
      </c>
      <c r="R3722">
        <v>-0.97239109999999995</v>
      </c>
      <c r="S3722">
        <v>-1.395187</v>
      </c>
      <c r="T3722">
        <v>-0.32958130000000002</v>
      </c>
      <c r="U3722">
        <v>-2.7596590000000001</v>
      </c>
      <c r="V3722">
        <v>0.1684572</v>
      </c>
      <c r="W3722">
        <v>2.989878E-2</v>
      </c>
      <c r="X3722">
        <v>0.9852554</v>
      </c>
      <c r="Y3722">
        <v>0.38900780000000001</v>
      </c>
      <c r="Z3722">
        <v>0.10716779999999999</v>
      </c>
      <c r="AA3722">
        <v>0.91497980000000001</v>
      </c>
      <c r="AB3722">
        <v>23</v>
      </c>
      <c r="AC3722">
        <v>-4.6524999999999999</v>
      </c>
      <c r="AD3722">
        <v>-1.10310195147999</v>
      </c>
      <c r="AE3722">
        <v>-9.0017999999999994</v>
      </c>
      <c r="AF3722">
        <v>4.0038107843769</v>
      </c>
      <c r="AG3722">
        <v>-1.10310195147999</v>
      </c>
      <c r="AH3722">
        <v>9.1791382587665105</v>
      </c>
      <c r="AI3722">
        <v>96.285914283598302</v>
      </c>
      <c r="AJ3722">
        <v>66.433848450818402</v>
      </c>
      <c r="AK3722">
        <v>10.0749150808333</v>
      </c>
    </row>
    <row r="3723" spans="1:37" x14ac:dyDescent="0.2">
      <c r="A3723" t="str">
        <f>"20200111153724696"</f>
        <v>20200111153724696</v>
      </c>
      <c r="B3723" t="str">
        <f>"1578728244687056"</f>
        <v>1578728244687056</v>
      </c>
      <c r="C3723" t="s">
        <v>37</v>
      </c>
      <c r="D3723">
        <v>5.854641</v>
      </c>
      <c r="E3723">
        <v>0.59422680000000005</v>
      </c>
      <c r="F3723" t="s">
        <v>51</v>
      </c>
      <c r="G3723">
        <v>-196.24590000000001</v>
      </c>
      <c r="H3723" s="1">
        <v>-1.38476799999999E-5</v>
      </c>
      <c r="I3723">
        <v>155.68270000000001</v>
      </c>
      <c r="J3723">
        <v>-191.5171</v>
      </c>
      <c r="K3723">
        <v>1.1029469999999999</v>
      </c>
      <c r="L3723">
        <v>164.72280000000001</v>
      </c>
      <c r="M3723">
        <v>-6.8210140000000002E-2</v>
      </c>
      <c r="N3723">
        <v>0</v>
      </c>
      <c r="O3723">
        <v>-0.99758269999999905</v>
      </c>
      <c r="P3723">
        <v>-0.2361964</v>
      </c>
      <c r="Q3723">
        <v>1.843508E-2</v>
      </c>
      <c r="R3723">
        <v>-0.97153069999999897</v>
      </c>
      <c r="S3723">
        <v>-1.4107969999999901</v>
      </c>
      <c r="T3723">
        <v>-0.3278935</v>
      </c>
      <c r="U3723">
        <v>-2.7534480000000001</v>
      </c>
      <c r="V3723">
        <v>0.16950660000000001</v>
      </c>
      <c r="W3723">
        <v>3.077481E-2</v>
      </c>
      <c r="X3723">
        <v>0.98504840000000005</v>
      </c>
      <c r="Y3723">
        <v>0.39163880000000001</v>
      </c>
      <c r="Z3723">
        <v>0.106619699999999</v>
      </c>
      <c r="AA3723">
        <v>0.91392090000000004</v>
      </c>
      <c r="AB3723">
        <v>23</v>
      </c>
      <c r="AC3723">
        <v>-4.7287999999999997</v>
      </c>
      <c r="AD3723">
        <v>-1.1029608476799999</v>
      </c>
      <c r="AE3723">
        <v>-9.04009999999999</v>
      </c>
      <c r="AF3723">
        <v>4.0537247079619299</v>
      </c>
      <c r="AG3723">
        <v>-1.1029608476799999</v>
      </c>
      <c r="AH3723">
        <v>9.2337006878609298</v>
      </c>
      <c r="AI3723">
        <v>96.241836669240001</v>
      </c>
      <c r="AJ3723">
        <v>66.297848827451901</v>
      </c>
      <c r="AK3723">
        <v>10.1444780561869</v>
      </c>
    </row>
    <row r="3724" spans="1:37" x14ac:dyDescent="0.2">
      <c r="A3724" t="str">
        <f>"20200111153724719"</f>
        <v>20200111153724719</v>
      </c>
      <c r="B3724" t="str">
        <f>"1578728244706572"</f>
        <v>1578728244706572</v>
      </c>
      <c r="C3724" t="s">
        <v>37</v>
      </c>
      <c r="D3724">
        <v>5.8318110000000001</v>
      </c>
      <c r="E3724">
        <v>0.59487829999999997</v>
      </c>
      <c r="F3724" t="s">
        <v>51</v>
      </c>
      <c r="G3724">
        <v>-196.3579</v>
      </c>
      <c r="H3724" s="1">
        <v>-1.3734839999999901E-5</v>
      </c>
      <c r="I3724">
        <v>155.3965</v>
      </c>
      <c r="J3724">
        <v>-191.53649999999999</v>
      </c>
      <c r="K3724">
        <v>1.1027910000000001</v>
      </c>
      <c r="L3724">
        <v>164.4872</v>
      </c>
      <c r="M3724">
        <v>-7.1114949999999996E-2</v>
      </c>
      <c r="N3724">
        <v>0</v>
      </c>
      <c r="O3724">
        <v>-0.99737999999999905</v>
      </c>
      <c r="P3724">
        <v>-0.2404723</v>
      </c>
      <c r="Q3724">
        <v>1.7462129999999999E-2</v>
      </c>
      <c r="R3724">
        <v>-0.97049920000000001</v>
      </c>
      <c r="S3724">
        <v>-1.42601</v>
      </c>
      <c r="T3724">
        <v>-0.324914799999999</v>
      </c>
      <c r="U3724">
        <v>-2.7473909999999999</v>
      </c>
      <c r="V3724">
        <v>0.17098150000000001</v>
      </c>
      <c r="W3724">
        <v>2.973578E-2</v>
      </c>
      <c r="X3724">
        <v>0.98482539999999996</v>
      </c>
      <c r="Y3724">
        <v>0.3938219</v>
      </c>
      <c r="Z3724">
        <v>0.10565819999999999</v>
      </c>
      <c r="AA3724">
        <v>0.91309399999999996</v>
      </c>
      <c r="AB3724">
        <v>23</v>
      </c>
      <c r="AC3724">
        <v>-4.8214000000000103</v>
      </c>
      <c r="AD3724">
        <v>-1.1028047348400001</v>
      </c>
      <c r="AE3724">
        <v>-9.0906999999999893</v>
      </c>
      <c r="AF3724">
        <v>4.11538132185468</v>
      </c>
      <c r="AG3724">
        <v>-1.1028047348400001</v>
      </c>
      <c r="AH3724">
        <v>9.3037238567458207</v>
      </c>
      <c r="AI3724">
        <v>96.186823017975499</v>
      </c>
      <c r="AJ3724">
        <v>66.138420262746095</v>
      </c>
      <c r="AK3724">
        <v>10.232879326467</v>
      </c>
    </row>
    <row r="3725" spans="1:37" x14ac:dyDescent="0.2">
      <c r="A3725" t="str">
        <f>"20200111153724742"</f>
        <v>20200111153724742</v>
      </c>
      <c r="B3725" t="str">
        <f>"1578728244736830"</f>
        <v>1578728244736830</v>
      </c>
      <c r="C3725" t="s">
        <v>37</v>
      </c>
      <c r="D3725">
        <v>5.8573490000000001</v>
      </c>
      <c r="E3725">
        <v>0.60267139999999997</v>
      </c>
      <c r="F3725" t="s">
        <v>51</v>
      </c>
      <c r="G3725">
        <v>-196.37989999999999</v>
      </c>
      <c r="H3725" s="1">
        <v>-1.369194E-5</v>
      </c>
      <c r="I3725">
        <v>155.2919</v>
      </c>
      <c r="J3725">
        <v>-191.55709999999999</v>
      </c>
      <c r="K3725">
        <v>1.102625</v>
      </c>
      <c r="L3725">
        <v>164.24799999999999</v>
      </c>
      <c r="M3725">
        <v>-7.4334250000000004E-2</v>
      </c>
      <c r="N3725">
        <v>0</v>
      </c>
      <c r="O3725">
        <v>-0.99714509999999901</v>
      </c>
      <c r="P3725">
        <v>-0.24503659999999999</v>
      </c>
      <c r="Q3725">
        <v>1.655361E-2</v>
      </c>
      <c r="R3725">
        <v>-0.96937260000000003</v>
      </c>
      <c r="S3725">
        <v>-1.4430080000000001</v>
      </c>
      <c r="T3725">
        <v>-0.32855719999999999</v>
      </c>
      <c r="U3725">
        <v>-2.7395480000000001</v>
      </c>
      <c r="V3725">
        <v>0.17244279999999901</v>
      </c>
      <c r="W3725">
        <v>2.8758679999999998E-2</v>
      </c>
      <c r="X3725">
        <v>0.98459959999999902</v>
      </c>
      <c r="Y3725">
        <v>0.396312099999999</v>
      </c>
      <c r="Z3725">
        <v>0.10685450000000001</v>
      </c>
      <c r="AA3725">
        <v>0.91187649999999998</v>
      </c>
      <c r="AB3725">
        <v>23</v>
      </c>
      <c r="AC3725">
        <v>-4.8228</v>
      </c>
      <c r="AD3725">
        <v>-1.10263869194</v>
      </c>
      <c r="AE3725">
        <v>-8.9560999999999904</v>
      </c>
      <c r="AF3725">
        <v>4.0955277184599099</v>
      </c>
      <c r="AG3725">
        <v>-1.10263869194</v>
      </c>
      <c r="AH3725">
        <v>9.1819579696150093</v>
      </c>
      <c r="AI3725">
        <v>96.258746603635501</v>
      </c>
      <c r="AJ3725">
        <v>65.961179607961398</v>
      </c>
      <c r="AK3725">
        <v>10.114223229364301</v>
      </c>
    </row>
    <row r="3726" spans="1:37" x14ac:dyDescent="0.2">
      <c r="A3726" t="str">
        <f>"20200111153724765"</f>
        <v>20200111153724765</v>
      </c>
      <c r="B3726" t="str">
        <f>"1578728244756348"</f>
        <v>1578728244756348</v>
      </c>
      <c r="C3726" t="s">
        <v>37</v>
      </c>
      <c r="D3726">
        <v>5.8772180000000001</v>
      </c>
      <c r="E3726">
        <v>0.60298689999999999</v>
      </c>
      <c r="F3726" t="s">
        <v>51</v>
      </c>
      <c r="G3726">
        <v>-196.785</v>
      </c>
      <c r="H3726" s="1">
        <v>-1.355464E-5</v>
      </c>
      <c r="I3726">
        <v>154.88810000000001</v>
      </c>
      <c r="J3726">
        <v>-191.57939999999999</v>
      </c>
      <c r="K3726">
        <v>1.1024620000000001</v>
      </c>
      <c r="L3726">
        <v>164.00290000000001</v>
      </c>
      <c r="M3726">
        <v>-7.7887330000000005E-2</v>
      </c>
      <c r="N3726">
        <v>0</v>
      </c>
      <c r="O3726">
        <v>-0.99687359999999903</v>
      </c>
      <c r="P3726">
        <v>-0.2497994</v>
      </c>
      <c r="Q3726">
        <v>1.57197E-2</v>
      </c>
      <c r="R3726">
        <v>-0.96816990000000003</v>
      </c>
      <c r="S3726">
        <v>-1.51738</v>
      </c>
      <c r="T3726">
        <v>-0.32003799999999999</v>
      </c>
      <c r="U3726">
        <v>-2.7166899999999998</v>
      </c>
      <c r="V3726">
        <v>0.1737802</v>
      </c>
      <c r="W3726">
        <v>2.785781E-2</v>
      </c>
      <c r="X3726">
        <v>0.9843904</v>
      </c>
      <c r="Y3726">
        <v>0.41552440000000002</v>
      </c>
      <c r="Z3726">
        <v>0.10373979999999999</v>
      </c>
      <c r="AA3726">
        <v>0.90364679999999997</v>
      </c>
      <c r="AB3726">
        <v>23</v>
      </c>
      <c r="AC3726">
        <v>-5.2055999999999996</v>
      </c>
      <c r="AD3726">
        <v>-1.10247555464</v>
      </c>
      <c r="AE3726">
        <v>-9.1148000000000007</v>
      </c>
      <c r="AF3726">
        <v>4.4309127016286496</v>
      </c>
      <c r="AG3726">
        <v>-1.10247555464</v>
      </c>
      <c r="AH3726">
        <v>9.3890148757029408</v>
      </c>
      <c r="AI3726">
        <v>96.061564420565404</v>
      </c>
      <c r="AJ3726">
        <v>64.736194598344895</v>
      </c>
      <c r="AK3726">
        <v>10.440404209330399</v>
      </c>
    </row>
    <row r="3727" spans="1:37" x14ac:dyDescent="0.2">
      <c r="A3727" t="str">
        <f>"20200111153724787"</f>
        <v>20200111153724787</v>
      </c>
      <c r="B3727" t="str">
        <f>"1578728244776844"</f>
        <v>1578728244776844</v>
      </c>
      <c r="C3727" t="s">
        <v>37</v>
      </c>
      <c r="D3727">
        <v>6.1359139999999996</v>
      </c>
      <c r="E3727">
        <v>0.59624650000000001</v>
      </c>
      <c r="F3727" t="s">
        <v>51</v>
      </c>
      <c r="G3727">
        <v>-196.7098</v>
      </c>
      <c r="H3727" s="1">
        <v>-1.3569739999999999E-5</v>
      </c>
      <c r="I3727">
        <v>154.93889999999999</v>
      </c>
      <c r="J3727">
        <v>-191.60120000000001</v>
      </c>
      <c r="K3727">
        <v>1.102341</v>
      </c>
      <c r="L3727">
        <v>163.77529999999999</v>
      </c>
      <c r="M3727">
        <v>-8.1377199999999997E-2</v>
      </c>
      <c r="N3727">
        <v>0</v>
      </c>
      <c r="O3727">
        <v>-0.99659469999999994</v>
      </c>
      <c r="P3727">
        <v>-0.25440099999999999</v>
      </c>
      <c r="Q3727">
        <v>1.607898E-2</v>
      </c>
      <c r="R3727">
        <v>-0.96696539999999997</v>
      </c>
      <c r="S3727">
        <v>-1.53302</v>
      </c>
      <c r="T3727">
        <v>-0.32943059999999902</v>
      </c>
      <c r="U3727">
        <v>-2.7084349999999899</v>
      </c>
      <c r="V3727">
        <v>0.1750264</v>
      </c>
      <c r="W3727">
        <v>2.8162880000000001E-2</v>
      </c>
      <c r="X3727">
        <v>0.98416079999999995</v>
      </c>
      <c r="Y3727">
        <v>0.41731800000000002</v>
      </c>
      <c r="Z3727">
        <v>0.106795499999999</v>
      </c>
      <c r="AA3727">
        <v>0.90246349999999997</v>
      </c>
      <c r="AB3727">
        <v>23</v>
      </c>
      <c r="AC3727">
        <v>-5.1085999999999903</v>
      </c>
      <c r="AD3727">
        <v>-1.1023545697399999</v>
      </c>
      <c r="AE3727">
        <v>-8.8363999999999905</v>
      </c>
      <c r="AF3727">
        <v>4.3220943701395802</v>
      </c>
      <c r="AG3727">
        <v>-1.1023545697399999</v>
      </c>
      <c r="AH3727">
        <v>9.1165102468545296</v>
      </c>
      <c r="AI3727">
        <v>96.235472486075295</v>
      </c>
      <c r="AJ3727">
        <v>64.634591316154001</v>
      </c>
      <c r="AK3727">
        <v>10.1492090540505</v>
      </c>
    </row>
    <row r="3728" spans="1:37" x14ac:dyDescent="0.2">
      <c r="A3728" t="str">
        <f>"20200111153724809"</f>
        <v>20200111153724809</v>
      </c>
      <c r="B3728" t="str">
        <f>"1578728244796365"</f>
        <v>1578728244796365</v>
      </c>
      <c r="C3728" t="s">
        <v>37</v>
      </c>
      <c r="D3728">
        <v>6.0745100000000001</v>
      </c>
      <c r="E3728">
        <v>0.59227289999999999</v>
      </c>
      <c r="F3728" t="s">
        <v>51</v>
      </c>
      <c r="G3728">
        <v>-195.6337</v>
      </c>
      <c r="H3728" s="1">
        <v>-1.4115039999999901E-5</v>
      </c>
      <c r="I3728">
        <v>156.4324</v>
      </c>
      <c r="J3728">
        <v>-191.6233</v>
      </c>
      <c r="K3728">
        <v>1.102241</v>
      </c>
      <c r="L3728">
        <v>163.5538</v>
      </c>
      <c r="M3728">
        <v>-8.494823E-2</v>
      </c>
      <c r="N3728">
        <v>0</v>
      </c>
      <c r="O3728">
        <v>-0.99629659999999998</v>
      </c>
      <c r="P3728">
        <v>-0.25874419999999998</v>
      </c>
      <c r="Q3728">
        <v>1.6225730000000001E-2</v>
      </c>
      <c r="R3728">
        <v>-0.96580979999999905</v>
      </c>
      <c r="S3728">
        <v>-1.4919739999999999</v>
      </c>
      <c r="T3728">
        <v>-0.40785070000000001</v>
      </c>
      <c r="U3728">
        <v>-2.716736</v>
      </c>
      <c r="V3728">
        <v>0.1759309</v>
      </c>
      <c r="W3728">
        <v>2.8263920000000001E-2</v>
      </c>
      <c r="X3728">
        <v>0.98399669999999895</v>
      </c>
      <c r="Y3728">
        <v>0.40094179999999902</v>
      </c>
      <c r="Z3728">
        <v>0.132326799999999</v>
      </c>
      <c r="AA3728">
        <v>0.90649609999999903</v>
      </c>
      <c r="AB3728">
        <v>23</v>
      </c>
      <c r="AC3728">
        <v>-4.0103999999999997</v>
      </c>
      <c r="AD3728">
        <v>-1.10225511504</v>
      </c>
      <c r="AE3728">
        <v>-7.1213999999999897</v>
      </c>
      <c r="AF3728">
        <v>3.3303230234829102</v>
      </c>
      <c r="AG3728">
        <v>-1.10225511504</v>
      </c>
      <c r="AH3728">
        <v>7.3035187529033099</v>
      </c>
      <c r="AI3728">
        <v>97.818884104650294</v>
      </c>
      <c r="AJ3728">
        <v>65.487543679146697</v>
      </c>
      <c r="AK3728">
        <v>8.1023085570337603</v>
      </c>
    </row>
    <row r="3729" spans="1:37" x14ac:dyDescent="0.2">
      <c r="A3729" t="str">
        <f>"20200111153724831"</f>
        <v>20200111153724831</v>
      </c>
      <c r="B3729" t="str">
        <f>"1578728244826621"</f>
        <v>1578728244826621</v>
      </c>
      <c r="C3729" t="s">
        <v>37</v>
      </c>
      <c r="D3729">
        <v>6.1807239999999997</v>
      </c>
      <c r="E3729">
        <v>0.59008050000000001</v>
      </c>
      <c r="F3729" t="s">
        <v>51</v>
      </c>
      <c r="G3729">
        <v>-195.2328</v>
      </c>
      <c r="H3729" s="1">
        <v>-1.42754399999999E-5</v>
      </c>
      <c r="I3729">
        <v>156.88919999999999</v>
      </c>
      <c r="J3729">
        <v>-191.648</v>
      </c>
      <c r="K3729">
        <v>1.102139</v>
      </c>
      <c r="L3729">
        <v>163.31639999999999</v>
      </c>
      <c r="M3729">
        <v>-8.8968190000000003E-2</v>
      </c>
      <c r="N3729">
        <v>0</v>
      </c>
      <c r="O3729">
        <v>-0.99594550000000004</v>
      </c>
      <c r="P3729">
        <v>-0.26420900000000003</v>
      </c>
      <c r="Q3729">
        <v>1.6300479999999999E-2</v>
      </c>
      <c r="R3729">
        <v>-0.96432779999999996</v>
      </c>
      <c r="S3729">
        <v>-1.4727170000000001</v>
      </c>
      <c r="T3729">
        <v>-0.44972619999999902</v>
      </c>
      <c r="U3729">
        <v>-2.7191930000000002</v>
      </c>
      <c r="V3729">
        <v>0.17754029999999901</v>
      </c>
      <c r="W3729">
        <v>2.8286329999999998E-2</v>
      </c>
      <c r="X3729">
        <v>0.983707</v>
      </c>
      <c r="Y3729">
        <v>0.39102629999999999</v>
      </c>
      <c r="Z3729">
        <v>0.14597489999999999</v>
      </c>
      <c r="AA3729">
        <v>0.90872980000000003</v>
      </c>
      <c r="AB3729">
        <v>23</v>
      </c>
      <c r="AC3729">
        <v>-3.5848</v>
      </c>
      <c r="AD3729">
        <v>-1.1021532754400001</v>
      </c>
      <c r="AE3729">
        <v>-6.4271999999999903</v>
      </c>
      <c r="AF3729">
        <v>2.9329323859027099</v>
      </c>
      <c r="AG3729">
        <v>-1.1021532754400001</v>
      </c>
      <c r="AH3729">
        <v>6.5732391678487199</v>
      </c>
      <c r="AI3729">
        <v>98.7056149257605</v>
      </c>
      <c r="AJ3729">
        <v>65.953912497421896</v>
      </c>
      <c r="AK3729">
        <v>7.2817791356632497</v>
      </c>
    </row>
    <row r="3730" spans="1:37" x14ac:dyDescent="0.2">
      <c r="A3730" t="str">
        <f>"20200111153724853"</f>
        <v>20200111153724853</v>
      </c>
      <c r="B3730" t="str">
        <f>"1578728244847116"</f>
        <v>1578728244847116</v>
      </c>
      <c r="C3730" t="s">
        <v>37</v>
      </c>
      <c r="D3730">
        <v>6.0959019999999997</v>
      </c>
      <c r="E3730">
        <v>0.58870049999999996</v>
      </c>
      <c r="F3730" t="s">
        <v>51</v>
      </c>
      <c r="G3730">
        <v>-194.97049999999999</v>
      </c>
      <c r="H3730" s="1">
        <v>-1.43636899999999E-5</v>
      </c>
      <c r="I3730">
        <v>157.17679999999999</v>
      </c>
      <c r="J3730">
        <v>-191.67420000000001</v>
      </c>
      <c r="K3730">
        <v>1.102033</v>
      </c>
      <c r="L3730">
        <v>163.07759999999999</v>
      </c>
      <c r="M3730">
        <v>-9.3204120000000001E-2</v>
      </c>
      <c r="N3730">
        <v>0</v>
      </c>
      <c r="O3730">
        <v>-0.99555780000000005</v>
      </c>
      <c r="P3730">
        <v>-0.26999709999999899</v>
      </c>
      <c r="Q3730">
        <v>1.705106E-2</v>
      </c>
      <c r="R3730">
        <v>-0.96271019999999896</v>
      </c>
      <c r="S3730">
        <v>-1.470016</v>
      </c>
      <c r="T3730">
        <v>-0.48764239999999998</v>
      </c>
      <c r="U3730">
        <v>-2.7164459999999999</v>
      </c>
      <c r="V3730">
        <v>0.17927899999999999</v>
      </c>
      <c r="W3730">
        <v>2.89827E-2</v>
      </c>
      <c r="X3730">
        <v>0.98337129999999995</v>
      </c>
      <c r="Y3730">
        <v>0.3859071</v>
      </c>
      <c r="Z3730">
        <v>0.1582172</v>
      </c>
      <c r="AA3730">
        <v>0.90886909999999899</v>
      </c>
      <c r="AB3730">
        <v>23</v>
      </c>
      <c r="AC3730">
        <v>-3.2962999999999698</v>
      </c>
      <c r="AD3730">
        <v>-1.1020473636899999</v>
      </c>
      <c r="AE3730">
        <v>-5.9008000000000003</v>
      </c>
      <c r="AF3730">
        <v>2.6611752908539099</v>
      </c>
      <c r="AG3730">
        <v>-1.1020473636899999</v>
      </c>
      <c r="AH3730">
        <v>6.0222671584301501</v>
      </c>
      <c r="AI3730">
        <v>99.502177869124793</v>
      </c>
      <c r="AJ3730">
        <v>66.159878605559996</v>
      </c>
      <c r="AK3730">
        <v>6.6756321084953303</v>
      </c>
    </row>
    <row r="3731" spans="1:37" x14ac:dyDescent="0.2">
      <c r="A3731" t="str">
        <f>"20200111153724876"</f>
        <v>20200111153724876</v>
      </c>
      <c r="B3731" t="str">
        <f>"1578728244866639"</f>
        <v>1578728244866639</v>
      </c>
      <c r="C3731" t="s">
        <v>37</v>
      </c>
      <c r="D3731">
        <v>6.1735220000000002</v>
      </c>
      <c r="E3731">
        <v>0.58806230000000004</v>
      </c>
      <c r="F3731" t="s">
        <v>51</v>
      </c>
      <c r="G3731">
        <v>-194.93799999999999</v>
      </c>
      <c r="H3731" s="1">
        <v>-1.43319899999999E-5</v>
      </c>
      <c r="I3731">
        <v>157.08199999999999</v>
      </c>
      <c r="J3731">
        <v>-191.70009999999999</v>
      </c>
      <c r="K3731">
        <v>1.101925</v>
      </c>
      <c r="L3731">
        <v>162.85159999999999</v>
      </c>
      <c r="M3731">
        <v>-9.7392060000000003E-2</v>
      </c>
      <c r="N3731">
        <v>0</v>
      </c>
      <c r="O3731">
        <v>-0.99515689999999901</v>
      </c>
      <c r="P3731">
        <v>-0.27529300000000001</v>
      </c>
      <c r="Q3731">
        <v>1.7757930000000002E-2</v>
      </c>
      <c r="R3731">
        <v>-0.96119669999999902</v>
      </c>
      <c r="S3731">
        <v>-1.47583</v>
      </c>
      <c r="T3731">
        <v>-0.49832789999999999</v>
      </c>
      <c r="U3731">
        <v>-2.7111209999999999</v>
      </c>
      <c r="V3731">
        <v>0.18056949999999999</v>
      </c>
      <c r="W3731">
        <v>2.9638069999999999E-2</v>
      </c>
      <c r="X3731">
        <v>0.98311559999999898</v>
      </c>
      <c r="Y3731">
        <v>0.3840134</v>
      </c>
      <c r="Z3731">
        <v>0.16175100000000001</v>
      </c>
      <c r="AA3731">
        <v>0.9090492</v>
      </c>
      <c r="AB3731">
        <v>23</v>
      </c>
      <c r="AC3731">
        <v>-3.23789999999999</v>
      </c>
      <c r="AD3731">
        <v>-1.1019393319899999</v>
      </c>
      <c r="AE3731">
        <v>-5.7695999999999898</v>
      </c>
      <c r="AF3731">
        <v>2.5887285321617202</v>
      </c>
      <c r="AG3731">
        <v>-1.1019393319899999</v>
      </c>
      <c r="AH3731">
        <v>5.8940364873847599</v>
      </c>
      <c r="AI3731">
        <v>99.713492320880704</v>
      </c>
      <c r="AJ3731">
        <v>66.288367082079603</v>
      </c>
      <c r="AK3731">
        <v>6.5311141330739</v>
      </c>
    </row>
    <row r="3732" spans="1:37" x14ac:dyDescent="0.2">
      <c r="A3732" t="str">
        <f>"20200111153724897"</f>
        <v>20200111153724897</v>
      </c>
      <c r="B3732" t="str">
        <f>"1578728244887132"</f>
        <v>1578728244887132</v>
      </c>
      <c r="C3732" t="s">
        <v>37</v>
      </c>
      <c r="D3732">
        <v>6.1272469999999997</v>
      </c>
      <c r="E3732">
        <v>0.58752069999999901</v>
      </c>
      <c r="F3732" t="s">
        <v>51</v>
      </c>
      <c r="G3732">
        <v>-194.89580000000001</v>
      </c>
      <c r="H3732" s="1">
        <v>-1.4306739999999999E-5</v>
      </c>
      <c r="I3732">
        <v>157.03190000000001</v>
      </c>
      <c r="J3732">
        <v>-191.72730000000001</v>
      </c>
      <c r="K3732">
        <v>1.10182</v>
      </c>
      <c r="L3732">
        <v>162.62360000000001</v>
      </c>
      <c r="M3732">
        <v>-0.1017971</v>
      </c>
      <c r="N3732">
        <v>0</v>
      </c>
      <c r="O3732">
        <v>-0.99471569999999898</v>
      </c>
      <c r="P3732">
        <v>-0.28062429999999999</v>
      </c>
      <c r="Q3732">
        <v>1.970121E-2</v>
      </c>
      <c r="R3732">
        <v>-0.9596152</v>
      </c>
      <c r="S3732">
        <v>-1.485428</v>
      </c>
      <c r="T3732">
        <v>-0.51220339999999998</v>
      </c>
      <c r="U3732">
        <v>-2.705139</v>
      </c>
      <c r="V3732">
        <v>0.181700799999999</v>
      </c>
      <c r="W3732">
        <v>3.1527840000000001E-2</v>
      </c>
      <c r="X3732">
        <v>0.98284830000000001</v>
      </c>
      <c r="Y3732">
        <v>0.38290380000000002</v>
      </c>
      <c r="Z3732">
        <v>0.16623499999999999</v>
      </c>
      <c r="AA3732">
        <v>0.90870819999999997</v>
      </c>
      <c r="AB3732">
        <v>23</v>
      </c>
      <c r="AC3732">
        <v>-3.1684999999999901</v>
      </c>
      <c r="AD3732">
        <v>-1.10183430674</v>
      </c>
      <c r="AE3732">
        <v>-5.5917000000000003</v>
      </c>
      <c r="AF3732">
        <v>2.5090250398810499</v>
      </c>
      <c r="AG3732">
        <v>-1.10183430674</v>
      </c>
      <c r="AH3732">
        <v>5.7171860365240397</v>
      </c>
      <c r="AI3732">
        <v>100.008321048827</v>
      </c>
      <c r="AJ3732">
        <v>66.305412887434102</v>
      </c>
      <c r="AK3732">
        <v>6.3399890904073999</v>
      </c>
    </row>
    <row r="3733" spans="1:37" x14ac:dyDescent="0.2">
      <c r="A3733" t="str">
        <f>"20200111153724920"</f>
        <v>20200111153724920</v>
      </c>
      <c r="B3733" t="str">
        <f>"1578728244916413"</f>
        <v>1578728244916413</v>
      </c>
      <c r="C3733" t="s">
        <v>37</v>
      </c>
      <c r="D3733">
        <v>6.1325229999999999</v>
      </c>
      <c r="E3733">
        <v>0.58671719999999905</v>
      </c>
      <c r="F3733" t="s">
        <v>51</v>
      </c>
      <c r="G3733">
        <v>-194.90690000000001</v>
      </c>
      <c r="H3733" s="1">
        <v>-1.4246029999999999E-5</v>
      </c>
      <c r="I3733">
        <v>156.88810000000001</v>
      </c>
      <c r="J3733">
        <v>-191.75579999999999</v>
      </c>
      <c r="K3733">
        <v>1.1016999999999999</v>
      </c>
      <c r="L3733">
        <v>162.3963</v>
      </c>
      <c r="M3733">
        <v>-0.10637870000000001</v>
      </c>
      <c r="N3733">
        <v>0</v>
      </c>
      <c r="O3733">
        <v>-0.99423619999999902</v>
      </c>
      <c r="P3733">
        <v>-0.28584920000000003</v>
      </c>
      <c r="Q3733">
        <v>2.0910789999999999E-2</v>
      </c>
      <c r="R3733">
        <v>-0.95804709999999904</v>
      </c>
      <c r="S3733">
        <v>-1.4964139999999999</v>
      </c>
      <c r="T3733">
        <v>-0.51855929999999995</v>
      </c>
      <c r="U3733">
        <v>-2.6993099999999899</v>
      </c>
      <c r="V3733">
        <v>0.18254989999999999</v>
      </c>
      <c r="W3733">
        <v>3.268501E-2</v>
      </c>
      <c r="X3733">
        <v>0.98265309999999995</v>
      </c>
      <c r="Y3733">
        <v>0.38215169999999998</v>
      </c>
      <c r="Z3733">
        <v>0.16829820000000001</v>
      </c>
      <c r="AA3733">
        <v>0.90864500000000004</v>
      </c>
      <c r="AB3733">
        <v>23</v>
      </c>
      <c r="AC3733">
        <v>-3.1511000000000098</v>
      </c>
      <c r="AD3733">
        <v>-1.10171424602999</v>
      </c>
      <c r="AE3733">
        <v>-5.50819999999998</v>
      </c>
      <c r="AF3733">
        <v>2.4726798158159999</v>
      </c>
      <c r="AG3733">
        <v>-1.10171424602999</v>
      </c>
      <c r="AH3733">
        <v>5.6421190690669398</v>
      </c>
      <c r="AI3733">
        <v>100.13985422202001</v>
      </c>
      <c r="AJ3733">
        <v>66.3343840065763</v>
      </c>
      <c r="AK3733">
        <v>6.2579091828643598</v>
      </c>
    </row>
    <row r="3734" spans="1:37" x14ac:dyDescent="0.2">
      <c r="A3734" t="str">
        <f>"20200111153724943"</f>
        <v>20200111153724943</v>
      </c>
      <c r="B3734" t="str">
        <f>"1578728244936909"</f>
        <v>1578728244936909</v>
      </c>
      <c r="C3734" t="s">
        <v>37</v>
      </c>
      <c r="D3734">
        <v>6.1423879999999897</v>
      </c>
      <c r="E3734">
        <v>0.5865937</v>
      </c>
      <c r="F3734" t="s">
        <v>51</v>
      </c>
      <c r="G3734">
        <v>-194.90889999999999</v>
      </c>
      <c r="H3734" s="1">
        <v>-1.418812E-5</v>
      </c>
      <c r="I3734">
        <v>156.7527</v>
      </c>
      <c r="J3734">
        <v>-191.78829999999999</v>
      </c>
      <c r="K3734">
        <v>1.1015600000000001</v>
      </c>
      <c r="L3734">
        <v>162.14940000000001</v>
      </c>
      <c r="M3734">
        <v>-0.1116</v>
      </c>
      <c r="N3734">
        <v>0</v>
      </c>
      <c r="O3734">
        <v>-0.99366330000000003</v>
      </c>
      <c r="P3734">
        <v>-0.29072700000000001</v>
      </c>
      <c r="Q3734">
        <v>2.1563209999999999E-2</v>
      </c>
      <c r="R3734">
        <v>-0.956563099999999</v>
      </c>
      <c r="S3734">
        <v>-1.5050049999999999</v>
      </c>
      <c r="T3734">
        <v>-0.52586440000000001</v>
      </c>
      <c r="U3734">
        <v>-2.6938019999999998</v>
      </c>
      <c r="V3734">
        <v>0.18241250000000001</v>
      </c>
      <c r="W3734">
        <v>3.3292639999999998E-2</v>
      </c>
      <c r="X3734">
        <v>0.98265829999999998</v>
      </c>
      <c r="Y3734">
        <v>0.38010809999999901</v>
      </c>
      <c r="Z3734">
        <v>0.1706973</v>
      </c>
      <c r="AA3734">
        <v>0.90905460000000005</v>
      </c>
      <c r="AB3734">
        <v>23</v>
      </c>
      <c r="AC3734">
        <v>-3.1205999999999898</v>
      </c>
      <c r="AD3734">
        <v>-1.1015741881200001</v>
      </c>
      <c r="AE3734">
        <v>-5.3967000000000098</v>
      </c>
      <c r="AF3734">
        <v>2.4231164408691699</v>
      </c>
      <c r="AG3734">
        <v>-1.1015741881200001</v>
      </c>
      <c r="AH3734">
        <v>5.5383396507428504</v>
      </c>
      <c r="AI3734">
        <v>100.327258907868</v>
      </c>
      <c r="AJ3734">
        <v>66.369816087906003</v>
      </c>
      <c r="AK3734">
        <v>6.1447672913571898</v>
      </c>
    </row>
    <row r="3735" spans="1:37" x14ac:dyDescent="0.2">
      <c r="A3735" t="str">
        <f>"20200111153724965"</f>
        <v>20200111153724965</v>
      </c>
      <c r="B3735" t="str">
        <f>"1578728244956428"</f>
        <v>1578728244956428</v>
      </c>
      <c r="C3735" t="s">
        <v>37</v>
      </c>
      <c r="D3735">
        <v>5.7937659999999997</v>
      </c>
      <c r="E3735">
        <v>0.58833310000000005</v>
      </c>
      <c r="F3735" t="s">
        <v>51</v>
      </c>
      <c r="G3735">
        <v>-194.94980000000001</v>
      </c>
      <c r="H3735" s="1">
        <v>-1.410713E-5</v>
      </c>
      <c r="I3735">
        <v>156.55539999999999</v>
      </c>
      <c r="J3735">
        <v>-191.81890000000001</v>
      </c>
      <c r="K3735">
        <v>1.1014539999999999</v>
      </c>
      <c r="L3735">
        <v>161.92660000000001</v>
      </c>
      <c r="M3735">
        <v>-0.116478</v>
      </c>
      <c r="N3735">
        <v>0</v>
      </c>
      <c r="O3735">
        <v>-0.99310309999999902</v>
      </c>
      <c r="P3735">
        <v>-0.29567830000000001</v>
      </c>
      <c r="Q3735">
        <v>2.1832069999999999E-2</v>
      </c>
      <c r="R3735">
        <v>-0.95503819999999995</v>
      </c>
      <c r="S3735">
        <v>-1.518402</v>
      </c>
      <c r="T3735">
        <v>-0.52906280000000006</v>
      </c>
      <c r="U3735">
        <v>-2.6866759999999998</v>
      </c>
      <c r="V3735">
        <v>0.1826892</v>
      </c>
      <c r="W3735">
        <v>3.3522830000000003E-2</v>
      </c>
      <c r="X3735">
        <v>0.982599</v>
      </c>
      <c r="Y3735">
        <v>0.37995790000000002</v>
      </c>
      <c r="Z3735">
        <v>0.17175699999999999</v>
      </c>
      <c r="AA3735">
        <v>0.9089178</v>
      </c>
      <c r="AB3735">
        <v>23</v>
      </c>
      <c r="AC3735">
        <v>-3.1308999999999898</v>
      </c>
      <c r="AD3735">
        <v>-1.1014681071300001</v>
      </c>
      <c r="AE3735">
        <v>-5.3712000000000097</v>
      </c>
      <c r="AF3735">
        <v>2.4083094975230099</v>
      </c>
      <c r="AG3735">
        <v>-1.1014681071300001</v>
      </c>
      <c r="AH3735">
        <v>5.52589804088732</v>
      </c>
      <c r="AI3735">
        <v>100.355327760001</v>
      </c>
      <c r="AJ3735">
        <v>66.451354866805701</v>
      </c>
      <c r="AK3735">
        <v>6.1277023251106497</v>
      </c>
    </row>
    <row r="3736" spans="1:37" x14ac:dyDescent="0.2">
      <c r="A3736" t="str">
        <f>"20200111153724978"</f>
        <v>20200111153724978</v>
      </c>
      <c r="B3736" t="str">
        <f>"1578728244967165"</f>
        <v>1578728244967165</v>
      </c>
      <c r="C3736" t="s">
        <v>37</v>
      </c>
      <c r="D3736">
        <v>5.7249530000000002</v>
      </c>
      <c r="E3736">
        <v>0.58833310000000005</v>
      </c>
      <c r="F3736" t="s">
        <v>51</v>
      </c>
      <c r="G3736">
        <v>-195.09549999999999</v>
      </c>
      <c r="H3736" s="1">
        <v>-1.3992509999999999E-5</v>
      </c>
      <c r="I3736">
        <v>156.25810000000001</v>
      </c>
      <c r="J3736">
        <v>-191.83869999999999</v>
      </c>
      <c r="K3736">
        <v>1.1013919999999999</v>
      </c>
      <c r="L3736">
        <v>161.78659999999999</v>
      </c>
      <c r="M3736">
        <v>-0.119616</v>
      </c>
      <c r="N3736">
        <v>0</v>
      </c>
      <c r="O3736">
        <v>-0.992729999999999</v>
      </c>
      <c r="P3736">
        <v>-0.29880879999999999</v>
      </c>
      <c r="Q3736">
        <v>2.186219E-2</v>
      </c>
      <c r="R3736">
        <v>-0.95406279999999999</v>
      </c>
      <c r="S3736">
        <v>-1.545944</v>
      </c>
      <c r="T3736">
        <v>-0.5196885</v>
      </c>
      <c r="U3736">
        <v>-2.6745000000000001</v>
      </c>
      <c r="V3736">
        <v>0.1828118</v>
      </c>
      <c r="W3736">
        <v>3.3531400000000003E-2</v>
      </c>
      <c r="X3736">
        <v>0.982576</v>
      </c>
      <c r="Y3736">
        <v>0.38611499999999999</v>
      </c>
      <c r="Z3736">
        <v>0.16874410000000001</v>
      </c>
      <c r="AA3736">
        <v>0.9068851</v>
      </c>
      <c r="AB3736">
        <v>23</v>
      </c>
      <c r="AC3736">
        <v>-3.2567999999999899</v>
      </c>
      <c r="AD3736">
        <v>-1.1014059925099999</v>
      </c>
      <c r="AE3736">
        <v>-5.5284999999999798</v>
      </c>
      <c r="AF3736">
        <v>2.49844048535773</v>
      </c>
      <c r="AG3736">
        <v>-1.1014059925099999</v>
      </c>
      <c r="AH3736">
        <v>5.7101515847135804</v>
      </c>
      <c r="AI3736">
        <v>100.021322376597</v>
      </c>
      <c r="AJ3736">
        <v>66.3685238186725</v>
      </c>
      <c r="AK3736">
        <v>6.3293863161935802</v>
      </c>
    </row>
    <row r="3737" spans="1:37" x14ac:dyDescent="0.2">
      <c r="A3737" t="str">
        <f>"20200111153724992"</f>
        <v>20200111153724992</v>
      </c>
      <c r="B3737" t="str">
        <f>"1578728244986685"</f>
        <v>1578728244986685</v>
      </c>
      <c r="C3737" t="s">
        <v>37</v>
      </c>
      <c r="D3737">
        <v>6.0805889999999998</v>
      </c>
      <c r="E3737">
        <v>0.58830640000000001</v>
      </c>
      <c r="F3737" t="s">
        <v>51</v>
      </c>
      <c r="G3737">
        <v>-195.1336</v>
      </c>
      <c r="H3737" s="1">
        <v>-1.394023E-5</v>
      </c>
      <c r="I3737">
        <v>156.1284</v>
      </c>
      <c r="J3737">
        <v>-191.85939999999999</v>
      </c>
      <c r="K3737">
        <v>1.101329</v>
      </c>
      <c r="L3737">
        <v>161.64580000000001</v>
      </c>
      <c r="M3737">
        <v>-0.12287729999999999</v>
      </c>
      <c r="N3737">
        <v>0</v>
      </c>
      <c r="O3737">
        <v>-0.99233139999999997</v>
      </c>
      <c r="P3737">
        <v>-0.3021722</v>
      </c>
      <c r="Q3737">
        <v>2.2050690000000001E-2</v>
      </c>
      <c r="R3737">
        <v>-0.95299849999999997</v>
      </c>
      <c r="S3737">
        <v>-1.5545040000000001</v>
      </c>
      <c r="T3737">
        <v>-0.51964250000000001</v>
      </c>
      <c r="U3737">
        <v>-2.6695250000000001</v>
      </c>
      <c r="V3737">
        <v>0.18305639999999901</v>
      </c>
      <c r="W3737">
        <v>3.3696299999999998E-2</v>
      </c>
      <c r="X3737">
        <v>0.98252479999999998</v>
      </c>
      <c r="Y3737">
        <v>0.38599679999999997</v>
      </c>
      <c r="Z3737">
        <v>0.16877310000000001</v>
      </c>
      <c r="AA3737">
        <v>0.90692999999999901</v>
      </c>
      <c r="AB3737">
        <v>23</v>
      </c>
      <c r="AC3737">
        <v>-3.2742</v>
      </c>
      <c r="AD3737">
        <v>-1.1013429402299999</v>
      </c>
      <c r="AE3737">
        <v>-5.5174000000000003</v>
      </c>
      <c r="AF3737">
        <v>2.4977557520428801</v>
      </c>
      <c r="AG3737">
        <v>-1.1013429402299999</v>
      </c>
      <c r="AH3737">
        <v>5.7096898618979397</v>
      </c>
      <c r="AI3737">
        <v>100.02185904858</v>
      </c>
      <c r="AJ3737">
        <v>66.372589521127296</v>
      </c>
      <c r="AK3737">
        <v>6.3286885203743397</v>
      </c>
    </row>
    <row r="3738" spans="1:37" x14ac:dyDescent="0.2">
      <c r="A3738" t="str">
        <f>"20200111153725009"</f>
        <v>20200111153725009</v>
      </c>
      <c r="B3738" t="str">
        <f>"1578728244996445"</f>
        <v>1578728244996445</v>
      </c>
      <c r="C3738" t="s">
        <v>37</v>
      </c>
      <c r="D3738">
        <v>6.1037679999999996</v>
      </c>
      <c r="E3738">
        <v>0.58826069999999997</v>
      </c>
      <c r="F3738" t="s">
        <v>51</v>
      </c>
      <c r="G3738">
        <v>-195.20320000000001</v>
      </c>
      <c r="H3738" s="1">
        <v>-1.3870339999999999E-5</v>
      </c>
      <c r="I3738">
        <v>155.95099999999999</v>
      </c>
      <c r="J3738">
        <v>-191.88550000000001</v>
      </c>
      <c r="K3738">
        <v>1.1012420000000001</v>
      </c>
      <c r="L3738">
        <v>161.47239999999999</v>
      </c>
      <c r="M3738">
        <v>-0.126995</v>
      </c>
      <c r="N3738">
        <v>0</v>
      </c>
      <c r="O3738">
        <v>-0.99181269999999999</v>
      </c>
      <c r="P3738">
        <v>-0.30648039999999999</v>
      </c>
      <c r="Q3738">
        <v>2.2506470000000001E-2</v>
      </c>
      <c r="R3738">
        <v>-0.95161099999999998</v>
      </c>
      <c r="S3738">
        <v>-1.564209</v>
      </c>
      <c r="T3738">
        <v>-0.51519479999999995</v>
      </c>
      <c r="U3738">
        <v>-2.66391</v>
      </c>
      <c r="V3738">
        <v>0.18343599999999999</v>
      </c>
      <c r="W3738">
        <v>3.4119009999999998E-2</v>
      </c>
      <c r="X3738">
        <v>0.98243939999999996</v>
      </c>
      <c r="Y3738">
        <v>0.38558789999999998</v>
      </c>
      <c r="Z3738">
        <v>0.16741239999999999</v>
      </c>
      <c r="AA3738">
        <v>0.9073561</v>
      </c>
      <c r="AB3738">
        <v>23</v>
      </c>
      <c r="AC3738">
        <v>-3.3176999999999999</v>
      </c>
      <c r="AD3738">
        <v>-1.1012558703399999</v>
      </c>
      <c r="AE3738">
        <v>-5.5213999999999999</v>
      </c>
      <c r="AF3738">
        <v>2.5160403909431799</v>
      </c>
      <c r="AG3738">
        <v>-1.1012558703399999</v>
      </c>
      <c r="AH3738">
        <v>5.7305624317416504</v>
      </c>
      <c r="AI3738">
        <v>99.979574286421695</v>
      </c>
      <c r="AJ3738">
        <v>66.295814069719398</v>
      </c>
      <c r="AK3738">
        <v>6.3547281236025004</v>
      </c>
    </row>
    <row r="3739" spans="1:37" x14ac:dyDescent="0.2">
      <c r="A3739" t="str">
        <f>"20200111153725022"</f>
        <v>20200111153725022</v>
      </c>
      <c r="B3739" t="str">
        <f>"1578728245016941"</f>
        <v>1578728245016941</v>
      </c>
      <c r="C3739" t="s">
        <v>37</v>
      </c>
      <c r="D3739">
        <v>6.1266280000000002</v>
      </c>
      <c r="E3739">
        <v>0.58830850000000001</v>
      </c>
      <c r="F3739" t="s">
        <v>51</v>
      </c>
      <c r="G3739">
        <v>-195.27119999999999</v>
      </c>
      <c r="H3739" s="1">
        <v>-1.3796110000000001E-5</v>
      </c>
      <c r="I3739">
        <v>155.76400000000001</v>
      </c>
      <c r="J3739">
        <v>-191.90690000000001</v>
      </c>
      <c r="K3739">
        <v>1.101159</v>
      </c>
      <c r="L3739">
        <v>161.33369999999999</v>
      </c>
      <c r="M3739">
        <v>-0.1303792</v>
      </c>
      <c r="N3739">
        <v>0</v>
      </c>
      <c r="O3739">
        <v>-0.99137339999999996</v>
      </c>
      <c r="P3739">
        <v>-0.30984499999999998</v>
      </c>
      <c r="Q3739">
        <v>2.325677E-2</v>
      </c>
      <c r="R3739">
        <v>-0.95050290000000004</v>
      </c>
      <c r="S3739">
        <v>-1.5759430000000001</v>
      </c>
      <c r="T3739">
        <v>-0.51259779999999999</v>
      </c>
      <c r="U3739">
        <v>-2.6571039999999999</v>
      </c>
      <c r="V3739">
        <v>0.1835743</v>
      </c>
      <c r="W3739">
        <v>3.4841459999999998E-2</v>
      </c>
      <c r="X3739">
        <v>0.98238819999999905</v>
      </c>
      <c r="Y3739">
        <v>0.38649899999999998</v>
      </c>
      <c r="Z3739">
        <v>0.1666376</v>
      </c>
      <c r="AA3739">
        <v>0.907111</v>
      </c>
      <c r="AB3739">
        <v>23</v>
      </c>
      <c r="AC3739">
        <v>-3.3642999999999801</v>
      </c>
      <c r="AD3739">
        <v>-1.10117279611</v>
      </c>
      <c r="AE3739">
        <v>-5.5696999999999797</v>
      </c>
      <c r="AF3739">
        <v>2.5366908697419102</v>
      </c>
      <c r="AG3739">
        <v>-1.10117279611</v>
      </c>
      <c r="AH3739">
        <v>5.7948641171973501</v>
      </c>
      <c r="AI3739">
        <v>99.874954101702002</v>
      </c>
      <c r="AJ3739">
        <v>66.358691073208703</v>
      </c>
      <c r="AK3739">
        <v>6.4208902990400096</v>
      </c>
    </row>
    <row r="3740" spans="1:37" x14ac:dyDescent="0.2">
      <c r="A3740" t="str">
        <f>"20200111153725044"</f>
        <v>20200111153725044</v>
      </c>
      <c r="B3740" t="str">
        <f>"1578728245036460"</f>
        <v>1578728245036460</v>
      </c>
      <c r="C3740" t="s">
        <v>37</v>
      </c>
      <c r="D3740">
        <v>6.1305269999999998</v>
      </c>
      <c r="E3740">
        <v>0.58836709999999903</v>
      </c>
      <c r="F3740" t="s">
        <v>51</v>
      </c>
      <c r="G3740">
        <v>-195.33760000000001</v>
      </c>
      <c r="H3740" s="1">
        <v>-1.3730750000000001E-5</v>
      </c>
      <c r="I3740">
        <v>155.59790000000001</v>
      </c>
      <c r="J3740">
        <v>-191.94120000000001</v>
      </c>
      <c r="K3740">
        <v>1.1010139999999999</v>
      </c>
      <c r="L3740">
        <v>161.11940000000001</v>
      </c>
      <c r="M3740">
        <v>-0.13579729999999901</v>
      </c>
      <c r="N3740">
        <v>0</v>
      </c>
      <c r="O3740">
        <v>-0.99064560000000002</v>
      </c>
      <c r="P3740">
        <v>-0.315994</v>
      </c>
      <c r="Q3740">
        <v>2.4004330000000001E-2</v>
      </c>
      <c r="R3740">
        <v>-0.94845749999999995</v>
      </c>
      <c r="S3740">
        <v>-1.5860289999999999</v>
      </c>
      <c r="T3740">
        <v>-0.50907089999999999</v>
      </c>
      <c r="U3740">
        <v>-2.6516570000000002</v>
      </c>
      <c r="V3740">
        <v>0.184587</v>
      </c>
      <c r="W3740">
        <v>3.5531979999999998E-2</v>
      </c>
      <c r="X3740">
        <v>0.98217369999999904</v>
      </c>
      <c r="Y3740">
        <v>0.38492719999999903</v>
      </c>
      <c r="Z3740">
        <v>0.16553770000000001</v>
      </c>
      <c r="AA3740">
        <v>0.90798040000000002</v>
      </c>
      <c r="AB3740">
        <v>23</v>
      </c>
      <c r="AC3740">
        <v>-3.3963999999999999</v>
      </c>
      <c r="AD3740">
        <v>-1.10102773075</v>
      </c>
      <c r="AE3740">
        <v>-5.5214999999999996</v>
      </c>
      <c r="AF3740">
        <v>2.5417359726361601</v>
      </c>
      <c r="AG3740">
        <v>-1.10102773075</v>
      </c>
      <c r="AH3740">
        <v>5.7652899611423303</v>
      </c>
      <c r="AI3740">
        <v>99.912152952905501</v>
      </c>
      <c r="AJ3740">
        <v>66.2088184101286</v>
      </c>
      <c r="AK3740">
        <v>6.3961904407640802</v>
      </c>
    </row>
    <row r="3741" spans="1:37" x14ac:dyDescent="0.2">
      <c r="A3741" t="str">
        <f>"20200111153725055"</f>
        <v>20200111153725055</v>
      </c>
      <c r="B3741" t="str">
        <f>"1578728245047197"</f>
        <v>1578728245047197</v>
      </c>
      <c r="C3741" t="s">
        <v>37</v>
      </c>
      <c r="D3741">
        <v>6.0975659999999996</v>
      </c>
      <c r="E3741">
        <v>0.58839419999999898</v>
      </c>
      <c r="F3741" t="s">
        <v>51</v>
      </c>
      <c r="G3741">
        <v>-195.4359</v>
      </c>
      <c r="H3741" s="1">
        <v>-1.3639219999999999E-5</v>
      </c>
      <c r="I3741">
        <v>155.36420000000001</v>
      </c>
      <c r="J3741">
        <v>-191.96340000000001</v>
      </c>
      <c r="K3741">
        <v>1.100922</v>
      </c>
      <c r="L3741">
        <v>160.98589999999999</v>
      </c>
      <c r="M3741">
        <v>-0.13927349999999999</v>
      </c>
      <c r="N3741">
        <v>0</v>
      </c>
      <c r="O3741">
        <v>-0.99016269999999995</v>
      </c>
      <c r="P3741">
        <v>-0.32024219999999998</v>
      </c>
      <c r="Q3741">
        <v>2.4394860000000001E-2</v>
      </c>
      <c r="R3741">
        <v>-0.94702180000000002</v>
      </c>
      <c r="S3741">
        <v>-1.6039429999999999</v>
      </c>
      <c r="T3741">
        <v>-0.50533289999999997</v>
      </c>
      <c r="U3741">
        <v>-2.641464</v>
      </c>
      <c r="V3741">
        <v>0.18555559999999999</v>
      </c>
      <c r="W3741">
        <v>3.5880799999999997E-2</v>
      </c>
      <c r="X3741">
        <v>0.98197849999999998</v>
      </c>
      <c r="Y3741">
        <v>0.3878489</v>
      </c>
      <c r="Z3741">
        <v>0.1644003</v>
      </c>
      <c r="AA3741">
        <v>0.9069431</v>
      </c>
      <c r="AB3741">
        <v>23</v>
      </c>
      <c r="AC3741">
        <v>-3.4724999999999899</v>
      </c>
      <c r="AD3741">
        <v>-1.10093563922</v>
      </c>
      <c r="AE3741">
        <v>-5.6216999999999704</v>
      </c>
      <c r="AF3741">
        <v>2.5838966326530799</v>
      </c>
      <c r="AG3741">
        <v>-1.10093563922</v>
      </c>
      <c r="AH3741">
        <v>5.88714336984685</v>
      </c>
      <c r="AI3741">
        <v>99.717035175500101</v>
      </c>
      <c r="AJ3741">
        <v>66.303089680637299</v>
      </c>
      <c r="AK3741">
        <v>6.5228090687274003</v>
      </c>
    </row>
    <row r="3742" spans="1:37" x14ac:dyDescent="0.2">
      <c r="A3742" t="str">
        <f>"20200111153725069"</f>
        <v>20200111153725069</v>
      </c>
      <c r="B3742" t="str">
        <f>"1578728245056958"</f>
        <v>1578728245056958</v>
      </c>
      <c r="C3742" t="s">
        <v>37</v>
      </c>
      <c r="D3742">
        <v>6.0444740000000001</v>
      </c>
      <c r="E3742">
        <v>0.58845990000000004</v>
      </c>
      <c r="F3742" t="s">
        <v>51</v>
      </c>
      <c r="G3742">
        <v>-195.49889999999999</v>
      </c>
      <c r="H3742" s="1">
        <v>-1.358421E-5</v>
      </c>
      <c r="I3742">
        <v>155.22299999999899</v>
      </c>
      <c r="J3742">
        <v>-191.98560000000001</v>
      </c>
      <c r="K3742">
        <v>1.100833</v>
      </c>
      <c r="L3742">
        <v>160.85570000000001</v>
      </c>
      <c r="M3742">
        <v>-0.1427532</v>
      </c>
      <c r="N3742">
        <v>0</v>
      </c>
      <c r="O3742">
        <v>-0.98966679999999996</v>
      </c>
      <c r="P3742">
        <v>-0.32433440000000002</v>
      </c>
      <c r="Q3742">
        <v>2.4553220000000001E-2</v>
      </c>
      <c r="R3742">
        <v>-0.94562380000000001</v>
      </c>
      <c r="S3742">
        <v>-1.616104</v>
      </c>
      <c r="T3742">
        <v>-0.50324559999999996</v>
      </c>
      <c r="U3742">
        <v>-2.634277</v>
      </c>
      <c r="V3742">
        <v>0.18636050000000001</v>
      </c>
      <c r="W3742">
        <v>3.5999929999999999E-2</v>
      </c>
      <c r="X3742">
        <v>0.98182169999999902</v>
      </c>
      <c r="Y3742">
        <v>0.38881759999999999</v>
      </c>
      <c r="Z3742">
        <v>0.1637759</v>
      </c>
      <c r="AA3742">
        <v>0.90664120000000004</v>
      </c>
      <c r="AB3742">
        <v>23</v>
      </c>
      <c r="AC3742">
        <v>-3.5132999999999801</v>
      </c>
      <c r="AD3742">
        <v>-1.1008465842099999</v>
      </c>
      <c r="AE3742">
        <v>-5.6327000000000202</v>
      </c>
      <c r="AF3742">
        <v>2.6016127968524101</v>
      </c>
      <c r="AG3742">
        <v>-1.1008465842099999</v>
      </c>
      <c r="AH3742">
        <v>5.9139580202481898</v>
      </c>
      <c r="AI3742">
        <v>99.669529330083293</v>
      </c>
      <c r="AJ3742">
        <v>66.254797268240196</v>
      </c>
      <c r="AK3742">
        <v>6.5540179899029098</v>
      </c>
    </row>
    <row r="3743" spans="1:37" x14ac:dyDescent="0.2">
      <c r="A3743" t="str">
        <f>"20200111153725083"</f>
        <v>20200111153725083</v>
      </c>
      <c r="B3743" t="str">
        <f>"1578728245076477"</f>
        <v>1578728245076477</v>
      </c>
      <c r="C3743" t="s">
        <v>37</v>
      </c>
      <c r="D3743">
        <v>6.0859759999999996</v>
      </c>
      <c r="E3743">
        <v>0.58875200000000005</v>
      </c>
      <c r="F3743" t="s">
        <v>51</v>
      </c>
      <c r="G3743">
        <v>-195.56039999999999</v>
      </c>
      <c r="H3743" s="1">
        <v>-1.353192E-5</v>
      </c>
      <c r="I3743">
        <v>155.0883</v>
      </c>
      <c r="J3743">
        <v>-192.01009999999999</v>
      </c>
      <c r="K3743">
        <v>1.100735</v>
      </c>
      <c r="L3743">
        <v>160.71510000000001</v>
      </c>
      <c r="M3743">
        <v>-0.1465767</v>
      </c>
      <c r="N3743">
        <v>0</v>
      </c>
      <c r="O3743">
        <v>-0.98910769999999903</v>
      </c>
      <c r="P3743">
        <v>-0.32895399999999902</v>
      </c>
      <c r="Q3743">
        <v>2.4644650000000001E-2</v>
      </c>
      <c r="R3743">
        <v>-0.94402459999999899</v>
      </c>
      <c r="S3743">
        <v>-1.6283259999999999</v>
      </c>
      <c r="T3743">
        <v>-0.50143959999999999</v>
      </c>
      <c r="U3743">
        <v>-2.6270449999999999</v>
      </c>
      <c r="V3743">
        <v>0.18737679999999901</v>
      </c>
      <c r="W3743">
        <v>3.6046620000000001E-2</v>
      </c>
      <c r="X3743">
        <v>0.98162649999999996</v>
      </c>
      <c r="Y3743">
        <v>0.38947979999999999</v>
      </c>
      <c r="Z3743">
        <v>0.16323499999999999</v>
      </c>
      <c r="AA3743">
        <v>0.9064546</v>
      </c>
      <c r="AB3743">
        <v>23</v>
      </c>
      <c r="AC3743">
        <v>-3.5502999999999898</v>
      </c>
      <c r="AD3743">
        <v>-1.1007485319200001</v>
      </c>
      <c r="AE3743">
        <v>-5.6268000000000002</v>
      </c>
      <c r="AF3743">
        <v>2.61552202582499</v>
      </c>
      <c r="AG3743">
        <v>-1.1007485319200001</v>
      </c>
      <c r="AH3743">
        <v>5.9242926862398697</v>
      </c>
      <c r="AI3743">
        <v>99.646613383552904</v>
      </c>
      <c r="AJ3743">
        <v>66.178972139407705</v>
      </c>
      <c r="AK3743">
        <v>6.5688542859721704</v>
      </c>
    </row>
    <row r="3744" spans="1:37" x14ac:dyDescent="0.2">
      <c r="A3744" t="str">
        <f>"20200111153725099"</f>
        <v>20200111153725099</v>
      </c>
      <c r="B3744" t="str">
        <f>"1578728245087213"</f>
        <v>1578728245087213</v>
      </c>
      <c r="C3744" t="s">
        <v>37</v>
      </c>
      <c r="D3744">
        <v>6.0971349999999997</v>
      </c>
      <c r="E3744">
        <v>0.58888850000000004</v>
      </c>
      <c r="F3744" t="s">
        <v>51</v>
      </c>
      <c r="G3744">
        <v>-195.63299999999899</v>
      </c>
      <c r="H3744" s="1">
        <v>-1.34763E-5</v>
      </c>
      <c r="I3744">
        <v>154.94370000000001</v>
      </c>
      <c r="J3744">
        <v>-192.041</v>
      </c>
      <c r="K3744">
        <v>1.100616</v>
      </c>
      <c r="L3744">
        <v>160.5427</v>
      </c>
      <c r="M3744">
        <v>-0.1514076</v>
      </c>
      <c r="N3744">
        <v>0</v>
      </c>
      <c r="O3744">
        <v>-0.98837969999999897</v>
      </c>
      <c r="P3744">
        <v>-0.3347504</v>
      </c>
      <c r="Q3744">
        <v>2.4078740000000001E-2</v>
      </c>
      <c r="R3744">
        <v>-0.94199959999999905</v>
      </c>
      <c r="S3744">
        <v>-1.6435549999999901</v>
      </c>
      <c r="T3744">
        <v>-0.49935629999999998</v>
      </c>
      <c r="U3744">
        <v>-2.6182249999999998</v>
      </c>
      <c r="V3744">
        <v>0.1886176</v>
      </c>
      <c r="W3744">
        <v>3.5424280000000002E-2</v>
      </c>
      <c r="X3744">
        <v>0.98141149999999999</v>
      </c>
      <c r="Y3744">
        <v>0.39020589999999999</v>
      </c>
      <c r="Z3744">
        <v>0.16259699999999999</v>
      </c>
      <c r="AA3744">
        <v>0.90625689999999903</v>
      </c>
      <c r="AB3744">
        <v>23</v>
      </c>
      <c r="AC3744">
        <v>-3.5919999999999801</v>
      </c>
      <c r="AD3744">
        <v>-1.1006294763</v>
      </c>
      <c r="AE3744">
        <v>-5.5989999999999798</v>
      </c>
      <c r="AF3744">
        <v>2.63075639302971</v>
      </c>
      <c r="AG3744">
        <v>-1.1006294763</v>
      </c>
      <c r="AH3744">
        <v>5.9163831812187704</v>
      </c>
      <c r="AI3744">
        <v>99.647139265754902</v>
      </c>
      <c r="AJ3744">
        <v>66.027380958706402</v>
      </c>
      <c r="AK3744">
        <v>6.5677891554598098</v>
      </c>
    </row>
    <row r="3745" spans="1:37" x14ac:dyDescent="0.2">
      <c r="A3745" t="str">
        <f>"20200111153725114"</f>
        <v>20200111153725114</v>
      </c>
      <c r="B3745" t="str">
        <f>"1578728245106733"</f>
        <v>1578728245106733</v>
      </c>
      <c r="C3745" t="s">
        <v>37</v>
      </c>
      <c r="D3745">
        <v>6.049042</v>
      </c>
      <c r="E3745">
        <v>0.58898989999999996</v>
      </c>
      <c r="F3745" t="s">
        <v>51</v>
      </c>
      <c r="G3745">
        <v>-195.6925</v>
      </c>
      <c r="H3745" s="1">
        <v>-1.3423929999999901E-5</v>
      </c>
      <c r="I3745">
        <v>154.80930000000001</v>
      </c>
      <c r="J3745">
        <v>-192.06829999999999</v>
      </c>
      <c r="K3745">
        <v>1.100516</v>
      </c>
      <c r="L3745">
        <v>160.39619999999999</v>
      </c>
      <c r="M3745">
        <v>-0.15566849999999999</v>
      </c>
      <c r="N3745">
        <v>0</v>
      </c>
      <c r="O3745">
        <v>-0.98771699999999996</v>
      </c>
      <c r="P3745">
        <v>-0.33941589999999999</v>
      </c>
      <c r="Q3745">
        <v>2.3971360000000001E-2</v>
      </c>
      <c r="R3745">
        <v>-0.94033099999999903</v>
      </c>
      <c r="S3745">
        <v>-1.660614</v>
      </c>
      <c r="T3745">
        <v>-0.50053649999999905</v>
      </c>
      <c r="U3745">
        <v>-2.6074069999999998</v>
      </c>
      <c r="V3745">
        <v>0.18925810000000001</v>
      </c>
      <c r="W3745">
        <v>3.5276549999999997E-2</v>
      </c>
      <c r="X3745">
        <v>0.98129349999999904</v>
      </c>
      <c r="Y3745">
        <v>0.3921289</v>
      </c>
      <c r="Z3745">
        <v>0.16303570000000001</v>
      </c>
      <c r="AA3745">
        <v>0.90534760000000003</v>
      </c>
      <c r="AB3745">
        <v>23</v>
      </c>
      <c r="AC3745">
        <v>-3.6242000000000001</v>
      </c>
      <c r="AD3745">
        <v>-1.1005294239300001</v>
      </c>
      <c r="AE3745">
        <v>-5.5868999999999804</v>
      </c>
      <c r="AF3745">
        <v>2.6381774229303798</v>
      </c>
      <c r="AG3745">
        <v>-1.1005294239300001</v>
      </c>
      <c r="AH3745">
        <v>5.9212925111691304</v>
      </c>
      <c r="AI3745">
        <v>99.635323542952193</v>
      </c>
      <c r="AJ3745">
        <v>65.985077155776807</v>
      </c>
      <c r="AK3745">
        <v>6.5751692092768899</v>
      </c>
    </row>
    <row r="3746" spans="1:37" x14ac:dyDescent="0.2">
      <c r="A3746" t="str">
        <f>"20200111153725134"</f>
        <v>20200111153725134</v>
      </c>
      <c r="B3746" t="str">
        <f>"1578728245127228"</f>
        <v>1578728245127228</v>
      </c>
      <c r="C3746" t="s">
        <v>37</v>
      </c>
      <c r="D3746">
        <v>6.0599600000000002</v>
      </c>
      <c r="E3746">
        <v>0.58904389999999995</v>
      </c>
      <c r="F3746" t="s">
        <v>51</v>
      </c>
      <c r="G3746">
        <v>-195.75210000000001</v>
      </c>
      <c r="H3746" s="1">
        <v>-1.337319E-5</v>
      </c>
      <c r="I3746">
        <v>154.67869999999999</v>
      </c>
      <c r="J3746">
        <v>-192.10650000000001</v>
      </c>
      <c r="K3746">
        <v>1.10039</v>
      </c>
      <c r="L3746">
        <v>160.19739999999999</v>
      </c>
      <c r="M3746">
        <v>-0.16159419999999999</v>
      </c>
      <c r="N3746">
        <v>0</v>
      </c>
      <c r="O3746">
        <v>-0.9867648</v>
      </c>
      <c r="P3746">
        <v>-0.34593839999999998</v>
      </c>
      <c r="Q3746">
        <v>2.4363119999999999E-2</v>
      </c>
      <c r="R3746">
        <v>-0.93794100000000002</v>
      </c>
      <c r="S3746">
        <v>-1.674377</v>
      </c>
      <c r="T3746">
        <v>-0.50022159999999904</v>
      </c>
      <c r="U3746">
        <v>-2.5987550000000001</v>
      </c>
      <c r="V3746">
        <v>0.19020100000000001</v>
      </c>
      <c r="W3746">
        <v>3.5614890000000003E-2</v>
      </c>
      <c r="X3746">
        <v>0.9810989</v>
      </c>
      <c r="Y3746">
        <v>0.39138919999999999</v>
      </c>
      <c r="Z3746">
        <v>0.16296240000000001</v>
      </c>
      <c r="AA3746">
        <v>0.90568079999999995</v>
      </c>
      <c r="AB3746">
        <v>23</v>
      </c>
      <c r="AC3746">
        <v>-3.6456</v>
      </c>
      <c r="AD3746">
        <v>-1.10040337318999</v>
      </c>
      <c r="AE3746">
        <v>-5.5186999999999902</v>
      </c>
      <c r="AF3746">
        <v>2.6329282161848102</v>
      </c>
      <c r="AG3746">
        <v>-1.10040337318999</v>
      </c>
      <c r="AH3746">
        <v>5.8727614571646196</v>
      </c>
      <c r="AI3746">
        <v>99.702455000205504</v>
      </c>
      <c r="AJ3746">
        <v>65.8519315215256</v>
      </c>
      <c r="AK3746">
        <v>6.5293587516744998</v>
      </c>
    </row>
    <row r="3747" spans="1:37" x14ac:dyDescent="0.2">
      <c r="A3747" t="str">
        <f>"20200111153725155"</f>
        <v>20200111153725155</v>
      </c>
      <c r="B3747" t="str">
        <f>"1578728245146751"</f>
        <v>1578728245146751</v>
      </c>
      <c r="C3747" t="s">
        <v>37</v>
      </c>
      <c r="D3747">
        <v>6.0705019999999896</v>
      </c>
      <c r="E3747">
        <v>0.58902759999999998</v>
      </c>
      <c r="F3747" t="s">
        <v>51</v>
      </c>
      <c r="G3747">
        <v>-195.8391</v>
      </c>
      <c r="H3747" s="1">
        <v>-1.332337E-5</v>
      </c>
      <c r="I3747">
        <v>154.494</v>
      </c>
      <c r="J3747">
        <v>-192.15090000000001</v>
      </c>
      <c r="K3747">
        <v>1.1002529999999999</v>
      </c>
      <c r="L3747">
        <v>159.97450000000001</v>
      </c>
      <c r="M3747">
        <v>-0.16846539999999999</v>
      </c>
      <c r="N3747">
        <v>0</v>
      </c>
      <c r="O3747">
        <v>-0.9856144</v>
      </c>
      <c r="P3747">
        <v>-0.35328080000000001</v>
      </c>
      <c r="Q3747">
        <v>2.481823E-2</v>
      </c>
      <c r="R3747">
        <v>-0.93518809999999997</v>
      </c>
      <c r="S3747">
        <v>-1.693085</v>
      </c>
      <c r="T3747">
        <v>-0.49913839999999998</v>
      </c>
      <c r="U3747">
        <v>-2.587021</v>
      </c>
      <c r="V3747">
        <v>0.191077</v>
      </c>
      <c r="W3747">
        <v>3.6013740000000002E-2</v>
      </c>
      <c r="X3747">
        <v>0.98091419999999996</v>
      </c>
      <c r="Y3747">
        <v>0.3914917</v>
      </c>
      <c r="Z3747">
        <v>0.16264629999999999</v>
      </c>
      <c r="AA3747">
        <v>0.90569339999999998</v>
      </c>
      <c r="AB3747">
        <v>23</v>
      </c>
      <c r="AC3747">
        <v>-3.6881999999999899</v>
      </c>
      <c r="AD3747">
        <v>-1.1002663233700001</v>
      </c>
      <c r="AE3747">
        <v>-5.4805000000000001</v>
      </c>
      <c r="AF3747">
        <v>2.6389111496673898</v>
      </c>
      <c r="AG3747">
        <v>-1.1002663233700001</v>
      </c>
      <c r="AH3747">
        <v>5.8609575160080398</v>
      </c>
      <c r="AI3747">
        <v>99.7135807275113</v>
      </c>
      <c r="AJ3747">
        <v>65.7602218427689</v>
      </c>
      <c r="AK3747">
        <v>6.5211395509245298</v>
      </c>
    </row>
    <row r="3748" spans="1:37" x14ac:dyDescent="0.2">
      <c r="A3748" t="str">
        <f>"20200111153725169"</f>
        <v>20200111153725169</v>
      </c>
      <c r="B3748" t="str">
        <f>"1578728245156509"</f>
        <v>1578728245156509</v>
      </c>
      <c r="C3748" t="s">
        <v>37</v>
      </c>
      <c r="D3748">
        <v>6.0673699999999897</v>
      </c>
      <c r="E3748">
        <v>0.58905260000000004</v>
      </c>
      <c r="F3748" t="s">
        <v>51</v>
      </c>
      <c r="G3748">
        <v>-195.9348</v>
      </c>
      <c r="H3748" s="1">
        <v>-1.328061E-5</v>
      </c>
      <c r="I3748">
        <v>154.29040000000001</v>
      </c>
      <c r="J3748">
        <v>-192.17769999999999</v>
      </c>
      <c r="K3748">
        <v>1.1001719999999999</v>
      </c>
      <c r="L3748">
        <v>159.84479999999999</v>
      </c>
      <c r="M3748">
        <v>-0.17258889999999999</v>
      </c>
      <c r="N3748">
        <v>0</v>
      </c>
      <c r="O3748">
        <v>-0.98490049999999996</v>
      </c>
      <c r="P3748">
        <v>-0.35755729999999902</v>
      </c>
      <c r="Q3748">
        <v>2.534045E-2</v>
      </c>
      <c r="R3748">
        <v>-0.93354760000000003</v>
      </c>
      <c r="S3748">
        <v>-1.713425</v>
      </c>
      <c r="T3748">
        <v>-0.4982202</v>
      </c>
      <c r="U3748">
        <v>-2.573868</v>
      </c>
      <c r="V3748">
        <v>0.19147719999999999</v>
      </c>
      <c r="W3748">
        <v>3.6505040000000002E-2</v>
      </c>
      <c r="X3748">
        <v>0.98081799999999997</v>
      </c>
      <c r="Y3748">
        <v>0.39476549999999999</v>
      </c>
      <c r="Z3748">
        <v>0.16241710000000001</v>
      </c>
      <c r="AA3748">
        <v>0.90431240000000002</v>
      </c>
      <c r="AB3748">
        <v>23</v>
      </c>
      <c r="AC3748">
        <v>-3.7570999999999999</v>
      </c>
      <c r="AD3748">
        <v>-1.1001852806100001</v>
      </c>
      <c r="AE3748">
        <v>-5.5543999999999798</v>
      </c>
      <c r="AF3748">
        <v>2.6701210345294699</v>
      </c>
      <c r="AG3748">
        <v>-1.1001852806100001</v>
      </c>
      <c r="AH3748">
        <v>5.9591231072305897</v>
      </c>
      <c r="AI3748">
        <v>99.563496171972702</v>
      </c>
      <c r="AJ3748">
        <v>65.864146126805593</v>
      </c>
      <c r="AK3748">
        <v>6.6220164752012796</v>
      </c>
    </row>
    <row r="3749" spans="1:37" x14ac:dyDescent="0.2">
      <c r="A3749" t="str">
        <f>"20200111153725182"</f>
        <v>20200111153725182</v>
      </c>
      <c r="B3749" t="str">
        <f>"1578728245177005"</f>
        <v>1578728245177005</v>
      </c>
      <c r="C3749" t="s">
        <v>37</v>
      </c>
      <c r="D3749">
        <v>6.075558</v>
      </c>
      <c r="E3749">
        <v>0.58900180000000002</v>
      </c>
      <c r="F3749" t="s">
        <v>51</v>
      </c>
      <c r="G3749">
        <v>-196.00030000000001</v>
      </c>
      <c r="H3749" s="1">
        <v>-1.32536E-5</v>
      </c>
      <c r="I3749">
        <v>154.15989999999999</v>
      </c>
      <c r="J3749">
        <v>-192.2088</v>
      </c>
      <c r="K3749">
        <v>1.100079</v>
      </c>
      <c r="L3749">
        <v>159.6977</v>
      </c>
      <c r="M3749">
        <v>-0.1773412</v>
      </c>
      <c r="N3749">
        <v>0</v>
      </c>
      <c r="O3749">
        <v>-0.98405580000000004</v>
      </c>
      <c r="P3749">
        <v>-0.36229990000000001</v>
      </c>
      <c r="Q3749">
        <v>2.6103029999999999E-2</v>
      </c>
      <c r="R3749">
        <v>-0.93169629999999903</v>
      </c>
      <c r="S3749">
        <v>-1.7254939999999901</v>
      </c>
      <c r="T3749">
        <v>-0.49661490000000003</v>
      </c>
      <c r="U3749">
        <v>-2.5661320000000001</v>
      </c>
      <c r="V3749">
        <v>0.19175129999999899</v>
      </c>
      <c r="W3749">
        <v>3.7235539999999998E-2</v>
      </c>
      <c r="X3749">
        <v>0.98073699999999997</v>
      </c>
      <c r="Y3749">
        <v>0.39458019999999999</v>
      </c>
      <c r="Z3749">
        <v>0.16191320000000001</v>
      </c>
      <c r="AA3749">
        <v>0.90448359999999906</v>
      </c>
      <c r="AB3749">
        <v>23</v>
      </c>
      <c r="AC3749">
        <v>-3.7915000000000099</v>
      </c>
      <c r="AD3749">
        <v>-1.1000922536</v>
      </c>
      <c r="AE3749">
        <v>-5.5377999999999998</v>
      </c>
      <c r="AF3749">
        <v>2.6772876865569502</v>
      </c>
      <c r="AG3749">
        <v>-1.1000922536</v>
      </c>
      <c r="AH3749">
        <v>5.9622639860640998</v>
      </c>
      <c r="AI3749">
        <v>99.554374441503796</v>
      </c>
      <c r="AJ3749">
        <v>65.818071089524807</v>
      </c>
      <c r="AK3749">
        <v>6.62771937868051</v>
      </c>
    </row>
    <row r="3750" spans="1:37" x14ac:dyDescent="0.2">
      <c r="A3750" t="str">
        <f>"20200111153725200"</f>
        <v>20200111153725200</v>
      </c>
      <c r="B3750" t="str">
        <f>"1578728245196525"</f>
        <v>1578728245196525</v>
      </c>
      <c r="C3750" t="s">
        <v>37</v>
      </c>
      <c r="D3750">
        <v>6.0900819999999998</v>
      </c>
      <c r="E3750">
        <v>0.58905479999999999</v>
      </c>
      <c r="F3750" t="s">
        <v>51</v>
      </c>
      <c r="G3750">
        <v>-196.0788</v>
      </c>
      <c r="H3750" s="1">
        <v>-1.32212299999999E-5</v>
      </c>
      <c r="I3750">
        <v>154.00360000000001</v>
      </c>
      <c r="J3750">
        <v>-192.24549999999999</v>
      </c>
      <c r="K3750">
        <v>1.09997099999999</v>
      </c>
      <c r="L3750">
        <v>159.529</v>
      </c>
      <c r="M3750">
        <v>-0.18291499999999999</v>
      </c>
      <c r="N3750">
        <v>0</v>
      </c>
      <c r="O3750">
        <v>-0.98303469999999904</v>
      </c>
      <c r="P3750">
        <v>-0.36800060000000001</v>
      </c>
      <c r="Q3750">
        <v>2.659659E-2</v>
      </c>
      <c r="R3750">
        <v>-0.92944530000000003</v>
      </c>
      <c r="S3750">
        <v>-1.7384189999999999</v>
      </c>
      <c r="T3750">
        <v>-0.494158299999999</v>
      </c>
      <c r="U3750">
        <v>-2.5577999999999999</v>
      </c>
      <c r="V3750">
        <v>0.19221959999999999</v>
      </c>
      <c r="W3750">
        <v>3.7692030000000001E-2</v>
      </c>
      <c r="X3750">
        <v>0.98062780000000005</v>
      </c>
      <c r="Y3750">
        <v>0.393955</v>
      </c>
      <c r="Z3750">
        <v>0.161127399999999</v>
      </c>
      <c r="AA3750">
        <v>0.90489640000000005</v>
      </c>
      <c r="AB3750">
        <v>23</v>
      </c>
      <c r="AC3750">
        <v>-3.8332999999999999</v>
      </c>
      <c r="AD3750">
        <v>-1.09998422122999</v>
      </c>
      <c r="AE3750">
        <v>-5.5253999999999897</v>
      </c>
      <c r="AF3750">
        <v>2.68598045629142</v>
      </c>
      <c r="AG3750">
        <v>-1.09998422122999</v>
      </c>
      <c r="AH3750">
        <v>5.9735732513332103</v>
      </c>
      <c r="AI3750">
        <v>99.533581911195</v>
      </c>
      <c r="AJ3750">
        <v>65.7892266493389</v>
      </c>
      <c r="AK3750">
        <v>6.6413879338266399</v>
      </c>
    </row>
    <row r="3751" spans="1:37" x14ac:dyDescent="0.2">
      <c r="A3751" t="str">
        <f>"20200111153725222"</f>
        <v>20200111153725222</v>
      </c>
      <c r="B3751" t="str">
        <f>"1578728245217021"</f>
        <v>1578728245217021</v>
      </c>
      <c r="C3751" t="s">
        <v>37</v>
      </c>
      <c r="D3751">
        <v>6.0886259999999996</v>
      </c>
      <c r="E3751">
        <v>0.58913400000000005</v>
      </c>
      <c r="F3751" t="s">
        <v>51</v>
      </c>
      <c r="G3751">
        <v>-196.155</v>
      </c>
      <c r="H3751" s="1">
        <v>-1.319013E-5</v>
      </c>
      <c r="I3751">
        <v>153.85310000000001</v>
      </c>
      <c r="J3751">
        <v>-192.29830000000001</v>
      </c>
      <c r="K3751">
        <v>1.0998319999999999</v>
      </c>
      <c r="L3751">
        <v>159.29580000000001</v>
      </c>
      <c r="M3751">
        <v>-0.19083410000000001</v>
      </c>
      <c r="N3751">
        <v>0</v>
      </c>
      <c r="O3751">
        <v>-0.98152779999999995</v>
      </c>
      <c r="P3751">
        <v>-0.37574299999999999</v>
      </c>
      <c r="Q3751">
        <v>2.600454E-2</v>
      </c>
      <c r="R3751">
        <v>-0.92635909999999999</v>
      </c>
      <c r="S3751">
        <v>-1.7545169999999899</v>
      </c>
      <c r="T3751">
        <v>-0.49364789999999997</v>
      </c>
      <c r="U3751">
        <v>-2.5472109999999999</v>
      </c>
      <c r="V3751">
        <v>0.19249839999999999</v>
      </c>
      <c r="W3751">
        <v>3.7061610000000002E-2</v>
      </c>
      <c r="X3751">
        <v>0.9805971</v>
      </c>
      <c r="Y3751">
        <v>0.39221630000000002</v>
      </c>
      <c r="Z3751">
        <v>0.1609411</v>
      </c>
      <c r="AA3751">
        <v>0.905684499999999</v>
      </c>
      <c r="AB3751">
        <v>23</v>
      </c>
      <c r="AC3751">
        <v>-3.85669999999998</v>
      </c>
      <c r="AD3751">
        <v>-1.0998451901299999</v>
      </c>
      <c r="AE3751">
        <v>-5.4427000000000003</v>
      </c>
      <c r="AF3751">
        <v>2.6743576155758699</v>
      </c>
      <c r="AG3751">
        <v>-1.0998451901299999</v>
      </c>
      <c r="AH3751">
        <v>5.9178380018851202</v>
      </c>
      <c r="AI3751">
        <v>99.612478061111602</v>
      </c>
      <c r="AJ3751">
        <v>65.681092924581193</v>
      </c>
      <c r="AK3751">
        <v>6.5865510485227698</v>
      </c>
    </row>
    <row r="3752" spans="1:37" x14ac:dyDescent="0.2">
      <c r="A3752" t="str">
        <f>"20200111153725235"</f>
        <v>20200111153725235</v>
      </c>
      <c r="B3752" t="str">
        <f>"1578728245226781"</f>
        <v>1578728245226781</v>
      </c>
      <c r="C3752" t="s">
        <v>37</v>
      </c>
      <c r="D3752">
        <v>6.0204909999999998</v>
      </c>
      <c r="E3752">
        <v>0.58913230000000005</v>
      </c>
      <c r="F3752" t="s">
        <v>51</v>
      </c>
      <c r="G3752">
        <v>-196.2321</v>
      </c>
      <c r="H3752" s="1">
        <v>-1.3155610000000001E-5</v>
      </c>
      <c r="I3752">
        <v>153.68879999999999</v>
      </c>
      <c r="J3752">
        <v>-192.32919999999999</v>
      </c>
      <c r="K3752">
        <v>1.099764</v>
      </c>
      <c r="L3752">
        <v>159.1635</v>
      </c>
      <c r="M3752">
        <v>-0.19540769999999999</v>
      </c>
      <c r="N3752">
        <v>0</v>
      </c>
      <c r="O3752">
        <v>-0.98062739999999904</v>
      </c>
      <c r="P3752">
        <v>-0.38037259999999901</v>
      </c>
      <c r="Q3752">
        <v>2.5320260000000001E-2</v>
      </c>
      <c r="R3752">
        <v>-0.9244869</v>
      </c>
      <c r="S3752">
        <v>-1.7763519999999999</v>
      </c>
      <c r="T3752">
        <v>-0.49664209999999898</v>
      </c>
      <c r="U3752">
        <v>-2.5318909999999999</v>
      </c>
      <c r="V3752">
        <v>0.19282669999999999</v>
      </c>
      <c r="W3752">
        <v>3.6356369999999999E-2</v>
      </c>
      <c r="X3752">
        <v>0.98055910000000002</v>
      </c>
      <c r="Y3752">
        <v>0.39565090000000003</v>
      </c>
      <c r="Z3752">
        <v>0.16196930000000001</v>
      </c>
      <c r="AA3752">
        <v>0.90400569999999902</v>
      </c>
      <c r="AB3752">
        <v>23</v>
      </c>
      <c r="AC3752">
        <v>-3.90290000000001</v>
      </c>
      <c r="AD3752">
        <v>-1.09977715561</v>
      </c>
      <c r="AE3752">
        <v>-5.4747000000000101</v>
      </c>
      <c r="AF3752">
        <v>2.6858843998120898</v>
      </c>
      <c r="AG3752">
        <v>-1.09977715561</v>
      </c>
      <c r="AH3752">
        <v>5.9720773620776404</v>
      </c>
      <c r="AI3752">
        <v>99.533825943313204</v>
      </c>
      <c r="AJ3752">
        <v>65.784625594847697</v>
      </c>
      <c r="AK3752">
        <v>6.6399693387692604</v>
      </c>
    </row>
    <row r="3753" spans="1:37" x14ac:dyDescent="0.2">
      <c r="A3753" t="str">
        <f>"20200111153725248"</f>
        <v>20200111153725248</v>
      </c>
      <c r="B3753" t="str">
        <f>"1578728245236542"</f>
        <v>1578728245236542</v>
      </c>
      <c r="C3753" t="s">
        <v>37</v>
      </c>
      <c r="D3753">
        <v>6.0844189999999996</v>
      </c>
      <c r="E3753">
        <v>0.58906719999999901</v>
      </c>
      <c r="F3753" t="s">
        <v>51</v>
      </c>
      <c r="G3753">
        <v>-196.2696</v>
      </c>
      <c r="H3753" s="1">
        <v>-1.3138299999999999E-5</v>
      </c>
      <c r="I3753">
        <v>153.60679999999999</v>
      </c>
      <c r="J3753">
        <v>-192.358</v>
      </c>
      <c r="K3753">
        <v>1.0997059999999901</v>
      </c>
      <c r="L3753">
        <v>159.04320000000001</v>
      </c>
      <c r="M3753">
        <v>-0.19961989999999999</v>
      </c>
      <c r="N3753">
        <v>0</v>
      </c>
      <c r="O3753">
        <v>-0.97977829999999999</v>
      </c>
      <c r="P3753">
        <v>-0.38501659999999999</v>
      </c>
      <c r="Q3753">
        <v>2.4583939999999999E-2</v>
      </c>
      <c r="R3753">
        <v>-0.92258229999999997</v>
      </c>
      <c r="S3753">
        <v>-1.7888790000000001</v>
      </c>
      <c r="T3753">
        <v>-0.49928899999999998</v>
      </c>
      <c r="U3753">
        <v>-2.52270499999999</v>
      </c>
      <c r="V3753">
        <v>0.1935356</v>
      </c>
      <c r="W3753">
        <v>3.5597740000000003E-2</v>
      </c>
      <c r="X3753">
        <v>0.98044719999999996</v>
      </c>
      <c r="Y3753">
        <v>0.39617079999999999</v>
      </c>
      <c r="Z3753">
        <v>0.16284199999999999</v>
      </c>
      <c r="AA3753">
        <v>0.90362109999999995</v>
      </c>
      <c r="AB3753">
        <v>23</v>
      </c>
      <c r="AC3753">
        <v>-3.9115999999999902</v>
      </c>
      <c r="AD3753">
        <v>-1.09971913829999</v>
      </c>
      <c r="AE3753">
        <v>-5.4364000000000097</v>
      </c>
      <c r="AF3753">
        <v>2.6754088496866602</v>
      </c>
      <c r="AG3753">
        <v>-1.09971913829999</v>
      </c>
      <c r="AH3753">
        <v>5.9475123283799904</v>
      </c>
      <c r="AI3753">
        <v>99.571642463356895</v>
      </c>
      <c r="AJ3753">
        <v>65.780039708518999</v>
      </c>
      <c r="AK3753">
        <v>6.6136296836424799</v>
      </c>
    </row>
    <row r="3754" spans="1:37" x14ac:dyDescent="0.2">
      <c r="A3754" t="str">
        <f>"20200111153725261"</f>
        <v>20200111153725261</v>
      </c>
      <c r="B3754" t="str">
        <f>"1578728245257037"</f>
        <v>1578728245257037</v>
      </c>
      <c r="C3754" t="s">
        <v>37</v>
      </c>
      <c r="D3754">
        <v>6.0835339999999896</v>
      </c>
      <c r="E3754">
        <v>0.58965389999999995</v>
      </c>
      <c r="F3754" t="s">
        <v>51</v>
      </c>
      <c r="G3754">
        <v>-196.3013</v>
      </c>
      <c r="H3754" s="1">
        <v>-1.31242E-5</v>
      </c>
      <c r="I3754">
        <v>153.5395</v>
      </c>
      <c r="J3754">
        <v>-192.39009999999999</v>
      </c>
      <c r="K3754">
        <v>1.099647</v>
      </c>
      <c r="L3754">
        <v>158.9111</v>
      </c>
      <c r="M3754">
        <v>-0.2042793</v>
      </c>
      <c r="N3754">
        <v>0</v>
      </c>
      <c r="O3754">
        <v>-0.9788173</v>
      </c>
      <c r="P3754">
        <v>-0.38974059999999999</v>
      </c>
      <c r="Q3754">
        <v>2.3611449999999999E-2</v>
      </c>
      <c r="R3754">
        <v>-0.92062219999999995</v>
      </c>
      <c r="S3754">
        <v>-1.8009029999999999</v>
      </c>
      <c r="T3754">
        <v>-0.5022508</v>
      </c>
      <c r="U3754">
        <v>-2.5135800000000001</v>
      </c>
      <c r="V3754">
        <v>0.19388369999999999</v>
      </c>
      <c r="W3754">
        <v>3.4609389999999997E-2</v>
      </c>
      <c r="X3754">
        <v>0.98041389999999995</v>
      </c>
      <c r="Y3754">
        <v>0.39612809999999998</v>
      </c>
      <c r="Z3754">
        <v>0.1638105</v>
      </c>
      <c r="AA3754">
        <v>0.90346479999999996</v>
      </c>
      <c r="AB3754">
        <v>23</v>
      </c>
      <c r="AC3754">
        <v>-3.9112</v>
      </c>
      <c r="AD3754">
        <v>-1.0996601241999999</v>
      </c>
      <c r="AE3754">
        <v>-5.3715999999999999</v>
      </c>
      <c r="AF3754">
        <v>2.6584860896609901</v>
      </c>
      <c r="AG3754">
        <v>-1.0996601241999999</v>
      </c>
      <c r="AH3754">
        <v>5.8958773883708302</v>
      </c>
      <c r="AI3754">
        <v>99.649598269127296</v>
      </c>
      <c r="AJ3754">
        <v>65.729104172347405</v>
      </c>
      <c r="AK3754">
        <v>6.5603483791929103</v>
      </c>
    </row>
    <row r="3755" spans="1:37" x14ac:dyDescent="0.2">
      <c r="A3755" t="str">
        <f>"20200111153725277"</f>
        <v>20200111153725277</v>
      </c>
      <c r="B3755" t="str">
        <f>"1578728245266796"</f>
        <v>1578728245266796</v>
      </c>
      <c r="C3755" t="s">
        <v>37</v>
      </c>
      <c r="D3755">
        <v>5.7056800000000001</v>
      </c>
      <c r="E3755">
        <v>0.59018800000000005</v>
      </c>
      <c r="F3755" t="s">
        <v>51</v>
      </c>
      <c r="G3755">
        <v>-196.37860000000001</v>
      </c>
      <c r="H3755" s="1">
        <v>-1.31015E-5</v>
      </c>
      <c r="I3755">
        <v>153.4221</v>
      </c>
      <c r="J3755">
        <v>-192.43219999999999</v>
      </c>
      <c r="K3755">
        <v>1.09958</v>
      </c>
      <c r="L3755">
        <v>158.7432</v>
      </c>
      <c r="M3755">
        <v>-0.21029829999999899</v>
      </c>
      <c r="N3755">
        <v>0</v>
      </c>
      <c r="O3755">
        <v>-0.97754149999999995</v>
      </c>
      <c r="P3755">
        <v>-0.39651920000000002</v>
      </c>
      <c r="Q3755">
        <v>2.15930999999999E-2</v>
      </c>
      <c r="R3755">
        <v>-0.91777229999999999</v>
      </c>
      <c r="S3755">
        <v>-1.817947</v>
      </c>
      <c r="T3755">
        <v>-0.5012257</v>
      </c>
      <c r="U3755">
        <v>-2.5019230000000001</v>
      </c>
      <c r="V3755">
        <v>0.19505069999999999</v>
      </c>
      <c r="W3755">
        <v>3.2562050000000002E-2</v>
      </c>
      <c r="X3755">
        <v>0.98025249999999997</v>
      </c>
      <c r="Y3755">
        <v>0.39655770000000001</v>
      </c>
      <c r="Z3755">
        <v>0.1634651</v>
      </c>
      <c r="AA3755">
        <v>0.90333889999999994</v>
      </c>
      <c r="AB3755">
        <v>23</v>
      </c>
      <c r="AC3755">
        <v>-3.9464000000000099</v>
      </c>
      <c r="AD3755">
        <v>-1.0995931015</v>
      </c>
      <c r="AE3755">
        <v>-5.3211000000000004</v>
      </c>
      <c r="AF3755">
        <v>2.6655722837831002</v>
      </c>
      <c r="AG3755">
        <v>-1.0995931015</v>
      </c>
      <c r="AH3755">
        <v>5.8703556561618804</v>
      </c>
      <c r="AI3755">
        <v>99.678874109854803</v>
      </c>
      <c r="AJ3755">
        <v>65.578465200508603</v>
      </c>
      <c r="AK3755">
        <v>6.5402948036591502</v>
      </c>
    </row>
    <row r="3756" spans="1:37" x14ac:dyDescent="0.2">
      <c r="A3756" t="str">
        <f>"20200111153725301"</f>
        <v>20200111153725301</v>
      </c>
      <c r="B3756" t="str">
        <f>"1578728245297053"</f>
        <v>1578728245297053</v>
      </c>
      <c r="C3756" t="s">
        <v>37</v>
      </c>
      <c r="D3756">
        <v>6.0303110000000002</v>
      </c>
      <c r="E3756">
        <v>0.59008499999999997</v>
      </c>
      <c r="F3756" t="s">
        <v>51</v>
      </c>
      <c r="G3756">
        <v>-196.4579</v>
      </c>
      <c r="H3756" s="1">
        <v>-1.307903E-5</v>
      </c>
      <c r="I3756">
        <v>153.3048</v>
      </c>
      <c r="J3756">
        <v>-192.4914</v>
      </c>
      <c r="K3756">
        <v>1.0995010000000001</v>
      </c>
      <c r="L3756">
        <v>158.5145</v>
      </c>
      <c r="M3756">
        <v>-0.21861949999999999</v>
      </c>
      <c r="N3756">
        <v>0</v>
      </c>
      <c r="O3756">
        <v>-0.97571399999999997</v>
      </c>
      <c r="P3756">
        <v>-0.40493889999999999</v>
      </c>
      <c r="Q3756">
        <v>1.986825E-2</v>
      </c>
      <c r="R3756">
        <v>-0.91412800000000005</v>
      </c>
      <c r="S3756">
        <v>-1.8399509999999999</v>
      </c>
      <c r="T3756">
        <v>-0.50257309999999999</v>
      </c>
      <c r="U3756">
        <v>-2.48564099999999</v>
      </c>
      <c r="V3756">
        <v>0.19568489999999999</v>
      </c>
      <c r="W3756">
        <v>3.0817219999999999E-2</v>
      </c>
      <c r="X3756">
        <v>0.98018249999999996</v>
      </c>
      <c r="Y3756">
        <v>0.39670840000000002</v>
      </c>
      <c r="Z3756">
        <v>0.16389200000000001</v>
      </c>
      <c r="AA3756">
        <v>0.90319539999999998</v>
      </c>
      <c r="AB3756">
        <v>23</v>
      </c>
      <c r="AC3756">
        <v>-3.9664999999999901</v>
      </c>
      <c r="AD3756">
        <v>-1.09951407903</v>
      </c>
      <c r="AE3756">
        <v>-5.20969999999999</v>
      </c>
      <c r="AF3756">
        <v>2.6565758317905201</v>
      </c>
      <c r="AG3756">
        <v>-1.09951407903</v>
      </c>
      <c r="AH3756">
        <v>5.7876930300654701</v>
      </c>
      <c r="AI3756">
        <v>99.795840473637597</v>
      </c>
      <c r="AJ3756">
        <v>65.3446748529297</v>
      </c>
      <c r="AK3756">
        <v>6.4624853555197399</v>
      </c>
    </row>
    <row r="3757" spans="1:37" x14ac:dyDescent="0.2">
      <c r="A3757" t="str">
        <f>"20200111153725315"</f>
        <v>20200111153725315</v>
      </c>
      <c r="B3757" t="str">
        <f>"1578728245306812"</f>
        <v>1578728245306812</v>
      </c>
      <c r="C3757" t="s">
        <v>37</v>
      </c>
      <c r="D3757">
        <v>6.0495219999999996</v>
      </c>
      <c r="E3757">
        <v>0.59001059999999905</v>
      </c>
      <c r="F3757" t="s">
        <v>51</v>
      </c>
      <c r="G3757">
        <v>-196.50919999999999</v>
      </c>
      <c r="H3757" s="1">
        <v>-1.3054319999999999E-5</v>
      </c>
      <c r="I3757">
        <v>153.1885</v>
      </c>
      <c r="J3757">
        <v>-192.53120000000001</v>
      </c>
      <c r="K3757">
        <v>1.099459</v>
      </c>
      <c r="L3757">
        <v>158.36539999999999</v>
      </c>
      <c r="M3757">
        <v>-0.22411509999999901</v>
      </c>
      <c r="N3757">
        <v>0</v>
      </c>
      <c r="O3757">
        <v>-0.9744661</v>
      </c>
      <c r="P3757">
        <v>-0.41057939999999998</v>
      </c>
      <c r="Q3757">
        <v>1.916988E-2</v>
      </c>
      <c r="R3757">
        <v>-0.91162369999999904</v>
      </c>
      <c r="S3757">
        <v>-1.8619079999999999</v>
      </c>
      <c r="T3757">
        <v>-0.50952909999999996</v>
      </c>
      <c r="U3757">
        <v>-2.4681090000000001</v>
      </c>
      <c r="V3757">
        <v>0.19620760000000001</v>
      </c>
      <c r="W3757">
        <v>3.0105170000000001E-2</v>
      </c>
      <c r="X3757">
        <v>0.98010010000000003</v>
      </c>
      <c r="Y3757">
        <v>0.39951569999999997</v>
      </c>
      <c r="Z3757">
        <v>0.16619639999999999</v>
      </c>
      <c r="AA3757">
        <v>0.90153530000000004</v>
      </c>
      <c r="AB3757">
        <v>23</v>
      </c>
      <c r="AC3757">
        <v>-3.9779999999999802</v>
      </c>
      <c r="AD3757">
        <v>-1.0994720543200001</v>
      </c>
      <c r="AE3757">
        <v>-5.1768999999999803</v>
      </c>
      <c r="AF3757">
        <v>2.64154611804996</v>
      </c>
      <c r="AG3757">
        <v>-1.0994720543200001</v>
      </c>
      <c r="AH3757">
        <v>5.7730777261004498</v>
      </c>
      <c r="AI3757">
        <v>99.825047364577301</v>
      </c>
      <c r="AJ3757">
        <v>65.412925793255397</v>
      </c>
      <c r="AK3757">
        <v>6.44321589919294</v>
      </c>
    </row>
    <row r="3758" spans="1:37" x14ac:dyDescent="0.2">
      <c r="A3758" t="str">
        <f>"20200111153725329"</f>
        <v>20200111153725329</v>
      </c>
      <c r="B3758" t="str">
        <f>"1578728245316574"</f>
        <v>1578728245316574</v>
      </c>
      <c r="C3758" t="s">
        <v>37</v>
      </c>
      <c r="D3758">
        <v>6.0916739999999896</v>
      </c>
      <c r="E3758">
        <v>0.58997119999999903</v>
      </c>
      <c r="F3758" t="s">
        <v>51</v>
      </c>
      <c r="G3758">
        <v>-196.55690000000001</v>
      </c>
      <c r="H3758" s="1">
        <v>-1.303505E-5</v>
      </c>
      <c r="I3758">
        <v>153.0951</v>
      </c>
      <c r="J3758">
        <v>-192.5676</v>
      </c>
      <c r="K3758">
        <v>1.099431</v>
      </c>
      <c r="L3758">
        <v>158.23269999999999</v>
      </c>
      <c r="M3758">
        <v>-0.22904059999999901</v>
      </c>
      <c r="N3758">
        <v>0</v>
      </c>
      <c r="O3758">
        <v>-0.97332019999999997</v>
      </c>
      <c r="P3758">
        <v>-0.415120299999999</v>
      </c>
      <c r="Q3758">
        <v>1.911152E-2</v>
      </c>
      <c r="R3758">
        <v>-0.90956599999999999</v>
      </c>
      <c r="S3758">
        <v>-1.8763889999999901</v>
      </c>
      <c r="T3758">
        <v>-0.51246759999999902</v>
      </c>
      <c r="U3758">
        <v>-2.4564970000000002</v>
      </c>
      <c r="V3758">
        <v>0.19613949999999999</v>
      </c>
      <c r="W3758">
        <v>3.004511E-2</v>
      </c>
      <c r="X3758">
        <v>0.98011559999999898</v>
      </c>
      <c r="Y3758">
        <v>0.40020319999999998</v>
      </c>
      <c r="Z3758">
        <v>0.1671561</v>
      </c>
      <c r="AA3758">
        <v>0.90105279999999999</v>
      </c>
      <c r="AB3758">
        <v>23</v>
      </c>
      <c r="AC3758">
        <v>-3.9893000000000098</v>
      </c>
      <c r="AD3758">
        <v>-1.0994440350500001</v>
      </c>
      <c r="AE3758">
        <v>-5.1375999999999902</v>
      </c>
      <c r="AF3758">
        <v>2.6312280096384302</v>
      </c>
      <c r="AG3758">
        <v>-1.0994440350500001</v>
      </c>
      <c r="AH3758">
        <v>5.7505066444983104</v>
      </c>
      <c r="AI3758">
        <v>99.862602875494801</v>
      </c>
      <c r="AJ3758">
        <v>65.412846859186203</v>
      </c>
      <c r="AK3758">
        <v>6.4187588125222499</v>
      </c>
    </row>
    <row r="3759" spans="1:37" x14ac:dyDescent="0.2">
      <c r="A3759" t="str">
        <f>"20200111153725346"</f>
        <v>20200111153725346</v>
      </c>
      <c r="B3759" t="str">
        <f>"1578728245337068"</f>
        <v>1578728245337068</v>
      </c>
      <c r="C3759" t="s">
        <v>37</v>
      </c>
      <c r="D3759">
        <v>6.0785169999999997</v>
      </c>
      <c r="E3759">
        <v>0.58981499999999998</v>
      </c>
      <c r="F3759" t="s">
        <v>51</v>
      </c>
      <c r="G3759">
        <v>-196.6114</v>
      </c>
      <c r="H3759" s="1">
        <v>-1.3013949999999999E-5</v>
      </c>
      <c r="I3759">
        <v>152.99199999999999</v>
      </c>
      <c r="J3759">
        <v>-192.6173</v>
      </c>
      <c r="K3759">
        <v>1.0994010000000001</v>
      </c>
      <c r="L3759">
        <v>158.0547</v>
      </c>
      <c r="M3759">
        <v>-0.23568159999999999</v>
      </c>
      <c r="N3759">
        <v>0</v>
      </c>
      <c r="O3759">
        <v>-0.97173339999999997</v>
      </c>
      <c r="P3759">
        <v>-0.42193849999999999</v>
      </c>
      <c r="Q3759">
        <v>1.8590579999999999E-2</v>
      </c>
      <c r="R3759">
        <v>-0.90643379999999996</v>
      </c>
      <c r="S3759">
        <v>-1.8883509999999999</v>
      </c>
      <c r="T3759">
        <v>-0.51340850000000005</v>
      </c>
      <c r="U3759">
        <v>-2.4472200000000002</v>
      </c>
      <c r="V3759">
        <v>0.19679969999999999</v>
      </c>
      <c r="W3759">
        <v>2.9512239999999999E-2</v>
      </c>
      <c r="X3759">
        <v>0.97999939999999996</v>
      </c>
      <c r="Y3759">
        <v>0.39834770000000003</v>
      </c>
      <c r="Z3759">
        <v>0.16739079999999901</v>
      </c>
      <c r="AA3759">
        <v>0.90183119999999894</v>
      </c>
      <c r="AB3759">
        <v>23</v>
      </c>
      <c r="AC3759">
        <v>-3.9941</v>
      </c>
      <c r="AD3759">
        <v>-1.0994140139499999</v>
      </c>
      <c r="AE3759">
        <v>-5.0626999999999702</v>
      </c>
      <c r="AF3759">
        <v>2.6123358549690598</v>
      </c>
      <c r="AG3759">
        <v>-1.0994140139499999</v>
      </c>
      <c r="AH3759">
        <v>5.6959199537030099</v>
      </c>
      <c r="AI3759">
        <v>99.951026916461203</v>
      </c>
      <c r="AJ3759">
        <v>65.362256178125307</v>
      </c>
      <c r="AK3759">
        <v>6.3621155217599297</v>
      </c>
    </row>
    <row r="3760" spans="1:37" x14ac:dyDescent="0.2">
      <c r="A3760" t="str">
        <f>"20200111153725368"</f>
        <v>20200111153725368</v>
      </c>
      <c r="B3760" t="str">
        <f>"1578728245356588"</f>
        <v>1578728245356588</v>
      </c>
      <c r="C3760" t="s">
        <v>37</v>
      </c>
      <c r="D3760">
        <v>6.0223019999999998</v>
      </c>
      <c r="E3760">
        <v>0.58973730000000002</v>
      </c>
      <c r="F3760" t="s">
        <v>51</v>
      </c>
      <c r="G3760">
        <v>-196.6773</v>
      </c>
      <c r="H3760" s="1">
        <v>-1.298923E-5</v>
      </c>
      <c r="I3760">
        <v>152.8706</v>
      </c>
      <c r="J3760">
        <v>-192.6773</v>
      </c>
      <c r="K3760">
        <v>1.099375</v>
      </c>
      <c r="L3760">
        <v>157.8468</v>
      </c>
      <c r="M3760">
        <v>-0.24349850000000001</v>
      </c>
      <c r="N3760">
        <v>0</v>
      </c>
      <c r="O3760">
        <v>-0.96980379999999999</v>
      </c>
      <c r="P3760">
        <v>-0.42978159999999999</v>
      </c>
      <c r="Q3760">
        <v>1.9231140000000001E-2</v>
      </c>
      <c r="R3760">
        <v>-0.90272830000000004</v>
      </c>
      <c r="S3760">
        <v>-1.9055789999999999</v>
      </c>
      <c r="T3760">
        <v>-0.51601709999999901</v>
      </c>
      <c r="U3760">
        <v>-2.4332119999999899</v>
      </c>
      <c r="V3760">
        <v>0.19741909999999999</v>
      </c>
      <c r="W3760">
        <v>3.0144239999999999E-2</v>
      </c>
      <c r="X3760">
        <v>0.97985560000000005</v>
      </c>
      <c r="Y3760">
        <v>0.39737240000000001</v>
      </c>
      <c r="Z3760">
        <v>0.16817950000000001</v>
      </c>
      <c r="AA3760">
        <v>0.90211469999999905</v>
      </c>
      <c r="AB3760">
        <v>23</v>
      </c>
      <c r="AC3760">
        <v>-4</v>
      </c>
      <c r="AD3760">
        <v>-1.09938798923</v>
      </c>
      <c r="AE3760">
        <v>-4.9762000000000004</v>
      </c>
      <c r="AF3760">
        <v>2.59094584209645</v>
      </c>
      <c r="AG3760">
        <v>-1.09938798923</v>
      </c>
      <c r="AH3760">
        <v>5.6334424153103901</v>
      </c>
      <c r="AI3760">
        <v>100.054095431135</v>
      </c>
      <c r="AJ3760">
        <v>65.301243847517796</v>
      </c>
      <c r="AK3760">
        <v>6.2974064307584801</v>
      </c>
    </row>
    <row r="3761" spans="1:37" x14ac:dyDescent="0.2">
      <c r="A3761" t="str">
        <f>"20200111153725383"</f>
        <v>20200111153725383</v>
      </c>
      <c r="B3761" t="str">
        <f>"1578728245377085"</f>
        <v>1578728245377085</v>
      </c>
      <c r="C3761" t="s">
        <v>37</v>
      </c>
      <c r="D3761">
        <v>5.702826</v>
      </c>
      <c r="E3761">
        <v>0.59013099999999996</v>
      </c>
      <c r="F3761" t="s">
        <v>51</v>
      </c>
      <c r="G3761">
        <v>-196.7936</v>
      </c>
      <c r="H3761" s="1">
        <v>-1.295216E-5</v>
      </c>
      <c r="I3761">
        <v>152.6823</v>
      </c>
      <c r="J3761">
        <v>-192.72319999999999</v>
      </c>
      <c r="K3761">
        <v>1.099364</v>
      </c>
      <c r="L3761">
        <v>157.69149999999999</v>
      </c>
      <c r="M3761">
        <v>-0.24936759999999999</v>
      </c>
      <c r="N3761">
        <v>0</v>
      </c>
      <c r="O3761">
        <v>-0.96831109999999898</v>
      </c>
      <c r="P3761">
        <v>-0.435641</v>
      </c>
      <c r="Q3761">
        <v>1.9867989999999999E-2</v>
      </c>
      <c r="R3761">
        <v>-0.89990149999999902</v>
      </c>
      <c r="S3761">
        <v>-1.9264829999999999</v>
      </c>
      <c r="T3761">
        <v>-0.5145265</v>
      </c>
      <c r="U3761">
        <v>-2.417068</v>
      </c>
      <c r="V3761">
        <v>0.197867299999999</v>
      </c>
      <c r="W3761">
        <v>3.077672E-2</v>
      </c>
      <c r="X3761">
        <v>0.97974550000000005</v>
      </c>
      <c r="Y3761">
        <v>0.39958909999999997</v>
      </c>
      <c r="Z3761">
        <v>0.16770270000000001</v>
      </c>
      <c r="AA3761">
        <v>0.90122380000000002</v>
      </c>
      <c r="AB3761">
        <v>23</v>
      </c>
      <c r="AC3761">
        <v>-4.0704000000000002</v>
      </c>
      <c r="AD3761">
        <v>-1.0993769521600001</v>
      </c>
      <c r="AE3761">
        <v>-5.0091999999999901</v>
      </c>
      <c r="AF3761">
        <v>2.61662392175838</v>
      </c>
      <c r="AG3761">
        <v>-1.0993769521600001</v>
      </c>
      <c r="AH3761">
        <v>5.7006602244472298</v>
      </c>
      <c r="AI3761">
        <v>99.941219508012594</v>
      </c>
      <c r="AJ3761">
        <v>65.344703745790795</v>
      </c>
      <c r="AK3761">
        <v>6.3681141184383296</v>
      </c>
    </row>
    <row r="3762" spans="1:37" x14ac:dyDescent="0.2">
      <c r="A3762" t="str">
        <f>"20200111153725402"</f>
        <v>20200111153725402</v>
      </c>
      <c r="B3762" t="str">
        <f>"1578728245396605"</f>
        <v>1578728245396605</v>
      </c>
      <c r="C3762" t="s">
        <v>37</v>
      </c>
      <c r="D3762">
        <v>5.6949420000000002</v>
      </c>
      <c r="E3762">
        <v>0.59068880000000001</v>
      </c>
      <c r="F3762" t="s">
        <v>51</v>
      </c>
      <c r="G3762">
        <v>-196.93020000000001</v>
      </c>
      <c r="H3762" s="1">
        <v>-1.29168E-5</v>
      </c>
      <c r="I3762">
        <v>152.49359999999999</v>
      </c>
      <c r="J3762">
        <v>-192.77680000000001</v>
      </c>
      <c r="K3762">
        <v>1.099359</v>
      </c>
      <c r="L3762">
        <v>157.5145</v>
      </c>
      <c r="M3762">
        <v>-0.25609270000000001</v>
      </c>
      <c r="N3762">
        <v>0</v>
      </c>
      <c r="O3762">
        <v>-0.96655419999999903</v>
      </c>
      <c r="P3762">
        <v>-0.44236309999999901</v>
      </c>
      <c r="Q3762">
        <v>2.1064630000000001E-2</v>
      </c>
      <c r="R3762">
        <v>-0.89658879999999996</v>
      </c>
      <c r="S3762">
        <v>-1.9450989999999999</v>
      </c>
      <c r="T3762">
        <v>-0.50829340000000001</v>
      </c>
      <c r="U3762">
        <v>-2.4032749999999998</v>
      </c>
      <c r="V3762">
        <v>0.1984119</v>
      </c>
      <c r="W3762">
        <v>3.1970119999999998E-2</v>
      </c>
      <c r="X3762">
        <v>0.97959719999999995</v>
      </c>
      <c r="Y3762">
        <v>0.4002058</v>
      </c>
      <c r="Z3762">
        <v>0.16563729999999999</v>
      </c>
      <c r="AA3762">
        <v>0.90133209999999997</v>
      </c>
      <c r="AB3762">
        <v>23</v>
      </c>
      <c r="AC3762">
        <v>-4.1534000000000004</v>
      </c>
      <c r="AD3762">
        <v>-1.0993719168</v>
      </c>
      <c r="AE3762">
        <v>-5.0209000000000099</v>
      </c>
      <c r="AF3762">
        <v>2.6534005486839001</v>
      </c>
      <c r="AG3762">
        <v>-1.0993719168</v>
      </c>
      <c r="AH3762">
        <v>5.7534184160036101</v>
      </c>
      <c r="AI3762">
        <v>99.843806003059797</v>
      </c>
      <c r="AJ3762">
        <v>65.241472717454002</v>
      </c>
      <c r="AK3762">
        <v>6.4304724984105199</v>
      </c>
    </row>
    <row r="3763" spans="1:37" x14ac:dyDescent="0.2">
      <c r="A3763" t="str">
        <f>"20200111153725417"</f>
        <v>20200111153725417</v>
      </c>
      <c r="B3763" t="str">
        <f>"1578728245406365"</f>
        <v>1578728245406365</v>
      </c>
      <c r="C3763" t="s">
        <v>37</v>
      </c>
      <c r="D3763">
        <v>5.7133289999999999</v>
      </c>
      <c r="E3763">
        <v>0.6245214</v>
      </c>
      <c r="F3763" t="s">
        <v>51</v>
      </c>
      <c r="G3763">
        <v>-197.10509999999999</v>
      </c>
      <c r="H3763" s="1">
        <v>-1.2874679999999999E-5</v>
      </c>
      <c r="I3763">
        <v>152.2645</v>
      </c>
      <c r="J3763">
        <v>-192.82339999999999</v>
      </c>
      <c r="K3763">
        <v>1.0993580000000001</v>
      </c>
      <c r="L3763">
        <v>157.36449999999999</v>
      </c>
      <c r="M3763">
        <v>-0.26181209999999999</v>
      </c>
      <c r="N3763">
        <v>0</v>
      </c>
      <c r="O3763">
        <v>-0.96502069999999995</v>
      </c>
      <c r="P3763">
        <v>-0.44796649999999999</v>
      </c>
      <c r="Q3763">
        <v>2.133258E-2</v>
      </c>
      <c r="R3763">
        <v>-0.89379599999999904</v>
      </c>
      <c r="S3763">
        <v>-1.96781899999999</v>
      </c>
      <c r="T3763">
        <v>-0.49981750000000003</v>
      </c>
      <c r="U3763">
        <v>-2.386841</v>
      </c>
      <c r="V3763">
        <v>0.19874810000000001</v>
      </c>
      <c r="W3763">
        <v>3.223844E-2</v>
      </c>
      <c r="X3763">
        <v>0.97952030000000001</v>
      </c>
      <c r="Y3763">
        <v>0.40324789999999999</v>
      </c>
      <c r="Z3763">
        <v>0.16288069999999999</v>
      </c>
      <c r="AA3763">
        <v>0.90047819999999901</v>
      </c>
      <c r="AB3763">
        <v>23</v>
      </c>
      <c r="AC3763">
        <v>-4.2816999999999998</v>
      </c>
      <c r="AD3763">
        <v>-1.0993708746799999</v>
      </c>
      <c r="AE3763">
        <v>-5.0999999999999899</v>
      </c>
      <c r="AF3763">
        <v>2.7227410848820401</v>
      </c>
      <c r="AG3763">
        <v>-1.0993708746799999</v>
      </c>
      <c r="AH3763">
        <v>5.8828357739981803</v>
      </c>
      <c r="AI3763">
        <v>99.625438596197498</v>
      </c>
      <c r="AJ3763">
        <v>65.163979406700193</v>
      </c>
      <c r="AK3763">
        <v>6.5749290550721602</v>
      </c>
    </row>
    <row r="3764" spans="1:37" x14ac:dyDescent="0.2">
      <c r="A3764" t="str">
        <f>"20200111153725435"</f>
        <v>20200111153725435</v>
      </c>
      <c r="B3764" t="str">
        <f>"1578728245426860"</f>
        <v>1578728245426860</v>
      </c>
      <c r="C3764" t="s">
        <v>37</v>
      </c>
      <c r="D3764">
        <v>6.0793689999999998</v>
      </c>
      <c r="E3764">
        <v>0.6245214</v>
      </c>
      <c r="F3764" t="s">
        <v>51</v>
      </c>
      <c r="G3764">
        <v>-207.56659999999999</v>
      </c>
      <c r="H3764" s="1">
        <v>-7.21520099999999E-6</v>
      </c>
      <c r="I3764">
        <v>142.52500000000001</v>
      </c>
      <c r="J3764">
        <v>-192.88069999999999</v>
      </c>
      <c r="K3764">
        <v>1.0993649999999999</v>
      </c>
      <c r="L3764">
        <v>157.18440000000001</v>
      </c>
      <c r="M3764">
        <v>-0.268702</v>
      </c>
      <c r="N3764">
        <v>0</v>
      </c>
      <c r="O3764">
        <v>-0.9631248</v>
      </c>
      <c r="P3764">
        <v>-0.45467929999999901</v>
      </c>
      <c r="Q3764">
        <v>2.163607E-2</v>
      </c>
      <c r="R3764">
        <v>-0.89039279999999998</v>
      </c>
      <c r="S3764">
        <v>-2.2288209999999999</v>
      </c>
      <c r="T3764">
        <v>-0.1661984</v>
      </c>
      <c r="U3764">
        <v>-2.2433779999999999</v>
      </c>
      <c r="V3764">
        <v>0.1991243</v>
      </c>
      <c r="W3764">
        <v>3.2543469999999998E-2</v>
      </c>
      <c r="X3764">
        <v>0.97943369999999996</v>
      </c>
      <c r="Y3764">
        <v>0.4871858</v>
      </c>
      <c r="Z3764">
        <v>5.4226870000000003E-2</v>
      </c>
      <c r="AA3764">
        <v>0.87161309999999903</v>
      </c>
      <c r="AB3764">
        <v>23</v>
      </c>
      <c r="AC3764">
        <v>-14.6859</v>
      </c>
      <c r="AD3764">
        <v>-1.0993722152009999</v>
      </c>
      <c r="AE3764">
        <v>-14.6594</v>
      </c>
      <c r="AF3764">
        <v>10.177744401886899</v>
      </c>
      <c r="AG3764">
        <v>-1.0993722152009999</v>
      </c>
      <c r="AH3764">
        <v>18.016106331287599</v>
      </c>
      <c r="AI3764">
        <v>93.041255252215805</v>
      </c>
      <c r="AJ3764">
        <v>60.536819954031799</v>
      </c>
      <c r="AK3764">
        <v>20.721370314676602</v>
      </c>
    </row>
    <row r="3765" spans="1:37" x14ac:dyDescent="0.2">
      <c r="A3765" t="str">
        <f>"20200111153725457"</f>
        <v>20200111153725457</v>
      </c>
      <c r="B3765" t="str">
        <f>"1578728245446380"</f>
        <v>1578728245446380</v>
      </c>
      <c r="C3765" t="s">
        <v>37</v>
      </c>
      <c r="D3765">
        <v>6.0117409999999998</v>
      </c>
      <c r="E3765">
        <v>0.60304440000000004</v>
      </c>
      <c r="F3765" t="s">
        <v>51</v>
      </c>
      <c r="G3765">
        <v>-207.88550000000001</v>
      </c>
      <c r="H3765" s="1">
        <v>-7.0171540000000003E-6</v>
      </c>
      <c r="I3765">
        <v>142.31059999999999</v>
      </c>
      <c r="J3765">
        <v>-192.94929999999999</v>
      </c>
      <c r="K3765">
        <v>1.099364</v>
      </c>
      <c r="L3765">
        <v>156.97450000000001</v>
      </c>
      <c r="M3765">
        <v>-0.27676139999999999</v>
      </c>
      <c r="N3765">
        <v>0</v>
      </c>
      <c r="O3765">
        <v>-0.96083960000000002</v>
      </c>
      <c r="P3765">
        <v>-0.4626923</v>
      </c>
      <c r="Q3765">
        <v>2.224127E-2</v>
      </c>
      <c r="R3765">
        <v>-0.88624009999999998</v>
      </c>
      <c r="S3765">
        <v>-2.245987</v>
      </c>
      <c r="T3765">
        <v>-0.16455899999999901</v>
      </c>
      <c r="U3765">
        <v>-2.2263790000000001</v>
      </c>
      <c r="V3765">
        <v>0.1997659</v>
      </c>
      <c r="W3765">
        <v>3.3145859999999999E-2</v>
      </c>
      <c r="X3765">
        <v>0.97928289999999996</v>
      </c>
      <c r="Y3765">
        <v>0.48655229999999999</v>
      </c>
      <c r="Z3765">
        <v>5.367595E-2</v>
      </c>
      <c r="AA3765">
        <v>0.87200100000000003</v>
      </c>
      <c r="AB3765">
        <v>23</v>
      </c>
      <c r="AC3765">
        <v>-14.936199999999999</v>
      </c>
      <c r="AD3765">
        <v>-1.0993710171540001</v>
      </c>
      <c r="AE3765">
        <v>-14.6639</v>
      </c>
      <c r="AF3765">
        <v>10.2655519246401</v>
      </c>
      <c r="AG3765">
        <v>-1.0993710171540001</v>
      </c>
      <c r="AH3765">
        <v>18.175016088735401</v>
      </c>
      <c r="AI3765">
        <v>93.014849897733697</v>
      </c>
      <c r="AJ3765">
        <v>60.541514961452599</v>
      </c>
      <c r="AK3765">
        <v>20.902664489883399</v>
      </c>
    </row>
    <row r="3766" spans="1:37" x14ac:dyDescent="0.2">
      <c r="A3766" t="str">
        <f>"20200111153725470"</f>
        <v>20200111153725470</v>
      </c>
      <c r="B3766" t="str">
        <f>"1578728245466877"</f>
        <v>1578728245466877</v>
      </c>
      <c r="C3766" t="s">
        <v>37</v>
      </c>
      <c r="D3766">
        <v>6.0922349999999996</v>
      </c>
      <c r="E3766">
        <v>0.59624659999999996</v>
      </c>
      <c r="F3766" t="s">
        <v>51</v>
      </c>
      <c r="G3766">
        <v>-200.4965</v>
      </c>
      <c r="H3766" s="1">
        <v>-1.1977819999999901E-5</v>
      </c>
      <c r="I3766">
        <v>148.79390000000001</v>
      </c>
      <c r="J3766">
        <v>-192.9922</v>
      </c>
      <c r="K3766">
        <v>1.0993599999999999</v>
      </c>
      <c r="L3766">
        <v>156.8466</v>
      </c>
      <c r="M3766">
        <v>-0.28169519999999998</v>
      </c>
      <c r="N3766">
        <v>0</v>
      </c>
      <c r="O3766">
        <v>-0.959404699999999</v>
      </c>
      <c r="P3766">
        <v>-0.46759629999999902</v>
      </c>
      <c r="Q3766">
        <v>2.2306550000000001E-2</v>
      </c>
      <c r="R3766">
        <v>-0.88366080000000002</v>
      </c>
      <c r="S3766">
        <v>-2.1125639999999999</v>
      </c>
      <c r="T3766">
        <v>-0.30773099999999998</v>
      </c>
      <c r="U3766">
        <v>-2.28987099999999</v>
      </c>
      <c r="V3766">
        <v>0.20016210000000001</v>
      </c>
      <c r="W3766">
        <v>3.3208769999999999E-2</v>
      </c>
      <c r="X3766">
        <v>0.97919979999999995</v>
      </c>
      <c r="Y3766">
        <v>0.44002249999999998</v>
      </c>
      <c r="Z3766">
        <v>0.100774899999999</v>
      </c>
      <c r="AA3766">
        <v>0.89231419999999995</v>
      </c>
      <c r="AB3766">
        <v>23</v>
      </c>
      <c r="AC3766">
        <v>-7.5042999999999997</v>
      </c>
      <c r="AD3766">
        <v>-1.09937197782</v>
      </c>
      <c r="AE3766">
        <v>-8.0526999999999802</v>
      </c>
      <c r="AF3766">
        <v>4.8830135787706599</v>
      </c>
      <c r="AG3766">
        <v>-1.09937197782</v>
      </c>
      <c r="AH3766">
        <v>9.7434660534792599</v>
      </c>
      <c r="AI3766">
        <v>95.760112565494396</v>
      </c>
      <c r="AJ3766">
        <v>63.381905796429997</v>
      </c>
      <c r="AK3766">
        <v>10.953883835945</v>
      </c>
    </row>
    <row r="3767" spans="1:37" x14ac:dyDescent="0.2">
      <c r="A3767" t="str">
        <f>"20200111153725484"</f>
        <v>20200111153725484</v>
      </c>
      <c r="B3767" t="str">
        <f>"1578728245476637"</f>
        <v>1578728245476637</v>
      </c>
      <c r="C3767" t="s">
        <v>37</v>
      </c>
      <c r="D3767">
        <v>6.0625369999999998</v>
      </c>
      <c r="E3767">
        <v>0.59456619999999905</v>
      </c>
      <c r="F3767" t="s">
        <v>51</v>
      </c>
      <c r="G3767">
        <v>-199.61340000000001</v>
      </c>
      <c r="H3767" s="1">
        <v>-1.23693899999999E-5</v>
      </c>
      <c r="I3767">
        <v>149.4992</v>
      </c>
      <c r="J3767">
        <v>-193.03980000000001</v>
      </c>
      <c r="K3767">
        <v>1.0993569999999999</v>
      </c>
      <c r="L3767">
        <v>156.70670000000001</v>
      </c>
      <c r="M3767">
        <v>-0.28710479999999999</v>
      </c>
      <c r="N3767">
        <v>0</v>
      </c>
      <c r="O3767">
        <v>-0.95779969999999903</v>
      </c>
      <c r="P3767">
        <v>-0.47281679999999998</v>
      </c>
      <c r="Q3767">
        <v>2.2496820000000001E-2</v>
      </c>
      <c r="R3767">
        <v>-0.88087380000000004</v>
      </c>
      <c r="S3767">
        <v>-2.076889</v>
      </c>
      <c r="T3767">
        <v>-0.3448446</v>
      </c>
      <c r="U3767">
        <v>-2.3046880000000001</v>
      </c>
      <c r="V3767">
        <v>0.20043440000000001</v>
      </c>
      <c r="W3767">
        <v>3.3397959999999997E-2</v>
      </c>
      <c r="X3767">
        <v>0.9791377</v>
      </c>
      <c r="Y3767">
        <v>0.4235622</v>
      </c>
      <c r="Z3767">
        <v>0.11292819999999899</v>
      </c>
      <c r="AA3767">
        <v>0.89880040000000005</v>
      </c>
      <c r="AB3767">
        <v>23</v>
      </c>
      <c r="AC3767">
        <v>-6.5735999999999901</v>
      </c>
      <c r="AD3767">
        <v>-1.09936936939</v>
      </c>
      <c r="AE3767">
        <v>-7.2074999999999996</v>
      </c>
      <c r="AF3767">
        <v>4.1742704390370502</v>
      </c>
      <c r="AG3767">
        <v>-1.09936936939</v>
      </c>
      <c r="AH3767">
        <v>8.68123245555479</v>
      </c>
      <c r="AI3767">
        <v>96.510952261993907</v>
      </c>
      <c r="AJ3767">
        <v>64.319962588448206</v>
      </c>
      <c r="AK3767">
        <v>9.6952020946419406</v>
      </c>
    </row>
    <row r="3768" spans="1:37" x14ac:dyDescent="0.2">
      <c r="A3768" t="str">
        <f>"20200111153725497"</f>
        <v>20200111153725497</v>
      </c>
      <c r="B3768" t="str">
        <f>"1578728245486396"</f>
        <v>1578728245486396</v>
      </c>
      <c r="C3768" t="s">
        <v>37</v>
      </c>
      <c r="D3768">
        <v>6.0248499999999998</v>
      </c>
      <c r="E3768">
        <v>0.59309009999999995</v>
      </c>
      <c r="F3768" t="s">
        <v>51</v>
      </c>
      <c r="G3768">
        <v>-199.40940000000001</v>
      </c>
      <c r="H3768" s="1">
        <v>-1.238348E-5</v>
      </c>
      <c r="I3768">
        <v>149.66149999999999</v>
      </c>
      <c r="J3768">
        <v>-193.08349999999999</v>
      </c>
      <c r="K3768">
        <v>1.0993520000000001</v>
      </c>
      <c r="L3768">
        <v>156.5804</v>
      </c>
      <c r="M3768">
        <v>-0.29199789999999998</v>
      </c>
      <c r="N3768">
        <v>0</v>
      </c>
      <c r="O3768">
        <v>-0.95631919999999904</v>
      </c>
      <c r="P3768">
        <v>-0.4777883</v>
      </c>
      <c r="Q3768">
        <v>2.2521920000000001E-2</v>
      </c>
      <c r="R3768">
        <v>-0.87818649999999998</v>
      </c>
      <c r="S3768">
        <v>-2.0786739999999999</v>
      </c>
      <c r="T3768">
        <v>-0.358772599999999</v>
      </c>
      <c r="U3768">
        <v>-2.2991489999999999</v>
      </c>
      <c r="V3768">
        <v>0.20096410000000001</v>
      </c>
      <c r="W3768">
        <v>3.3416080000000001E-2</v>
      </c>
      <c r="X3768">
        <v>0.97902849999999997</v>
      </c>
      <c r="Y3768">
        <v>0.42003269999999998</v>
      </c>
      <c r="Z3768">
        <v>0.1174318</v>
      </c>
      <c r="AA3768">
        <v>0.89987899999999998</v>
      </c>
      <c r="AB3768">
        <v>23</v>
      </c>
      <c r="AC3768">
        <v>-6.3259000000000096</v>
      </c>
      <c r="AD3768">
        <v>-1.09936438348</v>
      </c>
      <c r="AE3768">
        <v>-6.9188999999999998</v>
      </c>
      <c r="AF3768">
        <v>3.97499731264447</v>
      </c>
      <c r="AG3768">
        <v>-1.09936438348</v>
      </c>
      <c r="AH3768">
        <v>8.3498109032778807</v>
      </c>
      <c r="AI3768">
        <v>96.779491710889999</v>
      </c>
      <c r="AJ3768">
        <v>64.542825594419099</v>
      </c>
      <c r="AK3768">
        <v>9.3128163196582694</v>
      </c>
    </row>
    <row r="3769" spans="1:37" x14ac:dyDescent="0.2">
      <c r="A3769" t="str">
        <f>"20200111153725514"</f>
        <v>20200111153725514</v>
      </c>
      <c r="B3769" t="str">
        <f>"1578728245506892"</f>
        <v>1578728245506892</v>
      </c>
      <c r="C3769" t="s">
        <v>37</v>
      </c>
      <c r="D3769">
        <v>6.0709439999999999</v>
      </c>
      <c r="E3769">
        <v>0.59099190000000001</v>
      </c>
      <c r="F3769" t="s">
        <v>51</v>
      </c>
      <c r="G3769">
        <v>-199.25700000000001</v>
      </c>
      <c r="H3769" s="1">
        <v>-1.240651E-5</v>
      </c>
      <c r="I3769">
        <v>149.7782</v>
      </c>
      <c r="J3769">
        <v>-193.14189999999999</v>
      </c>
      <c r="K3769">
        <v>1.099348</v>
      </c>
      <c r="L3769">
        <v>156.4153</v>
      </c>
      <c r="M3769">
        <v>-0.29842669999999999</v>
      </c>
      <c r="N3769">
        <v>0</v>
      </c>
      <c r="O3769">
        <v>-0.95433279999999998</v>
      </c>
      <c r="P3769">
        <v>-0.48408449999999997</v>
      </c>
      <c r="Q3769">
        <v>2.2775610000000002E-2</v>
      </c>
      <c r="R3769">
        <v>-0.87472519999999998</v>
      </c>
      <c r="S3769">
        <v>-2.0813290000000002</v>
      </c>
      <c r="T3769">
        <v>-0.37063400000000002</v>
      </c>
      <c r="U3769">
        <v>-2.2932589999999999</v>
      </c>
      <c r="V3769">
        <v>0.20141510000000001</v>
      </c>
      <c r="W3769">
        <v>3.3663409999999998E-2</v>
      </c>
      <c r="X3769">
        <v>0.97892729999999994</v>
      </c>
      <c r="Y3769">
        <v>0.41533310000000001</v>
      </c>
      <c r="Z3769">
        <v>0.1212025</v>
      </c>
      <c r="AA3769">
        <v>0.90155889999999905</v>
      </c>
      <c r="AB3769">
        <v>23</v>
      </c>
      <c r="AC3769">
        <v>-6.1151000000000098</v>
      </c>
      <c r="AD3769">
        <v>-1.09936040651</v>
      </c>
      <c r="AE3769">
        <v>-6.6371000000000002</v>
      </c>
      <c r="AF3769">
        <v>3.7991431874207402</v>
      </c>
      <c r="AG3769">
        <v>-1.09936040651</v>
      </c>
      <c r="AH3769">
        <v>8.0403748464929308</v>
      </c>
      <c r="AI3769">
        <v>97.047391680232806</v>
      </c>
      <c r="AJ3769">
        <v>64.7088807078228</v>
      </c>
      <c r="AK3769">
        <v>8.9604525518549298</v>
      </c>
    </row>
    <row r="3770" spans="1:37" x14ac:dyDescent="0.2">
      <c r="A3770" t="str">
        <f>"20200111153725528"</f>
        <v>20200111153725528</v>
      </c>
      <c r="B3770" t="str">
        <f>"1578728245516653"</f>
        <v>1578728245516653</v>
      </c>
      <c r="C3770" t="s">
        <v>37</v>
      </c>
      <c r="D3770">
        <v>6.0871719999999998</v>
      </c>
      <c r="E3770">
        <v>0.59022390000000002</v>
      </c>
      <c r="F3770" t="s">
        <v>51</v>
      </c>
      <c r="G3770">
        <v>-199.10900000000001</v>
      </c>
      <c r="H3770" s="1">
        <v>-1.241751E-5</v>
      </c>
      <c r="I3770">
        <v>149.86500000000001</v>
      </c>
      <c r="J3770">
        <v>-193.18719999999999</v>
      </c>
      <c r="K3770">
        <v>1.0993409999999999</v>
      </c>
      <c r="L3770">
        <v>156.28989999999999</v>
      </c>
      <c r="M3770">
        <v>-0.30333470000000001</v>
      </c>
      <c r="N3770">
        <v>0</v>
      </c>
      <c r="O3770">
        <v>-0.95278410000000002</v>
      </c>
      <c r="P3770">
        <v>-0.48888880000000001</v>
      </c>
      <c r="Q3770">
        <v>2.289565E-2</v>
      </c>
      <c r="R3770">
        <v>-0.87204590000000004</v>
      </c>
      <c r="S3770">
        <v>-2.0831759999999999</v>
      </c>
      <c r="T3770">
        <v>-0.38379940000000001</v>
      </c>
      <c r="U3770">
        <v>-2.28678899999999</v>
      </c>
      <c r="V3770">
        <v>0.20176469999999999</v>
      </c>
      <c r="W3770">
        <v>3.3776359999999998E-2</v>
      </c>
      <c r="X3770">
        <v>0.97885140000000004</v>
      </c>
      <c r="Y3770">
        <v>0.41195140000000002</v>
      </c>
      <c r="Z3770">
        <v>0.12546079999999901</v>
      </c>
      <c r="AA3770">
        <v>0.90252730000000003</v>
      </c>
      <c r="AB3770">
        <v>22</v>
      </c>
      <c r="AC3770">
        <v>-5.9218000000000099</v>
      </c>
      <c r="AD3770">
        <v>-1.0993534175099999</v>
      </c>
      <c r="AE3770">
        <v>-6.4248999999999796</v>
      </c>
      <c r="AF3770">
        <v>3.6360940786581102</v>
      </c>
      <c r="AG3770">
        <v>-1.0993534175099999</v>
      </c>
      <c r="AH3770">
        <v>7.79518613490582</v>
      </c>
      <c r="AI3770">
        <v>97.283442331951207</v>
      </c>
      <c r="AJ3770">
        <v>64.993123297576801</v>
      </c>
      <c r="AK3770">
        <v>8.6714868946029906</v>
      </c>
    </row>
    <row r="3771" spans="1:37" x14ac:dyDescent="0.2">
      <c r="A3771" t="str">
        <f>"20200111153725542"</f>
        <v>20200111153725542</v>
      </c>
      <c r="B3771" t="str">
        <f>"1578728245537148"</f>
        <v>1578728245537148</v>
      </c>
      <c r="C3771" t="s">
        <v>37</v>
      </c>
      <c r="D3771">
        <v>6.0821449999999997</v>
      </c>
      <c r="E3771">
        <v>0.58922280000000005</v>
      </c>
      <c r="F3771" t="s">
        <v>51</v>
      </c>
      <c r="G3771">
        <v>-199.08430000000001</v>
      </c>
      <c r="H3771" s="1">
        <v>-1.2411689999999999E-5</v>
      </c>
      <c r="I3771">
        <v>149.86170000000001</v>
      </c>
      <c r="J3771">
        <v>-193.2321</v>
      </c>
      <c r="K3771">
        <v>1.0993310000000001</v>
      </c>
      <c r="L3771">
        <v>156.16679999999999</v>
      </c>
      <c r="M3771">
        <v>-0.30816070000000001</v>
      </c>
      <c r="N3771">
        <v>0</v>
      </c>
      <c r="O3771">
        <v>-0.95123419999999903</v>
      </c>
      <c r="P3771">
        <v>-0.49347940000000001</v>
      </c>
      <c r="Q3771">
        <v>2.3264799999999999E-2</v>
      </c>
      <c r="R3771">
        <v>-0.86944650000000001</v>
      </c>
      <c r="S3771">
        <v>-2.0902859999999999</v>
      </c>
      <c r="T3771">
        <v>-0.38968069999999999</v>
      </c>
      <c r="U3771">
        <v>-2.2785489999999999</v>
      </c>
      <c r="V3771">
        <v>0.20197209999999999</v>
      </c>
      <c r="W3771">
        <v>3.4139499999999899E-2</v>
      </c>
      <c r="X3771">
        <v>0.97879609999999995</v>
      </c>
      <c r="Y3771">
        <v>0.41032619999999997</v>
      </c>
      <c r="Z3771">
        <v>0.1273106</v>
      </c>
      <c r="AA3771">
        <v>0.90300859999999905</v>
      </c>
      <c r="AB3771">
        <v>22</v>
      </c>
      <c r="AC3771">
        <v>-5.8522000000000096</v>
      </c>
      <c r="AD3771">
        <v>-1.09934341169</v>
      </c>
      <c r="AE3771">
        <v>-6.3050999999999799</v>
      </c>
      <c r="AF3771">
        <v>3.56593761778961</v>
      </c>
      <c r="AG3771">
        <v>-1.09934341169</v>
      </c>
      <c r="AH3771">
        <v>7.6764220929070399</v>
      </c>
      <c r="AI3771">
        <v>97.400203089321707</v>
      </c>
      <c r="AJ3771">
        <v>65.083660932211004</v>
      </c>
      <c r="AK3771">
        <v>8.5353338059659105</v>
      </c>
    </row>
    <row r="3772" spans="1:37" x14ac:dyDescent="0.2">
      <c r="A3772" t="str">
        <f>"20200111153725556"</f>
        <v>20200111153725556</v>
      </c>
      <c r="B3772" t="str">
        <f>"1578728245546908"</f>
        <v>1578728245546908</v>
      </c>
      <c r="C3772" t="s">
        <v>37</v>
      </c>
      <c r="D3772">
        <v>6.0809730000000002</v>
      </c>
      <c r="E3772">
        <v>0.58867879999999995</v>
      </c>
      <c r="F3772" t="s">
        <v>51</v>
      </c>
      <c r="G3772">
        <v>-199.0257</v>
      </c>
      <c r="H3772" s="1">
        <v>-1.241124E-5</v>
      </c>
      <c r="I3772">
        <v>149.88489999999999</v>
      </c>
      <c r="J3772">
        <v>-193.29159999999999</v>
      </c>
      <c r="K3772">
        <v>1.099316</v>
      </c>
      <c r="L3772">
        <v>156.00739999999999</v>
      </c>
      <c r="M3772">
        <v>-0.31445119999999999</v>
      </c>
      <c r="N3772">
        <v>0</v>
      </c>
      <c r="O3772">
        <v>-0.94917299999999905</v>
      </c>
      <c r="P3772">
        <v>-0.499677499999999</v>
      </c>
      <c r="Q3772">
        <v>2.3483759999999999E-2</v>
      </c>
      <c r="R3772">
        <v>-0.86589349999999998</v>
      </c>
      <c r="S3772">
        <v>-2.0952609999999998</v>
      </c>
      <c r="T3772">
        <v>-0.39758589999999999</v>
      </c>
      <c r="U3772">
        <v>-2.2719119999999999</v>
      </c>
      <c r="V3772">
        <v>0.20249059999999999</v>
      </c>
      <c r="W3772">
        <v>3.4344420000000001E-2</v>
      </c>
      <c r="X3772">
        <v>0.97868180000000005</v>
      </c>
      <c r="Y3772">
        <v>0.40645229999999999</v>
      </c>
      <c r="Z3772">
        <v>0.12974079999999999</v>
      </c>
      <c r="AA3772">
        <v>0.90441360000000004</v>
      </c>
      <c r="AB3772">
        <v>22</v>
      </c>
      <c r="AC3772">
        <v>-5.7341000000000104</v>
      </c>
      <c r="AD3772">
        <v>-1.0993284112399999</v>
      </c>
      <c r="AE3772">
        <v>-6.1224999999999996</v>
      </c>
      <c r="AF3772">
        <v>3.45836381726297</v>
      </c>
      <c r="AG3772">
        <v>-1.0993284112399999</v>
      </c>
      <c r="AH3772">
        <v>7.48655169692565</v>
      </c>
      <c r="AI3772">
        <v>97.593025172368996</v>
      </c>
      <c r="AJ3772">
        <v>65.205731242870897</v>
      </c>
      <c r="AK3772">
        <v>8.3196910735347291</v>
      </c>
    </row>
    <row r="3773" spans="1:37" x14ac:dyDescent="0.2">
      <c r="A3773" t="str">
        <f>"20200111153725571"</f>
        <v>20200111153725571</v>
      </c>
      <c r="B3773" t="str">
        <f>"1578728245566428"</f>
        <v>1578728245566428</v>
      </c>
      <c r="C3773" t="s">
        <v>37</v>
      </c>
      <c r="D3773">
        <v>6.1004680000000002</v>
      </c>
      <c r="E3773">
        <v>0.58744890000000005</v>
      </c>
      <c r="F3773" t="s">
        <v>51</v>
      </c>
      <c r="G3773">
        <v>-199.05709999999999</v>
      </c>
      <c r="H3773" s="1">
        <v>-1.23927399999999E-5</v>
      </c>
      <c r="I3773">
        <v>149.8287</v>
      </c>
      <c r="J3773">
        <v>-193.3415</v>
      </c>
      <c r="K3773">
        <v>1.0992930000000001</v>
      </c>
      <c r="L3773">
        <v>155.8768</v>
      </c>
      <c r="M3773">
        <v>-0.31964199999999998</v>
      </c>
      <c r="N3773">
        <v>0</v>
      </c>
      <c r="O3773">
        <v>-0.94743750000000004</v>
      </c>
      <c r="P3773">
        <v>-0.50448090000000001</v>
      </c>
      <c r="Q3773">
        <v>2.3681000000000001E-2</v>
      </c>
      <c r="R3773">
        <v>-0.86309820000000004</v>
      </c>
      <c r="S3773">
        <v>-2.1080019999999999</v>
      </c>
      <c r="T3773">
        <v>-0.40193990000000002</v>
      </c>
      <c r="U3773">
        <v>-2.2590789999999998</v>
      </c>
      <c r="V3773">
        <v>0.20257709999999901</v>
      </c>
      <c r="W3773">
        <v>3.4535040000000003E-2</v>
      </c>
      <c r="X3773">
        <v>0.9786572</v>
      </c>
      <c r="Y3773">
        <v>0.40661909999999901</v>
      </c>
      <c r="Z3773">
        <v>0.1310962</v>
      </c>
      <c r="AA3773">
        <v>0.90414300000000003</v>
      </c>
      <c r="AB3773">
        <v>22</v>
      </c>
      <c r="AC3773">
        <v>-5.7155999999999896</v>
      </c>
      <c r="AD3773">
        <v>-1.0993053927399901</v>
      </c>
      <c r="AE3773">
        <v>-6.0480999999999998</v>
      </c>
      <c r="AF3773">
        <v>3.42255132287241</v>
      </c>
      <c r="AG3773">
        <v>-1.0993053927399901</v>
      </c>
      <c r="AH3773">
        <v>7.4282314753488698</v>
      </c>
      <c r="AI3773">
        <v>97.655213107998904</v>
      </c>
      <c r="AJ3773">
        <v>65.262153129666601</v>
      </c>
      <c r="AK3773">
        <v>8.2523301409702796</v>
      </c>
    </row>
    <row r="3774" spans="1:37" x14ac:dyDescent="0.2">
      <c r="A3774" t="str">
        <f>"20200111153725584"</f>
        <v>20200111153725584</v>
      </c>
      <c r="B3774" t="str">
        <f>"1578728245577165"</f>
        <v>1578728245577165</v>
      </c>
      <c r="C3774" t="s">
        <v>37</v>
      </c>
      <c r="D3774">
        <v>6.0788320000000002</v>
      </c>
      <c r="E3774">
        <v>0.58708169999999904</v>
      </c>
      <c r="F3774" t="s">
        <v>51</v>
      </c>
      <c r="G3774">
        <v>-199.0153</v>
      </c>
      <c r="H3774" s="1">
        <v>-1.238394E-5</v>
      </c>
      <c r="I3774">
        <v>149.82550000000001</v>
      </c>
      <c r="J3774">
        <v>-193.39009999999999</v>
      </c>
      <c r="K3774">
        <v>1.0992759999999999</v>
      </c>
      <c r="L3774">
        <v>155.751</v>
      </c>
      <c r="M3774">
        <v>-0.32465820000000001</v>
      </c>
      <c r="N3774">
        <v>0</v>
      </c>
      <c r="O3774">
        <v>-0.94573039999999997</v>
      </c>
      <c r="P3774">
        <v>-0.50910290000000002</v>
      </c>
      <c r="Q3774">
        <v>2.3514549999999999E-2</v>
      </c>
      <c r="R3774">
        <v>-0.86038459999999894</v>
      </c>
      <c r="S3774">
        <v>-2.1120759999999899</v>
      </c>
      <c r="T3774">
        <v>-0.40921469999999999</v>
      </c>
      <c r="U3774">
        <v>-2.2525789999999999</v>
      </c>
      <c r="V3774">
        <v>0.20263800000000001</v>
      </c>
      <c r="W3774">
        <v>3.4362539999999997E-2</v>
      </c>
      <c r="X3774">
        <v>0.97865059999999904</v>
      </c>
      <c r="Y3774">
        <v>0.40373619999999999</v>
      </c>
      <c r="Z3774">
        <v>0.13336339999999999</v>
      </c>
      <c r="AA3774">
        <v>0.90510299999999999</v>
      </c>
      <c r="AB3774">
        <v>22</v>
      </c>
      <c r="AC3774">
        <v>-5.6252000000000004</v>
      </c>
      <c r="AD3774">
        <v>-1.0992883839399901</v>
      </c>
      <c r="AE3774">
        <v>-5.9255000000000004</v>
      </c>
      <c r="AF3774">
        <v>3.3360927037378101</v>
      </c>
      <c r="AG3774">
        <v>-1.0992883839399901</v>
      </c>
      <c r="AH3774">
        <v>7.2987752174099496</v>
      </c>
      <c r="AI3774">
        <v>97.799940512023994</v>
      </c>
      <c r="AJ3774">
        <v>65.436012032251696</v>
      </c>
      <c r="AK3774">
        <v>8.1000042687195997</v>
      </c>
    </row>
    <row r="3775" spans="1:37" x14ac:dyDescent="0.2">
      <c r="A3775" t="str">
        <f>"20200111153725597"</f>
        <v>20200111153725597</v>
      </c>
      <c r="B3775" t="str">
        <f>"1578728245586924"</f>
        <v>1578728245586924</v>
      </c>
      <c r="C3775" t="s">
        <v>37</v>
      </c>
      <c r="D3775">
        <v>6.0703800000000001</v>
      </c>
      <c r="E3775">
        <v>0.58675619999999995</v>
      </c>
      <c r="F3775" t="s">
        <v>51</v>
      </c>
      <c r="G3775">
        <v>-199.05170000000001</v>
      </c>
      <c r="H3775" s="1">
        <v>-1.2365550000000001E-5</v>
      </c>
      <c r="I3775">
        <v>149.76759999999999</v>
      </c>
      <c r="J3775">
        <v>-193.43969999999999</v>
      </c>
      <c r="K3775">
        <v>1.0992569999999999</v>
      </c>
      <c r="L3775">
        <v>155.62459999999999</v>
      </c>
      <c r="M3775">
        <v>-0.32972459999999998</v>
      </c>
      <c r="N3775">
        <v>0</v>
      </c>
      <c r="O3775">
        <v>-0.94397589999999998</v>
      </c>
      <c r="P3775">
        <v>-0.51388140000000004</v>
      </c>
      <c r="Q3775">
        <v>2.344216E-2</v>
      </c>
      <c r="R3775">
        <v>-0.85754089999999905</v>
      </c>
      <c r="S3775">
        <v>-2.121918</v>
      </c>
      <c r="T3775">
        <v>-0.4120045</v>
      </c>
      <c r="U3775">
        <v>-2.2425380000000001</v>
      </c>
      <c r="V3775">
        <v>0.20283479999999901</v>
      </c>
      <c r="W3775">
        <v>3.4281039999999999E-2</v>
      </c>
      <c r="X3775">
        <v>0.9786127</v>
      </c>
      <c r="Y3775">
        <v>0.4028756</v>
      </c>
      <c r="Z3775">
        <v>0.1341726</v>
      </c>
      <c r="AA3775">
        <v>0.90536669999999997</v>
      </c>
      <c r="AB3775">
        <v>22</v>
      </c>
      <c r="AC3775">
        <v>-5.6120000000000196</v>
      </c>
      <c r="AD3775">
        <v>-1.0992693655500001</v>
      </c>
      <c r="AE3775">
        <v>-5.8569999999999904</v>
      </c>
      <c r="AF3775">
        <v>3.3060031445981299</v>
      </c>
      <c r="AG3775">
        <v>-1.0992693655500001</v>
      </c>
      <c r="AH3775">
        <v>7.24689812623508</v>
      </c>
      <c r="AI3775">
        <v>97.857527618972398</v>
      </c>
      <c r="AJ3775">
        <v>65.477736331785493</v>
      </c>
      <c r="AK3775">
        <v>8.0408695041120293</v>
      </c>
    </row>
    <row r="3776" spans="1:37" x14ac:dyDescent="0.2">
      <c r="A3776" t="str">
        <f>"20200111153725615"</f>
        <v>20200111153725615</v>
      </c>
      <c r="B3776" t="str">
        <f>"1578728245607421"</f>
        <v>1578728245607421</v>
      </c>
      <c r="C3776" t="s">
        <v>37</v>
      </c>
      <c r="D3776">
        <v>6.1114139999999999</v>
      </c>
      <c r="E3776">
        <v>0.58719739999999998</v>
      </c>
      <c r="F3776" t="s">
        <v>51</v>
      </c>
      <c r="G3776">
        <v>-199.0992</v>
      </c>
      <c r="H3776" s="1">
        <v>-1.23449399999999E-5</v>
      </c>
      <c r="I3776">
        <v>149.69990000000001</v>
      </c>
      <c r="J3776">
        <v>-193.50550000000001</v>
      </c>
      <c r="K3776">
        <v>1.099229</v>
      </c>
      <c r="L3776">
        <v>155.4606</v>
      </c>
      <c r="M3776">
        <v>-0.33635389999999998</v>
      </c>
      <c r="N3776">
        <v>0</v>
      </c>
      <c r="O3776">
        <v>-0.94163399999999997</v>
      </c>
      <c r="P3776">
        <v>-0.51996369999999903</v>
      </c>
      <c r="Q3776">
        <v>2.3798110000000001E-2</v>
      </c>
      <c r="R3776">
        <v>-0.85385719999999998</v>
      </c>
      <c r="S3776">
        <v>-2.132126</v>
      </c>
      <c r="T3776">
        <v>-0.41412769999999999</v>
      </c>
      <c r="U3776">
        <v>-2.2320099999999998</v>
      </c>
      <c r="V3776">
        <v>0.20291999999999999</v>
      </c>
      <c r="W3776">
        <v>3.4626539999999997E-2</v>
      </c>
      <c r="X3776">
        <v>0.97858289999999903</v>
      </c>
      <c r="Y3776">
        <v>0.40069070000000001</v>
      </c>
      <c r="Z3776">
        <v>0.1347003</v>
      </c>
      <c r="AA3776">
        <v>0.906257599999999</v>
      </c>
      <c r="AB3776">
        <v>22</v>
      </c>
      <c r="AC3776">
        <v>-5.5936999999999797</v>
      </c>
      <c r="AD3776">
        <v>-1.09924134494</v>
      </c>
      <c r="AE3776">
        <v>-5.7606999999999804</v>
      </c>
      <c r="AF3776">
        <v>3.2686451637306901</v>
      </c>
      <c r="AG3776">
        <v>-1.09924134494</v>
      </c>
      <c r="AH3776">
        <v>7.1722184426445299</v>
      </c>
      <c r="AI3776">
        <v>97.939462380022306</v>
      </c>
      <c r="AJ3776">
        <v>65.499491266469406</v>
      </c>
      <c r="AK3776">
        <v>7.9582089775159801</v>
      </c>
    </row>
    <row r="3777" spans="1:37" x14ac:dyDescent="0.2">
      <c r="A3777" t="str">
        <f>"20200111153725637"</f>
        <v>20200111153725637</v>
      </c>
      <c r="B3777" t="str">
        <f>"1578728245626940"</f>
        <v>1578728245626940</v>
      </c>
      <c r="C3777" t="s">
        <v>37</v>
      </c>
      <c r="D3777">
        <v>6.3200649999999996</v>
      </c>
      <c r="E3777">
        <v>0.58722069999999904</v>
      </c>
      <c r="F3777" t="s">
        <v>51</v>
      </c>
      <c r="G3777">
        <v>-199.33160000000001</v>
      </c>
      <c r="H3777" s="1">
        <v>-1.230979E-5</v>
      </c>
      <c r="I3777">
        <v>149.46270000000001</v>
      </c>
      <c r="J3777">
        <v>-193.5907</v>
      </c>
      <c r="K3777">
        <v>1.099191</v>
      </c>
      <c r="L3777">
        <v>155.25280000000001</v>
      </c>
      <c r="M3777">
        <v>-0.34482220000000002</v>
      </c>
      <c r="N3777">
        <v>0</v>
      </c>
      <c r="O3777">
        <v>-0.93856580000000001</v>
      </c>
      <c r="P3777">
        <v>-0.52773610000000004</v>
      </c>
      <c r="Q3777">
        <v>2.4023240000000001E-2</v>
      </c>
      <c r="R3777">
        <v>-0.84906879999999996</v>
      </c>
      <c r="S3777">
        <v>-2.1512910000000001</v>
      </c>
      <c r="T3777">
        <v>-0.40589829999999999</v>
      </c>
      <c r="U3777">
        <v>-2.2147220000000001</v>
      </c>
      <c r="V3777">
        <v>0.20304659999999999</v>
      </c>
      <c r="W3777">
        <v>3.4836220000000001E-2</v>
      </c>
      <c r="X3777">
        <v>0.97854920000000001</v>
      </c>
      <c r="Y3777">
        <v>0.40029730000000002</v>
      </c>
      <c r="Z3777">
        <v>0.13185450000000001</v>
      </c>
      <c r="AA3777">
        <v>0.90684969999999998</v>
      </c>
      <c r="AB3777">
        <v>22</v>
      </c>
      <c r="AC3777">
        <v>-5.7409000000000097</v>
      </c>
      <c r="AD3777">
        <v>-1.09920330979</v>
      </c>
      <c r="AE3777">
        <v>-5.79009999999999</v>
      </c>
      <c r="AF3777">
        <v>3.3314381639080399</v>
      </c>
      <c r="AG3777">
        <v>-1.09920330979</v>
      </c>
      <c r="AH3777">
        <v>7.2823436547849303</v>
      </c>
      <c r="AI3777">
        <v>97.815580156933393</v>
      </c>
      <c r="AJ3777">
        <v>65.417428109321094</v>
      </c>
      <c r="AK3777">
        <v>8.0832702084356001</v>
      </c>
    </row>
    <row r="3778" spans="1:37" x14ac:dyDescent="0.2">
      <c r="A3778" t="str">
        <f>"20200111153725654"</f>
        <v>20200111153725654</v>
      </c>
      <c r="B3778" t="str">
        <f>"1578728245646461"</f>
        <v>1578728245646461</v>
      </c>
      <c r="C3778" t="s">
        <v>37</v>
      </c>
      <c r="D3778">
        <v>6.0299870000000002</v>
      </c>
      <c r="E3778">
        <v>0.64017440000000003</v>
      </c>
      <c r="F3778" t="s">
        <v>51</v>
      </c>
      <c r="G3778">
        <v>-199.44059999999999</v>
      </c>
      <c r="H3778" s="1">
        <v>-1.229706E-5</v>
      </c>
      <c r="I3778">
        <v>149.34110000000001</v>
      </c>
      <c r="J3778">
        <v>-193.65700000000001</v>
      </c>
      <c r="K3778">
        <v>1.099159</v>
      </c>
      <c r="L3778">
        <v>155.0951</v>
      </c>
      <c r="M3778">
        <v>-0.35131609999999902</v>
      </c>
      <c r="N3778">
        <v>0</v>
      </c>
      <c r="O3778">
        <v>-0.93615459999999995</v>
      </c>
      <c r="P3778">
        <v>-0.53358109999999903</v>
      </c>
      <c r="Q3778">
        <v>2.414964E-2</v>
      </c>
      <c r="R3778">
        <v>-0.8454043</v>
      </c>
      <c r="S3778">
        <v>-2.171967</v>
      </c>
      <c r="T3778">
        <v>-0.40811350000000002</v>
      </c>
      <c r="U3778">
        <v>-2.19488499999999</v>
      </c>
      <c r="V3778">
        <v>0.20302419999999999</v>
      </c>
      <c r="W3778">
        <v>3.495202E-2</v>
      </c>
      <c r="X3778">
        <v>0.97854969999999997</v>
      </c>
      <c r="Y3778">
        <v>0.40230969999999999</v>
      </c>
      <c r="Z3778">
        <v>0.13246859999999999</v>
      </c>
      <c r="AA3778">
        <v>0.90586919999999904</v>
      </c>
      <c r="AB3778">
        <v>22</v>
      </c>
      <c r="AC3778">
        <v>-5.7835999999999697</v>
      </c>
      <c r="AD3778">
        <v>-1.0991712970600001</v>
      </c>
      <c r="AE3778">
        <v>-5.7539999999999898</v>
      </c>
      <c r="AF3778">
        <v>3.332700405882</v>
      </c>
      <c r="AG3778">
        <v>-1.0991712970600001</v>
      </c>
      <c r="AH3778">
        <v>7.2869426895199201</v>
      </c>
      <c r="AI3778">
        <v>97.810820762612593</v>
      </c>
      <c r="AJ3778">
        <v>65.422900935365504</v>
      </c>
      <c r="AK3778">
        <v>8.0879294813935196</v>
      </c>
    </row>
    <row r="3779" spans="1:37" x14ac:dyDescent="0.2">
      <c r="A3779" t="str">
        <f>"20200111153725668"</f>
        <v>20200111153725668</v>
      </c>
      <c r="B3779" t="str">
        <f>"1578728245666957"</f>
        <v>1578728245666957</v>
      </c>
      <c r="C3779" t="s">
        <v>37</v>
      </c>
      <c r="D3779">
        <v>6.1101289999999997</v>
      </c>
      <c r="E3779">
        <v>0.64917190000000002</v>
      </c>
      <c r="F3779" t="s">
        <v>51</v>
      </c>
      <c r="G3779">
        <v>-203.3246</v>
      </c>
      <c r="H3779" s="1">
        <v>-1.039348E-5</v>
      </c>
      <c r="I3779">
        <v>147.684</v>
      </c>
      <c r="J3779">
        <v>-193.71549999999999</v>
      </c>
      <c r="K3779">
        <v>1.099127</v>
      </c>
      <c r="L3779">
        <v>154.9588</v>
      </c>
      <c r="M3779">
        <v>-0.35697190000000001</v>
      </c>
      <c r="N3779">
        <v>0</v>
      </c>
      <c r="O3779">
        <v>-0.93401229999999902</v>
      </c>
      <c r="P3779">
        <v>-0.53859309999999905</v>
      </c>
      <c r="Q3779">
        <v>2.4299330000000001E-2</v>
      </c>
      <c r="R3779">
        <v>-0.84221569999999901</v>
      </c>
      <c r="S3779">
        <v>-2.544708</v>
      </c>
      <c r="T3779">
        <v>-0.28932529999999901</v>
      </c>
      <c r="U3779">
        <v>-1.9507599999999901</v>
      </c>
      <c r="V3779">
        <v>0.20292399999999999</v>
      </c>
      <c r="W3779">
        <v>3.5094029999999998E-2</v>
      </c>
      <c r="X3779">
        <v>0.97856540000000003</v>
      </c>
      <c r="Y3779">
        <v>0.52055600000000002</v>
      </c>
      <c r="Z3779">
        <v>9.3008289999999993E-2</v>
      </c>
      <c r="AA3779">
        <v>0.84874669999999897</v>
      </c>
      <c r="AB3779">
        <v>22</v>
      </c>
      <c r="AC3779">
        <v>-9.6091000000000104</v>
      </c>
      <c r="AD3779">
        <v>-1.0991373934799999</v>
      </c>
      <c r="AE3779">
        <v>-7.2747999999999902</v>
      </c>
      <c r="AF3779">
        <v>6.3261169254431797</v>
      </c>
      <c r="AG3779">
        <v>-1.0991373934799999</v>
      </c>
      <c r="AH3779">
        <v>10.141566394460099</v>
      </c>
      <c r="AI3779">
        <v>95.253911230928196</v>
      </c>
      <c r="AJ3779">
        <v>58.044866862658402</v>
      </c>
      <c r="AK3779">
        <v>12.0033006834523</v>
      </c>
    </row>
    <row r="3780" spans="1:37" x14ac:dyDescent="0.2">
      <c r="A3780" t="str">
        <f>"20200111153725683"</f>
        <v>20200111153725683</v>
      </c>
      <c r="B3780" t="str">
        <f>"1578728245676717"</f>
        <v>1578728245676717</v>
      </c>
      <c r="C3780" t="s">
        <v>37</v>
      </c>
      <c r="D3780">
        <v>6.0542179999999997</v>
      </c>
      <c r="E3780">
        <v>0.65173769999999998</v>
      </c>
      <c r="F3780" t="s">
        <v>51</v>
      </c>
      <c r="G3780">
        <v>-200.96809999999999</v>
      </c>
      <c r="H3780" s="1">
        <v>-1.202915E-5</v>
      </c>
      <c r="I3780">
        <v>149.69239999999999</v>
      </c>
      <c r="J3780">
        <v>-193.77189999999999</v>
      </c>
      <c r="K3780">
        <v>1.0990979999999999</v>
      </c>
      <c r="L3780">
        <v>154.82900000000001</v>
      </c>
      <c r="M3780">
        <v>-0.36238550000000003</v>
      </c>
      <c r="N3780">
        <v>0</v>
      </c>
      <c r="O3780">
        <v>-0.93192549999999996</v>
      </c>
      <c r="P3780">
        <v>-0.54335049999999996</v>
      </c>
      <c r="Q3780">
        <v>2.45900999999999E-2</v>
      </c>
      <c r="R3780">
        <v>-0.8391459</v>
      </c>
      <c r="S3780">
        <v>-2.616714</v>
      </c>
      <c r="T3780">
        <v>-0.39656439999999998</v>
      </c>
      <c r="U3780">
        <v>-1.9000699999999999</v>
      </c>
      <c r="V3780">
        <v>0.202793</v>
      </c>
      <c r="W3780">
        <v>3.5377579999999999E-2</v>
      </c>
      <c r="X3780">
        <v>0.97858230000000002</v>
      </c>
      <c r="Y3780">
        <v>0.53446669999999996</v>
      </c>
      <c r="Z3780">
        <v>0.126361</v>
      </c>
      <c r="AA3780">
        <v>0.8356903</v>
      </c>
      <c r="AB3780">
        <v>22</v>
      </c>
      <c r="AC3780">
        <v>-7.1962000000000002</v>
      </c>
      <c r="AD3780">
        <v>-1.09911002915</v>
      </c>
      <c r="AE3780">
        <v>-5.1366000000000103</v>
      </c>
      <c r="AF3780">
        <v>4.77161633333015</v>
      </c>
      <c r="AG3780">
        <v>-1.09911002915</v>
      </c>
      <c r="AH3780">
        <v>7.28288549764377</v>
      </c>
      <c r="AI3780">
        <v>97.194705865512802</v>
      </c>
      <c r="AJ3780">
        <v>56.767899978685101</v>
      </c>
      <c r="AK3780">
        <v>8.7759208326232692</v>
      </c>
    </row>
    <row r="3781" spans="1:37" x14ac:dyDescent="0.2">
      <c r="A3781" t="str">
        <f>"20200111153725696"</f>
        <v>20200111153725696</v>
      </c>
      <c r="B3781" t="str">
        <f>"1578728245686477"</f>
        <v>1578728245686477</v>
      </c>
      <c r="C3781" t="s">
        <v>37</v>
      </c>
      <c r="D3781">
        <v>6.0289599999999997</v>
      </c>
      <c r="E3781">
        <v>0.65338549999999995</v>
      </c>
      <c r="F3781" t="s">
        <v>51</v>
      </c>
      <c r="G3781">
        <v>-200.69739999999999</v>
      </c>
      <c r="H3781" s="1">
        <v>-1.2196469999999901E-5</v>
      </c>
      <c r="I3781">
        <v>149.92019999999999</v>
      </c>
      <c r="J3781">
        <v>-193.82919999999999</v>
      </c>
      <c r="K3781">
        <v>1.0990709999999999</v>
      </c>
      <c r="L3781">
        <v>154.6995</v>
      </c>
      <c r="M3781">
        <v>-0.36782690000000001</v>
      </c>
      <c r="N3781">
        <v>0</v>
      </c>
      <c r="O3781">
        <v>-0.92979120000000004</v>
      </c>
      <c r="P3781">
        <v>-0.54801299999999997</v>
      </c>
      <c r="Q3781">
        <v>2.4962249999999998E-2</v>
      </c>
      <c r="R3781">
        <v>-0.8360976</v>
      </c>
      <c r="S3781">
        <v>-2.6449579999999999</v>
      </c>
      <c r="T3781">
        <v>-0.41976140000000001</v>
      </c>
      <c r="U3781">
        <v>-1.874725</v>
      </c>
      <c r="V3781">
        <v>0.2025315</v>
      </c>
      <c r="W3781">
        <v>3.5744499999999998E-2</v>
      </c>
      <c r="X3781">
        <v>0.97862320000000003</v>
      </c>
      <c r="Y3781">
        <v>0.53831890000000004</v>
      </c>
      <c r="Z3781">
        <v>0.13336909999999999</v>
      </c>
      <c r="AA3781">
        <v>0.832120999999999</v>
      </c>
      <c r="AB3781">
        <v>22</v>
      </c>
      <c r="AC3781">
        <v>-6.8681999999999999</v>
      </c>
      <c r="AD3781">
        <v>-1.0990831964700001</v>
      </c>
      <c r="AE3781">
        <v>-4.7793000000000001</v>
      </c>
      <c r="AF3781">
        <v>4.5499774713835599</v>
      </c>
      <c r="AG3781">
        <v>-1.0990831964700001</v>
      </c>
      <c r="AH3781">
        <v>6.8524984362985499</v>
      </c>
      <c r="AI3781">
        <v>97.610715151228803</v>
      </c>
      <c r="AJ3781">
        <v>56.416312402775198</v>
      </c>
      <c r="AK3781">
        <v>8.2986151665404293</v>
      </c>
    </row>
    <row r="3782" spans="1:37" x14ac:dyDescent="0.2">
      <c r="A3782" t="str">
        <f>"20200111153725714"</f>
        <v>20200111153725714</v>
      </c>
      <c r="B3782" t="str">
        <f>"1578728245706972"</f>
        <v>1578728245706972</v>
      </c>
      <c r="C3782" t="s">
        <v>37</v>
      </c>
      <c r="D3782">
        <v>6.0546220000000002</v>
      </c>
      <c r="E3782">
        <v>0.65492349999999999</v>
      </c>
      <c r="F3782" t="s">
        <v>51</v>
      </c>
      <c r="G3782">
        <v>-200.685</v>
      </c>
      <c r="H3782" s="1">
        <v>-1.220518E-5</v>
      </c>
      <c r="I3782">
        <v>149.93559999999999</v>
      </c>
      <c r="J3782">
        <v>-193.9042</v>
      </c>
      <c r="K3782">
        <v>1.0990329999999999</v>
      </c>
      <c r="L3782">
        <v>154.5334</v>
      </c>
      <c r="M3782">
        <v>-0.37485940000000001</v>
      </c>
      <c r="N3782">
        <v>0</v>
      </c>
      <c r="O3782">
        <v>-0.92697779999999996</v>
      </c>
      <c r="P3782">
        <v>-0.55380769999999901</v>
      </c>
      <c r="Q3782">
        <v>2.577577E-2</v>
      </c>
      <c r="R3782">
        <v>-0.83224569999999998</v>
      </c>
      <c r="S3782">
        <v>-2.6667329999999998</v>
      </c>
      <c r="T3782">
        <v>-0.42751210000000001</v>
      </c>
      <c r="U3782">
        <v>-1.853027</v>
      </c>
      <c r="V3782">
        <v>0.20194019999999999</v>
      </c>
      <c r="W3782">
        <v>3.6556989999999998E-2</v>
      </c>
      <c r="X3782">
        <v>0.97871540000000001</v>
      </c>
      <c r="Y3782">
        <v>0.53946830000000001</v>
      </c>
      <c r="Z3782">
        <v>0.13551820000000001</v>
      </c>
      <c r="AA3782">
        <v>0.83102880000000001</v>
      </c>
      <c r="AB3782">
        <v>22</v>
      </c>
      <c r="AC3782">
        <v>-6.7807999999999904</v>
      </c>
      <c r="AD3782">
        <v>-1.0990452051799999</v>
      </c>
      <c r="AE3782">
        <v>-4.5978000000000003</v>
      </c>
      <c r="AF3782">
        <v>4.4819037703967801</v>
      </c>
      <c r="AG3782">
        <v>-1.0990452051799999</v>
      </c>
      <c r="AH3782">
        <v>6.6842676900409899</v>
      </c>
      <c r="AI3782">
        <v>97.776485395854095</v>
      </c>
      <c r="AJ3782">
        <v>56.157542356339803</v>
      </c>
      <c r="AK3782">
        <v>8.1224870773828801</v>
      </c>
    </row>
    <row r="3783" spans="1:37" x14ac:dyDescent="0.2">
      <c r="A3783" t="str">
        <f>"20200111153725728"</f>
        <v>20200111153725728</v>
      </c>
      <c r="B3783" t="str">
        <f>"1578728245716734"</f>
        <v>1578728245716734</v>
      </c>
      <c r="C3783" t="s">
        <v>37</v>
      </c>
      <c r="D3783">
        <v>5.9829669999999897</v>
      </c>
      <c r="E3783">
        <v>0.65611629999999999</v>
      </c>
      <c r="F3783" t="s">
        <v>51</v>
      </c>
      <c r="G3783">
        <v>-200.60669999999999</v>
      </c>
      <c r="H3783" s="1">
        <v>-1.2249049999999999E-5</v>
      </c>
      <c r="I3783">
        <v>149.9795</v>
      </c>
      <c r="J3783">
        <v>-193.96180000000001</v>
      </c>
      <c r="K3783">
        <v>1.099008</v>
      </c>
      <c r="L3783">
        <v>154.40809999999999</v>
      </c>
      <c r="M3783">
        <v>-0.38020709999999902</v>
      </c>
      <c r="N3783">
        <v>0</v>
      </c>
      <c r="O3783">
        <v>-0.92479730000000004</v>
      </c>
      <c r="P3783">
        <v>-0.5585485</v>
      </c>
      <c r="Q3783">
        <v>2.607932E-2</v>
      </c>
      <c r="R3783">
        <v>-0.82906199999999997</v>
      </c>
      <c r="S3783">
        <v>-2.6904750000000002</v>
      </c>
      <c r="T3783">
        <v>-0.44117049999999902</v>
      </c>
      <c r="U3783">
        <v>-1.8280179999999999</v>
      </c>
      <c r="V3783">
        <v>0.20188329999999999</v>
      </c>
      <c r="W3783">
        <v>3.6854329999999998E-2</v>
      </c>
      <c r="X3783">
        <v>0.97871600000000003</v>
      </c>
      <c r="Y3783">
        <v>0.54283789999999998</v>
      </c>
      <c r="Z3783">
        <v>0.1395884</v>
      </c>
      <c r="AA3783">
        <v>0.8281558</v>
      </c>
      <c r="AB3783">
        <v>22</v>
      </c>
      <c r="AC3783">
        <v>-6.6448999999999696</v>
      </c>
      <c r="AD3783">
        <v>-1.0990202490500001</v>
      </c>
      <c r="AE3783">
        <v>-4.4285999999999799</v>
      </c>
      <c r="AF3783">
        <v>4.3788872822820499</v>
      </c>
      <c r="AG3783">
        <v>-1.0990202490500001</v>
      </c>
      <c r="AH3783">
        <v>6.4995223686868799</v>
      </c>
      <c r="AI3783">
        <v>97.9828132415455</v>
      </c>
      <c r="AJ3783">
        <v>56.030886541199699</v>
      </c>
      <c r="AK3783">
        <v>7.9136774232852396</v>
      </c>
    </row>
    <row r="3784" spans="1:37" x14ac:dyDescent="0.2">
      <c r="A3784" t="str">
        <f>"20200111153725742"</f>
        <v>20200111153725742</v>
      </c>
      <c r="B3784" t="str">
        <f>"1578728245737228"</f>
        <v>1578728245737228</v>
      </c>
      <c r="C3784" t="s">
        <v>37</v>
      </c>
      <c r="D3784">
        <v>5.9695819999999999</v>
      </c>
      <c r="E3784">
        <v>0.65729859999999996</v>
      </c>
      <c r="F3784" t="s">
        <v>51</v>
      </c>
      <c r="G3784">
        <v>-201.0779</v>
      </c>
      <c r="H3784" s="1">
        <v>-1.197416E-5</v>
      </c>
      <c r="I3784">
        <v>149.66210000000001</v>
      </c>
      <c r="J3784">
        <v>-194.01499999999999</v>
      </c>
      <c r="K3784">
        <v>1.0989899999999999</v>
      </c>
      <c r="L3784">
        <v>154.2936</v>
      </c>
      <c r="M3784">
        <v>-0.38511050000000002</v>
      </c>
      <c r="N3784">
        <v>0</v>
      </c>
      <c r="O3784">
        <v>-0.92276619999999998</v>
      </c>
      <c r="P3784">
        <v>-0.562949699999999</v>
      </c>
      <c r="Q3784">
        <v>2.6200770000000002E-2</v>
      </c>
      <c r="R3784">
        <v>-0.82607619999999904</v>
      </c>
      <c r="S3784">
        <v>-2.7089080000000001</v>
      </c>
      <c r="T3784">
        <v>-0.41836990000000002</v>
      </c>
      <c r="U3784">
        <v>-1.806686</v>
      </c>
      <c r="V3784">
        <v>0.20189869999999999</v>
      </c>
      <c r="W3784">
        <v>3.6968689999999998E-2</v>
      </c>
      <c r="X3784">
        <v>0.97870840000000003</v>
      </c>
      <c r="Y3784">
        <v>0.54638180000000003</v>
      </c>
      <c r="Z3784">
        <v>0.13238269999999999</v>
      </c>
      <c r="AA3784">
        <v>0.82700779999999996</v>
      </c>
      <c r="AB3784">
        <v>22</v>
      </c>
      <c r="AC3784">
        <v>-7.0629000000000097</v>
      </c>
      <c r="AD3784">
        <v>-1.0990019741599999</v>
      </c>
      <c r="AE3784">
        <v>-4.6314999999999804</v>
      </c>
      <c r="AF3784">
        <v>4.6553993694212599</v>
      </c>
      <c r="AG3784">
        <v>-1.0990019741599999</v>
      </c>
      <c r="AH3784">
        <v>6.8780075496501603</v>
      </c>
      <c r="AI3784">
        <v>97.537800088428298</v>
      </c>
      <c r="AJ3784">
        <v>55.907779413119698</v>
      </c>
      <c r="AK3784">
        <v>8.3778002173040704</v>
      </c>
    </row>
    <row r="3785" spans="1:37" x14ac:dyDescent="0.2">
      <c r="A3785" t="str">
        <f>"20200111153725757"</f>
        <v>20200111153725757</v>
      </c>
      <c r="B3785" t="str">
        <f>"1578728245746988"</f>
        <v>1578728245746988</v>
      </c>
      <c r="C3785" t="s">
        <v>37</v>
      </c>
      <c r="D3785">
        <v>5.9616930000000004</v>
      </c>
      <c r="E3785">
        <v>0.65764650000000002</v>
      </c>
      <c r="F3785" t="s">
        <v>51</v>
      </c>
      <c r="G3785">
        <v>-201.83359999999999</v>
      </c>
      <c r="H3785" s="1">
        <v>-1.14975E-5</v>
      </c>
      <c r="I3785">
        <v>149.17259999999999</v>
      </c>
      <c r="J3785">
        <v>-194.08879999999999</v>
      </c>
      <c r="K3785">
        <v>1.098959</v>
      </c>
      <c r="L3785">
        <v>154.13829999999999</v>
      </c>
      <c r="M3785">
        <v>-0.39181880000000002</v>
      </c>
      <c r="N3785">
        <v>0</v>
      </c>
      <c r="O3785">
        <v>-0.91993769999999997</v>
      </c>
      <c r="P3785">
        <v>-0.56879429999999997</v>
      </c>
      <c r="Q3785">
        <v>2.6641160000000001E-2</v>
      </c>
      <c r="R3785">
        <v>-0.82204849999999996</v>
      </c>
      <c r="S3785">
        <v>-2.7264560000000002</v>
      </c>
      <c r="T3785">
        <v>-0.38323859999999998</v>
      </c>
      <c r="U3785">
        <v>-1.785782</v>
      </c>
      <c r="V3785">
        <v>0.20172879999999899</v>
      </c>
      <c r="W3785">
        <v>3.7398510000000003E-2</v>
      </c>
      <c r="X3785">
        <v>0.97872719999999902</v>
      </c>
      <c r="Y3785">
        <v>0.54843960000000003</v>
      </c>
      <c r="Z3785">
        <v>0.121252</v>
      </c>
      <c r="AA3785">
        <v>0.82735230000000004</v>
      </c>
      <c r="AB3785">
        <v>22</v>
      </c>
      <c r="AC3785">
        <v>-7.7447999999999899</v>
      </c>
      <c r="AD3785">
        <v>-1.0989704975000001</v>
      </c>
      <c r="AE3785">
        <v>-4.9656999999999902</v>
      </c>
      <c r="AF3785">
        <v>5.1067098109309796</v>
      </c>
      <c r="AG3785">
        <v>-1.0989704975000001</v>
      </c>
      <c r="AH3785">
        <v>7.4964578038753</v>
      </c>
      <c r="AI3785">
        <v>96.908155802189</v>
      </c>
      <c r="AJ3785">
        <v>55.736668118630199</v>
      </c>
      <c r="AK3785">
        <v>9.1369087142598193</v>
      </c>
    </row>
    <row r="3786" spans="1:37" x14ac:dyDescent="0.2">
      <c r="A3786" t="str">
        <f>"20200111153725771"</f>
        <v>20200111153725771</v>
      </c>
      <c r="B3786" t="str">
        <f>"1578728245766509"</f>
        <v>1578728245766509</v>
      </c>
      <c r="C3786" t="s">
        <v>37</v>
      </c>
      <c r="D3786">
        <v>5.9478650000000002</v>
      </c>
      <c r="E3786">
        <v>0.6581361</v>
      </c>
      <c r="F3786" t="s">
        <v>51</v>
      </c>
      <c r="G3786">
        <v>-202.19210000000001</v>
      </c>
      <c r="H3786" s="1">
        <v>-1.1264269999999999E-5</v>
      </c>
      <c r="I3786">
        <v>148.923</v>
      </c>
      <c r="J3786">
        <v>-194.14619999999999</v>
      </c>
      <c r="K3786">
        <v>1.0989370000000001</v>
      </c>
      <c r="L3786">
        <v>154.0198</v>
      </c>
      <c r="M3786">
        <v>-0.39697779999999999</v>
      </c>
      <c r="N3786">
        <v>0</v>
      </c>
      <c r="O3786">
        <v>-0.91772299999999996</v>
      </c>
      <c r="P3786">
        <v>-0.57317989999999996</v>
      </c>
      <c r="Q3786">
        <v>2.670579E-2</v>
      </c>
      <c r="R3786">
        <v>-0.81899449999999996</v>
      </c>
      <c r="S3786">
        <v>-2.7416079999999998</v>
      </c>
      <c r="T3786">
        <v>-0.3718147</v>
      </c>
      <c r="U3786">
        <v>-1.7644959999999901</v>
      </c>
      <c r="V3786">
        <v>0.20146849999999999</v>
      </c>
      <c r="W3786">
        <v>3.7457589999999999E-2</v>
      </c>
      <c r="X3786">
        <v>0.9787785</v>
      </c>
      <c r="Y3786">
        <v>0.55076859999999905</v>
      </c>
      <c r="Z3786">
        <v>0.1176321</v>
      </c>
      <c r="AA3786">
        <v>0.82632719999999904</v>
      </c>
      <c r="AB3786">
        <v>22</v>
      </c>
      <c r="AC3786">
        <v>-8.0459000000000103</v>
      </c>
      <c r="AD3786">
        <v>-1.0989482642699999</v>
      </c>
      <c r="AE3786">
        <v>-5.0968</v>
      </c>
      <c r="AF3786">
        <v>5.2906732160256</v>
      </c>
      <c r="AG3786">
        <v>-1.0989482642699999</v>
      </c>
      <c r="AH3786">
        <v>7.7688269113369097</v>
      </c>
      <c r="AI3786">
        <v>96.668672430567298</v>
      </c>
      <c r="AJ3786">
        <v>55.744622433536399</v>
      </c>
      <c r="AK3786">
        <v>9.4632754342577101</v>
      </c>
    </row>
    <row r="3787" spans="1:37" x14ac:dyDescent="0.2">
      <c r="A3787" t="str">
        <f>"20200111153725792"</f>
        <v>20200111153725792</v>
      </c>
      <c r="B3787" t="str">
        <f>"1578728245786980"</f>
        <v>1578728245786980</v>
      </c>
      <c r="C3787" t="s">
        <v>37</v>
      </c>
      <c r="D3787">
        <v>5.9613339999999999</v>
      </c>
      <c r="E3787">
        <v>0.65844769999999997</v>
      </c>
      <c r="F3787" t="s">
        <v>51</v>
      </c>
      <c r="G3787">
        <v>-202.6259</v>
      </c>
      <c r="H3787" s="1">
        <v>-1.0987789999999999E-5</v>
      </c>
      <c r="I3787">
        <v>148.6403</v>
      </c>
      <c r="J3787">
        <v>-194.24029999999999</v>
      </c>
      <c r="K3787">
        <v>1.0989040000000001</v>
      </c>
      <c r="L3787">
        <v>153.82859999999999</v>
      </c>
      <c r="M3787">
        <v>-0.40534009999999998</v>
      </c>
      <c r="N3787">
        <v>0</v>
      </c>
      <c r="O3787">
        <v>-0.91406030000000005</v>
      </c>
      <c r="P3787">
        <v>-0.58031709999999903</v>
      </c>
      <c r="Q3787">
        <v>2.6708530000000001E-2</v>
      </c>
      <c r="R3787">
        <v>-0.81395209999999996</v>
      </c>
      <c r="S3787">
        <v>-2.7540740000000001</v>
      </c>
      <c r="T3787">
        <v>-0.35691929999999999</v>
      </c>
      <c r="U3787">
        <v>-1.747177</v>
      </c>
      <c r="V3787">
        <v>0.2010914</v>
      </c>
      <c r="W3787">
        <v>3.7451390000000001E-2</v>
      </c>
      <c r="X3787">
        <v>0.97885630000000001</v>
      </c>
      <c r="Y3787">
        <v>0.54906739999999998</v>
      </c>
      <c r="Z3787">
        <v>0.11275489999999901</v>
      </c>
      <c r="AA3787">
        <v>0.82813729999999997</v>
      </c>
      <c r="AB3787">
        <v>22</v>
      </c>
      <c r="AC3787">
        <v>-8.3856000000000002</v>
      </c>
      <c r="AD3787">
        <v>-1.09891498779</v>
      </c>
      <c r="AE3787">
        <v>-5.1882999999999901</v>
      </c>
      <c r="AF3787">
        <v>5.4942208089791702</v>
      </c>
      <c r="AG3787">
        <v>-1.09891498779</v>
      </c>
      <c r="AH3787">
        <v>8.0423450085684696</v>
      </c>
      <c r="AI3787">
        <v>96.437232870838201</v>
      </c>
      <c r="AJ3787">
        <v>55.660612987455004</v>
      </c>
      <c r="AK3787">
        <v>9.8017034073193408</v>
      </c>
    </row>
    <row r="3788" spans="1:37" x14ac:dyDescent="0.2">
      <c r="A3788" t="str">
        <f>"20200111153725815"</f>
        <v>20200111153725815</v>
      </c>
      <c r="B3788" t="str">
        <f>"1578728245806499"</f>
        <v>1578728245806499</v>
      </c>
      <c r="C3788" t="s">
        <v>37</v>
      </c>
      <c r="D3788">
        <v>5.9745140000000001</v>
      </c>
      <c r="E3788">
        <v>0.65835819999999901</v>
      </c>
      <c r="F3788" t="s">
        <v>51</v>
      </c>
      <c r="G3788">
        <v>-203.06389999999999</v>
      </c>
      <c r="H3788" s="1">
        <v>-1.0706730000000001E-5</v>
      </c>
      <c r="I3788">
        <v>148.3485</v>
      </c>
      <c r="J3788">
        <v>-194.34639999999999</v>
      </c>
      <c r="K3788">
        <v>1.0988690000000001</v>
      </c>
      <c r="L3788">
        <v>153.61840000000001</v>
      </c>
      <c r="M3788">
        <v>-0.4146106</v>
      </c>
      <c r="N3788">
        <v>0</v>
      </c>
      <c r="O3788">
        <v>-0.9098927</v>
      </c>
      <c r="P3788">
        <v>-0.58815119999999999</v>
      </c>
      <c r="Q3788">
        <v>2.6645019999999998E-2</v>
      </c>
      <c r="R3788">
        <v>-0.80831189999999997</v>
      </c>
      <c r="S3788">
        <v>-2.7712859999999999</v>
      </c>
      <c r="T3788">
        <v>-0.34514229999999901</v>
      </c>
      <c r="U3788">
        <v>-1.7211909999999999</v>
      </c>
      <c r="V3788">
        <v>0.2005961</v>
      </c>
      <c r="W3788">
        <v>3.7383260000000001E-2</v>
      </c>
      <c r="X3788">
        <v>0.97896050000000001</v>
      </c>
      <c r="Y3788">
        <v>0.54888890000000001</v>
      </c>
      <c r="Z3788">
        <v>0.1088953</v>
      </c>
      <c r="AA3788">
        <v>0.82877190000000001</v>
      </c>
      <c r="AB3788">
        <v>22</v>
      </c>
      <c r="AC3788">
        <v>-8.7174999999999994</v>
      </c>
      <c r="AD3788">
        <v>-1.09887970673</v>
      </c>
      <c r="AE3788">
        <v>-5.2698999999999998</v>
      </c>
      <c r="AF3788">
        <v>5.6814732861646702</v>
      </c>
      <c r="AG3788">
        <v>-1.09887970673</v>
      </c>
      <c r="AH3788">
        <v>8.3134801421394808</v>
      </c>
      <c r="AI3788">
        <v>96.228068311295999</v>
      </c>
      <c r="AJ3788">
        <v>55.651106410823502</v>
      </c>
      <c r="AK3788">
        <v>10.129196778867099</v>
      </c>
    </row>
    <row r="3789" spans="1:37" x14ac:dyDescent="0.2">
      <c r="A3789" t="str">
        <f>"20200111153725827"</f>
        <v>20200111153725827</v>
      </c>
      <c r="B3789" t="str">
        <f>"1578728245817235"</f>
        <v>1578728245817235</v>
      </c>
      <c r="C3789" t="s">
        <v>37</v>
      </c>
      <c r="D3789">
        <v>6.0017500000000004</v>
      </c>
      <c r="E3789">
        <v>0.65836319999999904</v>
      </c>
      <c r="F3789" t="s">
        <v>51</v>
      </c>
      <c r="G3789">
        <v>-203.48689999999999</v>
      </c>
      <c r="H3789" s="1">
        <v>-1.0433740000000001E-5</v>
      </c>
      <c r="I3789">
        <v>148.06129999999999</v>
      </c>
      <c r="J3789">
        <v>-194.40469999999999</v>
      </c>
      <c r="K3789">
        <v>1.0988530000000001</v>
      </c>
      <c r="L3789">
        <v>153.50540000000001</v>
      </c>
      <c r="M3789">
        <v>-0.41962759999999999</v>
      </c>
      <c r="N3789">
        <v>0</v>
      </c>
      <c r="O3789">
        <v>-0.90759009999999996</v>
      </c>
      <c r="P3789">
        <v>-0.59248840000000003</v>
      </c>
      <c r="Q3789">
        <v>2.671424E-2</v>
      </c>
      <c r="R3789">
        <v>-0.80513630000000003</v>
      </c>
      <c r="S3789">
        <v>-2.78714</v>
      </c>
      <c r="T3789">
        <v>-0.33507340000000002</v>
      </c>
      <c r="U3789">
        <v>-1.6944889999999999</v>
      </c>
      <c r="V3789">
        <v>0.20045789999999999</v>
      </c>
      <c r="W3789">
        <v>3.7446630000000002E-2</v>
      </c>
      <c r="X3789">
        <v>0.97898639999999904</v>
      </c>
      <c r="Y3789">
        <v>0.55247609999999903</v>
      </c>
      <c r="Z3789">
        <v>0.1057821</v>
      </c>
      <c r="AA3789">
        <v>0.82678909999999906</v>
      </c>
      <c r="AB3789">
        <v>22</v>
      </c>
      <c r="AC3789">
        <v>-9.0822000000000003</v>
      </c>
      <c r="AD3789">
        <v>-1.0988634337400001</v>
      </c>
      <c r="AE3789">
        <v>-5.4441000000000104</v>
      </c>
      <c r="AF3789">
        <v>5.8955045943400499</v>
      </c>
      <c r="AG3789">
        <v>-1.0988634337400001</v>
      </c>
      <c r="AH3789">
        <v>8.6597381339331196</v>
      </c>
      <c r="AI3789">
        <v>95.988013082810795</v>
      </c>
      <c r="AJ3789">
        <v>55.753170119528399</v>
      </c>
      <c r="AK3789">
        <v>10.5335435545779</v>
      </c>
    </row>
    <row r="3790" spans="1:37" x14ac:dyDescent="0.2">
      <c r="A3790" t="str">
        <f>"20200111153725841"</f>
        <v>20200111153725841</v>
      </c>
      <c r="B3790" t="str">
        <f>"1578728245836755"</f>
        <v>1578728245836755</v>
      </c>
      <c r="C3790" t="s">
        <v>37</v>
      </c>
      <c r="D3790">
        <v>5.9489150000000004</v>
      </c>
      <c r="E3790">
        <v>0.65819539999999999</v>
      </c>
      <c r="F3790" t="s">
        <v>51</v>
      </c>
      <c r="G3790">
        <v>-203.67509999999999</v>
      </c>
      <c r="H3790" s="1">
        <v>-1.031356E-5</v>
      </c>
      <c r="I3790">
        <v>147.93790000000001</v>
      </c>
      <c r="J3790">
        <v>-194.46379999999999</v>
      </c>
      <c r="K3790">
        <v>1.098838</v>
      </c>
      <c r="L3790">
        <v>153.39189999999999</v>
      </c>
      <c r="M3790">
        <v>-0.42468139999999999</v>
      </c>
      <c r="N3790">
        <v>0</v>
      </c>
      <c r="O3790">
        <v>-0.90523619999999905</v>
      </c>
      <c r="P3790">
        <v>-0.59671869999999905</v>
      </c>
      <c r="Q3790">
        <v>2.6585379999999999E-2</v>
      </c>
      <c r="R3790">
        <v>-0.80201009999999995</v>
      </c>
      <c r="S3790">
        <v>-2.796265</v>
      </c>
      <c r="T3790">
        <v>-0.33145190000000002</v>
      </c>
      <c r="U3790">
        <v>-1.6793369999999901</v>
      </c>
      <c r="V3790">
        <v>0.200151</v>
      </c>
      <c r="W3790">
        <v>3.7312739999999997E-2</v>
      </c>
      <c r="X3790">
        <v>0.97905429999999904</v>
      </c>
      <c r="Y3790">
        <v>0.55243830000000005</v>
      </c>
      <c r="Z3790">
        <v>0.104565899999999</v>
      </c>
      <c r="AA3790">
        <v>0.82696909999999901</v>
      </c>
      <c r="AB3790">
        <v>22</v>
      </c>
      <c r="AC3790">
        <v>-9.2112999999999907</v>
      </c>
      <c r="AD3790">
        <v>-1.09884831356</v>
      </c>
      <c r="AE3790">
        <v>-5.4539999999999704</v>
      </c>
      <c r="AF3790">
        <v>5.9599718260649004</v>
      </c>
      <c r="AG3790">
        <v>-1.09884831356</v>
      </c>
      <c r="AH3790">
        <v>8.7576026360160508</v>
      </c>
      <c r="AI3790">
        <v>95.922169514389907</v>
      </c>
      <c r="AJ3790">
        <v>55.762820271325097</v>
      </c>
      <c r="AK3790">
        <v>10.650086183409799</v>
      </c>
    </row>
    <row r="3791" spans="1:37" x14ac:dyDescent="0.2">
      <c r="A3791" t="str">
        <f>"20200111153725854"</f>
        <v>20200111153725854</v>
      </c>
      <c r="B3791" t="str">
        <f>"1578728245846516"</f>
        <v>1578728245846516</v>
      </c>
      <c r="C3791" t="s">
        <v>37</v>
      </c>
      <c r="D3791">
        <v>5.9556170000000002</v>
      </c>
      <c r="E3791">
        <v>0.6580918</v>
      </c>
      <c r="F3791" t="s">
        <v>51</v>
      </c>
      <c r="G3791">
        <v>-203.89930000000001</v>
      </c>
      <c r="H3791" s="1">
        <v>-1.016972E-5</v>
      </c>
      <c r="I3791">
        <v>147.7886</v>
      </c>
      <c r="J3791">
        <v>-194.5301</v>
      </c>
      <c r="K3791">
        <v>1.0988169999999999</v>
      </c>
      <c r="L3791">
        <v>153.267</v>
      </c>
      <c r="M3791">
        <v>-0.43027739999999998</v>
      </c>
      <c r="N3791">
        <v>0</v>
      </c>
      <c r="O3791">
        <v>-0.90258989999999995</v>
      </c>
      <c r="P3791">
        <v>-0.6016186</v>
      </c>
      <c r="Q3791">
        <v>2.6548599999999999E-2</v>
      </c>
      <c r="R3791">
        <v>-0.79834229999999995</v>
      </c>
      <c r="S3791">
        <v>-2.8040310000000002</v>
      </c>
      <c r="T3791">
        <v>-0.3265537</v>
      </c>
      <c r="U3791">
        <v>-1.66517599999999</v>
      </c>
      <c r="V3791">
        <v>0.2000854</v>
      </c>
      <c r="W3791">
        <v>3.7257930000000002E-2</v>
      </c>
      <c r="X3791">
        <v>0.97906979999999999</v>
      </c>
      <c r="Y3791">
        <v>0.551535</v>
      </c>
      <c r="Z3791">
        <v>0.1029323</v>
      </c>
      <c r="AA3791">
        <v>0.82777659999999997</v>
      </c>
      <c r="AB3791">
        <v>22</v>
      </c>
      <c r="AC3791">
        <v>-9.3691999999999993</v>
      </c>
      <c r="AD3791">
        <v>-1.0988271697199901</v>
      </c>
      <c r="AE3791">
        <v>-5.4783999999999899</v>
      </c>
      <c r="AF3791">
        <v>6.0380108602086002</v>
      </c>
      <c r="AG3791">
        <v>-1.0988271697199901</v>
      </c>
      <c r="AH3791">
        <v>8.8858868829910094</v>
      </c>
      <c r="AI3791">
        <v>95.839966194369396</v>
      </c>
      <c r="AJ3791">
        <v>55.8036683124026</v>
      </c>
      <c r="AK3791">
        <v>10.7992584001969</v>
      </c>
    </row>
    <row r="3792" spans="1:37" x14ac:dyDescent="0.2">
      <c r="A3792" t="str">
        <f>"20200111153725871"</f>
        <v>20200111153725871</v>
      </c>
      <c r="B3792" t="str">
        <f>"1578728245867012"</f>
        <v>1578728245867012</v>
      </c>
      <c r="C3792" t="s">
        <v>37</v>
      </c>
      <c r="D3792">
        <v>5.8962539999999999</v>
      </c>
      <c r="E3792">
        <v>0.65800259999999999</v>
      </c>
      <c r="F3792" t="s">
        <v>51</v>
      </c>
      <c r="G3792">
        <v>-204.06909999999999</v>
      </c>
      <c r="H3792" s="1">
        <v>-1.006685E-5</v>
      </c>
      <c r="I3792">
        <v>147.67769999999999</v>
      </c>
      <c r="J3792">
        <v>-194.60579999999999</v>
      </c>
      <c r="K3792">
        <v>1.098792</v>
      </c>
      <c r="L3792">
        <v>153.1267</v>
      </c>
      <c r="M3792">
        <v>-0.43658809999999898</v>
      </c>
      <c r="N3792">
        <v>0</v>
      </c>
      <c r="O3792">
        <v>-0.89955469999999904</v>
      </c>
      <c r="P3792">
        <v>-0.60688560000000003</v>
      </c>
      <c r="Q3792">
        <v>2.5848340000000001E-2</v>
      </c>
      <c r="R3792">
        <v>-0.79436870000000004</v>
      </c>
      <c r="S3792">
        <v>-2.8133699999999999</v>
      </c>
      <c r="T3792">
        <v>-0.32408090000000001</v>
      </c>
      <c r="U3792">
        <v>-1.648468</v>
      </c>
      <c r="V3792">
        <v>0.1996851</v>
      </c>
      <c r="W3792">
        <v>3.6542690000000003E-2</v>
      </c>
      <c r="X3792">
        <v>0.97917849999999995</v>
      </c>
      <c r="Y3792">
        <v>0.55064519999999995</v>
      </c>
      <c r="Z3792">
        <v>0.10203710000000001</v>
      </c>
      <c r="AA3792">
        <v>0.82847950000000004</v>
      </c>
      <c r="AB3792">
        <v>22</v>
      </c>
      <c r="AC3792">
        <v>-9.4633000000000003</v>
      </c>
      <c r="AD3792">
        <v>-1.09880206685</v>
      </c>
      <c r="AE3792">
        <v>-5.4490000000000096</v>
      </c>
      <c r="AF3792">
        <v>6.0728887021584601</v>
      </c>
      <c r="AG3792">
        <v>-1.09880206685</v>
      </c>
      <c r="AH3792">
        <v>8.9435520732120999</v>
      </c>
      <c r="AI3792">
        <v>95.803727832100705</v>
      </c>
      <c r="AJ3792">
        <v>55.822544558465601</v>
      </c>
      <c r="AK3792">
        <v>10.866207565529599</v>
      </c>
    </row>
    <row r="3793" spans="1:37" x14ac:dyDescent="0.2">
      <c r="A3793" t="str">
        <f>"20200111153725885"</f>
        <v>20200111153725885</v>
      </c>
      <c r="B3793" t="str">
        <f>"1578728245876694"</f>
        <v>1578728245876694</v>
      </c>
      <c r="C3793" t="s">
        <v>37</v>
      </c>
      <c r="D3793">
        <v>5.9099240000000002</v>
      </c>
      <c r="E3793">
        <v>0.65789770000000003</v>
      </c>
      <c r="F3793" t="s">
        <v>51</v>
      </c>
      <c r="G3793">
        <v>-204.19880000000001</v>
      </c>
      <c r="H3793" s="1">
        <v>-9.9947029999999992E-6</v>
      </c>
      <c r="I3793">
        <v>147.58940000000001</v>
      </c>
      <c r="J3793">
        <v>-194.67609999999999</v>
      </c>
      <c r="K3793">
        <v>1.0987719999999901</v>
      </c>
      <c r="L3793">
        <v>152.9982</v>
      </c>
      <c r="M3793">
        <v>-0.44238739999999999</v>
      </c>
      <c r="N3793">
        <v>0</v>
      </c>
      <c r="O3793">
        <v>-0.89671710000000004</v>
      </c>
      <c r="P3793">
        <v>-0.6121759</v>
      </c>
      <c r="Q3793">
        <v>2.5666939999999999E-2</v>
      </c>
      <c r="R3793">
        <v>-0.79030489999999998</v>
      </c>
      <c r="S3793">
        <v>-2.8236849999999998</v>
      </c>
      <c r="T3793">
        <v>-0.32342850000000001</v>
      </c>
      <c r="U3793">
        <v>-1.629883</v>
      </c>
      <c r="V3793">
        <v>0.1998962</v>
      </c>
      <c r="W3793">
        <v>3.6333490000000003E-2</v>
      </c>
      <c r="X3793">
        <v>0.97914319999999899</v>
      </c>
      <c r="Y3793">
        <v>0.55069239999999997</v>
      </c>
      <c r="Z3793">
        <v>0.1017415</v>
      </c>
      <c r="AA3793">
        <v>0.82848449999999996</v>
      </c>
      <c r="AB3793">
        <v>22</v>
      </c>
      <c r="AC3793">
        <v>-9.5227000000000093</v>
      </c>
      <c r="AD3793">
        <v>-1.09878199470299</v>
      </c>
      <c r="AE3793">
        <v>-5.4087999999999798</v>
      </c>
      <c r="AF3793">
        <v>6.0857119380178997</v>
      </c>
      <c r="AG3793">
        <v>-1.09878199470299</v>
      </c>
      <c r="AH3793">
        <v>8.9734260869451994</v>
      </c>
      <c r="AI3793">
        <v>95.786652779696198</v>
      </c>
      <c r="AJ3793">
        <v>55.855166661023297</v>
      </c>
      <c r="AK3793">
        <v>10.8979625344504</v>
      </c>
    </row>
    <row r="3794" spans="1:37" x14ac:dyDescent="0.2">
      <c r="A3794" t="str">
        <f>"20200111153725899"</f>
        <v>20200111153725899</v>
      </c>
      <c r="B3794" t="str">
        <f>"1578728245897191"</f>
        <v>1578728245897191</v>
      </c>
      <c r="C3794" t="s">
        <v>37</v>
      </c>
      <c r="D3794">
        <v>5.9165839999999896</v>
      </c>
      <c r="E3794">
        <v>0.65746150000000003</v>
      </c>
      <c r="F3794" t="s">
        <v>51</v>
      </c>
      <c r="G3794">
        <v>-204.30359999999999</v>
      </c>
      <c r="H3794" s="1">
        <v>-9.9378089999999996E-6</v>
      </c>
      <c r="I3794">
        <v>147.52330000000001</v>
      </c>
      <c r="J3794">
        <v>-194.7448</v>
      </c>
      <c r="K3794">
        <v>1.098754</v>
      </c>
      <c r="L3794">
        <v>152.87440000000001</v>
      </c>
      <c r="M3794">
        <v>-0.44798919999999998</v>
      </c>
      <c r="N3794">
        <v>0</v>
      </c>
      <c r="O3794">
        <v>-0.89393219999999995</v>
      </c>
      <c r="P3794">
        <v>-0.61724789999999996</v>
      </c>
      <c r="Q3794">
        <v>2.5464489999999999E-2</v>
      </c>
      <c r="R3794">
        <v>-0.78635690000000003</v>
      </c>
      <c r="S3794">
        <v>-2.833771</v>
      </c>
      <c r="T3794">
        <v>-0.32341740000000002</v>
      </c>
      <c r="U3794">
        <v>-1.6114809999999999</v>
      </c>
      <c r="V3794">
        <v>0.20006460000000001</v>
      </c>
      <c r="W3794">
        <v>3.6101429999999997E-2</v>
      </c>
      <c r="X3794">
        <v>0.97911740000000003</v>
      </c>
      <c r="Y3794">
        <v>0.55081959999999996</v>
      </c>
      <c r="Z3794">
        <v>0.1016469</v>
      </c>
      <c r="AA3794">
        <v>0.82841160000000003</v>
      </c>
      <c r="AB3794">
        <v>22</v>
      </c>
      <c r="AC3794">
        <v>-9.5587999999999909</v>
      </c>
      <c r="AD3794">
        <v>-1.0987639378089999</v>
      </c>
      <c r="AE3794">
        <v>-5.3510999999999997</v>
      </c>
      <c r="AF3794">
        <v>6.0870337673396504</v>
      </c>
      <c r="AG3794">
        <v>-1.0987639378089999</v>
      </c>
      <c r="AH3794">
        <v>8.9763209760544296</v>
      </c>
      <c r="AI3794">
        <v>95.784895534143999</v>
      </c>
      <c r="AJ3794">
        <v>55.857971280195201</v>
      </c>
      <c r="AK3794">
        <v>10.9010825398635</v>
      </c>
    </row>
    <row r="3795" spans="1:37" x14ac:dyDescent="0.2">
      <c r="A3795" t="str">
        <f>"20200111153725916"</f>
        <v>20200111153725916</v>
      </c>
      <c r="B3795" t="str">
        <f>"1578728245906950"</f>
        <v>1578728245906950</v>
      </c>
      <c r="C3795" t="s">
        <v>37</v>
      </c>
      <c r="D3795">
        <v>5.9045030000000001</v>
      </c>
      <c r="E3795">
        <v>0.65729419999999905</v>
      </c>
      <c r="F3795" t="s">
        <v>51</v>
      </c>
      <c r="G3795">
        <v>-204.446</v>
      </c>
      <c r="H3795" s="1">
        <v>-9.8591449999999999E-6</v>
      </c>
      <c r="I3795">
        <v>147.42840000000001</v>
      </c>
      <c r="J3795">
        <v>-194.8306</v>
      </c>
      <c r="K3795">
        <v>1.0987260000000001</v>
      </c>
      <c r="L3795">
        <v>152.72299999999899</v>
      </c>
      <c r="M3795">
        <v>-0.45488019999999901</v>
      </c>
      <c r="N3795">
        <v>0</v>
      </c>
      <c r="O3795">
        <v>-0.89044590000000001</v>
      </c>
      <c r="P3795">
        <v>-0.62387950000000003</v>
      </c>
      <c r="Q3795">
        <v>2.5448410000000001E-2</v>
      </c>
      <c r="R3795">
        <v>-0.78110619999999997</v>
      </c>
      <c r="S3795">
        <v>-2.8414459999999999</v>
      </c>
      <c r="T3795">
        <v>-0.32182490000000002</v>
      </c>
      <c r="U3795">
        <v>-1.5951229999999901</v>
      </c>
      <c r="V3795">
        <v>0.20078750000000001</v>
      </c>
      <c r="W3795">
        <v>3.6018040000000001E-2</v>
      </c>
      <c r="X3795">
        <v>0.97897239999999996</v>
      </c>
      <c r="Y3795">
        <v>0.54902229999999996</v>
      </c>
      <c r="Z3795">
        <v>0.1010023</v>
      </c>
      <c r="AA3795">
        <v>0.82968249999999999</v>
      </c>
      <c r="AB3795">
        <v>22</v>
      </c>
      <c r="AC3795">
        <v>-9.6153999999999904</v>
      </c>
      <c r="AD3795">
        <v>-1.098735859145</v>
      </c>
      <c r="AE3795">
        <v>-5.2945999999999698</v>
      </c>
      <c r="AF3795">
        <v>6.0931205830022304</v>
      </c>
      <c r="AG3795">
        <v>-1.098735859145</v>
      </c>
      <c r="AH3795">
        <v>8.9991085612043502</v>
      </c>
      <c r="AI3795">
        <v>95.772970147967499</v>
      </c>
      <c r="AJ3795">
        <v>55.898838604523498</v>
      </c>
      <c r="AK3795">
        <v>10.9232455718764</v>
      </c>
    </row>
    <row r="3796" spans="1:37" x14ac:dyDescent="0.2">
      <c r="A3796" t="str">
        <f>"20200111153725930"</f>
        <v>20200111153725930</v>
      </c>
      <c r="B3796" t="str">
        <f>"1578728245926471"</f>
        <v>1578728245926471</v>
      </c>
      <c r="C3796" t="s">
        <v>37</v>
      </c>
      <c r="D3796">
        <v>5.6787570000000001</v>
      </c>
      <c r="E3796">
        <v>0.68417779999999995</v>
      </c>
      <c r="F3796" t="s">
        <v>51</v>
      </c>
      <c r="G3796">
        <v>-204.62970000000001</v>
      </c>
      <c r="H3796" s="1">
        <v>-9.7631490000000005E-6</v>
      </c>
      <c r="I3796">
        <v>147.32660000000001</v>
      </c>
      <c r="J3796">
        <v>-194.89609999999999</v>
      </c>
      <c r="K3796">
        <v>1.098706</v>
      </c>
      <c r="L3796">
        <v>152.60939999999999</v>
      </c>
      <c r="M3796">
        <v>-0.4600725</v>
      </c>
      <c r="N3796">
        <v>0</v>
      </c>
      <c r="O3796">
        <v>-0.88777519999999999</v>
      </c>
      <c r="P3796">
        <v>-0.62849619999999995</v>
      </c>
      <c r="Q3796">
        <v>2.52578E-2</v>
      </c>
      <c r="R3796">
        <v>-0.777402699999999</v>
      </c>
      <c r="S3796">
        <v>-2.853958</v>
      </c>
      <c r="T3796">
        <v>-0.32000390000000001</v>
      </c>
      <c r="U3796">
        <v>-1.5716859999999999</v>
      </c>
      <c r="V3796">
        <v>0.20086519999999999</v>
      </c>
      <c r="W3796">
        <v>3.5768809999999998E-2</v>
      </c>
      <c r="X3796">
        <v>0.97896559999999899</v>
      </c>
      <c r="Y3796">
        <v>0.55097130000000005</v>
      </c>
      <c r="Z3796">
        <v>0.100399</v>
      </c>
      <c r="AA3796">
        <v>0.82846280000000005</v>
      </c>
      <c r="AB3796">
        <v>22</v>
      </c>
      <c r="AC3796">
        <v>-9.7336000000000205</v>
      </c>
      <c r="AD3796">
        <v>-1.0987157631489901</v>
      </c>
      <c r="AE3796">
        <v>-5.2827999999999804</v>
      </c>
      <c r="AF3796">
        <v>6.1508243911977303</v>
      </c>
      <c r="AG3796">
        <v>-1.0987157631489901</v>
      </c>
      <c r="AH3796">
        <v>9.07959987062846</v>
      </c>
      <c r="AI3796">
        <v>95.721098100216906</v>
      </c>
      <c r="AJ3796">
        <v>55.884974678217901</v>
      </c>
      <c r="AK3796">
        <v>11.0217489914378</v>
      </c>
    </row>
    <row r="3797" spans="1:37" x14ac:dyDescent="0.2">
      <c r="A3797" t="str">
        <f>"20200111153725948"</f>
        <v>20200111153725948</v>
      </c>
      <c r="B3797" t="str">
        <f>"1578728245937206"</f>
        <v>1578728245937206</v>
      </c>
      <c r="C3797" t="s">
        <v>37</v>
      </c>
      <c r="D3797">
        <v>5.6986629999999998</v>
      </c>
      <c r="E3797">
        <v>0.68876559999999998</v>
      </c>
      <c r="F3797" t="s">
        <v>52</v>
      </c>
      <c r="G3797">
        <v>-270.15320000000003</v>
      </c>
      <c r="H3797">
        <v>0.38637709999999997</v>
      </c>
      <c r="I3797">
        <v>117.52889999999999</v>
      </c>
      <c r="J3797">
        <v>-194.99019999999999</v>
      </c>
      <c r="K3797">
        <v>1.098662</v>
      </c>
      <c r="L3797">
        <v>152.44829999999999</v>
      </c>
      <c r="M3797">
        <v>-0.4674509</v>
      </c>
      <c r="N3797">
        <v>0</v>
      </c>
      <c r="O3797">
        <v>-0.88391419999999998</v>
      </c>
      <c r="P3797">
        <v>-0.63542959999999904</v>
      </c>
      <c r="Q3797">
        <v>2.514657E-2</v>
      </c>
      <c r="R3797">
        <v>-0.77174949999999998</v>
      </c>
      <c r="S3797">
        <v>-3.0283359999999999</v>
      </c>
      <c r="T3797">
        <v>-2.866411E-2</v>
      </c>
      <c r="U3797">
        <v>-1.4116359999999999</v>
      </c>
      <c r="V3797">
        <v>0.2014715</v>
      </c>
      <c r="W3797">
        <v>3.5540080000000002E-2</v>
      </c>
      <c r="X3797">
        <v>0.97884939999999998</v>
      </c>
      <c r="Y3797">
        <v>0.60366999999999904</v>
      </c>
      <c r="Z3797">
        <v>8.9307029999999999E-3</v>
      </c>
      <c r="AA3797">
        <v>0.79718429999999996</v>
      </c>
      <c r="AB3797">
        <v>22</v>
      </c>
      <c r="AC3797">
        <v>-75.162999999999997</v>
      </c>
      <c r="AD3797">
        <v>-0.7122849</v>
      </c>
      <c r="AE3797">
        <v>-34.919400000000003</v>
      </c>
      <c r="AF3797">
        <v>50.1154812406524</v>
      </c>
      <c r="AG3797">
        <v>-0.7122849</v>
      </c>
      <c r="AH3797">
        <v>66.002007683339301</v>
      </c>
      <c r="AI3797">
        <v>90.492443057660395</v>
      </c>
      <c r="AJ3797">
        <v>52.790511073132798</v>
      </c>
      <c r="AK3797">
        <v>82.875411480079705</v>
      </c>
    </row>
    <row r="3798" spans="1:37" x14ac:dyDescent="0.2">
      <c r="A3798" t="str">
        <f>"20200111153725962"</f>
        <v>20200111153725962</v>
      </c>
      <c r="B3798" t="str">
        <f>"1578728245956727"</f>
        <v>1578728245956727</v>
      </c>
      <c r="C3798" t="s">
        <v>37</v>
      </c>
      <c r="D3798">
        <v>5.6403419999999898</v>
      </c>
      <c r="E3798">
        <v>0.69240449999999998</v>
      </c>
      <c r="F3798" t="s">
        <v>52</v>
      </c>
      <c r="G3798">
        <v>-273.7792</v>
      </c>
      <c r="H3798">
        <v>1.181325</v>
      </c>
      <c r="I3798">
        <v>117.5291</v>
      </c>
      <c r="J3798">
        <v>-195.05879999999999</v>
      </c>
      <c r="K3798">
        <v>1.0986309999999999</v>
      </c>
      <c r="L3798">
        <v>152.33269999999999</v>
      </c>
      <c r="M3798">
        <v>-0.47275889999999998</v>
      </c>
      <c r="N3798">
        <v>0</v>
      </c>
      <c r="O3798">
        <v>-0.88108799999999898</v>
      </c>
      <c r="P3798">
        <v>-0.64030819999999999</v>
      </c>
      <c r="Q3798">
        <v>2.4877059999999999E-2</v>
      </c>
      <c r="R3798">
        <v>-0.767715699999999</v>
      </c>
      <c r="S3798">
        <v>-3.0690459999999899</v>
      </c>
      <c r="T3798">
        <v>3.2200809999999901E-3</v>
      </c>
      <c r="U3798">
        <v>-1.3601989999999999</v>
      </c>
      <c r="V3798">
        <v>0.20177999999999999</v>
      </c>
      <c r="W3798">
        <v>3.5169800000000001E-2</v>
      </c>
      <c r="X3798">
        <v>0.97879919999999998</v>
      </c>
      <c r="Y3798">
        <v>0.61401989999999995</v>
      </c>
      <c r="Z3798">
        <v>-1.0008719999999899E-3</v>
      </c>
      <c r="AA3798">
        <v>0.78928999999999905</v>
      </c>
      <c r="AB3798">
        <v>22</v>
      </c>
      <c r="AC3798">
        <v>-78.720399999999998</v>
      </c>
      <c r="AD3798">
        <v>8.2694000000000004E-2</v>
      </c>
      <c r="AE3798">
        <v>-34.803599999999904</v>
      </c>
      <c r="AF3798">
        <v>52.910679763951798</v>
      </c>
      <c r="AG3798">
        <v>8.2694000000000004E-2</v>
      </c>
      <c r="AH3798">
        <v>67.886951908744606</v>
      </c>
      <c r="AI3798">
        <v>89.944952096168507</v>
      </c>
      <c r="AJ3798">
        <v>52.067364609247001</v>
      </c>
      <c r="AK3798">
        <v>86.070814512477398</v>
      </c>
    </row>
    <row r="3799" spans="1:37" x14ac:dyDescent="0.2">
      <c r="A3799" t="str">
        <f>"20200111153725976"</f>
        <v>20200111153725976</v>
      </c>
      <c r="B3799" t="str">
        <f>"1578728245966487"</f>
        <v>1578728245966487</v>
      </c>
      <c r="C3799" t="s">
        <v>37</v>
      </c>
      <c r="D3799">
        <v>5.6116919999999997</v>
      </c>
      <c r="E3799">
        <v>0.69295600000000002</v>
      </c>
      <c r="F3799" t="s">
        <v>52</v>
      </c>
      <c r="G3799">
        <v>-276.72379999999998</v>
      </c>
      <c r="H3799">
        <v>2.398568</v>
      </c>
      <c r="I3799">
        <v>117.5295</v>
      </c>
      <c r="J3799">
        <v>-195.13550000000001</v>
      </c>
      <c r="K3799">
        <v>1.0985940000000001</v>
      </c>
      <c r="L3799">
        <v>152.2054</v>
      </c>
      <c r="M3799">
        <v>-0.4786147</v>
      </c>
      <c r="N3799">
        <v>0</v>
      </c>
      <c r="O3799">
        <v>-0.8779226</v>
      </c>
      <c r="P3799">
        <v>-0.64560709999999999</v>
      </c>
      <c r="Q3799">
        <v>2.4620199999999998E-2</v>
      </c>
      <c r="R3799">
        <v>-0.76327259999999997</v>
      </c>
      <c r="S3799">
        <v>-3.099564</v>
      </c>
      <c r="T3799">
        <v>4.933858E-2</v>
      </c>
      <c r="U3799">
        <v>-1.3209379999999999</v>
      </c>
      <c r="V3799">
        <v>0.20203089999999899</v>
      </c>
      <c r="W3799">
        <v>3.4787619999999998E-2</v>
      </c>
      <c r="X3799">
        <v>0.97876109999999905</v>
      </c>
      <c r="Y3799">
        <v>0.6199363</v>
      </c>
      <c r="Z3799">
        <v>-1.5290700000000001E-2</v>
      </c>
      <c r="AA3799">
        <v>0.78450319999999996</v>
      </c>
      <c r="AB3799">
        <v>22</v>
      </c>
      <c r="AC3799">
        <v>-81.588299999999904</v>
      </c>
      <c r="AD3799">
        <v>1.299974</v>
      </c>
      <c r="AE3799">
        <v>-34.675899999999999</v>
      </c>
      <c r="AF3799">
        <v>55.024935156713099</v>
      </c>
      <c r="AG3799">
        <v>1.299974</v>
      </c>
      <c r="AH3799">
        <v>69.483425892382002</v>
      </c>
      <c r="AI3799">
        <v>89.159700718822194</v>
      </c>
      <c r="AJ3799">
        <v>51.623785293203099</v>
      </c>
      <c r="AK3799">
        <v>88.6418631073564</v>
      </c>
    </row>
    <row r="3800" spans="1:37" x14ac:dyDescent="0.2">
      <c r="A3800" t="str">
        <f>"20200111153725994"</f>
        <v>20200111153725994</v>
      </c>
      <c r="B3800" t="str">
        <f>"1578728245986983"</f>
        <v>1578728245986983</v>
      </c>
      <c r="C3800" t="s">
        <v>37</v>
      </c>
      <c r="D3800">
        <v>5.9079790000000001</v>
      </c>
      <c r="E3800">
        <v>0.68946869999999905</v>
      </c>
      <c r="F3800" t="s">
        <v>52</v>
      </c>
      <c r="G3800">
        <v>-277.42630000000003</v>
      </c>
      <c r="H3800">
        <v>2.6444749999999999</v>
      </c>
      <c r="I3800">
        <v>117.92659999999999</v>
      </c>
      <c r="J3800">
        <v>-195.23220000000001</v>
      </c>
      <c r="K3800">
        <v>1.0985549999999999</v>
      </c>
      <c r="L3800">
        <v>152.04769999999999</v>
      </c>
      <c r="M3800">
        <v>-0.48587619999999998</v>
      </c>
      <c r="N3800">
        <v>0</v>
      </c>
      <c r="O3800">
        <v>-0.87392709999999996</v>
      </c>
      <c r="P3800">
        <v>-0.65236910000000004</v>
      </c>
      <c r="Q3800">
        <v>2.4198709999999998E-2</v>
      </c>
      <c r="R3800">
        <v>-0.7575151</v>
      </c>
      <c r="S3800">
        <v>-3.1120000000000001</v>
      </c>
      <c r="T3800">
        <v>5.8460949999999998E-2</v>
      </c>
      <c r="U3800">
        <v>-1.2963260000000001</v>
      </c>
      <c r="V3800">
        <v>0.2026075</v>
      </c>
      <c r="W3800">
        <v>3.4201450000000001E-2</v>
      </c>
      <c r="X3800">
        <v>0.97866260000000005</v>
      </c>
      <c r="Y3800">
        <v>0.61978949999999999</v>
      </c>
      <c r="Z3800">
        <v>-1.8080599999999999E-2</v>
      </c>
      <c r="AA3800">
        <v>0.78455980000000003</v>
      </c>
      <c r="AB3800">
        <v>22</v>
      </c>
      <c r="AC3800">
        <v>-82.194100000000006</v>
      </c>
      <c r="AD3800">
        <v>1.54592</v>
      </c>
      <c r="AE3800">
        <v>-34.121099999999998</v>
      </c>
      <c r="AF3800">
        <v>55.241207981706303</v>
      </c>
      <c r="AG3800">
        <v>1.54592</v>
      </c>
      <c r="AH3800">
        <v>69.740597258574994</v>
      </c>
      <c r="AI3800">
        <v>89.004523289316396</v>
      </c>
      <c r="AJ3800">
        <v>51.617416357011201</v>
      </c>
      <c r="AK3800">
        <v>88.981637622080697</v>
      </c>
    </row>
    <row r="3801" spans="1:37" x14ac:dyDescent="0.2">
      <c r="A3801" t="str">
        <f>"20200111153726009"</f>
        <v>20200111153726009</v>
      </c>
      <c r="B3801" t="str">
        <f>"1578728245996743"</f>
        <v>1578728245996743</v>
      </c>
      <c r="C3801" t="s">
        <v>37</v>
      </c>
      <c r="D3801">
        <v>5.6355529999999998</v>
      </c>
      <c r="E3801">
        <v>0.68964409999999998</v>
      </c>
      <c r="F3801" t="s">
        <v>52</v>
      </c>
      <c r="G3801">
        <v>-277.42630000000003</v>
      </c>
      <c r="H3801">
        <v>1.358098</v>
      </c>
      <c r="I3801">
        <v>117.9191</v>
      </c>
      <c r="J3801">
        <v>-195.30619999999999</v>
      </c>
      <c r="K3801">
        <v>1.0985309999999999</v>
      </c>
      <c r="L3801">
        <v>151.92920000000001</v>
      </c>
      <c r="M3801">
        <v>-0.49134169999999999</v>
      </c>
      <c r="N3801">
        <v>0</v>
      </c>
      <c r="O3801">
        <v>-0.87086770000000002</v>
      </c>
      <c r="P3801">
        <v>-0.6571437</v>
      </c>
      <c r="Q3801">
        <v>2.4041199999999999E-2</v>
      </c>
      <c r="R3801">
        <v>-0.75338179999999999</v>
      </c>
      <c r="S3801">
        <v>-3.1024319999999999</v>
      </c>
      <c r="T3801">
        <v>9.796262E-3</v>
      </c>
      <c r="U3801">
        <v>-1.2881929999999999</v>
      </c>
      <c r="V3801">
        <v>0.2026558</v>
      </c>
      <c r="W3801">
        <v>3.3925520000000001E-2</v>
      </c>
      <c r="X3801">
        <v>0.97866219999999904</v>
      </c>
      <c r="Y3801">
        <v>0.61592069999999999</v>
      </c>
      <c r="Z3801">
        <v>-3.033521E-3</v>
      </c>
      <c r="AA3801">
        <v>0.78780229999999996</v>
      </c>
      <c r="AB3801">
        <v>22</v>
      </c>
      <c r="AC3801">
        <v>-82.120099999999994</v>
      </c>
      <c r="AD3801">
        <v>0.25956699999999999</v>
      </c>
      <c r="AE3801">
        <v>-34.010100000000001</v>
      </c>
      <c r="AF3801">
        <v>54.809430153873201</v>
      </c>
      <c r="AG3801">
        <v>0.25956699999999999</v>
      </c>
      <c r="AH3801">
        <v>69.972775733826893</v>
      </c>
      <c r="AI3801">
        <v>89.832679134829306</v>
      </c>
      <c r="AJ3801">
        <v>51.928526108160199</v>
      </c>
      <c r="AK3801">
        <v>88.883802532948707</v>
      </c>
    </row>
    <row r="3802" spans="1:37" x14ac:dyDescent="0.2">
      <c r="A3802" t="str">
        <f>"20200111153726023"</f>
        <v>20200111153726023</v>
      </c>
      <c r="B3802" t="str">
        <f>"1578728246017238"</f>
        <v>1578728246017238</v>
      </c>
      <c r="C3802" t="s">
        <v>37</v>
      </c>
      <c r="D3802">
        <v>5.6988750000000001</v>
      </c>
      <c r="E3802">
        <v>0.68931189999999998</v>
      </c>
      <c r="F3802" t="s">
        <v>52</v>
      </c>
      <c r="G3802">
        <v>-277.42630000000003</v>
      </c>
      <c r="H3802">
        <v>1.53122</v>
      </c>
      <c r="I3802">
        <v>118.48050000000001</v>
      </c>
      <c r="J3802">
        <v>-195.38229999999999</v>
      </c>
      <c r="K3802">
        <v>1.0985129999999901</v>
      </c>
      <c r="L3802">
        <v>151.80850000000001</v>
      </c>
      <c r="M3802">
        <v>-0.49691059999999998</v>
      </c>
      <c r="N3802">
        <v>0</v>
      </c>
      <c r="O3802">
        <v>-0.86770419999999904</v>
      </c>
      <c r="P3802">
        <v>-0.66208800000000001</v>
      </c>
      <c r="Q3802">
        <v>2.3900009999999999E-2</v>
      </c>
      <c r="R3802">
        <v>-0.74904499999999996</v>
      </c>
      <c r="S3802">
        <v>-3.1115879999999998</v>
      </c>
      <c r="T3802">
        <v>1.6394969999999998E-2</v>
      </c>
      <c r="U3802">
        <v>-1.267395</v>
      </c>
      <c r="V3802">
        <v>0.20282259999999999</v>
      </c>
      <c r="W3802">
        <v>3.3661030000000002E-2</v>
      </c>
      <c r="X3802">
        <v>0.97863679999999997</v>
      </c>
      <c r="Y3802">
        <v>0.6161932</v>
      </c>
      <c r="Z3802">
        <v>-5.0703999999999897E-3</v>
      </c>
      <c r="AA3802">
        <v>0.78757869999999996</v>
      </c>
      <c r="AB3802">
        <v>22</v>
      </c>
      <c r="AC3802">
        <v>-82.043999999999997</v>
      </c>
      <c r="AD3802">
        <v>0.43270700000000001</v>
      </c>
      <c r="AE3802">
        <v>-33.328000000000003</v>
      </c>
      <c r="AF3802">
        <v>54.632206798410699</v>
      </c>
      <c r="AG3802">
        <v>0.43270700000000001</v>
      </c>
      <c r="AH3802">
        <v>69.691613864588305</v>
      </c>
      <c r="AI3802">
        <v>89.720030462296094</v>
      </c>
      <c r="AJ3802">
        <v>51.906618468328404</v>
      </c>
      <c r="AK3802">
        <v>88.553861000314697</v>
      </c>
    </row>
    <row r="3803" spans="1:37" x14ac:dyDescent="0.2">
      <c r="A3803" t="str">
        <f>"20200111153726038"</f>
        <v>20200111153726038</v>
      </c>
      <c r="B3803" t="str">
        <f>"1578728246026999"</f>
        <v>1578728246026999</v>
      </c>
      <c r="C3803" t="s">
        <v>37</v>
      </c>
      <c r="D3803">
        <v>5.6970960000000002</v>
      </c>
      <c r="E3803">
        <v>0.68903519999999996</v>
      </c>
      <c r="F3803" t="s">
        <v>52</v>
      </c>
      <c r="G3803">
        <v>-277.42630000000003</v>
      </c>
      <c r="H3803">
        <v>1.476618</v>
      </c>
      <c r="I3803">
        <v>118.9513</v>
      </c>
      <c r="J3803">
        <v>-195.47049999999999</v>
      </c>
      <c r="K3803">
        <v>1.0984909999999899</v>
      </c>
      <c r="L3803">
        <v>151.67080000000001</v>
      </c>
      <c r="M3803">
        <v>-0.50327149999999998</v>
      </c>
      <c r="N3803">
        <v>0</v>
      </c>
      <c r="O3803">
        <v>-0.86403280000000005</v>
      </c>
      <c r="P3803">
        <v>-0.66769880000000004</v>
      </c>
      <c r="Q3803">
        <v>2.3963959999999999E-2</v>
      </c>
      <c r="R3803">
        <v>-0.74404619999999999</v>
      </c>
      <c r="S3803">
        <v>-3.11795</v>
      </c>
      <c r="T3803">
        <v>1.436925E-2</v>
      </c>
      <c r="U3803">
        <v>-1.248688</v>
      </c>
      <c r="V3803">
        <v>0.20298920000000001</v>
      </c>
      <c r="W3803">
        <v>3.3583830000000002E-2</v>
      </c>
      <c r="X3803">
        <v>0.9786049</v>
      </c>
      <c r="Y3803">
        <v>0.61503619999999903</v>
      </c>
      <c r="Z3803">
        <v>-4.4372819999999999E-3</v>
      </c>
      <c r="AA3803">
        <v>0.78848640000000003</v>
      </c>
      <c r="AB3803">
        <v>22</v>
      </c>
      <c r="AC3803">
        <v>-81.955799999999996</v>
      </c>
      <c r="AD3803">
        <v>0.37812699999999999</v>
      </c>
      <c r="AE3803">
        <v>-32.719499999999996</v>
      </c>
      <c r="AF3803">
        <v>54.349196898715398</v>
      </c>
      <c r="AG3803">
        <v>0.37812699999999999</v>
      </c>
      <c r="AH3803">
        <v>69.521203083475299</v>
      </c>
      <c r="AI3803">
        <v>89.754488602067696</v>
      </c>
      <c r="AJ3803">
        <v>51.982972354355702</v>
      </c>
      <c r="AK3803">
        <v>88.244976410769596</v>
      </c>
    </row>
    <row r="3804" spans="1:37" x14ac:dyDescent="0.2">
      <c r="A3804" t="str">
        <f>"20200111153726053"</f>
        <v>20200111153726053</v>
      </c>
      <c r="B3804" t="str">
        <f>"1578728246046518"</f>
        <v>1578728246046518</v>
      </c>
      <c r="C3804" t="s">
        <v>37</v>
      </c>
      <c r="D3804">
        <v>5.4928980000000003</v>
      </c>
      <c r="E3804">
        <v>0.68829449999999903</v>
      </c>
      <c r="F3804" t="s">
        <v>52</v>
      </c>
      <c r="G3804">
        <v>-278.7353</v>
      </c>
      <c r="H3804">
        <v>1.455708</v>
      </c>
      <c r="I3804">
        <v>118.9902</v>
      </c>
      <c r="J3804">
        <v>-195.55070000000001</v>
      </c>
      <c r="K3804">
        <v>1.098474</v>
      </c>
      <c r="L3804">
        <v>151.5479</v>
      </c>
      <c r="M3804">
        <v>-0.50895829999999997</v>
      </c>
      <c r="N3804">
        <v>0</v>
      </c>
      <c r="O3804">
        <v>-0.86069689999999999</v>
      </c>
      <c r="P3804">
        <v>-0.67262140000000004</v>
      </c>
      <c r="Q3804">
        <v>2.3896959999999998E-2</v>
      </c>
      <c r="R3804">
        <v>-0.73960090000000001</v>
      </c>
      <c r="S3804">
        <v>-3.1255489999999999</v>
      </c>
      <c r="T3804">
        <v>1.340938E-2</v>
      </c>
      <c r="U3804">
        <v>-1.2267459999999999</v>
      </c>
      <c r="V3804">
        <v>0.20302679999999901</v>
      </c>
      <c r="W3804">
        <v>3.3393199999999998E-2</v>
      </c>
      <c r="X3804">
        <v>0.97860360000000002</v>
      </c>
      <c r="Y3804">
        <v>0.61528519999999998</v>
      </c>
      <c r="Z3804">
        <v>-4.1369750000000002E-3</v>
      </c>
      <c r="AA3804">
        <v>0.78829369999999999</v>
      </c>
      <c r="AB3804">
        <v>22</v>
      </c>
      <c r="AC3804">
        <v>-83.184599999999904</v>
      </c>
      <c r="AD3804">
        <v>0.357234</v>
      </c>
      <c r="AE3804">
        <v>-32.557699999999997</v>
      </c>
      <c r="AF3804">
        <v>55.0298014210193</v>
      </c>
      <c r="AG3804">
        <v>0.357234</v>
      </c>
      <c r="AH3804">
        <v>70.364388975349399</v>
      </c>
      <c r="AI3804">
        <v>89.770867195747797</v>
      </c>
      <c r="AJ3804">
        <v>51.972142363868301</v>
      </c>
      <c r="AK3804">
        <v>89.328348783809105</v>
      </c>
    </row>
    <row r="3805" spans="1:37" x14ac:dyDescent="0.2">
      <c r="A3805" t="str">
        <f>"20200111153726072"</f>
        <v>20200111153726072</v>
      </c>
      <c r="B3805" t="str">
        <f>"1578728246067014"</f>
        <v>1578728246067014</v>
      </c>
      <c r="C3805" t="s">
        <v>37</v>
      </c>
      <c r="D3805">
        <v>5.5385229999999996</v>
      </c>
      <c r="E3805">
        <v>0.68765449999999995</v>
      </c>
      <c r="F3805" t="s">
        <v>43</v>
      </c>
      <c r="G3805">
        <v>-321.45479999999998</v>
      </c>
      <c r="H3805">
        <v>1.3921779999999999</v>
      </c>
      <c r="I3805">
        <v>102.85939999999999</v>
      </c>
      <c r="J3805">
        <v>-195.6541</v>
      </c>
      <c r="K3805">
        <v>1.098457</v>
      </c>
      <c r="L3805">
        <v>151.39169999999999</v>
      </c>
      <c r="M3805">
        <v>-0.51619320000000002</v>
      </c>
      <c r="N3805">
        <v>0</v>
      </c>
      <c r="O3805">
        <v>-0.85637960000000002</v>
      </c>
      <c r="P3805">
        <v>-0.67906109999999997</v>
      </c>
      <c r="Q3805">
        <v>2.4237000000000002E-2</v>
      </c>
      <c r="R3805">
        <v>-0.73368129999999998</v>
      </c>
      <c r="S3805">
        <v>-3.1292879999999998</v>
      </c>
      <c r="T3805">
        <v>7.3001380000000003E-3</v>
      </c>
      <c r="U3805">
        <v>-1.210129</v>
      </c>
      <c r="V3805">
        <v>0.20334549999999901</v>
      </c>
      <c r="W3805">
        <v>3.3563809999999999E-2</v>
      </c>
      <c r="X3805">
        <v>0.97853159999999895</v>
      </c>
      <c r="Y3805">
        <v>0.61260099999999995</v>
      </c>
      <c r="Z3805">
        <v>-2.2477959999999998E-3</v>
      </c>
      <c r="AA3805">
        <v>0.79038909999999996</v>
      </c>
      <c r="AB3805">
        <v>22</v>
      </c>
      <c r="AC3805">
        <v>-125.800699999999</v>
      </c>
      <c r="AD3805">
        <v>0.29372100000000001</v>
      </c>
      <c r="AE3805">
        <v>-48.5322999999999</v>
      </c>
      <c r="AF3805">
        <v>82.687273322539497</v>
      </c>
      <c r="AG3805">
        <v>0.29372100000000001</v>
      </c>
      <c r="AH3805">
        <v>106.507476504891</v>
      </c>
      <c r="AI3805">
        <v>89.875190475356405</v>
      </c>
      <c r="AJ3805">
        <v>52.175957739946497</v>
      </c>
      <c r="AK3805">
        <v>134.83736126527401</v>
      </c>
    </row>
    <row r="3806" spans="1:37" x14ac:dyDescent="0.2">
      <c r="A3806" t="str">
        <f>"20200111153726095"</f>
        <v>20200111153726095</v>
      </c>
      <c r="B3806" t="str">
        <f>"1578728246086534"</f>
        <v>1578728246086534</v>
      </c>
      <c r="C3806" t="s">
        <v>37</v>
      </c>
      <c r="D3806">
        <v>5.8868400000000003</v>
      </c>
      <c r="E3806">
        <v>0.68475259999999905</v>
      </c>
      <c r="F3806" t="s">
        <v>43</v>
      </c>
      <c r="G3806">
        <v>-321.45490000000001</v>
      </c>
      <c r="H3806">
        <v>1.234917</v>
      </c>
      <c r="I3806">
        <v>103.8047</v>
      </c>
      <c r="J3806">
        <v>-195.78469999999999</v>
      </c>
      <c r="K3806">
        <v>1.0984129999999901</v>
      </c>
      <c r="L3806">
        <v>151.19810000000001</v>
      </c>
      <c r="M3806">
        <v>-0.52516399999999996</v>
      </c>
      <c r="N3806">
        <v>0</v>
      </c>
      <c r="O3806">
        <v>-0.85091130000000004</v>
      </c>
      <c r="P3806">
        <v>-0.68672540000000004</v>
      </c>
      <c r="Q3806">
        <v>2.4847549999999999E-2</v>
      </c>
      <c r="R3806">
        <v>-0.72649249999999999</v>
      </c>
      <c r="S3806">
        <v>-3.136047</v>
      </c>
      <c r="T3806">
        <v>3.4019950000000001E-3</v>
      </c>
      <c r="U3806">
        <v>-1.1862790000000001</v>
      </c>
      <c r="V3806">
        <v>0.2033546</v>
      </c>
      <c r="W3806">
        <v>3.396031E-2</v>
      </c>
      <c r="X3806">
        <v>0.97851599999999905</v>
      </c>
      <c r="Y3806">
        <v>0.61011400000000005</v>
      </c>
      <c r="Z3806">
        <v>-1.044831E-3</v>
      </c>
      <c r="AA3806">
        <v>0.79231300000000005</v>
      </c>
      <c r="AB3806">
        <v>22</v>
      </c>
      <c r="AC3806">
        <v>-125.67019999999999</v>
      </c>
      <c r="AD3806">
        <v>0.13650399999999999</v>
      </c>
      <c r="AE3806">
        <v>-47.3934</v>
      </c>
      <c r="AF3806">
        <v>82.051067165477505</v>
      </c>
      <c r="AG3806">
        <v>0.13650399999999999</v>
      </c>
      <c r="AH3806">
        <v>106.33305526495499</v>
      </c>
      <c r="AI3806">
        <v>89.941768165434297</v>
      </c>
      <c r="AJ3806">
        <v>52.3447085209542</v>
      </c>
      <c r="AK3806">
        <v>134.30977216239901</v>
      </c>
    </row>
    <row r="3807" spans="1:37" x14ac:dyDescent="0.2">
      <c r="A3807" t="str">
        <f>"20200111153726118"</f>
        <v>20200111153726118</v>
      </c>
      <c r="B3807" t="str">
        <f>"1578728246107030"</f>
        <v>1578728246107030</v>
      </c>
      <c r="C3807" t="s">
        <v>37</v>
      </c>
      <c r="D3807">
        <v>5.5065</v>
      </c>
      <c r="E3807">
        <v>0.68424149999999995</v>
      </c>
      <c r="F3807" t="s">
        <v>43</v>
      </c>
      <c r="G3807">
        <v>-321.45479999999998</v>
      </c>
      <c r="H3807">
        <v>0.53668359999999904</v>
      </c>
      <c r="I3807">
        <v>104.2638</v>
      </c>
      <c r="J3807">
        <v>-195.9204</v>
      </c>
      <c r="K3807">
        <v>1.098352</v>
      </c>
      <c r="L3807">
        <v>151.0016</v>
      </c>
      <c r="M3807">
        <v>-0.53428520000000002</v>
      </c>
      <c r="N3807">
        <v>0</v>
      </c>
      <c r="O3807">
        <v>-0.845217</v>
      </c>
      <c r="P3807">
        <v>-0.69424079999999999</v>
      </c>
      <c r="Q3807">
        <v>2.5601530000000001E-2</v>
      </c>
      <c r="R3807">
        <v>-0.71928749999999997</v>
      </c>
      <c r="S3807">
        <v>-3.1316989999999998</v>
      </c>
      <c r="T3807">
        <v>-1.399803E-2</v>
      </c>
      <c r="U3807">
        <v>-1.1696009999999999</v>
      </c>
      <c r="V3807">
        <v>0.20302979999999901</v>
      </c>
      <c r="W3807">
        <v>3.4486910000000003E-2</v>
      </c>
      <c r="X3807">
        <v>0.97856500000000002</v>
      </c>
      <c r="Y3807">
        <v>0.60490409999999994</v>
      </c>
      <c r="Z3807">
        <v>4.2928439999999997E-3</v>
      </c>
      <c r="AA3807">
        <v>0.79628679999999996</v>
      </c>
      <c r="AB3807">
        <v>22</v>
      </c>
      <c r="AC3807">
        <v>-125.534399999999</v>
      </c>
      <c r="AD3807">
        <v>-0.56166839999999996</v>
      </c>
      <c r="AE3807">
        <v>-46.737799999999901</v>
      </c>
      <c r="AF3807">
        <v>81.137053757943406</v>
      </c>
      <c r="AG3807">
        <v>-0.56166839999999996</v>
      </c>
      <c r="AH3807">
        <v>106.580744572068</v>
      </c>
      <c r="AI3807">
        <v>90.240246164583994</v>
      </c>
      <c r="AJ3807">
        <v>52.718957538403501</v>
      </c>
      <c r="AK3807">
        <v>133.951454181906</v>
      </c>
    </row>
    <row r="3808" spans="1:37" x14ac:dyDescent="0.2">
      <c r="A3808" t="str">
        <f>"20200111153726133"</f>
        <v>20200111153726133</v>
      </c>
      <c r="B3808" t="str">
        <f>"1578728246126551"</f>
        <v>1578728246126551</v>
      </c>
      <c r="C3808" t="s">
        <v>37</v>
      </c>
      <c r="D3808">
        <v>5.8199209999999999</v>
      </c>
      <c r="E3808">
        <v>0.68203910000000001</v>
      </c>
      <c r="F3808" t="s">
        <v>43</v>
      </c>
      <c r="G3808">
        <v>-321.45490000000001</v>
      </c>
      <c r="H3808">
        <v>0.46532380000000001</v>
      </c>
      <c r="I3808">
        <v>105.4387</v>
      </c>
      <c r="J3808">
        <v>-196.00880000000001</v>
      </c>
      <c r="K3808">
        <v>1.098303</v>
      </c>
      <c r="L3808">
        <v>150.87629999999999</v>
      </c>
      <c r="M3808">
        <v>-0.54012729999999998</v>
      </c>
      <c r="N3808">
        <v>0</v>
      </c>
      <c r="O3808">
        <v>-0.84149779999999996</v>
      </c>
      <c r="P3808">
        <v>-0.69919489999999995</v>
      </c>
      <c r="Q3808">
        <v>2.5874769999999998E-2</v>
      </c>
      <c r="R3808">
        <v>-0.71446309999999902</v>
      </c>
      <c r="S3808">
        <v>-3.1407929999999999</v>
      </c>
      <c r="T3808">
        <v>-1.5837670000000002E-2</v>
      </c>
      <c r="U3808">
        <v>-1.1399539999999999</v>
      </c>
      <c r="V3808">
        <v>0.2030245</v>
      </c>
      <c r="W3808">
        <v>3.4598429999999999E-2</v>
      </c>
      <c r="X3808">
        <v>0.97856219999999905</v>
      </c>
      <c r="Y3808">
        <v>0.60676200000000002</v>
      </c>
      <c r="Z3808">
        <v>4.8545089999999999E-3</v>
      </c>
      <c r="AA3808">
        <v>0.79486880000000004</v>
      </c>
      <c r="AB3808">
        <v>22</v>
      </c>
      <c r="AC3808">
        <v>-125.4461</v>
      </c>
      <c r="AD3808">
        <v>-0.63297919999999996</v>
      </c>
      <c r="AE3808">
        <v>-45.437599999999897</v>
      </c>
      <c r="AF3808">
        <v>81.024537481751494</v>
      </c>
      <c r="AG3808">
        <v>-0.63297919999999996</v>
      </c>
      <c r="AH3808">
        <v>105.99774774284499</v>
      </c>
      <c r="AI3808">
        <v>90.271827089051897</v>
      </c>
      <c r="AJ3808">
        <v>52.605751907200101</v>
      </c>
      <c r="AK3808">
        <v>133.42000923158099</v>
      </c>
    </row>
    <row r="3809" spans="1:37" x14ac:dyDescent="0.2">
      <c r="A3809" t="str">
        <f>"20200111153726150"</f>
        <v>20200111153726150</v>
      </c>
      <c r="B3809" t="str">
        <f>"1578728246147046"</f>
        <v>1578728246147046</v>
      </c>
      <c r="C3809" t="s">
        <v>37</v>
      </c>
      <c r="D3809">
        <v>5.8262330000000002</v>
      </c>
      <c r="E3809">
        <v>0.68010459999999995</v>
      </c>
      <c r="F3809" t="s">
        <v>39</v>
      </c>
      <c r="G3809">
        <v>-309.95780000000002</v>
      </c>
      <c r="H3809">
        <v>4.6235850000000002E-2</v>
      </c>
      <c r="I3809">
        <v>109.7884</v>
      </c>
      <c r="J3809">
        <v>-196.10769999999999</v>
      </c>
      <c r="K3809">
        <v>1.0982379999999901</v>
      </c>
      <c r="L3809">
        <v>150.738</v>
      </c>
      <c r="M3809">
        <v>-0.5465951</v>
      </c>
      <c r="N3809">
        <v>0</v>
      </c>
      <c r="O3809">
        <v>-0.83731359999999999</v>
      </c>
      <c r="P3809">
        <v>-0.70467290000000005</v>
      </c>
      <c r="Q3809">
        <v>2.5506790000000001E-2</v>
      </c>
      <c r="R3809">
        <v>-0.70907430000000005</v>
      </c>
      <c r="S3809">
        <v>-3.13616899999999</v>
      </c>
      <c r="T3809">
        <v>-2.8955580000000002E-2</v>
      </c>
      <c r="U3809">
        <v>-1.130844</v>
      </c>
      <c r="V3809">
        <v>0.20300479999999901</v>
      </c>
      <c r="W3809">
        <v>3.4043709999999998E-2</v>
      </c>
      <c r="X3809">
        <v>0.97858579999999995</v>
      </c>
      <c r="Y3809">
        <v>0.60226499999999905</v>
      </c>
      <c r="Z3809">
        <v>8.8627389999999997E-3</v>
      </c>
      <c r="AA3809">
        <v>0.79824700000000004</v>
      </c>
      <c r="AB3809">
        <v>22</v>
      </c>
      <c r="AC3809">
        <v>-113.8501</v>
      </c>
      <c r="AD3809">
        <v>-1.0520021500000001</v>
      </c>
      <c r="AE3809">
        <v>-40.949599999999997</v>
      </c>
      <c r="AF3809">
        <v>72.944968570079496</v>
      </c>
      <c r="AG3809">
        <v>-1.0520021500000001</v>
      </c>
      <c r="AH3809">
        <v>96.517010958763194</v>
      </c>
      <c r="AI3809">
        <v>90.498206819812793</v>
      </c>
      <c r="AJ3809">
        <v>52.918989765209403</v>
      </c>
      <c r="AK3809">
        <v>120.985984942998</v>
      </c>
    </row>
    <row r="3810" spans="1:37" x14ac:dyDescent="0.2">
      <c r="A3810" t="str">
        <f>"20200111153726173"</f>
        <v>20200111153726173</v>
      </c>
      <c r="B3810" t="str">
        <f>"1578728246166567"</f>
        <v>1578728246166567</v>
      </c>
      <c r="C3810" t="s">
        <v>37</v>
      </c>
      <c r="D3810">
        <v>5.8472359999999997</v>
      </c>
      <c r="E3810">
        <v>0.65768740000000003</v>
      </c>
      <c r="F3810" t="s">
        <v>40</v>
      </c>
      <c r="G3810">
        <v>-280.23140000000001</v>
      </c>
      <c r="H3810">
        <v>-0.05</v>
      </c>
      <c r="I3810">
        <v>120.73220000000001</v>
      </c>
      <c r="J3810">
        <v>-196.24549999999999</v>
      </c>
      <c r="K3810">
        <v>1.098149</v>
      </c>
      <c r="L3810">
        <v>150.54900000000001</v>
      </c>
      <c r="M3810">
        <v>-0.55547899999999995</v>
      </c>
      <c r="N3810">
        <v>0</v>
      </c>
      <c r="O3810">
        <v>-0.83144969999999996</v>
      </c>
      <c r="P3810">
        <v>-0.71235139999999997</v>
      </c>
      <c r="Q3810">
        <v>2.5432079999999999E-2</v>
      </c>
      <c r="R3810">
        <v>-0.70136209999999999</v>
      </c>
      <c r="S3810">
        <v>-3.1340029999999999</v>
      </c>
      <c r="T3810">
        <v>-4.2777299999999997E-2</v>
      </c>
      <c r="U3810">
        <v>-1.1178589999999999</v>
      </c>
      <c r="V3810">
        <v>0.2032417</v>
      </c>
      <c r="W3810">
        <v>3.3696299999999998E-2</v>
      </c>
      <c r="X3810">
        <v>0.97854859999999899</v>
      </c>
      <c r="Y3810">
        <v>0.59645619999999999</v>
      </c>
      <c r="Z3810">
        <v>1.305222E-2</v>
      </c>
      <c r="AA3810">
        <v>0.80253960000000002</v>
      </c>
      <c r="AB3810">
        <v>22</v>
      </c>
      <c r="AC3810">
        <v>-83.985900000000001</v>
      </c>
      <c r="AD3810">
        <v>-1.1481490000000001</v>
      </c>
      <c r="AE3810">
        <v>-29.816800000000001</v>
      </c>
      <c r="AF3810">
        <v>53.262187164655998</v>
      </c>
      <c r="AG3810">
        <v>-1.1481490000000001</v>
      </c>
      <c r="AH3810">
        <v>71.436521076112001</v>
      </c>
      <c r="AI3810">
        <v>90.7382196224534</v>
      </c>
      <c r="AJ3810">
        <v>53.292243470942303</v>
      </c>
      <c r="AK3810">
        <v>89.114282643955804</v>
      </c>
    </row>
    <row r="3811" spans="1:37" x14ac:dyDescent="0.2">
      <c r="A3811" t="str">
        <f>"20200111153726195"</f>
        <v>20200111153726195</v>
      </c>
      <c r="B3811" t="str">
        <f>"1578728246187124"</f>
        <v>1578728246187124</v>
      </c>
      <c r="C3811" t="s">
        <v>37</v>
      </c>
      <c r="D3811">
        <v>5.8772339999999996</v>
      </c>
      <c r="E3811">
        <v>0.65550699999999995</v>
      </c>
      <c r="F3811" t="s">
        <v>39</v>
      </c>
      <c r="G3811">
        <v>-212.28129999999999</v>
      </c>
      <c r="H3811" s="1">
        <v>-4.6302939999999998E-6</v>
      </c>
      <c r="I3811">
        <v>144.0985</v>
      </c>
      <c r="J3811">
        <v>-196.3861</v>
      </c>
      <c r="K3811">
        <v>1.0980490000000001</v>
      </c>
      <c r="L3811">
        <v>150.3604</v>
      </c>
      <c r="M3811">
        <v>-0.56439969999999995</v>
      </c>
      <c r="N3811">
        <v>0</v>
      </c>
      <c r="O3811">
        <v>-0.82542369999999898</v>
      </c>
      <c r="P3811">
        <v>-0.71977199999999997</v>
      </c>
      <c r="Q3811">
        <v>2.610353E-2</v>
      </c>
      <c r="R3811">
        <v>-0.69371939999999999</v>
      </c>
      <c r="S3811">
        <v>-3.021973</v>
      </c>
      <c r="T3811">
        <v>-0.20694899999999899</v>
      </c>
      <c r="U3811">
        <v>-1.2156069999999899</v>
      </c>
      <c r="V3811">
        <v>0.20314279999999901</v>
      </c>
      <c r="W3811">
        <v>3.409471E-2</v>
      </c>
      <c r="X3811">
        <v>0.97855530000000002</v>
      </c>
      <c r="Y3811">
        <v>0.55305380000000004</v>
      </c>
      <c r="Z3811">
        <v>6.3175819999999994E-2</v>
      </c>
      <c r="AA3811">
        <v>0.83074680000000001</v>
      </c>
      <c r="AB3811">
        <v>22</v>
      </c>
      <c r="AC3811">
        <v>-15.8951999999999</v>
      </c>
      <c r="AD3811">
        <v>-1.098053630294</v>
      </c>
      <c r="AE3811">
        <v>-6.26189999999999</v>
      </c>
      <c r="AF3811">
        <v>9.5472371841600108</v>
      </c>
      <c r="AG3811">
        <v>-1.098053630294</v>
      </c>
      <c r="AH3811">
        <v>14.082700523136801</v>
      </c>
      <c r="AI3811">
        <v>93.6926731171488</v>
      </c>
      <c r="AJ3811">
        <v>55.8650533198212</v>
      </c>
      <c r="AK3811">
        <v>17.049278977422102</v>
      </c>
    </row>
    <row r="3812" spans="1:37" x14ac:dyDescent="0.2">
      <c r="A3812" t="str">
        <f>"20200111153726218"</f>
        <v>20200111153726218</v>
      </c>
      <c r="B3812" t="str">
        <f>"1578728246206640"</f>
        <v>1578728246206640</v>
      </c>
      <c r="C3812" t="s">
        <v>37</v>
      </c>
      <c r="D3812">
        <v>5.85337</v>
      </c>
      <c r="E3812">
        <v>0.65466440000000004</v>
      </c>
      <c r="F3812" t="s">
        <v>39</v>
      </c>
      <c r="G3812">
        <v>-211.90790000000001</v>
      </c>
      <c r="H3812" s="1">
        <v>-4.7950309999999996E-6</v>
      </c>
      <c r="I3812">
        <v>144.21879999999999</v>
      </c>
      <c r="J3812">
        <v>-196.52160000000001</v>
      </c>
      <c r="K3812">
        <v>1.09795</v>
      </c>
      <c r="L3812">
        <v>150.18260000000001</v>
      </c>
      <c r="M3812">
        <v>-0.57287929999999998</v>
      </c>
      <c r="N3812">
        <v>0</v>
      </c>
      <c r="O3812">
        <v>-0.81956430000000002</v>
      </c>
      <c r="P3812">
        <v>-0.72669490000000003</v>
      </c>
      <c r="Q3812">
        <v>2.745125E-2</v>
      </c>
      <c r="R3812">
        <v>-0.68641180000000002</v>
      </c>
      <c r="S3812">
        <v>-3.0229490000000001</v>
      </c>
      <c r="T3812">
        <v>-0.21385170000000001</v>
      </c>
      <c r="U3812">
        <v>-1.196121</v>
      </c>
      <c r="V3812">
        <v>0.2029261</v>
      </c>
      <c r="W3812">
        <v>3.5180290000000003E-2</v>
      </c>
      <c r="X3812">
        <v>0.97856189999999998</v>
      </c>
      <c r="Y3812">
        <v>0.54904059999999999</v>
      </c>
      <c r="Z3812">
        <v>6.5088209999999994E-2</v>
      </c>
      <c r="AA3812">
        <v>0.83325749999999998</v>
      </c>
      <c r="AB3812">
        <v>22</v>
      </c>
      <c r="AC3812">
        <v>-15.3863</v>
      </c>
      <c r="AD3812">
        <v>-1.097954795031</v>
      </c>
      <c r="AE3812">
        <v>-5.9638000000000098</v>
      </c>
      <c r="AF3812">
        <v>9.1535699482936703</v>
      </c>
      <c r="AG3812">
        <v>-1.097954795031</v>
      </c>
      <c r="AH3812">
        <v>13.6426611158751</v>
      </c>
      <c r="AI3812">
        <v>93.823422134927199</v>
      </c>
      <c r="AJ3812">
        <v>56.1402875050319</v>
      </c>
      <c r="AK3812">
        <v>16.465586835969301</v>
      </c>
    </row>
    <row r="3813" spans="1:37" x14ac:dyDescent="0.2">
      <c r="A3813" t="str">
        <f>"20200111153726240"</f>
        <v>20200111153726240</v>
      </c>
      <c r="B3813" t="str">
        <f>"1578728246236897"</f>
        <v>1578728246236897</v>
      </c>
      <c r="C3813" t="s">
        <v>37</v>
      </c>
      <c r="D3813">
        <v>5.8742640000000002</v>
      </c>
      <c r="E3813">
        <v>0.65362010000000004</v>
      </c>
      <c r="F3813" t="s">
        <v>39</v>
      </c>
      <c r="G3813">
        <v>-212.1635</v>
      </c>
      <c r="H3813" s="1">
        <v>-4.6827330000000004E-6</v>
      </c>
      <c r="I3813">
        <v>144.13919999999999</v>
      </c>
      <c r="J3813">
        <v>-196.66139999999999</v>
      </c>
      <c r="K3813">
        <v>1.097834</v>
      </c>
      <c r="L3813">
        <v>150.00319999999999</v>
      </c>
      <c r="M3813">
        <v>-0.58151459999999999</v>
      </c>
      <c r="N3813">
        <v>0</v>
      </c>
      <c r="O3813">
        <v>-0.81346350000000001</v>
      </c>
      <c r="P3813">
        <v>-0.7337861</v>
      </c>
      <c r="Q3813">
        <v>2.7648740000000002E-2</v>
      </c>
      <c r="R3813">
        <v>-0.67881800000000003</v>
      </c>
      <c r="S3813">
        <v>-3.0303960000000001</v>
      </c>
      <c r="T3813">
        <v>-0.21271279999999901</v>
      </c>
      <c r="U3813">
        <v>-1.1708369999999999</v>
      </c>
      <c r="V3813">
        <v>0.20275570000000001</v>
      </c>
      <c r="W3813">
        <v>3.5098329999999997E-2</v>
      </c>
      <c r="X3813">
        <v>0.97860009999999997</v>
      </c>
      <c r="Y3813">
        <v>0.54697669999999998</v>
      </c>
      <c r="Z3813">
        <v>6.450728E-2</v>
      </c>
      <c r="AA3813">
        <v>0.83465879999999903</v>
      </c>
      <c r="AB3813">
        <v>23</v>
      </c>
      <c r="AC3813">
        <v>-15.5021</v>
      </c>
      <c r="AD3813">
        <v>-1.097838682733</v>
      </c>
      <c r="AE3813">
        <v>-5.8639999999999999</v>
      </c>
      <c r="AF3813">
        <v>9.1607407058931205</v>
      </c>
      <c r="AG3813">
        <v>-1.097838682733</v>
      </c>
      <c r="AH3813">
        <v>13.7254399688583</v>
      </c>
      <c r="AI3813">
        <v>93.8062064992926</v>
      </c>
      <c r="AJ3813">
        <v>56.279750275238001</v>
      </c>
      <c r="AK3813">
        <v>16.538201909296099</v>
      </c>
    </row>
    <row r="3814" spans="1:37" x14ac:dyDescent="0.2">
      <c r="A3814" t="str">
        <f>"20200111153726265"</f>
        <v>20200111153726265</v>
      </c>
      <c r="B3814" t="str">
        <f>"1578728246256416"</f>
        <v>1578728246256416</v>
      </c>
      <c r="C3814" t="s">
        <v>37</v>
      </c>
      <c r="D3814">
        <v>5.8984290000000001</v>
      </c>
      <c r="E3814">
        <v>0.65308350000000004</v>
      </c>
      <c r="F3814" t="s">
        <v>39</v>
      </c>
      <c r="G3814">
        <v>-211.90979999999999</v>
      </c>
      <c r="H3814" s="1">
        <v>-4.8002210000000002E-6</v>
      </c>
      <c r="I3814">
        <v>144.25219999999999</v>
      </c>
      <c r="J3814">
        <v>-196.8278</v>
      </c>
      <c r="K3814">
        <v>1.097683</v>
      </c>
      <c r="L3814">
        <v>149.79519999999999</v>
      </c>
      <c r="M3814">
        <v>-0.59164019999999995</v>
      </c>
      <c r="N3814">
        <v>0</v>
      </c>
      <c r="O3814">
        <v>-0.80613290000000004</v>
      </c>
      <c r="P3814">
        <v>-0.74215129999999996</v>
      </c>
      <c r="Q3814">
        <v>2.7731519999999999E-2</v>
      </c>
      <c r="R3814">
        <v>-0.6696588</v>
      </c>
      <c r="S3814">
        <v>-3.0370180000000002</v>
      </c>
      <c r="T3814">
        <v>-0.21865609999999999</v>
      </c>
      <c r="U3814">
        <v>-1.145432</v>
      </c>
      <c r="V3814">
        <v>0.20267109999999999</v>
      </c>
      <c r="W3814">
        <v>3.4846710000000003E-2</v>
      </c>
      <c r="X3814">
        <v>0.97862669999999996</v>
      </c>
      <c r="Y3814">
        <v>0.54310789999999998</v>
      </c>
      <c r="Z3814">
        <v>6.5973240000000002E-2</v>
      </c>
      <c r="AA3814">
        <v>0.83706709999999995</v>
      </c>
      <c r="AB3814">
        <v>23</v>
      </c>
      <c r="AC3814">
        <v>-15.081999999999899</v>
      </c>
      <c r="AD3814">
        <v>-1.097687800221</v>
      </c>
      <c r="AE3814">
        <v>-5.5430000000000001</v>
      </c>
      <c r="AF3814">
        <v>8.8378860262460908</v>
      </c>
      <c r="AG3814">
        <v>-1.097687800221</v>
      </c>
      <c r="AH3814">
        <v>13.3300514409553</v>
      </c>
      <c r="AI3814">
        <v>93.926195826797397</v>
      </c>
      <c r="AJ3814">
        <v>56.455436962424699</v>
      </c>
      <c r="AK3814">
        <v>16.031326187754502</v>
      </c>
    </row>
    <row r="3815" spans="1:37" x14ac:dyDescent="0.2">
      <c r="A3815" t="str">
        <f>"20200111153726285"</f>
        <v>20200111153726285</v>
      </c>
      <c r="B3815" t="str">
        <f>"1578728246276918"</f>
        <v>1578728246276918</v>
      </c>
      <c r="C3815" t="s">
        <v>37</v>
      </c>
      <c r="D3815">
        <v>5.8828389999999997</v>
      </c>
      <c r="E3815">
        <v>0.65279390000000004</v>
      </c>
      <c r="F3815" t="s">
        <v>39</v>
      </c>
      <c r="G3815">
        <v>-211.7242</v>
      </c>
      <c r="H3815" s="1">
        <v>-4.8916069999999999E-6</v>
      </c>
      <c r="I3815">
        <v>144.3657</v>
      </c>
      <c r="J3815">
        <v>-196.95859999999999</v>
      </c>
      <c r="K3815">
        <v>1.097577</v>
      </c>
      <c r="L3815">
        <v>149.6353</v>
      </c>
      <c r="M3815">
        <v>-0.59947589999999995</v>
      </c>
      <c r="N3815">
        <v>0</v>
      </c>
      <c r="O3815">
        <v>-0.80032569999999903</v>
      </c>
      <c r="P3815">
        <v>-0.74914799999999904</v>
      </c>
      <c r="Q3815">
        <v>2.7973109999999999E-2</v>
      </c>
      <c r="R3815">
        <v>-0.66181199999999996</v>
      </c>
      <c r="S3815">
        <v>-3.048187</v>
      </c>
      <c r="T3815">
        <v>-0.22461489999999901</v>
      </c>
      <c r="U3815">
        <v>-1.1110229999999901</v>
      </c>
      <c r="V3815">
        <v>0.20342460000000001</v>
      </c>
      <c r="W3815">
        <v>3.4825729999999999E-2</v>
      </c>
      <c r="X3815">
        <v>0.97847099999999898</v>
      </c>
      <c r="Y3815">
        <v>0.54412269999999996</v>
      </c>
      <c r="Z3815">
        <v>6.7583110000000002E-2</v>
      </c>
      <c r="AA3815">
        <v>0.83627929999999995</v>
      </c>
      <c r="AB3815">
        <v>23</v>
      </c>
      <c r="AC3815">
        <v>-14.765599999999999</v>
      </c>
      <c r="AD3815">
        <v>-1.0975818916069999</v>
      </c>
      <c r="AE3815">
        <v>-5.2695999999999898</v>
      </c>
      <c r="AF3815">
        <v>8.61652429178225</v>
      </c>
      <c r="AG3815">
        <v>-1.0975818916069999</v>
      </c>
      <c r="AH3815">
        <v>13.005974126471299</v>
      </c>
      <c r="AI3815">
        <v>94.024245253336105</v>
      </c>
      <c r="AJ3815">
        <v>56.475323361206499</v>
      </c>
      <c r="AK3815">
        <v>15.639838229920899</v>
      </c>
    </row>
    <row r="3816" spans="1:37" x14ac:dyDescent="0.2">
      <c r="A3816" t="str">
        <f>"20200111153726299"</f>
        <v>20200111153726299</v>
      </c>
      <c r="B3816" t="str">
        <f>"1578728246286672"</f>
        <v>1578728246286672</v>
      </c>
      <c r="C3816" t="s">
        <v>37</v>
      </c>
      <c r="D3816">
        <v>5.8887289999999997</v>
      </c>
      <c r="E3816">
        <v>0.65256110000000001</v>
      </c>
      <c r="F3816" t="s">
        <v>39</v>
      </c>
      <c r="G3816">
        <v>-211.84620000000001</v>
      </c>
      <c r="H3816" s="1">
        <v>-4.8461029999999999E-6</v>
      </c>
      <c r="I3816">
        <v>144.37299999999999</v>
      </c>
      <c r="J3816">
        <v>-197.0505</v>
      </c>
      <c r="K3816">
        <v>1.097504</v>
      </c>
      <c r="L3816">
        <v>149.52440000000001</v>
      </c>
      <c r="M3816">
        <v>-0.60493219999999903</v>
      </c>
      <c r="N3816">
        <v>0</v>
      </c>
      <c r="O3816">
        <v>-0.79621140000000001</v>
      </c>
      <c r="P3816">
        <v>-0.75376699999999996</v>
      </c>
      <c r="Q3816">
        <v>2.828578E-2</v>
      </c>
      <c r="R3816">
        <v>-0.65653289999999997</v>
      </c>
      <c r="S3816">
        <v>-3.0580750000000001</v>
      </c>
      <c r="T3816">
        <v>-0.2254553</v>
      </c>
      <c r="U3816">
        <v>-1.0809169999999999</v>
      </c>
      <c r="V3816">
        <v>0.20360980000000001</v>
      </c>
      <c r="W3816">
        <v>3.4962510000000002E-2</v>
      </c>
      <c r="X3816">
        <v>0.97842759999999995</v>
      </c>
      <c r="Y3816">
        <v>0.54654199999999997</v>
      </c>
      <c r="Z3816">
        <v>6.7746509999999996E-2</v>
      </c>
      <c r="AA3816">
        <v>0.83468690000000001</v>
      </c>
      <c r="AB3816">
        <v>23</v>
      </c>
      <c r="AC3816">
        <v>-14.7957</v>
      </c>
      <c r="AD3816">
        <v>-1.097508846103</v>
      </c>
      <c r="AE3816">
        <v>-5.1514000000000202</v>
      </c>
      <c r="AF3816">
        <v>8.6223960014449492</v>
      </c>
      <c r="AG3816">
        <v>-1.097508846103</v>
      </c>
      <c r="AH3816">
        <v>12.988938152906201</v>
      </c>
      <c r="AI3816">
        <v>94.026795944991804</v>
      </c>
      <c r="AJ3816">
        <v>56.422755513929097</v>
      </c>
      <c r="AK3816">
        <v>15.628907601397801</v>
      </c>
    </row>
    <row r="3817" spans="1:37" x14ac:dyDescent="0.2">
      <c r="A3817" t="str">
        <f>"20200111153726317"</f>
        <v>20200111153726317</v>
      </c>
      <c r="B3817" t="str">
        <f>"1578728246307171"</f>
        <v>1578728246307171</v>
      </c>
      <c r="C3817" t="s">
        <v>37</v>
      </c>
      <c r="D3817">
        <v>5.9160449999999898</v>
      </c>
      <c r="E3817">
        <v>0.65189229999999998</v>
      </c>
      <c r="F3817" t="s">
        <v>39</v>
      </c>
      <c r="G3817">
        <v>-212.0376</v>
      </c>
      <c r="H3817" s="1">
        <v>-4.7661010000000002E-6</v>
      </c>
      <c r="I3817">
        <v>144.3366</v>
      </c>
      <c r="J3817">
        <v>-197.17689999999999</v>
      </c>
      <c r="K3817">
        <v>1.0974010000000001</v>
      </c>
      <c r="L3817">
        <v>149.375</v>
      </c>
      <c r="M3817">
        <v>-0.61234569999999999</v>
      </c>
      <c r="N3817">
        <v>0</v>
      </c>
      <c r="O3817">
        <v>-0.79052690000000003</v>
      </c>
      <c r="P3817">
        <v>-0.76015509999999997</v>
      </c>
      <c r="Q3817">
        <v>2.8783840000000002E-2</v>
      </c>
      <c r="R3817">
        <v>-0.64910429999999997</v>
      </c>
      <c r="S3817">
        <v>-3.0644990000000001</v>
      </c>
      <c r="T3817">
        <v>-0.2244139</v>
      </c>
      <c r="U3817">
        <v>-1.0607759999999999</v>
      </c>
      <c r="V3817">
        <v>0.204068</v>
      </c>
      <c r="W3817">
        <v>3.5212689999999998E-2</v>
      </c>
      <c r="X3817">
        <v>0.97832319999999995</v>
      </c>
      <c r="Y3817">
        <v>0.54420069999999998</v>
      </c>
      <c r="Z3817">
        <v>6.7142670000000002E-2</v>
      </c>
      <c r="AA3817">
        <v>0.83626399999999901</v>
      </c>
      <c r="AB3817">
        <v>23</v>
      </c>
      <c r="AC3817">
        <v>-14.8607</v>
      </c>
      <c r="AD3817">
        <v>-1.0974057661009999</v>
      </c>
      <c r="AE3817">
        <v>-5.0383999999999904</v>
      </c>
      <c r="AF3817">
        <v>8.6208088531695903</v>
      </c>
      <c r="AG3817">
        <v>-1.0974057661009999</v>
      </c>
      <c r="AH3817">
        <v>13.019849892016</v>
      </c>
      <c r="AI3817">
        <v>94.020022893363702</v>
      </c>
      <c r="AJ3817">
        <v>56.490336797634903</v>
      </c>
      <c r="AK3817">
        <v>15.6537259433334</v>
      </c>
    </row>
    <row r="3818" spans="1:37" x14ac:dyDescent="0.2">
      <c r="A3818" t="str">
        <f>"20200111153726332"</f>
        <v>20200111153726332</v>
      </c>
      <c r="B3818" t="str">
        <f>"1578728246326688"</f>
        <v>1578728246326688</v>
      </c>
      <c r="C3818" t="s">
        <v>37</v>
      </c>
      <c r="D3818">
        <v>5.960032</v>
      </c>
      <c r="E3818">
        <v>0.65147460000000001</v>
      </c>
      <c r="F3818" t="s">
        <v>39</v>
      </c>
      <c r="G3818">
        <v>-212.21420000000001</v>
      </c>
      <c r="H3818" s="1">
        <v>-4.6934279999999997E-6</v>
      </c>
      <c r="I3818">
        <v>144.3091</v>
      </c>
      <c r="J3818">
        <v>-197.2809</v>
      </c>
      <c r="K3818">
        <v>1.0973040000000001</v>
      </c>
      <c r="L3818">
        <v>149.2543</v>
      </c>
      <c r="M3818">
        <v>-0.61839040000000001</v>
      </c>
      <c r="N3818">
        <v>0</v>
      </c>
      <c r="O3818">
        <v>-0.78580950000000005</v>
      </c>
      <c r="P3818">
        <v>-0.76511450000000003</v>
      </c>
      <c r="Q3818">
        <v>2.8677910000000001E-2</v>
      </c>
      <c r="R3818">
        <v>-0.64325549999999998</v>
      </c>
      <c r="S3818">
        <v>-3.071472</v>
      </c>
      <c r="T3818">
        <v>-0.2241524</v>
      </c>
      <c r="U3818">
        <v>-1.0347599999999999</v>
      </c>
      <c r="V3818">
        <v>0.20407359999999999</v>
      </c>
      <c r="W3818">
        <v>3.4905319999999997E-2</v>
      </c>
      <c r="X3818">
        <v>0.97833309999999996</v>
      </c>
      <c r="Y3818">
        <v>0.54471769999999997</v>
      </c>
      <c r="Z3818">
        <v>6.6914890000000005E-2</v>
      </c>
      <c r="AA3818">
        <v>0.83594559999999996</v>
      </c>
      <c r="AB3818">
        <v>23</v>
      </c>
      <c r="AC3818">
        <v>-14.933299999999999</v>
      </c>
      <c r="AD3818">
        <v>-1.0973086934280001</v>
      </c>
      <c r="AE3818">
        <v>-4.9451999999999998</v>
      </c>
      <c r="AF3818">
        <v>8.6350679142686797</v>
      </c>
      <c r="AG3818">
        <v>-1.0973086934280001</v>
      </c>
      <c r="AH3818">
        <v>13.057692925643099</v>
      </c>
      <c r="AI3818">
        <v>94.009577543985699</v>
      </c>
      <c r="AJ3818">
        <v>56.523288360408003</v>
      </c>
      <c r="AK3818">
        <v>15.693050334243299</v>
      </c>
    </row>
    <row r="3819" spans="1:37" x14ac:dyDescent="0.2">
      <c r="A3819" t="str">
        <f>"20200111153726351"</f>
        <v>20200111153726351</v>
      </c>
      <c r="B3819" t="str">
        <f>"1578728246347185"</f>
        <v>1578728246347185</v>
      </c>
      <c r="C3819" t="s">
        <v>37</v>
      </c>
      <c r="D3819">
        <v>5.8731019999999896</v>
      </c>
      <c r="E3819">
        <v>0.64240180000000002</v>
      </c>
      <c r="F3819" t="s">
        <v>39</v>
      </c>
      <c r="G3819">
        <v>-212.26859999999999</v>
      </c>
      <c r="H3819" s="1">
        <v>-4.6739240000000001E-6</v>
      </c>
      <c r="I3819">
        <v>144.31700000000001</v>
      </c>
      <c r="J3819">
        <v>-197.40700000000001</v>
      </c>
      <c r="K3819">
        <v>1.0971899999999899</v>
      </c>
      <c r="L3819">
        <v>149.1104</v>
      </c>
      <c r="M3819">
        <v>-0.6256408</v>
      </c>
      <c r="N3819">
        <v>0</v>
      </c>
      <c r="O3819">
        <v>-0.78005179999999996</v>
      </c>
      <c r="P3819">
        <v>-0.77105440000000003</v>
      </c>
      <c r="Q3819">
        <v>2.894331E-2</v>
      </c>
      <c r="R3819">
        <v>-0.63611130000000005</v>
      </c>
      <c r="S3819">
        <v>-3.077194</v>
      </c>
      <c r="T3819">
        <v>-0.2252932</v>
      </c>
      <c r="U3819">
        <v>-1.0137020000000001</v>
      </c>
      <c r="V3819">
        <v>0.20411589999999999</v>
      </c>
      <c r="W3819">
        <v>3.4930580000000003E-2</v>
      </c>
      <c r="X3819">
        <v>0.97832330000000001</v>
      </c>
      <c r="Y3819">
        <v>0.542566199999999</v>
      </c>
      <c r="Z3819">
        <v>6.6969260000000003E-2</v>
      </c>
      <c r="AA3819">
        <v>0.83733930000000001</v>
      </c>
      <c r="AB3819">
        <v>23</v>
      </c>
      <c r="AC3819">
        <v>-14.8615999999999</v>
      </c>
      <c r="AD3819">
        <v>-1.0971946739239999</v>
      </c>
      <c r="AE3819">
        <v>-4.7933999999999903</v>
      </c>
      <c r="AF3819">
        <v>8.5520491773506304</v>
      </c>
      <c r="AG3819">
        <v>-1.0971946739239999</v>
      </c>
      <c r="AH3819">
        <v>12.9736784971064</v>
      </c>
      <c r="AI3819">
        <v>94.038955039733096</v>
      </c>
      <c r="AJ3819">
        <v>56.6077438620555</v>
      </c>
      <c r="AK3819">
        <v>15.5774746037537</v>
      </c>
    </row>
    <row r="3820" spans="1:37" x14ac:dyDescent="0.2">
      <c r="A3820" t="str">
        <f>"20200111153726374"</f>
        <v>20200111153726374</v>
      </c>
      <c r="B3820" t="str">
        <f>"1578728246366704"</f>
        <v>1578728246366704</v>
      </c>
      <c r="C3820" t="s">
        <v>37</v>
      </c>
      <c r="D3820">
        <v>5.9508929999999998</v>
      </c>
      <c r="E3820">
        <v>0.64207139999999996</v>
      </c>
      <c r="F3820" t="s">
        <v>39</v>
      </c>
      <c r="G3820">
        <v>-211.60470000000001</v>
      </c>
      <c r="H3820" s="1">
        <v>-4.9167580000000002E-6</v>
      </c>
      <c r="I3820">
        <v>144.24860000000001</v>
      </c>
      <c r="J3820">
        <v>-197.5754</v>
      </c>
      <c r="K3820">
        <v>1.097032</v>
      </c>
      <c r="L3820">
        <v>148.9222</v>
      </c>
      <c r="M3820">
        <v>-0.63519780000000003</v>
      </c>
      <c r="N3820">
        <v>0</v>
      </c>
      <c r="O3820">
        <v>-0.77229239999999999</v>
      </c>
      <c r="P3820">
        <v>-0.77876449999999997</v>
      </c>
      <c r="Q3820">
        <v>2.9933850000000001E-2</v>
      </c>
      <c r="R3820">
        <v>-0.62660209999999905</v>
      </c>
      <c r="S3820">
        <v>-3.0406040000000001</v>
      </c>
      <c r="T3820">
        <v>-0.234977299999999</v>
      </c>
      <c r="U3820">
        <v>-1.0412139999999901</v>
      </c>
      <c r="V3820">
        <v>0.20407169999999999</v>
      </c>
      <c r="W3820">
        <v>3.5617280000000001E-2</v>
      </c>
      <c r="X3820">
        <v>0.97830779999999995</v>
      </c>
      <c r="Y3820">
        <v>0.52207239999999999</v>
      </c>
      <c r="Z3820">
        <v>6.9430320000000004E-2</v>
      </c>
      <c r="AA3820">
        <v>0.85007049999999995</v>
      </c>
      <c r="AB3820">
        <v>23</v>
      </c>
      <c r="AC3820">
        <v>-14.029299999999999</v>
      </c>
      <c r="AD3820">
        <v>-1.0970369167580001</v>
      </c>
      <c r="AE3820">
        <v>-4.6735999999999898</v>
      </c>
      <c r="AF3820">
        <v>7.8233498142884397</v>
      </c>
      <c r="AG3820">
        <v>-1.0970369167580001</v>
      </c>
      <c r="AH3820">
        <v>12.4527804024252</v>
      </c>
      <c r="AI3820">
        <v>94.266144341221406</v>
      </c>
      <c r="AJ3820">
        <v>57.861268746889699</v>
      </c>
      <c r="AK3820">
        <v>14.7472042117983</v>
      </c>
    </row>
    <row r="3821" spans="1:37" x14ac:dyDescent="0.2">
      <c r="A3821" t="str">
        <f>"20200111153726397"</f>
        <v>20200111153726397</v>
      </c>
      <c r="B3821" t="str">
        <f>"1578728246386550"</f>
        <v>1578728246386550</v>
      </c>
      <c r="C3821" t="s">
        <v>37</v>
      </c>
      <c r="D3821">
        <v>5.9870539999999997</v>
      </c>
      <c r="E3821">
        <v>0.64119090000000001</v>
      </c>
      <c r="F3821" t="s">
        <v>39</v>
      </c>
      <c r="G3821">
        <v>-211.41220000000001</v>
      </c>
      <c r="H3821" s="1">
        <v>-5.0103969999999996E-6</v>
      </c>
      <c r="I3821">
        <v>144.35990000000001</v>
      </c>
      <c r="J3821">
        <v>-197.7346</v>
      </c>
      <c r="K3821">
        <v>1.096886</v>
      </c>
      <c r="L3821">
        <v>148.74850000000001</v>
      </c>
      <c r="M3821">
        <v>-0.64409930000000004</v>
      </c>
      <c r="N3821">
        <v>0</v>
      </c>
      <c r="O3821">
        <v>-0.76488669999999903</v>
      </c>
      <c r="P3821">
        <v>-0.78557069999999996</v>
      </c>
      <c r="Q3821">
        <v>3.107155E-2</v>
      </c>
      <c r="R3821">
        <v>-0.61799159999999997</v>
      </c>
      <c r="S3821">
        <v>-3.051895</v>
      </c>
      <c r="T3821">
        <v>-0.24196570000000001</v>
      </c>
      <c r="U3821">
        <v>-1.0062709999999999</v>
      </c>
      <c r="V3821">
        <v>0.20350570000000001</v>
      </c>
      <c r="W3821">
        <v>3.6497420000000003E-2</v>
      </c>
      <c r="X3821">
        <v>0.97839330000000002</v>
      </c>
      <c r="Y3821">
        <v>0.52176559999999905</v>
      </c>
      <c r="Z3821">
        <v>7.1121030000000002E-2</v>
      </c>
      <c r="AA3821">
        <v>0.85011909999999902</v>
      </c>
      <c r="AB3821">
        <v>23</v>
      </c>
      <c r="AC3821">
        <v>-13.6776</v>
      </c>
      <c r="AD3821">
        <v>-1.096891010397</v>
      </c>
      <c r="AE3821">
        <v>-4.3885999999999896</v>
      </c>
      <c r="AF3821">
        <v>7.5911775234432497</v>
      </c>
      <c r="AG3821">
        <v>-1.096891010397</v>
      </c>
      <c r="AH3821">
        <v>12.096492083294301</v>
      </c>
      <c r="AI3821">
        <v>94.392090196290596</v>
      </c>
      <c r="AJ3821">
        <v>57.889592185309198</v>
      </c>
      <c r="AK3821">
        <v>14.323207280575099</v>
      </c>
    </row>
    <row r="3822" spans="1:37" x14ac:dyDescent="0.2">
      <c r="A3822" t="str">
        <f>"20200111153726419"</f>
        <v>20200111153726419</v>
      </c>
      <c r="B3822" t="str">
        <f>"1578728246407046"</f>
        <v>1578728246407046</v>
      </c>
      <c r="C3822" t="s">
        <v>37</v>
      </c>
      <c r="D3822">
        <v>6.0094449999999897</v>
      </c>
      <c r="E3822">
        <v>0.64035120000000001</v>
      </c>
      <c r="F3822" t="s">
        <v>39</v>
      </c>
      <c r="G3822">
        <v>-211.04140000000001</v>
      </c>
      <c r="H3822" s="1">
        <v>-5.175957E-6</v>
      </c>
      <c r="I3822">
        <v>144.49029999999999</v>
      </c>
      <c r="J3822">
        <v>-197.8938</v>
      </c>
      <c r="K3822">
        <v>1.0967340000000001</v>
      </c>
      <c r="L3822">
        <v>148.5789</v>
      </c>
      <c r="M3822">
        <v>-0.65288139999999995</v>
      </c>
      <c r="N3822">
        <v>0</v>
      </c>
      <c r="O3822">
        <v>-0.75740689999999999</v>
      </c>
      <c r="P3822">
        <v>-0.79249409999999998</v>
      </c>
      <c r="Q3822">
        <v>3.1543630000000003E-2</v>
      </c>
      <c r="R3822">
        <v>-0.60906359999999904</v>
      </c>
      <c r="S3822">
        <v>-3.0588069999999998</v>
      </c>
      <c r="T3822">
        <v>-0.25214120000000001</v>
      </c>
      <c r="U3822">
        <v>-0.97883609999999899</v>
      </c>
      <c r="V3822">
        <v>0.2032911</v>
      </c>
      <c r="W3822">
        <v>3.6719000000000002E-2</v>
      </c>
      <c r="X3822">
        <v>0.97842960000000001</v>
      </c>
      <c r="Y3822">
        <v>0.51916679999999904</v>
      </c>
      <c r="Z3822">
        <v>7.3668929999999994E-2</v>
      </c>
      <c r="AA3822">
        <v>0.85149200000000003</v>
      </c>
      <c r="AB3822">
        <v>23</v>
      </c>
      <c r="AC3822">
        <v>-13.147600000000001</v>
      </c>
      <c r="AD3822">
        <v>-1.096739175957</v>
      </c>
      <c r="AE3822">
        <v>-4.0886000000000102</v>
      </c>
      <c r="AF3822">
        <v>7.2430497901691604</v>
      </c>
      <c r="AG3822">
        <v>-1.096739175957</v>
      </c>
      <c r="AH3822">
        <v>11.6073810658356</v>
      </c>
      <c r="AI3822">
        <v>94.5830382642975</v>
      </c>
      <c r="AJ3822">
        <v>58.035680429835402</v>
      </c>
      <c r="AK3822">
        <v>13.7257386792284</v>
      </c>
    </row>
    <row r="3823" spans="1:37" x14ac:dyDescent="0.2">
      <c r="A3823" t="str">
        <f>"20200111153726442"</f>
        <v>20200111153726442</v>
      </c>
      <c r="B3823" t="str">
        <f>"1578728246437302"</f>
        <v>1578728246437302</v>
      </c>
      <c r="C3823" t="s">
        <v>37</v>
      </c>
      <c r="D3823">
        <v>6.0231430000000001</v>
      </c>
      <c r="E3823">
        <v>0.63945540000000001</v>
      </c>
      <c r="F3823" t="s">
        <v>39</v>
      </c>
      <c r="G3823">
        <v>-210.89529999999999</v>
      </c>
      <c r="H3823" s="1">
        <v>-5.2426779999999996E-6</v>
      </c>
      <c r="I3823">
        <v>144.55019999999999</v>
      </c>
      <c r="J3823">
        <v>-198.05779999999999</v>
      </c>
      <c r="K3823">
        <v>1.096568</v>
      </c>
      <c r="L3823">
        <v>148.40860000000001</v>
      </c>
      <c r="M3823">
        <v>-0.66181630000000002</v>
      </c>
      <c r="N3823">
        <v>0</v>
      </c>
      <c r="O3823">
        <v>-0.74961469999999997</v>
      </c>
      <c r="P3823">
        <v>-0.79968629999999996</v>
      </c>
      <c r="Q3823">
        <v>3.2158140000000002E-2</v>
      </c>
      <c r="R3823">
        <v>-0.59955630000000004</v>
      </c>
      <c r="S3823">
        <v>-3.0657199999999998</v>
      </c>
      <c r="T3823">
        <v>-0.25860919999999998</v>
      </c>
      <c r="U3823">
        <v>-0.94996639999999999</v>
      </c>
      <c r="V3823">
        <v>0.20337710000000001</v>
      </c>
      <c r="W3823">
        <v>3.7074469999999998E-2</v>
      </c>
      <c r="X3823">
        <v>0.97839830000000005</v>
      </c>
      <c r="Y3823">
        <v>0.51675119999999997</v>
      </c>
      <c r="Z3823">
        <v>7.5094640000000004E-2</v>
      </c>
      <c r="AA3823">
        <v>0.85283580000000003</v>
      </c>
      <c r="AB3823">
        <v>23</v>
      </c>
      <c r="AC3823">
        <v>-12.8375</v>
      </c>
      <c r="AD3823">
        <v>-1.0965732426779999</v>
      </c>
      <c r="AE3823">
        <v>-3.8584000000000098</v>
      </c>
      <c r="AF3823">
        <v>7.02290173119437</v>
      </c>
      <c r="AG3823">
        <v>-1.0965732426779999</v>
      </c>
      <c r="AH3823">
        <v>11.3131113974804</v>
      </c>
      <c r="AI3823">
        <v>94.707796212570102</v>
      </c>
      <c r="AJ3823">
        <v>58.169005306004003</v>
      </c>
      <c r="AK3823">
        <v>13.360767608725601</v>
      </c>
    </row>
    <row r="3824" spans="1:37" x14ac:dyDescent="0.2">
      <c r="A3824" t="str">
        <f>"20200111153726465"</f>
        <v>20200111153726465</v>
      </c>
      <c r="B3824" t="str">
        <f>"1578728246456822"</f>
        <v>1578728246456822</v>
      </c>
      <c r="C3824" t="s">
        <v>37</v>
      </c>
      <c r="D3824">
        <v>6.0358299999999998</v>
      </c>
      <c r="E3824">
        <v>0.63907250000000004</v>
      </c>
      <c r="F3824" t="s">
        <v>39</v>
      </c>
      <c r="G3824">
        <v>-211.01689999999999</v>
      </c>
      <c r="H3824" s="1">
        <v>-5.1926189999999902E-6</v>
      </c>
      <c r="I3824">
        <v>144.53129999999999</v>
      </c>
      <c r="J3824">
        <v>-198.24160000000001</v>
      </c>
      <c r="K3824">
        <v>1.09639</v>
      </c>
      <c r="L3824">
        <v>148.22280000000001</v>
      </c>
      <c r="M3824">
        <v>-0.67169089999999998</v>
      </c>
      <c r="N3824">
        <v>0</v>
      </c>
      <c r="O3824">
        <v>-0.74078180000000005</v>
      </c>
      <c r="P3824">
        <v>-0.80832179999999998</v>
      </c>
      <c r="Q3824">
        <v>3.2323320000000003E-2</v>
      </c>
      <c r="R3824">
        <v>-0.58785330000000002</v>
      </c>
      <c r="S3824">
        <v>-3.0726619999999998</v>
      </c>
      <c r="T3824">
        <v>-0.2600037</v>
      </c>
      <c r="U3824">
        <v>-0.91934199999999999</v>
      </c>
      <c r="V3824">
        <v>0.20466409999999999</v>
      </c>
      <c r="W3824">
        <v>3.6929139999999999E-2</v>
      </c>
      <c r="X3824">
        <v>0.97813539999999999</v>
      </c>
      <c r="Y3824">
        <v>0.51373409999999997</v>
      </c>
      <c r="Z3824">
        <v>7.4957689999999993E-2</v>
      </c>
      <c r="AA3824">
        <v>0.85466869999999995</v>
      </c>
      <c r="AB3824">
        <v>23</v>
      </c>
      <c r="AC3824">
        <v>-12.7752999999999</v>
      </c>
      <c r="AD3824">
        <v>-1.0963951926189901</v>
      </c>
      <c r="AE3824">
        <v>-3.6915000000000102</v>
      </c>
      <c r="AF3824">
        <v>6.9372622704584899</v>
      </c>
      <c r="AG3824">
        <v>-1.0963951926189901</v>
      </c>
      <c r="AH3824">
        <v>11.2396611927172</v>
      </c>
      <c r="AI3824">
        <v>94.745180916903607</v>
      </c>
      <c r="AJ3824">
        <v>58.316586053941599</v>
      </c>
      <c r="AK3824">
        <v>13.253590983375</v>
      </c>
    </row>
    <row r="3825" spans="1:37" x14ac:dyDescent="0.2">
      <c r="A3825" t="str">
        <f>"20200111153726487"</f>
        <v>20200111153726487</v>
      </c>
      <c r="B3825" t="str">
        <f>"1578728246476342"</f>
        <v>1578728246476342</v>
      </c>
      <c r="C3825" t="s">
        <v>37</v>
      </c>
      <c r="D3825">
        <v>5.8372000000000002</v>
      </c>
      <c r="E3825">
        <v>0.63944429999999997</v>
      </c>
      <c r="F3825" t="s">
        <v>39</v>
      </c>
      <c r="G3825">
        <v>-211.18629999999999</v>
      </c>
      <c r="H3825" s="1">
        <v>-5.1294569999999996E-6</v>
      </c>
      <c r="I3825">
        <v>144.542</v>
      </c>
      <c r="J3825">
        <v>-198.4092</v>
      </c>
      <c r="K3825">
        <v>1.096231</v>
      </c>
      <c r="L3825">
        <v>148.0574</v>
      </c>
      <c r="M3825">
        <v>-0.68055500000000002</v>
      </c>
      <c r="N3825">
        <v>0</v>
      </c>
      <c r="O3825">
        <v>-0.73264869999999904</v>
      </c>
      <c r="P3825">
        <v>-0.81622980000000001</v>
      </c>
      <c r="Q3825">
        <v>3.3728170000000002E-2</v>
      </c>
      <c r="R3825">
        <v>-0.57674239999999999</v>
      </c>
      <c r="S3825">
        <v>-3.0840909999999999</v>
      </c>
      <c r="T3825">
        <v>-0.26121739999999999</v>
      </c>
      <c r="U3825">
        <v>-0.87695309999999904</v>
      </c>
      <c r="V3825">
        <v>0.20626929999999999</v>
      </c>
      <c r="W3825">
        <v>3.8053690000000001E-2</v>
      </c>
      <c r="X3825">
        <v>0.97775499999999904</v>
      </c>
      <c r="Y3825">
        <v>0.51510849999999997</v>
      </c>
      <c r="Z3825">
        <v>7.4914980000000006E-2</v>
      </c>
      <c r="AA3825">
        <v>0.85384479999999996</v>
      </c>
      <c r="AB3825">
        <v>24</v>
      </c>
      <c r="AC3825">
        <v>-12.7770999999999</v>
      </c>
      <c r="AD3825">
        <v>-1.096236129457</v>
      </c>
      <c r="AE3825">
        <v>-3.5154000000000001</v>
      </c>
      <c r="AF3825">
        <v>6.9215841427790101</v>
      </c>
      <c r="AG3825">
        <v>-1.096236129457</v>
      </c>
      <c r="AH3825">
        <v>11.1948637688104</v>
      </c>
      <c r="AI3825">
        <v>94.761127510396307</v>
      </c>
      <c r="AJ3825">
        <v>58.272239160616103</v>
      </c>
      <c r="AK3825">
        <v>13.2073856421065</v>
      </c>
    </row>
    <row r="3826" spans="1:37" x14ac:dyDescent="0.2">
      <c r="A3826" t="str">
        <f>"20200111153726508"</f>
        <v>20200111153726508</v>
      </c>
      <c r="B3826" t="str">
        <f>"1578728246496840"</f>
        <v>1578728246496840</v>
      </c>
      <c r="C3826" t="s">
        <v>37</v>
      </c>
      <c r="D3826">
        <v>6.1011300000000004</v>
      </c>
      <c r="E3826">
        <v>0.63841159999999997</v>
      </c>
      <c r="F3826" t="s">
        <v>39</v>
      </c>
      <c r="G3826">
        <v>-211.7054</v>
      </c>
      <c r="H3826" s="1">
        <v>-4.9199790000000004E-6</v>
      </c>
      <c r="I3826">
        <v>144.4847</v>
      </c>
      <c r="J3826">
        <v>-198.5753</v>
      </c>
      <c r="K3826">
        <v>1.096074</v>
      </c>
      <c r="L3826">
        <v>147.8974</v>
      </c>
      <c r="M3826">
        <v>-0.68921940000000004</v>
      </c>
      <c r="N3826">
        <v>0</v>
      </c>
      <c r="O3826">
        <v>-0.72450649999999905</v>
      </c>
      <c r="P3826">
        <v>-0.82384559999999996</v>
      </c>
      <c r="Q3826">
        <v>3.4537650000000003E-2</v>
      </c>
      <c r="R3826">
        <v>-0.56576199999999999</v>
      </c>
      <c r="S3826">
        <v>-3.0978089999999998</v>
      </c>
      <c r="T3826">
        <v>-0.25540689999999999</v>
      </c>
      <c r="U3826">
        <v>-0.83239750000000001</v>
      </c>
      <c r="V3826">
        <v>0.20773520000000001</v>
      </c>
      <c r="W3826">
        <v>3.8581629999999999E-2</v>
      </c>
      <c r="X3826">
        <v>0.97742390000000001</v>
      </c>
      <c r="Y3826">
        <v>0.517509</v>
      </c>
      <c r="Z3826">
        <v>7.2853100000000004E-2</v>
      </c>
      <c r="AA3826">
        <v>0.85257070000000001</v>
      </c>
      <c r="AB3826">
        <v>24</v>
      </c>
      <c r="AC3826">
        <v>-13.130100000000001</v>
      </c>
      <c r="AD3826">
        <v>-1.096078919979</v>
      </c>
      <c r="AE3826">
        <v>-3.4127000000000001</v>
      </c>
      <c r="AF3826">
        <v>7.1145421946544101</v>
      </c>
      <c r="AG3826">
        <v>-1.096078919979</v>
      </c>
      <c r="AH3826">
        <v>11.4477020537449</v>
      </c>
      <c r="AI3826">
        <v>94.649136555566699</v>
      </c>
      <c r="AJ3826">
        <v>58.139787605360397</v>
      </c>
      <c r="AK3826">
        <v>13.5228688505678</v>
      </c>
    </row>
    <row r="3827" spans="1:37" x14ac:dyDescent="0.2">
      <c r="A3827" t="str">
        <f>"20200111153726530"</f>
        <v>20200111153726530</v>
      </c>
      <c r="B3827" t="str">
        <f>"1578728246527094"</f>
        <v>1578728246527094</v>
      </c>
      <c r="C3827" t="s">
        <v>37</v>
      </c>
      <c r="D3827">
        <v>6.0321009999999999</v>
      </c>
      <c r="E3827">
        <v>0.63615829999999995</v>
      </c>
      <c r="F3827" t="s">
        <v>39</v>
      </c>
      <c r="G3827">
        <v>-211.9742</v>
      </c>
      <c r="H3827" s="1">
        <v>-4.811392E-6</v>
      </c>
      <c r="I3827">
        <v>144.4545</v>
      </c>
      <c r="J3827">
        <v>-198.74680000000001</v>
      </c>
      <c r="K3827">
        <v>1.0959129999999999</v>
      </c>
      <c r="L3827">
        <v>147.7363</v>
      </c>
      <c r="M3827">
        <v>-0.69803249999999994</v>
      </c>
      <c r="N3827">
        <v>0</v>
      </c>
      <c r="O3827">
        <v>-0.71602149999999998</v>
      </c>
      <c r="P3827">
        <v>-0.83121409999999996</v>
      </c>
      <c r="Q3827">
        <v>3.5493709999999998E-2</v>
      </c>
      <c r="R3827">
        <v>-0.55481859999999905</v>
      </c>
      <c r="S3827">
        <v>-3.1043090000000002</v>
      </c>
      <c r="T3827">
        <v>-0.25394549999999999</v>
      </c>
      <c r="U3827">
        <v>-0.7976837</v>
      </c>
      <c r="V3827">
        <v>0.20869969999999999</v>
      </c>
      <c r="W3827">
        <v>3.9240589999999999E-2</v>
      </c>
      <c r="X3827">
        <v>0.97719219999999896</v>
      </c>
      <c r="Y3827">
        <v>0.5164782</v>
      </c>
      <c r="Z3827">
        <v>7.1984019999999996E-2</v>
      </c>
      <c r="AA3827">
        <v>0.85326930000000001</v>
      </c>
      <c r="AB3827">
        <v>24</v>
      </c>
      <c r="AC3827">
        <v>-13.2273999999999</v>
      </c>
      <c r="AD3827">
        <v>-1.0959178113919901</v>
      </c>
      <c r="AE3827">
        <v>-3.2818000000000001</v>
      </c>
      <c r="AF3827">
        <v>7.1343949551972496</v>
      </c>
      <c r="AG3827">
        <v>-1.0959178113919901</v>
      </c>
      <c r="AH3827">
        <v>11.5089425601938</v>
      </c>
      <c r="AI3827">
        <v>94.627093223409403</v>
      </c>
      <c r="AJ3827">
        <v>58.205220774996697</v>
      </c>
      <c r="AK3827">
        <v>13.585153148930999</v>
      </c>
    </row>
    <row r="3828" spans="1:37" x14ac:dyDescent="0.2">
      <c r="A3828" t="str">
        <f>"20200111153726554"</f>
        <v>20200111153726554</v>
      </c>
      <c r="B3828" t="str">
        <f>"1578728246546614"</f>
        <v>1578728246546614</v>
      </c>
      <c r="C3828" t="s">
        <v>37</v>
      </c>
      <c r="D3828">
        <v>6.0860820000000002</v>
      </c>
      <c r="E3828">
        <v>0.63523469999999904</v>
      </c>
      <c r="F3828" t="s">
        <v>39</v>
      </c>
      <c r="G3828">
        <v>-211.38220000000001</v>
      </c>
      <c r="H3828" s="1">
        <v>-5.0637459999999902E-6</v>
      </c>
      <c r="I3828">
        <v>144.59559999999999</v>
      </c>
      <c r="J3828">
        <v>-198.94239999999999</v>
      </c>
      <c r="K3828">
        <v>1.0957209999999999</v>
      </c>
      <c r="L3828">
        <v>147.55719999999999</v>
      </c>
      <c r="M3828">
        <v>-0.70792900000000003</v>
      </c>
      <c r="N3828">
        <v>0</v>
      </c>
      <c r="O3828">
        <v>-0.70624140000000002</v>
      </c>
      <c r="P3828">
        <v>-0.83904669999999903</v>
      </c>
      <c r="Q3828">
        <v>3.6299249999999998E-2</v>
      </c>
      <c r="R3828">
        <v>-0.54284719999999997</v>
      </c>
      <c r="S3828">
        <v>-3.1054529999999998</v>
      </c>
      <c r="T3828">
        <v>-0.26934809999999998</v>
      </c>
      <c r="U3828">
        <v>-0.77192689999999997</v>
      </c>
      <c r="V3828">
        <v>0.2091105</v>
      </c>
      <c r="W3828">
        <v>3.9706579999999998E-2</v>
      </c>
      <c r="X3828">
        <v>0.97708549999999905</v>
      </c>
      <c r="Y3828">
        <v>0.51091549999999997</v>
      </c>
      <c r="Z3828">
        <v>7.5659240000000003E-2</v>
      </c>
      <c r="AA3828">
        <v>0.85629489999999997</v>
      </c>
      <c r="AB3828">
        <v>24</v>
      </c>
      <c r="AC3828">
        <v>-12.4398</v>
      </c>
      <c r="AD3828">
        <v>-1.095726063746</v>
      </c>
      <c r="AE3828">
        <v>-2.9615999999999998</v>
      </c>
      <c r="AF3828">
        <v>6.6403430418954503</v>
      </c>
      <c r="AG3828">
        <v>-1.095726063746</v>
      </c>
      <c r="AH3828">
        <v>10.818987987622901</v>
      </c>
      <c r="AI3828">
        <v>94.933345812188094</v>
      </c>
      <c r="AJ3828">
        <v>58.4597508032641</v>
      </c>
      <c r="AK3828">
        <v>12.74147842274</v>
      </c>
    </row>
    <row r="3829" spans="1:37" x14ac:dyDescent="0.2">
      <c r="A3829" t="str">
        <f>"20200111153726575"</f>
        <v>20200111153726575</v>
      </c>
      <c r="B3829" t="str">
        <f>"1578728246567109"</f>
        <v>1578728246567109</v>
      </c>
      <c r="C3829" t="s">
        <v>37</v>
      </c>
      <c r="D3829">
        <v>6.0164299999999997</v>
      </c>
      <c r="E3829">
        <v>0.61232540000000002</v>
      </c>
      <c r="F3829" t="s">
        <v>39</v>
      </c>
      <c r="G3829">
        <v>-211.31139999999999</v>
      </c>
      <c r="H3829" s="1">
        <v>-5.0989999999999998E-6</v>
      </c>
      <c r="I3829">
        <v>144.64099999999999</v>
      </c>
      <c r="J3829">
        <v>-199.1251</v>
      </c>
      <c r="K3829">
        <v>1.095545</v>
      </c>
      <c r="L3829">
        <v>147.39429999999999</v>
      </c>
      <c r="M3829">
        <v>-0.71699539999999995</v>
      </c>
      <c r="N3829">
        <v>0</v>
      </c>
      <c r="O3829">
        <v>-0.69703760000000003</v>
      </c>
      <c r="P3829">
        <v>-0.84566969999999997</v>
      </c>
      <c r="Q3829">
        <v>3.600685E-2</v>
      </c>
      <c r="R3829">
        <v>-0.53249069999999898</v>
      </c>
      <c r="S3829">
        <v>-3.112625</v>
      </c>
      <c r="T3829">
        <v>-0.27573819999999999</v>
      </c>
      <c r="U3829">
        <v>-0.73385619999999996</v>
      </c>
      <c r="V3829">
        <v>0.20851049999999999</v>
      </c>
      <c r="W3829">
        <v>3.9116230000000002E-2</v>
      </c>
      <c r="X3829">
        <v>0.97723760000000004</v>
      </c>
      <c r="Y3829">
        <v>0.51002959999999997</v>
      </c>
      <c r="Z3829">
        <v>7.6884659999999994E-2</v>
      </c>
      <c r="AA3829">
        <v>0.85671379999999997</v>
      </c>
      <c r="AB3829">
        <v>24</v>
      </c>
      <c r="AC3829">
        <v>-12.1862999999999</v>
      </c>
      <c r="AD3829">
        <v>-1.095550099</v>
      </c>
      <c r="AE3829">
        <v>-2.7532999999999901</v>
      </c>
      <c r="AF3829">
        <v>6.4706330022979701</v>
      </c>
      <c r="AG3829">
        <v>-1.095550099</v>
      </c>
      <c r="AH3829">
        <v>10.575652390413699</v>
      </c>
      <c r="AI3829">
        <v>95.049778138400498</v>
      </c>
      <c r="AJ3829">
        <v>58.539935692663299</v>
      </c>
      <c r="AK3829">
        <v>12.4464350298674</v>
      </c>
    </row>
    <row r="3830" spans="1:37" x14ac:dyDescent="0.2">
      <c r="A3830" t="str">
        <f>"20200111153726599"</f>
        <v>20200111153726599</v>
      </c>
      <c r="B3830" t="str">
        <f>"1578728246586630"</f>
        <v>1578728246586630</v>
      </c>
      <c r="C3830" t="s">
        <v>37</v>
      </c>
      <c r="D3830">
        <v>6.1005919999999998</v>
      </c>
      <c r="E3830">
        <v>0.61101810000000001</v>
      </c>
      <c r="F3830" t="s">
        <v>51</v>
      </c>
      <c r="G3830">
        <v>-206.00530000000001</v>
      </c>
      <c r="H3830" s="1">
        <v>-8.679328E-6</v>
      </c>
      <c r="I3830">
        <v>145.4486</v>
      </c>
      <c r="J3830">
        <v>-199.31630000000001</v>
      </c>
      <c r="K3830">
        <v>1.0953520000000001</v>
      </c>
      <c r="L3830">
        <v>147.22819999999999</v>
      </c>
      <c r="M3830">
        <v>-0.72630719999999904</v>
      </c>
      <c r="N3830">
        <v>0</v>
      </c>
      <c r="O3830">
        <v>-0.68733219999999995</v>
      </c>
      <c r="P3830">
        <v>-0.85209919999999995</v>
      </c>
      <c r="Q3830">
        <v>3.5190440000000003E-2</v>
      </c>
      <c r="R3830">
        <v>-0.52219599999999999</v>
      </c>
      <c r="S3830">
        <v>-3.0287169999999999</v>
      </c>
      <c r="T3830">
        <v>-0.48226590000000003</v>
      </c>
      <c r="U3830">
        <v>-0.85650630000000005</v>
      </c>
      <c r="V3830">
        <v>0.20723179999999899</v>
      </c>
      <c r="W3830">
        <v>3.8006989999999997E-2</v>
      </c>
      <c r="X3830">
        <v>0.97755329999999996</v>
      </c>
      <c r="Y3830">
        <v>0.45230609999999999</v>
      </c>
      <c r="Z3830">
        <v>0.13098650000000001</v>
      </c>
      <c r="AA3830">
        <v>0.88219150000000002</v>
      </c>
      <c r="AB3830">
        <v>24</v>
      </c>
      <c r="AC3830">
        <v>-6.6889999999999903</v>
      </c>
      <c r="AD3830">
        <v>-1.095360679328</v>
      </c>
      <c r="AE3830">
        <v>-1.7795999999999801</v>
      </c>
      <c r="AF3830">
        <v>3.2243665680556401</v>
      </c>
      <c r="AG3830">
        <v>-1.095360679328</v>
      </c>
      <c r="AH3830">
        <v>5.9330220582000104</v>
      </c>
      <c r="AI3830">
        <v>99.213905800835093</v>
      </c>
      <c r="AJ3830">
        <v>61.477641385437501</v>
      </c>
      <c r="AK3830">
        <v>6.8408409955282998</v>
      </c>
    </row>
    <row r="3831" spans="1:37" x14ac:dyDescent="0.2">
      <c r="A3831" t="str">
        <f>"20200111153726621"</f>
        <v>20200111153726621</v>
      </c>
      <c r="B3831" t="str">
        <f>"1578728246616886"</f>
        <v>1578728246616886</v>
      </c>
      <c r="C3831" t="s">
        <v>37</v>
      </c>
      <c r="D3831">
        <v>6.0125580000000003</v>
      </c>
      <c r="E3831">
        <v>0.60955509999999902</v>
      </c>
      <c r="F3831" t="s">
        <v>51</v>
      </c>
      <c r="G3831">
        <v>-206.08690000000001</v>
      </c>
      <c r="H3831" s="1">
        <v>-8.6245509999999997E-6</v>
      </c>
      <c r="I3831">
        <v>145.37809999999999</v>
      </c>
      <c r="J3831">
        <v>-199.50819999999999</v>
      </c>
      <c r="K3831">
        <v>1.0951690000000001</v>
      </c>
      <c r="L3831">
        <v>147.06610000000001</v>
      </c>
      <c r="M3831">
        <v>-0.73545209999999905</v>
      </c>
      <c r="N3831">
        <v>0</v>
      </c>
      <c r="O3831">
        <v>-0.6775409</v>
      </c>
      <c r="P3831">
        <v>-0.85818059999999996</v>
      </c>
      <c r="Q3831">
        <v>3.4645049999999997E-2</v>
      </c>
      <c r="R3831">
        <v>-0.51217780000000002</v>
      </c>
      <c r="S3831">
        <v>-3.0330659999999998</v>
      </c>
      <c r="T3831">
        <v>-0.49069889999999999</v>
      </c>
      <c r="U3831">
        <v>-0.82879639999999999</v>
      </c>
      <c r="V3831">
        <v>0.20559729999999901</v>
      </c>
      <c r="W3831">
        <v>3.7185509999999998E-2</v>
      </c>
      <c r="X3831">
        <v>0.97792990000000002</v>
      </c>
      <c r="Y3831">
        <v>0.44792379999999998</v>
      </c>
      <c r="Z3831">
        <v>0.131914</v>
      </c>
      <c r="AA3831">
        <v>0.88428669999999998</v>
      </c>
      <c r="AB3831">
        <v>24</v>
      </c>
      <c r="AC3831">
        <v>-6.57870000000002</v>
      </c>
      <c r="AD3831">
        <v>-1.0951776245510001</v>
      </c>
      <c r="AE3831">
        <v>-1.6880000000000099</v>
      </c>
      <c r="AF3831">
        <v>3.1344722255232398</v>
      </c>
      <c r="AG3831">
        <v>-1.0951776245510001</v>
      </c>
      <c r="AH3831">
        <v>5.8305498754086802</v>
      </c>
      <c r="AI3831">
        <v>99.394068207708202</v>
      </c>
      <c r="AJ3831">
        <v>61.737764552101702</v>
      </c>
      <c r="AK3831">
        <v>6.7096678018752902</v>
      </c>
    </row>
    <row r="3832" spans="1:37" x14ac:dyDescent="0.2">
      <c r="A3832" t="str">
        <f>"20200111153726645"</f>
        <v>20200111153726645</v>
      </c>
      <c r="B3832" t="str">
        <f>"1578728246637383"</f>
        <v>1578728246637383</v>
      </c>
      <c r="C3832" t="s">
        <v>37</v>
      </c>
      <c r="D3832">
        <v>5.9775029999999996</v>
      </c>
      <c r="E3832">
        <v>0.60900730000000003</v>
      </c>
      <c r="F3832" t="s">
        <v>51</v>
      </c>
      <c r="G3832">
        <v>-206.39019999999999</v>
      </c>
      <c r="H3832" s="1">
        <v>-8.4552479999999996E-6</v>
      </c>
      <c r="I3832">
        <v>145.24639999999999</v>
      </c>
      <c r="J3832">
        <v>-199.71019999999999</v>
      </c>
      <c r="K3832">
        <v>1.094989</v>
      </c>
      <c r="L3832">
        <v>146.90039999999999</v>
      </c>
      <c r="M3832">
        <v>-0.74485179999999995</v>
      </c>
      <c r="N3832">
        <v>0</v>
      </c>
      <c r="O3832">
        <v>-0.66719629999999996</v>
      </c>
      <c r="P3832">
        <v>-0.86460959999999998</v>
      </c>
      <c r="Q3832">
        <v>3.3839290000000001E-2</v>
      </c>
      <c r="R3832">
        <v>-0.50130350000000001</v>
      </c>
      <c r="S3832">
        <v>-3.036133</v>
      </c>
      <c r="T3832">
        <v>-0.48315959999999902</v>
      </c>
      <c r="U3832">
        <v>-0.80282589999999998</v>
      </c>
      <c r="V3832">
        <v>0.2042844</v>
      </c>
      <c r="W3832">
        <v>3.6094750000000002E-2</v>
      </c>
      <c r="X3832">
        <v>0.9782459</v>
      </c>
      <c r="Y3832">
        <v>0.44322709999999998</v>
      </c>
      <c r="Z3832">
        <v>0.12852259999999999</v>
      </c>
      <c r="AA3832">
        <v>0.8871481</v>
      </c>
      <c r="AB3832">
        <v>25</v>
      </c>
      <c r="AC3832">
        <v>-6.68</v>
      </c>
      <c r="AD3832">
        <v>-1.094997455248</v>
      </c>
      <c r="AE3832">
        <v>-1.6539999999999899</v>
      </c>
      <c r="AF3832">
        <v>3.1453250169530702</v>
      </c>
      <c r="AG3832">
        <v>-1.094997455248</v>
      </c>
      <c r="AH3832">
        <v>5.9291735181988896</v>
      </c>
      <c r="AI3832">
        <v>99.265903816594204</v>
      </c>
      <c r="AJ3832">
        <v>62.054815158722398</v>
      </c>
      <c r="AK3832">
        <v>6.8005284719778603</v>
      </c>
    </row>
    <row r="3833" spans="1:37" x14ac:dyDescent="0.2">
      <c r="A3833" t="str">
        <f>"20200111153726666"</f>
        <v>20200111153726666</v>
      </c>
      <c r="B3833" t="str">
        <f>"1578728246656902"</f>
        <v>1578728246656902</v>
      </c>
      <c r="C3833" t="s">
        <v>37</v>
      </c>
      <c r="D3833">
        <v>5.9399860000000002</v>
      </c>
      <c r="E3833">
        <v>0.60798869999999905</v>
      </c>
      <c r="F3833" t="s">
        <v>51</v>
      </c>
      <c r="G3833">
        <v>-206.6447</v>
      </c>
      <c r="H3833" s="1">
        <v>-8.3175960000000005E-6</v>
      </c>
      <c r="I3833">
        <v>145.1525</v>
      </c>
      <c r="J3833">
        <v>-199.90940000000001</v>
      </c>
      <c r="K3833">
        <v>1.0948260000000001</v>
      </c>
      <c r="L3833">
        <v>146.7413</v>
      </c>
      <c r="M3833">
        <v>-0.75389700000000004</v>
      </c>
      <c r="N3833">
        <v>0</v>
      </c>
      <c r="O3833">
        <v>-0.65696060000000001</v>
      </c>
      <c r="P3833">
        <v>-0.87051329999999905</v>
      </c>
      <c r="Q3833">
        <v>3.375939E-2</v>
      </c>
      <c r="R3833">
        <v>-0.49098559999999902</v>
      </c>
      <c r="S3833">
        <v>-3.0437620000000001</v>
      </c>
      <c r="T3833">
        <v>-0.48062379999999999</v>
      </c>
      <c r="U3833">
        <v>-0.7672272</v>
      </c>
      <c r="V3833">
        <v>0.202561299999999</v>
      </c>
      <c r="W3833">
        <v>3.5761660000000001E-2</v>
      </c>
      <c r="X3833">
        <v>0.97861640000000005</v>
      </c>
      <c r="Y3833">
        <v>0.44152979999999997</v>
      </c>
      <c r="Z3833">
        <v>0.12657889999999999</v>
      </c>
      <c r="AA3833">
        <v>0.88827319999999999</v>
      </c>
      <c r="AB3833">
        <v>25</v>
      </c>
      <c r="AC3833">
        <v>-6.7352999999999899</v>
      </c>
      <c r="AD3833">
        <v>-1.094834317596</v>
      </c>
      <c r="AE3833">
        <v>-1.58879999999999</v>
      </c>
      <c r="AF3833">
        <v>3.1483003506207798</v>
      </c>
      <c r="AG3833">
        <v>-1.094834317596</v>
      </c>
      <c r="AH3833">
        <v>5.9721459981661296</v>
      </c>
      <c r="AI3833">
        <v>99.211437314438598</v>
      </c>
      <c r="AJ3833">
        <v>62.203416045744198</v>
      </c>
      <c r="AK3833">
        <v>6.8393702271566301</v>
      </c>
    </row>
    <row r="3834" spans="1:37" x14ac:dyDescent="0.2">
      <c r="A3834" t="str">
        <f>"20200111153726688"</f>
        <v>20200111153726688</v>
      </c>
      <c r="B3834" t="str">
        <f>"1578728246676422"</f>
        <v>1578728246676422</v>
      </c>
      <c r="C3834" t="s">
        <v>37</v>
      </c>
      <c r="D3834">
        <v>5.9456559999999996</v>
      </c>
      <c r="E3834">
        <v>0.60776419999999998</v>
      </c>
      <c r="F3834" t="s">
        <v>51</v>
      </c>
      <c r="G3834">
        <v>-206.90690000000001</v>
      </c>
      <c r="H3834" s="1">
        <v>-8.1738180000000005E-6</v>
      </c>
      <c r="I3834">
        <v>145.04830000000001</v>
      </c>
      <c r="J3834">
        <v>-200.10319999999999</v>
      </c>
      <c r="K3834">
        <v>1.094676</v>
      </c>
      <c r="L3834">
        <v>146.5907</v>
      </c>
      <c r="M3834">
        <v>-0.76248019999999905</v>
      </c>
      <c r="N3834">
        <v>0</v>
      </c>
      <c r="O3834">
        <v>-0.64698140000000004</v>
      </c>
      <c r="P3834">
        <v>-0.87570020000000004</v>
      </c>
      <c r="Q3834">
        <v>3.3786209999999997E-2</v>
      </c>
      <c r="R3834">
        <v>-0.4816723</v>
      </c>
      <c r="S3834">
        <v>-3.0486909999999998</v>
      </c>
      <c r="T3834">
        <v>-0.47699929999999902</v>
      </c>
      <c r="U3834">
        <v>-0.73764039999999997</v>
      </c>
      <c r="V3834">
        <v>0.200123</v>
      </c>
      <c r="W3834">
        <v>3.557391E-2</v>
      </c>
      <c r="X3834">
        <v>0.97912479999999902</v>
      </c>
      <c r="Y3834">
        <v>0.438503799999999</v>
      </c>
      <c r="Z3834">
        <v>0.12432650000000001</v>
      </c>
      <c r="AA3834">
        <v>0.8900884</v>
      </c>
      <c r="AB3834">
        <v>25</v>
      </c>
      <c r="AC3834">
        <v>-6.8037000000000196</v>
      </c>
      <c r="AD3834">
        <v>-1.094684173818</v>
      </c>
      <c r="AE3834">
        <v>-1.54239999999998</v>
      </c>
      <c r="AF3834">
        <v>3.1483620301296198</v>
      </c>
      <c r="AG3834">
        <v>-1.094684173818</v>
      </c>
      <c r="AH3834">
        <v>6.0370669982789602</v>
      </c>
      <c r="AI3834">
        <v>99.133697437169005</v>
      </c>
      <c r="AJ3834">
        <v>62.457723332534499</v>
      </c>
      <c r="AK3834">
        <v>6.8961362265313797</v>
      </c>
    </row>
    <row r="3835" spans="1:37" x14ac:dyDescent="0.2">
      <c r="A3835" t="str">
        <f>"20200111153726708"</f>
        <v>20200111153726708</v>
      </c>
      <c r="B3835" t="str">
        <f>"1578728246696921"</f>
        <v>1578728246696921</v>
      </c>
      <c r="C3835" t="s">
        <v>37</v>
      </c>
      <c r="D3835">
        <v>5.9982569999999997</v>
      </c>
      <c r="E3835">
        <v>0.607595199999999</v>
      </c>
      <c r="F3835" t="s">
        <v>51</v>
      </c>
      <c r="G3835">
        <v>-207.2329</v>
      </c>
      <c r="H3835" s="1">
        <v>-8.0010069999999993E-6</v>
      </c>
      <c r="I3835">
        <v>144.94130000000001</v>
      </c>
      <c r="J3835">
        <v>-200.29320000000001</v>
      </c>
      <c r="K3835">
        <v>1.0945370000000001</v>
      </c>
      <c r="L3835">
        <v>146.44669999999999</v>
      </c>
      <c r="M3835">
        <v>-0.77068619999999899</v>
      </c>
      <c r="N3835">
        <v>0</v>
      </c>
      <c r="O3835">
        <v>-0.63718589999999997</v>
      </c>
      <c r="P3835">
        <v>-0.88022339999999999</v>
      </c>
      <c r="Q3835">
        <v>3.3675179999999999E-2</v>
      </c>
      <c r="R3835">
        <v>-0.47336339999999999</v>
      </c>
      <c r="S3835">
        <v>-3.055145</v>
      </c>
      <c r="T3835">
        <v>-0.46908319999999998</v>
      </c>
      <c r="U3835">
        <v>-0.7067871</v>
      </c>
      <c r="V3835">
        <v>0.19688050000000001</v>
      </c>
      <c r="W3835">
        <v>3.5286079999999997E-2</v>
      </c>
      <c r="X3835">
        <v>0.97979229999999995</v>
      </c>
      <c r="Y3835">
        <v>0.43647029999999998</v>
      </c>
      <c r="Z3835">
        <v>0.12101919999999999</v>
      </c>
      <c r="AA3835">
        <v>0.89154249999999902</v>
      </c>
      <c r="AB3835">
        <v>25</v>
      </c>
      <c r="AC3835">
        <v>-6.9396999999999798</v>
      </c>
      <c r="AD3835">
        <v>-1.0945450010069999</v>
      </c>
      <c r="AE3835">
        <v>-1.5053999999999801</v>
      </c>
      <c r="AF3835">
        <v>3.18605293659231</v>
      </c>
      <c r="AG3835">
        <v>-1.0945450010069999</v>
      </c>
      <c r="AH3835">
        <v>6.1612853368973601</v>
      </c>
      <c r="AI3835">
        <v>98.967294925013903</v>
      </c>
      <c r="AJ3835">
        <v>62.656131610353597</v>
      </c>
      <c r="AK3835">
        <v>7.0221363612980596</v>
      </c>
    </row>
    <row r="3836" spans="1:37" x14ac:dyDescent="0.2">
      <c r="A3836" t="str">
        <f>"20200111153726731"</f>
        <v>20200111153726731</v>
      </c>
      <c r="B3836" t="str">
        <f>"1578728246727176"</f>
        <v>1578728246727176</v>
      </c>
      <c r="C3836" t="s">
        <v>37</v>
      </c>
      <c r="D3836">
        <v>5.9648620000000001</v>
      </c>
      <c r="E3836">
        <v>0.60693929999999996</v>
      </c>
      <c r="F3836" t="s">
        <v>51</v>
      </c>
      <c r="G3836">
        <v>-207.5291</v>
      </c>
      <c r="H3836" s="1">
        <v>-7.8435000000000004E-6</v>
      </c>
      <c r="I3836">
        <v>144.84209999999999</v>
      </c>
      <c r="J3836">
        <v>-200.50309999999999</v>
      </c>
      <c r="K3836">
        <v>1.0943969999999901</v>
      </c>
      <c r="L3836">
        <v>146.292</v>
      </c>
      <c r="M3836">
        <v>-0.77950810000000004</v>
      </c>
      <c r="N3836">
        <v>0</v>
      </c>
      <c r="O3836">
        <v>-0.62636499999999995</v>
      </c>
      <c r="P3836">
        <v>-0.88520149999999997</v>
      </c>
      <c r="Q3836">
        <v>3.29476E-2</v>
      </c>
      <c r="R3836">
        <v>-0.4640398</v>
      </c>
      <c r="S3836">
        <v>-3.060883</v>
      </c>
      <c r="T3836">
        <v>-0.46301149999999902</v>
      </c>
      <c r="U3836">
        <v>-0.67880249999999998</v>
      </c>
      <c r="V3836">
        <v>0.19355420000000001</v>
      </c>
      <c r="W3836">
        <v>3.4378739999999998E-2</v>
      </c>
      <c r="X3836">
        <v>0.980487</v>
      </c>
      <c r="Y3836">
        <v>0.43247390000000002</v>
      </c>
      <c r="Z3836">
        <v>0.11794389999999901</v>
      </c>
      <c r="AA3836">
        <v>0.89389909999999995</v>
      </c>
      <c r="AB3836">
        <v>25</v>
      </c>
      <c r="AC3836">
        <v>-7.0260000000000096</v>
      </c>
      <c r="AD3836">
        <v>-1.09440484349999</v>
      </c>
      <c r="AE3836">
        <v>-1.44990000000001</v>
      </c>
      <c r="AF3836">
        <v>3.19630388536175</v>
      </c>
      <c r="AG3836">
        <v>-1.09440484349999</v>
      </c>
      <c r="AH3836">
        <v>6.2398863333722296</v>
      </c>
      <c r="AI3836">
        <v>98.872312051735307</v>
      </c>
      <c r="AJ3836">
        <v>62.876772358965198</v>
      </c>
      <c r="AK3836">
        <v>7.0957918474586297</v>
      </c>
    </row>
    <row r="3837" spans="1:37" x14ac:dyDescent="0.2">
      <c r="A3837" t="str">
        <f>"20200111153726753"</f>
        <v>20200111153726753</v>
      </c>
      <c r="B3837" t="str">
        <f>"1578728246746695"</f>
        <v>1578728246746695</v>
      </c>
      <c r="C3837" t="s">
        <v>37</v>
      </c>
      <c r="D3837">
        <v>5.9380870000000003</v>
      </c>
      <c r="E3837">
        <v>0.60626069999999999</v>
      </c>
      <c r="F3837" t="s">
        <v>51</v>
      </c>
      <c r="G3837">
        <v>-207.82749999999999</v>
      </c>
      <c r="H3837" s="1">
        <v>-7.6837739999999997E-6</v>
      </c>
      <c r="I3837">
        <v>144.73830000000001</v>
      </c>
      <c r="J3837">
        <v>-200.72040000000001</v>
      </c>
      <c r="K3837">
        <v>1.0942670000000001</v>
      </c>
      <c r="L3837">
        <v>146.13630000000001</v>
      </c>
      <c r="M3837">
        <v>-0.78837199999999996</v>
      </c>
      <c r="N3837">
        <v>0</v>
      </c>
      <c r="O3837">
        <v>-0.61517299999999997</v>
      </c>
      <c r="P3837">
        <v>-0.89055980000000001</v>
      </c>
      <c r="Q3837">
        <v>3.2235310000000003E-2</v>
      </c>
      <c r="R3837">
        <v>-0.45372269999999998</v>
      </c>
      <c r="S3837">
        <v>-3.0652469999999998</v>
      </c>
      <c r="T3837">
        <v>-0.45801009999999998</v>
      </c>
      <c r="U3837">
        <v>-0.65022279999999999</v>
      </c>
      <c r="V3837">
        <v>0.19095239999999999</v>
      </c>
      <c r="W3837">
        <v>3.3487080000000002E-2</v>
      </c>
      <c r="X3837">
        <v>0.98102789999999995</v>
      </c>
      <c r="Y3837">
        <v>0.42821759999999898</v>
      </c>
      <c r="Z3837">
        <v>0.11514099999999999</v>
      </c>
      <c r="AA3837">
        <v>0.89631039999999995</v>
      </c>
      <c r="AB3837">
        <v>25</v>
      </c>
      <c r="AC3837">
        <v>-7.1070999999999698</v>
      </c>
      <c r="AD3837">
        <v>-1.0942746837740001</v>
      </c>
      <c r="AE3837">
        <v>-1.3979999999999899</v>
      </c>
      <c r="AF3837">
        <v>3.19703660159839</v>
      </c>
      <c r="AG3837">
        <v>-1.0942746837740001</v>
      </c>
      <c r="AH3837">
        <v>6.3189334785854596</v>
      </c>
      <c r="AI3837">
        <v>98.784000575951097</v>
      </c>
      <c r="AJ3837">
        <v>63.163071146792802</v>
      </c>
      <c r="AK3837">
        <v>7.1657100431357499</v>
      </c>
    </row>
    <row r="3838" spans="1:37" x14ac:dyDescent="0.2">
      <c r="A3838" t="str">
        <f>"20200111153726776"</f>
        <v>20200111153726776</v>
      </c>
      <c r="B3838" t="str">
        <f>"1578728246767190"</f>
        <v>1578728246767190</v>
      </c>
      <c r="C3838" t="s">
        <v>37</v>
      </c>
      <c r="D3838">
        <v>5.9222970000000004</v>
      </c>
      <c r="E3838">
        <v>0.60546080000000002</v>
      </c>
      <c r="F3838" t="s">
        <v>51</v>
      </c>
      <c r="G3838">
        <v>-208.101</v>
      </c>
      <c r="H3838" s="1">
        <v>-7.539169E-6</v>
      </c>
      <c r="I3838">
        <v>144.65010000000001</v>
      </c>
      <c r="J3838">
        <v>-200.94319999999999</v>
      </c>
      <c r="K3838">
        <v>1.0941350000000001</v>
      </c>
      <c r="L3838">
        <v>145.9813</v>
      </c>
      <c r="M3838">
        <v>-0.79718639999999996</v>
      </c>
      <c r="N3838">
        <v>0</v>
      </c>
      <c r="O3838">
        <v>-0.60370840000000003</v>
      </c>
      <c r="P3838">
        <v>-0.89603539999999904</v>
      </c>
      <c r="Q3838">
        <v>3.203694E-2</v>
      </c>
      <c r="R3838">
        <v>-0.44282500000000002</v>
      </c>
      <c r="S3838">
        <v>-3.07016</v>
      </c>
      <c r="T3838">
        <v>-0.45519100000000001</v>
      </c>
      <c r="U3838">
        <v>-0.61822509999999997</v>
      </c>
      <c r="V3838">
        <v>0.18873670000000001</v>
      </c>
      <c r="W3838">
        <v>3.311965E-2</v>
      </c>
      <c r="X3838">
        <v>0.98146909999999898</v>
      </c>
      <c r="Y3838">
        <v>0.42468599999999901</v>
      </c>
      <c r="Z3838">
        <v>0.1129016</v>
      </c>
      <c r="AA3838">
        <v>0.8982734</v>
      </c>
      <c r="AB3838">
        <v>25</v>
      </c>
      <c r="AC3838">
        <v>-7.1577999999999999</v>
      </c>
      <c r="AD3838">
        <v>-1.0941425391689901</v>
      </c>
      <c r="AE3838">
        <v>-1.3311999999999899</v>
      </c>
      <c r="AF3838">
        <v>3.1880559458410298</v>
      </c>
      <c r="AG3838">
        <v>-1.0941425391689901</v>
      </c>
      <c r="AH3838">
        <v>6.3660769145442897</v>
      </c>
      <c r="AI3838">
        <v>98.736717270863295</v>
      </c>
      <c r="AJ3838">
        <v>63.398833610277997</v>
      </c>
      <c r="AK3838">
        <v>7.2033175614938303</v>
      </c>
    </row>
    <row r="3839" spans="1:37" x14ac:dyDescent="0.2">
      <c r="A3839" t="str">
        <f>"20200111153726800"</f>
        <v>20200111153726800</v>
      </c>
      <c r="B3839" t="str">
        <f>"1578728246796470"</f>
        <v>1578728246796470</v>
      </c>
      <c r="C3839" t="s">
        <v>37</v>
      </c>
      <c r="D3839">
        <v>5.9403540000000001</v>
      </c>
      <c r="E3839">
        <v>0.60464810000000002</v>
      </c>
      <c r="F3839" t="s">
        <v>51</v>
      </c>
      <c r="G3839">
        <v>-208.3561</v>
      </c>
      <c r="H3839" s="1">
        <v>-7.4048839999999996E-6</v>
      </c>
      <c r="I3839">
        <v>144.56989999999999</v>
      </c>
      <c r="J3839">
        <v>-201.16919999999999</v>
      </c>
      <c r="K3839">
        <v>1.094006</v>
      </c>
      <c r="L3839">
        <v>145.8288</v>
      </c>
      <c r="M3839">
        <v>-0.80584449999999996</v>
      </c>
      <c r="N3839">
        <v>0</v>
      </c>
      <c r="O3839">
        <v>-0.5921035</v>
      </c>
      <c r="P3839">
        <v>-0.90198899999999904</v>
      </c>
      <c r="Q3839">
        <v>3.1412410000000002E-2</v>
      </c>
      <c r="R3839">
        <v>-0.43061519999999998</v>
      </c>
      <c r="S3839">
        <v>-3.074951</v>
      </c>
      <c r="T3839">
        <v>-0.45386199999999999</v>
      </c>
      <c r="U3839">
        <v>-0.585449199999999</v>
      </c>
      <c r="V3839">
        <v>0.1878589</v>
      </c>
      <c r="W3839">
        <v>3.2313269999999998E-2</v>
      </c>
      <c r="X3839">
        <v>0.98166439999999999</v>
      </c>
      <c r="Y3839">
        <v>0.42129149999999999</v>
      </c>
      <c r="Z3839">
        <v>0.1110164</v>
      </c>
      <c r="AA3839">
        <v>0.90010489999999999</v>
      </c>
      <c r="AB3839">
        <v>26</v>
      </c>
      <c r="AC3839">
        <v>-7.1868999999999996</v>
      </c>
      <c r="AD3839">
        <v>-1.094013404884</v>
      </c>
      <c r="AE3839">
        <v>-1.2589000000000099</v>
      </c>
      <c r="AF3839">
        <v>3.16969510711602</v>
      </c>
      <c r="AG3839">
        <v>-1.094013404884</v>
      </c>
      <c r="AH3839">
        <v>6.3932803514627299</v>
      </c>
      <c r="AI3839">
        <v>98.716223782648399</v>
      </c>
      <c r="AJ3839">
        <v>63.628456981575297</v>
      </c>
      <c r="AK3839">
        <v>7.2192704655346303</v>
      </c>
    </row>
    <row r="3840" spans="1:37" x14ac:dyDescent="0.2">
      <c r="A3840" t="str">
        <f>"20200111153726820"</f>
        <v>20200111153726820</v>
      </c>
      <c r="B3840" t="str">
        <f>"1578728246816966"</f>
        <v>1578728246816966</v>
      </c>
      <c r="C3840" t="s">
        <v>37</v>
      </c>
      <c r="D3840">
        <v>5.911899</v>
      </c>
      <c r="E3840">
        <v>0.59129549999999997</v>
      </c>
      <c r="F3840" t="s">
        <v>51</v>
      </c>
      <c r="G3840">
        <v>-208.5624</v>
      </c>
      <c r="H3840" s="1">
        <v>-7.2978650000000001E-6</v>
      </c>
      <c r="I3840">
        <v>144.511</v>
      </c>
      <c r="J3840">
        <v>-201.37799999999999</v>
      </c>
      <c r="K3840">
        <v>1.0938909999999999</v>
      </c>
      <c r="L3840">
        <v>145.69210000000001</v>
      </c>
      <c r="M3840">
        <v>-0.81360540000000003</v>
      </c>
      <c r="N3840">
        <v>0</v>
      </c>
      <c r="O3840">
        <v>-0.58139430000000003</v>
      </c>
      <c r="P3840">
        <v>-0.90731130000000004</v>
      </c>
      <c r="Q3840">
        <v>3.11565E-2</v>
      </c>
      <c r="R3840">
        <v>-0.41930390000000001</v>
      </c>
      <c r="S3840">
        <v>-3.0797880000000002</v>
      </c>
      <c r="T3840">
        <v>-0.45573259999999999</v>
      </c>
      <c r="U3840">
        <v>-0.5489655</v>
      </c>
      <c r="V3840">
        <v>0.18715319999999999</v>
      </c>
      <c r="W3840">
        <v>3.1906740000000003E-2</v>
      </c>
      <c r="X3840">
        <v>0.98181240000000003</v>
      </c>
      <c r="Y3840">
        <v>0.41992679999999999</v>
      </c>
      <c r="Z3840">
        <v>0.11014539999999901</v>
      </c>
      <c r="AA3840">
        <v>0.90084929999999996</v>
      </c>
      <c r="AB3840">
        <v>26</v>
      </c>
      <c r="AC3840">
        <v>-7.1844000000000099</v>
      </c>
      <c r="AD3840">
        <v>-1.093898297865</v>
      </c>
      <c r="AE3840">
        <v>-1.18110000000001</v>
      </c>
      <c r="AF3840">
        <v>3.1450692054681602</v>
      </c>
      <c r="AG3840">
        <v>-1.093898297865</v>
      </c>
      <c r="AH3840">
        <v>6.3878458966964402</v>
      </c>
      <c r="AI3840">
        <v>98.734339087511003</v>
      </c>
      <c r="AJ3840">
        <v>63.786574996994403</v>
      </c>
      <c r="AK3840">
        <v>7.2036552522450403</v>
      </c>
    </row>
    <row r="3841" spans="1:37" x14ac:dyDescent="0.2">
      <c r="A3841" t="str">
        <f>"20200111153726844"</f>
        <v>20200111153726844</v>
      </c>
      <c r="B3841" t="str">
        <f>"1578728246836487"</f>
        <v>1578728246836487</v>
      </c>
      <c r="C3841" t="s">
        <v>37</v>
      </c>
      <c r="D3841">
        <v>5.924722</v>
      </c>
      <c r="E3841">
        <v>0.59038169999999901</v>
      </c>
      <c r="F3841" t="s">
        <v>51</v>
      </c>
      <c r="G3841">
        <v>-208.7285</v>
      </c>
      <c r="H3841" s="1">
        <v>-7.1490480000000001E-6</v>
      </c>
      <c r="I3841">
        <v>144.22630000000001</v>
      </c>
      <c r="J3841">
        <v>-201.60849999999999</v>
      </c>
      <c r="K3841">
        <v>1.0937649999999901</v>
      </c>
      <c r="L3841">
        <v>145.54580000000001</v>
      </c>
      <c r="M3841">
        <v>-0.82190879999999999</v>
      </c>
      <c r="N3841">
        <v>0</v>
      </c>
      <c r="O3841">
        <v>-0.56959680000000001</v>
      </c>
      <c r="P3841">
        <v>-0.91288860000000005</v>
      </c>
      <c r="Q3841">
        <v>3.1208759999999999E-2</v>
      </c>
      <c r="R3841">
        <v>-0.4070145</v>
      </c>
      <c r="S3841">
        <v>-3.041687</v>
      </c>
      <c r="T3841">
        <v>-0.45266319999999999</v>
      </c>
      <c r="U3841">
        <v>-0.60655209999999904</v>
      </c>
      <c r="V3841">
        <v>0.18625149999999999</v>
      </c>
      <c r="W3841">
        <v>3.1814759999999997E-2</v>
      </c>
      <c r="X3841">
        <v>0.9819869</v>
      </c>
      <c r="Y3841">
        <v>0.38858019999999999</v>
      </c>
      <c r="Z3841">
        <v>0.10675469999999999</v>
      </c>
      <c r="AA3841">
        <v>0.91520970000000001</v>
      </c>
      <c r="AB3841">
        <v>26</v>
      </c>
      <c r="AC3841">
        <v>-7.12</v>
      </c>
      <c r="AD3841">
        <v>-1.0937721490479999</v>
      </c>
      <c r="AE3841">
        <v>-1.3194999999999999</v>
      </c>
      <c r="AF3841">
        <v>2.9047844246365302</v>
      </c>
      <c r="AG3841">
        <v>-1.0937721490479999</v>
      </c>
      <c r="AH3841">
        <v>6.45635312398423</v>
      </c>
      <c r="AI3841">
        <v>98.782417047986797</v>
      </c>
      <c r="AJ3841">
        <v>65.776494434693802</v>
      </c>
      <c r="AK3841">
        <v>7.1637005611084099</v>
      </c>
    </row>
    <row r="3842" spans="1:37" x14ac:dyDescent="0.2">
      <c r="A3842" t="str">
        <f>"20200111153726867"</f>
        <v>20200111153726867</v>
      </c>
      <c r="B3842" t="str">
        <f>"1578728246856985"</f>
        <v>1578728246856985</v>
      </c>
      <c r="C3842" t="s">
        <v>37</v>
      </c>
      <c r="D3842">
        <v>5.9664159999999997</v>
      </c>
      <c r="E3842">
        <v>0.59023639999999999</v>
      </c>
      <c r="F3842" t="s">
        <v>51</v>
      </c>
      <c r="G3842">
        <v>-209.04400000000001</v>
      </c>
      <c r="H3842" s="1">
        <v>-6.9891279999999996E-6</v>
      </c>
      <c r="I3842">
        <v>144.1506</v>
      </c>
      <c r="J3842">
        <v>-201.84549999999999</v>
      </c>
      <c r="K3842">
        <v>1.093647</v>
      </c>
      <c r="L3842">
        <v>145.3999</v>
      </c>
      <c r="M3842">
        <v>-0.83017909999999995</v>
      </c>
      <c r="N3842">
        <v>0</v>
      </c>
      <c r="O3842">
        <v>-0.55747469999999999</v>
      </c>
      <c r="P3842">
        <v>-0.91816119999999901</v>
      </c>
      <c r="Q3842">
        <v>3.1158849999999998E-2</v>
      </c>
      <c r="R3842">
        <v>-0.3949801</v>
      </c>
      <c r="S3842">
        <v>-3.0467219999999999</v>
      </c>
      <c r="T3842">
        <v>-0.44817200000000001</v>
      </c>
      <c r="U3842">
        <v>-0.57167049999999997</v>
      </c>
      <c r="V3842">
        <v>0.184753799999999</v>
      </c>
      <c r="W3842">
        <v>3.1645569999999998E-2</v>
      </c>
      <c r="X3842">
        <v>0.98227520000000001</v>
      </c>
      <c r="Y3842">
        <v>0.38579359999999902</v>
      </c>
      <c r="Z3842">
        <v>0.1040811</v>
      </c>
      <c r="AA3842">
        <v>0.91669539999999905</v>
      </c>
      <c r="AB3842">
        <v>26</v>
      </c>
      <c r="AC3842">
        <v>-7.1985000000000197</v>
      </c>
      <c r="AD3842">
        <v>-1.0936539891279999</v>
      </c>
      <c r="AE3842">
        <v>-1.2493000000000001</v>
      </c>
      <c r="AF3842">
        <v>2.9106557741601198</v>
      </c>
      <c r="AG3842">
        <v>-1.0936539891279999</v>
      </c>
      <c r="AH3842">
        <v>6.52634227262108</v>
      </c>
      <c r="AI3842">
        <v>98.701293185347396</v>
      </c>
      <c r="AJ3842">
        <v>65.9638086846318</v>
      </c>
      <c r="AK3842">
        <v>7.2291866446363198</v>
      </c>
    </row>
    <row r="3843" spans="1:37" x14ac:dyDescent="0.2">
      <c r="A3843" t="str">
        <f>"20200111153726888"</f>
        <v>20200111153726888</v>
      </c>
      <c r="B3843" t="str">
        <f>"1578728246876502"</f>
        <v>1578728246876502</v>
      </c>
      <c r="C3843" t="s">
        <v>37</v>
      </c>
      <c r="D3843">
        <v>5.9385009999999996</v>
      </c>
      <c r="E3843">
        <v>0.58986680000000002</v>
      </c>
      <c r="F3843" t="s">
        <v>51</v>
      </c>
      <c r="G3843">
        <v>-209.2415</v>
      </c>
      <c r="H3843" s="1">
        <v>-6.8912299999999997E-6</v>
      </c>
      <c r="I3843">
        <v>144.11150000000001</v>
      </c>
      <c r="J3843">
        <v>-202.0659</v>
      </c>
      <c r="K3843">
        <v>1.0935330000000001</v>
      </c>
      <c r="L3843">
        <v>145.26820000000001</v>
      </c>
      <c r="M3843">
        <v>-0.83763519999999902</v>
      </c>
      <c r="N3843">
        <v>0</v>
      </c>
      <c r="O3843">
        <v>-0.54620869999999999</v>
      </c>
      <c r="P3843">
        <v>-0.92245259999999996</v>
      </c>
      <c r="Q3843">
        <v>3.120098E-2</v>
      </c>
      <c r="R3843">
        <v>-0.38484829999999998</v>
      </c>
      <c r="S3843">
        <v>-3.0538939999999899</v>
      </c>
      <c r="T3843">
        <v>-0.45157920000000001</v>
      </c>
      <c r="U3843">
        <v>-0.53199770000000002</v>
      </c>
      <c r="V3843">
        <v>0.18230209999999999</v>
      </c>
      <c r="W3843">
        <v>3.1615539999999998E-2</v>
      </c>
      <c r="X3843">
        <v>0.98273410000000005</v>
      </c>
      <c r="Y3843">
        <v>0.38525720000000002</v>
      </c>
      <c r="Z3843">
        <v>0.10341839999999999</v>
      </c>
      <c r="AA3843">
        <v>0.91699589999999997</v>
      </c>
      <c r="AB3843">
        <v>26</v>
      </c>
      <c r="AC3843">
        <v>-7.1756000000000002</v>
      </c>
      <c r="AD3843">
        <v>-1.0935398912300001</v>
      </c>
      <c r="AE3843">
        <v>-1.1567000000000001</v>
      </c>
      <c r="AF3843">
        <v>2.8852055985555598</v>
      </c>
      <c r="AG3843">
        <v>-1.0935398912300001</v>
      </c>
      <c r="AH3843">
        <v>6.4953787439467199</v>
      </c>
      <c r="AI3843">
        <v>98.746966795221795</v>
      </c>
      <c r="AJ3843">
        <v>66.049514286320601</v>
      </c>
      <c r="AK3843">
        <v>7.1909794789696502</v>
      </c>
    </row>
    <row r="3844" spans="1:37" x14ac:dyDescent="0.2">
      <c r="A3844" t="str">
        <f>"20200111153726909"</f>
        <v>20200111153726909</v>
      </c>
      <c r="B3844" t="str">
        <f>"1578728246906758"</f>
        <v>1578728246906758</v>
      </c>
      <c r="C3844" t="s">
        <v>37</v>
      </c>
      <c r="D3844">
        <v>5.9860749999999996</v>
      </c>
      <c r="E3844">
        <v>0.59016749999999996</v>
      </c>
      <c r="F3844" t="s">
        <v>39</v>
      </c>
      <c r="G3844">
        <v>-209.9922</v>
      </c>
      <c r="H3844" s="1">
        <v>-5.4869119999999901E-6</v>
      </c>
      <c r="I3844">
        <v>143.97210000000001</v>
      </c>
      <c r="J3844">
        <v>-202.29499999999999</v>
      </c>
      <c r="K3844">
        <v>1.0934159999999999</v>
      </c>
      <c r="L3844">
        <v>145.13550000000001</v>
      </c>
      <c r="M3844">
        <v>-0.84514120000000004</v>
      </c>
      <c r="N3844">
        <v>0</v>
      </c>
      <c r="O3844">
        <v>-0.53452189999999999</v>
      </c>
      <c r="P3844">
        <v>-0.92674539999999905</v>
      </c>
      <c r="Q3844">
        <v>3.0187240000000001E-2</v>
      </c>
      <c r="R3844">
        <v>-0.37447550000000002</v>
      </c>
      <c r="S3844">
        <v>-3.0578609999999999</v>
      </c>
      <c r="T3844">
        <v>-0.42187330000000001</v>
      </c>
      <c r="U3844">
        <v>-0.50003050000000004</v>
      </c>
      <c r="V3844">
        <v>0.17967520000000001</v>
      </c>
      <c r="W3844">
        <v>3.0543170000000001E-2</v>
      </c>
      <c r="X3844">
        <v>0.98325169999999995</v>
      </c>
      <c r="Y3844">
        <v>0.38325520000000002</v>
      </c>
      <c r="Z3844">
        <v>9.5225729999999995E-2</v>
      </c>
      <c r="AA3844">
        <v>0.9187206</v>
      </c>
      <c r="AB3844">
        <v>26</v>
      </c>
      <c r="AC3844">
        <v>-7.6971999999999996</v>
      </c>
      <c r="AD3844">
        <v>-1.093421486912</v>
      </c>
      <c r="AE3844">
        <v>-1.16339999999999</v>
      </c>
      <c r="AF3844">
        <v>3.0705422269620901</v>
      </c>
      <c r="AG3844">
        <v>-1.093421486912</v>
      </c>
      <c r="AH3844">
        <v>6.9892747531173596</v>
      </c>
      <c r="AI3844">
        <v>98.151047883352902</v>
      </c>
      <c r="AJ3844">
        <v>66.283058893455902</v>
      </c>
      <c r="AK3844">
        <v>7.7119233457135703</v>
      </c>
    </row>
    <row r="3845" spans="1:37" x14ac:dyDescent="0.2">
      <c r="A3845" t="str">
        <f>"20200111153726933"</f>
        <v>20200111153726933</v>
      </c>
      <c r="B3845" t="str">
        <f>"1578728246927255"</f>
        <v>1578728246927255</v>
      </c>
      <c r="C3845" t="s">
        <v>37</v>
      </c>
      <c r="D3845">
        <v>5.7451660000000002</v>
      </c>
      <c r="E3845">
        <v>0.59180109999999997</v>
      </c>
      <c r="F3845" t="s">
        <v>39</v>
      </c>
      <c r="G3845">
        <v>-210.40450000000001</v>
      </c>
      <c r="H3845" s="1">
        <v>-5.3177139999999999E-6</v>
      </c>
      <c r="I3845">
        <v>143.91079999999999</v>
      </c>
      <c r="J3845">
        <v>-202.54740000000001</v>
      </c>
      <c r="K3845">
        <v>1.0932899999999901</v>
      </c>
      <c r="L3845">
        <v>144.9939</v>
      </c>
      <c r="M3845">
        <v>-0.85313050000000001</v>
      </c>
      <c r="N3845">
        <v>0</v>
      </c>
      <c r="O3845">
        <v>-0.52167659999999905</v>
      </c>
      <c r="P3845">
        <v>-0.93115539999999997</v>
      </c>
      <c r="Q3845">
        <v>2.8793409999999998E-2</v>
      </c>
      <c r="R3845">
        <v>-0.36348429999999998</v>
      </c>
      <c r="S3845">
        <v>-3.0636290000000002</v>
      </c>
      <c r="T3845">
        <v>-0.41307529999999998</v>
      </c>
      <c r="U3845">
        <v>-0.46266170000000001</v>
      </c>
      <c r="V3845">
        <v>0.17642839999999901</v>
      </c>
      <c r="W3845">
        <v>2.9108999999999899E-2</v>
      </c>
      <c r="X3845">
        <v>0.98388299999999995</v>
      </c>
      <c r="Y3845">
        <v>0.38096979999999903</v>
      </c>
      <c r="Z3845">
        <v>9.1628230000000005E-2</v>
      </c>
      <c r="AA3845">
        <v>0.92003599999999996</v>
      </c>
      <c r="AB3845">
        <v>27</v>
      </c>
      <c r="AC3845">
        <v>-7.8571</v>
      </c>
      <c r="AD3845">
        <v>-1.0932953177139999</v>
      </c>
      <c r="AE3845">
        <v>-1.0831</v>
      </c>
      <c r="AF3845">
        <v>3.1156735620726699</v>
      </c>
      <c r="AG3845">
        <v>-1.0932953177139999</v>
      </c>
      <c r="AH3845">
        <v>7.1327108487365098</v>
      </c>
      <c r="AI3845">
        <v>97.9956305769946</v>
      </c>
      <c r="AJ3845">
        <v>66.403583112336307</v>
      </c>
      <c r="AK3845">
        <v>7.8599160586368502</v>
      </c>
    </row>
    <row r="3846" spans="1:37" x14ac:dyDescent="0.2">
      <c r="A3846" t="str">
        <f>"20200111153726956"</f>
        <v>20200111153726956</v>
      </c>
      <c r="B3846" t="str">
        <f>"1578728246946777"</f>
        <v>1578728246946777</v>
      </c>
      <c r="C3846" t="s">
        <v>37</v>
      </c>
      <c r="D3846">
        <v>5.6630149999999997</v>
      </c>
      <c r="E3846">
        <v>0.59361850000000005</v>
      </c>
      <c r="F3846" t="s">
        <v>39</v>
      </c>
      <c r="G3846">
        <v>-211.20760000000001</v>
      </c>
      <c r="H3846" s="1">
        <v>-4.9949640000000003E-6</v>
      </c>
      <c r="I3846">
        <v>143.82990000000001</v>
      </c>
      <c r="J3846">
        <v>-202.7945</v>
      </c>
      <c r="K3846">
        <v>1.093186</v>
      </c>
      <c r="L3846">
        <v>144.85990000000001</v>
      </c>
      <c r="M3846">
        <v>-0.8606722</v>
      </c>
      <c r="N3846">
        <v>0</v>
      </c>
      <c r="O3846">
        <v>-0.50913839999999999</v>
      </c>
      <c r="P3846">
        <v>-0.93580779999999997</v>
      </c>
      <c r="Q3846">
        <v>2.8245269999999999E-2</v>
      </c>
      <c r="R3846">
        <v>-0.35137750000000001</v>
      </c>
      <c r="S3846">
        <v>-3.0726009999999899</v>
      </c>
      <c r="T3846">
        <v>-0.38789409999999902</v>
      </c>
      <c r="U3846">
        <v>-0.41297909999999999</v>
      </c>
      <c r="V3846">
        <v>0.174792</v>
      </c>
      <c r="W3846">
        <v>2.8493190000000002E-2</v>
      </c>
      <c r="X3846">
        <v>0.98419299999999998</v>
      </c>
      <c r="Y3846">
        <v>0.38340940000000001</v>
      </c>
      <c r="Z3846">
        <v>8.4815150000000006E-2</v>
      </c>
      <c r="AA3846">
        <v>0.91967579999999904</v>
      </c>
      <c r="AB3846">
        <v>27</v>
      </c>
      <c r="AC3846">
        <v>-8.4131000000000107</v>
      </c>
      <c r="AD3846">
        <v>-1.093190994964</v>
      </c>
      <c r="AE3846">
        <v>-1.03</v>
      </c>
      <c r="AF3846">
        <v>3.3413927890800998</v>
      </c>
      <c r="AG3846">
        <v>-1.093190994964</v>
      </c>
      <c r="AH3846">
        <v>7.6383542837238396</v>
      </c>
      <c r="AI3846">
        <v>97.470100623787303</v>
      </c>
      <c r="AJ3846">
        <v>66.3730601793185</v>
      </c>
      <c r="AK3846">
        <v>8.4085925389490299</v>
      </c>
    </row>
    <row r="3847" spans="1:37" x14ac:dyDescent="0.2">
      <c r="A3847" t="str">
        <f>"20200111153726978"</f>
        <v>20200111153726978</v>
      </c>
      <c r="B3847" t="str">
        <f>"1578728246967270"</f>
        <v>1578728246967270</v>
      </c>
      <c r="C3847" t="s">
        <v>37</v>
      </c>
      <c r="D3847">
        <v>5.6488699999999996</v>
      </c>
      <c r="E3847">
        <v>0.5945665</v>
      </c>
      <c r="F3847" t="s">
        <v>39</v>
      </c>
      <c r="G3847">
        <v>-211.94069999999999</v>
      </c>
      <c r="H3847" s="1">
        <v>-4.707216E-6</v>
      </c>
      <c r="I3847">
        <v>143.79480000000001</v>
      </c>
      <c r="J3847">
        <v>-203.04159999999999</v>
      </c>
      <c r="K3847">
        <v>1.093094</v>
      </c>
      <c r="L3847">
        <v>144.7303</v>
      </c>
      <c r="M3847">
        <v>-0.86793339999999997</v>
      </c>
      <c r="N3847">
        <v>0</v>
      </c>
      <c r="O3847">
        <v>-0.49665989999999999</v>
      </c>
      <c r="P3847">
        <v>-0.93965119999999902</v>
      </c>
      <c r="Q3847">
        <v>2.7702290000000001E-2</v>
      </c>
      <c r="R3847">
        <v>-0.3410106</v>
      </c>
      <c r="S3847">
        <v>-3.0821230000000002</v>
      </c>
      <c r="T3847">
        <v>-0.3683863</v>
      </c>
      <c r="U3847">
        <v>-0.35891719999999999</v>
      </c>
      <c r="V3847">
        <v>0.17146</v>
      </c>
      <c r="W3847">
        <v>2.7935040000000001E-2</v>
      </c>
      <c r="X3847">
        <v>0.98479499999999998</v>
      </c>
      <c r="Y3847">
        <v>0.38706479999999999</v>
      </c>
      <c r="Z3847">
        <v>7.942312E-2</v>
      </c>
      <c r="AA3847">
        <v>0.91862549999999898</v>
      </c>
      <c r="AB3847">
        <v>27</v>
      </c>
      <c r="AC3847">
        <v>-8.8991000000000007</v>
      </c>
      <c r="AD3847">
        <v>-1.0930987072160001</v>
      </c>
      <c r="AE3847">
        <v>-0.93549999999999001</v>
      </c>
      <c r="AF3847">
        <v>3.5548626008706701</v>
      </c>
      <c r="AG3847">
        <v>-1.0930987072160001</v>
      </c>
      <c r="AH3847">
        <v>8.0681355417628904</v>
      </c>
      <c r="AI3847">
        <v>97.067598982099895</v>
      </c>
      <c r="AJ3847">
        <v>66.221460124187203</v>
      </c>
      <c r="AK3847">
        <v>8.8840713648103797</v>
      </c>
    </row>
    <row r="3848" spans="1:37" x14ac:dyDescent="0.2">
      <c r="A3848" t="str">
        <f>"20200111153727000"</f>
        <v>20200111153727000</v>
      </c>
      <c r="B3848" t="str">
        <f>"1578728246996550"</f>
        <v>1578728246996550</v>
      </c>
      <c r="C3848" t="s">
        <v>37</v>
      </c>
      <c r="D3848">
        <v>5.691319</v>
      </c>
      <c r="E3848">
        <v>0.59507469999999996</v>
      </c>
      <c r="F3848" t="s">
        <v>39</v>
      </c>
      <c r="G3848">
        <v>-212.50630000000001</v>
      </c>
      <c r="H3848" s="1">
        <v>-4.4835109999999996E-6</v>
      </c>
      <c r="I3848">
        <v>143.75810000000001</v>
      </c>
      <c r="J3848">
        <v>-203.27889999999999</v>
      </c>
      <c r="K3848">
        <v>1.0930249999999999</v>
      </c>
      <c r="L3848">
        <v>144.60990000000001</v>
      </c>
      <c r="M3848">
        <v>-0.8746427</v>
      </c>
      <c r="N3848">
        <v>0</v>
      </c>
      <c r="O3848">
        <v>-0.484747599999999</v>
      </c>
      <c r="P3848">
        <v>-0.94294129999999998</v>
      </c>
      <c r="Q3848">
        <v>2.7322889999999999E-2</v>
      </c>
      <c r="R3848">
        <v>-0.33183639999999998</v>
      </c>
      <c r="S3848">
        <v>-3.0880580000000002</v>
      </c>
      <c r="T3848">
        <v>-0.35664459999999998</v>
      </c>
      <c r="U3848">
        <v>-0.31719969999999997</v>
      </c>
      <c r="V3848">
        <v>0.16759079999999901</v>
      </c>
      <c r="W3848">
        <v>2.7563250000000001E-2</v>
      </c>
      <c r="X3848">
        <v>0.98547119999999999</v>
      </c>
      <c r="Y3848">
        <v>0.38738929999999999</v>
      </c>
      <c r="Z3848">
        <v>7.5687920000000006E-2</v>
      </c>
      <c r="AA3848">
        <v>0.91880399999999995</v>
      </c>
      <c r="AB3848">
        <v>27</v>
      </c>
      <c r="AC3848">
        <v>-9.22740000000001</v>
      </c>
      <c r="AD3848">
        <v>-1.0930294835109999</v>
      </c>
      <c r="AE3848">
        <v>-0.851799999999997</v>
      </c>
      <c r="AF3848">
        <v>3.6768209625885002</v>
      </c>
      <c r="AG3848">
        <v>-1.0930294835109999</v>
      </c>
      <c r="AH3848">
        <v>8.36725710879929</v>
      </c>
      <c r="AI3848">
        <v>96.819859642986103</v>
      </c>
      <c r="AJ3848">
        <v>66.277888913413506</v>
      </c>
      <c r="AK3848">
        <v>9.2046030532286895</v>
      </c>
    </row>
    <row r="3849" spans="1:37" x14ac:dyDescent="0.2">
      <c r="A3849" t="str">
        <f>"20200111153727022"</f>
        <v>20200111153727022</v>
      </c>
      <c r="B3849" t="str">
        <f>"1578728247017046"</f>
        <v>1578728247017046</v>
      </c>
      <c r="C3849" t="s">
        <v>37</v>
      </c>
      <c r="D3849">
        <v>5.7237239999999998</v>
      </c>
      <c r="E3849">
        <v>0.59499080000000004</v>
      </c>
      <c r="F3849" t="s">
        <v>39</v>
      </c>
      <c r="G3849">
        <v>-213.1036</v>
      </c>
      <c r="H3849" s="1">
        <v>-4.2458439999999996E-6</v>
      </c>
      <c r="I3849">
        <v>143.7114</v>
      </c>
      <c r="J3849">
        <v>-203.53229999999999</v>
      </c>
      <c r="K3849">
        <v>1.092973</v>
      </c>
      <c r="L3849">
        <v>144.48589999999999</v>
      </c>
      <c r="M3849">
        <v>-0.88150669999999898</v>
      </c>
      <c r="N3849">
        <v>0</v>
      </c>
      <c r="O3849">
        <v>-0.47215089999999998</v>
      </c>
      <c r="P3849">
        <v>-0.94648189999999999</v>
      </c>
      <c r="Q3849">
        <v>2.6776540000000001E-2</v>
      </c>
      <c r="R3849">
        <v>-0.3216445</v>
      </c>
      <c r="S3849">
        <v>-3.0919650000000001</v>
      </c>
      <c r="T3849">
        <v>-0.34399159999999901</v>
      </c>
      <c r="U3849">
        <v>-0.28279109999999902</v>
      </c>
      <c r="V3849">
        <v>0.16407849999999999</v>
      </c>
      <c r="W3849">
        <v>2.7015569999999999E-2</v>
      </c>
      <c r="X3849">
        <v>0.98607730000000005</v>
      </c>
      <c r="Y3849">
        <v>0.38489849999999998</v>
      </c>
      <c r="Z3849">
        <v>7.1633649999999993E-2</v>
      </c>
      <c r="AA3849">
        <v>0.92017490000000002</v>
      </c>
      <c r="AB3849">
        <v>27</v>
      </c>
      <c r="AC3849">
        <v>-9.5713000000000008</v>
      </c>
      <c r="AD3849">
        <v>-1.0929772458439999</v>
      </c>
      <c r="AE3849">
        <v>-0.77449999999998898</v>
      </c>
      <c r="AF3849">
        <v>3.7873423258847998</v>
      </c>
      <c r="AG3849">
        <v>-1.0929772458439999</v>
      </c>
      <c r="AH3849">
        <v>8.69034598434461</v>
      </c>
      <c r="AI3849">
        <v>96.576918906597896</v>
      </c>
      <c r="AJ3849">
        <v>66.451931636259005</v>
      </c>
      <c r="AK3849">
        <v>9.5425716911630101</v>
      </c>
    </row>
    <row r="3850" spans="1:37" x14ac:dyDescent="0.2">
      <c r="A3850" t="str">
        <f>"20200111153727045"</f>
        <v>20200111153727045</v>
      </c>
      <c r="B3850" t="str">
        <f>"1578728247036566"</f>
        <v>1578728247036566</v>
      </c>
      <c r="C3850" t="s">
        <v>37</v>
      </c>
      <c r="D3850">
        <v>5.7188939999999997</v>
      </c>
      <c r="E3850">
        <v>0.59473350000000003</v>
      </c>
      <c r="F3850" t="s">
        <v>39</v>
      </c>
      <c r="G3850">
        <v>-213.49180000000001</v>
      </c>
      <c r="H3850" s="1">
        <v>-4.0915900000000001E-6</v>
      </c>
      <c r="I3850">
        <v>143.68209999999999</v>
      </c>
      <c r="J3850">
        <v>-203.79599999999999</v>
      </c>
      <c r="K3850">
        <v>1.09292099999999</v>
      </c>
      <c r="L3850">
        <v>144.3613</v>
      </c>
      <c r="M3850">
        <v>-0.88834349999999995</v>
      </c>
      <c r="N3850">
        <v>0</v>
      </c>
      <c r="O3850">
        <v>-0.4591594</v>
      </c>
      <c r="P3850">
        <v>-0.94978399999999996</v>
      </c>
      <c r="Q3850">
        <v>2.68539E-2</v>
      </c>
      <c r="R3850">
        <v>-0.31175269999999999</v>
      </c>
      <c r="S3850">
        <v>-3.094376</v>
      </c>
      <c r="T3850">
        <v>-0.33958319999999997</v>
      </c>
      <c r="U3850">
        <v>-0.24974060000000001</v>
      </c>
      <c r="V3850">
        <v>0.15988959999999999</v>
      </c>
      <c r="W3850">
        <v>2.7112799999999999E-2</v>
      </c>
      <c r="X3850">
        <v>0.98676249999999999</v>
      </c>
      <c r="Y3850">
        <v>0.38140479999999999</v>
      </c>
      <c r="Z3850">
        <v>6.9274749999999996E-2</v>
      </c>
      <c r="AA3850">
        <v>0.92180869999999904</v>
      </c>
      <c r="AB3850">
        <v>28</v>
      </c>
      <c r="AC3850">
        <v>-9.6958000000000197</v>
      </c>
      <c r="AD3850">
        <v>-1.09292509158999</v>
      </c>
      <c r="AE3850">
        <v>-0.67920000000000802</v>
      </c>
      <c r="AF3850">
        <v>3.8005360316204801</v>
      </c>
      <c r="AG3850">
        <v>-1.09292509158999</v>
      </c>
      <c r="AH3850">
        <v>8.8137031493761899</v>
      </c>
      <c r="AI3850">
        <v>96.496159965731295</v>
      </c>
      <c r="AJ3850">
        <v>66.673925984821196</v>
      </c>
      <c r="AK3850">
        <v>9.6602237338892092</v>
      </c>
    </row>
    <row r="3851" spans="1:37" x14ac:dyDescent="0.2">
      <c r="A3851" t="str">
        <f>"20200111153727067"</f>
        <v>20200111153727067</v>
      </c>
      <c r="B3851" t="str">
        <f>"1578728247057065"</f>
        <v>1578728247057065</v>
      </c>
      <c r="C3851" t="s">
        <v>37</v>
      </c>
      <c r="D3851">
        <v>5.7152890000000003</v>
      </c>
      <c r="E3851">
        <v>0.59421689999999905</v>
      </c>
      <c r="F3851" t="s">
        <v>39</v>
      </c>
      <c r="G3851">
        <v>-213.96510000000001</v>
      </c>
      <c r="H3851" s="1">
        <v>-3.9025089999999999E-6</v>
      </c>
      <c r="I3851">
        <v>143.64089999999999</v>
      </c>
      <c r="J3851">
        <v>-204.05719999999999</v>
      </c>
      <c r="K3851">
        <v>1.0928879999999901</v>
      </c>
      <c r="L3851">
        <v>144.24209999999999</v>
      </c>
      <c r="M3851">
        <v>-0.89480899999999997</v>
      </c>
      <c r="N3851">
        <v>0</v>
      </c>
      <c r="O3851">
        <v>-0.44642939999999998</v>
      </c>
      <c r="P3851">
        <v>-0.95297690000000002</v>
      </c>
      <c r="Q3851">
        <v>2.663629E-2</v>
      </c>
      <c r="R3851">
        <v>-0.30187059999999999</v>
      </c>
      <c r="S3851">
        <v>-3.09603899999999</v>
      </c>
      <c r="T3851">
        <v>-0.33274509999999902</v>
      </c>
      <c r="U3851">
        <v>-0.2193146</v>
      </c>
      <c r="V3851">
        <v>0.15604560000000001</v>
      </c>
      <c r="W3851">
        <v>2.6915939999999999E-2</v>
      </c>
      <c r="X3851">
        <v>0.98738309999999996</v>
      </c>
      <c r="Y3851">
        <v>0.37754720000000003</v>
      </c>
      <c r="Z3851">
        <v>6.6472329999999996E-2</v>
      </c>
      <c r="AA3851">
        <v>0.92360140000000002</v>
      </c>
      <c r="AB3851">
        <v>28</v>
      </c>
      <c r="AC3851">
        <v>-9.9079000000000104</v>
      </c>
      <c r="AD3851">
        <v>-1.09289190250899</v>
      </c>
      <c r="AE3851">
        <v>-0.60120000000000495</v>
      </c>
      <c r="AF3851">
        <v>3.8387177916518498</v>
      </c>
      <c r="AG3851">
        <v>-1.09289190250899</v>
      </c>
      <c r="AH3851">
        <v>9.0247487840921199</v>
      </c>
      <c r="AI3851">
        <v>96.358653509955005</v>
      </c>
      <c r="AJ3851">
        <v>66.957304755638404</v>
      </c>
      <c r="AK3851">
        <v>9.8679409002327496</v>
      </c>
    </row>
    <row r="3852" spans="1:37" x14ac:dyDescent="0.2">
      <c r="A3852" t="str">
        <f>"20200111153727089"</f>
        <v>20200111153727089</v>
      </c>
      <c r="B3852" t="str">
        <f>"1578728247076582"</f>
        <v>1578728247076582</v>
      </c>
      <c r="C3852" t="s">
        <v>37</v>
      </c>
      <c r="D3852">
        <v>5.7674830000000004</v>
      </c>
      <c r="E3852">
        <v>0.59357150000000003</v>
      </c>
      <c r="F3852" t="s">
        <v>39</v>
      </c>
      <c r="G3852">
        <v>-214.34460000000001</v>
      </c>
      <c r="H3852" s="1">
        <v>-3.7156449999999998E-6</v>
      </c>
      <c r="I3852">
        <v>143.607</v>
      </c>
      <c r="J3852">
        <v>-204.30590000000001</v>
      </c>
      <c r="K3852">
        <v>1.09287</v>
      </c>
      <c r="L3852">
        <v>144.13239999999999</v>
      </c>
      <c r="M3852">
        <v>-0.90068189999999904</v>
      </c>
      <c r="N3852">
        <v>0</v>
      </c>
      <c r="O3852">
        <v>-0.4344595</v>
      </c>
      <c r="P3852">
        <v>-0.95580209999999999</v>
      </c>
      <c r="Q3852">
        <v>2.6155479999999998E-2</v>
      </c>
      <c r="R3852">
        <v>-0.29284569999999999</v>
      </c>
      <c r="S3852">
        <v>-3.0966800000000001</v>
      </c>
      <c r="T3852">
        <v>-0.32897680000000001</v>
      </c>
      <c r="U3852">
        <v>-0.19114690000000001</v>
      </c>
      <c r="V3852">
        <v>0.15220910000000001</v>
      </c>
      <c r="W3852">
        <v>2.6465969999999998E-2</v>
      </c>
      <c r="X3852">
        <v>0.98799389999999998</v>
      </c>
      <c r="Y3852">
        <v>0.37377379999999999</v>
      </c>
      <c r="Z3852">
        <v>6.4405580000000004E-2</v>
      </c>
      <c r="AA3852">
        <v>0.92528099999999902</v>
      </c>
      <c r="AB3852">
        <v>28</v>
      </c>
      <c r="AC3852">
        <v>-10.0387</v>
      </c>
      <c r="AD3852">
        <v>-1.0928737156449999</v>
      </c>
      <c r="AE3852">
        <v>-0.52539999999998999</v>
      </c>
      <c r="AF3852">
        <v>3.8428036756484798</v>
      </c>
      <c r="AG3852">
        <v>-1.0928737156449999</v>
      </c>
      <c r="AH3852">
        <v>9.16173289416054</v>
      </c>
      <c r="AI3852">
        <v>96.277425273610206</v>
      </c>
      <c r="AJ3852">
        <v>67.244839950385995</v>
      </c>
      <c r="AK3852">
        <v>9.9949418543515502</v>
      </c>
    </row>
    <row r="3853" spans="1:37" x14ac:dyDescent="0.2">
      <c r="A3853" t="str">
        <f>"20200111153727112"</f>
        <v>20200111153727112</v>
      </c>
      <c r="B3853" t="str">
        <f>"1578728247106838"</f>
        <v>1578728247106838</v>
      </c>
      <c r="C3853" t="s">
        <v>37</v>
      </c>
      <c r="D3853">
        <v>5.7964669999999998</v>
      </c>
      <c r="E3853">
        <v>0.59247519999999998</v>
      </c>
      <c r="F3853" t="s">
        <v>39</v>
      </c>
      <c r="G3853">
        <v>-214.62020000000001</v>
      </c>
      <c r="H3853" s="1">
        <v>-3.5770950000000001E-6</v>
      </c>
      <c r="I3853">
        <v>143.57589999999999</v>
      </c>
      <c r="J3853">
        <v>-204.57740000000001</v>
      </c>
      <c r="K3853">
        <v>1.0928770000000001</v>
      </c>
      <c r="L3853">
        <v>144.01679999999999</v>
      </c>
      <c r="M3853">
        <v>-0.90677859999999999</v>
      </c>
      <c r="N3853">
        <v>0</v>
      </c>
      <c r="O3853">
        <v>-0.4215875</v>
      </c>
      <c r="P3853">
        <v>-0.95895789999999903</v>
      </c>
      <c r="Q3853">
        <v>2.5570570000000001E-2</v>
      </c>
      <c r="R3853">
        <v>-0.28239369999999903</v>
      </c>
      <c r="S3853">
        <v>-3.0965119999999899</v>
      </c>
      <c r="T3853">
        <v>-0.32809879999999902</v>
      </c>
      <c r="U3853">
        <v>-0.1670837</v>
      </c>
      <c r="V3853">
        <v>0.14891170000000001</v>
      </c>
      <c r="W3853">
        <v>2.5899200000000001E-2</v>
      </c>
      <c r="X3853">
        <v>0.98851129999999998</v>
      </c>
      <c r="Y3853">
        <v>0.36785440000000003</v>
      </c>
      <c r="Z3853">
        <v>6.2718090000000004E-2</v>
      </c>
      <c r="AA3853">
        <v>0.92776589999999903</v>
      </c>
      <c r="AB3853">
        <v>28</v>
      </c>
      <c r="AC3853">
        <v>-10.0428</v>
      </c>
      <c r="AD3853">
        <v>-1.0928805770950001</v>
      </c>
      <c r="AE3853">
        <v>-0.44089999999999901</v>
      </c>
      <c r="AF3853">
        <v>3.7893635617035399</v>
      </c>
      <c r="AG3853">
        <v>-1.0928805770950001</v>
      </c>
      <c r="AH3853">
        <v>9.1840005486634695</v>
      </c>
      <c r="AI3853">
        <v>96.277443785477899</v>
      </c>
      <c r="AJ3853">
        <v>67.578716718019706</v>
      </c>
      <c r="AK3853">
        <v>9.9949752494145301</v>
      </c>
    </row>
    <row r="3854" spans="1:37" x14ac:dyDescent="0.2">
      <c r="A3854" t="str">
        <f>"20200111153727135"</f>
        <v>20200111153727135</v>
      </c>
      <c r="B3854" t="str">
        <f>"1578728247127334"</f>
        <v>1578728247127334</v>
      </c>
      <c r="C3854" t="s">
        <v>37</v>
      </c>
      <c r="D3854">
        <v>5.828411</v>
      </c>
      <c r="E3854">
        <v>0.59166289999999999</v>
      </c>
      <c r="F3854" t="s">
        <v>39</v>
      </c>
      <c r="G3854">
        <v>-214.93790000000001</v>
      </c>
      <c r="H3854" s="1">
        <v>-3.41781799999999E-6</v>
      </c>
      <c r="I3854">
        <v>143.54169999999999</v>
      </c>
      <c r="J3854">
        <v>-204.863</v>
      </c>
      <c r="K3854">
        <v>1.092897</v>
      </c>
      <c r="L3854">
        <v>143.8997</v>
      </c>
      <c r="M3854">
        <v>-0.912844199999999</v>
      </c>
      <c r="N3854">
        <v>0</v>
      </c>
      <c r="O3854">
        <v>-0.4082884</v>
      </c>
      <c r="P3854">
        <v>-0.96218609999999904</v>
      </c>
      <c r="Q3854">
        <v>2.4439039999999999E-2</v>
      </c>
      <c r="R3854">
        <v>-0.27129530000000002</v>
      </c>
      <c r="S3854">
        <v>-3.0953059999999999</v>
      </c>
      <c r="T3854">
        <v>-0.32651170000000002</v>
      </c>
      <c r="U3854">
        <v>-0.14195250000000001</v>
      </c>
      <c r="V3854">
        <v>0.14586260000000001</v>
      </c>
      <c r="W3854">
        <v>2.4782809999999999E-2</v>
      </c>
      <c r="X3854">
        <v>0.98899439999999905</v>
      </c>
      <c r="Y3854">
        <v>0.3619018</v>
      </c>
      <c r="Z3854">
        <v>6.0872780000000001E-2</v>
      </c>
      <c r="AA3854">
        <v>0.93022660000000001</v>
      </c>
      <c r="AB3854">
        <v>28</v>
      </c>
      <c r="AC3854">
        <v>-10.0749</v>
      </c>
      <c r="AD3854">
        <v>-1.092900417818</v>
      </c>
      <c r="AE3854">
        <v>-0.35800000000000398</v>
      </c>
      <c r="AF3854">
        <v>3.7427106138578901</v>
      </c>
      <c r="AG3854">
        <v>-1.092900417818</v>
      </c>
      <c r="AH3854">
        <v>9.2345271169755492</v>
      </c>
      <c r="AI3854">
        <v>96.259363989172201</v>
      </c>
      <c r="AJ3854">
        <v>67.937517801720702</v>
      </c>
      <c r="AK3854">
        <v>10.023911668430999</v>
      </c>
    </row>
    <row r="3855" spans="1:37" x14ac:dyDescent="0.2">
      <c r="A3855" t="str">
        <f>"20200111153727157"</f>
        <v>20200111153727157</v>
      </c>
      <c r="B3855" t="str">
        <f>"1578728247146856"</f>
        <v>1578728247146856</v>
      </c>
      <c r="C3855" t="s">
        <v>37</v>
      </c>
      <c r="D3855">
        <v>5.8210329999999999</v>
      </c>
      <c r="E3855">
        <v>0.59080100000000002</v>
      </c>
      <c r="F3855" t="s">
        <v>39</v>
      </c>
      <c r="G3855">
        <v>-215.1396</v>
      </c>
      <c r="H3855" s="1">
        <v>-3.3184050000000002E-6</v>
      </c>
      <c r="I3855">
        <v>143.5264</v>
      </c>
      <c r="J3855">
        <v>-205.12970000000001</v>
      </c>
      <c r="K3855">
        <v>1.092938</v>
      </c>
      <c r="L3855">
        <v>143.79429999999999</v>
      </c>
      <c r="M3855">
        <v>-0.91819390000000001</v>
      </c>
      <c r="N3855">
        <v>0</v>
      </c>
      <c r="O3855">
        <v>-0.39611180000000001</v>
      </c>
      <c r="P3855">
        <v>-0.9651286</v>
      </c>
      <c r="Q3855">
        <v>2.4195399999999999E-2</v>
      </c>
      <c r="R3855">
        <v>-0.26065579999999999</v>
      </c>
      <c r="S3855">
        <v>-3.0945740000000002</v>
      </c>
      <c r="T3855">
        <v>-0.3291039</v>
      </c>
      <c r="U3855">
        <v>-0.1123962</v>
      </c>
      <c r="V3855">
        <v>0.14361889999999999</v>
      </c>
      <c r="W3855">
        <v>2.4546370000000001E-2</v>
      </c>
      <c r="X3855">
        <v>0.9893286</v>
      </c>
      <c r="Y3855">
        <v>0.35838769999999998</v>
      </c>
      <c r="Z3855">
        <v>6.0018719999999998E-2</v>
      </c>
      <c r="AA3855">
        <v>0.93164159999999996</v>
      </c>
      <c r="AB3855">
        <v>28</v>
      </c>
      <c r="AC3855">
        <v>-10.009899999999901</v>
      </c>
      <c r="AD3855">
        <v>-1.0929413184049901</v>
      </c>
      <c r="AE3855">
        <v>-0.26789999999999697</v>
      </c>
      <c r="AF3855">
        <v>3.6752999451097002</v>
      </c>
      <c r="AG3855">
        <v>-1.0929413184049901</v>
      </c>
      <c r="AH3855">
        <v>9.1877647069869504</v>
      </c>
      <c r="AI3855">
        <v>96.302615212947998</v>
      </c>
      <c r="AJ3855">
        <v>68.197547253007301</v>
      </c>
      <c r="AK3855">
        <v>9.9557707247081204</v>
      </c>
    </row>
    <row r="3856" spans="1:37" x14ac:dyDescent="0.2">
      <c r="A3856" t="str">
        <f>"20200111153727179"</f>
        <v>20200111153727179</v>
      </c>
      <c r="B3856" t="str">
        <f>"1578728247167350"</f>
        <v>1578728247167350</v>
      </c>
      <c r="C3856" t="s">
        <v>37</v>
      </c>
      <c r="D3856">
        <v>5.8674689999999998</v>
      </c>
      <c r="E3856">
        <v>0.59000810000000004</v>
      </c>
      <c r="F3856" t="s">
        <v>39</v>
      </c>
      <c r="G3856">
        <v>-215.40690000000001</v>
      </c>
      <c r="H3856" s="1">
        <v>-3.1882529999999998E-6</v>
      </c>
      <c r="I3856">
        <v>143.51220000000001</v>
      </c>
      <c r="J3856">
        <v>-205.39320000000001</v>
      </c>
      <c r="K3856">
        <v>1.093005</v>
      </c>
      <c r="L3856">
        <v>143.69380000000001</v>
      </c>
      <c r="M3856">
        <v>-0.92318789999999995</v>
      </c>
      <c r="N3856">
        <v>0</v>
      </c>
      <c r="O3856">
        <v>-0.38432959999999999</v>
      </c>
      <c r="P3856">
        <v>-0.96790209999999999</v>
      </c>
      <c r="Q3856">
        <v>2.454506E-2</v>
      </c>
      <c r="R3856">
        <v>-0.25012709999999999</v>
      </c>
      <c r="S3856">
        <v>-3.0937039999999998</v>
      </c>
      <c r="T3856">
        <v>-0.32900459999999998</v>
      </c>
      <c r="U3856">
        <v>-8.4915160000000003E-2</v>
      </c>
      <c r="V3856">
        <v>0.14173450000000001</v>
      </c>
      <c r="W3856">
        <v>2.4901980000000001E-2</v>
      </c>
      <c r="X3856">
        <v>0.98959140000000001</v>
      </c>
      <c r="Y3856">
        <v>0.35479070000000001</v>
      </c>
      <c r="Z3856">
        <v>5.8689499999999999E-2</v>
      </c>
      <c r="AA3856">
        <v>0.93310190000000004</v>
      </c>
      <c r="AB3856">
        <v>29</v>
      </c>
      <c r="AC3856">
        <v>-10.0137</v>
      </c>
      <c r="AD3856">
        <v>-1.0930081882529901</v>
      </c>
      <c r="AE3856">
        <v>-0.18160000000000301</v>
      </c>
      <c r="AF3856">
        <v>3.6376134557810298</v>
      </c>
      <c r="AG3856">
        <v>-1.0930081882529901</v>
      </c>
      <c r="AH3856">
        <v>9.2047606511903695</v>
      </c>
      <c r="AI3856">
        <v>96.301816841939498</v>
      </c>
      <c r="AJ3856">
        <v>68.436649402280594</v>
      </c>
      <c r="AK3856">
        <v>9.9576361250534706</v>
      </c>
    </row>
    <row r="3857" spans="1:37" x14ac:dyDescent="0.2">
      <c r="A3857" t="str">
        <f>"20200111153727201"</f>
        <v>20200111153727201</v>
      </c>
      <c r="B3857" t="str">
        <f>"1578728247196630"</f>
        <v>1578728247196630</v>
      </c>
      <c r="C3857" t="s">
        <v>37</v>
      </c>
      <c r="D3857">
        <v>5.8020230000000002</v>
      </c>
      <c r="E3857">
        <v>0.58894849999999999</v>
      </c>
      <c r="F3857" t="s">
        <v>39</v>
      </c>
      <c r="G3857">
        <v>-215.71260000000001</v>
      </c>
      <c r="H3857" s="1">
        <v>-3.0411360000000001E-6</v>
      </c>
      <c r="I3857">
        <v>143.50239999999999</v>
      </c>
      <c r="J3857">
        <v>-205.66659999999999</v>
      </c>
      <c r="K3857">
        <v>1.0930789999999999</v>
      </c>
      <c r="L3857">
        <v>143.59350000000001</v>
      </c>
      <c r="M3857">
        <v>-0.92807379999999995</v>
      </c>
      <c r="N3857">
        <v>0</v>
      </c>
      <c r="O3857">
        <v>-0.37237709999999902</v>
      </c>
      <c r="P3857">
        <v>-0.97068539999999903</v>
      </c>
      <c r="Q3857">
        <v>2.443971E-2</v>
      </c>
      <c r="R3857">
        <v>-0.23910789999999901</v>
      </c>
      <c r="S3857">
        <v>-3.0929570000000002</v>
      </c>
      <c r="T3857">
        <v>-0.32759829999999901</v>
      </c>
      <c r="U3857">
        <v>-5.7388309999999998E-2</v>
      </c>
      <c r="V3857">
        <v>0.14019719999999999</v>
      </c>
      <c r="W3857">
        <v>2.479806E-2</v>
      </c>
      <c r="X3857">
        <v>0.98981299999999905</v>
      </c>
      <c r="Y3857">
        <v>0.351137799999999</v>
      </c>
      <c r="Z3857">
        <v>5.7101350000000002E-2</v>
      </c>
      <c r="AA3857">
        <v>0.934581</v>
      </c>
      <c r="AB3857">
        <v>29</v>
      </c>
      <c r="AC3857">
        <v>-10.045999999999999</v>
      </c>
      <c r="AD3857">
        <v>-1.093082041136</v>
      </c>
      <c r="AE3857">
        <v>-9.1100000000011505E-2</v>
      </c>
      <c r="AF3857">
        <v>3.6136006884412399</v>
      </c>
      <c r="AG3857">
        <v>-1.093082041136</v>
      </c>
      <c r="AH3857">
        <v>9.2479415116884098</v>
      </c>
      <c r="AI3857">
        <v>96.282463767522103</v>
      </c>
      <c r="AJ3857">
        <v>68.657101605737395</v>
      </c>
      <c r="AK3857">
        <v>9.9888618214372507</v>
      </c>
    </row>
    <row r="3858" spans="1:37" x14ac:dyDescent="0.2">
      <c r="A3858" t="str">
        <f>"20200111153727224"</f>
        <v>20200111153727224</v>
      </c>
      <c r="B3858" t="str">
        <f>"1578728247217127"</f>
        <v>1578728247217127</v>
      </c>
      <c r="C3858" t="s">
        <v>37</v>
      </c>
      <c r="D3858">
        <v>5.8439860000000001</v>
      </c>
      <c r="E3858">
        <v>0.58826889999999998</v>
      </c>
      <c r="F3858" t="s">
        <v>39</v>
      </c>
      <c r="G3858">
        <v>-216.06599999999901</v>
      </c>
      <c r="H3858" s="1">
        <v>-2.8714510000000001E-6</v>
      </c>
      <c r="I3858">
        <v>143.49260000000001</v>
      </c>
      <c r="J3858">
        <v>-205.95920000000001</v>
      </c>
      <c r="K3858">
        <v>1.0931629999999899</v>
      </c>
      <c r="L3858">
        <v>143.49019999999999</v>
      </c>
      <c r="M3858">
        <v>-0.932990599999999</v>
      </c>
      <c r="N3858">
        <v>0</v>
      </c>
      <c r="O3858">
        <v>-0.35988150000000002</v>
      </c>
      <c r="P3858">
        <v>-0.97339339999999996</v>
      </c>
      <c r="Q3858">
        <v>2.459648E-2</v>
      </c>
      <c r="R3858">
        <v>-0.22781609999999999</v>
      </c>
      <c r="S3858">
        <v>-3.0913849999999998</v>
      </c>
      <c r="T3858">
        <v>-0.324934</v>
      </c>
      <c r="U3858">
        <v>-2.9998779999999999E-2</v>
      </c>
      <c r="V3858">
        <v>0.13839870000000001</v>
      </c>
      <c r="W3858">
        <v>2.4964900000000002E-2</v>
      </c>
      <c r="X3858">
        <v>0.99006190000000005</v>
      </c>
      <c r="Y3858">
        <v>0.34699229999999998</v>
      </c>
      <c r="Z3858">
        <v>5.5236130000000001E-2</v>
      </c>
      <c r="AA3858">
        <v>0.93623999999999996</v>
      </c>
      <c r="AB3858">
        <v>29</v>
      </c>
      <c r="AC3858">
        <v>-10.1067999999999</v>
      </c>
      <c r="AD3858">
        <v>-1.093165871451</v>
      </c>
      <c r="AE3858">
        <v>2.4000000000228201E-3</v>
      </c>
      <c r="AF3858">
        <v>3.5974287848777902</v>
      </c>
      <c r="AG3858">
        <v>-1.093165871451</v>
      </c>
      <c r="AH3858">
        <v>9.3197205456547891</v>
      </c>
      <c r="AI3858">
        <v>96.244846541820394</v>
      </c>
      <c r="AJ3858">
        <v>68.893322601970794</v>
      </c>
      <c r="AK3858">
        <v>10.049562007066401</v>
      </c>
    </row>
    <row r="3859" spans="1:37" x14ac:dyDescent="0.2">
      <c r="A3859" t="str">
        <f>"20200111153727247"</f>
        <v>20200111153727247</v>
      </c>
      <c r="B3859" t="str">
        <f>"1578728247236649"</f>
        <v>1578728247236649</v>
      </c>
      <c r="C3859" t="s">
        <v>37</v>
      </c>
      <c r="D3859">
        <v>5.8544539999999996</v>
      </c>
      <c r="E3859">
        <v>0.58745919999999996</v>
      </c>
      <c r="F3859" t="s">
        <v>39</v>
      </c>
      <c r="G3859">
        <v>-216.4579</v>
      </c>
      <c r="H3859" s="1">
        <v>-2.686468E-6</v>
      </c>
      <c r="I3859">
        <v>143.49350000000001</v>
      </c>
      <c r="J3859">
        <v>-206.24870000000001</v>
      </c>
      <c r="K3859">
        <v>1.0932309999999901</v>
      </c>
      <c r="L3859">
        <v>143.39179999999999</v>
      </c>
      <c r="M3859">
        <v>-0.9375753</v>
      </c>
      <c r="N3859">
        <v>0</v>
      </c>
      <c r="O3859">
        <v>-0.34776309999999999</v>
      </c>
      <c r="P3859">
        <v>-0.97583770000000003</v>
      </c>
      <c r="Q3859">
        <v>2.4708040000000001E-2</v>
      </c>
      <c r="R3859">
        <v>-0.2170956</v>
      </c>
      <c r="S3859">
        <v>-3.0903930000000002</v>
      </c>
      <c r="T3859">
        <v>-0.32178249999999903</v>
      </c>
      <c r="U3859">
        <v>9.9182130000000004E-4</v>
      </c>
      <c r="V3859">
        <v>0.13645639999999901</v>
      </c>
      <c r="W3859">
        <v>2.5093609999999999E-2</v>
      </c>
      <c r="X3859">
        <v>0.99032819999999899</v>
      </c>
      <c r="Y3859">
        <v>0.344385</v>
      </c>
      <c r="Z3859">
        <v>5.3411170000000001E-2</v>
      </c>
      <c r="AA3859">
        <v>0.93730800000000003</v>
      </c>
      <c r="AB3859">
        <v>29</v>
      </c>
      <c r="AC3859">
        <v>-10.2091999999999</v>
      </c>
      <c r="AD3859">
        <v>-1.0932336864679999</v>
      </c>
      <c r="AE3859">
        <v>0.101700000000022</v>
      </c>
      <c r="AF3859">
        <v>3.6044316157439402</v>
      </c>
      <c r="AG3859">
        <v>-1.0932336864679999</v>
      </c>
      <c r="AH3859">
        <v>9.4284861360310206</v>
      </c>
      <c r="AI3859">
        <v>96.181359328022495</v>
      </c>
      <c r="AJ3859">
        <v>69.078561635453596</v>
      </c>
      <c r="AK3859">
        <v>10.1530014273185</v>
      </c>
    </row>
    <row r="3860" spans="1:37" x14ac:dyDescent="0.2">
      <c r="A3860" t="str">
        <f>"20200111153727268"</f>
        <v>20200111153727268</v>
      </c>
      <c r="B3860" t="str">
        <f>"1578728247257143"</f>
        <v>1578728247257143</v>
      </c>
      <c r="C3860" t="s">
        <v>37</v>
      </c>
      <c r="D3860">
        <v>5.9038300000000001</v>
      </c>
      <c r="E3860">
        <v>0.5865051</v>
      </c>
      <c r="F3860" t="s">
        <v>39</v>
      </c>
      <c r="G3860">
        <v>-216.8218</v>
      </c>
      <c r="H3860" s="1">
        <v>-2.513933E-6</v>
      </c>
      <c r="I3860">
        <v>143.4915</v>
      </c>
      <c r="J3860">
        <v>-206.52350000000001</v>
      </c>
      <c r="K3860">
        <v>1.0932959999999901</v>
      </c>
      <c r="L3860">
        <v>143.30199999999999</v>
      </c>
      <c r="M3860">
        <v>-0.94168249999999998</v>
      </c>
      <c r="N3860">
        <v>0</v>
      </c>
      <c r="O3860">
        <v>-0.33648319999999998</v>
      </c>
      <c r="P3860">
        <v>-0.97801009999999999</v>
      </c>
      <c r="Q3860">
        <v>2.5378330000000001E-2</v>
      </c>
      <c r="R3860">
        <v>-0.207007899999999</v>
      </c>
      <c r="S3860">
        <v>-3.0888520000000002</v>
      </c>
      <c r="T3860">
        <v>-0.31937959999999999</v>
      </c>
      <c r="U3860">
        <v>2.9113770000000001E-2</v>
      </c>
      <c r="V3860">
        <v>0.1347988</v>
      </c>
      <c r="W3860">
        <v>2.577813E-2</v>
      </c>
      <c r="X3860">
        <v>0.99053760000000002</v>
      </c>
      <c r="Y3860">
        <v>0.34178130000000001</v>
      </c>
      <c r="Z3860">
        <v>5.1812160000000003E-2</v>
      </c>
      <c r="AA3860">
        <v>0.93835020000000002</v>
      </c>
      <c r="AB3860">
        <v>29</v>
      </c>
      <c r="AC3860">
        <v>-10.2982999999999</v>
      </c>
      <c r="AD3860">
        <v>-1.09329851393299</v>
      </c>
      <c r="AE3860">
        <v>0.18949999999998099</v>
      </c>
      <c r="AF3860">
        <v>3.60308258358079</v>
      </c>
      <c r="AG3860">
        <v>-1.09329851393299</v>
      </c>
      <c r="AH3860">
        <v>9.5266934886014791</v>
      </c>
      <c r="AI3860">
        <v>96.126724497736902</v>
      </c>
      <c r="AJ3860">
        <v>69.282923680788301</v>
      </c>
      <c r="AK3860">
        <v>10.243797858725699</v>
      </c>
    </row>
    <row r="3861" spans="1:37" x14ac:dyDescent="0.2">
      <c r="A3861" t="str">
        <f>"20200111153727290"</f>
        <v>20200111153727290</v>
      </c>
      <c r="B3861" t="str">
        <f>"1578728247276662"</f>
        <v>1578728247276662</v>
      </c>
      <c r="C3861" t="s">
        <v>37</v>
      </c>
      <c r="D3861">
        <v>5.8839309999999996</v>
      </c>
      <c r="E3861">
        <v>0.58609990000000001</v>
      </c>
      <c r="F3861" t="s">
        <v>39</v>
      </c>
      <c r="G3861">
        <v>-217.1977</v>
      </c>
      <c r="H3861" s="1">
        <v>-2.335405E-6</v>
      </c>
      <c r="I3861">
        <v>143.48840000000001</v>
      </c>
      <c r="J3861">
        <v>-206.8015</v>
      </c>
      <c r="K3861">
        <v>1.093361</v>
      </c>
      <c r="L3861">
        <v>143.21449999999999</v>
      </c>
      <c r="M3861">
        <v>-0.94560509999999998</v>
      </c>
      <c r="N3861">
        <v>0</v>
      </c>
      <c r="O3861">
        <v>-0.32529740000000001</v>
      </c>
      <c r="P3861">
        <v>-0.98020099999999999</v>
      </c>
      <c r="Q3861">
        <v>2.5071240000000002E-2</v>
      </c>
      <c r="R3861">
        <v>-0.19641239999999999</v>
      </c>
      <c r="S3861">
        <v>-3.0870820000000001</v>
      </c>
      <c r="T3861">
        <v>-0.31619150000000001</v>
      </c>
      <c r="U3861">
        <v>5.39093E-2</v>
      </c>
      <c r="V3861">
        <v>0.133766</v>
      </c>
      <c r="W3861">
        <v>2.547257E-2</v>
      </c>
      <c r="X3861">
        <v>0.9906855</v>
      </c>
      <c r="Y3861">
        <v>0.33833229999999997</v>
      </c>
      <c r="Z3861">
        <v>5.0067130000000001E-2</v>
      </c>
      <c r="AA3861">
        <v>0.93969389999999997</v>
      </c>
      <c r="AB3861">
        <v>29</v>
      </c>
      <c r="AC3861">
        <v>-10.396199999999901</v>
      </c>
      <c r="AD3861">
        <v>-1.0933633354050001</v>
      </c>
      <c r="AE3861">
        <v>0.27390000000002601</v>
      </c>
      <c r="AF3861">
        <v>3.6010784389062702</v>
      </c>
      <c r="AG3861">
        <v>-1.0933633354050001</v>
      </c>
      <c r="AH3861">
        <v>9.6351650890777005</v>
      </c>
      <c r="AI3861">
        <v>96.067475749087293</v>
      </c>
      <c r="AJ3861">
        <v>69.507107074652296</v>
      </c>
      <c r="AK3861">
        <v>10.3440618521036</v>
      </c>
    </row>
    <row r="3862" spans="1:37" x14ac:dyDescent="0.2">
      <c r="A3862" t="str">
        <f>"20200111153727313"</f>
        <v>20200111153727313</v>
      </c>
      <c r="B3862" t="str">
        <f>"1578728247306918"</f>
        <v>1578728247306918</v>
      </c>
      <c r="C3862" t="s">
        <v>37</v>
      </c>
      <c r="D3862">
        <v>5.8922480000000004</v>
      </c>
      <c r="E3862">
        <v>0.56411529999999999</v>
      </c>
      <c r="F3862" t="s">
        <v>39</v>
      </c>
      <c r="G3862">
        <v>-217.46090000000001</v>
      </c>
      <c r="H3862" s="1">
        <v>-2.2155900000000002E-6</v>
      </c>
      <c r="I3862">
        <v>143.50559999999999</v>
      </c>
      <c r="J3862">
        <v>-207.10120000000001</v>
      </c>
      <c r="K3862">
        <v>1.093439</v>
      </c>
      <c r="L3862">
        <v>143.12379999999999</v>
      </c>
      <c r="M3862">
        <v>-0.94958180000000003</v>
      </c>
      <c r="N3862">
        <v>0</v>
      </c>
      <c r="O3862">
        <v>-0.31349959999999999</v>
      </c>
      <c r="P3862">
        <v>-0.98253409999999997</v>
      </c>
      <c r="Q3862">
        <v>2.3456769999999998E-2</v>
      </c>
      <c r="R3862">
        <v>-0.1845986</v>
      </c>
      <c r="S3862">
        <v>-3.0856020000000002</v>
      </c>
      <c r="T3862">
        <v>-0.31649959999999899</v>
      </c>
      <c r="U3862">
        <v>8.4289550000000005E-2</v>
      </c>
      <c r="V3862">
        <v>0.1333259</v>
      </c>
      <c r="W3862">
        <v>2.3847050000000002E-2</v>
      </c>
      <c r="X3862">
        <v>0.99078529999999998</v>
      </c>
      <c r="Y3862">
        <v>0.3359452</v>
      </c>
      <c r="Z3862">
        <v>4.8866569999999998E-2</v>
      </c>
      <c r="AA3862">
        <v>0.94061299999999903</v>
      </c>
      <c r="AB3862">
        <v>30</v>
      </c>
      <c r="AC3862">
        <v>-10.3597</v>
      </c>
      <c r="AD3862">
        <v>-1.09344121559</v>
      </c>
      <c r="AE3862">
        <v>0.38179999999999797</v>
      </c>
      <c r="AF3862">
        <v>3.5706108440042401</v>
      </c>
      <c r="AG3862">
        <v>-1.09344121559</v>
      </c>
      <c r="AH3862">
        <v>9.6108265305130693</v>
      </c>
      <c r="AI3862">
        <v>96.087550411740906</v>
      </c>
      <c r="AJ3862">
        <v>69.618979493246798</v>
      </c>
      <c r="AK3862">
        <v>10.3108128724599</v>
      </c>
    </row>
    <row r="3863" spans="1:37" x14ac:dyDescent="0.2">
      <c r="A3863" t="str">
        <f>"20200111153727336"</f>
        <v>20200111153727336</v>
      </c>
      <c r="B3863" t="str">
        <f>"1578728247327415"</f>
        <v>1578728247327415</v>
      </c>
      <c r="C3863" t="s">
        <v>37</v>
      </c>
      <c r="D3863">
        <v>5.8886580000000004</v>
      </c>
      <c r="E3863">
        <v>0.56290189999999996</v>
      </c>
      <c r="F3863" t="s">
        <v>39</v>
      </c>
      <c r="G3863">
        <v>-217.74610000000001</v>
      </c>
      <c r="H3863" s="1">
        <v>-1.9314510000000002E-6</v>
      </c>
      <c r="I3863">
        <v>142.94450000000001</v>
      </c>
      <c r="J3863">
        <v>-207.40309999999999</v>
      </c>
      <c r="K3863">
        <v>1.0935429999999999</v>
      </c>
      <c r="L3863">
        <v>143.0361</v>
      </c>
      <c r="M3863">
        <v>-0.95333299999999999</v>
      </c>
      <c r="N3863">
        <v>0</v>
      </c>
      <c r="O3863">
        <v>-0.30190090000000003</v>
      </c>
      <c r="P3863">
        <v>-0.98473180000000005</v>
      </c>
      <c r="Q3863">
        <v>2.2771240000000002E-2</v>
      </c>
      <c r="R3863">
        <v>-0.17258299999999999</v>
      </c>
      <c r="S3863">
        <v>-3.0511629999999998</v>
      </c>
      <c r="T3863">
        <v>-0.3134152</v>
      </c>
      <c r="U3863">
        <v>-5.137634E-2</v>
      </c>
      <c r="V3863">
        <v>0.1333326</v>
      </c>
      <c r="W3863">
        <v>2.3144390000000001E-2</v>
      </c>
      <c r="X3863">
        <v>0.99080109999999999</v>
      </c>
      <c r="Y3863">
        <v>0.28277590000000002</v>
      </c>
      <c r="Z3863">
        <v>4.5022199999999998E-2</v>
      </c>
      <c r="AA3863">
        <v>0.9581288</v>
      </c>
      <c r="AB3863">
        <v>30</v>
      </c>
      <c r="AC3863">
        <v>-10.343</v>
      </c>
      <c r="AD3863">
        <v>-1.093544931451</v>
      </c>
      <c r="AE3863">
        <v>-9.1599999999999598E-2</v>
      </c>
      <c r="AF3863">
        <v>3.0017023329430099</v>
      </c>
      <c r="AG3863">
        <v>-1.093544931451</v>
      </c>
      <c r="AH3863">
        <v>9.7787346782306201</v>
      </c>
      <c r="AI3863">
        <v>96.102064163351201</v>
      </c>
      <c r="AJ3863">
        <v>72.935490783633</v>
      </c>
      <c r="AK3863">
        <v>10.2873567703238</v>
      </c>
    </row>
    <row r="3864" spans="1:37" x14ac:dyDescent="0.2">
      <c r="A3864" t="str">
        <f>"20200111153727359"</f>
        <v>20200111153727359</v>
      </c>
      <c r="B3864" t="str">
        <f>"1578728247346934"</f>
        <v>1578728247346934</v>
      </c>
      <c r="C3864" t="s">
        <v>37</v>
      </c>
      <c r="D3864">
        <v>5.8918939999999997</v>
      </c>
      <c r="E3864">
        <v>0.56171890000000002</v>
      </c>
      <c r="F3864" t="s">
        <v>39</v>
      </c>
      <c r="G3864">
        <v>-217.74350000000001</v>
      </c>
      <c r="H3864" s="1">
        <v>-1.9352129999999998E-6</v>
      </c>
      <c r="I3864">
        <v>142.95400000000001</v>
      </c>
      <c r="J3864">
        <v>-207.70609999999999</v>
      </c>
      <c r="K3864">
        <v>1.0936680000000001</v>
      </c>
      <c r="L3864">
        <v>142.95160000000001</v>
      </c>
      <c r="M3864">
        <v>-0.95685140000000002</v>
      </c>
      <c r="N3864">
        <v>0</v>
      </c>
      <c r="O3864">
        <v>-0.29055740000000002</v>
      </c>
      <c r="P3864">
        <v>-0.98655939999999998</v>
      </c>
      <c r="Q3864">
        <v>2.356844E-2</v>
      </c>
      <c r="R3864">
        <v>-0.16169529999999999</v>
      </c>
      <c r="S3864">
        <v>-3.049728</v>
      </c>
      <c r="T3864">
        <v>-0.32252140000000001</v>
      </c>
      <c r="U3864">
        <v>-2.420044E-2</v>
      </c>
      <c r="V3864">
        <v>0.13251399999999999</v>
      </c>
      <c r="W3864">
        <v>2.3950019999999999E-2</v>
      </c>
      <c r="X3864">
        <v>0.99089179999999999</v>
      </c>
      <c r="Y3864">
        <v>0.27981450000000002</v>
      </c>
      <c r="Z3864">
        <v>4.5048829999999998E-2</v>
      </c>
      <c r="AA3864">
        <v>0.95899659999999998</v>
      </c>
      <c r="AB3864">
        <v>30</v>
      </c>
      <c r="AC3864">
        <v>-10.0374</v>
      </c>
      <c r="AD3864">
        <v>-1.0936699352129999</v>
      </c>
      <c r="AE3864">
        <v>2.3999999999944001E-3</v>
      </c>
      <c r="AF3864">
        <v>2.88450912547209</v>
      </c>
      <c r="AG3864">
        <v>-1.0936699352129999</v>
      </c>
      <c r="AH3864">
        <v>9.4909810175447795</v>
      </c>
      <c r="AI3864">
        <v>96.291624433868705</v>
      </c>
      <c r="AJ3864">
        <v>73.094867948367295</v>
      </c>
      <c r="AK3864">
        <v>9.9797408532243903</v>
      </c>
    </row>
    <row r="3865" spans="1:37" x14ac:dyDescent="0.2">
      <c r="A3865" t="str">
        <f>"20200111153727380"</f>
        <v>20200111153727380</v>
      </c>
      <c r="B3865" t="str">
        <f>"1578728247377190"</f>
        <v>1578728247377190</v>
      </c>
      <c r="C3865" t="s">
        <v>37</v>
      </c>
      <c r="D3865">
        <v>5.8942009999999998</v>
      </c>
      <c r="E3865">
        <v>0.55527839999999995</v>
      </c>
      <c r="F3865" t="s">
        <v>39</v>
      </c>
      <c r="G3865">
        <v>-218.00149999999999</v>
      </c>
      <c r="H3865" s="1">
        <v>-1.8126099999999899E-6</v>
      </c>
      <c r="I3865">
        <v>142.95150000000001</v>
      </c>
      <c r="J3865">
        <v>-207.98439999999999</v>
      </c>
      <c r="K3865">
        <v>1.0938019999999999</v>
      </c>
      <c r="L3865">
        <v>142.87729999999999</v>
      </c>
      <c r="M3865">
        <v>-0.959866</v>
      </c>
      <c r="N3865">
        <v>0</v>
      </c>
      <c r="O3865">
        <v>-0.28043879999999999</v>
      </c>
      <c r="P3865">
        <v>-0.98789139999999998</v>
      </c>
      <c r="Q3865">
        <v>2.4964139999999999E-2</v>
      </c>
      <c r="R3865">
        <v>-0.15312509999999999</v>
      </c>
      <c r="S3865">
        <v>-3.0486149999999999</v>
      </c>
      <c r="T3865">
        <v>-0.32385150000000001</v>
      </c>
      <c r="U3865" s="1">
        <v>-3.0517579999999999E-5</v>
      </c>
      <c r="V3865">
        <v>0.13066620000000001</v>
      </c>
      <c r="W3865">
        <v>2.538439E-2</v>
      </c>
      <c r="X3865">
        <v>0.99110140000000002</v>
      </c>
      <c r="Y3865">
        <v>0.27732489999999999</v>
      </c>
      <c r="Z3865">
        <v>4.4091039999999998E-2</v>
      </c>
      <c r="AA3865">
        <v>0.9597639</v>
      </c>
      <c r="AB3865">
        <v>30</v>
      </c>
      <c r="AC3865">
        <v>-10.017099999999999</v>
      </c>
      <c r="AD3865">
        <v>-1.09380381261</v>
      </c>
      <c r="AE3865">
        <v>7.4200000000018904E-2</v>
      </c>
      <c r="AF3865">
        <v>2.8464843965091098</v>
      </c>
      <c r="AG3865">
        <v>-1.09380381261</v>
      </c>
      <c r="AH3865">
        <v>9.4812780593209194</v>
      </c>
      <c r="AI3865">
        <v>96.305177883729996</v>
      </c>
      <c r="AJ3865">
        <v>73.289108488823402</v>
      </c>
      <c r="AK3865">
        <v>9.9595940599107902</v>
      </c>
    </row>
    <row r="3866" spans="1:37" x14ac:dyDescent="0.2">
      <c r="A3866" t="str">
        <f>"20200111153727402"</f>
        <v>20200111153727402</v>
      </c>
      <c r="B3866" t="str">
        <f>"1578728247396710"</f>
        <v>1578728247396710</v>
      </c>
      <c r="C3866" t="s">
        <v>37</v>
      </c>
      <c r="D3866">
        <v>5.9086829999999999</v>
      </c>
      <c r="E3866">
        <v>0.55349169999999903</v>
      </c>
      <c r="F3866" t="s">
        <v>39</v>
      </c>
      <c r="G3866">
        <v>-217.69829999999999</v>
      </c>
      <c r="H3866" s="1">
        <v>-1.915349E-6</v>
      </c>
      <c r="I3866">
        <v>142.79910000000001</v>
      </c>
      <c r="J3866">
        <v>-208.28989999999999</v>
      </c>
      <c r="K3866">
        <v>1.093966</v>
      </c>
      <c r="L3866">
        <v>142.79900000000001</v>
      </c>
      <c r="M3866">
        <v>-0.96294550000000001</v>
      </c>
      <c r="N3866">
        <v>0</v>
      </c>
      <c r="O3866">
        <v>-0.26967629999999998</v>
      </c>
      <c r="P3866">
        <v>-0.98925669999999899</v>
      </c>
      <c r="Q3866">
        <v>2.551136E-2</v>
      </c>
      <c r="R3866">
        <v>-0.14394650000000001</v>
      </c>
      <c r="S3866">
        <v>-3.0416409999999998</v>
      </c>
      <c r="T3866">
        <v>-0.34249580000000002</v>
      </c>
      <c r="U3866">
        <v>-2.4490359999999999E-2</v>
      </c>
      <c r="V3866">
        <v>0.12877060000000001</v>
      </c>
      <c r="W3866">
        <v>2.5973079999999999E-2</v>
      </c>
      <c r="X3866">
        <v>0.99133419999999906</v>
      </c>
      <c r="Y3866">
        <v>0.2586116</v>
      </c>
      <c r="Z3866">
        <v>4.4489510000000003E-2</v>
      </c>
      <c r="AA3866">
        <v>0.96495629999999999</v>
      </c>
      <c r="AB3866">
        <v>30</v>
      </c>
      <c r="AC3866">
        <v>-9.4084000000000003</v>
      </c>
      <c r="AD3866">
        <v>-1.0939679153489901</v>
      </c>
      <c r="AE3866">
        <v>1.0000000000331901E-4</v>
      </c>
      <c r="AF3866">
        <v>2.5034851245035599</v>
      </c>
      <c r="AG3866">
        <v>-1.0939679153489901</v>
      </c>
      <c r="AH3866">
        <v>8.9389429825721294</v>
      </c>
      <c r="AI3866">
        <v>96.721176051608197</v>
      </c>
      <c r="AJ3866">
        <v>74.354299782466398</v>
      </c>
      <c r="AK3866">
        <v>9.3471335292751192</v>
      </c>
    </row>
    <row r="3867" spans="1:37" x14ac:dyDescent="0.2">
      <c r="A3867" t="str">
        <f>"20200111153727426"</f>
        <v>20200111153727426</v>
      </c>
      <c r="B3867" t="str">
        <f>"1578728247417207"</f>
        <v>1578728247417207</v>
      </c>
      <c r="C3867" t="s">
        <v>37</v>
      </c>
      <c r="D3867">
        <v>5.8865369999999997</v>
      </c>
      <c r="E3867">
        <v>0.55262009999999995</v>
      </c>
      <c r="F3867" t="s">
        <v>39</v>
      </c>
      <c r="G3867">
        <v>-218.14940000000001</v>
      </c>
      <c r="H3867" s="1">
        <v>-1.6931829999999999E-6</v>
      </c>
      <c r="I3867">
        <v>142.7655</v>
      </c>
      <c r="J3867">
        <v>-208.62049999999999</v>
      </c>
      <c r="K3867">
        <v>1.094117</v>
      </c>
      <c r="L3867">
        <v>142.71799999999999</v>
      </c>
      <c r="M3867">
        <v>-0.96604389999999996</v>
      </c>
      <c r="N3867">
        <v>0</v>
      </c>
      <c r="O3867">
        <v>-0.25835760000000002</v>
      </c>
      <c r="P3867">
        <v>-0.99057929999999905</v>
      </c>
      <c r="Q3867">
        <v>2.545217E-2</v>
      </c>
      <c r="R3867">
        <v>-0.13455549999999999</v>
      </c>
      <c r="S3867">
        <v>-3.0397799999999999</v>
      </c>
      <c r="T3867">
        <v>-0.33728049999999998</v>
      </c>
      <c r="U3867">
        <v>-1.0330199999999999E-2</v>
      </c>
      <c r="V3867">
        <v>0.12652959999999999</v>
      </c>
      <c r="W3867">
        <v>2.5963079999999999E-2</v>
      </c>
      <c r="X3867">
        <v>0.99162299999999903</v>
      </c>
      <c r="Y3867">
        <v>0.2519709</v>
      </c>
      <c r="Z3867">
        <v>4.2263950000000002E-2</v>
      </c>
      <c r="AA3867">
        <v>0.96681149999999905</v>
      </c>
      <c r="AB3867">
        <v>31</v>
      </c>
      <c r="AC3867">
        <v>-9.5289000000000197</v>
      </c>
      <c r="AD3867">
        <v>-1.094118693183</v>
      </c>
      <c r="AE3867">
        <v>4.7500000000013601E-2</v>
      </c>
      <c r="AF3867">
        <v>2.4751329755403799</v>
      </c>
      <c r="AG3867">
        <v>-1.094118693183</v>
      </c>
      <c r="AH3867">
        <v>9.0734912777629493</v>
      </c>
      <c r="AI3867">
        <v>96.635585722189504</v>
      </c>
      <c r="AJ3867">
        <v>74.741681386562306</v>
      </c>
      <c r="AK3867">
        <v>9.4684540939384707</v>
      </c>
    </row>
    <row r="3868" spans="1:37" x14ac:dyDescent="0.2">
      <c r="A3868" t="str">
        <f>"20200111153727448"</f>
        <v>20200111153727448</v>
      </c>
      <c r="B3868" t="str">
        <f>"1578728247436726"</f>
        <v>1578728247436726</v>
      </c>
      <c r="C3868" t="s">
        <v>37</v>
      </c>
      <c r="D3868">
        <v>5.8886199999999898</v>
      </c>
      <c r="E3868">
        <v>0.55174730000000005</v>
      </c>
      <c r="F3868" t="s">
        <v>39</v>
      </c>
      <c r="G3868">
        <v>-218.40819999999999</v>
      </c>
      <c r="H3868" s="1">
        <v>-1.5684600000000001E-6</v>
      </c>
      <c r="I3868">
        <v>142.75659999999999</v>
      </c>
      <c r="J3868">
        <v>-208.91419999999999</v>
      </c>
      <c r="K3868">
        <v>1.094239</v>
      </c>
      <c r="L3868">
        <v>142.649</v>
      </c>
      <c r="M3868">
        <v>-0.96860689999999905</v>
      </c>
      <c r="N3868">
        <v>0</v>
      </c>
      <c r="O3868">
        <v>-0.2485763</v>
      </c>
      <c r="P3868">
        <v>-0.99155949999999904</v>
      </c>
      <c r="Q3868">
        <v>2.501422E-2</v>
      </c>
      <c r="R3868">
        <v>-0.12721640000000001</v>
      </c>
      <c r="S3868">
        <v>-3.0388950000000001</v>
      </c>
      <c r="T3868">
        <v>-0.33970329999999999</v>
      </c>
      <c r="U3868">
        <v>1.1993409999999999E-2</v>
      </c>
      <c r="V3868">
        <v>0.1238301</v>
      </c>
      <c r="W3868">
        <v>2.5585070000000001E-2</v>
      </c>
      <c r="X3868">
        <v>0.99197359999999901</v>
      </c>
      <c r="Y3868">
        <v>0.249321299999999</v>
      </c>
      <c r="Z3868">
        <v>4.1374679999999997E-2</v>
      </c>
      <c r="AA3868">
        <v>0.96753659999999997</v>
      </c>
      <c r="AB3868">
        <v>31</v>
      </c>
      <c r="AC3868">
        <v>-9.4939999999999998</v>
      </c>
      <c r="AD3868">
        <v>-1.0942405684600001</v>
      </c>
      <c r="AE3868">
        <v>0.10759999999999</v>
      </c>
      <c r="AF3868">
        <v>2.4319171156705699</v>
      </c>
      <c r="AG3868">
        <v>-1.0942405684600001</v>
      </c>
      <c r="AH3868">
        <v>9.0490633711386295</v>
      </c>
      <c r="AI3868">
        <v>96.660795645511001</v>
      </c>
      <c r="AJ3868">
        <v>74.957309475917299</v>
      </c>
      <c r="AK3868">
        <v>9.4338290833594094</v>
      </c>
    </row>
    <row r="3869" spans="1:37" x14ac:dyDescent="0.2">
      <c r="A3869" t="str">
        <f>"20200111153727470"</f>
        <v>20200111153727470</v>
      </c>
      <c r="B3869" t="str">
        <f>"1578728247466983"</f>
        <v>1578728247466983</v>
      </c>
      <c r="C3869" t="s">
        <v>37</v>
      </c>
      <c r="D3869">
        <v>5.8964150000000002</v>
      </c>
      <c r="E3869">
        <v>0.54384519999999903</v>
      </c>
      <c r="F3869" t="s">
        <v>39</v>
      </c>
      <c r="G3869">
        <v>-218.6497</v>
      </c>
      <c r="H3869" s="1">
        <v>-1.449527E-6</v>
      </c>
      <c r="I3869">
        <v>142.73869999999999</v>
      </c>
      <c r="J3869">
        <v>-209.2115</v>
      </c>
      <c r="K3869">
        <v>1.0943639999999999</v>
      </c>
      <c r="L3869">
        <v>142.58199999999999</v>
      </c>
      <c r="M3869">
        <v>-0.97102900000000003</v>
      </c>
      <c r="N3869">
        <v>0</v>
      </c>
      <c r="O3869">
        <v>-0.23894070000000001</v>
      </c>
      <c r="P3869">
        <v>-0.99222060000000001</v>
      </c>
      <c r="Q3869">
        <v>2.5786679999999999E-2</v>
      </c>
      <c r="R3869">
        <v>-0.1217926</v>
      </c>
      <c r="S3869">
        <v>-3.03775</v>
      </c>
      <c r="T3869">
        <v>-0.34143259999999998</v>
      </c>
      <c r="U3869">
        <v>2.7984620000000002E-2</v>
      </c>
      <c r="V3869">
        <v>0.1194009</v>
      </c>
      <c r="W3869">
        <v>2.645405E-2</v>
      </c>
      <c r="X3869">
        <v>0.99249359999999998</v>
      </c>
      <c r="Y3869">
        <v>0.24485129999999999</v>
      </c>
      <c r="Z3869">
        <v>4.0298170000000001E-2</v>
      </c>
      <c r="AA3869">
        <v>0.9687228</v>
      </c>
      <c r="AB3869">
        <v>31</v>
      </c>
      <c r="AC3869">
        <v>-9.4381999999999895</v>
      </c>
      <c r="AD3869">
        <v>-1.0943654495270001</v>
      </c>
      <c r="AE3869">
        <v>0.15670000000000001</v>
      </c>
      <c r="AF3869">
        <v>2.3754148317882899</v>
      </c>
      <c r="AG3869">
        <v>-1.0943654495270001</v>
      </c>
      <c r="AH3869">
        <v>9.0063170953832703</v>
      </c>
      <c r="AI3869">
        <v>96.701126585152394</v>
      </c>
      <c r="AJ3869">
        <v>75.224721625629201</v>
      </c>
      <c r="AK3869">
        <v>9.37837827040428</v>
      </c>
    </row>
    <row r="3870" spans="1:37" x14ac:dyDescent="0.2">
      <c r="A3870" t="str">
        <f>"20200111153727504"</f>
        <v>20200111153727504</v>
      </c>
      <c r="B3870" t="str">
        <f>"1578728247497238"</f>
        <v>1578728247497238</v>
      </c>
      <c r="C3870" t="s">
        <v>37</v>
      </c>
      <c r="D3870">
        <v>5.8770480000000003</v>
      </c>
      <c r="E3870">
        <v>0.54349630000000004</v>
      </c>
      <c r="F3870" t="s">
        <v>38</v>
      </c>
      <c r="G3870">
        <v>-210.07830000000001</v>
      </c>
      <c r="H3870">
        <v>0.99542759999999997</v>
      </c>
      <c r="I3870">
        <v>142.57730000000001</v>
      </c>
      <c r="J3870">
        <v>-209.68469999999999</v>
      </c>
      <c r="K3870">
        <v>1.09456</v>
      </c>
      <c r="L3870">
        <v>142.4811</v>
      </c>
      <c r="M3870">
        <v>-0.97455400000000003</v>
      </c>
      <c r="N3870">
        <v>0</v>
      </c>
      <c r="O3870">
        <v>-0.2241312</v>
      </c>
      <c r="P3870">
        <v>-0.99308960000000002</v>
      </c>
      <c r="Q3870">
        <v>2.7426829999999999E-2</v>
      </c>
      <c r="R3870">
        <v>-0.1141103</v>
      </c>
      <c r="S3870">
        <v>-3.0303960000000001</v>
      </c>
      <c r="T3870">
        <v>-0.34544429999999998</v>
      </c>
      <c r="U3870">
        <v>-1.7288209999999998E-2</v>
      </c>
      <c r="V3870">
        <v>0.11197989999999999</v>
      </c>
      <c r="W3870">
        <v>2.8251999999999999E-2</v>
      </c>
      <c r="X3870">
        <v>0.99330879999999999</v>
      </c>
      <c r="Y3870">
        <v>0.21573999999999999</v>
      </c>
      <c r="Z3870">
        <v>3.755489E-2</v>
      </c>
      <c r="AA3870">
        <v>0.97572839999999905</v>
      </c>
      <c r="AB3870">
        <v>31</v>
      </c>
      <c r="AC3870">
        <v>-0.39360000000001999</v>
      </c>
      <c r="AD3870">
        <v>-9.9132399999999996E-2</v>
      </c>
      <c r="AE3870">
        <v>9.6200000000010194E-2</v>
      </c>
      <c r="AF3870">
        <v>0.171693751073001</v>
      </c>
      <c r="AG3870">
        <v>-9.9132399999999996E-2</v>
      </c>
      <c r="AH3870">
        <v>0.34157853684471801</v>
      </c>
      <c r="AI3870">
        <v>104.53686023643201</v>
      </c>
      <c r="AJ3870">
        <v>63.313704367936602</v>
      </c>
      <c r="AK3870">
        <v>0.39494540599968497</v>
      </c>
    </row>
    <row r="3871" spans="1:37" x14ac:dyDescent="0.2">
      <c r="A3871" t="str">
        <f>"20200111153727526"</f>
        <v>20200111153727526</v>
      </c>
      <c r="B3871" t="str">
        <f>"1578728247516758"</f>
        <v>1578728247516758</v>
      </c>
      <c r="C3871" t="s">
        <v>37</v>
      </c>
      <c r="D3871">
        <v>5.8668069999999997</v>
      </c>
      <c r="E3871">
        <v>0.54326280000000005</v>
      </c>
      <c r="F3871" t="s">
        <v>39</v>
      </c>
      <c r="G3871">
        <v>-221.7296</v>
      </c>
      <c r="H3871" s="1">
        <v>-4.1988039999999996E-6</v>
      </c>
      <c r="I3871">
        <v>142.4992</v>
      </c>
      <c r="J3871">
        <v>-210.0042</v>
      </c>
      <c r="K3871">
        <v>1.094678</v>
      </c>
      <c r="L3871">
        <v>142.4169</v>
      </c>
      <c r="M3871">
        <v>-0.9767228</v>
      </c>
      <c r="N3871">
        <v>0</v>
      </c>
      <c r="O3871">
        <v>-0.2144837</v>
      </c>
      <c r="P3871">
        <v>-0.99366239999999995</v>
      </c>
      <c r="Q3871">
        <v>2.6665649999999999E-2</v>
      </c>
      <c r="R3871">
        <v>-0.109197699999999</v>
      </c>
      <c r="S3871">
        <v>-3.029007</v>
      </c>
      <c r="T3871">
        <v>-0.27525670000000002</v>
      </c>
      <c r="U3871">
        <v>4.5776369999999999E-3</v>
      </c>
      <c r="V3871">
        <v>0.10704859999999999</v>
      </c>
      <c r="W3871">
        <v>2.759375E-2</v>
      </c>
      <c r="X3871">
        <v>0.99387080000000005</v>
      </c>
      <c r="Y3871">
        <v>0.21420439999999999</v>
      </c>
      <c r="Z3871">
        <v>2.9049709999999999E-2</v>
      </c>
      <c r="AA3871">
        <v>0.97635680000000002</v>
      </c>
      <c r="AB3871">
        <v>31</v>
      </c>
      <c r="AC3871">
        <v>-11.7254</v>
      </c>
      <c r="AD3871">
        <v>-1.0946821988040001</v>
      </c>
      <c r="AE3871">
        <v>8.2300000000003495E-2</v>
      </c>
      <c r="AF3871">
        <v>2.5728792548416699</v>
      </c>
      <c r="AG3871">
        <v>-1.0946821988040001</v>
      </c>
      <c r="AH3871">
        <v>11.3360656752588</v>
      </c>
      <c r="AI3871">
        <v>95.379751039644503</v>
      </c>
      <c r="AJ3871">
        <v>77.2125528875778</v>
      </c>
      <c r="AK3871">
        <v>11.675804973112299</v>
      </c>
    </row>
    <row r="3872" spans="1:37" x14ac:dyDescent="0.2">
      <c r="A3872" t="str">
        <f>"20200111153727547"</f>
        <v>20200111153727547</v>
      </c>
      <c r="B3872" t="str">
        <f>"1578728247537254"</f>
        <v>1578728247537254</v>
      </c>
      <c r="C3872" t="s">
        <v>37</v>
      </c>
      <c r="D3872">
        <v>5.8663299999999996</v>
      </c>
      <c r="E3872">
        <v>0.53696790000000005</v>
      </c>
      <c r="F3872" t="s">
        <v>39</v>
      </c>
      <c r="G3872">
        <v>-221.93620000000001</v>
      </c>
      <c r="H3872" s="1">
        <v>-4.1269509999999997E-6</v>
      </c>
      <c r="I3872">
        <v>142.49039999999999</v>
      </c>
      <c r="J3872">
        <v>-210.31399999999999</v>
      </c>
      <c r="K3872">
        <v>1.094784</v>
      </c>
      <c r="L3872">
        <v>142.35749999999999</v>
      </c>
      <c r="M3872">
        <v>-0.97868480000000002</v>
      </c>
      <c r="N3872">
        <v>0</v>
      </c>
      <c r="O3872">
        <v>-0.205344999999999</v>
      </c>
      <c r="P3872">
        <v>-0.99408629999999998</v>
      </c>
      <c r="Q3872">
        <v>2.614642E-2</v>
      </c>
      <c r="R3872">
        <v>-0.10539800000000001</v>
      </c>
      <c r="S3872">
        <v>-3.0286409999999999</v>
      </c>
      <c r="T3872">
        <v>-0.27785739999999998</v>
      </c>
      <c r="U3872">
        <v>1.869202E-2</v>
      </c>
      <c r="V3872">
        <v>0.1015422</v>
      </c>
      <c r="W3872">
        <v>2.7187159999999998E-2</v>
      </c>
      <c r="X3872">
        <v>0.99445969999999995</v>
      </c>
      <c r="Y3872">
        <v>0.20964820000000001</v>
      </c>
      <c r="Z3872">
        <v>2.8297639999999999E-2</v>
      </c>
      <c r="AA3872">
        <v>0.97736730000000005</v>
      </c>
      <c r="AB3872">
        <v>32</v>
      </c>
      <c r="AC3872">
        <v>-11.6221999999999</v>
      </c>
      <c r="AD3872">
        <v>-1.094788126951</v>
      </c>
      <c r="AE3872">
        <v>0.13290000000000601</v>
      </c>
      <c r="AF3872">
        <v>2.4945082745741098</v>
      </c>
      <c r="AG3872">
        <v>-1.094788126951</v>
      </c>
      <c r="AH3872">
        <v>11.247445473396001</v>
      </c>
      <c r="AI3872">
        <v>95.428375926207295</v>
      </c>
      <c r="AJ3872">
        <v>77.495097787683903</v>
      </c>
      <c r="AK3872">
        <v>11.5726471583578</v>
      </c>
    </row>
    <row r="3873" spans="1:37" x14ac:dyDescent="0.2">
      <c r="A3873" t="str">
        <f>"20200111153727569"</f>
        <v>20200111153727569</v>
      </c>
      <c r="B3873" t="str">
        <f>"1578728247566534"</f>
        <v>1578728247566534</v>
      </c>
      <c r="C3873" t="s">
        <v>37</v>
      </c>
      <c r="D3873">
        <v>5.9083399999999999</v>
      </c>
      <c r="E3873">
        <v>0.53761119999999996</v>
      </c>
      <c r="F3873" t="s">
        <v>38</v>
      </c>
      <c r="G3873">
        <v>-211.2028</v>
      </c>
      <c r="H3873">
        <v>1.0089729999999999</v>
      </c>
      <c r="I3873">
        <v>142.352</v>
      </c>
      <c r="J3873">
        <v>-210.62110000000001</v>
      </c>
      <c r="K3873">
        <v>1.094873</v>
      </c>
      <c r="L3873">
        <v>142.3013</v>
      </c>
      <c r="M3873">
        <v>-0.98049959999999903</v>
      </c>
      <c r="N3873">
        <v>0</v>
      </c>
      <c r="O3873">
        <v>-0.19649810000000001</v>
      </c>
      <c r="P3873">
        <v>-0.99432189999999998</v>
      </c>
      <c r="Q3873">
        <v>2.6915580000000001E-2</v>
      </c>
      <c r="R3873">
        <v>-0.10295739999999901</v>
      </c>
      <c r="S3873">
        <v>-3.0234990000000002</v>
      </c>
      <c r="T3873">
        <v>-0.29166809999999999</v>
      </c>
      <c r="U3873">
        <v>-1.921082E-2</v>
      </c>
      <c r="V3873">
        <v>9.5004850000000002E-2</v>
      </c>
      <c r="W3873">
        <v>2.8088040000000002E-2</v>
      </c>
      <c r="X3873">
        <v>0.99508050000000003</v>
      </c>
      <c r="Y3873">
        <v>0.18848770000000001</v>
      </c>
      <c r="Z3873">
        <v>2.7885650000000001E-2</v>
      </c>
      <c r="AA3873">
        <v>0.98167959999999999</v>
      </c>
      <c r="AB3873">
        <v>32</v>
      </c>
      <c r="AC3873">
        <v>-0.58169999999998301</v>
      </c>
      <c r="AD3873">
        <v>-8.5900000000000004E-2</v>
      </c>
      <c r="AE3873">
        <v>5.0700000000006101E-2</v>
      </c>
      <c r="AF3873">
        <v>0.160540563238427</v>
      </c>
      <c r="AG3873">
        <v>-8.5900000000000004E-2</v>
      </c>
      <c r="AH3873">
        <v>0.54852539480262796</v>
      </c>
      <c r="AI3873">
        <v>98.547393178672806</v>
      </c>
      <c r="AJ3873">
        <v>73.686479964104393</v>
      </c>
      <c r="AK3873">
        <v>0.57795518095116205</v>
      </c>
    </row>
    <row r="3874" spans="1:37" x14ac:dyDescent="0.2">
      <c r="A3874" t="str">
        <f>"20200111153727592"</f>
        <v>20200111153727592</v>
      </c>
      <c r="B3874" t="str">
        <f>"1578728247587030"</f>
        <v>1578728247587030</v>
      </c>
      <c r="C3874" t="s">
        <v>37</v>
      </c>
      <c r="D3874">
        <v>5.8605790000000004</v>
      </c>
      <c r="E3874">
        <v>0.53740350000000003</v>
      </c>
      <c r="F3874" t="s">
        <v>38</v>
      </c>
      <c r="G3874">
        <v>-211.4879</v>
      </c>
      <c r="H3874">
        <v>1.010651</v>
      </c>
      <c r="I3874">
        <v>142.30000000000001</v>
      </c>
      <c r="J3874">
        <v>-210.95079999999999</v>
      </c>
      <c r="K3874">
        <v>1.094956</v>
      </c>
      <c r="L3874">
        <v>142.2439</v>
      </c>
      <c r="M3874">
        <v>-0.98231239999999997</v>
      </c>
      <c r="N3874">
        <v>0</v>
      </c>
      <c r="O3874">
        <v>-0.1872259</v>
      </c>
      <c r="P3874">
        <v>-0.99473769999999995</v>
      </c>
      <c r="Q3874">
        <v>2.3343940000000001E-2</v>
      </c>
      <c r="R3874">
        <v>-9.9761840000000004E-2</v>
      </c>
      <c r="S3874">
        <v>-3.024597</v>
      </c>
      <c r="T3874">
        <v>-0.293776599999999</v>
      </c>
      <c r="U3874">
        <v>-4.7607420000000001E-3</v>
      </c>
      <c r="V3874">
        <v>8.8739399999999996E-2</v>
      </c>
      <c r="W3874">
        <v>2.46398E-2</v>
      </c>
      <c r="X3874">
        <v>0.99575009999999997</v>
      </c>
      <c r="Y3874">
        <v>0.18394160000000001</v>
      </c>
      <c r="Z3874">
        <v>2.697277E-2</v>
      </c>
      <c r="AA3874">
        <v>0.98256699999999997</v>
      </c>
      <c r="AB3874">
        <v>32</v>
      </c>
      <c r="AC3874">
        <v>-0.53710000000000901</v>
      </c>
      <c r="AD3874">
        <v>-8.4305000000000005E-2</v>
      </c>
      <c r="AE3874">
        <v>5.6100000000014902E-2</v>
      </c>
      <c r="AF3874">
        <v>0.15196384101174301</v>
      </c>
      <c r="AG3874">
        <v>-8.4305000000000005E-2</v>
      </c>
      <c r="AH3874">
        <v>0.50479620602839004</v>
      </c>
      <c r="AI3874">
        <v>99.085740366156799</v>
      </c>
      <c r="AJ3874">
        <v>73.246104814451101</v>
      </c>
      <c r="AK3874">
        <v>0.53387222405806001</v>
      </c>
    </row>
    <row r="3875" spans="1:37" x14ac:dyDescent="0.2">
      <c r="A3875" t="str">
        <f>"20200111153727617"</f>
        <v>20200111153727617</v>
      </c>
      <c r="B3875" t="str">
        <f>"1578728247606550"</f>
        <v>1578728247606550</v>
      </c>
      <c r="C3875" t="s">
        <v>37</v>
      </c>
      <c r="D3875">
        <v>5.8816509999999997</v>
      </c>
      <c r="E3875">
        <v>0.53707019999999905</v>
      </c>
      <c r="F3875" t="s">
        <v>38</v>
      </c>
      <c r="G3875">
        <v>-211.77340000000001</v>
      </c>
      <c r="H3875">
        <v>1.0111809999999899</v>
      </c>
      <c r="I3875">
        <v>142.24549999999999</v>
      </c>
      <c r="J3875">
        <v>-211.30240000000001</v>
      </c>
      <c r="K3875">
        <v>1.0950610000000001</v>
      </c>
      <c r="L3875">
        <v>142.1858</v>
      </c>
      <c r="M3875">
        <v>-0.98409859999999905</v>
      </c>
      <c r="N3875">
        <v>0</v>
      </c>
      <c r="O3875">
        <v>-0.1775987</v>
      </c>
      <c r="P3875">
        <v>-0.99535859999999998</v>
      </c>
      <c r="Q3875">
        <v>1.775113E-2</v>
      </c>
      <c r="R3875">
        <v>-9.4586320000000002E-2</v>
      </c>
      <c r="S3875">
        <v>-3.0236049999999999</v>
      </c>
      <c r="T3875">
        <v>-0.3076392</v>
      </c>
      <c r="U3875">
        <v>4.9285889999999997E-3</v>
      </c>
      <c r="V3875">
        <v>8.4074040000000003E-2</v>
      </c>
      <c r="W3875">
        <v>1.913699E-2</v>
      </c>
      <c r="X3875">
        <v>0.99627569999999999</v>
      </c>
      <c r="Y3875">
        <v>0.17737800000000001</v>
      </c>
      <c r="Z3875">
        <v>2.6952219999999999E-2</v>
      </c>
      <c r="AA3875">
        <v>0.98377359999999903</v>
      </c>
      <c r="AB3875">
        <v>32</v>
      </c>
      <c r="AC3875">
        <v>-0.47100000000000303</v>
      </c>
      <c r="AD3875">
        <v>-8.3880000000000093E-2</v>
      </c>
      <c r="AE3875">
        <v>5.9699999999992301E-2</v>
      </c>
      <c r="AF3875">
        <v>0.138089914505198</v>
      </c>
      <c r="AG3875">
        <v>-8.3880000000000093E-2</v>
      </c>
      <c r="AH3875">
        <v>0.43920043722049701</v>
      </c>
      <c r="AI3875">
        <v>100.325488858798</v>
      </c>
      <c r="AJ3875">
        <v>72.546223468622102</v>
      </c>
      <c r="AK3875">
        <v>0.467976177751313</v>
      </c>
    </row>
    <row r="3876" spans="1:37" x14ac:dyDescent="0.2">
      <c r="A3876" t="str">
        <f>"20200111153727639"</f>
        <v>20200111153727639</v>
      </c>
      <c r="B3876" t="str">
        <f>"1578728247627046"</f>
        <v>1578728247627046</v>
      </c>
      <c r="C3876" t="s">
        <v>37</v>
      </c>
      <c r="D3876">
        <v>5.8741250000000003</v>
      </c>
      <c r="E3876">
        <v>0.53676380000000001</v>
      </c>
      <c r="F3876" t="s">
        <v>38</v>
      </c>
      <c r="G3876">
        <v>-212.06110000000001</v>
      </c>
      <c r="H3876">
        <v>1.0133719999999999</v>
      </c>
      <c r="I3876">
        <v>142.19030000000001</v>
      </c>
      <c r="J3876">
        <v>-211.62790000000001</v>
      </c>
      <c r="K3876">
        <v>1.0951869999999999</v>
      </c>
      <c r="L3876">
        <v>142.13489999999999</v>
      </c>
      <c r="M3876">
        <v>-0.98561889999999996</v>
      </c>
      <c r="N3876">
        <v>0</v>
      </c>
      <c r="O3876">
        <v>-0.16895779999999999</v>
      </c>
      <c r="P3876">
        <v>-0.99580100000000005</v>
      </c>
      <c r="Q3876">
        <v>1.5448480000000001E-2</v>
      </c>
      <c r="R3876">
        <v>-9.0234309999999998E-2</v>
      </c>
      <c r="S3876">
        <v>-3.0215450000000001</v>
      </c>
      <c r="T3876">
        <v>-0.32545380000000002</v>
      </c>
      <c r="U3876">
        <v>1.820374E-2</v>
      </c>
      <c r="V3876">
        <v>7.9644599999999996E-2</v>
      </c>
      <c r="W3876">
        <v>1.6919590000000002E-2</v>
      </c>
      <c r="X3876">
        <v>0.99667969999999895</v>
      </c>
      <c r="Y3876">
        <v>0.17292260000000001</v>
      </c>
      <c r="Z3876">
        <v>2.7368380000000001E-2</v>
      </c>
      <c r="AA3876">
        <v>0.98455509999999902</v>
      </c>
      <c r="AB3876">
        <v>32</v>
      </c>
      <c r="AC3876">
        <v>-0.43319999999999897</v>
      </c>
      <c r="AD3876">
        <v>-8.1815000000000193E-2</v>
      </c>
      <c r="AE3876">
        <v>5.54000000000201E-2</v>
      </c>
      <c r="AF3876">
        <v>0.123463425263886</v>
      </c>
      <c r="AG3876">
        <v>-8.1815000000000193E-2</v>
      </c>
      <c r="AH3876">
        <v>0.40345253524196101</v>
      </c>
      <c r="AI3876">
        <v>100.974076134073</v>
      </c>
      <c r="AJ3876">
        <v>72.984986874251703</v>
      </c>
      <c r="AK3876">
        <v>0.42978001325801202</v>
      </c>
    </row>
    <row r="3877" spans="1:37" x14ac:dyDescent="0.2">
      <c r="A3877" t="str">
        <f>"20200111153727661"</f>
        <v>20200111153727661</v>
      </c>
      <c r="B3877" t="str">
        <f>"1578728247657302"</f>
        <v>1578728247657302</v>
      </c>
      <c r="C3877" t="s">
        <v>37</v>
      </c>
      <c r="D3877">
        <v>5.8710779999999998</v>
      </c>
      <c r="E3877">
        <v>0.53760269999999899</v>
      </c>
      <c r="F3877" t="s">
        <v>38</v>
      </c>
      <c r="G3877">
        <v>-212.3519</v>
      </c>
      <c r="H3877">
        <v>1.0157879999999999</v>
      </c>
      <c r="I3877">
        <v>142.142</v>
      </c>
      <c r="J3877">
        <v>-211.9417</v>
      </c>
      <c r="K3877">
        <v>1.0953619999999999</v>
      </c>
      <c r="L3877">
        <v>142.08850000000001</v>
      </c>
      <c r="M3877">
        <v>-0.98696059999999997</v>
      </c>
      <c r="N3877">
        <v>0</v>
      </c>
      <c r="O3877">
        <v>-0.16093569999999999</v>
      </c>
      <c r="P3877">
        <v>-0.99604649999999995</v>
      </c>
      <c r="Q3877">
        <v>1.8497309999999999E-2</v>
      </c>
      <c r="R3877">
        <v>-8.6885580000000004E-2</v>
      </c>
      <c r="S3877">
        <v>-3.0203549999999999</v>
      </c>
      <c r="T3877">
        <v>-0.33098689999999997</v>
      </c>
      <c r="U3877">
        <v>2.870178E-2</v>
      </c>
      <c r="V3877">
        <v>7.4929529999999994E-2</v>
      </c>
      <c r="W3877">
        <v>2.005902E-2</v>
      </c>
      <c r="X3877">
        <v>0.99698699999999996</v>
      </c>
      <c r="Y3877">
        <v>0.16834209999999999</v>
      </c>
      <c r="Z3877">
        <v>2.6724950000000001E-2</v>
      </c>
      <c r="AA3877">
        <v>0.98536630000000003</v>
      </c>
      <c r="AB3877">
        <v>32</v>
      </c>
      <c r="AC3877">
        <v>-0.41020000000000301</v>
      </c>
      <c r="AD3877">
        <v>-7.95740000000002E-2</v>
      </c>
      <c r="AE3877">
        <v>5.34999999999854E-2</v>
      </c>
      <c r="AF3877">
        <v>0.114579060945619</v>
      </c>
      <c r="AG3877">
        <v>-7.95740000000002E-2</v>
      </c>
      <c r="AH3877">
        <v>0.38210422222637502</v>
      </c>
      <c r="AI3877">
        <v>101.28110638619999</v>
      </c>
      <c r="AJ3877">
        <v>73.307937821157907</v>
      </c>
      <c r="AK3877">
        <v>0.40677268753740498</v>
      </c>
    </row>
    <row r="3878" spans="1:37" x14ac:dyDescent="0.2">
      <c r="A3878" t="str">
        <f>"20200111153727683"</f>
        <v>20200111153727683</v>
      </c>
      <c r="B3878" t="str">
        <f>"1578728247676823"</f>
        <v>1578728247676823</v>
      </c>
      <c r="C3878" t="s">
        <v>37</v>
      </c>
      <c r="D3878">
        <v>5.8221179999999997</v>
      </c>
      <c r="E3878">
        <v>0.53701560000000004</v>
      </c>
      <c r="F3878" t="s">
        <v>38</v>
      </c>
      <c r="G3878">
        <v>-212.92269999999999</v>
      </c>
      <c r="H3878">
        <v>0.96733649999999904</v>
      </c>
      <c r="I3878">
        <v>142.1035</v>
      </c>
      <c r="J3878">
        <v>-212.27070000000001</v>
      </c>
      <c r="K3878">
        <v>1.0955900000000001</v>
      </c>
      <c r="L3878">
        <v>142.04230000000001</v>
      </c>
      <c r="M3878">
        <v>-0.98824120000000004</v>
      </c>
      <c r="N3878">
        <v>0</v>
      </c>
      <c r="O3878">
        <v>-0.1528767</v>
      </c>
      <c r="P3878">
        <v>-0.99619360000000001</v>
      </c>
      <c r="Q3878">
        <v>2.430154E-2</v>
      </c>
      <c r="R3878">
        <v>-8.371692E-2</v>
      </c>
      <c r="S3878">
        <v>-3.0232239999999999</v>
      </c>
      <c r="T3878">
        <v>-0.39440389999999997</v>
      </c>
      <c r="U3878">
        <v>4.5822139999999997E-2</v>
      </c>
      <c r="V3878">
        <v>7.0039779999999996E-2</v>
      </c>
      <c r="W3878">
        <v>2.5956409999999999E-2</v>
      </c>
      <c r="X3878">
        <v>0.99720640000000005</v>
      </c>
      <c r="Y3878">
        <v>0.1651485</v>
      </c>
      <c r="Z3878">
        <v>3.0532009999999998E-2</v>
      </c>
      <c r="AA3878">
        <v>0.98579599999999901</v>
      </c>
      <c r="AB3878">
        <v>33</v>
      </c>
      <c r="AC3878">
        <v>-0.65199999999998604</v>
      </c>
      <c r="AD3878">
        <v>-0.12825349999999999</v>
      </c>
      <c r="AE3878">
        <v>6.1199999999985197E-2</v>
      </c>
      <c r="AF3878">
        <v>0.15424055919322799</v>
      </c>
      <c r="AG3878">
        <v>-0.12825349999999999</v>
      </c>
      <c r="AH3878">
        <v>0.61152412732571604</v>
      </c>
      <c r="AI3878">
        <v>101.494858787195</v>
      </c>
      <c r="AJ3878">
        <v>75.843933502440095</v>
      </c>
      <c r="AK3878">
        <v>0.64358439125259104</v>
      </c>
    </row>
    <row r="3879" spans="1:37" x14ac:dyDescent="0.2">
      <c r="A3879" t="str">
        <f>"20200111153727705"</f>
        <v>20200111153727705</v>
      </c>
      <c r="B3879" t="str">
        <f>"1578728247697319"</f>
        <v>1578728247697319</v>
      </c>
      <c r="C3879" t="s">
        <v>37</v>
      </c>
      <c r="D3879">
        <v>5.8616919999999997</v>
      </c>
      <c r="E3879">
        <v>0.54059880000000005</v>
      </c>
      <c r="F3879" t="s">
        <v>38</v>
      </c>
      <c r="G3879">
        <v>-213.22059999999999</v>
      </c>
      <c r="H3879">
        <v>0.97592950000000001</v>
      </c>
      <c r="I3879">
        <v>142.0581</v>
      </c>
      <c r="J3879">
        <v>-212.59520000000001</v>
      </c>
      <c r="K3879">
        <v>1.0958330000000001</v>
      </c>
      <c r="L3879">
        <v>141.999</v>
      </c>
      <c r="M3879">
        <v>-0.98939310000000003</v>
      </c>
      <c r="N3879">
        <v>0</v>
      </c>
      <c r="O3879">
        <v>-0.14523429999999901</v>
      </c>
      <c r="P3879">
        <v>-0.99607119999999905</v>
      </c>
      <c r="Q3879">
        <v>3.3046689999999997E-2</v>
      </c>
      <c r="R3879">
        <v>-8.2160170000000005E-2</v>
      </c>
      <c r="S3879">
        <v>-3.024994</v>
      </c>
      <c r="T3879">
        <v>-0.38102329999999901</v>
      </c>
      <c r="U3879">
        <v>5.0247189999999997E-2</v>
      </c>
      <c r="V3879">
        <v>6.3992919999999995E-2</v>
      </c>
      <c r="W3879">
        <v>3.4812870000000003E-2</v>
      </c>
      <c r="X3879">
        <v>0.99734290000000003</v>
      </c>
      <c r="Y3879">
        <v>0.15924669999999999</v>
      </c>
      <c r="Z3879">
        <v>2.8166139999999999E-2</v>
      </c>
      <c r="AA3879">
        <v>0.98683699999999996</v>
      </c>
      <c r="AB3879">
        <v>33</v>
      </c>
      <c r="AC3879">
        <v>-0.62539999999998397</v>
      </c>
      <c r="AD3879">
        <v>-0.1199035</v>
      </c>
      <c r="AE3879">
        <v>5.9100000000000798E-2</v>
      </c>
      <c r="AF3879">
        <v>0.14405502329917799</v>
      </c>
      <c r="AG3879">
        <v>-0.1199035</v>
      </c>
      <c r="AH3879">
        <v>0.58873658596307299</v>
      </c>
      <c r="AI3879">
        <v>101.190137714006</v>
      </c>
      <c r="AJ3879">
        <v>76.250725648048999</v>
      </c>
      <c r="AK3879">
        <v>0.61785068317630898</v>
      </c>
    </row>
    <row r="3880" spans="1:37" x14ac:dyDescent="0.2">
      <c r="A3880" t="str">
        <f>"20200111153727728"</f>
        <v>20200111153727728</v>
      </c>
      <c r="B3880" t="str">
        <f>"1578728247716841"</f>
        <v>1578728247716841</v>
      </c>
      <c r="C3880" t="s">
        <v>37</v>
      </c>
      <c r="D3880">
        <v>5.741549</v>
      </c>
      <c r="E3880">
        <v>0.52287280000000003</v>
      </c>
      <c r="F3880" t="s">
        <v>38</v>
      </c>
      <c r="G3880">
        <v>-213.5309</v>
      </c>
      <c r="H3880">
        <v>1.0028139999999901</v>
      </c>
      <c r="I3880">
        <v>142.02549999999999</v>
      </c>
      <c r="J3880">
        <v>-212.93989999999999</v>
      </c>
      <c r="K3880">
        <v>1.096079</v>
      </c>
      <c r="L3880">
        <v>141.9555</v>
      </c>
      <c r="M3880">
        <v>-0.990502199999999</v>
      </c>
      <c r="N3880">
        <v>0</v>
      </c>
      <c r="O3880">
        <v>-0.1374678</v>
      </c>
      <c r="P3880">
        <v>-0.99582280000000001</v>
      </c>
      <c r="Q3880">
        <v>3.884725E-2</v>
      </c>
      <c r="R3880">
        <v>-8.2632590000000006E-2</v>
      </c>
      <c r="S3880">
        <v>-3.0287929999999998</v>
      </c>
      <c r="T3880">
        <v>-0.30083709999999902</v>
      </c>
      <c r="U3880">
        <v>8.485413E-2</v>
      </c>
      <c r="V3880">
        <v>5.574436E-2</v>
      </c>
      <c r="W3880">
        <v>4.0759539999999997E-2</v>
      </c>
      <c r="X3880">
        <v>0.99761279999999997</v>
      </c>
      <c r="Y3880">
        <v>0.1636746</v>
      </c>
      <c r="Z3880">
        <v>2.1698990000000001E-2</v>
      </c>
      <c r="AA3880">
        <v>0.98627569999999998</v>
      </c>
      <c r="AB3880">
        <v>33</v>
      </c>
      <c r="AC3880">
        <v>-0.59100000000000796</v>
      </c>
      <c r="AD3880">
        <v>-9.3265000000000098E-2</v>
      </c>
      <c r="AE3880">
        <v>6.9999999999993096E-2</v>
      </c>
      <c r="AF3880">
        <v>0.14696978284892701</v>
      </c>
      <c r="AG3880">
        <v>-9.3265000000000098E-2</v>
      </c>
      <c r="AH3880">
        <v>0.56196501125146003</v>
      </c>
      <c r="AI3880">
        <v>99.121676897740301</v>
      </c>
      <c r="AJ3880">
        <v>75.343791075742601</v>
      </c>
      <c r="AK3880">
        <v>0.588305321382115</v>
      </c>
    </row>
    <row r="3881" spans="1:37" x14ac:dyDescent="0.2">
      <c r="A3881" t="str">
        <f>"20200111153727750"</f>
        <v>20200111153727750</v>
      </c>
      <c r="B3881" t="str">
        <f>"1578728247736358"</f>
        <v>1578728247736358</v>
      </c>
      <c r="C3881" t="s">
        <v>37</v>
      </c>
      <c r="D3881">
        <v>5.688879</v>
      </c>
      <c r="E3881">
        <v>0.5182599</v>
      </c>
      <c r="F3881" t="s">
        <v>38</v>
      </c>
      <c r="G3881">
        <v>-213.82660000000001</v>
      </c>
      <c r="H3881">
        <v>1.01305499999999</v>
      </c>
      <c r="I3881">
        <v>141.9393</v>
      </c>
      <c r="J3881">
        <v>-213.26439999999999</v>
      </c>
      <c r="K3881">
        <v>1.0963069999999999</v>
      </c>
      <c r="L3881">
        <v>141.91659999999999</v>
      </c>
      <c r="M3881">
        <v>-0.99144270000000001</v>
      </c>
      <c r="N3881">
        <v>0</v>
      </c>
      <c r="O3881">
        <v>-0.13051189999999999</v>
      </c>
      <c r="P3881">
        <v>-0.99558259999999899</v>
      </c>
      <c r="Q3881">
        <v>4.2484630000000002E-2</v>
      </c>
      <c r="R3881">
        <v>-8.3726679999999998E-2</v>
      </c>
      <c r="S3881">
        <v>-3.0189970000000002</v>
      </c>
      <c r="T3881">
        <v>-0.282553</v>
      </c>
      <c r="U3881">
        <v>-5.5374149999999997E-2</v>
      </c>
      <c r="V3881">
        <v>4.7662540000000003E-2</v>
      </c>
      <c r="W3881">
        <v>4.4534079999999997E-2</v>
      </c>
      <c r="X3881">
        <v>0.99787019999999904</v>
      </c>
      <c r="Y3881">
        <v>0.11125539999999901</v>
      </c>
      <c r="Z3881">
        <v>1.735186E-2</v>
      </c>
      <c r="AA3881">
        <v>0.99364039999999998</v>
      </c>
      <c r="AB3881">
        <v>33</v>
      </c>
      <c r="AC3881">
        <v>-0.56220000000001802</v>
      </c>
      <c r="AD3881">
        <v>-8.3252000000000104E-2</v>
      </c>
      <c r="AE3881">
        <v>2.2700000000014601E-2</v>
      </c>
      <c r="AF3881">
        <v>9.3825819090416096E-2</v>
      </c>
      <c r="AG3881">
        <v>-8.3252000000000104E-2</v>
      </c>
      <c r="AH3881">
        <v>0.54255076283816195</v>
      </c>
      <c r="AI3881">
        <v>98.598066523945803</v>
      </c>
      <c r="AJ3881">
        <v>80.188614848730793</v>
      </c>
      <c r="AK3881">
        <v>0.55686220026884503</v>
      </c>
    </row>
    <row r="3882" spans="1:37" x14ac:dyDescent="0.2">
      <c r="A3882" t="str">
        <f>"20200111153727771"</f>
        <v>20200111153727771</v>
      </c>
      <c r="B3882" t="str">
        <f>"1578728247766614"</f>
        <v>1578728247766614</v>
      </c>
      <c r="C3882" t="s">
        <v>37</v>
      </c>
      <c r="D3882">
        <v>5.7159469999999999</v>
      </c>
      <c r="E3882">
        <v>0.51672580000000001</v>
      </c>
      <c r="F3882" t="s">
        <v>38</v>
      </c>
      <c r="G3882">
        <v>-214.13380000000001</v>
      </c>
      <c r="H3882">
        <v>1.031439</v>
      </c>
      <c r="I3882">
        <v>141.88939999999999</v>
      </c>
      <c r="J3882">
        <v>-213.58709999999999</v>
      </c>
      <c r="K3882">
        <v>1.096536</v>
      </c>
      <c r="L3882">
        <v>141.87989999999999</v>
      </c>
      <c r="M3882">
        <v>-0.99228269999999996</v>
      </c>
      <c r="N3882">
        <v>0</v>
      </c>
      <c r="O3882">
        <v>-0.123963799999999</v>
      </c>
      <c r="P3882">
        <v>-0.99561509999999998</v>
      </c>
      <c r="Q3882">
        <v>4.283555E-2</v>
      </c>
      <c r="R3882">
        <v>-8.3160100000000001E-2</v>
      </c>
      <c r="S3882">
        <v>-3.014923</v>
      </c>
      <c r="T3882">
        <v>-0.22484699999999999</v>
      </c>
      <c r="U3882">
        <v>-9.4726560000000001E-2</v>
      </c>
      <c r="V3882">
        <v>4.1619860000000002E-2</v>
      </c>
      <c r="W3882">
        <v>4.4982330000000001E-2</v>
      </c>
      <c r="X3882">
        <v>0.99812040000000002</v>
      </c>
      <c r="Y3882">
        <v>9.2144030000000002E-2</v>
      </c>
      <c r="Z3882">
        <v>1.26378999999999E-2</v>
      </c>
      <c r="AA3882">
        <v>0.99566549999999998</v>
      </c>
      <c r="AB3882">
        <v>33</v>
      </c>
      <c r="AC3882">
        <v>-0.54670000000001495</v>
      </c>
      <c r="AD3882">
        <v>-6.5096999999999905E-2</v>
      </c>
      <c r="AE3882">
        <v>9.5000000000027198E-3</v>
      </c>
      <c r="AF3882">
        <v>7.6119092018729795E-2</v>
      </c>
      <c r="AG3882">
        <v>-6.5096999999999905E-2</v>
      </c>
      <c r="AH3882">
        <v>0.53374022810903599</v>
      </c>
      <c r="AI3882">
        <v>96.884686780843197</v>
      </c>
      <c r="AJ3882">
        <v>81.883522865618303</v>
      </c>
      <c r="AK3882">
        <v>0.54305650413252704</v>
      </c>
    </row>
    <row r="3883" spans="1:37" x14ac:dyDescent="0.2">
      <c r="A3883" t="str">
        <f>"20200111153727794"</f>
        <v>20200111153727794</v>
      </c>
      <c r="B3883" t="str">
        <f>"1578728247787110"</f>
        <v>1578728247787110</v>
      </c>
      <c r="C3883" t="s">
        <v>37</v>
      </c>
      <c r="D3883">
        <v>5.7404289999999998</v>
      </c>
      <c r="E3883">
        <v>0.51778519999999995</v>
      </c>
      <c r="F3883" t="s">
        <v>38</v>
      </c>
      <c r="G3883">
        <v>-214.4375</v>
      </c>
      <c r="H3883">
        <v>1.0363770000000001</v>
      </c>
      <c r="I3883">
        <v>141.8509</v>
      </c>
      <c r="J3883">
        <v>-213.94</v>
      </c>
      <c r="K3883">
        <v>1.0968149999999901</v>
      </c>
      <c r="L3883">
        <v>141.84180000000001</v>
      </c>
      <c r="M3883">
        <v>-0.99310030000000005</v>
      </c>
      <c r="N3883">
        <v>0</v>
      </c>
      <c r="O3883">
        <v>-0.1172354</v>
      </c>
      <c r="P3883">
        <v>-0.99580559999999996</v>
      </c>
      <c r="Q3883">
        <v>4.1711129999999999E-2</v>
      </c>
      <c r="R3883">
        <v>-8.1435389999999996E-2</v>
      </c>
      <c r="S3883">
        <v>-3.0137480000000001</v>
      </c>
      <c r="T3883">
        <v>-0.21307409999999999</v>
      </c>
      <c r="U3883">
        <v>-0.103302</v>
      </c>
      <c r="V3883">
        <v>3.6540370000000003E-2</v>
      </c>
      <c r="W3883">
        <v>4.3933859999999998E-2</v>
      </c>
      <c r="X3883">
        <v>0.99836599999999998</v>
      </c>
      <c r="Y3883">
        <v>8.264966E-2</v>
      </c>
      <c r="Z3883">
        <v>1.117463E-2</v>
      </c>
      <c r="AA3883">
        <v>0.99651599999999996</v>
      </c>
      <c r="AB3883">
        <v>34</v>
      </c>
      <c r="AC3883">
        <v>-0.497500000000002</v>
      </c>
      <c r="AD3883">
        <v>-6.04379999999997E-2</v>
      </c>
      <c r="AE3883">
        <v>9.0999999999894499E-3</v>
      </c>
      <c r="AF3883">
        <v>6.6382718924216197E-2</v>
      </c>
      <c r="AG3883">
        <v>-6.04379999999997E-2</v>
      </c>
      <c r="AH3883">
        <v>0.485834785298841</v>
      </c>
      <c r="AI3883">
        <v>97.026556795887302</v>
      </c>
      <c r="AJ3883">
        <v>82.219491307109706</v>
      </c>
      <c r="AK3883">
        <v>0.49405956707885201</v>
      </c>
    </row>
    <row r="3884" spans="1:37" x14ac:dyDescent="0.2">
      <c r="A3884" t="str">
        <f>"20200111153727818"</f>
        <v>20200111153727818</v>
      </c>
      <c r="B3884" t="str">
        <f>"1578728247806630"</f>
        <v>1578728247806630</v>
      </c>
      <c r="C3884" t="s">
        <v>37</v>
      </c>
      <c r="D3884">
        <v>5.7612069999999997</v>
      </c>
      <c r="E3884">
        <v>0.51945010000000003</v>
      </c>
      <c r="F3884" t="s">
        <v>38</v>
      </c>
      <c r="G3884">
        <v>-214.74199999999999</v>
      </c>
      <c r="H3884">
        <v>1.0382450000000001</v>
      </c>
      <c r="I3884">
        <v>141.8185</v>
      </c>
      <c r="J3884">
        <v>-214.2928</v>
      </c>
      <c r="K3884">
        <v>1.097099</v>
      </c>
      <c r="L3884">
        <v>141.8056</v>
      </c>
      <c r="M3884">
        <v>-0.99382109999999901</v>
      </c>
      <c r="N3884">
        <v>0</v>
      </c>
      <c r="O3884">
        <v>-0.1109585</v>
      </c>
      <c r="P3884">
        <v>-0.99607129999999999</v>
      </c>
      <c r="Q3884">
        <v>3.9554949999999998E-2</v>
      </c>
      <c r="R3884">
        <v>-7.9231049999999997E-2</v>
      </c>
      <c r="S3884">
        <v>-3.0146790000000001</v>
      </c>
      <c r="T3884">
        <v>-0.22006149999999899</v>
      </c>
      <c r="U3884">
        <v>-8.7905880000000006E-2</v>
      </c>
      <c r="V3884">
        <v>3.2387949999999999E-2</v>
      </c>
      <c r="W3884">
        <v>4.1836749999999999E-2</v>
      </c>
      <c r="X3884">
        <v>0.99859940000000003</v>
      </c>
      <c r="Y3884">
        <v>8.143475E-2</v>
      </c>
      <c r="Z3884">
        <v>1.103901E-2</v>
      </c>
      <c r="AA3884">
        <v>0.99661759999999999</v>
      </c>
      <c r="AB3884">
        <v>34</v>
      </c>
      <c r="AC3884">
        <v>-0.44920000000001797</v>
      </c>
      <c r="AD3884">
        <v>-5.8853999999999899E-2</v>
      </c>
      <c r="AE3884">
        <v>1.29000000000019E-2</v>
      </c>
      <c r="AF3884">
        <v>6.1606423181821302E-2</v>
      </c>
      <c r="AG3884">
        <v>-5.8853999999999899E-2</v>
      </c>
      <c r="AH3884">
        <v>0.43749097633685702</v>
      </c>
      <c r="AI3884">
        <v>97.587808167794705</v>
      </c>
      <c r="AJ3884">
        <v>81.984451042934893</v>
      </c>
      <c r="AK3884">
        <v>0.44571010653723597</v>
      </c>
    </row>
    <row r="3885" spans="1:37" x14ac:dyDescent="0.2">
      <c r="A3885" t="str">
        <f>"20200111153727840"</f>
        <v>20200111153727840</v>
      </c>
      <c r="B3885" t="str">
        <f>"1578728247836887"</f>
        <v>1578728247836887</v>
      </c>
      <c r="C3885" t="s">
        <v>37</v>
      </c>
      <c r="D3885">
        <v>5.56107</v>
      </c>
      <c r="E3885">
        <v>0.52059069999999996</v>
      </c>
      <c r="F3885" t="s">
        <v>38</v>
      </c>
      <c r="G3885">
        <v>-215.04740000000001</v>
      </c>
      <c r="H3885">
        <v>1.0389090000000001</v>
      </c>
      <c r="I3885">
        <v>141.78899999999999</v>
      </c>
      <c r="J3885">
        <v>-214.63890000000001</v>
      </c>
      <c r="K3885">
        <v>1.0973979999999901</v>
      </c>
      <c r="L3885">
        <v>141.77189999999999</v>
      </c>
      <c r="M3885">
        <v>-0.99444259999999995</v>
      </c>
      <c r="N3885">
        <v>0</v>
      </c>
      <c r="O3885">
        <v>-0.1052448</v>
      </c>
      <c r="P3885">
        <v>-0.9961738</v>
      </c>
      <c r="Q3885">
        <v>3.8665699999999997E-2</v>
      </c>
      <c r="R3885">
        <v>-7.8377660000000002E-2</v>
      </c>
      <c r="S3885">
        <v>-3.0157470000000002</v>
      </c>
      <c r="T3885">
        <v>-0.2324764</v>
      </c>
      <c r="U3885">
        <v>-6.6726679999999997E-2</v>
      </c>
      <c r="V3885">
        <v>2.7464249999999999E-2</v>
      </c>
      <c r="W3885">
        <v>4.1013960000000002E-2</v>
      </c>
      <c r="X3885">
        <v>0.99878099999999903</v>
      </c>
      <c r="Y3885">
        <v>8.2665619999999995E-2</v>
      </c>
      <c r="Z3885">
        <v>1.1267579999999999E-2</v>
      </c>
      <c r="AA3885">
        <v>0.99651369999999895</v>
      </c>
      <c r="AB3885">
        <v>34</v>
      </c>
      <c r="AC3885">
        <v>-0.40850000000000303</v>
      </c>
      <c r="AD3885">
        <v>-5.8488999999999701E-2</v>
      </c>
      <c r="AE3885">
        <v>1.7099999999999199E-2</v>
      </c>
      <c r="AF3885">
        <v>5.8794485215092201E-2</v>
      </c>
      <c r="AG3885">
        <v>-5.8488999999999701E-2</v>
      </c>
      <c r="AH3885">
        <v>0.39632105770716403</v>
      </c>
      <c r="AI3885">
        <v>98.305496868682496</v>
      </c>
      <c r="AJ3885">
        <v>81.561678176253096</v>
      </c>
      <c r="AK3885">
        <v>0.40490509430585497</v>
      </c>
    </row>
    <row r="3886" spans="1:37" x14ac:dyDescent="0.2">
      <c r="A3886" t="str">
        <f>"20200111153727863"</f>
        <v>20200111153727863</v>
      </c>
      <c r="B3886" t="str">
        <f>"1578728247857382"</f>
        <v>1578728247857382</v>
      </c>
      <c r="C3886" t="s">
        <v>37</v>
      </c>
      <c r="D3886">
        <v>5.7408019999999897</v>
      </c>
      <c r="E3886">
        <v>0.52117789999999997</v>
      </c>
      <c r="F3886" t="s">
        <v>38</v>
      </c>
      <c r="G3886">
        <v>-215.65379999999999</v>
      </c>
      <c r="H3886">
        <v>1.017325</v>
      </c>
      <c r="I3886">
        <v>141.75389999999999</v>
      </c>
      <c r="J3886">
        <v>-214.98519999999999</v>
      </c>
      <c r="K3886">
        <v>1.0976969999999999</v>
      </c>
      <c r="L3886">
        <v>141.74</v>
      </c>
      <c r="M3886">
        <v>-0.99498799999999898</v>
      </c>
      <c r="N3886">
        <v>0</v>
      </c>
      <c r="O3886">
        <v>-9.9958130000000006E-2</v>
      </c>
      <c r="P3886">
        <v>-0.99630019999999997</v>
      </c>
      <c r="Q3886">
        <v>3.7339450000000003E-2</v>
      </c>
      <c r="R3886">
        <v>-7.7409359999999997E-2</v>
      </c>
      <c r="S3886">
        <v>-3.0165099999999998</v>
      </c>
      <c r="T3886">
        <v>-0.23793719999999999</v>
      </c>
      <c r="U3886">
        <v>-5.3878780000000001E-2</v>
      </c>
      <c r="V3886">
        <v>2.3084549999999999E-2</v>
      </c>
      <c r="W3886">
        <v>3.9743750000000001E-2</v>
      </c>
      <c r="X3886">
        <v>0.99894319999999903</v>
      </c>
      <c r="Y3886">
        <v>8.1610790000000002E-2</v>
      </c>
      <c r="Z3886">
        <v>1.107347E-2</v>
      </c>
      <c r="AA3886">
        <v>0.99660280000000001</v>
      </c>
      <c r="AB3886">
        <v>34</v>
      </c>
      <c r="AC3886">
        <v>-0.66859999999999697</v>
      </c>
      <c r="AD3886">
        <v>-8.0371999999999805E-2</v>
      </c>
      <c r="AE3886">
        <v>1.3899999999978201E-2</v>
      </c>
      <c r="AF3886">
        <v>7.9514124993700697E-2</v>
      </c>
      <c r="AG3886">
        <v>-8.0371999999999805E-2</v>
      </c>
      <c r="AH3886">
        <v>0.65440963706501898</v>
      </c>
      <c r="AI3886">
        <v>96.951158750829805</v>
      </c>
      <c r="AJ3886">
        <v>83.072228641724195</v>
      </c>
      <c r="AK3886">
        <v>0.664104003557487</v>
      </c>
    </row>
    <row r="3887" spans="1:37" x14ac:dyDescent="0.2">
      <c r="A3887" t="str">
        <f>"20200111153727885"</f>
        <v>20200111153727885</v>
      </c>
      <c r="B3887" t="str">
        <f>"1578728247876902"</f>
        <v>1578728247876902</v>
      </c>
      <c r="C3887" t="s">
        <v>37</v>
      </c>
      <c r="D3887">
        <v>5.7426379999999897</v>
      </c>
      <c r="E3887">
        <v>0.52117789999999997</v>
      </c>
      <c r="F3887" t="s">
        <v>38</v>
      </c>
      <c r="G3887">
        <v>-215.96289999999999</v>
      </c>
      <c r="H3887">
        <v>1.017029</v>
      </c>
      <c r="I3887">
        <v>141.7252</v>
      </c>
      <c r="J3887">
        <v>-215.3415</v>
      </c>
      <c r="K3887">
        <v>1.0979620000000001</v>
      </c>
      <c r="L3887">
        <v>141.70869999999999</v>
      </c>
      <c r="M3887">
        <v>-0.99548719999999902</v>
      </c>
      <c r="N3887">
        <v>0</v>
      </c>
      <c r="O3887">
        <v>-9.4857350000000007E-2</v>
      </c>
      <c r="P3887">
        <v>-0.99646499999999905</v>
      </c>
      <c r="Q3887">
        <v>3.6656380000000002E-2</v>
      </c>
      <c r="R3887">
        <v>-7.5590729999999995E-2</v>
      </c>
      <c r="S3887">
        <v>-3.01689099999999</v>
      </c>
      <c r="T3887">
        <v>-0.2488658</v>
      </c>
      <c r="U3887">
        <v>-4.6005249999999998E-2</v>
      </c>
      <c r="V3887">
        <v>1.975588E-2</v>
      </c>
      <c r="W3887">
        <v>3.909957E-2</v>
      </c>
      <c r="X3887">
        <v>0.99903999999999904</v>
      </c>
      <c r="Y3887">
        <v>7.9078259999999997E-2</v>
      </c>
      <c r="Z3887">
        <v>1.105681E-2</v>
      </c>
      <c r="AA3887">
        <v>0.99680709999999995</v>
      </c>
      <c r="AB3887">
        <v>34</v>
      </c>
      <c r="AC3887">
        <v>-0.62139999999999396</v>
      </c>
      <c r="AD3887">
        <v>-8.0932999999999894E-2</v>
      </c>
      <c r="AE3887">
        <v>1.6500000000007699E-2</v>
      </c>
      <c r="AF3887">
        <v>7.4113846752049004E-2</v>
      </c>
      <c r="AG3887">
        <v>-8.0932999999999894E-2</v>
      </c>
      <c r="AH3887">
        <v>0.60674770283165202</v>
      </c>
      <c r="AI3887">
        <v>97.542326859479104</v>
      </c>
      <c r="AJ3887">
        <v>83.035856252718602</v>
      </c>
      <c r="AK3887">
        <v>0.61659207557417794</v>
      </c>
    </row>
    <row r="3888" spans="1:37" x14ac:dyDescent="0.2">
      <c r="A3888" t="str">
        <f>"20200111153727909"</f>
        <v>20200111153727909</v>
      </c>
      <c r="B3888" t="str">
        <f>"1578728247897399"</f>
        <v>1578728247897399</v>
      </c>
      <c r="C3888" t="s">
        <v>37</v>
      </c>
      <c r="D3888">
        <v>5.7748239999999997</v>
      </c>
      <c r="E3888">
        <v>0.52181279999999997</v>
      </c>
      <c r="F3888" t="s">
        <v>38</v>
      </c>
      <c r="G3888">
        <v>-216.27510000000001</v>
      </c>
      <c r="H3888">
        <v>1.020203</v>
      </c>
      <c r="I3888">
        <v>141.696</v>
      </c>
      <c r="J3888">
        <v>-215.6979</v>
      </c>
      <c r="K3888">
        <v>1.0981860000000001</v>
      </c>
      <c r="L3888">
        <v>141.679</v>
      </c>
      <c r="M3888">
        <v>-0.99593390000000004</v>
      </c>
      <c r="N3888">
        <v>0</v>
      </c>
      <c r="O3888">
        <v>-9.0048130000000004E-2</v>
      </c>
      <c r="P3888">
        <v>-0.99670210000000004</v>
      </c>
      <c r="Q3888">
        <v>3.572504E-2</v>
      </c>
      <c r="R3888">
        <v>-7.2861270000000006E-2</v>
      </c>
      <c r="S3888">
        <v>-3.016769</v>
      </c>
      <c r="T3888">
        <v>-0.25120759999999998</v>
      </c>
      <c r="U3888">
        <v>-4.1122440000000003E-2</v>
      </c>
      <c r="V3888">
        <v>1.7636530000000001E-2</v>
      </c>
      <c r="W3888">
        <v>3.819235E-2</v>
      </c>
      <c r="X3888">
        <v>0.99911479999999997</v>
      </c>
      <c r="Y3888">
        <v>7.5892039999999994E-2</v>
      </c>
      <c r="Z3888">
        <v>1.063047E-2</v>
      </c>
      <c r="AA3888">
        <v>0.99705929999999998</v>
      </c>
      <c r="AB3888">
        <v>35</v>
      </c>
      <c r="AC3888">
        <v>-0.57720000000000404</v>
      </c>
      <c r="AD3888">
        <v>-7.7983000000000094E-2</v>
      </c>
      <c r="AE3888">
        <v>1.69999999999959E-2</v>
      </c>
      <c r="AF3888">
        <v>6.7672702010842106E-2</v>
      </c>
      <c r="AG3888">
        <v>-7.7983000000000094E-2</v>
      </c>
      <c r="AH3888">
        <v>0.56305538645633701</v>
      </c>
      <c r="AI3888">
        <v>97.829643006805398</v>
      </c>
      <c r="AJ3888">
        <v>83.1465879416739</v>
      </c>
      <c r="AK3888">
        <v>0.57244415544570304</v>
      </c>
    </row>
    <row r="3889" spans="1:37" x14ac:dyDescent="0.2">
      <c r="A3889" t="str">
        <f>"20200111153727930"</f>
        <v>20200111153727930</v>
      </c>
      <c r="B3889" t="str">
        <f>"1578728247916919"</f>
        <v>1578728247916919</v>
      </c>
      <c r="C3889" t="s">
        <v>37</v>
      </c>
      <c r="D3889">
        <v>5.7488199999999896</v>
      </c>
      <c r="E3889">
        <v>0.52184699999999995</v>
      </c>
      <c r="F3889" t="s">
        <v>38</v>
      </c>
      <c r="G3889">
        <v>-216.5882</v>
      </c>
      <c r="H3889">
        <v>1.0217350000000001</v>
      </c>
      <c r="I3889">
        <v>141.67080000000001</v>
      </c>
      <c r="J3889">
        <v>-216.0308</v>
      </c>
      <c r="K3889">
        <v>1.098368</v>
      </c>
      <c r="L3889">
        <v>141.6525</v>
      </c>
      <c r="M3889">
        <v>-0.99630980000000002</v>
      </c>
      <c r="N3889">
        <v>0</v>
      </c>
      <c r="O3889">
        <v>-8.5790199999999997E-2</v>
      </c>
      <c r="P3889">
        <v>-0.99692420000000004</v>
      </c>
      <c r="Q3889">
        <v>3.4908090000000003E-2</v>
      </c>
      <c r="R3889">
        <v>-7.0170129999999997E-2</v>
      </c>
      <c r="S3889">
        <v>-3.0171509999999899</v>
      </c>
      <c r="T3889">
        <v>-0.25902129999999901</v>
      </c>
      <c r="U3889">
        <v>-2.818298E-2</v>
      </c>
      <c r="V3889">
        <v>1.603866E-2</v>
      </c>
      <c r="W3889">
        <v>3.7392790000000002E-2</v>
      </c>
      <c r="X3889">
        <v>0.9991719</v>
      </c>
      <c r="Y3889">
        <v>7.5886729999999999E-2</v>
      </c>
      <c r="Z3889">
        <v>1.0595240000000001E-2</v>
      </c>
      <c r="AA3889">
        <v>0.99706019999999895</v>
      </c>
      <c r="AB3889">
        <v>35</v>
      </c>
      <c r="AC3889">
        <v>-0.55740000000000101</v>
      </c>
      <c r="AD3889">
        <v>-7.6632999999999896E-2</v>
      </c>
      <c r="AE3889">
        <v>1.8300000000010599E-2</v>
      </c>
      <c r="AF3889">
        <v>6.48281187516737E-2</v>
      </c>
      <c r="AG3889">
        <v>-7.6632999999999896E-2</v>
      </c>
      <c r="AH3889">
        <v>0.54351283049246502</v>
      </c>
      <c r="AI3889">
        <v>97.969799695307799</v>
      </c>
      <c r="AJ3889">
        <v>83.198114801544705</v>
      </c>
      <c r="AK3889">
        <v>0.55270380727819501</v>
      </c>
    </row>
    <row r="3890" spans="1:37" x14ac:dyDescent="0.2">
      <c r="A3890" t="str">
        <f>"20200111153727951"</f>
        <v>20200111153727951</v>
      </c>
      <c r="B3890" t="str">
        <f>"1578728247947174"</f>
        <v>1578728247947174</v>
      </c>
      <c r="C3890" t="s">
        <v>37</v>
      </c>
      <c r="D3890">
        <v>5.8447519999999997</v>
      </c>
      <c r="E3890">
        <v>0.5224742</v>
      </c>
      <c r="F3890" t="s">
        <v>38</v>
      </c>
      <c r="G3890">
        <v>-216.90219999999999</v>
      </c>
      <c r="H3890">
        <v>1.021963</v>
      </c>
      <c r="I3890">
        <v>141.64699999999999</v>
      </c>
      <c r="J3890">
        <v>-216.36599999999899</v>
      </c>
      <c r="K3890">
        <v>1.098538</v>
      </c>
      <c r="L3890">
        <v>141.62710000000001</v>
      </c>
      <c r="M3890">
        <v>-0.99665280000000001</v>
      </c>
      <c r="N3890">
        <v>0</v>
      </c>
      <c r="O3890">
        <v>-8.1708530000000001E-2</v>
      </c>
      <c r="P3890">
        <v>-0.99702500000000005</v>
      </c>
      <c r="Q3890">
        <v>3.4480370000000003E-2</v>
      </c>
      <c r="R3890">
        <v>-6.8937639999999994E-2</v>
      </c>
      <c r="S3890">
        <v>-3.017166</v>
      </c>
      <c r="T3890">
        <v>-0.26454719999999998</v>
      </c>
      <c r="U3890">
        <v>-1.9302369999999999E-2</v>
      </c>
      <c r="V3890">
        <v>1.316147E-2</v>
      </c>
      <c r="W3890">
        <v>3.6996319999999999E-2</v>
      </c>
      <c r="X3890">
        <v>0.99922869999999997</v>
      </c>
      <c r="Y3890">
        <v>7.4731580000000006E-2</v>
      </c>
      <c r="Z3890">
        <v>1.041398E-2</v>
      </c>
      <c r="AA3890">
        <v>0.99714930000000002</v>
      </c>
      <c r="AB3890">
        <v>35</v>
      </c>
      <c r="AC3890">
        <v>-0.536200000000008</v>
      </c>
      <c r="AD3890">
        <v>-7.6575000000000004E-2</v>
      </c>
      <c r="AE3890">
        <v>1.9900000000006898E-2</v>
      </c>
      <c r="AF3890">
        <v>6.23753389576868E-2</v>
      </c>
      <c r="AG3890">
        <v>-7.6575000000000004E-2</v>
      </c>
      <c r="AH3890">
        <v>0.52214662165715697</v>
      </c>
      <c r="AI3890">
        <v>98.285112031439098</v>
      </c>
      <c r="AJ3890">
        <v>83.187761120332397</v>
      </c>
      <c r="AK3890">
        <v>0.53140522018801095</v>
      </c>
    </row>
    <row r="3891" spans="1:37" x14ac:dyDescent="0.2">
      <c r="A3891" t="str">
        <f>"20200111153727973"</f>
        <v>20200111153727973</v>
      </c>
      <c r="B3891" t="str">
        <f>"1578728247966694"</f>
        <v>1578728247966694</v>
      </c>
      <c r="C3891" t="s">
        <v>37</v>
      </c>
      <c r="D3891">
        <v>5.8516599999999999</v>
      </c>
      <c r="E3891">
        <v>0.52268610000000004</v>
      </c>
      <c r="F3891" t="s">
        <v>38</v>
      </c>
      <c r="G3891">
        <v>-217.21780000000001</v>
      </c>
      <c r="H3891">
        <v>1.022465</v>
      </c>
      <c r="I3891">
        <v>141.62469999999999</v>
      </c>
      <c r="J3891">
        <v>-216.71520000000001</v>
      </c>
      <c r="K3891">
        <v>1.0987069999999901</v>
      </c>
      <c r="L3891">
        <v>141.6019</v>
      </c>
      <c r="M3891">
        <v>-0.99697649999999904</v>
      </c>
      <c r="N3891">
        <v>0</v>
      </c>
      <c r="O3891">
        <v>-7.7657599999999993E-2</v>
      </c>
      <c r="P3891">
        <v>-0.99701070000000003</v>
      </c>
      <c r="Q3891">
        <v>3.5297769999999999E-2</v>
      </c>
      <c r="R3891">
        <v>-6.8728199999999906E-2</v>
      </c>
      <c r="S3891">
        <v>-3.0176240000000001</v>
      </c>
      <c r="T3891">
        <v>-0.26936909999999997</v>
      </c>
      <c r="U3891">
        <v>-9.3231200000000007E-3</v>
      </c>
      <c r="V3891">
        <v>9.3007419999999903E-3</v>
      </c>
      <c r="W3891">
        <v>3.78526E-2</v>
      </c>
      <c r="X3891">
        <v>0.99924000000000002</v>
      </c>
      <c r="Y3891">
        <v>7.3974869999999998E-2</v>
      </c>
      <c r="Z3891">
        <v>1.020807E-2</v>
      </c>
      <c r="AA3891">
        <v>0.99720789999999904</v>
      </c>
      <c r="AB3891">
        <v>35</v>
      </c>
      <c r="AC3891">
        <v>-0.50260000000000105</v>
      </c>
      <c r="AD3891">
        <v>-7.6241999999999893E-2</v>
      </c>
      <c r="AE3891">
        <v>2.2799999999989402E-2</v>
      </c>
      <c r="AF3891">
        <v>6.0375521132445598E-2</v>
      </c>
      <c r="AG3891">
        <v>-7.6241999999999893E-2</v>
      </c>
      <c r="AH3891">
        <v>0.48810270794070298</v>
      </c>
      <c r="AI3891">
        <v>98.811813626235605</v>
      </c>
      <c r="AJ3891">
        <v>82.948655800294006</v>
      </c>
      <c r="AK3891">
        <v>0.49769699578665499</v>
      </c>
    </row>
    <row r="3892" spans="1:37" x14ac:dyDescent="0.2">
      <c r="A3892" t="str">
        <f>"20200111153727995"</f>
        <v>20200111153727995</v>
      </c>
      <c r="B3892" t="str">
        <f>"1578728247987190"</f>
        <v>1578728247987190</v>
      </c>
      <c r="C3892" t="s">
        <v>37</v>
      </c>
      <c r="D3892">
        <v>5.9493900000000002</v>
      </c>
      <c r="E3892">
        <v>0.52317329999999995</v>
      </c>
      <c r="F3892" t="s">
        <v>38</v>
      </c>
      <c r="G3892">
        <v>-217.5359</v>
      </c>
      <c r="H3892">
        <v>1.025406</v>
      </c>
      <c r="I3892">
        <v>141.60059999999999</v>
      </c>
      <c r="J3892">
        <v>-217.0762</v>
      </c>
      <c r="K3892">
        <v>1.098881</v>
      </c>
      <c r="L3892">
        <v>141.5772</v>
      </c>
      <c r="M3892">
        <v>-0.997278</v>
      </c>
      <c r="N3892">
        <v>0</v>
      </c>
      <c r="O3892">
        <v>-7.3686199999999993E-2</v>
      </c>
      <c r="P3892">
        <v>-0.99717250000000002</v>
      </c>
      <c r="Q3892">
        <v>3.4170770000000003E-2</v>
      </c>
      <c r="R3892">
        <v>-6.6929970000000005E-2</v>
      </c>
      <c r="S3892">
        <v>-3.018173</v>
      </c>
      <c r="T3892">
        <v>-0.26955499999999999</v>
      </c>
      <c r="U3892">
        <v>-5.111694E-3</v>
      </c>
      <c r="V3892">
        <v>7.0974019999999896E-3</v>
      </c>
      <c r="W3892">
        <v>3.6745689999999998E-2</v>
      </c>
      <c r="X3892">
        <v>0.99929950000000001</v>
      </c>
      <c r="Y3892">
        <v>7.1420189999999995E-2</v>
      </c>
      <c r="Z3892">
        <v>9.7462869999999993E-3</v>
      </c>
      <c r="AA3892">
        <v>0.99739869999999997</v>
      </c>
      <c r="AB3892">
        <v>35</v>
      </c>
      <c r="AC3892">
        <v>-0.459699999999998</v>
      </c>
      <c r="AD3892">
        <v>-7.3474999999999902E-2</v>
      </c>
      <c r="AE3892">
        <v>2.3399999999980901E-2</v>
      </c>
      <c r="AF3892">
        <v>5.5788535188986202E-2</v>
      </c>
      <c r="AG3892">
        <v>-7.3474999999999902E-2</v>
      </c>
      <c r="AH3892">
        <v>0.44537762062011998</v>
      </c>
      <c r="AI3892">
        <v>99.296477989740694</v>
      </c>
      <c r="AJ3892">
        <v>82.860248711312394</v>
      </c>
      <c r="AK3892">
        <v>0.45483201430063502</v>
      </c>
    </row>
    <row r="3893" spans="1:37" x14ac:dyDescent="0.2">
      <c r="A3893" t="str">
        <f>"20200111153728018"</f>
        <v>20200111153728018</v>
      </c>
      <c r="B3893" t="str">
        <f>"1578728248006710"</f>
        <v>1578728248006710</v>
      </c>
      <c r="C3893" t="s">
        <v>37</v>
      </c>
      <c r="D3893">
        <v>6.1102699999999999</v>
      </c>
      <c r="E3893">
        <v>0.52321980000000001</v>
      </c>
      <c r="F3893" t="s">
        <v>38</v>
      </c>
      <c r="G3893">
        <v>-217.85550000000001</v>
      </c>
      <c r="H3893">
        <v>1.028009</v>
      </c>
      <c r="I3893">
        <v>141.57859999999999</v>
      </c>
      <c r="J3893">
        <v>-217.43530000000001</v>
      </c>
      <c r="K3893">
        <v>1.099059</v>
      </c>
      <c r="L3893">
        <v>141.5539</v>
      </c>
      <c r="M3893">
        <v>-0.99754580000000004</v>
      </c>
      <c r="N3893">
        <v>0</v>
      </c>
      <c r="O3893">
        <v>-6.9969119999999996E-2</v>
      </c>
      <c r="P3893">
        <v>-0.9971911</v>
      </c>
      <c r="Q3893">
        <v>3.2348920000000003E-2</v>
      </c>
      <c r="R3893">
        <v>-6.7555889999999993E-2</v>
      </c>
      <c r="S3893">
        <v>-3.0182340000000001</v>
      </c>
      <c r="T3893">
        <v>-0.27451160000000002</v>
      </c>
      <c r="U3893">
        <v>4.6691889999999998E-3</v>
      </c>
      <c r="V3893">
        <v>2.715037E-3</v>
      </c>
      <c r="W3893">
        <v>3.4962510000000002E-2</v>
      </c>
      <c r="X3893">
        <v>0.99938490000000002</v>
      </c>
      <c r="Y3893">
        <v>7.0931240000000007E-2</v>
      </c>
      <c r="Z3893">
        <v>9.5658489999999995E-3</v>
      </c>
      <c r="AA3893">
        <v>0.99743530000000002</v>
      </c>
      <c r="AB3893">
        <v>35</v>
      </c>
      <c r="AC3893">
        <v>-0.42019999999999402</v>
      </c>
      <c r="AD3893">
        <v>-7.1050000000000002E-2</v>
      </c>
      <c r="AE3893">
        <v>2.4699999999995701E-2</v>
      </c>
      <c r="AF3893">
        <v>5.2543532993737999E-2</v>
      </c>
      <c r="AG3893">
        <v>-7.1050000000000002E-2</v>
      </c>
      <c r="AH3893">
        <v>0.40587776688781302</v>
      </c>
      <c r="AI3893">
        <v>99.848620785581701</v>
      </c>
      <c r="AJ3893">
        <v>82.623710248127296</v>
      </c>
      <c r="AK3893">
        <v>0.41538619020533402</v>
      </c>
    </row>
    <row r="3894" spans="1:37" x14ac:dyDescent="0.2">
      <c r="A3894" t="str">
        <f>"20200111153728039"</f>
        <v>20200111153728039</v>
      </c>
      <c r="B3894" t="str">
        <f>"1578728248036967"</f>
        <v>1578728248036967</v>
      </c>
      <c r="C3894" t="s">
        <v>37</v>
      </c>
      <c r="D3894">
        <v>6.1004879999999897</v>
      </c>
      <c r="E3894">
        <v>0.5235976</v>
      </c>
      <c r="F3894" t="s">
        <v>38</v>
      </c>
      <c r="G3894">
        <v>-218.17619999999999</v>
      </c>
      <c r="H3894">
        <v>1.030637</v>
      </c>
      <c r="I3894">
        <v>141.55459999999999</v>
      </c>
      <c r="J3894">
        <v>-217.78200000000001</v>
      </c>
      <c r="K3894">
        <v>1.0992500000000001</v>
      </c>
      <c r="L3894">
        <v>141.53229999999999</v>
      </c>
      <c r="M3894">
        <v>-0.9977741</v>
      </c>
      <c r="N3894">
        <v>0</v>
      </c>
      <c r="O3894">
        <v>-6.6634849999999995E-2</v>
      </c>
      <c r="P3894">
        <v>-0.99701530000000005</v>
      </c>
      <c r="Q3894">
        <v>3.0665600000000001E-2</v>
      </c>
      <c r="R3894">
        <v>-7.0853669999999994E-2</v>
      </c>
      <c r="S3894">
        <v>-3.0176539999999998</v>
      </c>
      <c r="T3894">
        <v>-0.27861710000000001</v>
      </c>
      <c r="U3894">
        <v>2.532959E-3</v>
      </c>
      <c r="V3894">
        <v>-3.9601300000000001E-3</v>
      </c>
      <c r="W3894">
        <v>3.3334580000000003E-2</v>
      </c>
      <c r="X3894">
        <v>0.9994364</v>
      </c>
      <c r="Y3894">
        <v>6.690488E-2</v>
      </c>
      <c r="Z3894">
        <v>9.2179930000000007E-3</v>
      </c>
      <c r="AA3894">
        <v>0.99771679999999996</v>
      </c>
      <c r="AB3894">
        <v>36</v>
      </c>
      <c r="AC3894">
        <v>-0.39419999999998301</v>
      </c>
      <c r="AD3894">
        <v>-6.8612999999999993E-2</v>
      </c>
      <c r="AE3894">
        <v>2.2300000000001301E-2</v>
      </c>
      <c r="AF3894">
        <v>4.7095739146622601E-2</v>
      </c>
      <c r="AG3894">
        <v>-6.8612999999999993E-2</v>
      </c>
      <c r="AH3894">
        <v>0.38035166998402198</v>
      </c>
      <c r="AI3894">
        <v>100.149932335808</v>
      </c>
      <c r="AJ3894">
        <v>82.941473839910699</v>
      </c>
      <c r="AK3894">
        <v>0.38934964398905197</v>
      </c>
    </row>
    <row r="3895" spans="1:37" x14ac:dyDescent="0.2">
      <c r="A3895" t="str">
        <f>"20200111153728062"</f>
        <v>20200111153728062</v>
      </c>
      <c r="B3895" t="str">
        <f>"1578728248057462"</f>
        <v>1578728248057462</v>
      </c>
      <c r="C3895" t="s">
        <v>37</v>
      </c>
      <c r="D3895">
        <v>5.9887959999999998</v>
      </c>
      <c r="E3895">
        <v>0.52380479999999996</v>
      </c>
      <c r="F3895" t="s">
        <v>38</v>
      </c>
      <c r="G3895">
        <v>-218.8081</v>
      </c>
      <c r="H3895">
        <v>1.0041850000000001</v>
      </c>
      <c r="I3895">
        <v>141.53100000000001</v>
      </c>
      <c r="J3895">
        <v>-218.15</v>
      </c>
      <c r="K3895">
        <v>1.099458</v>
      </c>
      <c r="L3895">
        <v>141.51060000000001</v>
      </c>
      <c r="M3895">
        <v>-0.99798390000000003</v>
      </c>
      <c r="N3895">
        <v>0</v>
      </c>
      <c r="O3895">
        <v>-6.3413720000000007E-2</v>
      </c>
      <c r="P3895">
        <v>-0.99681239999999904</v>
      </c>
      <c r="Q3895">
        <v>2.5352799999999901E-2</v>
      </c>
      <c r="R3895">
        <v>-7.5646210000000005E-2</v>
      </c>
      <c r="S3895">
        <v>-3.0172729999999999</v>
      </c>
      <c r="T3895">
        <v>-0.27951959999999998</v>
      </c>
      <c r="U3895">
        <v>-4.1961669999999998E-3</v>
      </c>
      <c r="V3895">
        <v>-1.2046360000000001E-2</v>
      </c>
      <c r="W3895">
        <v>2.8081370000000001E-2</v>
      </c>
      <c r="X3895">
        <v>0.99953309999999995</v>
      </c>
      <c r="Y3895">
        <v>6.149143E-2</v>
      </c>
      <c r="Z3895">
        <v>8.7012700000000005E-3</v>
      </c>
      <c r="AA3895">
        <v>0.99806969999999995</v>
      </c>
      <c r="AB3895">
        <v>36</v>
      </c>
      <c r="AC3895">
        <v>-0.65809999999999003</v>
      </c>
      <c r="AD3895">
        <v>-9.5272999999999899E-2</v>
      </c>
      <c r="AE3895">
        <v>2.0399999999994999E-2</v>
      </c>
      <c r="AF3895">
        <v>6.0818230265114903E-2</v>
      </c>
      <c r="AG3895">
        <v>-9.5272999999999899E-2</v>
      </c>
      <c r="AH3895">
        <v>0.642038687713407</v>
      </c>
      <c r="AI3895">
        <v>98.403526661611807</v>
      </c>
      <c r="AJ3895">
        <v>84.588704646969504</v>
      </c>
      <c r="AK3895">
        <v>0.65191217060454898</v>
      </c>
    </row>
    <row r="3896" spans="1:37" x14ac:dyDescent="0.2">
      <c r="A3896" t="str">
        <f>"20200111153728084"</f>
        <v>20200111153728084</v>
      </c>
      <c r="B3896" t="str">
        <f>"1578728248076982"</f>
        <v>1578728248076982</v>
      </c>
      <c r="C3896" t="s">
        <v>37</v>
      </c>
      <c r="D3896">
        <v>5.9265379999999999</v>
      </c>
      <c r="E3896">
        <v>0.52394280000000004</v>
      </c>
      <c r="F3896" t="s">
        <v>38</v>
      </c>
      <c r="G3896">
        <v>-219.13149999999999</v>
      </c>
      <c r="H3896">
        <v>1.0038129999999901</v>
      </c>
      <c r="I3896">
        <v>141.50530000000001</v>
      </c>
      <c r="J3896">
        <v>-218.5103</v>
      </c>
      <c r="K3896">
        <v>1.0996429999999999</v>
      </c>
      <c r="L3896">
        <v>141.49019999999999</v>
      </c>
      <c r="M3896">
        <v>-0.99816389999999999</v>
      </c>
      <c r="N3896">
        <v>0</v>
      </c>
      <c r="O3896">
        <v>-6.0516420000000001E-2</v>
      </c>
      <c r="P3896">
        <v>-0.99669030000000003</v>
      </c>
      <c r="Q3896">
        <v>1.817966E-2</v>
      </c>
      <c r="R3896">
        <v>-7.9236699999999993E-2</v>
      </c>
      <c r="S3896">
        <v>-3.0157929999999999</v>
      </c>
      <c r="T3896">
        <v>-0.2938789</v>
      </c>
      <c r="U3896">
        <v>-1.6510009999999999E-2</v>
      </c>
      <c r="V3896">
        <v>-1.8611340000000001E-2</v>
      </c>
      <c r="W3896">
        <v>2.094909E-2</v>
      </c>
      <c r="X3896">
        <v>0.99960729999999998</v>
      </c>
      <c r="Y3896">
        <v>5.4506800000000001E-2</v>
      </c>
      <c r="Z3896">
        <v>8.5296739999999992E-3</v>
      </c>
      <c r="AA3896">
        <v>0.99847699999999995</v>
      </c>
      <c r="AB3896">
        <v>36</v>
      </c>
      <c r="AC3896">
        <v>-0.62119999999998698</v>
      </c>
      <c r="AD3896">
        <v>-9.5829999999999999E-2</v>
      </c>
      <c r="AE3896">
        <v>1.5100000000018101E-2</v>
      </c>
      <c r="AF3896">
        <v>5.1441761514910297E-2</v>
      </c>
      <c r="AG3896">
        <v>-9.5829999999999999E-2</v>
      </c>
      <c r="AH3896">
        <v>0.604763995168633</v>
      </c>
      <c r="AI3896">
        <v>98.972269452889194</v>
      </c>
      <c r="AJ3896">
        <v>85.138073586706199</v>
      </c>
      <c r="AK3896">
        <v>0.614466543906243</v>
      </c>
    </row>
    <row r="3897" spans="1:37" x14ac:dyDescent="0.2">
      <c r="A3897" t="str">
        <f>"20200111153728108"</f>
        <v>20200111153728108</v>
      </c>
      <c r="B3897" t="str">
        <f>"1578728248096502"</f>
        <v>1578728248096502</v>
      </c>
      <c r="C3897" t="s">
        <v>37</v>
      </c>
      <c r="D3897">
        <v>6.1531699999999896</v>
      </c>
      <c r="E3897">
        <v>0.52410489999999998</v>
      </c>
      <c r="F3897" t="s">
        <v>38</v>
      </c>
      <c r="G3897">
        <v>-219.45519999999999</v>
      </c>
      <c r="H3897">
        <v>1.0008709999999901</v>
      </c>
      <c r="I3897">
        <v>141.48179999999999</v>
      </c>
      <c r="J3897">
        <v>-218.88159999999999</v>
      </c>
      <c r="K3897">
        <v>1.099847</v>
      </c>
      <c r="L3897">
        <v>141.4699</v>
      </c>
      <c r="M3897">
        <v>-0.99832379999999998</v>
      </c>
      <c r="N3897">
        <v>0</v>
      </c>
      <c r="O3897">
        <v>-5.7816670000000001E-2</v>
      </c>
      <c r="P3897">
        <v>-0.99666900000000003</v>
      </c>
      <c r="Q3897">
        <v>1.237915E-2</v>
      </c>
      <c r="R3897">
        <v>-8.0609799999999995E-2</v>
      </c>
      <c r="S3897">
        <v>-3.0135800000000001</v>
      </c>
      <c r="T3897">
        <v>-0.3149554</v>
      </c>
      <c r="U3897">
        <v>-2.6931759999999999E-2</v>
      </c>
      <c r="V3897">
        <v>-2.2740380000000001E-2</v>
      </c>
      <c r="W3897">
        <v>1.516553E-2</v>
      </c>
      <c r="X3897">
        <v>0.99962640000000003</v>
      </c>
      <c r="Y3897">
        <v>4.831539E-2</v>
      </c>
      <c r="Z3897">
        <v>8.5409730000000003E-3</v>
      </c>
      <c r="AA3897">
        <v>0.99879560000000001</v>
      </c>
      <c r="AB3897">
        <v>36</v>
      </c>
      <c r="AC3897">
        <v>-0.573599999999999</v>
      </c>
      <c r="AD3897">
        <v>-9.8976000000000106E-2</v>
      </c>
      <c r="AE3897">
        <v>1.18999999999971E-2</v>
      </c>
      <c r="AF3897">
        <v>4.3742021194901899E-2</v>
      </c>
      <c r="AG3897">
        <v>-9.8976000000000106E-2</v>
      </c>
      <c r="AH3897">
        <v>0.55542227168964897</v>
      </c>
      <c r="AI3897">
        <v>100.0734725615</v>
      </c>
      <c r="AJ3897">
        <v>85.496991971553697</v>
      </c>
      <c r="AK3897">
        <v>0.56586527803277098</v>
      </c>
    </row>
    <row r="3898" spans="1:37" x14ac:dyDescent="0.2">
      <c r="A3898" t="str">
        <f>"20200111153728131"</f>
        <v>20200111153728131</v>
      </c>
      <c r="B3898" t="str">
        <f>"1578728248126758"</f>
        <v>1578728248126758</v>
      </c>
      <c r="C3898" t="s">
        <v>37</v>
      </c>
      <c r="D3898">
        <v>6.0571820000000001</v>
      </c>
      <c r="E3898">
        <v>0.52465139999999999</v>
      </c>
      <c r="F3898" t="s">
        <v>38</v>
      </c>
      <c r="G3898">
        <v>-219.7817</v>
      </c>
      <c r="H3898">
        <v>1.000624</v>
      </c>
      <c r="I3898">
        <v>141.46100000000001</v>
      </c>
      <c r="J3898">
        <v>-219.26820000000001</v>
      </c>
      <c r="K3898">
        <v>1.1000889999999901</v>
      </c>
      <c r="L3898">
        <v>141.44970000000001</v>
      </c>
      <c r="M3898">
        <v>-0.99846380000000001</v>
      </c>
      <c r="N3898">
        <v>0</v>
      </c>
      <c r="O3898">
        <v>-5.5345970000000001E-2</v>
      </c>
      <c r="P3898">
        <v>-0.99673969999999901</v>
      </c>
      <c r="Q3898">
        <v>9.9794210000000005E-3</v>
      </c>
      <c r="R3898">
        <v>-8.0065529999999996E-2</v>
      </c>
      <c r="S3898">
        <v>-3.0116879999999999</v>
      </c>
      <c r="T3898">
        <v>-0.33199050000000002</v>
      </c>
      <c r="U3898">
        <v>-3.0685420000000001E-2</v>
      </c>
      <c r="V3898">
        <v>-2.469261E-2</v>
      </c>
      <c r="W3898">
        <v>1.276298E-2</v>
      </c>
      <c r="X3898">
        <v>0.99961359999999999</v>
      </c>
      <c r="Y3898">
        <v>4.4565859999999999E-2</v>
      </c>
      <c r="Z3898">
        <v>8.5285429999999995E-3</v>
      </c>
      <c r="AA3898">
        <v>0.99897000000000002</v>
      </c>
      <c r="AB3898">
        <v>36</v>
      </c>
      <c r="AC3898">
        <v>-0.51349999999999296</v>
      </c>
      <c r="AD3898">
        <v>-9.9464999999999901E-2</v>
      </c>
      <c r="AE3898">
        <v>1.1300000000005601E-2</v>
      </c>
      <c r="AF3898">
        <v>3.8267829216041702E-2</v>
      </c>
      <c r="AG3898">
        <v>-9.9464999999999901E-2</v>
      </c>
      <c r="AH3898">
        <v>0.49357757653330803</v>
      </c>
      <c r="AI3898">
        <v>101.36036111890201</v>
      </c>
      <c r="AJ3898">
        <v>85.566639014581497</v>
      </c>
      <c r="AK3898">
        <v>0.50495201458594197</v>
      </c>
    </row>
    <row r="3899" spans="1:37" x14ac:dyDescent="0.2">
      <c r="A3899" t="str">
        <f>"20200111153728151"</f>
        <v>20200111153728151</v>
      </c>
      <c r="B3899" t="str">
        <f>"1578728248147254"</f>
        <v>1578728248147254</v>
      </c>
      <c r="C3899" t="s">
        <v>37</v>
      </c>
      <c r="D3899">
        <v>6.0291239999999897</v>
      </c>
      <c r="E3899">
        <v>0.53273009999999998</v>
      </c>
      <c r="F3899" t="s">
        <v>38</v>
      </c>
      <c r="G3899">
        <v>-220.11150000000001</v>
      </c>
      <c r="H3899">
        <v>1.0043519999999999</v>
      </c>
      <c r="I3899">
        <v>141.4426</v>
      </c>
      <c r="J3899">
        <v>-219.6019</v>
      </c>
      <c r="K3899">
        <v>1.100319</v>
      </c>
      <c r="L3899">
        <v>141.43270000000001</v>
      </c>
      <c r="M3899">
        <v>-0.99856329999999904</v>
      </c>
      <c r="N3899">
        <v>0</v>
      </c>
      <c r="O3899">
        <v>-5.352204E-2</v>
      </c>
      <c r="P3899">
        <v>-0.99681319999999995</v>
      </c>
      <c r="Q3899">
        <v>8.8391489999999993E-3</v>
      </c>
      <c r="R3899">
        <v>-7.9278950000000001E-2</v>
      </c>
      <c r="S3899">
        <v>-3.011215</v>
      </c>
      <c r="T3899">
        <v>-0.34183989999999997</v>
      </c>
      <c r="U3899">
        <v>-2.5253299999999999E-2</v>
      </c>
      <c r="V3899">
        <v>-2.5743970000000001E-2</v>
      </c>
      <c r="W3899">
        <v>1.1614370000000001E-2</v>
      </c>
      <c r="X3899">
        <v>0.99960110000000002</v>
      </c>
      <c r="Y3899">
        <v>4.4516890000000003E-2</v>
      </c>
      <c r="Z3899">
        <v>8.5725860000000001E-3</v>
      </c>
      <c r="AA3899">
        <v>0.99897190000000002</v>
      </c>
      <c r="AB3899">
        <v>37</v>
      </c>
      <c r="AC3899">
        <v>-0.50960000000000605</v>
      </c>
      <c r="AD3899">
        <v>-9.59669999999999E-2</v>
      </c>
      <c r="AE3899">
        <v>9.8999999999875802E-3</v>
      </c>
      <c r="AF3899">
        <v>3.5888472586937899E-2</v>
      </c>
      <c r="AG3899">
        <v>-9.59669999999999E-2</v>
      </c>
      <c r="AH3899">
        <v>0.49093582849355299</v>
      </c>
      <c r="AI3899">
        <v>101.031860987385</v>
      </c>
      <c r="AJ3899">
        <v>85.8189914806497</v>
      </c>
      <c r="AK3899">
        <v>0.50151334503906697</v>
      </c>
    </row>
    <row r="3900" spans="1:37" x14ac:dyDescent="0.2">
      <c r="A3900" t="str">
        <f>"20200111153728172"</f>
        <v>20200111153728172</v>
      </c>
      <c r="B3900" t="str">
        <f>"1578728248166774"</f>
        <v>1578728248166774</v>
      </c>
      <c r="C3900" t="s">
        <v>37</v>
      </c>
      <c r="D3900">
        <v>6.0556479999999997</v>
      </c>
      <c r="E3900">
        <v>0.53453739999999905</v>
      </c>
      <c r="F3900" t="s">
        <v>38</v>
      </c>
      <c r="G3900">
        <v>-220.42269999999999</v>
      </c>
      <c r="H3900">
        <v>0.96446960000000004</v>
      </c>
      <c r="I3900">
        <v>141.44579999999999</v>
      </c>
      <c r="J3900">
        <v>-219.9579</v>
      </c>
      <c r="K3900">
        <v>1.100606</v>
      </c>
      <c r="L3900">
        <v>141.41499999999999</v>
      </c>
      <c r="M3900">
        <v>-0.99864809999999904</v>
      </c>
      <c r="N3900">
        <v>0</v>
      </c>
      <c r="O3900">
        <v>-5.1913540000000001E-2</v>
      </c>
      <c r="P3900">
        <v>-0.99691549999999995</v>
      </c>
      <c r="Q3900">
        <v>7.5590350000000004E-3</v>
      </c>
      <c r="R3900">
        <v>-7.8116309999999994E-2</v>
      </c>
      <c r="S3900">
        <v>-3.0178069999999999</v>
      </c>
      <c r="T3900">
        <v>-0.49951419999999902</v>
      </c>
      <c r="U3900">
        <v>4.769897E-2</v>
      </c>
      <c r="V3900">
        <v>-2.6202400000000001E-2</v>
      </c>
      <c r="W3900">
        <v>1.0320309999999999E-2</v>
      </c>
      <c r="X3900">
        <v>0.99960339999999903</v>
      </c>
      <c r="Y3900">
        <v>6.6084809999999994E-2</v>
      </c>
      <c r="Z3900">
        <v>1.3964229999999999E-2</v>
      </c>
      <c r="AA3900">
        <v>0.9977163</v>
      </c>
      <c r="AB3900">
        <v>37</v>
      </c>
      <c r="AC3900">
        <v>-0.46479999999999599</v>
      </c>
      <c r="AD3900">
        <v>-0.13613639999999899</v>
      </c>
      <c r="AE3900">
        <v>3.07999999999992E-2</v>
      </c>
      <c r="AF3900">
        <v>5.0568834631065797E-2</v>
      </c>
      <c r="AG3900">
        <v>-0.13613639999999899</v>
      </c>
      <c r="AH3900">
        <v>0.42617436064788</v>
      </c>
      <c r="AI3900">
        <v>107.599701618707</v>
      </c>
      <c r="AJ3900">
        <v>83.233059566915202</v>
      </c>
      <c r="AK3900">
        <v>0.45023872791501801</v>
      </c>
    </row>
    <row r="3901" spans="1:37" x14ac:dyDescent="0.2">
      <c r="A3901" t="str">
        <f>"20200111153728197"</f>
        <v>20200111153728197</v>
      </c>
      <c r="B3901" t="str">
        <f>"1578728248187290"</f>
        <v>1578728248187290</v>
      </c>
      <c r="C3901" t="s">
        <v>37</v>
      </c>
      <c r="D3901">
        <v>6.0860399999999997</v>
      </c>
      <c r="E3901">
        <v>0.53535469999999996</v>
      </c>
      <c r="F3901" t="s">
        <v>38</v>
      </c>
      <c r="G3901">
        <v>-220.7473</v>
      </c>
      <c r="H3901">
        <v>0.9514956</v>
      </c>
      <c r="I3901">
        <v>141.43289999999999</v>
      </c>
      <c r="J3901">
        <v>-220.351</v>
      </c>
      <c r="K3901">
        <v>1.100943</v>
      </c>
      <c r="L3901">
        <v>141.39580000000001</v>
      </c>
      <c r="M3901">
        <v>-0.998718199999999</v>
      </c>
      <c r="N3901">
        <v>0</v>
      </c>
      <c r="O3901">
        <v>-5.0549289999999997E-2</v>
      </c>
      <c r="P3901">
        <v>-0.99702639999999998</v>
      </c>
      <c r="Q3901">
        <v>7.0352259999999899E-3</v>
      </c>
      <c r="R3901">
        <v>-7.674193E-2</v>
      </c>
      <c r="S3901">
        <v>-3.0189360000000001</v>
      </c>
      <c r="T3901">
        <v>-0.5702199</v>
      </c>
      <c r="U3901">
        <v>6.8099980000000004E-2</v>
      </c>
      <c r="V3901">
        <v>-2.6200640000000001E-2</v>
      </c>
      <c r="W3901">
        <v>9.7772139999999993E-3</v>
      </c>
      <c r="X3901">
        <v>0.99960890000000002</v>
      </c>
      <c r="Y3901">
        <v>7.0913030000000002E-2</v>
      </c>
      <c r="Z3901">
        <v>1.6098830000000001E-2</v>
      </c>
      <c r="AA3901">
        <v>0.99735260000000003</v>
      </c>
      <c r="AB3901">
        <v>37</v>
      </c>
      <c r="AC3901">
        <v>-0.39629999999999599</v>
      </c>
      <c r="AD3901">
        <v>-0.14944739999999901</v>
      </c>
      <c r="AE3901">
        <v>3.7099999999981002E-2</v>
      </c>
      <c r="AF3901">
        <v>5.0032095990807199E-2</v>
      </c>
      <c r="AG3901">
        <v>-0.14944739999999901</v>
      </c>
      <c r="AH3901">
        <v>0.34524710275882697</v>
      </c>
      <c r="AI3901">
        <v>113.190091547843</v>
      </c>
      <c r="AJ3901">
        <v>81.754283192425802</v>
      </c>
      <c r="AK3901">
        <v>0.37951719059794597</v>
      </c>
    </row>
    <row r="3902" spans="1:37" x14ac:dyDescent="0.2">
      <c r="A3902" t="str">
        <f>"20200111153728218"</f>
        <v>20200111153728218</v>
      </c>
      <c r="B3902" t="str">
        <f>"1578728248206812"</f>
        <v>1578728248206812</v>
      </c>
      <c r="C3902" t="s">
        <v>37</v>
      </c>
      <c r="D3902">
        <v>6.0740480000000003</v>
      </c>
      <c r="E3902">
        <v>0.53593919999999995</v>
      </c>
      <c r="F3902" t="s">
        <v>38</v>
      </c>
      <c r="G3902">
        <v>-221.08539999999999</v>
      </c>
      <c r="H3902">
        <v>0.96405359999999996</v>
      </c>
      <c r="I3902">
        <v>141.41499999999999</v>
      </c>
      <c r="J3902">
        <v>-220.72110000000001</v>
      </c>
      <c r="K3902">
        <v>1.1012709999999899</v>
      </c>
      <c r="L3902">
        <v>141.37780000000001</v>
      </c>
      <c r="M3902">
        <v>-0.99876319999999996</v>
      </c>
      <c r="N3902">
        <v>0</v>
      </c>
      <c r="O3902">
        <v>-4.9652380000000003E-2</v>
      </c>
      <c r="P3902">
        <v>-0.99712690000000004</v>
      </c>
      <c r="Q3902">
        <v>6.3902469999999999E-3</v>
      </c>
      <c r="R3902">
        <v>-7.5480980000000003E-2</v>
      </c>
      <c r="S3902">
        <v>-3.0188899999999999</v>
      </c>
      <c r="T3902">
        <v>-0.56274990000000003</v>
      </c>
      <c r="U3902">
        <v>7.7926640000000005E-2</v>
      </c>
      <c r="V3902">
        <v>-2.5844260000000001E-2</v>
      </c>
      <c r="W3902">
        <v>9.1153950000000001E-3</v>
      </c>
      <c r="X3902">
        <v>0.99962439999999997</v>
      </c>
      <c r="Y3902">
        <v>7.3291999999999996E-2</v>
      </c>
      <c r="Z3902">
        <v>1.594551E-2</v>
      </c>
      <c r="AA3902">
        <v>0.99718300000000004</v>
      </c>
      <c r="AB3902">
        <v>37</v>
      </c>
      <c r="AC3902">
        <v>-0.36429999999998502</v>
      </c>
      <c r="AD3902">
        <v>-0.13721739999999899</v>
      </c>
      <c r="AE3902">
        <v>3.7199999999984301E-2</v>
      </c>
      <c r="AF3902">
        <v>4.8440987023562497E-2</v>
      </c>
      <c r="AG3902">
        <v>-0.13721739999999899</v>
      </c>
      <c r="AH3902">
        <v>0.31743310884728598</v>
      </c>
      <c r="AI3902">
        <v>113.138222370454</v>
      </c>
      <c r="AJ3902">
        <v>81.3234767494165</v>
      </c>
      <c r="AK3902">
        <v>0.34919754105524597</v>
      </c>
    </row>
    <row r="3903" spans="1:37" x14ac:dyDescent="0.2">
      <c r="A3903" t="str">
        <f>"20200111153728240"</f>
        <v>20200111153728240</v>
      </c>
      <c r="B3903" t="str">
        <f>"1578728248237065"</f>
        <v>1578728248237065</v>
      </c>
      <c r="C3903" t="s">
        <v>37</v>
      </c>
      <c r="D3903">
        <v>6.0876799999999998</v>
      </c>
      <c r="E3903">
        <v>0.53604779999999996</v>
      </c>
      <c r="F3903" t="s">
        <v>38</v>
      </c>
      <c r="G3903">
        <v>-221.42250000000001</v>
      </c>
      <c r="H3903">
        <v>0.97196439999999995</v>
      </c>
      <c r="I3903">
        <v>141.39789999999999</v>
      </c>
      <c r="J3903">
        <v>-221.0882</v>
      </c>
      <c r="K3903">
        <v>1.1015790000000001</v>
      </c>
      <c r="L3903">
        <v>141.36009999999999</v>
      </c>
      <c r="M3903">
        <v>-0.99878919999999904</v>
      </c>
      <c r="N3903">
        <v>0</v>
      </c>
      <c r="O3903">
        <v>-4.9124050000000002E-2</v>
      </c>
      <c r="P3903">
        <v>-0.99723510000000004</v>
      </c>
      <c r="Q3903">
        <v>5.1997249999999997E-3</v>
      </c>
      <c r="R3903">
        <v>-7.4128620000000006E-2</v>
      </c>
      <c r="S3903">
        <v>-3.018707</v>
      </c>
      <c r="T3903">
        <v>-0.55659429999999999</v>
      </c>
      <c r="U3903">
        <v>8.5830690000000001E-2</v>
      </c>
      <c r="V3903">
        <v>-2.5027520000000001E-2</v>
      </c>
      <c r="W3903">
        <v>7.9090410000000003E-3</v>
      </c>
      <c r="X3903">
        <v>0.99965550000000003</v>
      </c>
      <c r="Y3903">
        <v>7.5394050000000004E-2</v>
      </c>
      <c r="Z3903">
        <v>1.587015E-2</v>
      </c>
      <c r="AA3903">
        <v>0.99702749999999996</v>
      </c>
      <c r="AB3903">
        <v>37</v>
      </c>
      <c r="AC3903">
        <v>-0.33430000000001298</v>
      </c>
      <c r="AD3903">
        <v>-0.1296146</v>
      </c>
      <c r="AE3903">
        <v>3.7800000000004198E-2</v>
      </c>
      <c r="AF3903">
        <v>4.7174537795431203E-2</v>
      </c>
      <c r="AG3903">
        <v>-0.1296146</v>
      </c>
      <c r="AH3903">
        <v>0.28912505736352001</v>
      </c>
      <c r="AI3903">
        <v>113.866929308734</v>
      </c>
      <c r="AJ3903">
        <v>80.733102803751905</v>
      </c>
      <c r="AK3903">
        <v>0.32034150581033199</v>
      </c>
    </row>
    <row r="3904" spans="1:37" x14ac:dyDescent="0.2">
      <c r="A3904" t="str">
        <f>"20200111153728262"</f>
        <v>20200111153728262</v>
      </c>
      <c r="B3904" t="str">
        <f>"1578728248256586"</f>
        <v>1578728248256586</v>
      </c>
      <c r="C3904" t="s">
        <v>37</v>
      </c>
      <c r="D3904">
        <v>6.1197059999999999</v>
      </c>
      <c r="E3904">
        <v>0.53613420000000001</v>
      </c>
      <c r="F3904" t="s">
        <v>38</v>
      </c>
      <c r="G3904">
        <v>-222.06970000000001</v>
      </c>
      <c r="H3904">
        <v>0.92027019999999904</v>
      </c>
      <c r="I3904">
        <v>141.38990000000001</v>
      </c>
      <c r="J3904">
        <v>-221.4546</v>
      </c>
      <c r="K3904">
        <v>1.1018749999999999</v>
      </c>
      <c r="L3904">
        <v>141.3424</v>
      </c>
      <c r="M3904">
        <v>-0.99880000000000002</v>
      </c>
      <c r="N3904">
        <v>0</v>
      </c>
      <c r="O3904">
        <v>-4.890539E-2</v>
      </c>
      <c r="P3904">
        <v>-0.99735359999999995</v>
      </c>
      <c r="Q3904">
        <v>2.8676040000000002E-3</v>
      </c>
      <c r="R3904">
        <v>-7.2649870000000005E-2</v>
      </c>
      <c r="S3904">
        <v>-3.0180210000000001</v>
      </c>
      <c r="T3904">
        <v>-0.55753030000000003</v>
      </c>
      <c r="U3904">
        <v>9.1171260000000004E-2</v>
      </c>
      <c r="V3904">
        <v>-2.377423E-2</v>
      </c>
      <c r="W3904">
        <v>5.5644869999999999E-3</v>
      </c>
      <c r="X3904">
        <v>0.99970190000000003</v>
      </c>
      <c r="Y3904">
        <v>7.6915059999999993E-2</v>
      </c>
      <c r="Z3904">
        <v>1.59989E-2</v>
      </c>
      <c r="AA3904">
        <v>0.9969093</v>
      </c>
      <c r="AB3904">
        <v>37</v>
      </c>
      <c r="AC3904">
        <v>-0.61510000000001197</v>
      </c>
      <c r="AD3904">
        <v>-0.18160480000000001</v>
      </c>
      <c r="AE3904">
        <v>4.7500000000013601E-2</v>
      </c>
      <c r="AF3904">
        <v>7.1342928138936598E-2</v>
      </c>
      <c r="AG3904">
        <v>-0.18160480000000001</v>
      </c>
      <c r="AH3904">
        <v>0.56323523172553103</v>
      </c>
      <c r="AI3904">
        <v>107.738208281545</v>
      </c>
      <c r="AJ3904">
        <v>82.780999320539394</v>
      </c>
      <c r="AK3904">
        <v>0.59607385703064497</v>
      </c>
    </row>
    <row r="3905" spans="1:37" x14ac:dyDescent="0.2">
      <c r="A3905" t="str">
        <f>"20200111153728285"</f>
        <v>20200111153728285</v>
      </c>
      <c r="B3905" t="str">
        <f>"1578728248277082"</f>
        <v>1578728248277082</v>
      </c>
      <c r="C3905" t="s">
        <v>37</v>
      </c>
      <c r="D3905">
        <v>6.1130550000000001</v>
      </c>
      <c r="E3905">
        <v>0.53622440000000005</v>
      </c>
      <c r="F3905" t="s">
        <v>38</v>
      </c>
      <c r="G3905">
        <v>-222.40880000000001</v>
      </c>
      <c r="H3905">
        <v>0.92380949999999995</v>
      </c>
      <c r="I3905">
        <v>141.3734</v>
      </c>
      <c r="J3905">
        <v>-221.84440000000001</v>
      </c>
      <c r="K3905">
        <v>1.1021570000000001</v>
      </c>
      <c r="L3905">
        <v>141.32339999999999</v>
      </c>
      <c r="M3905">
        <v>-0.99879889999999905</v>
      </c>
      <c r="N3905">
        <v>0</v>
      </c>
      <c r="O3905">
        <v>-4.892635E-2</v>
      </c>
      <c r="P3905">
        <v>-0.99734709999999904</v>
      </c>
      <c r="Q3905">
        <v>2.7823190000000001E-3</v>
      </c>
      <c r="R3905">
        <v>-7.2740170000000007E-2</v>
      </c>
      <c r="S3905">
        <v>-3.0167079999999999</v>
      </c>
      <c r="T3905">
        <v>-0.56300660000000002</v>
      </c>
      <c r="U3905">
        <v>9.7854609999999995E-2</v>
      </c>
      <c r="V3905">
        <v>-2.3847650000000001E-2</v>
      </c>
      <c r="W3905">
        <v>5.4724580000000004E-3</v>
      </c>
      <c r="X3905">
        <v>0.99970059999999905</v>
      </c>
      <c r="Y3905">
        <v>7.90743E-2</v>
      </c>
      <c r="Z3905">
        <v>1.6363470000000001E-2</v>
      </c>
      <c r="AA3905">
        <v>0.99673440000000002</v>
      </c>
      <c r="AB3905">
        <v>38</v>
      </c>
      <c r="AC3905">
        <v>-0.56440000000000601</v>
      </c>
      <c r="AD3905">
        <v>-0.17834749999999999</v>
      </c>
      <c r="AE3905">
        <v>5.0000000000011299E-2</v>
      </c>
      <c r="AF3905">
        <v>7.0563185617029303E-2</v>
      </c>
      <c r="AG3905">
        <v>-0.17834749999999999</v>
      </c>
      <c r="AH3905">
        <v>0.510681833818182</v>
      </c>
      <c r="AI3905">
        <v>109.082920795793</v>
      </c>
      <c r="AJ3905">
        <v>82.133000397007095</v>
      </c>
      <c r="AK3905">
        <v>0.54551162161092004</v>
      </c>
    </row>
    <row r="3906" spans="1:37" x14ac:dyDescent="0.2">
      <c r="A3906" t="str">
        <f>"20200111153728307"</f>
        <v>20200111153728307</v>
      </c>
      <c r="B3906" t="str">
        <f>"1578728248297110"</f>
        <v>1578728248297110</v>
      </c>
      <c r="C3906" t="s">
        <v>37</v>
      </c>
      <c r="D3906">
        <v>6.1621319999999997</v>
      </c>
      <c r="E3906">
        <v>0.53599419999999898</v>
      </c>
      <c r="F3906" t="s">
        <v>38</v>
      </c>
      <c r="G3906">
        <v>-222.7518</v>
      </c>
      <c r="H3906">
        <v>0.93338639999999995</v>
      </c>
      <c r="I3906">
        <v>141.35339999999999</v>
      </c>
      <c r="J3906">
        <v>-222.2218</v>
      </c>
      <c r="K3906">
        <v>1.1023879999999999</v>
      </c>
      <c r="L3906">
        <v>141.3049</v>
      </c>
      <c r="M3906">
        <v>-0.99878929999999999</v>
      </c>
      <c r="N3906">
        <v>0</v>
      </c>
      <c r="O3906">
        <v>-4.9121610000000003E-2</v>
      </c>
      <c r="P3906">
        <v>-0.99731740000000002</v>
      </c>
      <c r="Q3906">
        <v>4.4649370000000004E-3</v>
      </c>
      <c r="R3906">
        <v>-7.3063219999999998E-2</v>
      </c>
      <c r="S3906">
        <v>-3.0167999999999999</v>
      </c>
      <c r="T3906">
        <v>-0.56104929999999997</v>
      </c>
      <c r="U3906">
        <v>9.9517820000000007E-2</v>
      </c>
      <c r="V3906">
        <v>-2.397753E-2</v>
      </c>
      <c r="W3906">
        <v>7.1508919999999998E-3</v>
      </c>
      <c r="X3906">
        <v>0.99968690000000004</v>
      </c>
      <c r="Y3906">
        <v>7.9816399999999996E-2</v>
      </c>
      <c r="Z3906">
        <v>1.641132E-2</v>
      </c>
      <c r="AA3906">
        <v>0.99667450000000002</v>
      </c>
      <c r="AB3906">
        <v>38</v>
      </c>
      <c r="AC3906">
        <v>-0.53000000000000103</v>
      </c>
      <c r="AD3906">
        <v>-0.169001599999999</v>
      </c>
      <c r="AE3906">
        <v>4.8499999999989898E-2</v>
      </c>
      <c r="AF3906">
        <v>6.7654137818463495E-2</v>
      </c>
      <c r="AG3906">
        <v>-0.169001599999999</v>
      </c>
      <c r="AH3906">
        <v>0.47870762965013097</v>
      </c>
      <c r="AI3906">
        <v>109.267763069184</v>
      </c>
      <c r="AJ3906">
        <v>81.955853880992706</v>
      </c>
      <c r="AK3906">
        <v>0.51215194801129704</v>
      </c>
    </row>
    <row r="3907" spans="1:37" x14ac:dyDescent="0.2">
      <c r="A3907" t="str">
        <f>"20200111153728329"</f>
        <v>20200111153728329</v>
      </c>
      <c r="B3907" t="str">
        <f>"1578728248316630"</f>
        <v>1578728248316630</v>
      </c>
      <c r="C3907" t="s">
        <v>37</v>
      </c>
      <c r="D3907">
        <v>6.14168</v>
      </c>
      <c r="E3907">
        <v>0.53581429999999997</v>
      </c>
      <c r="F3907" t="s">
        <v>38</v>
      </c>
      <c r="G3907">
        <v>-223.0959</v>
      </c>
      <c r="H3907">
        <v>0.94199370000000004</v>
      </c>
      <c r="I3907">
        <v>141.3331</v>
      </c>
      <c r="J3907">
        <v>-222.59209999999999</v>
      </c>
      <c r="K3907">
        <v>1.102573</v>
      </c>
      <c r="L3907">
        <v>141.28649999999999</v>
      </c>
      <c r="M3907">
        <v>-0.99877419999999995</v>
      </c>
      <c r="N3907">
        <v>0</v>
      </c>
      <c r="O3907">
        <v>-4.9426810000000002E-2</v>
      </c>
      <c r="P3907">
        <v>-0.99729029999999996</v>
      </c>
      <c r="Q3907">
        <v>6.49265E-3</v>
      </c>
      <c r="R3907">
        <v>-7.3281269999999996E-2</v>
      </c>
      <c r="S3907">
        <v>-3.0175930000000002</v>
      </c>
      <c r="T3907">
        <v>-0.55374789999999996</v>
      </c>
      <c r="U3907">
        <v>9.6420290000000006E-2</v>
      </c>
      <c r="V3907">
        <v>-2.3892759999999999E-2</v>
      </c>
      <c r="W3907">
        <v>9.1773830000000008E-3</v>
      </c>
      <c r="X3907">
        <v>0.99967240000000002</v>
      </c>
      <c r="Y3907">
        <v>7.9153950000000001E-2</v>
      </c>
      <c r="Z3907">
        <v>1.619253E-2</v>
      </c>
      <c r="AA3907">
        <v>0.99673089999999998</v>
      </c>
      <c r="AB3907">
        <v>38</v>
      </c>
      <c r="AC3907">
        <v>-0.50380000000001202</v>
      </c>
      <c r="AD3907">
        <v>-0.16057929999999901</v>
      </c>
      <c r="AE3907">
        <v>4.6600000000012097E-2</v>
      </c>
      <c r="AF3907">
        <v>6.49062862654914E-2</v>
      </c>
      <c r="AG3907">
        <v>-0.16057929999999901</v>
      </c>
      <c r="AH3907">
        <v>0.45504392345461703</v>
      </c>
      <c r="AI3907">
        <v>109.25693882889</v>
      </c>
      <c r="AJ3907">
        <v>81.882236046121207</v>
      </c>
      <c r="AK3907">
        <v>0.48689168185361298</v>
      </c>
    </row>
    <row r="3908" spans="1:37" x14ac:dyDescent="0.2">
      <c r="A3908" t="str">
        <f>"20200111153728351"</f>
        <v>20200111153728351</v>
      </c>
      <c r="B3908" t="str">
        <f>"1578728248346887"</f>
        <v>1578728248346887</v>
      </c>
      <c r="C3908" t="s">
        <v>37</v>
      </c>
      <c r="D3908">
        <v>6.1727629999999998</v>
      </c>
      <c r="E3908">
        <v>0.53650500000000001</v>
      </c>
      <c r="F3908" t="s">
        <v>38</v>
      </c>
      <c r="G3908">
        <v>-223.4408</v>
      </c>
      <c r="H3908">
        <v>0.94917199999999902</v>
      </c>
      <c r="I3908">
        <v>141.31309999999999</v>
      </c>
      <c r="J3908">
        <v>-222.9727</v>
      </c>
      <c r="K3908">
        <v>1.102716</v>
      </c>
      <c r="L3908">
        <v>141.26750000000001</v>
      </c>
      <c r="M3908">
        <v>-0.99875499999999995</v>
      </c>
      <c r="N3908">
        <v>0</v>
      </c>
      <c r="O3908">
        <v>-4.9812719999999998E-2</v>
      </c>
      <c r="P3908">
        <v>-0.99723949999999995</v>
      </c>
      <c r="Q3908">
        <v>7.6923590000000002E-3</v>
      </c>
      <c r="R3908">
        <v>-7.3853509999999997E-2</v>
      </c>
      <c r="S3908">
        <v>-3.0186000000000002</v>
      </c>
      <c r="T3908">
        <v>-0.54570580000000002</v>
      </c>
      <c r="U3908">
        <v>9.3719479999999994E-2</v>
      </c>
      <c r="V3908">
        <v>-2.4083630000000002E-2</v>
      </c>
      <c r="W3908">
        <v>1.0378E-2</v>
      </c>
      <c r="X3908">
        <v>0.99965609999999905</v>
      </c>
      <c r="Y3908">
        <v>7.8701289999999993E-2</v>
      </c>
      <c r="Z3908">
        <v>1.598465E-2</v>
      </c>
      <c r="AA3908">
        <v>0.99677009999999899</v>
      </c>
      <c r="AB3908">
        <v>38</v>
      </c>
      <c r="AC3908">
        <v>-0.46809999999999202</v>
      </c>
      <c r="AD3908">
        <v>-0.15354400000000001</v>
      </c>
      <c r="AE3908">
        <v>4.55999999999789E-2</v>
      </c>
      <c r="AF3908">
        <v>6.2228345951440799E-2</v>
      </c>
      <c r="AG3908">
        <v>-0.15354400000000001</v>
      </c>
      <c r="AH3908">
        <v>0.420436210296534</v>
      </c>
      <c r="AI3908">
        <v>109.863066016628</v>
      </c>
      <c r="AJ3908">
        <v>81.580832126846502</v>
      </c>
      <c r="AK3908">
        <v>0.45190124353044597</v>
      </c>
    </row>
    <row r="3909" spans="1:37" x14ac:dyDescent="0.2">
      <c r="A3909" t="str">
        <f>"20200111153728375"</f>
        <v>20200111153728375</v>
      </c>
      <c r="B3909" t="str">
        <f>"1578728248367383"</f>
        <v>1578728248367383</v>
      </c>
      <c r="C3909" t="s">
        <v>37</v>
      </c>
      <c r="D3909">
        <v>6.163602</v>
      </c>
      <c r="E3909">
        <v>0.53386659999999997</v>
      </c>
      <c r="F3909" t="s">
        <v>38</v>
      </c>
      <c r="G3909">
        <v>-223.7955</v>
      </c>
      <c r="H3909">
        <v>0.97376369999999901</v>
      </c>
      <c r="I3909">
        <v>141.29329999999999</v>
      </c>
      <c r="J3909">
        <v>-223.36779999999999</v>
      </c>
      <c r="K3909">
        <v>1.102832</v>
      </c>
      <c r="L3909">
        <v>141.24770000000001</v>
      </c>
      <c r="M3909">
        <v>-0.99873279999999998</v>
      </c>
      <c r="N3909">
        <v>0</v>
      </c>
      <c r="O3909">
        <v>-5.0256439999999999E-2</v>
      </c>
      <c r="P3909">
        <v>-0.99713339999999995</v>
      </c>
      <c r="Q3909">
        <v>7.8013839999999997E-3</v>
      </c>
      <c r="R3909">
        <v>-7.526323E-2</v>
      </c>
      <c r="S3909">
        <v>-3.0189059999999999</v>
      </c>
      <c r="T3909">
        <v>-0.47318080000000001</v>
      </c>
      <c r="U3909">
        <v>9.375E-2</v>
      </c>
      <c r="V3909">
        <v>-2.5055999999999998E-2</v>
      </c>
      <c r="W3909">
        <v>1.049053E-2</v>
      </c>
      <c r="X3909">
        <v>0.99963099999999905</v>
      </c>
      <c r="Y3909">
        <v>7.9647789999999996E-2</v>
      </c>
      <c r="Z3909">
        <v>1.402919E-2</v>
      </c>
      <c r="AA3909">
        <v>0.99672439999999995</v>
      </c>
      <c r="AB3909">
        <v>38</v>
      </c>
      <c r="AC3909">
        <v>-0.42770000000001501</v>
      </c>
      <c r="AD3909">
        <v>-0.1290683</v>
      </c>
      <c r="AE3909">
        <v>4.55999999999789E-2</v>
      </c>
      <c r="AF3909">
        <v>6.1499508278071803E-2</v>
      </c>
      <c r="AG3909">
        <v>-0.1290683</v>
      </c>
      <c r="AH3909">
        <v>0.38977148387496102</v>
      </c>
      <c r="AI3909">
        <v>108.11249820354701</v>
      </c>
      <c r="AJ3909">
        <v>81.033591957462605</v>
      </c>
      <c r="AK3909">
        <v>0.415165780412383</v>
      </c>
    </row>
    <row r="3910" spans="1:37" x14ac:dyDescent="0.2">
      <c r="A3910" t="str">
        <f>"20200111153728398"</f>
        <v>20200111153728398</v>
      </c>
      <c r="B3910" t="str">
        <f>"1578728248387410"</f>
        <v>1578728248387410</v>
      </c>
      <c r="C3910" t="s">
        <v>37</v>
      </c>
      <c r="D3910">
        <v>6.1595930000000001</v>
      </c>
      <c r="E3910">
        <v>0.53485179999999999</v>
      </c>
      <c r="F3910" t="s">
        <v>38</v>
      </c>
      <c r="G3910">
        <v>-224.1431</v>
      </c>
      <c r="H3910">
        <v>0.98144030000000004</v>
      </c>
      <c r="I3910">
        <v>141.2654</v>
      </c>
      <c r="J3910">
        <v>-223.77109999999999</v>
      </c>
      <c r="K3910">
        <v>1.102927</v>
      </c>
      <c r="L3910">
        <v>141.22720000000001</v>
      </c>
      <c r="M3910">
        <v>-0.99870899999999996</v>
      </c>
      <c r="N3910">
        <v>0</v>
      </c>
      <c r="O3910">
        <v>-5.0728990000000002E-2</v>
      </c>
      <c r="P3910">
        <v>-0.997067499999999</v>
      </c>
      <c r="Q3910">
        <v>7.473581E-3</v>
      </c>
      <c r="R3910">
        <v>-7.6164399999999993E-2</v>
      </c>
      <c r="S3910">
        <v>-3.0175019999999999</v>
      </c>
      <c r="T3910">
        <v>-0.47246519999999997</v>
      </c>
      <c r="U3910">
        <v>6.8725590000000003E-2</v>
      </c>
      <c r="V3910">
        <v>-2.5488420000000001E-2</v>
      </c>
      <c r="W3910">
        <v>1.016773E-2</v>
      </c>
      <c r="X3910">
        <v>0.99962340000000005</v>
      </c>
      <c r="Y3910">
        <v>7.1962360000000003E-2</v>
      </c>
      <c r="Z3910">
        <v>1.3491319999999999E-2</v>
      </c>
      <c r="AA3910">
        <v>0.99731610000000004</v>
      </c>
      <c r="AB3910">
        <v>38</v>
      </c>
      <c r="AC3910">
        <v>-0.37200000000001399</v>
      </c>
      <c r="AD3910">
        <v>-0.121486699999999</v>
      </c>
      <c r="AE3910">
        <v>3.8199999999989097E-2</v>
      </c>
      <c r="AF3910">
        <v>5.1578485297904403E-2</v>
      </c>
      <c r="AG3910">
        <v>-0.121486699999999</v>
      </c>
      <c r="AH3910">
        <v>0.33430112459311701</v>
      </c>
      <c r="AI3910">
        <v>109.756022850875</v>
      </c>
      <c r="AJ3910">
        <v>81.229136692327202</v>
      </c>
      <c r="AK3910">
        <v>0.35941146382209199</v>
      </c>
    </row>
    <row r="3911" spans="1:37" x14ac:dyDescent="0.2">
      <c r="A3911" t="str">
        <f>"20200111153728419"</f>
        <v>20200111153728419</v>
      </c>
      <c r="B3911" t="str">
        <f>"1578728248406933"</f>
        <v>1578728248406933</v>
      </c>
      <c r="C3911" t="s">
        <v>37</v>
      </c>
      <c r="D3911">
        <v>6.126277</v>
      </c>
      <c r="E3911">
        <v>0.53464719999999999</v>
      </c>
      <c r="F3911" t="s">
        <v>38</v>
      </c>
      <c r="G3911">
        <v>-224.4923</v>
      </c>
      <c r="H3911">
        <v>0.988786099999999</v>
      </c>
      <c r="I3911">
        <v>141.245</v>
      </c>
      <c r="J3911">
        <v>-224.14189999999999</v>
      </c>
      <c r="K3911">
        <v>1.1029929999999999</v>
      </c>
      <c r="L3911">
        <v>141.2081</v>
      </c>
      <c r="M3911">
        <v>-0.99868639999999997</v>
      </c>
      <c r="N3911">
        <v>0</v>
      </c>
      <c r="O3911">
        <v>-5.1168459999999999E-2</v>
      </c>
      <c r="P3911">
        <v>-0.99702950000000001</v>
      </c>
      <c r="Q3911">
        <v>6.6721200000000001E-3</v>
      </c>
      <c r="R3911">
        <v>-7.6732430000000004E-2</v>
      </c>
      <c r="S3911">
        <v>-3.0180820000000002</v>
      </c>
      <c r="T3911">
        <v>-0.4777132</v>
      </c>
      <c r="U3911">
        <v>7.403564E-2</v>
      </c>
      <c r="V3911">
        <v>-2.5619699999999999E-2</v>
      </c>
      <c r="W3911">
        <v>9.3728760000000005E-3</v>
      </c>
      <c r="X3911">
        <v>0.99962779999999996</v>
      </c>
      <c r="Y3911">
        <v>7.4085970000000001E-2</v>
      </c>
      <c r="Z3911">
        <v>1.387264E-2</v>
      </c>
      <c r="AA3911">
        <v>0.99715540000000003</v>
      </c>
      <c r="AB3911">
        <v>39</v>
      </c>
      <c r="AC3911">
        <v>-0.35040000000000698</v>
      </c>
      <c r="AD3911">
        <v>-0.1142069</v>
      </c>
      <c r="AE3911">
        <v>3.6900000000002799E-2</v>
      </c>
      <c r="AF3911">
        <v>4.9572695982569297E-2</v>
      </c>
      <c r="AG3911">
        <v>-0.1142069</v>
      </c>
      <c r="AH3911">
        <v>0.314960839706725</v>
      </c>
      <c r="AI3911">
        <v>109.70737521433099</v>
      </c>
      <c r="AJ3911">
        <v>81.055412236649204</v>
      </c>
      <c r="AK3911">
        <v>0.338675358925558</v>
      </c>
    </row>
    <row r="3912" spans="1:37" x14ac:dyDescent="0.2">
      <c r="A3912" t="str">
        <f>"20200111153728442"</f>
        <v>20200111153728442</v>
      </c>
      <c r="B3912" t="str">
        <f>"1578728248437186"</f>
        <v>1578728248437186</v>
      </c>
      <c r="C3912" t="s">
        <v>37</v>
      </c>
      <c r="D3912">
        <v>6.1422730000000003</v>
      </c>
      <c r="E3912">
        <v>0.53174030000000005</v>
      </c>
      <c r="F3912" t="s">
        <v>38</v>
      </c>
      <c r="G3912">
        <v>-224.84010000000001</v>
      </c>
      <c r="H3912">
        <v>0.9902744</v>
      </c>
      <c r="I3912">
        <v>141.22460000000001</v>
      </c>
      <c r="J3912">
        <v>-224.52440000000001</v>
      </c>
      <c r="K3912">
        <v>1.1030489999999999</v>
      </c>
      <c r="L3912">
        <v>141.1883</v>
      </c>
      <c r="M3912">
        <v>-0.99866319999999997</v>
      </c>
      <c r="N3912">
        <v>0</v>
      </c>
      <c r="O3912">
        <v>-5.162125E-2</v>
      </c>
      <c r="P3912">
        <v>-0.99699020000000005</v>
      </c>
      <c r="Q3912">
        <v>6.5730340000000002E-3</v>
      </c>
      <c r="R3912">
        <v>-7.7253440000000007E-2</v>
      </c>
      <c r="S3912">
        <v>-3.0176539999999998</v>
      </c>
      <c r="T3912">
        <v>-0.48720770000000002</v>
      </c>
      <c r="U3912">
        <v>7.0907590000000006E-2</v>
      </c>
      <c r="V3912">
        <v>-2.5689790000000001E-2</v>
      </c>
      <c r="W3912">
        <v>9.2813280000000001E-3</v>
      </c>
      <c r="X3912">
        <v>0.99962689999999998</v>
      </c>
      <c r="Y3912">
        <v>7.344821E-2</v>
      </c>
      <c r="Z3912">
        <v>1.4168389999999999E-2</v>
      </c>
      <c r="AA3912">
        <v>0.99719840000000004</v>
      </c>
      <c r="AB3912">
        <v>39</v>
      </c>
      <c r="AC3912">
        <v>-0.31569999999999199</v>
      </c>
      <c r="AD3912">
        <v>-0.112774599999999</v>
      </c>
      <c r="AE3912">
        <v>3.6300000000011302E-2</v>
      </c>
      <c r="AF3912">
        <v>4.6670704513945803E-2</v>
      </c>
      <c r="AG3912">
        <v>-0.112774599999999</v>
      </c>
      <c r="AH3912">
        <v>0.278349448852517</v>
      </c>
      <c r="AI3912">
        <v>111.78051376618301</v>
      </c>
      <c r="AJ3912">
        <v>80.481783386035701</v>
      </c>
      <c r="AK3912">
        <v>0.30393203309537498</v>
      </c>
    </row>
    <row r="3913" spans="1:37" x14ac:dyDescent="0.2">
      <c r="A3913" t="str">
        <f>"20200111153728465"</f>
        <v>20200111153728465</v>
      </c>
      <c r="B3913" t="str">
        <f>"1578728248456706"</f>
        <v>1578728248456706</v>
      </c>
      <c r="C3913" t="s">
        <v>37</v>
      </c>
      <c r="D3913">
        <v>6.1487119999999997</v>
      </c>
      <c r="E3913">
        <v>0.53157909999999997</v>
      </c>
      <c r="F3913" t="s">
        <v>38</v>
      </c>
      <c r="G3913">
        <v>-225.50640000000001</v>
      </c>
      <c r="H3913">
        <v>0.92174290000000003</v>
      </c>
      <c r="I3913">
        <v>141.2045</v>
      </c>
      <c r="J3913">
        <v>-224.92959999999999</v>
      </c>
      <c r="K3913">
        <v>1.103113</v>
      </c>
      <c r="L3913">
        <v>141.1671</v>
      </c>
      <c r="M3913">
        <v>-0.99863829999999998</v>
      </c>
      <c r="N3913">
        <v>0</v>
      </c>
      <c r="O3913">
        <v>-5.2099430000000002E-2</v>
      </c>
      <c r="P3913">
        <v>-0.99698449999999905</v>
      </c>
      <c r="Q3913">
        <v>6.880008E-3</v>
      </c>
      <c r="R3913">
        <v>-7.7299220000000002E-2</v>
      </c>
      <c r="S3913">
        <v>-3.016556</v>
      </c>
      <c r="T3913">
        <v>-0.55696210000000002</v>
      </c>
      <c r="U3913">
        <v>4.9331670000000001E-2</v>
      </c>
      <c r="V3913">
        <v>-2.525881E-2</v>
      </c>
      <c r="W3913">
        <v>9.5984099999999999E-3</v>
      </c>
      <c r="X3913">
        <v>0.99963489999999999</v>
      </c>
      <c r="Y3913">
        <v>6.6419370000000005E-2</v>
      </c>
      <c r="Z3913">
        <v>1.5615820000000001E-2</v>
      </c>
      <c r="AA3913">
        <v>0.99766960000000005</v>
      </c>
      <c r="AB3913">
        <v>39</v>
      </c>
      <c r="AC3913">
        <v>-0.57680000000001996</v>
      </c>
      <c r="AD3913">
        <v>-0.18137010000000001</v>
      </c>
      <c r="AE3913">
        <v>3.7399999999990899E-2</v>
      </c>
      <c r="AF3913">
        <v>6.1358884571053603E-2</v>
      </c>
      <c r="AG3913">
        <v>-0.18137010000000001</v>
      </c>
      <c r="AH3913">
        <v>0.52261187404612297</v>
      </c>
      <c r="AI3913">
        <v>109.017945643684</v>
      </c>
      <c r="AJ3913">
        <v>83.303666104264096</v>
      </c>
      <c r="AK3913">
        <v>0.55658170719474298</v>
      </c>
    </row>
    <row r="3914" spans="1:37" x14ac:dyDescent="0.2">
      <c r="A3914" t="str">
        <f>"20200111153728487"</f>
        <v>20200111153728487</v>
      </c>
      <c r="B3914" t="str">
        <f>"1578728248477202"</f>
        <v>1578728248477202</v>
      </c>
      <c r="C3914" t="s">
        <v>37</v>
      </c>
      <c r="D3914">
        <v>6.161848</v>
      </c>
      <c r="E3914">
        <v>0.5315474</v>
      </c>
      <c r="F3914" t="s">
        <v>38</v>
      </c>
      <c r="G3914">
        <v>-225.86269999999999</v>
      </c>
      <c r="H3914">
        <v>0.93231529999999996</v>
      </c>
      <c r="I3914">
        <v>141.18219999999999</v>
      </c>
      <c r="J3914">
        <v>-225.33260000000001</v>
      </c>
      <c r="K3914">
        <v>1.1031610000000001</v>
      </c>
      <c r="L3914">
        <v>141.14580000000001</v>
      </c>
      <c r="M3914">
        <v>-0.99861329999999904</v>
      </c>
      <c r="N3914">
        <v>0</v>
      </c>
      <c r="O3914">
        <v>-5.2573500000000002E-2</v>
      </c>
      <c r="P3914">
        <v>-0.99699119999999997</v>
      </c>
      <c r="Q3914">
        <v>7.7094719999999898E-3</v>
      </c>
      <c r="R3914">
        <v>-7.7131790000000006E-2</v>
      </c>
      <c r="S3914">
        <v>-3.0166019999999998</v>
      </c>
      <c r="T3914">
        <v>-0.55226379999999997</v>
      </c>
      <c r="U3914">
        <v>4.7790529999999998E-2</v>
      </c>
      <c r="V3914">
        <v>-2.4618439999999998E-2</v>
      </c>
      <c r="W3914">
        <v>1.043999E-2</v>
      </c>
      <c r="X3914">
        <v>0.99964240000000004</v>
      </c>
      <c r="Y3914">
        <v>6.6408910000000002E-2</v>
      </c>
      <c r="Z3914">
        <v>1.5571099999999999E-2</v>
      </c>
      <c r="AA3914">
        <v>0.99767099999999898</v>
      </c>
      <c r="AB3914">
        <v>39</v>
      </c>
      <c r="AC3914">
        <v>-0.53009999999997603</v>
      </c>
      <c r="AD3914">
        <v>-0.17084569999999999</v>
      </c>
      <c r="AE3914">
        <v>3.63999999999862E-2</v>
      </c>
      <c r="AF3914">
        <v>5.8201885591926003E-2</v>
      </c>
      <c r="AG3914">
        <v>-0.17084569999999999</v>
      </c>
      <c r="AH3914">
        <v>0.478032706935346</v>
      </c>
      <c r="AI3914">
        <v>109.533334413982</v>
      </c>
      <c r="AJ3914">
        <v>83.058237121496504</v>
      </c>
      <c r="AK3914">
        <v>0.51097062693943596</v>
      </c>
    </row>
    <row r="3915" spans="1:37" x14ac:dyDescent="0.2">
      <c r="A3915" t="str">
        <f>"20200111153728509"</f>
        <v>20200111153728509</v>
      </c>
      <c r="B3915" t="str">
        <f>"1578728248507459"</f>
        <v>1578728248507459</v>
      </c>
      <c r="C3915" t="s">
        <v>37</v>
      </c>
      <c r="D3915">
        <v>6.1726010000000002</v>
      </c>
      <c r="E3915">
        <v>0.53207950000000004</v>
      </c>
      <c r="F3915" t="s">
        <v>38</v>
      </c>
      <c r="G3915">
        <v>-226.22030000000001</v>
      </c>
      <c r="H3915">
        <v>0.94261170000000005</v>
      </c>
      <c r="I3915">
        <v>141.15979999999999</v>
      </c>
      <c r="J3915">
        <v>-225.71950000000001</v>
      </c>
      <c r="K3915">
        <v>1.103202</v>
      </c>
      <c r="L3915">
        <v>141.12520000000001</v>
      </c>
      <c r="M3915">
        <v>-0.99858919999999995</v>
      </c>
      <c r="N3915">
        <v>0</v>
      </c>
      <c r="O3915">
        <v>-5.302954E-2</v>
      </c>
      <c r="P3915">
        <v>-0.99702739999999901</v>
      </c>
      <c r="Q3915">
        <v>8.62542E-3</v>
      </c>
      <c r="R3915">
        <v>-7.6566010000000004E-2</v>
      </c>
      <c r="S3915">
        <v>-3.016953</v>
      </c>
      <c r="T3915">
        <v>-0.54561899999999997</v>
      </c>
      <c r="U3915">
        <v>4.7607419999999998E-2</v>
      </c>
      <c r="V3915">
        <v>-2.359669E-2</v>
      </c>
      <c r="W3915">
        <v>1.136881E-2</v>
      </c>
      <c r="X3915">
        <v>0.99965689999999996</v>
      </c>
      <c r="Y3915">
        <v>6.6835190000000003E-2</v>
      </c>
      <c r="Z3915">
        <v>1.550497E-2</v>
      </c>
      <c r="AA3915">
        <v>0.99764349999999902</v>
      </c>
      <c r="AB3915">
        <v>39</v>
      </c>
      <c r="AC3915">
        <v>-0.50079999999999802</v>
      </c>
      <c r="AD3915">
        <v>-0.16059029999999899</v>
      </c>
      <c r="AE3915">
        <v>3.4599999999983297E-2</v>
      </c>
      <c r="AF3915">
        <v>5.5435396254567601E-2</v>
      </c>
      <c r="AG3915">
        <v>-0.16059029999999899</v>
      </c>
      <c r="AH3915">
        <v>0.45200291157422801</v>
      </c>
      <c r="AI3915">
        <v>109.42487901214599</v>
      </c>
      <c r="AJ3915">
        <v>83.007940167247199</v>
      </c>
      <c r="AK3915">
        <v>0.48287571867258999</v>
      </c>
    </row>
    <row r="3916" spans="1:37" x14ac:dyDescent="0.2">
      <c r="A3916" t="str">
        <f>"20200111153728542"</f>
        <v>20200111153728542</v>
      </c>
      <c r="B3916" t="str">
        <f>"1578728248536739"</f>
        <v>1578728248536739</v>
      </c>
      <c r="C3916" t="s">
        <v>37</v>
      </c>
      <c r="D3916">
        <v>6.0941109999999998</v>
      </c>
      <c r="E3916">
        <v>0.52817169999999902</v>
      </c>
      <c r="F3916" t="s">
        <v>38</v>
      </c>
      <c r="G3916">
        <v>-226.58029999999999</v>
      </c>
      <c r="H3916">
        <v>0.95472299999999999</v>
      </c>
      <c r="I3916">
        <v>141.1403</v>
      </c>
      <c r="J3916">
        <v>-226.29599999999999</v>
      </c>
      <c r="K3916">
        <v>1.1032379999999999</v>
      </c>
      <c r="L3916">
        <v>141.0941</v>
      </c>
      <c r="M3916">
        <v>-0.99855269999999996</v>
      </c>
      <c r="N3916">
        <v>0</v>
      </c>
      <c r="O3916">
        <v>-5.3710559999999997E-2</v>
      </c>
      <c r="P3916">
        <v>-0.99708600000000003</v>
      </c>
      <c r="Q3916">
        <v>1.022926E-2</v>
      </c>
      <c r="R3916">
        <v>-7.5599840000000001E-2</v>
      </c>
      <c r="S3916">
        <v>-3.0174560000000001</v>
      </c>
      <c r="T3916">
        <v>-0.5205708</v>
      </c>
      <c r="U3916">
        <v>5.2398680000000003E-2</v>
      </c>
      <c r="V3916">
        <v>-2.194979E-2</v>
      </c>
      <c r="W3916">
        <v>1.2994230000000001E-2</v>
      </c>
      <c r="X3916">
        <v>0.99967459999999997</v>
      </c>
      <c r="Y3916">
        <v>6.9224809999999998E-2</v>
      </c>
      <c r="Z3916">
        <v>1.512237E-2</v>
      </c>
      <c r="AA3916">
        <v>0.99748649999999905</v>
      </c>
      <c r="AB3916">
        <v>40</v>
      </c>
      <c r="AC3916">
        <v>-0.284300000000001</v>
      </c>
      <c r="AD3916">
        <v>-0.14851499999999901</v>
      </c>
      <c r="AE3916">
        <v>4.6199999999998902E-2</v>
      </c>
      <c r="AF3916">
        <v>4.8506838234582302E-2</v>
      </c>
      <c r="AG3916">
        <v>-0.14851499999999901</v>
      </c>
      <c r="AH3916">
        <v>0.22230442276176399</v>
      </c>
      <c r="AI3916">
        <v>123.132999339394</v>
      </c>
      <c r="AJ3916">
        <v>77.690986537300802</v>
      </c>
      <c r="AK3916">
        <v>0.27171469404498</v>
      </c>
    </row>
    <row r="3917" spans="1:37" x14ac:dyDescent="0.2">
      <c r="A3917" t="str">
        <f>"20200111153728565"</f>
        <v>20200111153728565</v>
      </c>
      <c r="B3917" t="str">
        <f>"1578728248557234"</f>
        <v>1578728248557234</v>
      </c>
      <c r="C3917" t="s">
        <v>37</v>
      </c>
      <c r="D3917">
        <v>6.0794189999999997</v>
      </c>
      <c r="E3917">
        <v>0.52668149999999903</v>
      </c>
      <c r="F3917" t="s">
        <v>38</v>
      </c>
      <c r="G3917">
        <v>-227.32640000000001</v>
      </c>
      <c r="H3917">
        <v>1.0248429999999999</v>
      </c>
      <c r="I3917">
        <v>141.09790000000001</v>
      </c>
      <c r="J3917">
        <v>-226.70410000000001</v>
      </c>
      <c r="K3917">
        <v>1.103253</v>
      </c>
      <c r="L3917">
        <v>141.0719</v>
      </c>
      <c r="M3917">
        <v>-0.99852659999999904</v>
      </c>
      <c r="N3917">
        <v>0</v>
      </c>
      <c r="O3917">
        <v>-5.4195140000000003E-2</v>
      </c>
      <c r="P3917">
        <v>-0.99719230000000003</v>
      </c>
      <c r="Q3917">
        <v>1.006655E-2</v>
      </c>
      <c r="R3917">
        <v>-7.4206460000000002E-2</v>
      </c>
      <c r="S3917">
        <v>-3.0119020000000001</v>
      </c>
      <c r="T3917">
        <v>-0.22923160000000001</v>
      </c>
      <c r="U3917">
        <v>1.031494E-2</v>
      </c>
      <c r="V3917">
        <v>-2.0068329999999999E-2</v>
      </c>
      <c r="W3917">
        <v>1.284833E-2</v>
      </c>
      <c r="X3917">
        <v>0.99971599999999905</v>
      </c>
      <c r="Y3917">
        <v>5.7292360000000001E-2</v>
      </c>
      <c r="Z3917">
        <v>6.2944069999999897E-3</v>
      </c>
      <c r="AA3917">
        <v>0.99833760000000005</v>
      </c>
      <c r="AB3917">
        <v>40</v>
      </c>
      <c r="AC3917">
        <v>-0.62229999999999497</v>
      </c>
      <c r="AD3917">
        <v>-7.8409999999999994E-2</v>
      </c>
      <c r="AE3917">
        <v>2.60000000000104E-2</v>
      </c>
      <c r="AF3917">
        <v>5.8756356355990698E-2</v>
      </c>
      <c r="AG3917">
        <v>-7.8409999999999994E-2</v>
      </c>
      <c r="AH3917">
        <v>0.61030400767683501</v>
      </c>
      <c r="AI3917">
        <v>97.287750414574305</v>
      </c>
      <c r="AJ3917">
        <v>84.500859086044301</v>
      </c>
      <c r="AK3917">
        <v>0.61811925977002102</v>
      </c>
    </row>
    <row r="3918" spans="1:37" x14ac:dyDescent="0.2">
      <c r="A3918" t="str">
        <f>"20200111153728586"</f>
        <v>20200111153728586</v>
      </c>
      <c r="B3918" t="str">
        <f>"1578728248576754"</f>
        <v>1578728248576754</v>
      </c>
      <c r="C3918" t="s">
        <v>37</v>
      </c>
      <c r="D3918">
        <v>6.1210599999999999</v>
      </c>
      <c r="E3918">
        <v>0.52649089999999998</v>
      </c>
      <c r="F3918" t="s">
        <v>38</v>
      </c>
      <c r="G3918">
        <v>-227.6883</v>
      </c>
      <c r="H3918">
        <v>1.032877</v>
      </c>
      <c r="I3918">
        <v>141.07259999999999</v>
      </c>
      <c r="J3918">
        <v>-227.1121</v>
      </c>
      <c r="K3918">
        <v>1.103262</v>
      </c>
      <c r="L3918">
        <v>141.04939999999999</v>
      </c>
      <c r="M3918">
        <v>-0.9984999</v>
      </c>
      <c r="N3918">
        <v>0</v>
      </c>
      <c r="O3918">
        <v>-5.4679459999999999E-2</v>
      </c>
      <c r="P3918">
        <v>-0.99729389999999996</v>
      </c>
      <c r="Q3918">
        <v>1.053114E-2</v>
      </c>
      <c r="R3918">
        <v>-7.2761980000000004E-2</v>
      </c>
      <c r="S3918">
        <v>-3.0107729999999999</v>
      </c>
      <c r="T3918">
        <v>-0.21532299999999999</v>
      </c>
      <c r="U3918">
        <v>1.998901E-3</v>
      </c>
      <c r="V3918">
        <v>-1.813611E-2</v>
      </c>
      <c r="W3918">
        <v>1.333084E-2</v>
      </c>
      <c r="X3918">
        <v>0.99974669999999899</v>
      </c>
      <c r="Y3918">
        <v>5.5062409999999999E-2</v>
      </c>
      <c r="Z3918">
        <v>5.8705750000000003E-3</v>
      </c>
      <c r="AA3918">
        <v>0.99846569999999901</v>
      </c>
      <c r="AB3918">
        <v>40</v>
      </c>
      <c r="AC3918">
        <v>-0.57620000000000005</v>
      </c>
      <c r="AD3918">
        <v>-7.03850000000001E-2</v>
      </c>
      <c r="AE3918">
        <v>2.3200000000002701E-2</v>
      </c>
      <c r="AF3918">
        <v>5.3869213375576402E-2</v>
      </c>
      <c r="AG3918">
        <v>-7.03850000000001E-2</v>
      </c>
      <c r="AH3918">
        <v>0.56564280353346397</v>
      </c>
      <c r="AI3918">
        <v>97.061438181503803</v>
      </c>
      <c r="AJ3918">
        <v>84.559821536329196</v>
      </c>
      <c r="AK3918">
        <v>0.57254495156616303</v>
      </c>
    </row>
    <row r="3919" spans="1:37" x14ac:dyDescent="0.2">
      <c r="A3919" t="str">
        <f>"20200111153728610"</f>
        <v>20200111153728610</v>
      </c>
      <c r="B3919" t="str">
        <f>"1578728248607475"</f>
        <v>1578728248607475</v>
      </c>
      <c r="C3919" t="s">
        <v>37</v>
      </c>
      <c r="D3919">
        <v>6.0436050000000003</v>
      </c>
      <c r="E3919">
        <v>0.52639230000000004</v>
      </c>
      <c r="F3919" t="s">
        <v>38</v>
      </c>
      <c r="G3919">
        <v>-228.05090000000001</v>
      </c>
      <c r="H3919">
        <v>1.038951</v>
      </c>
      <c r="I3919">
        <v>141.05109999999999</v>
      </c>
      <c r="J3919">
        <v>-227.5224</v>
      </c>
      <c r="K3919">
        <v>1.1032690000000001</v>
      </c>
      <c r="L3919">
        <v>141.0266</v>
      </c>
      <c r="M3919">
        <v>-0.99847359999999896</v>
      </c>
      <c r="N3919">
        <v>0</v>
      </c>
      <c r="O3919">
        <v>-5.5160430000000003E-2</v>
      </c>
      <c r="P3919">
        <v>-0.99741080000000004</v>
      </c>
      <c r="Q3919">
        <v>1.131909E-2</v>
      </c>
      <c r="R3919">
        <v>-7.1019830000000006E-2</v>
      </c>
      <c r="S3919">
        <v>-3.01063499999999</v>
      </c>
      <c r="T3919">
        <v>-0.20636179999999901</v>
      </c>
      <c r="U3919">
        <v>4.333496E-3</v>
      </c>
      <c r="V3919">
        <v>-1.59101E-2</v>
      </c>
      <c r="W3919">
        <v>1.413758E-2</v>
      </c>
      <c r="X3919">
        <v>0.99977349999999998</v>
      </c>
      <c r="Y3919">
        <v>5.6336270000000001E-2</v>
      </c>
      <c r="Z3919">
        <v>5.7036099999999996E-3</v>
      </c>
      <c r="AA3919">
        <v>0.99839560000000005</v>
      </c>
      <c r="AB3919">
        <v>40</v>
      </c>
      <c r="AC3919">
        <v>-0.52850000000000796</v>
      </c>
      <c r="AD3919">
        <v>-6.4318000000000097E-2</v>
      </c>
      <c r="AE3919">
        <v>2.4499999999988999E-2</v>
      </c>
      <c r="AF3919">
        <v>5.2834265957509299E-2</v>
      </c>
      <c r="AG3919">
        <v>-6.4318000000000097E-2</v>
      </c>
      <c r="AH3919">
        <v>0.518678411036401</v>
      </c>
      <c r="AI3919">
        <v>97.032774257436103</v>
      </c>
      <c r="AJ3919">
        <v>84.183727405383095</v>
      </c>
      <c r="AK3919">
        <v>0.52531472362624199</v>
      </c>
    </row>
    <row r="3920" spans="1:37" x14ac:dyDescent="0.2">
      <c r="A3920" t="str">
        <f>"20200111153728631"</f>
        <v>20200111153728631</v>
      </c>
      <c r="B3920" t="str">
        <f>"1578728248626995"</f>
        <v>1578728248626995</v>
      </c>
      <c r="C3920" t="s">
        <v>37</v>
      </c>
      <c r="D3920">
        <v>6.0553949999999999</v>
      </c>
      <c r="E3920">
        <v>0.52622400000000003</v>
      </c>
      <c r="F3920" t="s">
        <v>38</v>
      </c>
      <c r="G3920">
        <v>-228.41399999999999</v>
      </c>
      <c r="H3920">
        <v>1.0431820000000001</v>
      </c>
      <c r="I3920">
        <v>141.029</v>
      </c>
      <c r="J3920">
        <v>-227.9066</v>
      </c>
      <c r="K3920">
        <v>1.103267</v>
      </c>
      <c r="L3920">
        <v>141.0051</v>
      </c>
      <c r="M3920">
        <v>-0.998449699999999</v>
      </c>
      <c r="N3920">
        <v>0</v>
      </c>
      <c r="O3920">
        <v>-5.5590319999999999E-2</v>
      </c>
      <c r="P3920">
        <v>-0.99757580000000001</v>
      </c>
      <c r="Q3920">
        <v>1.226931E-2</v>
      </c>
      <c r="R3920">
        <v>-6.8498690000000001E-2</v>
      </c>
      <c r="S3920">
        <v>-3.01065099999999</v>
      </c>
      <c r="T3920">
        <v>-0.20289939999999901</v>
      </c>
      <c r="U3920">
        <v>8.0261229999999996E-3</v>
      </c>
      <c r="V3920">
        <v>-1.2954129999999999E-2</v>
      </c>
      <c r="W3920">
        <v>1.510688E-2</v>
      </c>
      <c r="X3920">
        <v>0.99980199999999997</v>
      </c>
      <c r="Y3920">
        <v>5.7994549999999999E-2</v>
      </c>
      <c r="Z3920">
        <v>5.6928519999999896E-3</v>
      </c>
      <c r="AA3920">
        <v>0.99830069999999904</v>
      </c>
      <c r="AB3920">
        <v>40</v>
      </c>
      <c r="AC3920">
        <v>-0.50740000000001795</v>
      </c>
      <c r="AD3920">
        <v>-6.0084999999999902E-2</v>
      </c>
      <c r="AE3920">
        <v>2.38999999999975E-2</v>
      </c>
      <c r="AF3920">
        <v>5.1351194632734999E-2</v>
      </c>
      <c r="AG3920">
        <v>-6.0084999999999902E-2</v>
      </c>
      <c r="AH3920">
        <v>0.49831452934132198</v>
      </c>
      <c r="AI3920">
        <v>96.839457555329204</v>
      </c>
      <c r="AJ3920">
        <v>84.116451094223095</v>
      </c>
      <c r="AK3920">
        <v>0.50454387576094095</v>
      </c>
    </row>
    <row r="3921" spans="1:37" x14ac:dyDescent="0.2">
      <c r="A3921" t="str">
        <f>"20200111153728655"</f>
        <v>20200111153728655</v>
      </c>
      <c r="B3921" t="str">
        <f>"1578728248647490"</f>
        <v>1578728248647490</v>
      </c>
      <c r="C3921" t="s">
        <v>37</v>
      </c>
      <c r="D3921">
        <v>6.0135160000000001</v>
      </c>
      <c r="E3921">
        <v>0.52596180000000003</v>
      </c>
      <c r="F3921" t="s">
        <v>38</v>
      </c>
      <c r="G3921">
        <v>-228.7784</v>
      </c>
      <c r="H3921">
        <v>1.0470219999999999</v>
      </c>
      <c r="I3921">
        <v>141.00899999999999</v>
      </c>
      <c r="J3921">
        <v>-228.33359999999999</v>
      </c>
      <c r="K3921">
        <v>1.1032379999999999</v>
      </c>
      <c r="L3921">
        <v>140.9811</v>
      </c>
      <c r="M3921">
        <v>-0.99842540000000002</v>
      </c>
      <c r="N3921">
        <v>0</v>
      </c>
      <c r="O3921">
        <v>-5.6025140000000001E-2</v>
      </c>
      <c r="P3921">
        <v>-0.99767890000000004</v>
      </c>
      <c r="Q3921">
        <v>1.218882E-2</v>
      </c>
      <c r="R3921">
        <v>-6.6995929999999995E-2</v>
      </c>
      <c r="S3921">
        <v>-3.0105740000000001</v>
      </c>
      <c r="T3921">
        <v>-0.19428380000000001</v>
      </c>
      <c r="U3921">
        <v>1.300049E-2</v>
      </c>
      <c r="V3921">
        <v>-1.101186E-2</v>
      </c>
      <c r="W3921">
        <v>1.5046810000000001E-2</v>
      </c>
      <c r="X3921">
        <v>0.99982610000000005</v>
      </c>
      <c r="Y3921">
        <v>6.0094830000000002E-2</v>
      </c>
      <c r="Z3921">
        <v>5.547494E-3</v>
      </c>
      <c r="AA3921">
        <v>0.99817719999999899</v>
      </c>
      <c r="AB3921">
        <v>40</v>
      </c>
      <c r="AC3921">
        <v>-0.44480000000001402</v>
      </c>
      <c r="AD3921">
        <v>-5.6216000000000002E-2</v>
      </c>
      <c r="AE3921">
        <v>2.7899999999988202E-2</v>
      </c>
      <c r="AF3921">
        <v>5.19497114232765E-2</v>
      </c>
      <c r="AG3921">
        <v>-5.6216000000000002E-2</v>
      </c>
      <c r="AH3921">
        <v>0.43560751365787498</v>
      </c>
      <c r="AI3921">
        <v>97.302308504155107</v>
      </c>
      <c r="AJ3921">
        <v>83.199136260666194</v>
      </c>
      <c r="AK3921">
        <v>0.44228149082700402</v>
      </c>
    </row>
    <row r="3922" spans="1:37" x14ac:dyDescent="0.2">
      <c r="A3922" t="str">
        <f>"20200111153728685"</f>
        <v>20200111153728685</v>
      </c>
      <c r="B3922" t="str">
        <f>"1578728248676771"</f>
        <v>1578728248676771</v>
      </c>
      <c r="C3922" t="s">
        <v>37</v>
      </c>
      <c r="D3922">
        <v>5.9727969999999999</v>
      </c>
      <c r="E3922">
        <v>0.53267399999999998</v>
      </c>
      <c r="F3922" t="s">
        <v>38</v>
      </c>
      <c r="G3922">
        <v>-229.14490000000001</v>
      </c>
      <c r="H3922">
        <v>1.0511760000000001</v>
      </c>
      <c r="I3922">
        <v>140.9853</v>
      </c>
      <c r="J3922">
        <v>-228.87649999999999</v>
      </c>
      <c r="K3922">
        <v>1.1031690000000001</v>
      </c>
      <c r="L3922">
        <v>140.9503</v>
      </c>
      <c r="M3922">
        <v>-0.99839959999999905</v>
      </c>
      <c r="N3922">
        <v>0</v>
      </c>
      <c r="O3922">
        <v>-5.6480570000000001E-2</v>
      </c>
      <c r="P3922">
        <v>-0.99776139999999902</v>
      </c>
      <c r="Q3922">
        <v>1.0755010000000001E-2</v>
      </c>
      <c r="R3922">
        <v>-6.600615E-2</v>
      </c>
      <c r="S3922">
        <v>-3.0103610000000001</v>
      </c>
      <c r="T3922">
        <v>-0.19327079999999999</v>
      </c>
      <c r="U3922">
        <v>1.5090940000000001E-2</v>
      </c>
      <c r="V3922">
        <v>-9.5598530000000001E-3</v>
      </c>
      <c r="W3922">
        <v>1.3638849999999999E-2</v>
      </c>
      <c r="X3922">
        <v>0.99986129999999995</v>
      </c>
      <c r="Y3922">
        <v>6.1242749999999999E-2</v>
      </c>
      <c r="Z3922">
        <v>5.5850179999999998E-3</v>
      </c>
      <c r="AA3922">
        <v>0.99810730000000003</v>
      </c>
      <c r="AB3922">
        <v>41</v>
      </c>
      <c r="AC3922">
        <v>-0.26840000000001302</v>
      </c>
      <c r="AD3922">
        <v>-5.19929999999999E-2</v>
      </c>
      <c r="AE3922">
        <v>3.4999999999996499E-2</v>
      </c>
      <c r="AF3922">
        <v>4.8320645316578398E-2</v>
      </c>
      <c r="AG3922">
        <v>-5.19929999999999E-2</v>
      </c>
      <c r="AH3922">
        <v>0.25652932583640797</v>
      </c>
      <c r="AI3922">
        <v>101.26452585611899</v>
      </c>
      <c r="AJ3922">
        <v>79.332582679847803</v>
      </c>
      <c r="AK3922">
        <v>0.26616808942262898</v>
      </c>
    </row>
    <row r="3923" spans="1:37" x14ac:dyDescent="0.2">
      <c r="A3923" t="str">
        <f>"20200111153728701"</f>
        <v>20200111153728701</v>
      </c>
      <c r="B3923" t="str">
        <f>"1578728248696799"</f>
        <v>1578728248696799</v>
      </c>
      <c r="C3923" t="s">
        <v>37</v>
      </c>
      <c r="D3923">
        <v>6.039517</v>
      </c>
      <c r="E3923">
        <v>0.5315626</v>
      </c>
      <c r="F3923" t="s">
        <v>39</v>
      </c>
      <c r="G3923">
        <v>-258.73939999999999</v>
      </c>
      <c r="H3923" s="1">
        <v>-1.0572199999999999E-6</v>
      </c>
      <c r="I3923">
        <v>141.62360000000001</v>
      </c>
      <c r="J3923">
        <v>-229.19130000000001</v>
      </c>
      <c r="K3923">
        <v>1.103113</v>
      </c>
      <c r="L3923">
        <v>140.9324</v>
      </c>
      <c r="M3923">
        <v>-0.99838760000000004</v>
      </c>
      <c r="N3923">
        <v>0</v>
      </c>
      <c r="O3923">
        <v>-5.6690940000000002E-2</v>
      </c>
      <c r="P3923">
        <v>-0.99788779999999999</v>
      </c>
      <c r="Q3923">
        <v>8.4977539999999997E-3</v>
      </c>
      <c r="R3923">
        <v>-6.4404450000000002E-2</v>
      </c>
      <c r="S3923">
        <v>-3.01240499999999</v>
      </c>
      <c r="T3923">
        <v>-0.111281899999999</v>
      </c>
      <c r="U3923">
        <v>6.7932129999999993E-2</v>
      </c>
      <c r="V3923">
        <v>-7.7397439999999998E-3</v>
      </c>
      <c r="W3923">
        <v>1.139694E-2</v>
      </c>
      <c r="X3923">
        <v>0.99990509999999999</v>
      </c>
      <c r="Y3923">
        <v>7.9092999999999997E-2</v>
      </c>
      <c r="Z3923">
        <v>3.552964E-3</v>
      </c>
      <c r="AA3923">
        <v>0.99686090000000005</v>
      </c>
      <c r="AB3923">
        <v>41</v>
      </c>
      <c r="AC3923">
        <v>-29.548099999999899</v>
      </c>
      <c r="AD3923">
        <v>-1.10311405722</v>
      </c>
      <c r="AE3923">
        <v>0.69120000000000903</v>
      </c>
      <c r="AF3923">
        <v>2.3619148388048101</v>
      </c>
      <c r="AG3923">
        <v>-1.10311405722</v>
      </c>
      <c r="AH3923">
        <v>29.4204127069669</v>
      </c>
      <c r="AI3923">
        <v>92.140410868678302</v>
      </c>
      <c r="AJ3923">
        <v>85.410052951138297</v>
      </c>
      <c r="AK3923">
        <v>29.535676497708</v>
      </c>
    </row>
    <row r="3924" spans="1:37" x14ac:dyDescent="0.2">
      <c r="A3924" t="str">
        <f>"20200111153728721"</f>
        <v>20200111153728721</v>
      </c>
      <c r="B3924" t="str">
        <f>"1578728248717295"</f>
        <v>1578728248717295</v>
      </c>
      <c r="C3924" t="s">
        <v>37</v>
      </c>
      <c r="D3924">
        <v>6.0009139999999999</v>
      </c>
      <c r="E3924">
        <v>0.53100709999999995</v>
      </c>
      <c r="F3924" t="s">
        <v>38</v>
      </c>
      <c r="G3924">
        <v>-230.2628</v>
      </c>
      <c r="H3924">
        <v>1.059428</v>
      </c>
      <c r="I3924">
        <v>140.95519999999999</v>
      </c>
      <c r="J3924">
        <v>-229.54259999999999</v>
      </c>
      <c r="K3924">
        <v>1.1030530000000001</v>
      </c>
      <c r="L3924">
        <v>140.91229999999999</v>
      </c>
      <c r="M3924">
        <v>-0.99837699999999996</v>
      </c>
      <c r="N3924">
        <v>0</v>
      </c>
      <c r="O3924">
        <v>-5.6877690000000002E-2</v>
      </c>
      <c r="P3924">
        <v>-0.99802039999999903</v>
      </c>
      <c r="Q3924">
        <v>7.2098409999999998E-3</v>
      </c>
      <c r="R3924">
        <v>-6.2478739999999998E-2</v>
      </c>
      <c r="S3924">
        <v>-3.01152</v>
      </c>
      <c r="T3924">
        <v>-0.1228356</v>
      </c>
      <c r="U3924">
        <v>6.3735959999999994E-2</v>
      </c>
      <c r="V3924">
        <v>-5.6199869999999999E-3</v>
      </c>
      <c r="W3924">
        <v>1.0126720000000001E-2</v>
      </c>
      <c r="X3924">
        <v>0.99993290000000001</v>
      </c>
      <c r="Y3924">
        <v>7.7878249999999996E-2</v>
      </c>
      <c r="Z3924">
        <v>3.90559E-3</v>
      </c>
      <c r="AA3924">
        <v>0.99695519999999904</v>
      </c>
      <c r="AB3924">
        <v>41</v>
      </c>
      <c r="AC3924">
        <v>-0.72020000000000495</v>
      </c>
      <c r="AD3924">
        <v>-4.3624999999999997E-2</v>
      </c>
      <c r="AE3924">
        <v>4.2900000000002998E-2</v>
      </c>
      <c r="AF3924">
        <v>8.3488783936379901E-2</v>
      </c>
      <c r="AG3924">
        <v>-4.3624999999999997E-2</v>
      </c>
      <c r="AH3924">
        <v>0.71398358876562595</v>
      </c>
      <c r="AI3924">
        <v>93.472869645687993</v>
      </c>
      <c r="AJ3924">
        <v>83.330477728580902</v>
      </c>
      <c r="AK3924">
        <v>0.72017087048478901</v>
      </c>
    </row>
    <row r="3925" spans="1:37" x14ac:dyDescent="0.2">
      <c r="A3925" t="str">
        <f>"20200111153728742"</f>
        <v>20200111153728742</v>
      </c>
      <c r="B3925" t="str">
        <f>"1578728248736815"</f>
        <v>1578728248736815</v>
      </c>
      <c r="C3925" t="s">
        <v>37</v>
      </c>
      <c r="D3925">
        <v>6.0241239999999996</v>
      </c>
      <c r="E3925">
        <v>0.53032749999999995</v>
      </c>
      <c r="F3925" t="s">
        <v>38</v>
      </c>
      <c r="G3925">
        <v>-230.61609999999999</v>
      </c>
      <c r="H3925">
        <v>1.0507029999999999</v>
      </c>
      <c r="I3925">
        <v>140.9359</v>
      </c>
      <c r="J3925">
        <v>-229.9453</v>
      </c>
      <c r="K3925">
        <v>1.102983</v>
      </c>
      <c r="L3925">
        <v>140.88929999999999</v>
      </c>
      <c r="M3925">
        <v>-0.99836809999999998</v>
      </c>
      <c r="N3925">
        <v>0</v>
      </c>
      <c r="O3925">
        <v>-5.7032470000000002E-2</v>
      </c>
      <c r="P3925">
        <v>-0.99814340000000001</v>
      </c>
      <c r="Q3925">
        <v>6.8543199999999997E-3</v>
      </c>
      <c r="R3925">
        <v>-6.0523159999999999E-2</v>
      </c>
      <c r="S3925">
        <v>-3.0111240000000001</v>
      </c>
      <c r="T3925">
        <v>-0.1468747</v>
      </c>
      <c r="U3925">
        <v>6.5719600000000003E-2</v>
      </c>
      <c r="V3925">
        <v>-3.503927E-3</v>
      </c>
      <c r="W3925">
        <v>9.790567E-3</v>
      </c>
      <c r="X3925">
        <v>0.99994590000000005</v>
      </c>
      <c r="Y3925">
        <v>7.8642809999999994E-2</v>
      </c>
      <c r="Z3925">
        <v>4.6958490000000002E-3</v>
      </c>
      <c r="AA3925">
        <v>0.99689179999999999</v>
      </c>
      <c r="AB3925">
        <v>41</v>
      </c>
      <c r="AC3925">
        <v>-0.67079999999998496</v>
      </c>
      <c r="AD3925">
        <v>-5.2279999999999799E-2</v>
      </c>
      <c r="AE3925">
        <v>4.6600000000012097E-2</v>
      </c>
      <c r="AF3925">
        <v>8.4272268486376006E-2</v>
      </c>
      <c r="AG3925">
        <v>-5.2279999999999799E-2</v>
      </c>
      <c r="AH3925">
        <v>0.66304234990728905</v>
      </c>
      <c r="AI3925">
        <v>94.472535042711399</v>
      </c>
      <c r="AJ3925">
        <v>82.756579611597999</v>
      </c>
      <c r="AK3925">
        <v>0.67041790802932799</v>
      </c>
    </row>
    <row r="3926" spans="1:37" x14ac:dyDescent="0.2">
      <c r="A3926" t="str">
        <f>"20200111153728766"</f>
        <v>20200111153728766</v>
      </c>
      <c r="B3926" t="str">
        <f>"1578728248757310"</f>
        <v>1578728248757310</v>
      </c>
      <c r="C3926" t="s">
        <v>37</v>
      </c>
      <c r="D3926">
        <v>6.0672579999999998</v>
      </c>
      <c r="E3926">
        <v>0.52979030000000005</v>
      </c>
      <c r="F3926" t="s">
        <v>38</v>
      </c>
      <c r="G3926">
        <v>-230.98500000000001</v>
      </c>
      <c r="H3926">
        <v>1.047625</v>
      </c>
      <c r="I3926">
        <v>140.91249999999999</v>
      </c>
      <c r="J3926">
        <v>-230.38640000000001</v>
      </c>
      <c r="K3926">
        <v>1.102927</v>
      </c>
      <c r="L3926">
        <v>140.864</v>
      </c>
      <c r="M3926">
        <v>-0.99836159999999996</v>
      </c>
      <c r="N3926">
        <v>0</v>
      </c>
      <c r="O3926">
        <v>-5.7144590000000002E-2</v>
      </c>
      <c r="P3926">
        <v>-0.99820549999999997</v>
      </c>
      <c r="Q3926">
        <v>6.4579659999999999E-3</v>
      </c>
      <c r="R3926">
        <v>-5.95341E-2</v>
      </c>
      <c r="S3926">
        <v>-3.0106959999999998</v>
      </c>
      <c r="T3926">
        <v>-0.16041250000000001</v>
      </c>
      <c r="U3926">
        <v>6.6238399999999906E-2</v>
      </c>
      <c r="V3926">
        <v>-2.3996379999999999E-3</v>
      </c>
      <c r="W3926">
        <v>9.4153129999999998E-3</v>
      </c>
      <c r="X3926">
        <v>0.99995279999999998</v>
      </c>
      <c r="Y3926">
        <v>7.8897889999999998E-2</v>
      </c>
      <c r="Z3926">
        <v>5.1415669999999997E-3</v>
      </c>
      <c r="AA3926">
        <v>0.99686939999999902</v>
      </c>
      <c r="AB3926">
        <v>41</v>
      </c>
      <c r="AC3926">
        <v>-0.59860000000000402</v>
      </c>
      <c r="AD3926">
        <v>-5.53019999999999E-2</v>
      </c>
      <c r="AE3926">
        <v>4.8499999999989898E-2</v>
      </c>
      <c r="AF3926">
        <v>8.1932900767545197E-2</v>
      </c>
      <c r="AG3926">
        <v>-5.53019999999999E-2</v>
      </c>
      <c r="AH3926">
        <v>0.58984872230776197</v>
      </c>
      <c r="AI3926">
        <v>95.3055349720387</v>
      </c>
      <c r="AJ3926">
        <v>82.091935101210296</v>
      </c>
      <c r="AK3926">
        <v>0.598074265154657</v>
      </c>
    </row>
    <row r="3927" spans="1:37" x14ac:dyDescent="0.2">
      <c r="A3927" t="str">
        <f>"20200111153728788"</f>
        <v>20200111153728788</v>
      </c>
      <c r="B3927" t="str">
        <f>"1578728248776833"</f>
        <v>1578728248776833</v>
      </c>
      <c r="C3927" t="s">
        <v>37</v>
      </c>
      <c r="D3927">
        <v>6.0858040000000004</v>
      </c>
      <c r="E3927">
        <v>0.52978669999999894</v>
      </c>
      <c r="F3927" t="s">
        <v>38</v>
      </c>
      <c r="G3927">
        <v>-231.35749999999999</v>
      </c>
      <c r="H3927">
        <v>1.048802</v>
      </c>
      <c r="I3927">
        <v>140.8852</v>
      </c>
      <c r="J3927">
        <v>-230.78819999999999</v>
      </c>
      <c r="K3927">
        <v>1.102884</v>
      </c>
      <c r="L3927">
        <v>140.84100000000001</v>
      </c>
      <c r="M3927">
        <v>-0.99835810000000003</v>
      </c>
      <c r="N3927">
        <v>0</v>
      </c>
      <c r="O3927">
        <v>-5.7203810000000001E-2</v>
      </c>
      <c r="P3927">
        <v>-0.99816319999999903</v>
      </c>
      <c r="Q3927">
        <v>6.3431490000000002E-3</v>
      </c>
      <c r="R3927">
        <v>-6.0251150000000003E-2</v>
      </c>
      <c r="S3927">
        <v>-3.0103759999999999</v>
      </c>
      <c r="T3927">
        <v>-0.16781209999999999</v>
      </c>
      <c r="U3927">
        <v>6.5399170000000006E-2</v>
      </c>
      <c r="V3927">
        <v>-3.0576449999999999E-3</v>
      </c>
      <c r="W3927">
        <v>9.3185190000000008E-3</v>
      </c>
      <c r="X3927">
        <v>0.9999519</v>
      </c>
      <c r="Y3927">
        <v>7.8663640000000007E-2</v>
      </c>
      <c r="Z3927">
        <v>5.3757329999999997E-3</v>
      </c>
      <c r="AA3927">
        <v>0.99688670000000001</v>
      </c>
      <c r="AB3927">
        <v>42</v>
      </c>
      <c r="AC3927">
        <v>-0.56929999999999803</v>
      </c>
      <c r="AD3927">
        <v>-5.4081999999999901E-2</v>
      </c>
      <c r="AE3927">
        <v>4.4199999999989303E-2</v>
      </c>
      <c r="AF3927">
        <v>7.6012035176103498E-2</v>
      </c>
      <c r="AG3927">
        <v>-5.4081999999999901E-2</v>
      </c>
      <c r="AH3927">
        <v>0.56080866244138505</v>
      </c>
      <c r="AI3927">
        <v>95.458720101672796</v>
      </c>
      <c r="AJ3927">
        <v>82.281165554766901</v>
      </c>
      <c r="AK3927">
        <v>0.56851477384928895</v>
      </c>
    </row>
    <row r="3928" spans="1:37" x14ac:dyDescent="0.2">
      <c r="A3928" t="str">
        <f>"20200111153728809"</f>
        <v>20200111153728809</v>
      </c>
      <c r="B3928" t="str">
        <f>"1578728248797326"</f>
        <v>1578728248797326</v>
      </c>
      <c r="C3928" t="s">
        <v>37</v>
      </c>
      <c r="D3928">
        <v>6.1095800000000002</v>
      </c>
      <c r="E3928">
        <v>0.52874489999999996</v>
      </c>
      <c r="F3928" t="s">
        <v>38</v>
      </c>
      <c r="G3928">
        <v>-231.73179999999999</v>
      </c>
      <c r="H3928">
        <v>1.0503819999999999</v>
      </c>
      <c r="I3928">
        <v>140.86109999999999</v>
      </c>
      <c r="J3928">
        <v>-231.1857</v>
      </c>
      <c r="K3928">
        <v>1.1028450000000001</v>
      </c>
      <c r="L3928">
        <v>140.81819999999999</v>
      </c>
      <c r="M3928">
        <v>-0.99835799999999997</v>
      </c>
      <c r="N3928">
        <v>0</v>
      </c>
      <c r="O3928">
        <v>-5.720592E-2</v>
      </c>
      <c r="P3928">
        <v>-0.99808569999999996</v>
      </c>
      <c r="Q3928">
        <v>7.205464E-3</v>
      </c>
      <c r="R3928">
        <v>-6.142777E-2</v>
      </c>
      <c r="S3928">
        <v>-3.010437</v>
      </c>
      <c r="T3928">
        <v>-0.1675112</v>
      </c>
      <c r="U3928">
        <v>6.376648E-2</v>
      </c>
      <c r="V3928">
        <v>-4.2339070000000003E-3</v>
      </c>
      <c r="W3928">
        <v>1.0198240000000001E-2</v>
      </c>
      <c r="X3928">
        <v>0.99993899999999902</v>
      </c>
      <c r="Y3928">
        <v>7.8126490000000007E-2</v>
      </c>
      <c r="Z3928">
        <v>5.3512029999999997E-3</v>
      </c>
      <c r="AA3928">
        <v>0.99692909999999901</v>
      </c>
      <c r="AB3928">
        <v>42</v>
      </c>
      <c r="AC3928">
        <v>-0.54609999999999503</v>
      </c>
      <c r="AD3928">
        <v>-5.24630000000001E-2</v>
      </c>
      <c r="AE3928">
        <v>4.2900000000002998E-2</v>
      </c>
      <c r="AF3928">
        <v>7.3396800827983805E-2</v>
      </c>
      <c r="AG3928">
        <v>-5.24630000000001E-2</v>
      </c>
      <c r="AH3928">
        <v>0.53781838918576796</v>
      </c>
      <c r="AI3928">
        <v>95.520598609611099</v>
      </c>
      <c r="AJ3928">
        <v>82.228775280743506</v>
      </c>
      <c r="AK3928">
        <v>0.54533299596407803</v>
      </c>
    </row>
    <row r="3929" spans="1:37" x14ac:dyDescent="0.2">
      <c r="A3929" t="str">
        <f>"20200111153728833"</f>
        <v>20200111153728833</v>
      </c>
      <c r="B3929" t="str">
        <f>"1578728248826607"</f>
        <v>1578728248826607</v>
      </c>
      <c r="C3929" t="s">
        <v>37</v>
      </c>
      <c r="D3929">
        <v>6.1141899999999998</v>
      </c>
      <c r="E3929">
        <v>0.52815029999999996</v>
      </c>
      <c r="F3929" t="s">
        <v>38</v>
      </c>
      <c r="G3929">
        <v>-232.10659999999999</v>
      </c>
      <c r="H3929">
        <v>1.050281</v>
      </c>
      <c r="I3929">
        <v>140.83439999999999</v>
      </c>
      <c r="J3929">
        <v>-231.61519999999999</v>
      </c>
      <c r="K3929">
        <v>1.1027799999999901</v>
      </c>
      <c r="L3929">
        <v>140.7936</v>
      </c>
      <c r="M3929">
        <v>-0.99836360000000002</v>
      </c>
      <c r="N3929">
        <v>0</v>
      </c>
      <c r="O3929">
        <v>-5.7107909999999998E-2</v>
      </c>
      <c r="P3929">
        <v>-0.99800580000000005</v>
      </c>
      <c r="Q3929">
        <v>9.0612139999999997E-3</v>
      </c>
      <c r="R3929">
        <v>-6.2471020000000002E-2</v>
      </c>
      <c r="S3929">
        <v>-3.0102389999999999</v>
      </c>
      <c r="T3929">
        <v>-0.171815299999999</v>
      </c>
      <c r="U3929">
        <v>5.2780149999999998E-2</v>
      </c>
      <c r="V3929">
        <v>-5.3767009999999898E-3</v>
      </c>
      <c r="W3929">
        <v>1.2074E-2</v>
      </c>
      <c r="X3929">
        <v>0.99991269999999999</v>
      </c>
      <c r="Y3929">
        <v>7.4387700000000001E-2</v>
      </c>
      <c r="Z3929">
        <v>5.3767600000000004E-3</v>
      </c>
      <c r="AA3929">
        <v>0.99721489999999902</v>
      </c>
      <c r="AB3929">
        <v>42</v>
      </c>
      <c r="AC3929">
        <v>-0.49139999999999801</v>
      </c>
      <c r="AD3929">
        <v>-5.2498999999999803E-2</v>
      </c>
      <c r="AE3929">
        <v>4.0799999999990101E-2</v>
      </c>
      <c r="AF3929">
        <v>6.8025251363145106E-2</v>
      </c>
      <c r="AG3929">
        <v>-5.2498999999999803E-2</v>
      </c>
      <c r="AH3929">
        <v>0.48279520171534501</v>
      </c>
      <c r="AI3929">
        <v>96.145708991472404</v>
      </c>
      <c r="AJ3929">
        <v>81.979889888159903</v>
      </c>
      <c r="AK3929">
        <v>0.49038228620473201</v>
      </c>
    </row>
    <row r="3930" spans="1:37" x14ac:dyDescent="0.2">
      <c r="A3930" t="str">
        <f>"20200111153728855"</f>
        <v>20200111153728855</v>
      </c>
      <c r="B3930" t="str">
        <f>"1578728248847102"</f>
        <v>1578728248847102</v>
      </c>
      <c r="C3930" t="s">
        <v>37</v>
      </c>
      <c r="D3930">
        <v>6.1009399999999996</v>
      </c>
      <c r="E3930">
        <v>0.52800179999999997</v>
      </c>
      <c r="F3930" t="s">
        <v>38</v>
      </c>
      <c r="G3930">
        <v>-232.4864</v>
      </c>
      <c r="H3930">
        <v>1.054263</v>
      </c>
      <c r="I3930">
        <v>140.80690000000001</v>
      </c>
      <c r="J3930">
        <v>-232.05629999999999</v>
      </c>
      <c r="K3930">
        <v>1.1026849999999999</v>
      </c>
      <c r="L3930">
        <v>140.76859999999999</v>
      </c>
      <c r="M3930">
        <v>-0.99837739999999997</v>
      </c>
      <c r="N3930">
        <v>0</v>
      </c>
      <c r="O3930">
        <v>-5.6863990000000003E-2</v>
      </c>
      <c r="P3930">
        <v>-0.99793639999999995</v>
      </c>
      <c r="Q3930">
        <v>1.1291900000000001E-2</v>
      </c>
      <c r="R3930">
        <v>-6.3211050000000005E-2</v>
      </c>
      <c r="S3930">
        <v>-3.01032999999999</v>
      </c>
      <c r="T3930">
        <v>-0.16767470000000001</v>
      </c>
      <c r="U3930">
        <v>4.5227049999999998E-2</v>
      </c>
      <c r="V3930">
        <v>-6.3601369999999897E-3</v>
      </c>
      <c r="W3930">
        <v>1.432638E-2</v>
      </c>
      <c r="X3930">
        <v>0.99987719999999902</v>
      </c>
      <c r="Y3930">
        <v>7.1656639999999994E-2</v>
      </c>
      <c r="Z3930">
        <v>5.1577209999999997E-3</v>
      </c>
      <c r="AA3930">
        <v>0.99741599999999997</v>
      </c>
      <c r="AB3930">
        <v>42</v>
      </c>
      <c r="AC3930">
        <v>-0.43010000000000997</v>
      </c>
      <c r="AD3930">
        <v>-4.8422000000000097E-2</v>
      </c>
      <c r="AE3930">
        <v>3.8300000000020797E-2</v>
      </c>
      <c r="AF3930">
        <v>6.1916722649084099E-2</v>
      </c>
      <c r="AG3930">
        <v>-4.8422000000000097E-2</v>
      </c>
      <c r="AH3930">
        <v>0.42192041222850202</v>
      </c>
      <c r="AI3930">
        <v>96.478163572059998</v>
      </c>
      <c r="AJ3930">
        <v>81.651447375823906</v>
      </c>
      <c r="AK3930">
        <v>0.42917968833889703</v>
      </c>
    </row>
    <row r="3931" spans="1:37" x14ac:dyDescent="0.2">
      <c r="A3931" t="str">
        <f>"20200111153728878"</f>
        <v>20200111153728878</v>
      </c>
      <c r="B3931" t="str">
        <f>"1578728248866622"</f>
        <v>1578728248866622</v>
      </c>
      <c r="C3931" t="s">
        <v>37</v>
      </c>
      <c r="D3931">
        <v>6.0286689999999998</v>
      </c>
      <c r="E3931">
        <v>0.52767589999999998</v>
      </c>
      <c r="F3931" t="s">
        <v>38</v>
      </c>
      <c r="G3931">
        <v>-232.86940000000001</v>
      </c>
      <c r="H3931">
        <v>1.05898799999999</v>
      </c>
      <c r="I3931">
        <v>140.78</v>
      </c>
      <c r="J3931">
        <v>-232.4803</v>
      </c>
      <c r="K3931">
        <v>1.1025559999999901</v>
      </c>
      <c r="L3931">
        <v>140.74459999999999</v>
      </c>
      <c r="M3931">
        <v>-0.99840049999999902</v>
      </c>
      <c r="N3931">
        <v>0</v>
      </c>
      <c r="O3931">
        <v>-5.6456220000000001E-2</v>
      </c>
      <c r="P3931">
        <v>-0.99787709999999996</v>
      </c>
      <c r="Q3931">
        <v>1.329983E-2</v>
      </c>
      <c r="R3931">
        <v>-6.3752980000000001E-2</v>
      </c>
      <c r="S3931">
        <v>-3.0106660000000001</v>
      </c>
      <c r="T3931">
        <v>-0.1618406</v>
      </c>
      <c r="U3931">
        <v>4.1534420000000002E-2</v>
      </c>
      <c r="V3931">
        <v>-7.3072650000000003E-3</v>
      </c>
      <c r="W3931">
        <v>1.6357469999999999E-2</v>
      </c>
      <c r="X3931">
        <v>0.99983949999999999</v>
      </c>
      <c r="Y3931">
        <v>7.0040989999999997E-2</v>
      </c>
      <c r="Z3931">
        <v>4.9127179999999999E-3</v>
      </c>
      <c r="AA3931">
        <v>0.99753199999999997</v>
      </c>
      <c r="AB3931">
        <v>42</v>
      </c>
      <c r="AC3931">
        <v>-0.38910000000001299</v>
      </c>
      <c r="AD3931">
        <v>-4.3568000000000003E-2</v>
      </c>
      <c r="AE3931">
        <v>3.5400000000009799E-2</v>
      </c>
      <c r="AF3931">
        <v>5.6606869299082402E-2</v>
      </c>
      <c r="AG3931">
        <v>-4.3568000000000003E-2</v>
      </c>
      <c r="AH3931">
        <v>0.38173412768784498</v>
      </c>
      <c r="AI3931">
        <v>96.441262685815502</v>
      </c>
      <c r="AJ3931">
        <v>81.565149335228796</v>
      </c>
      <c r="AK3931">
        <v>0.38835995225749498</v>
      </c>
    </row>
    <row r="3932" spans="1:37" x14ac:dyDescent="0.2">
      <c r="A3932" t="str">
        <f>"20200111153728900"</f>
        <v>20200111153728900</v>
      </c>
      <c r="B3932" t="str">
        <f>"1578728248896878"</f>
        <v>1578728248896878</v>
      </c>
      <c r="C3932" t="s">
        <v>37</v>
      </c>
      <c r="D3932">
        <v>6.1605030000000003</v>
      </c>
      <c r="E3932">
        <v>0.52632299999999999</v>
      </c>
      <c r="F3932" t="s">
        <v>39</v>
      </c>
      <c r="G3932">
        <v>-253.28710000000001</v>
      </c>
      <c r="H3932" s="1">
        <v>-3.2310519999999998E-6</v>
      </c>
      <c r="I3932">
        <v>141.00280000000001</v>
      </c>
      <c r="J3932">
        <v>-232.90780000000001</v>
      </c>
      <c r="K3932">
        <v>1.1023849999999999</v>
      </c>
      <c r="L3932">
        <v>140.7208</v>
      </c>
      <c r="M3932">
        <v>-0.99843530000000003</v>
      </c>
      <c r="N3932">
        <v>0</v>
      </c>
      <c r="O3932">
        <v>-5.5835389999999999E-2</v>
      </c>
      <c r="P3932">
        <v>-0.99784030000000001</v>
      </c>
      <c r="Q3932">
        <v>1.507709E-2</v>
      </c>
      <c r="R3932">
        <v>-6.3934050000000006E-2</v>
      </c>
      <c r="S3932">
        <v>-3.0108950000000001</v>
      </c>
      <c r="T3932">
        <v>-0.15954869999999999</v>
      </c>
      <c r="U3932">
        <v>3.7368770000000003E-2</v>
      </c>
      <c r="V3932">
        <v>-8.1036770000000001E-3</v>
      </c>
      <c r="W3932">
        <v>1.816013E-2</v>
      </c>
      <c r="X3932">
        <v>0.99980219999999898</v>
      </c>
      <c r="Y3932">
        <v>6.804847E-2</v>
      </c>
      <c r="Z3932">
        <v>4.7572980000000001E-3</v>
      </c>
      <c r="AA3932">
        <v>0.99767070000000002</v>
      </c>
      <c r="AB3932">
        <v>42</v>
      </c>
      <c r="AC3932">
        <v>-20.379300000000001</v>
      </c>
      <c r="AD3932">
        <v>-1.1023882310519999</v>
      </c>
      <c r="AE3932">
        <v>0.28200000000001002</v>
      </c>
      <c r="AF3932">
        <v>1.4153109992556301</v>
      </c>
      <c r="AG3932">
        <v>-1.1023882310519999</v>
      </c>
      <c r="AH3932">
        <v>20.272454022556801</v>
      </c>
      <c r="AI3932">
        <v>93.105057178822705</v>
      </c>
      <c r="AJ3932">
        <v>86.006404418813901</v>
      </c>
      <c r="AK3932">
        <v>20.351677010341302</v>
      </c>
    </row>
    <row r="3933" spans="1:37" x14ac:dyDescent="0.2">
      <c r="A3933" t="str">
        <f>"20200111153728921"</f>
        <v>20200111153728921</v>
      </c>
      <c r="B3933" t="str">
        <f>"1578728248917375"</f>
        <v>1578728248917375</v>
      </c>
      <c r="C3933" t="s">
        <v>37</v>
      </c>
      <c r="D3933">
        <v>6.1699359999999999</v>
      </c>
      <c r="E3933">
        <v>0.52589449999999904</v>
      </c>
      <c r="F3933" t="s">
        <v>38</v>
      </c>
      <c r="G3933">
        <v>-234.00040000000001</v>
      </c>
      <c r="H3933">
        <v>1.0432379999999899</v>
      </c>
      <c r="I3933">
        <v>140.73050000000001</v>
      </c>
      <c r="J3933">
        <v>-233.30869999999999</v>
      </c>
      <c r="K3933">
        <v>1.1021920000000001</v>
      </c>
      <c r="L3933">
        <v>140.69890000000001</v>
      </c>
      <c r="M3933">
        <v>-0.99847940000000002</v>
      </c>
      <c r="N3933">
        <v>0</v>
      </c>
      <c r="O3933">
        <v>-5.5039980000000002E-2</v>
      </c>
      <c r="P3933">
        <v>-0.99784850000000003</v>
      </c>
      <c r="Q3933">
        <v>1.4701860000000001E-2</v>
      </c>
      <c r="R3933">
        <v>-6.3892499999999894E-2</v>
      </c>
      <c r="S3933">
        <v>-3.0106199999999999</v>
      </c>
      <c r="T3933">
        <v>-0.16301499999999999</v>
      </c>
      <c r="U3933">
        <v>2.6275630000000001E-2</v>
      </c>
      <c r="V3933">
        <v>-8.8503100000000001E-3</v>
      </c>
      <c r="W3933">
        <v>1.7810659999999999E-2</v>
      </c>
      <c r="X3933">
        <v>0.99980219999999898</v>
      </c>
      <c r="Y3933">
        <v>6.3578519999999999E-2</v>
      </c>
      <c r="Z3933">
        <v>4.6970450000000004E-3</v>
      </c>
      <c r="AA3933">
        <v>0.99796580000000001</v>
      </c>
      <c r="AB3933">
        <v>43</v>
      </c>
      <c r="AC3933">
        <v>-0.69170000000002496</v>
      </c>
      <c r="AD3933">
        <v>-5.8954000000000097E-2</v>
      </c>
      <c r="AE3933">
        <v>3.1599999999997401E-2</v>
      </c>
      <c r="AF3933">
        <v>6.9122356962350806E-2</v>
      </c>
      <c r="AG3933">
        <v>-5.8954000000000097E-2</v>
      </c>
      <c r="AH3933">
        <v>0.68395413745461098</v>
      </c>
      <c r="AI3933">
        <v>94.901635257800706</v>
      </c>
      <c r="AJ3933">
        <v>84.229119136073507</v>
      </c>
      <c r="AK3933">
        <v>0.68996140217356505</v>
      </c>
    </row>
    <row r="3934" spans="1:37" x14ac:dyDescent="0.2">
      <c r="A3934" t="str">
        <f>"20200111153728944"</f>
        <v>20200111153728944</v>
      </c>
      <c r="B3934" t="str">
        <f>"1578728248936894"</f>
        <v>1578728248936894</v>
      </c>
      <c r="C3934" t="s">
        <v>37</v>
      </c>
      <c r="D3934">
        <v>6.3073569999999997</v>
      </c>
      <c r="E3934">
        <v>0.5254799</v>
      </c>
      <c r="F3934" t="s">
        <v>38</v>
      </c>
      <c r="G3934">
        <v>-234.3843</v>
      </c>
      <c r="H3934">
        <v>1.0438769999999999</v>
      </c>
      <c r="I3934">
        <v>140.7073</v>
      </c>
      <c r="J3934">
        <v>-233.75</v>
      </c>
      <c r="K3934">
        <v>1.1019779999999999</v>
      </c>
      <c r="L3934">
        <v>140.67529999999999</v>
      </c>
      <c r="M3934">
        <v>-0.99853860000000005</v>
      </c>
      <c r="N3934">
        <v>0</v>
      </c>
      <c r="O3934">
        <v>-5.3953999999999898E-2</v>
      </c>
      <c r="P3934">
        <v>-0.99790769999999995</v>
      </c>
      <c r="Q3934">
        <v>1.284267E-2</v>
      </c>
      <c r="R3934">
        <v>-6.3368499999999994E-2</v>
      </c>
      <c r="S3934">
        <v>-3.010345</v>
      </c>
      <c r="T3934">
        <v>-0.163188</v>
      </c>
      <c r="U3934">
        <v>2.2979739999999999E-2</v>
      </c>
      <c r="V3934">
        <v>-9.4060059999999997E-3</v>
      </c>
      <c r="W3934">
        <v>1.598082E-2</v>
      </c>
      <c r="X3934">
        <v>0.99982800000000005</v>
      </c>
      <c r="Y3934">
        <v>6.1405609999999999E-2</v>
      </c>
      <c r="Z3934">
        <v>4.5848310000000001E-3</v>
      </c>
      <c r="AA3934">
        <v>0.99810239999999995</v>
      </c>
      <c r="AB3934">
        <v>43</v>
      </c>
      <c r="AC3934">
        <v>-0.63429999999999598</v>
      </c>
      <c r="AD3934">
        <v>-5.8101000000000097E-2</v>
      </c>
      <c r="AE3934">
        <v>3.2000000000010603E-2</v>
      </c>
      <c r="AF3934">
        <v>6.5627340467304604E-2</v>
      </c>
      <c r="AG3934">
        <v>-5.8101000000000097E-2</v>
      </c>
      <c r="AH3934">
        <v>0.62640714255511698</v>
      </c>
      <c r="AI3934">
        <v>95.270498181660798</v>
      </c>
      <c r="AJ3934">
        <v>84.019062548597105</v>
      </c>
      <c r="AK3934">
        <v>0.63250974874849097</v>
      </c>
    </row>
    <row r="3935" spans="1:37" x14ac:dyDescent="0.2">
      <c r="A3935" t="str">
        <f>"20200111153728967"</f>
        <v>20200111153728967</v>
      </c>
      <c r="B3935" t="str">
        <f>"1578728248957390"</f>
        <v>1578728248957390</v>
      </c>
      <c r="C3935" t="s">
        <v>37</v>
      </c>
      <c r="D3935">
        <v>6.201263</v>
      </c>
      <c r="E3935">
        <v>0.52513109999999996</v>
      </c>
      <c r="F3935" t="s">
        <v>38</v>
      </c>
      <c r="G3935">
        <v>-234.77010000000001</v>
      </c>
      <c r="H3935">
        <v>1.045528</v>
      </c>
      <c r="I3935">
        <v>140.68289999999999</v>
      </c>
      <c r="J3935">
        <v>-234.19319999999999</v>
      </c>
      <c r="K3935">
        <v>1.101766</v>
      </c>
      <c r="L3935">
        <v>140.65219999999999</v>
      </c>
      <c r="M3935">
        <v>-0.9986081</v>
      </c>
      <c r="N3935">
        <v>0</v>
      </c>
      <c r="O3935">
        <v>-5.2649019999999998E-2</v>
      </c>
      <c r="P3935">
        <v>-0.99797169999999902</v>
      </c>
      <c r="Q3935">
        <v>1.211216E-2</v>
      </c>
      <c r="R3935">
        <v>-6.2498680000000001E-2</v>
      </c>
      <c r="S3935">
        <v>-3.009827</v>
      </c>
      <c r="T3935">
        <v>-0.16661139999999999</v>
      </c>
      <c r="U3935">
        <v>2.1667479999999999E-2</v>
      </c>
      <c r="V3935">
        <v>-9.8342399999999993E-3</v>
      </c>
      <c r="W3935">
        <v>1.527995E-2</v>
      </c>
      <c r="X3935">
        <v>0.99983489999999997</v>
      </c>
      <c r="Y3935">
        <v>5.9664769999999999E-2</v>
      </c>
      <c r="Z3935">
        <v>4.56141599999999E-3</v>
      </c>
      <c r="AA3935">
        <v>0.99820799999999998</v>
      </c>
      <c r="AB3935">
        <v>43</v>
      </c>
      <c r="AC3935">
        <v>-0.57690000000002295</v>
      </c>
      <c r="AD3935">
        <v>-5.6238000000000003E-2</v>
      </c>
      <c r="AE3935">
        <v>3.0699999999995901E-2</v>
      </c>
      <c r="AF3935">
        <v>6.0457885591998203E-2</v>
      </c>
      <c r="AG3935">
        <v>-5.6238000000000003E-2</v>
      </c>
      <c r="AH3935">
        <v>0.56909077202837499</v>
      </c>
      <c r="AI3935">
        <v>95.612312277402793</v>
      </c>
      <c r="AJ3935">
        <v>83.935874890316796</v>
      </c>
      <c r="AK3935">
        <v>0.57504971557432105</v>
      </c>
    </row>
    <row r="3936" spans="1:37" x14ac:dyDescent="0.2">
      <c r="A3936" t="str">
        <f>"20200111153728988"</f>
        <v>20200111153728988</v>
      </c>
      <c r="B3936" t="str">
        <f>"1578728248976913"</f>
        <v>1578728248976913</v>
      </c>
      <c r="C3936" t="s">
        <v>37</v>
      </c>
      <c r="D3936">
        <v>6.1612799999999996</v>
      </c>
      <c r="E3936">
        <v>0.52495599999999998</v>
      </c>
      <c r="F3936" t="s">
        <v>38</v>
      </c>
      <c r="G3936">
        <v>-235.1576</v>
      </c>
      <c r="H3936">
        <v>1.0478769999999999</v>
      </c>
      <c r="I3936">
        <v>140.6593</v>
      </c>
      <c r="J3936">
        <v>-234.61109999999999</v>
      </c>
      <c r="K3936">
        <v>1.1015699999999999</v>
      </c>
      <c r="L3936">
        <v>140.6311</v>
      </c>
      <c r="M3936">
        <v>-0.99868259999999898</v>
      </c>
      <c r="N3936">
        <v>0</v>
      </c>
      <c r="O3936">
        <v>-5.1217930000000002E-2</v>
      </c>
      <c r="P3936">
        <v>-0.99798899999999902</v>
      </c>
      <c r="Q3936">
        <v>1.27434E-2</v>
      </c>
      <c r="R3936">
        <v>-6.2095329999999997E-2</v>
      </c>
      <c r="S3936">
        <v>-3.009506</v>
      </c>
      <c r="T3936">
        <v>-0.1681667</v>
      </c>
      <c r="U3936">
        <v>2.182007E-2</v>
      </c>
      <c r="V3936">
        <v>-1.085438E-2</v>
      </c>
      <c r="W3936">
        <v>1.594172E-2</v>
      </c>
      <c r="X3936">
        <v>0.99981399999999998</v>
      </c>
      <c r="Y3936">
        <v>5.8286739999999997E-2</v>
      </c>
      <c r="Z3936">
        <v>4.4861179999999999E-3</v>
      </c>
      <c r="AA3936">
        <v>0.9982898</v>
      </c>
      <c r="AB3936">
        <v>43</v>
      </c>
      <c r="AC3936">
        <v>-0.54650000000000798</v>
      </c>
      <c r="AD3936">
        <v>-5.3693000000000199E-2</v>
      </c>
      <c r="AE3936">
        <v>2.8199999999998199E-2</v>
      </c>
      <c r="AF3936">
        <v>5.56182744287839E-2</v>
      </c>
      <c r="AG3936">
        <v>-5.3693000000000199E-2</v>
      </c>
      <c r="AH3936">
        <v>0.53914787291581501</v>
      </c>
      <c r="AI3936">
        <v>95.657429064892796</v>
      </c>
      <c r="AJ3936">
        <v>84.110224620724097</v>
      </c>
      <c r="AK3936">
        <v>0.54466205996845696</v>
      </c>
    </row>
    <row r="3937" spans="1:37" x14ac:dyDescent="0.2">
      <c r="A3937" t="str">
        <f>"20200111153729012"</f>
        <v>20200111153729012</v>
      </c>
      <c r="B3937" t="str">
        <f>"1578728249007166"</f>
        <v>1578728249007166</v>
      </c>
      <c r="C3937" t="s">
        <v>37</v>
      </c>
      <c r="D3937">
        <v>6.2566899999999999</v>
      </c>
      <c r="E3937">
        <v>0.52479759999999998</v>
      </c>
      <c r="F3937" t="s">
        <v>38</v>
      </c>
      <c r="G3937">
        <v>-235.54750000000001</v>
      </c>
      <c r="H3937">
        <v>1.0506409999999999</v>
      </c>
      <c r="I3937">
        <v>140.6379</v>
      </c>
      <c r="J3937">
        <v>-235.05109999999999</v>
      </c>
      <c r="K3937">
        <v>1.1013539999999999</v>
      </c>
      <c r="L3937">
        <v>140.6095</v>
      </c>
      <c r="M3937">
        <v>-0.99876939999999903</v>
      </c>
      <c r="N3937">
        <v>0</v>
      </c>
      <c r="O3937">
        <v>-4.949274E-2</v>
      </c>
      <c r="P3937">
        <v>-0.99799609999999905</v>
      </c>
      <c r="Q3937">
        <v>1.289846E-2</v>
      </c>
      <c r="R3937">
        <v>-6.194736E-2</v>
      </c>
      <c r="S3937">
        <v>-3.0094599999999998</v>
      </c>
      <c r="T3937">
        <v>-0.16366549999999999</v>
      </c>
      <c r="U3937">
        <v>2.1621700000000001E-2</v>
      </c>
      <c r="V3937">
        <v>-1.2424269999999999E-2</v>
      </c>
      <c r="W3937">
        <v>1.613243E-2</v>
      </c>
      <c r="X3937">
        <v>0.99979269999999998</v>
      </c>
      <c r="Y3937">
        <v>5.6510690000000002E-2</v>
      </c>
      <c r="Z3937">
        <v>4.2243589999999996E-3</v>
      </c>
      <c r="AA3937">
        <v>0.99839310000000003</v>
      </c>
      <c r="AB3937">
        <v>43</v>
      </c>
      <c r="AC3937">
        <v>-0.49640000000002199</v>
      </c>
      <c r="AD3937">
        <v>-5.0713000000000202E-2</v>
      </c>
      <c r="AE3937">
        <v>2.84000000000048E-2</v>
      </c>
      <c r="AF3937">
        <v>5.2388521512712102E-2</v>
      </c>
      <c r="AG3937">
        <v>-5.0713000000000202E-2</v>
      </c>
      <c r="AH3937">
        <v>0.48929593308935199</v>
      </c>
      <c r="AI3937">
        <v>95.883892225618098</v>
      </c>
      <c r="AJ3937">
        <v>83.888669114590499</v>
      </c>
      <c r="AK3937">
        <v>0.49469877268199097</v>
      </c>
    </row>
    <row r="3938" spans="1:37" x14ac:dyDescent="0.2">
      <c r="A3938" t="str">
        <f>"20200111153729033"</f>
        <v>20200111153729033</v>
      </c>
      <c r="B3938" t="str">
        <f>"1578728249026686"</f>
        <v>1578728249026686</v>
      </c>
      <c r="C3938" t="s">
        <v>37</v>
      </c>
      <c r="D3938">
        <v>6.1709110000000003</v>
      </c>
      <c r="E3938">
        <v>0.52458640000000001</v>
      </c>
      <c r="F3938" t="s">
        <v>38</v>
      </c>
      <c r="G3938">
        <v>-235.93979999999999</v>
      </c>
      <c r="H3938">
        <v>1.053577</v>
      </c>
      <c r="I3938">
        <v>140.61590000000001</v>
      </c>
      <c r="J3938">
        <v>-235.48259999999999</v>
      </c>
      <c r="K3938">
        <v>1.1011329999999999</v>
      </c>
      <c r="L3938">
        <v>140.58930000000001</v>
      </c>
      <c r="M3938">
        <v>-0.99886229999999998</v>
      </c>
      <c r="N3938">
        <v>0</v>
      </c>
      <c r="O3938">
        <v>-4.7583019999999997E-2</v>
      </c>
      <c r="P3938">
        <v>-0.99799629999999995</v>
      </c>
      <c r="Q3938">
        <v>1.2880580000000001E-2</v>
      </c>
      <c r="R3938">
        <v>-6.1948879999999998E-2</v>
      </c>
      <c r="S3938">
        <v>-3.00943</v>
      </c>
      <c r="T3938">
        <v>-0.16174359999999999</v>
      </c>
      <c r="U3938">
        <v>2.1286010000000001E-2</v>
      </c>
      <c r="V3938">
        <v>-1.4328810000000001E-2</v>
      </c>
      <c r="W3938">
        <v>1.6153890000000001E-2</v>
      </c>
      <c r="X3938">
        <v>0.99976679999999996</v>
      </c>
      <c r="Y3938">
        <v>5.4499699999999998E-2</v>
      </c>
      <c r="Z3938">
        <v>4.0183839999999998E-3</v>
      </c>
      <c r="AA3938">
        <v>0.99850569999999905</v>
      </c>
      <c r="AB3938">
        <v>43</v>
      </c>
      <c r="AC3938">
        <v>-0.4572</v>
      </c>
      <c r="AD3938">
        <v>-4.7555999999999897E-2</v>
      </c>
      <c r="AE3938">
        <v>2.66000000000019E-2</v>
      </c>
      <c r="AF3938">
        <v>4.7809416361903903E-2</v>
      </c>
      <c r="AG3938">
        <v>-4.7555999999999897E-2</v>
      </c>
      <c r="AH3938">
        <v>0.45055813581464998</v>
      </c>
      <c r="AI3938">
        <v>95.991816771453102</v>
      </c>
      <c r="AJ3938">
        <v>83.942922445982504</v>
      </c>
      <c r="AK3938">
        <v>0.45557649980836201</v>
      </c>
    </row>
    <row r="3939" spans="1:37" x14ac:dyDescent="0.2">
      <c r="A3939" t="str">
        <f>"20200111153729056"</f>
        <v>20200111153729056</v>
      </c>
      <c r="B3939" t="str">
        <f>"1578728249047182"</f>
        <v>1578728249047182</v>
      </c>
      <c r="C3939" t="s">
        <v>37</v>
      </c>
      <c r="D3939">
        <v>6.1456109999999997</v>
      </c>
      <c r="E3939">
        <v>0.52456380000000002</v>
      </c>
      <c r="F3939" t="s">
        <v>38</v>
      </c>
      <c r="G3939">
        <v>-236.33199999999999</v>
      </c>
      <c r="H3939">
        <v>1.0546199999999999</v>
      </c>
      <c r="I3939">
        <v>140.59530000000001</v>
      </c>
      <c r="J3939">
        <v>-235.93350000000001</v>
      </c>
      <c r="K3939">
        <v>1.1008879999999901</v>
      </c>
      <c r="L3939">
        <v>140.56909999999999</v>
      </c>
      <c r="M3939">
        <v>-0.99896559999999901</v>
      </c>
      <c r="N3939">
        <v>0</v>
      </c>
      <c r="O3939">
        <v>-4.5358179999999998E-2</v>
      </c>
      <c r="P3939">
        <v>-0.99794289999999997</v>
      </c>
      <c r="Q3939">
        <v>1.474519E-2</v>
      </c>
      <c r="R3939">
        <v>-6.2395220000000001E-2</v>
      </c>
      <c r="S3939">
        <v>-3.0093990000000002</v>
      </c>
      <c r="T3939">
        <v>-0.16473759999999901</v>
      </c>
      <c r="U3939">
        <v>2.0187380000000001E-2</v>
      </c>
      <c r="V3939">
        <v>-1.6985469999999999E-2</v>
      </c>
      <c r="W3939">
        <v>1.8067159999999999E-2</v>
      </c>
      <c r="X3939">
        <v>0.99969249999999898</v>
      </c>
      <c r="Y3939">
        <v>5.1912850000000003E-2</v>
      </c>
      <c r="Z3939">
        <v>3.9003379999999902E-3</v>
      </c>
      <c r="AA3939">
        <v>0.99864399999999998</v>
      </c>
      <c r="AB3939">
        <v>44</v>
      </c>
      <c r="AC3939">
        <v>-0.39849999999998398</v>
      </c>
      <c r="AD3939">
        <v>-4.6267999999999698E-2</v>
      </c>
      <c r="AE3939">
        <v>2.6200000000017099E-2</v>
      </c>
      <c r="AF3939">
        <v>4.3662307946972199E-2</v>
      </c>
      <c r="AG3939">
        <v>-4.6267999999999698E-2</v>
      </c>
      <c r="AH3939">
        <v>0.391644636589696</v>
      </c>
      <c r="AI3939">
        <v>96.696457901453002</v>
      </c>
      <c r="AJ3939">
        <v>83.638676200431306</v>
      </c>
      <c r="AK3939">
        <v>0.39677782993601302</v>
      </c>
    </row>
    <row r="3940" spans="1:37" x14ac:dyDescent="0.2">
      <c r="A3940" t="str">
        <f>"20200111153729102"</f>
        <v>20200111153729102</v>
      </c>
      <c r="B3940" t="str">
        <f>"1578728249096960"</f>
        <v>1578728249096960</v>
      </c>
      <c r="C3940" t="s">
        <v>37</v>
      </c>
      <c r="D3940">
        <v>6.1971429999999996</v>
      </c>
      <c r="E3940">
        <v>0.52416909999999906</v>
      </c>
      <c r="F3940" t="s">
        <v>39</v>
      </c>
      <c r="G3940">
        <v>-256.79230000000001</v>
      </c>
      <c r="H3940" s="1">
        <v>-1.6466020000000001E-6</v>
      </c>
      <c r="I3940">
        <v>140.6994</v>
      </c>
      <c r="J3940">
        <v>-236.82069999999999</v>
      </c>
      <c r="K3940">
        <v>1.100366</v>
      </c>
      <c r="L3940">
        <v>140.53280000000001</v>
      </c>
      <c r="M3940">
        <v>-0.99918340000000005</v>
      </c>
      <c r="N3940">
        <v>0</v>
      </c>
      <c r="O3940">
        <v>-4.0272719999999998E-2</v>
      </c>
      <c r="P3940">
        <v>-0.99795129999999999</v>
      </c>
      <c r="Q3940">
        <v>1.6000919999999998E-2</v>
      </c>
      <c r="R3940">
        <v>-6.194703E-2</v>
      </c>
      <c r="S3940">
        <v>-3.0097049999999999</v>
      </c>
      <c r="T3940">
        <v>-0.15884690000000001</v>
      </c>
      <c r="U3940">
        <v>1.8814089999999999E-2</v>
      </c>
      <c r="V3940">
        <v>-2.159575E-2</v>
      </c>
      <c r="W3940">
        <v>1.942781E-2</v>
      </c>
      <c r="X3940">
        <v>0.99957799999999997</v>
      </c>
      <c r="Y3940">
        <v>4.6397500000000001E-2</v>
      </c>
      <c r="Z3940">
        <v>3.347198E-3</v>
      </c>
      <c r="AA3940">
        <v>0.99891749999999901</v>
      </c>
      <c r="AB3940">
        <v>44</v>
      </c>
      <c r="AC3940">
        <v>-19.971599999999999</v>
      </c>
      <c r="AD3940">
        <v>-1.100367646602</v>
      </c>
      <c r="AE3940">
        <v>0.16659999999998801</v>
      </c>
      <c r="AF3940">
        <v>0.96784196142634804</v>
      </c>
      <c r="AG3940">
        <v>-1.100367646602</v>
      </c>
      <c r="AH3940">
        <v>19.888318371603901</v>
      </c>
      <c r="AI3940">
        <v>93.163058595503799</v>
      </c>
      <c r="AJ3940">
        <v>87.213965180655805</v>
      </c>
      <c r="AK3940">
        <v>19.942234946722099</v>
      </c>
    </row>
    <row r="3941" spans="1:37" x14ac:dyDescent="0.2">
      <c r="A3941" t="str">
        <f>"20200111153729124"</f>
        <v>20200111153729124</v>
      </c>
      <c r="B3941" t="str">
        <f>"1578728249117454"</f>
        <v>1578728249117454</v>
      </c>
      <c r="C3941" t="s">
        <v>37</v>
      </c>
      <c r="D3941">
        <v>6.2027019999999897</v>
      </c>
      <c r="E3941">
        <v>0.52409890000000003</v>
      </c>
      <c r="F3941" t="s">
        <v>38</v>
      </c>
      <c r="G3941">
        <v>-237.90280000000001</v>
      </c>
      <c r="H3941">
        <v>1.044295</v>
      </c>
      <c r="I3941">
        <v>140.5393</v>
      </c>
      <c r="J3941">
        <v>-237.2628</v>
      </c>
      <c r="K3941">
        <v>1.1001030000000001</v>
      </c>
      <c r="L3941">
        <v>140.51660000000001</v>
      </c>
      <c r="M3941">
        <v>-0.99929469999999998</v>
      </c>
      <c r="N3941">
        <v>0</v>
      </c>
      <c r="O3941">
        <v>-3.7404109999999997E-2</v>
      </c>
      <c r="P3941">
        <v>-0.99798639999999905</v>
      </c>
      <c r="Q3941">
        <v>1.602052E-2</v>
      </c>
      <c r="R3941">
        <v>-6.1372940000000001E-2</v>
      </c>
      <c r="S3941">
        <v>-3.0097200000000002</v>
      </c>
      <c r="T3941">
        <v>-0.15589069999999999</v>
      </c>
      <c r="U3941">
        <v>1.7257689999999999E-2</v>
      </c>
      <c r="V3941">
        <v>-2.3877309999999999E-2</v>
      </c>
      <c r="W3941">
        <v>1.9505040000000001E-2</v>
      </c>
      <c r="X3941">
        <v>0.99952459999999899</v>
      </c>
      <c r="Y3941">
        <v>4.3025790000000001E-2</v>
      </c>
      <c r="Z3941">
        <v>3.0493059999999999E-3</v>
      </c>
      <c r="AA3941">
        <v>0.99906930000000005</v>
      </c>
      <c r="AB3941">
        <v>44</v>
      </c>
      <c r="AC3941">
        <v>-0.640000000000014</v>
      </c>
      <c r="AD3941">
        <v>-5.5808000000000003E-2</v>
      </c>
      <c r="AE3941">
        <v>2.2699999999986099E-2</v>
      </c>
      <c r="AF3941">
        <v>4.6271478487013198E-2</v>
      </c>
      <c r="AG3941">
        <v>-5.5808000000000003E-2</v>
      </c>
      <c r="AH3941">
        <v>0.63388912340478298</v>
      </c>
      <c r="AI3941">
        <v>95.018100690379995</v>
      </c>
      <c r="AJ3941">
        <v>85.8250323624315</v>
      </c>
      <c r="AK3941">
        <v>0.63802116215393501</v>
      </c>
    </row>
    <row r="3942" spans="1:37" x14ac:dyDescent="0.2">
      <c r="A3942" t="str">
        <f>"20200111153729146"</f>
        <v>20200111153729146</v>
      </c>
      <c r="B3942" t="str">
        <f>"1578728249136974"</f>
        <v>1578728249136974</v>
      </c>
      <c r="C3942" t="s">
        <v>37</v>
      </c>
      <c r="D3942">
        <v>6.3478279999999998</v>
      </c>
      <c r="E3942">
        <v>0.52411169999999996</v>
      </c>
      <c r="F3942" t="s">
        <v>38</v>
      </c>
      <c r="G3942">
        <v>-238.30189999999999</v>
      </c>
      <c r="H3942">
        <v>1.0462659999999999</v>
      </c>
      <c r="I3942">
        <v>140.52330000000001</v>
      </c>
      <c r="J3942">
        <v>-237.70740000000001</v>
      </c>
      <c r="K3942">
        <v>1.099855</v>
      </c>
      <c r="L3942">
        <v>140.5017</v>
      </c>
      <c r="M3942">
        <v>-0.99940450000000003</v>
      </c>
      <c r="N3942">
        <v>0</v>
      </c>
      <c r="O3942">
        <v>-3.4344270000000003E-2</v>
      </c>
      <c r="P3942">
        <v>-0.99804789999999999</v>
      </c>
      <c r="Q3942">
        <v>1.638672E-2</v>
      </c>
      <c r="R3942">
        <v>-6.026741E-2</v>
      </c>
      <c r="S3942">
        <v>-3.0097200000000002</v>
      </c>
      <c r="T3942">
        <v>-0.15590950000000001</v>
      </c>
      <c r="U3942">
        <v>1.8814089999999999E-2</v>
      </c>
      <c r="V3942">
        <v>-2.5816849999999999E-2</v>
      </c>
      <c r="W3942">
        <v>1.9926960000000001E-2</v>
      </c>
      <c r="X3942">
        <v>0.99946809999999997</v>
      </c>
      <c r="Y3942">
        <v>4.0490760000000001E-2</v>
      </c>
      <c r="Z3942">
        <v>2.8257249999999999E-3</v>
      </c>
      <c r="AA3942">
        <v>0.99917590000000001</v>
      </c>
      <c r="AB3942">
        <v>44</v>
      </c>
      <c r="AC3942">
        <v>-0.59449999999998204</v>
      </c>
      <c r="AD3942">
        <v>-5.3589000000000102E-2</v>
      </c>
      <c r="AE3942">
        <v>2.1600000000006499E-2</v>
      </c>
      <c r="AF3942">
        <v>4.1666922906338902E-2</v>
      </c>
      <c r="AG3942">
        <v>-5.3589000000000102E-2</v>
      </c>
      <c r="AH3942">
        <v>0.58863085049175101</v>
      </c>
      <c r="AI3942">
        <v>95.188959726096101</v>
      </c>
      <c r="AJ3942">
        <v>85.951004993197401</v>
      </c>
      <c r="AK3942">
        <v>0.59253201730887495</v>
      </c>
    </row>
    <row r="3943" spans="1:37" x14ac:dyDescent="0.2">
      <c r="A3943" t="str">
        <f>"20200111153729169"</f>
        <v>20200111153729169</v>
      </c>
      <c r="B3943" t="str">
        <f>"1578728249157471"</f>
        <v>1578728249157471</v>
      </c>
      <c r="C3943" t="s">
        <v>37</v>
      </c>
      <c r="D3943">
        <v>6.1971189999999998</v>
      </c>
      <c r="E3943">
        <v>0.52414380000000005</v>
      </c>
      <c r="F3943" t="s">
        <v>38</v>
      </c>
      <c r="G3943">
        <v>-238.70400000000001</v>
      </c>
      <c r="H3943">
        <v>1.048921</v>
      </c>
      <c r="I3943">
        <v>140.50919999999999</v>
      </c>
      <c r="J3943">
        <v>-238.16499999999999</v>
      </c>
      <c r="K3943">
        <v>1.0996139999999901</v>
      </c>
      <c r="L3943">
        <v>140.4879</v>
      </c>
      <c r="M3943">
        <v>-0.99951259999999997</v>
      </c>
      <c r="N3943">
        <v>0</v>
      </c>
      <c r="O3943">
        <v>-3.1036459999999998E-2</v>
      </c>
      <c r="P3943">
        <v>-0.99814190000000003</v>
      </c>
      <c r="Q3943">
        <v>1.7064920000000001E-2</v>
      </c>
      <c r="R3943">
        <v>-5.8496020000000003E-2</v>
      </c>
      <c r="S3943">
        <v>-3.0097499999999999</v>
      </c>
      <c r="T3943">
        <v>-0.15378739999999999</v>
      </c>
      <c r="U3943">
        <v>2.2323610000000001E-2</v>
      </c>
      <c r="V3943">
        <v>-2.733433E-2</v>
      </c>
      <c r="W3943">
        <v>2.065875E-2</v>
      </c>
      <c r="X3943">
        <v>0.99941279999999999</v>
      </c>
      <c r="Y3943">
        <v>3.8358580000000003E-2</v>
      </c>
      <c r="Z3943">
        <v>2.5639999999999999E-3</v>
      </c>
      <c r="AA3943">
        <v>0.9992607</v>
      </c>
      <c r="AB3943">
        <v>44</v>
      </c>
      <c r="AC3943">
        <v>-0.53900000000001502</v>
      </c>
      <c r="AD3943">
        <v>-5.0692999999999801E-2</v>
      </c>
      <c r="AE3943">
        <v>2.1299999999996499E-2</v>
      </c>
      <c r="AF3943">
        <v>3.7685659407652297E-2</v>
      </c>
      <c r="AG3943">
        <v>-5.0692999999999801E-2</v>
      </c>
      <c r="AH3943">
        <v>0.53336874075835405</v>
      </c>
      <c r="AI3943">
        <v>95.415836651899795</v>
      </c>
      <c r="AJ3943">
        <v>85.958430541443406</v>
      </c>
      <c r="AK3943">
        <v>0.53709608338931503</v>
      </c>
    </row>
    <row r="3944" spans="1:37" x14ac:dyDescent="0.2">
      <c r="A3944" t="str">
        <f>"20200111153729190"</f>
        <v>20200111153729190</v>
      </c>
      <c r="B3944" t="str">
        <f>"1578728249186751"</f>
        <v>1578728249186751</v>
      </c>
      <c r="C3944" t="s">
        <v>37</v>
      </c>
      <c r="D3944">
        <v>6.1936070000000001</v>
      </c>
      <c r="E3944">
        <v>0.52421430000000002</v>
      </c>
      <c r="F3944" t="s">
        <v>38</v>
      </c>
      <c r="G3944">
        <v>-239.10830000000001</v>
      </c>
      <c r="H3944">
        <v>1.0524119999999999</v>
      </c>
      <c r="I3944">
        <v>140.4967</v>
      </c>
      <c r="J3944">
        <v>-238.5891</v>
      </c>
      <c r="K3944">
        <v>1.0994090000000001</v>
      </c>
      <c r="L3944">
        <v>140.47640000000001</v>
      </c>
      <c r="M3944">
        <v>-0.99960640000000001</v>
      </c>
      <c r="N3944">
        <v>0</v>
      </c>
      <c r="O3944">
        <v>-2.7852439999999999E-2</v>
      </c>
      <c r="P3944">
        <v>-0.99828090000000003</v>
      </c>
      <c r="Q3944">
        <v>1.751194E-2</v>
      </c>
      <c r="R3944">
        <v>-5.5937510000000003E-2</v>
      </c>
      <c r="S3944">
        <v>-3.0097959999999899</v>
      </c>
      <c r="T3944">
        <v>-0.15058759999999999</v>
      </c>
      <c r="U3944">
        <v>2.7877809999999999E-2</v>
      </c>
      <c r="V3944">
        <v>-2.794261E-2</v>
      </c>
      <c r="W3944">
        <v>2.1148839999999999E-2</v>
      </c>
      <c r="X3944">
        <v>0.99938579999999999</v>
      </c>
      <c r="Y3944">
        <v>3.7028619999999998E-2</v>
      </c>
      <c r="Z3944">
        <v>2.3182620000000002E-3</v>
      </c>
      <c r="AA3944">
        <v>0.99931150000000002</v>
      </c>
      <c r="AB3944">
        <v>45</v>
      </c>
      <c r="AC3944">
        <v>-0.51920000000001199</v>
      </c>
      <c r="AD3944">
        <v>-4.69969999999999E-2</v>
      </c>
      <c r="AE3944">
        <v>2.02999999999917E-2</v>
      </c>
      <c r="AF3944">
        <v>3.4471183418552598E-2</v>
      </c>
      <c r="AG3944">
        <v>-4.69969999999999E-2</v>
      </c>
      <c r="AH3944">
        <v>0.51422626817257999</v>
      </c>
      <c r="AI3944">
        <v>95.210332474899701</v>
      </c>
      <c r="AJ3944">
        <v>86.164912283078493</v>
      </c>
      <c r="AK3944">
        <v>0.51751872949099498</v>
      </c>
    </row>
    <row r="3945" spans="1:37" x14ac:dyDescent="0.2">
      <c r="A3945" t="str">
        <f>"20200111153729213"</f>
        <v>20200111153729213</v>
      </c>
      <c r="B3945" t="str">
        <f>"1578728249207246"</f>
        <v>1578728249207246</v>
      </c>
      <c r="C3945" t="s">
        <v>37</v>
      </c>
      <c r="D3945">
        <v>6.2253339999999904</v>
      </c>
      <c r="E3945">
        <v>0.52425140000000003</v>
      </c>
      <c r="F3945" t="s">
        <v>38</v>
      </c>
      <c r="G3945">
        <v>-239.5128</v>
      </c>
      <c r="H3945">
        <v>1.0541510000000001</v>
      </c>
      <c r="I3945">
        <v>140.48759999999999</v>
      </c>
      <c r="J3945">
        <v>-239.03870000000001</v>
      </c>
      <c r="K3945">
        <v>1.09921</v>
      </c>
      <c r="L3945">
        <v>140.4657</v>
      </c>
      <c r="M3945">
        <v>-0.9996969</v>
      </c>
      <c r="N3945">
        <v>0</v>
      </c>
      <c r="O3945">
        <v>-2.4381759999999999E-2</v>
      </c>
      <c r="P3945">
        <v>-0.99849979999999905</v>
      </c>
      <c r="Q3945">
        <v>1.679576E-2</v>
      </c>
      <c r="R3945">
        <v>-5.212046E-2</v>
      </c>
      <c r="S3945">
        <v>-3.0097809999999998</v>
      </c>
      <c r="T3945">
        <v>-0.14739530000000001</v>
      </c>
      <c r="U3945">
        <v>3.6010739999999999E-2</v>
      </c>
      <c r="V3945">
        <v>-2.7587489999999999E-2</v>
      </c>
      <c r="W3945">
        <v>2.046711E-2</v>
      </c>
      <c r="X3945">
        <v>0.99940989999999996</v>
      </c>
      <c r="Y3945">
        <v>3.6267639999999997E-2</v>
      </c>
      <c r="Z3945">
        <v>2.0807170000000002E-3</v>
      </c>
      <c r="AA3945">
        <v>0.99933989999999995</v>
      </c>
      <c r="AB3945">
        <v>45</v>
      </c>
      <c r="AC3945">
        <v>-0.47409999999999197</v>
      </c>
      <c r="AD3945">
        <v>-4.5058999999999898E-2</v>
      </c>
      <c r="AE3945">
        <v>2.1899999999987999E-2</v>
      </c>
      <c r="AF3945">
        <v>3.31541118306466E-2</v>
      </c>
      <c r="AG3945">
        <v>-4.5058999999999898E-2</v>
      </c>
      <c r="AH3945">
        <v>0.46919595762649802</v>
      </c>
      <c r="AI3945">
        <v>95.471988353606207</v>
      </c>
      <c r="AJ3945">
        <v>85.958109821373796</v>
      </c>
      <c r="AK3945">
        <v>0.47251915862251098</v>
      </c>
    </row>
    <row r="3946" spans="1:37" x14ac:dyDescent="0.2">
      <c r="A3946" t="str">
        <f>"20200111153729234"</f>
        <v>20200111153729234</v>
      </c>
      <c r="B3946" t="str">
        <f>"1578728249226767"</f>
        <v>1578728249226767</v>
      </c>
      <c r="C3946" t="s">
        <v>37</v>
      </c>
      <c r="D3946">
        <v>6.2229900000000002</v>
      </c>
      <c r="E3946">
        <v>0.5243949</v>
      </c>
      <c r="F3946" t="s">
        <v>39</v>
      </c>
      <c r="G3946">
        <v>-261.24209999999999</v>
      </c>
      <c r="H3946" s="1">
        <v>-4.0590480000000001E-6</v>
      </c>
      <c r="I3946">
        <v>140.8175</v>
      </c>
      <c r="J3946">
        <v>-239.48089999999999</v>
      </c>
      <c r="K3946">
        <v>1.0990329999999999</v>
      </c>
      <c r="L3946">
        <v>140.45670000000001</v>
      </c>
      <c r="M3946">
        <v>-0.99977559999999999</v>
      </c>
      <c r="N3946">
        <v>0</v>
      </c>
      <c r="O3946">
        <v>-2.090098E-2</v>
      </c>
      <c r="P3946">
        <v>-0.99868829999999997</v>
      </c>
      <c r="Q3946">
        <v>1.6461070000000001E-2</v>
      </c>
      <c r="R3946">
        <v>-4.8484039999999999E-2</v>
      </c>
      <c r="S3946">
        <v>-3.0095209999999999</v>
      </c>
      <c r="T3946">
        <v>-0.14899100000000001</v>
      </c>
      <c r="U3946">
        <v>4.7683719999999999E-2</v>
      </c>
      <c r="V3946">
        <v>-2.7422289999999998E-2</v>
      </c>
      <c r="W3946">
        <v>2.0165329999999999E-2</v>
      </c>
      <c r="X3946">
        <v>0.99942050000000004</v>
      </c>
      <c r="Y3946">
        <v>3.6666829999999997E-2</v>
      </c>
      <c r="Z3946">
        <v>1.941042E-3</v>
      </c>
      <c r="AA3946">
        <v>0.99932559999999904</v>
      </c>
      <c r="AB3946">
        <v>45</v>
      </c>
      <c r="AC3946">
        <v>-21.761199999999999</v>
      </c>
      <c r="AD3946">
        <v>-1.0990370590480001</v>
      </c>
      <c r="AE3946">
        <v>0.36079999999998302</v>
      </c>
      <c r="AF3946">
        <v>0.81347992333429098</v>
      </c>
      <c r="AG3946">
        <v>-1.0990370590480001</v>
      </c>
      <c r="AH3946">
        <v>21.693586530397798</v>
      </c>
      <c r="AI3946">
        <v>92.898196721013804</v>
      </c>
      <c r="AJ3946">
        <v>87.852492564619595</v>
      </c>
      <c r="AK3946">
        <v>21.736635631916101</v>
      </c>
    </row>
    <row r="3947" spans="1:37" x14ac:dyDescent="0.2">
      <c r="A3947" t="str">
        <f>"20200111153729257"</f>
        <v>20200111153729257</v>
      </c>
      <c r="B3947" t="str">
        <f>"1578728249247280"</f>
        <v>1578728249247280</v>
      </c>
      <c r="C3947" t="s">
        <v>37</v>
      </c>
      <c r="D3947">
        <v>6.2320510000000002</v>
      </c>
      <c r="E3947">
        <v>0.52464619999999995</v>
      </c>
      <c r="F3947" t="s">
        <v>39</v>
      </c>
      <c r="G3947">
        <v>-261.83069999999998</v>
      </c>
      <c r="H3947" s="1">
        <v>-3.8283369999999998E-6</v>
      </c>
      <c r="I3947">
        <v>140.89930000000001</v>
      </c>
      <c r="J3947">
        <v>-239.95</v>
      </c>
      <c r="K3947">
        <v>1.09887</v>
      </c>
      <c r="L3947">
        <v>140.44880000000001</v>
      </c>
      <c r="M3947">
        <v>-0.99984660000000003</v>
      </c>
      <c r="N3947">
        <v>0</v>
      </c>
      <c r="O3947">
        <v>-1.716898E-2</v>
      </c>
      <c r="P3947">
        <v>-0.99887009999999898</v>
      </c>
      <c r="Q3947">
        <v>1.6208429999999999E-2</v>
      </c>
      <c r="R3947">
        <v>-4.4676E-2</v>
      </c>
      <c r="S3947">
        <v>-3.009277</v>
      </c>
      <c r="T3947">
        <v>-0.14797959999999999</v>
      </c>
      <c r="U3947">
        <v>5.960083E-2</v>
      </c>
      <c r="V3947">
        <v>-2.7337119999999999E-2</v>
      </c>
      <c r="W3947">
        <v>1.994508E-2</v>
      </c>
      <c r="X3947">
        <v>0.99942730000000002</v>
      </c>
      <c r="Y3947">
        <v>3.6899300000000003E-2</v>
      </c>
      <c r="Z3947">
        <v>1.750307E-3</v>
      </c>
      <c r="AA3947">
        <v>0.99931749999999997</v>
      </c>
      <c r="AB3947">
        <v>45</v>
      </c>
      <c r="AC3947">
        <v>-21.880699999999901</v>
      </c>
      <c r="AD3947">
        <v>-1.0988738283370001</v>
      </c>
      <c r="AE3947">
        <v>0.45050000000000501</v>
      </c>
      <c r="AF3947">
        <v>0.82402769975450796</v>
      </c>
      <c r="AG3947">
        <v>-1.0988738283370001</v>
      </c>
      <c r="AH3947">
        <v>21.814743086974001</v>
      </c>
      <c r="AI3947">
        <v>92.881670589842798</v>
      </c>
      <c r="AJ3947">
        <v>87.836744044406302</v>
      </c>
      <c r="AK3947">
        <v>21.857940463164599</v>
      </c>
    </row>
    <row r="3948" spans="1:37" x14ac:dyDescent="0.2">
      <c r="A3948" t="str">
        <f>"20200111153729279"</f>
        <v>20200111153729279</v>
      </c>
      <c r="B3948" t="str">
        <f>"1578728249276544"</f>
        <v>1578728249276544</v>
      </c>
      <c r="C3948" t="s">
        <v>37</v>
      </c>
      <c r="D3948">
        <v>6.1753839999999904</v>
      </c>
      <c r="E3948">
        <v>0.52482489999999904</v>
      </c>
      <c r="F3948" t="s">
        <v>39</v>
      </c>
      <c r="G3948">
        <v>-262.45119999999997</v>
      </c>
      <c r="H3948" s="1">
        <v>-3.58759799999999E-6</v>
      </c>
      <c r="I3948">
        <v>140.995</v>
      </c>
      <c r="J3948">
        <v>-240.39500000000001</v>
      </c>
      <c r="K3948">
        <v>1.098751</v>
      </c>
      <c r="L3948">
        <v>140.44280000000001</v>
      </c>
      <c r="M3948">
        <v>-0.99990109999999999</v>
      </c>
      <c r="N3948">
        <v>0</v>
      </c>
      <c r="O3948">
        <v>-1.362608E-2</v>
      </c>
      <c r="P3948">
        <v>-0.99900469999999897</v>
      </c>
      <c r="Q3948">
        <v>1.5812369999999999E-2</v>
      </c>
      <c r="R3948">
        <v>-4.1711959999999999E-2</v>
      </c>
      <c r="S3948">
        <v>-3.009064</v>
      </c>
      <c r="T3948">
        <v>-0.1469519</v>
      </c>
      <c r="U3948">
        <v>7.3059079999999998E-2</v>
      </c>
      <c r="V3948">
        <v>-2.7910620000000001E-2</v>
      </c>
      <c r="W3948">
        <v>1.9583710000000001E-2</v>
      </c>
      <c r="X3948">
        <v>0.99941859999999905</v>
      </c>
      <c r="Y3948">
        <v>3.7831120000000003E-2</v>
      </c>
      <c r="Z3948">
        <v>1.588054E-3</v>
      </c>
      <c r="AA3948">
        <v>0.99928289999999997</v>
      </c>
      <c r="AB3948">
        <v>45</v>
      </c>
      <c r="AC3948">
        <v>-22.056199999999901</v>
      </c>
      <c r="AD3948">
        <v>-1.098754587598</v>
      </c>
      <c r="AE3948">
        <v>0.55219999999999902</v>
      </c>
      <c r="AF3948">
        <v>0.85058058193566</v>
      </c>
      <c r="AG3948">
        <v>-1.098754587598</v>
      </c>
      <c r="AH3948">
        <v>21.992085517680199</v>
      </c>
      <c r="AI3948">
        <v>92.858063736124606</v>
      </c>
      <c r="AJ3948">
        <v>87.785094153809098</v>
      </c>
      <c r="AK3948">
        <v>22.0359382461263</v>
      </c>
    </row>
    <row r="3949" spans="1:37" x14ac:dyDescent="0.2">
      <c r="A3949" t="str">
        <f>"20200111153729300"</f>
        <v>20200111153729300</v>
      </c>
      <c r="B3949" t="str">
        <f>"1578728249297038"</f>
        <v>1578728249297038</v>
      </c>
      <c r="C3949" t="s">
        <v>37</v>
      </c>
      <c r="D3949">
        <v>6.2075469999999999</v>
      </c>
      <c r="E3949">
        <v>0.52491619999999894</v>
      </c>
      <c r="F3949" t="s">
        <v>39</v>
      </c>
      <c r="G3949">
        <v>-263.1497</v>
      </c>
      <c r="H3949" s="1">
        <v>-3.308963E-6</v>
      </c>
      <c r="I3949">
        <v>141.07399999999899</v>
      </c>
      <c r="J3949">
        <v>-240.84020000000001</v>
      </c>
      <c r="K3949">
        <v>1.098668</v>
      </c>
      <c r="L3949">
        <v>140.4385</v>
      </c>
      <c r="M3949">
        <v>-0.99994280000000002</v>
      </c>
      <c r="N3949">
        <v>0</v>
      </c>
      <c r="O3949">
        <v>-1.011635E-2</v>
      </c>
      <c r="P3949">
        <v>-0.99912250000000002</v>
      </c>
      <c r="Q3949">
        <v>1.616859E-2</v>
      </c>
      <c r="R3949">
        <v>-3.8643190000000001E-2</v>
      </c>
      <c r="S3949">
        <v>-3.0087739999999998</v>
      </c>
      <c r="T3949">
        <v>-0.14528479999999999</v>
      </c>
      <c r="U3949">
        <v>8.3465579999999998E-2</v>
      </c>
      <c r="V3949">
        <v>-2.83412E-2</v>
      </c>
      <c r="W3949">
        <v>1.996939E-2</v>
      </c>
      <c r="X3949">
        <v>0.99939880000000003</v>
      </c>
      <c r="Y3949">
        <v>3.778538E-2</v>
      </c>
      <c r="Z3949">
        <v>1.3996900000000001E-3</v>
      </c>
      <c r="AA3949">
        <v>0.99928490000000003</v>
      </c>
      <c r="AB3949">
        <v>45</v>
      </c>
      <c r="AC3949">
        <v>-22.3094999999999</v>
      </c>
      <c r="AD3949">
        <v>-1.098671308963</v>
      </c>
      <c r="AE3949">
        <v>0.63549999999997897</v>
      </c>
      <c r="AF3949">
        <v>0.85907776474566699</v>
      </c>
      <c r="AG3949">
        <v>-1.098671308963</v>
      </c>
      <c r="AH3949">
        <v>22.248016217308201</v>
      </c>
      <c r="AI3949">
        <v>92.825032561068895</v>
      </c>
      <c r="AJ3949">
        <v>87.788697733409194</v>
      </c>
      <c r="AK3949">
        <v>22.2916872142202</v>
      </c>
    </row>
    <row r="3950" spans="1:37" x14ac:dyDescent="0.2">
      <c r="A3950" t="str">
        <f>"20200111153729323"</f>
        <v>20200111153729323</v>
      </c>
      <c r="B3950" t="str">
        <f>"1578728249316559"</f>
        <v>1578728249316559</v>
      </c>
      <c r="C3950" t="s">
        <v>37</v>
      </c>
      <c r="D3950">
        <v>6.2117089999999999</v>
      </c>
      <c r="E3950">
        <v>0.52500550000000001</v>
      </c>
      <c r="F3950" t="s">
        <v>38</v>
      </c>
      <c r="G3950">
        <v>-241.9487</v>
      </c>
      <c r="H3950">
        <v>1.046227</v>
      </c>
      <c r="I3950">
        <v>140.47280000000001</v>
      </c>
      <c r="J3950">
        <v>-241.30879999999999</v>
      </c>
      <c r="K3950">
        <v>1.0986149999999999</v>
      </c>
      <c r="L3950">
        <v>140.43559999999999</v>
      </c>
      <c r="M3950">
        <v>-0.99997259999999999</v>
      </c>
      <c r="N3950">
        <v>0</v>
      </c>
      <c r="O3950">
        <v>-6.4907649999999999E-3</v>
      </c>
      <c r="P3950">
        <v>-0.99920769999999903</v>
      </c>
      <c r="Q3950">
        <v>1.7319109999999999E-2</v>
      </c>
      <c r="R3950">
        <v>-3.5831780000000001E-2</v>
      </c>
      <c r="S3950">
        <v>-3.0085299999999999</v>
      </c>
      <c r="T3950">
        <v>-0.14232729999999999</v>
      </c>
      <c r="U3950">
        <v>9.3276979999999995E-2</v>
      </c>
      <c r="V3950">
        <v>-2.9138710000000002E-2</v>
      </c>
      <c r="W3950">
        <v>2.1150269999999999E-2</v>
      </c>
      <c r="X3950">
        <v>0.99935160000000001</v>
      </c>
      <c r="Y3950">
        <v>3.7427250000000002E-2</v>
      </c>
      <c r="Z3950">
        <v>1.191424E-3</v>
      </c>
      <c r="AA3950">
        <v>0.99929859999999904</v>
      </c>
      <c r="AB3950">
        <v>46</v>
      </c>
      <c r="AC3950">
        <v>-0.63990000000001102</v>
      </c>
      <c r="AD3950">
        <v>-5.2387999999999803E-2</v>
      </c>
      <c r="AE3950">
        <v>3.7200000000012702E-2</v>
      </c>
      <c r="AF3950">
        <v>4.1078281728635799E-2</v>
      </c>
      <c r="AG3950">
        <v>-5.2387999999999803E-2</v>
      </c>
      <c r="AH3950">
        <v>0.63540060860827097</v>
      </c>
      <c r="AI3950">
        <v>94.703531049833899</v>
      </c>
      <c r="AJ3950">
        <v>86.3010086427076</v>
      </c>
      <c r="AK3950">
        <v>0.63887859659996304</v>
      </c>
    </row>
    <row r="3951" spans="1:37" x14ac:dyDescent="0.2">
      <c r="A3951" t="str">
        <f>"20200111153729346"</f>
        <v>20200111153729346</v>
      </c>
      <c r="B3951" t="str">
        <f>"1578728249337057"</f>
        <v>1578728249337057</v>
      </c>
      <c r="C3951" t="s">
        <v>37</v>
      </c>
      <c r="D3951">
        <v>6.2015549999999999</v>
      </c>
      <c r="E3951">
        <v>0.52502130000000002</v>
      </c>
      <c r="F3951" t="s">
        <v>38</v>
      </c>
      <c r="G3951">
        <v>-242.3639</v>
      </c>
      <c r="H3951">
        <v>1.049852</v>
      </c>
      <c r="I3951">
        <v>140.47149999999999</v>
      </c>
      <c r="J3951">
        <v>-241.7833</v>
      </c>
      <c r="K3951">
        <v>1.0985769999999999</v>
      </c>
      <c r="L3951">
        <v>140.4342</v>
      </c>
      <c r="M3951">
        <v>-0.99998949999999998</v>
      </c>
      <c r="N3951">
        <v>0</v>
      </c>
      <c r="O3951">
        <v>-2.8966019999999999E-3</v>
      </c>
      <c r="P3951">
        <v>-0.9992548</v>
      </c>
      <c r="Q3951">
        <v>1.853701E-2</v>
      </c>
      <c r="R3951">
        <v>-3.3860309999999998E-2</v>
      </c>
      <c r="S3951">
        <v>-3.0084529999999998</v>
      </c>
      <c r="T3951">
        <v>-0.1390178</v>
      </c>
      <c r="U3951">
        <v>0.1023712</v>
      </c>
      <c r="V3951">
        <v>-3.074468E-2</v>
      </c>
      <c r="W3951">
        <v>2.2405000000000001E-2</v>
      </c>
      <c r="X3951">
        <v>0.9992761</v>
      </c>
      <c r="Y3951">
        <v>3.6860610000000002E-2</v>
      </c>
      <c r="Z3951">
        <v>9.8468899999999996E-4</v>
      </c>
      <c r="AA3951">
        <v>0.99931990000000004</v>
      </c>
      <c r="AB3951">
        <v>46</v>
      </c>
      <c r="AC3951">
        <v>-0.580600000000004</v>
      </c>
      <c r="AD3951">
        <v>-4.8725000000000102E-2</v>
      </c>
      <c r="AE3951">
        <v>3.72999999999876E-2</v>
      </c>
      <c r="AF3951">
        <v>3.87101115798286E-2</v>
      </c>
      <c r="AG3951">
        <v>-4.8725000000000102E-2</v>
      </c>
      <c r="AH3951">
        <v>0.57644637103591101</v>
      </c>
      <c r="AI3951">
        <v>94.820721451103395</v>
      </c>
      <c r="AJ3951">
        <v>86.158183677953105</v>
      </c>
      <c r="AK3951">
        <v>0.57979566835566698</v>
      </c>
    </row>
    <row r="3952" spans="1:37" x14ac:dyDescent="0.2">
      <c r="A3952" t="str">
        <f>"20200111153729369"</f>
        <v>20200111153729369</v>
      </c>
      <c r="B3952" t="str">
        <f>"1578728249356574"</f>
        <v>1578728249356574</v>
      </c>
      <c r="C3952" t="s">
        <v>37</v>
      </c>
      <c r="D3952">
        <v>6.2182250000000003</v>
      </c>
      <c r="E3952">
        <v>0.52497539999999998</v>
      </c>
      <c r="F3952" t="s">
        <v>38</v>
      </c>
      <c r="G3952">
        <v>-242.78450000000001</v>
      </c>
      <c r="H3952">
        <v>1.053105</v>
      </c>
      <c r="I3952">
        <v>140.47040000000001</v>
      </c>
      <c r="J3952">
        <v>-242.2499</v>
      </c>
      <c r="K3952">
        <v>1.098576</v>
      </c>
      <c r="L3952">
        <v>140.43450000000001</v>
      </c>
      <c r="M3952">
        <v>-0.99999349999999998</v>
      </c>
      <c r="N3952">
        <v>0</v>
      </c>
      <c r="O3952">
        <v>5.4063169999999999E-4</v>
      </c>
      <c r="P3952">
        <v>-0.99929369999999995</v>
      </c>
      <c r="Q3952">
        <v>1.961539E-2</v>
      </c>
      <c r="R3952">
        <v>-3.2056220000000003E-2</v>
      </c>
      <c r="S3952">
        <v>-3.0084080000000002</v>
      </c>
      <c r="T3952">
        <v>-0.136605</v>
      </c>
      <c r="U3952">
        <v>0.1081848</v>
      </c>
      <c r="V3952">
        <v>-3.2364360000000002E-2</v>
      </c>
      <c r="W3952">
        <v>2.3518609999999999E-2</v>
      </c>
      <c r="X3952">
        <v>0.99919939999999996</v>
      </c>
      <c r="Y3952">
        <v>3.5361469999999999E-2</v>
      </c>
      <c r="Z3952">
        <v>7.7764139999999995E-4</v>
      </c>
      <c r="AA3952">
        <v>0.99937430000000005</v>
      </c>
      <c r="AB3952">
        <v>46</v>
      </c>
      <c r="AC3952">
        <v>-0.53460000000001096</v>
      </c>
      <c r="AD3952">
        <v>-4.5470999999999998E-2</v>
      </c>
      <c r="AE3952">
        <v>3.5899999999998003E-2</v>
      </c>
      <c r="AF3952">
        <v>3.5356332601650602E-2</v>
      </c>
      <c r="AG3952">
        <v>-4.5470999999999998E-2</v>
      </c>
      <c r="AH3952">
        <v>0.53079649973510401</v>
      </c>
      <c r="AI3952">
        <v>94.885549489275704</v>
      </c>
      <c r="AJ3952">
        <v>86.189159963165693</v>
      </c>
      <c r="AK3952">
        <v>0.53391254548575395</v>
      </c>
    </row>
    <row r="3953" spans="1:37" x14ac:dyDescent="0.2">
      <c r="A3953" t="str">
        <f>"20200111153729389"</f>
        <v>20200111153729389</v>
      </c>
      <c r="B3953" t="str">
        <f>"1578728249386831"</f>
        <v>1578728249386831</v>
      </c>
      <c r="C3953" t="s">
        <v>37</v>
      </c>
      <c r="D3953">
        <v>6.2604419999999896</v>
      </c>
      <c r="E3953">
        <v>0.52447659999999996</v>
      </c>
      <c r="F3953" t="s">
        <v>39</v>
      </c>
      <c r="G3953">
        <v>-266.695999999999</v>
      </c>
      <c r="H3953" s="1">
        <v>-1.861565E-6</v>
      </c>
      <c r="I3953">
        <v>141.352</v>
      </c>
      <c r="J3953">
        <v>-242.67490000000001</v>
      </c>
      <c r="K3953">
        <v>1.098595</v>
      </c>
      <c r="L3953">
        <v>140.43600000000001</v>
      </c>
      <c r="M3953">
        <v>-0.99998709999999902</v>
      </c>
      <c r="N3953">
        <v>0</v>
      </c>
      <c r="O3953">
        <v>3.5653949999999998E-3</v>
      </c>
      <c r="P3953">
        <v>-0.99934429999999996</v>
      </c>
      <c r="Q3953">
        <v>2.0540739999999998E-2</v>
      </c>
      <c r="R3953">
        <v>-2.9812640000000001E-2</v>
      </c>
      <c r="S3953">
        <v>-3.0083769999999999</v>
      </c>
      <c r="T3953">
        <v>-0.13519289999999901</v>
      </c>
      <c r="U3953">
        <v>0.112915</v>
      </c>
      <c r="V3953">
        <v>-3.3134990000000003E-2</v>
      </c>
      <c r="W3953">
        <v>2.446628E-2</v>
      </c>
      <c r="X3953">
        <v>0.99915129999999996</v>
      </c>
      <c r="Y3953">
        <v>3.3913400000000003E-2</v>
      </c>
      <c r="Z3953">
        <v>6.0127620000000005E-4</v>
      </c>
      <c r="AA3953">
        <v>0.999424599999999</v>
      </c>
      <c r="AB3953">
        <v>46</v>
      </c>
      <c r="AC3953">
        <v>-24.021099999999901</v>
      </c>
      <c r="AD3953">
        <v>-1.0985968615649999</v>
      </c>
      <c r="AE3953">
        <v>0.91599999999999604</v>
      </c>
      <c r="AF3953">
        <v>0.82861823716999905</v>
      </c>
      <c r="AG3953">
        <v>-1.0985968615649999</v>
      </c>
      <c r="AH3953">
        <v>23.974140323727401</v>
      </c>
      <c r="AI3953">
        <v>92.622136803424496</v>
      </c>
      <c r="AJ3953">
        <v>88.020473909586002</v>
      </c>
      <c r="AK3953">
        <v>24.013598803781601</v>
      </c>
    </row>
    <row r="3954" spans="1:37" x14ac:dyDescent="0.2">
      <c r="A3954" t="str">
        <f>"20200111153729413"</f>
        <v>20200111153729413</v>
      </c>
      <c r="B3954" t="str">
        <f>"1578728249407326"</f>
        <v>1578728249407326</v>
      </c>
      <c r="C3954" t="s">
        <v>37</v>
      </c>
      <c r="D3954">
        <v>6.300929</v>
      </c>
      <c r="E3954">
        <v>0.52434530000000001</v>
      </c>
      <c r="F3954" t="s">
        <v>39</v>
      </c>
      <c r="G3954">
        <v>-266.82960000000003</v>
      </c>
      <c r="H3954" s="1">
        <v>-1.80674E-6</v>
      </c>
      <c r="I3954">
        <v>141.3613</v>
      </c>
      <c r="J3954">
        <v>-243.15700000000001</v>
      </c>
      <c r="K3954">
        <v>1.0986309999999999</v>
      </c>
      <c r="L3954">
        <v>140.4392</v>
      </c>
      <c r="M3954">
        <v>-0.99997000000000003</v>
      </c>
      <c r="N3954">
        <v>0</v>
      </c>
      <c r="O3954">
        <v>6.8533090000000001E-3</v>
      </c>
      <c r="P3954">
        <v>-0.99941389999999997</v>
      </c>
      <c r="Q3954">
        <v>2.047241E-2</v>
      </c>
      <c r="R3954">
        <v>-2.7435500000000002E-2</v>
      </c>
      <c r="S3954">
        <v>-3.0082239999999998</v>
      </c>
      <c r="T3954">
        <v>-0.1368191</v>
      </c>
      <c r="U3954">
        <v>0.11524959999999999</v>
      </c>
      <c r="V3954">
        <v>-3.4046899999999998E-2</v>
      </c>
      <c r="W3954">
        <v>2.4421000000000002E-2</v>
      </c>
      <c r="X3954">
        <v>0.99912179999999995</v>
      </c>
      <c r="Y3954">
        <v>3.1408859999999997E-2</v>
      </c>
      <c r="Z3954">
        <v>4.0221849999999998E-4</v>
      </c>
      <c r="AA3954">
        <v>0.99950649999999996</v>
      </c>
      <c r="AB3954">
        <v>46</v>
      </c>
      <c r="AC3954">
        <v>-23.672599999999999</v>
      </c>
      <c r="AD3954">
        <v>-1.09863280674</v>
      </c>
      <c r="AE3954">
        <v>0.92210000000000003</v>
      </c>
      <c r="AF3954">
        <v>0.75821105485048201</v>
      </c>
      <c r="AG3954">
        <v>-1.09863280674</v>
      </c>
      <c r="AH3954">
        <v>23.627550698400899</v>
      </c>
      <c r="AI3954">
        <v>92.660851381357602</v>
      </c>
      <c r="AJ3954">
        <v>88.162002010332301</v>
      </c>
      <c r="AK3954">
        <v>23.665228290748601</v>
      </c>
    </row>
    <row r="3955" spans="1:37" x14ac:dyDescent="0.2">
      <c r="A3955" t="str">
        <f>"20200111153729434"</f>
        <v>20200111153729434</v>
      </c>
      <c r="B3955" t="str">
        <f>"1578728249426846"</f>
        <v>1578728249426846</v>
      </c>
      <c r="C3955" t="s">
        <v>37</v>
      </c>
      <c r="D3955">
        <v>6.3082849999999997</v>
      </c>
      <c r="E3955">
        <v>0.52403429999999995</v>
      </c>
      <c r="F3955" t="s">
        <v>39</v>
      </c>
      <c r="G3955">
        <v>-267.3304</v>
      </c>
      <c r="H3955" s="1">
        <v>-1.6055520000000001E-6</v>
      </c>
      <c r="I3955">
        <v>141.4127</v>
      </c>
      <c r="J3955">
        <v>-243.6241</v>
      </c>
      <c r="K3955">
        <v>1.0987009999999999</v>
      </c>
      <c r="L3955">
        <v>140.44370000000001</v>
      </c>
      <c r="M3955">
        <v>-0.99994470000000002</v>
      </c>
      <c r="N3955">
        <v>0</v>
      </c>
      <c r="O3955">
        <v>9.8768090000000003E-3</v>
      </c>
      <c r="P3955">
        <v>-0.99946199999999996</v>
      </c>
      <c r="Q3955">
        <v>2.0046399999999999E-2</v>
      </c>
      <c r="R3955">
        <v>-2.5964979999999999E-2</v>
      </c>
      <c r="S3955">
        <v>-3.0078740000000002</v>
      </c>
      <c r="T3955">
        <v>-0.13670170000000001</v>
      </c>
      <c r="U3955">
        <v>0.1211395</v>
      </c>
      <c r="V3955">
        <v>-3.5606039999999999E-2</v>
      </c>
      <c r="W3955">
        <v>2.4020570000000002E-2</v>
      </c>
      <c r="X3955">
        <v>0.999077199999999</v>
      </c>
      <c r="Y3955">
        <v>3.0349589999999999E-2</v>
      </c>
      <c r="Z3955">
        <v>2.405858E-4</v>
      </c>
      <c r="AA3955">
        <v>0.99953930000000002</v>
      </c>
      <c r="AB3955">
        <v>46</v>
      </c>
      <c r="AC3955">
        <v>-23.706299999999999</v>
      </c>
      <c r="AD3955">
        <v>-1.0987026055519999</v>
      </c>
      <c r="AE3955">
        <v>0.96899999999999398</v>
      </c>
      <c r="AF3955">
        <v>0.73323625123906899</v>
      </c>
      <c r="AG3955">
        <v>-1.0987026055519999</v>
      </c>
      <c r="AH3955">
        <v>23.663969112762199</v>
      </c>
      <c r="AI3955">
        <v>92.657023150892698</v>
      </c>
      <c r="AJ3955">
        <v>88.225238327138797</v>
      </c>
      <c r="AK3955">
        <v>23.700806251799499</v>
      </c>
    </row>
    <row r="3956" spans="1:37" x14ac:dyDescent="0.2">
      <c r="A3956" t="str">
        <f>"20200111153729458"</f>
        <v>20200111153729458</v>
      </c>
      <c r="B3956" t="str">
        <f>"1578728249447342"</f>
        <v>1578728249447342</v>
      </c>
      <c r="C3956" t="s">
        <v>37</v>
      </c>
      <c r="D3956">
        <v>6.2767770000000001</v>
      </c>
      <c r="E3956">
        <v>0.52375950000000004</v>
      </c>
      <c r="F3956" t="s">
        <v>39</v>
      </c>
      <c r="G3956">
        <v>-267.30200000000002</v>
      </c>
      <c r="H3956" s="1">
        <v>-1.6183539999999901E-6</v>
      </c>
      <c r="I3956">
        <v>141.41499999999999</v>
      </c>
      <c r="J3956">
        <v>-244.0975</v>
      </c>
      <c r="K3956">
        <v>1.0987959999999899</v>
      </c>
      <c r="L3956">
        <v>140.4495</v>
      </c>
      <c r="M3956">
        <v>-0.99991189999999996</v>
      </c>
      <c r="N3956">
        <v>0</v>
      </c>
      <c r="O3956">
        <v>1.276468E-2</v>
      </c>
      <c r="P3956">
        <v>-0.99951060000000003</v>
      </c>
      <c r="Q3956">
        <v>1.9841689999999999E-2</v>
      </c>
      <c r="R3956">
        <v>-2.4186550000000001E-2</v>
      </c>
      <c r="S3956">
        <v>-3.0076139999999998</v>
      </c>
      <c r="T3956">
        <v>-0.1395594</v>
      </c>
      <c r="U3956">
        <v>0.1233826</v>
      </c>
      <c r="V3956">
        <v>-3.6721429999999999E-2</v>
      </c>
      <c r="W3956">
        <v>2.3834660000000001E-2</v>
      </c>
      <c r="X3956">
        <v>0.99904130000000002</v>
      </c>
      <c r="Y3956">
        <v>2.8214949999999999E-2</v>
      </c>
      <c r="Z3956" s="1">
        <v>6.2295469999999896E-5</v>
      </c>
      <c r="AA3956">
        <v>0.99960190000000004</v>
      </c>
      <c r="AB3956">
        <v>47</v>
      </c>
      <c r="AC3956">
        <v>-23.204499999999999</v>
      </c>
      <c r="AD3956">
        <v>-1.09879761835399</v>
      </c>
      <c r="AE3956">
        <v>0.96549999999999103</v>
      </c>
      <c r="AF3956">
        <v>0.66772671113928606</v>
      </c>
      <c r="AG3956">
        <v>-1.09879761835399</v>
      </c>
      <c r="AH3956">
        <v>23.1630853444404</v>
      </c>
      <c r="AI3956">
        <v>92.714803371129705</v>
      </c>
      <c r="AJ3956">
        <v>88.348780846994899</v>
      </c>
      <c r="AK3956">
        <v>23.198744316033501</v>
      </c>
    </row>
    <row r="3957" spans="1:37" x14ac:dyDescent="0.2">
      <c r="A3957" t="str">
        <f>"20200111153729480"</f>
        <v>20200111153729480</v>
      </c>
      <c r="B3957" t="str">
        <f>"1578728249466865"</f>
        <v>1578728249466865</v>
      </c>
      <c r="C3957" t="s">
        <v>37</v>
      </c>
      <c r="D3957">
        <v>6.2575789999999998</v>
      </c>
      <c r="E3957">
        <v>0.52348629999999996</v>
      </c>
      <c r="F3957" t="s">
        <v>39</v>
      </c>
      <c r="G3957">
        <v>-267.39370000000002</v>
      </c>
      <c r="H3957" s="1">
        <v>-1.583326E-6</v>
      </c>
      <c r="I3957">
        <v>141.43109999999999</v>
      </c>
      <c r="J3957">
        <v>-244.56030000000001</v>
      </c>
      <c r="K3957">
        <v>1.0989169999999999</v>
      </c>
      <c r="L3957">
        <v>140.45650000000001</v>
      </c>
      <c r="M3957">
        <v>-0.99987479999999995</v>
      </c>
      <c r="N3957">
        <v>0</v>
      </c>
      <c r="O3957">
        <v>1.54004E-2</v>
      </c>
      <c r="P3957">
        <v>-0.99956009999999995</v>
      </c>
      <c r="Q3957">
        <v>2.064479E-2</v>
      </c>
      <c r="R3957">
        <v>-2.1295629999999999E-2</v>
      </c>
      <c r="S3957">
        <v>-3.007355</v>
      </c>
      <c r="T3957">
        <v>-0.14184639999999901</v>
      </c>
      <c r="U3957">
        <v>0.12672420000000001</v>
      </c>
      <c r="V3957">
        <v>-3.6464419999999997E-2</v>
      </c>
      <c r="W3957">
        <v>2.464123E-2</v>
      </c>
      <c r="X3957">
        <v>0.99903109999999995</v>
      </c>
      <c r="Y3957">
        <v>2.6696379999999999E-2</v>
      </c>
      <c r="Z3957" s="1">
        <v>-9.6623609999999893E-5</v>
      </c>
      <c r="AA3957">
        <v>0.99964359999999997</v>
      </c>
      <c r="AB3957">
        <v>47</v>
      </c>
      <c r="AC3957">
        <v>-22.833400000000001</v>
      </c>
      <c r="AD3957">
        <v>-1.098918583326</v>
      </c>
      <c r="AE3957">
        <v>0.97459999999998004</v>
      </c>
      <c r="AF3957">
        <v>0.62140188188636003</v>
      </c>
      <c r="AG3957">
        <v>-1.098918583326</v>
      </c>
      <c r="AH3957">
        <v>22.793002585380201</v>
      </c>
      <c r="AI3957">
        <v>92.759239230573897</v>
      </c>
      <c r="AJ3957">
        <v>88.4383414142509</v>
      </c>
      <c r="AK3957">
        <v>22.827937471632001</v>
      </c>
    </row>
    <row r="3958" spans="1:37" x14ac:dyDescent="0.2">
      <c r="A3958" t="str">
        <f>"20200111153729502"</f>
        <v>20200111153729502</v>
      </c>
      <c r="B3958" t="str">
        <f>"1578728249497119"</f>
        <v>1578728249497119</v>
      </c>
      <c r="C3958" t="s">
        <v>37</v>
      </c>
      <c r="D3958">
        <v>6.3805839999999998</v>
      </c>
      <c r="E3958">
        <v>0.52322429999999998</v>
      </c>
      <c r="F3958" t="s">
        <v>38</v>
      </c>
      <c r="G3958">
        <v>-245.70050000000001</v>
      </c>
      <c r="H3958">
        <v>1.0451809999999999</v>
      </c>
      <c r="I3958">
        <v>140.50720000000001</v>
      </c>
      <c r="J3958">
        <v>-245.0428</v>
      </c>
      <c r="K3958">
        <v>1.0990599999999999</v>
      </c>
      <c r="L3958">
        <v>140.46510000000001</v>
      </c>
      <c r="M3958">
        <v>-0.99983250000000001</v>
      </c>
      <c r="N3958">
        <v>0</v>
      </c>
      <c r="O3958">
        <v>1.7927749999999999E-2</v>
      </c>
      <c r="P3958">
        <v>-0.99962280000000003</v>
      </c>
      <c r="Q3958">
        <v>2.0243859999999999E-2</v>
      </c>
      <c r="R3958">
        <v>-1.8569809999999999E-2</v>
      </c>
      <c r="S3958">
        <v>-3.0070950000000001</v>
      </c>
      <c r="T3958">
        <v>-0.14175969999999999</v>
      </c>
      <c r="U3958">
        <v>0.1332092</v>
      </c>
      <c r="V3958">
        <v>-3.6278039999999998E-2</v>
      </c>
      <c r="W3958">
        <v>2.4243669999999998E-2</v>
      </c>
      <c r="X3958">
        <v>0.99904760000000004</v>
      </c>
      <c r="Y3958">
        <v>2.6328170000000001E-2</v>
      </c>
      <c r="Z3958">
        <v>-2.2422079999999999E-4</v>
      </c>
      <c r="AA3958">
        <v>0.99965329999999997</v>
      </c>
      <c r="AB3958">
        <v>47</v>
      </c>
      <c r="AC3958">
        <v>-0.65770000000000495</v>
      </c>
      <c r="AD3958">
        <v>-5.3879000000000003E-2</v>
      </c>
      <c r="AE3958">
        <v>4.2100000000004897E-2</v>
      </c>
      <c r="AF3958">
        <v>3.0100891675695102E-2</v>
      </c>
      <c r="AG3958">
        <v>-5.3879000000000003E-2</v>
      </c>
      <c r="AH3958">
        <v>0.65397816068310899</v>
      </c>
      <c r="AI3958">
        <v>94.704805948561898</v>
      </c>
      <c r="AJ3958">
        <v>87.364686165061897</v>
      </c>
      <c r="AK3958">
        <v>0.656883890022533</v>
      </c>
    </row>
    <row r="3959" spans="1:37" x14ac:dyDescent="0.2">
      <c r="A3959" t="str">
        <f>"20200111153729525"</f>
        <v>20200111153729525</v>
      </c>
      <c r="B3959" t="str">
        <f>"1578728249516638"</f>
        <v>1578728249516638</v>
      </c>
      <c r="C3959" t="s">
        <v>37</v>
      </c>
      <c r="D3959">
        <v>6.2420489999999997</v>
      </c>
      <c r="E3959">
        <v>0.54022720000000002</v>
      </c>
      <c r="F3959" t="s">
        <v>38</v>
      </c>
      <c r="G3959">
        <v>-246.1251</v>
      </c>
      <c r="H3959">
        <v>1.0467919999999999</v>
      </c>
      <c r="I3959">
        <v>140.5153</v>
      </c>
      <c r="J3959">
        <v>-245.51509999999999</v>
      </c>
      <c r="K3959">
        <v>1.09921</v>
      </c>
      <c r="L3959">
        <v>140.47450000000001</v>
      </c>
      <c r="M3959">
        <v>-0.99978860000000003</v>
      </c>
      <c r="N3959">
        <v>0</v>
      </c>
      <c r="O3959">
        <v>2.022591E-2</v>
      </c>
      <c r="P3959">
        <v>-0.99965149999999903</v>
      </c>
      <c r="Q3959">
        <v>2.019514E-2</v>
      </c>
      <c r="R3959">
        <v>-1.7006629999999998E-2</v>
      </c>
      <c r="S3959">
        <v>-3.0066830000000002</v>
      </c>
      <c r="T3959">
        <v>-0.14521999999999999</v>
      </c>
      <c r="U3959">
        <v>0.13937379999999999</v>
      </c>
      <c r="V3959">
        <v>-3.7021699999999998E-2</v>
      </c>
      <c r="W3959">
        <v>2.4206479999999999E-2</v>
      </c>
      <c r="X3959">
        <v>0.99902119999999905</v>
      </c>
      <c r="Y3959">
        <v>2.6084300000000001E-2</v>
      </c>
      <c r="Z3959">
        <v>-3.4642339999999997E-4</v>
      </c>
      <c r="AA3959">
        <v>0.99965969999999904</v>
      </c>
      <c r="AB3959">
        <v>47</v>
      </c>
      <c r="AC3959">
        <v>-0.61000000000001298</v>
      </c>
      <c r="AD3959">
        <v>-5.2417999999999999E-2</v>
      </c>
      <c r="AE3959">
        <v>4.0799999999990101E-2</v>
      </c>
      <c r="AF3959">
        <v>2.82461192364106E-2</v>
      </c>
      <c r="AG3959">
        <v>-5.2417999999999999E-2</v>
      </c>
      <c r="AH3959">
        <v>0.60624377183334099</v>
      </c>
      <c r="AI3959">
        <v>94.936378794477406</v>
      </c>
      <c r="AJ3959">
        <v>87.332403321688602</v>
      </c>
      <c r="AK3959">
        <v>0.60916089899355297</v>
      </c>
    </row>
    <row r="3960" spans="1:37" x14ac:dyDescent="0.2">
      <c r="A3960" t="str">
        <f>"20200111153729548"</f>
        <v>20200111153729548</v>
      </c>
      <c r="B3960" t="str">
        <f>"1578728249537134"</f>
        <v>1578728249537134</v>
      </c>
      <c r="C3960" t="s">
        <v>37</v>
      </c>
      <c r="D3960">
        <v>6.1886099999999997</v>
      </c>
      <c r="E3960">
        <v>0.54167430000000005</v>
      </c>
      <c r="F3960" t="s">
        <v>38</v>
      </c>
      <c r="G3960">
        <v>-246.4991</v>
      </c>
      <c r="H3960">
        <v>0.94937130000000003</v>
      </c>
      <c r="I3960">
        <v>140.57069999999999</v>
      </c>
      <c r="J3960">
        <v>-246.01089999999999</v>
      </c>
      <c r="K3960">
        <v>1.0993850000000001</v>
      </c>
      <c r="L3960">
        <v>140.4854</v>
      </c>
      <c r="M3960">
        <v>-0.99974130000000005</v>
      </c>
      <c r="N3960">
        <v>0</v>
      </c>
      <c r="O3960">
        <v>2.2446629999999999E-2</v>
      </c>
      <c r="P3960">
        <v>-0.99964850000000005</v>
      </c>
      <c r="Q3960">
        <v>2.1777810000000002E-2</v>
      </c>
      <c r="R3960">
        <v>-1.5134470000000001E-2</v>
      </c>
      <c r="S3960">
        <v>-3.01532</v>
      </c>
      <c r="T3960">
        <v>-0.45919729999999997</v>
      </c>
      <c r="U3960">
        <v>0.29499819999999999</v>
      </c>
      <c r="V3960">
        <v>-3.7366049999999998E-2</v>
      </c>
      <c r="W3960">
        <v>2.5796719999999999E-2</v>
      </c>
      <c r="X3960">
        <v>0.99896859999999998</v>
      </c>
      <c r="Y3960">
        <v>7.4410439999999994E-2</v>
      </c>
      <c r="Z3960">
        <v>2.230559E-3</v>
      </c>
      <c r="AA3960">
        <v>0.99722520000000003</v>
      </c>
      <c r="AB3960">
        <v>47</v>
      </c>
      <c r="AC3960">
        <v>-0.48820000000000602</v>
      </c>
      <c r="AD3960">
        <v>-0.1500137</v>
      </c>
      <c r="AE3960">
        <v>8.5299999999989495E-2</v>
      </c>
      <c r="AF3960">
        <v>6.8082078041749705E-2</v>
      </c>
      <c r="AG3960">
        <v>-0.1500137</v>
      </c>
      <c r="AH3960">
        <v>0.44886515426810097</v>
      </c>
      <c r="AI3960">
        <v>108.284969261059</v>
      </c>
      <c r="AJ3960">
        <v>81.375342050794501</v>
      </c>
      <c r="AK3960">
        <v>0.47814140821967999</v>
      </c>
    </row>
    <row r="3961" spans="1:37" x14ac:dyDescent="0.2">
      <c r="A3961" t="str">
        <f>"20200111153729581"</f>
        <v>20200111153729581</v>
      </c>
      <c r="B3961" t="str">
        <f>"1578728249577150"</f>
        <v>1578728249577150</v>
      </c>
      <c r="C3961" t="s">
        <v>37</v>
      </c>
      <c r="D3961">
        <v>6.1672849999999997</v>
      </c>
      <c r="E3961">
        <v>0.54139440000000005</v>
      </c>
      <c r="F3961" t="s">
        <v>38</v>
      </c>
      <c r="G3961">
        <v>-246.91849999999999</v>
      </c>
      <c r="H3961">
        <v>0.93698199999999998</v>
      </c>
      <c r="I3961">
        <v>140.5806</v>
      </c>
      <c r="J3961">
        <v>-246.6893</v>
      </c>
      <c r="K3961">
        <v>1.0996379999999999</v>
      </c>
      <c r="L3961">
        <v>140.50200000000001</v>
      </c>
      <c r="M3961">
        <v>-0.99967600000000001</v>
      </c>
      <c r="N3961">
        <v>0</v>
      </c>
      <c r="O3961">
        <v>2.5171590000000001E-2</v>
      </c>
      <c r="P3961">
        <v>-0.99965700000000002</v>
      </c>
      <c r="Q3961">
        <v>2.3461539999999999E-2</v>
      </c>
      <c r="R3961">
        <v>-1.1650020000000001E-2</v>
      </c>
      <c r="S3961">
        <v>-3.0176240000000001</v>
      </c>
      <c r="T3961">
        <v>-0.53996929999999999</v>
      </c>
      <c r="U3961">
        <v>0.31599429999999901</v>
      </c>
      <c r="V3961">
        <v>-3.6608910000000001E-2</v>
      </c>
      <c r="W3961">
        <v>2.748078E-2</v>
      </c>
      <c r="X3961">
        <v>0.9989517</v>
      </c>
      <c r="Y3961">
        <v>7.8245490000000001E-2</v>
      </c>
      <c r="Z3961">
        <v>2.4719109999999998E-3</v>
      </c>
      <c r="AA3961">
        <v>0.99693109999999996</v>
      </c>
      <c r="AB3961">
        <v>47</v>
      </c>
      <c r="AC3961">
        <v>-0.22919999999999099</v>
      </c>
      <c r="AD3961">
        <v>-0.162655999999999</v>
      </c>
      <c r="AE3961">
        <v>7.8599999999994397E-2</v>
      </c>
      <c r="AF3961">
        <v>5.0188911036878898E-2</v>
      </c>
      <c r="AG3961">
        <v>-0.162655999999999</v>
      </c>
      <c r="AH3961">
        <v>0.15931373890495901</v>
      </c>
      <c r="AI3961">
        <v>134.23949490400599</v>
      </c>
      <c r="AJ3961">
        <v>72.513909558941194</v>
      </c>
      <c r="AK3961">
        <v>0.23314538067683299</v>
      </c>
    </row>
    <row r="3962" spans="1:37" x14ac:dyDescent="0.2">
      <c r="A3962" t="str">
        <f>"20200111153729603"</f>
        <v>20200111153729603</v>
      </c>
      <c r="B3962" t="str">
        <f>"1578728249596671"</f>
        <v>1578728249596671</v>
      </c>
      <c r="C3962" t="s">
        <v>37</v>
      </c>
      <c r="D3962">
        <v>6.1813789999999997</v>
      </c>
      <c r="E3962">
        <v>0.54119349999999999</v>
      </c>
      <c r="F3962" t="s">
        <v>38</v>
      </c>
      <c r="G3962">
        <v>-247.7534</v>
      </c>
      <c r="H3962">
        <v>0.89356170000000001</v>
      </c>
      <c r="I3962">
        <v>140.61699999999999</v>
      </c>
      <c r="J3962">
        <v>-247.178</v>
      </c>
      <c r="K3962">
        <v>1.099844</v>
      </c>
      <c r="L3962">
        <v>140.51499999999999</v>
      </c>
      <c r="M3962">
        <v>-0.99963199999999997</v>
      </c>
      <c r="N3962">
        <v>0</v>
      </c>
      <c r="O3962">
        <v>2.686564E-2</v>
      </c>
      <c r="P3962">
        <v>-0.99967030000000001</v>
      </c>
      <c r="Q3962">
        <v>2.3504480000000001E-2</v>
      </c>
      <c r="R3962">
        <v>-1.034825E-2</v>
      </c>
      <c r="S3962">
        <v>-3.0185240000000002</v>
      </c>
      <c r="T3962">
        <v>-0.5845901</v>
      </c>
      <c r="U3962">
        <v>0.32531739999999998</v>
      </c>
      <c r="V3962">
        <v>-3.7013740000000003E-2</v>
      </c>
      <c r="W3962">
        <v>2.7529399999999999E-2</v>
      </c>
      <c r="X3962">
        <v>0.99893549999999998</v>
      </c>
      <c r="Y3962">
        <v>7.9438209999999995E-2</v>
      </c>
      <c r="Z3962">
        <v>2.4617279999999998E-3</v>
      </c>
      <c r="AA3962">
        <v>0.99683679999999997</v>
      </c>
      <c r="AB3962">
        <v>48</v>
      </c>
      <c r="AC3962">
        <v>-0.57540000000000102</v>
      </c>
      <c r="AD3962">
        <v>-0.2062823</v>
      </c>
      <c r="AE3962">
        <v>0.102000000000032</v>
      </c>
      <c r="AF3962">
        <v>7.6919745193193001E-2</v>
      </c>
      <c r="AG3962">
        <v>-0.2062823</v>
      </c>
      <c r="AH3962">
        <v>0.51389680982552299</v>
      </c>
      <c r="AI3962">
        <v>111.65236664945699</v>
      </c>
      <c r="AJ3962">
        <v>81.487202338967606</v>
      </c>
      <c r="AK3962">
        <v>0.55906973236146995</v>
      </c>
    </row>
    <row r="3963" spans="1:37" x14ac:dyDescent="0.2">
      <c r="A3963" t="str">
        <f>"20200111153729626"</f>
        <v>20200111153729626</v>
      </c>
      <c r="B3963" t="str">
        <f>"1578728249617167"</f>
        <v>1578728249617167</v>
      </c>
      <c r="C3963" t="s">
        <v>37</v>
      </c>
      <c r="D3963">
        <v>6.1557490000000001</v>
      </c>
      <c r="E3963">
        <v>0.5411203</v>
      </c>
      <c r="F3963" t="s">
        <v>38</v>
      </c>
      <c r="G3963">
        <v>-248.1859</v>
      </c>
      <c r="H3963">
        <v>0.90172839999999999</v>
      </c>
      <c r="I3963">
        <v>140.62479999999999</v>
      </c>
      <c r="J3963">
        <v>-247.6902</v>
      </c>
      <c r="K3963">
        <v>1.1000620000000001</v>
      </c>
      <c r="L3963">
        <v>140.52940000000001</v>
      </c>
      <c r="M3963">
        <v>-0.99958819999999904</v>
      </c>
      <c r="N3963">
        <v>0</v>
      </c>
      <c r="O3963">
        <v>2.844462E-2</v>
      </c>
      <c r="P3963">
        <v>-0.99966319999999997</v>
      </c>
      <c r="Q3963">
        <v>2.4283490000000001E-2</v>
      </c>
      <c r="R3963">
        <v>-9.1503750000000005E-3</v>
      </c>
      <c r="S3963">
        <v>-3.0183559999999998</v>
      </c>
      <c r="T3963">
        <v>-0.59333749999999996</v>
      </c>
      <c r="U3963">
        <v>0.32856750000000001</v>
      </c>
      <c r="V3963">
        <v>-3.7402560000000001E-2</v>
      </c>
      <c r="W3963">
        <v>2.831349E-2</v>
      </c>
      <c r="X3963">
        <v>0.99889910000000004</v>
      </c>
      <c r="Y3963">
        <v>7.8941040000000004E-2</v>
      </c>
      <c r="Z3963">
        <v>2.1433749999999999E-3</v>
      </c>
      <c r="AA3963">
        <v>0.99687700000000001</v>
      </c>
      <c r="AB3963">
        <v>48</v>
      </c>
      <c r="AC3963">
        <v>-0.49569999999999897</v>
      </c>
      <c r="AD3963">
        <v>-0.1983336</v>
      </c>
      <c r="AE3963">
        <v>9.5399999999983706E-2</v>
      </c>
      <c r="AF3963">
        <v>7.0394569632890799E-2</v>
      </c>
      <c r="AG3963">
        <v>-0.1983336</v>
      </c>
      <c r="AH3963">
        <v>0.43158913829575102</v>
      </c>
      <c r="AI3963">
        <v>114.396631619023</v>
      </c>
      <c r="AJ3963">
        <v>80.736315976753701</v>
      </c>
      <c r="AK3963">
        <v>0.48016746726285903</v>
      </c>
    </row>
    <row r="3964" spans="1:37" x14ac:dyDescent="0.2">
      <c r="A3964" t="str">
        <f>"20200111153729649"</f>
        <v>20200111153729649</v>
      </c>
      <c r="B3964" t="str">
        <f>"1578728249636686"</f>
        <v>1578728249636686</v>
      </c>
      <c r="C3964" t="s">
        <v>37</v>
      </c>
      <c r="D3964">
        <v>6.1835190000000004</v>
      </c>
      <c r="E3964">
        <v>0.54104300000000005</v>
      </c>
      <c r="F3964" t="s">
        <v>38</v>
      </c>
      <c r="G3964">
        <v>-248.6224</v>
      </c>
      <c r="H3964">
        <v>0.9159429</v>
      </c>
      <c r="I3964">
        <v>140.63210000000001</v>
      </c>
      <c r="J3964">
        <v>-248.1722</v>
      </c>
      <c r="K3964">
        <v>1.1002689999999999</v>
      </c>
      <c r="L3964">
        <v>140.5436</v>
      </c>
      <c r="M3964">
        <v>-0.99955039999999995</v>
      </c>
      <c r="N3964">
        <v>0</v>
      </c>
      <c r="O3964">
        <v>2.973872E-2</v>
      </c>
      <c r="P3964">
        <v>-0.99965969999999904</v>
      </c>
      <c r="Q3964">
        <v>2.5177049999999999E-2</v>
      </c>
      <c r="R3964">
        <v>-6.8488869999999997E-3</v>
      </c>
      <c r="S3964">
        <v>-3.0185240000000002</v>
      </c>
      <c r="T3964">
        <v>-0.59624880000000002</v>
      </c>
      <c r="U3964">
        <v>0.33145140000000001</v>
      </c>
      <c r="V3964">
        <v>-3.6404209999999999E-2</v>
      </c>
      <c r="W3964">
        <v>2.9203860000000002E-2</v>
      </c>
      <c r="X3964">
        <v>0.99891039999999998</v>
      </c>
      <c r="Y3964">
        <v>7.8607720000000006E-2</v>
      </c>
      <c r="Z3964">
        <v>1.868815E-3</v>
      </c>
      <c r="AA3964">
        <v>0.99690389999999995</v>
      </c>
      <c r="AB3964">
        <v>48</v>
      </c>
      <c r="AC3964">
        <v>-0.45019999999999499</v>
      </c>
      <c r="AD3964">
        <v>-0.18432609999999899</v>
      </c>
      <c r="AE3964">
        <v>8.8500000000010404E-2</v>
      </c>
      <c r="AF3964">
        <v>6.4639713024720796E-2</v>
      </c>
      <c r="AG3964">
        <v>-0.18432609999999899</v>
      </c>
      <c r="AH3964">
        <v>0.38973121431789498</v>
      </c>
      <c r="AI3964">
        <v>115.012956887313</v>
      </c>
      <c r="AJ3964">
        <v>80.582811380160805</v>
      </c>
      <c r="AK3964">
        <v>0.435941306892142</v>
      </c>
    </row>
    <row r="3965" spans="1:37" x14ac:dyDescent="0.2">
      <c r="A3965" t="str">
        <f>"20200111153729670"</f>
        <v>20200111153729670</v>
      </c>
      <c r="B3965" t="str">
        <f>"1578728249666942"</f>
        <v>1578728249666942</v>
      </c>
      <c r="C3965" t="s">
        <v>37</v>
      </c>
      <c r="D3965">
        <v>6.2057699999999896</v>
      </c>
      <c r="E3965">
        <v>0.54132380000000002</v>
      </c>
      <c r="F3965" t="s">
        <v>38</v>
      </c>
      <c r="G3965">
        <v>-249.05799999999999</v>
      </c>
      <c r="H3965">
        <v>0.92466809999999999</v>
      </c>
      <c r="I3965">
        <v>140.64240000000001</v>
      </c>
      <c r="J3965">
        <v>-248.64109999999999</v>
      </c>
      <c r="K3965">
        <v>1.100476</v>
      </c>
      <c r="L3965">
        <v>140.55789999999999</v>
      </c>
      <c r="M3965">
        <v>-0.99951800000000002</v>
      </c>
      <c r="N3965">
        <v>0</v>
      </c>
      <c r="O3965">
        <v>3.0809110000000001E-2</v>
      </c>
      <c r="P3965">
        <v>-0.99966529999999998</v>
      </c>
      <c r="Q3965">
        <v>2.5443670000000002E-2</v>
      </c>
      <c r="R3965">
        <v>-4.7374879999999998E-3</v>
      </c>
      <c r="S3965">
        <v>-3.0183869999999899</v>
      </c>
      <c r="T3965">
        <v>-0.59830240000000001</v>
      </c>
      <c r="U3965">
        <v>0.3362579</v>
      </c>
      <c r="V3965">
        <v>-3.5376980000000002E-2</v>
      </c>
      <c r="W3965">
        <v>2.946696E-2</v>
      </c>
      <c r="X3965">
        <v>0.99893949999999998</v>
      </c>
      <c r="Y3965">
        <v>7.9117980000000004E-2</v>
      </c>
      <c r="Z3965">
        <v>1.715769E-3</v>
      </c>
      <c r="AA3965">
        <v>0.99686379999999997</v>
      </c>
      <c r="AB3965">
        <v>48</v>
      </c>
      <c r="AC3965">
        <v>-0.41689999999999799</v>
      </c>
      <c r="AD3965">
        <v>-0.17580789999999899</v>
      </c>
      <c r="AE3965">
        <v>8.4500000000019698E-2</v>
      </c>
      <c r="AF3965">
        <v>6.1167155968608798E-2</v>
      </c>
      <c r="AG3965">
        <v>-0.17580789999999899</v>
      </c>
      <c r="AH3965">
        <v>0.35813102819221798</v>
      </c>
      <c r="AI3965">
        <v>115.822185939207</v>
      </c>
      <c r="AJ3965">
        <v>80.307663824577503</v>
      </c>
      <c r="AK3965">
        <v>0.40361822558664701</v>
      </c>
    </row>
    <row r="3966" spans="1:37" x14ac:dyDescent="0.2">
      <c r="A3966" t="str">
        <f>"20200111153729692"</f>
        <v>20200111153729692</v>
      </c>
      <c r="B3966" t="str">
        <f>"1578728249687438"</f>
        <v>1578728249687438</v>
      </c>
      <c r="C3966" t="s">
        <v>37</v>
      </c>
      <c r="D3966">
        <v>6.1866459999999996</v>
      </c>
      <c r="E3966">
        <v>0.5417767</v>
      </c>
      <c r="F3966" t="s">
        <v>38</v>
      </c>
      <c r="G3966">
        <v>-249.49529999999999</v>
      </c>
      <c r="H3966">
        <v>0.93407739999999995</v>
      </c>
      <c r="I3966">
        <v>140.65559999999999</v>
      </c>
      <c r="J3966">
        <v>-249.1027</v>
      </c>
      <c r="K3966">
        <v>1.1006879999999899</v>
      </c>
      <c r="L3966">
        <v>140.57249999999999</v>
      </c>
      <c r="M3966">
        <v>-0.99949080000000001</v>
      </c>
      <c r="N3966">
        <v>0</v>
      </c>
      <c r="O3966">
        <v>3.1676240000000001E-2</v>
      </c>
      <c r="P3966">
        <v>-0.99966540000000004</v>
      </c>
      <c r="Q3966">
        <v>2.5662319999999999E-2</v>
      </c>
      <c r="R3966">
        <v>-3.2674869999999999E-3</v>
      </c>
      <c r="S3966">
        <v>-3.0175930000000002</v>
      </c>
      <c r="T3966">
        <v>-0.58791689999999996</v>
      </c>
      <c r="U3966">
        <v>0.34371950000000001</v>
      </c>
      <c r="V3966">
        <v>-3.4788949999999999E-2</v>
      </c>
      <c r="W3966">
        <v>2.9685260000000002E-2</v>
      </c>
      <c r="X3966">
        <v>0.99895369999999994</v>
      </c>
      <c r="Y3966">
        <v>8.0733579999999999E-2</v>
      </c>
      <c r="Z3966">
        <v>1.6755889999999999E-3</v>
      </c>
      <c r="AA3966">
        <v>0.99673429999999996</v>
      </c>
      <c r="AB3966">
        <v>48</v>
      </c>
      <c r="AC3966">
        <v>-0.39259999999998701</v>
      </c>
      <c r="AD3966">
        <v>-0.166610599999999</v>
      </c>
      <c r="AE3966">
        <v>8.31000000000017E-2</v>
      </c>
      <c r="AF3966">
        <v>6.0238579937438502E-2</v>
      </c>
      <c r="AG3966">
        <v>-0.166610599999999</v>
      </c>
      <c r="AH3966">
        <v>0.33695345271761701</v>
      </c>
      <c r="AI3966">
        <v>115.954258012396</v>
      </c>
      <c r="AJ3966">
        <v>79.864070475243494</v>
      </c>
      <c r="AK3966">
        <v>0.38069069839380398</v>
      </c>
    </row>
    <row r="3967" spans="1:37" x14ac:dyDescent="0.2">
      <c r="A3967" t="str">
        <f>"20200111153729715"</f>
        <v>20200111153729715</v>
      </c>
      <c r="B3967" t="str">
        <f>"1578728249706959"</f>
        <v>1578728249706959</v>
      </c>
      <c r="C3967" t="s">
        <v>37</v>
      </c>
      <c r="D3967">
        <v>6.1767500000000002</v>
      </c>
      <c r="E3967">
        <v>0.54215930000000001</v>
      </c>
      <c r="F3967" t="s">
        <v>38</v>
      </c>
      <c r="G3967">
        <v>-249.9314</v>
      </c>
      <c r="H3967">
        <v>0.93838600000000005</v>
      </c>
      <c r="I3967">
        <v>140.66919999999999</v>
      </c>
      <c r="J3967">
        <v>-249.6026</v>
      </c>
      <c r="K3967">
        <v>1.1009329999999999</v>
      </c>
      <c r="L3967">
        <v>140.58850000000001</v>
      </c>
      <c r="M3967">
        <v>-0.99946710000000005</v>
      </c>
      <c r="N3967">
        <v>0</v>
      </c>
      <c r="O3967">
        <v>3.2412870000000003E-2</v>
      </c>
      <c r="P3967">
        <v>-0.99967989999999995</v>
      </c>
      <c r="Q3967">
        <v>2.520706E-2</v>
      </c>
      <c r="R3967">
        <v>-2.2294569999999998E-3</v>
      </c>
      <c r="S3967">
        <v>-3.0173190000000001</v>
      </c>
      <c r="T3967">
        <v>-0.59097949999999999</v>
      </c>
      <c r="U3967">
        <v>0.35215759999999902</v>
      </c>
      <c r="V3967">
        <v>-3.4507429999999999E-2</v>
      </c>
      <c r="W3967">
        <v>2.9231030000000002E-2</v>
      </c>
      <c r="X3967">
        <v>0.99897689999999995</v>
      </c>
      <c r="Y3967">
        <v>8.2727199999999904E-2</v>
      </c>
      <c r="Z3967">
        <v>1.7346099999999999E-3</v>
      </c>
      <c r="AA3967">
        <v>0.99657070000000003</v>
      </c>
      <c r="AB3967">
        <v>48</v>
      </c>
      <c r="AC3967">
        <v>-0.32880000000000098</v>
      </c>
      <c r="AD3967">
        <v>-0.162546999999999</v>
      </c>
      <c r="AE3967">
        <v>8.06999999999789E-2</v>
      </c>
      <c r="AF3967">
        <v>5.6887105848044198E-2</v>
      </c>
      <c r="AG3967">
        <v>-0.162546999999999</v>
      </c>
      <c r="AH3967">
        <v>0.26919156376395598</v>
      </c>
      <c r="AI3967">
        <v>120.57400692122501</v>
      </c>
      <c r="AJ3967">
        <v>78.067489438921001</v>
      </c>
      <c r="AK3967">
        <v>0.31956496682591901</v>
      </c>
    </row>
    <row r="3968" spans="1:37" x14ac:dyDescent="0.2">
      <c r="A3968" t="str">
        <f>"20200111153729737"</f>
        <v>20200111153729737</v>
      </c>
      <c r="B3968" t="str">
        <f>"1578728249727454"</f>
        <v>1578728249727454</v>
      </c>
      <c r="C3968" t="s">
        <v>37</v>
      </c>
      <c r="D3968">
        <v>6.5530559999999998</v>
      </c>
      <c r="E3968">
        <v>0.54247049999999997</v>
      </c>
      <c r="F3968" t="s">
        <v>38</v>
      </c>
      <c r="G3968">
        <v>-250.37129999999999</v>
      </c>
      <c r="H3968">
        <v>0.94786099999999995</v>
      </c>
      <c r="I3968">
        <v>140.68020000000001</v>
      </c>
      <c r="J3968">
        <v>-250.08690000000001</v>
      </c>
      <c r="K3968">
        <v>1.101159</v>
      </c>
      <c r="L3968">
        <v>140.6044</v>
      </c>
      <c r="M3968">
        <v>-0.999449699999999</v>
      </c>
      <c r="N3968">
        <v>0</v>
      </c>
      <c r="O3968">
        <v>3.2941789999999999E-2</v>
      </c>
      <c r="P3968">
        <v>-0.99967410000000001</v>
      </c>
      <c r="Q3968">
        <v>2.5520310000000001E-2</v>
      </c>
      <c r="R3968">
        <v>-5.7102390000000002E-4</v>
      </c>
      <c r="S3968">
        <v>-3.01689099999999</v>
      </c>
      <c r="T3968">
        <v>-0.60077700000000001</v>
      </c>
      <c r="U3968">
        <v>0.35911559999999998</v>
      </c>
      <c r="V3968">
        <v>-3.3393390000000002E-2</v>
      </c>
      <c r="W3968">
        <v>2.9543690000000001E-2</v>
      </c>
      <c r="X3968">
        <v>0.99900560000000005</v>
      </c>
      <c r="Y3968">
        <v>8.4429100000000007E-2</v>
      </c>
      <c r="Z3968">
        <v>1.826324E-3</v>
      </c>
      <c r="AA3968">
        <v>0.99642779999999997</v>
      </c>
      <c r="AB3968">
        <v>49</v>
      </c>
      <c r="AC3968">
        <v>-0.28439999999997601</v>
      </c>
      <c r="AD3968">
        <v>-0.15329799999999899</v>
      </c>
      <c r="AE3968">
        <v>7.5800000000015105E-2</v>
      </c>
      <c r="AF3968">
        <v>5.2223277994066002E-2</v>
      </c>
      <c r="AG3968">
        <v>-0.15329799999999899</v>
      </c>
      <c r="AH3968">
        <v>0.225555183458232</v>
      </c>
      <c r="AI3968">
        <v>123.509802026093</v>
      </c>
      <c r="AJ3968">
        <v>76.963887915987101</v>
      </c>
      <c r="AK3968">
        <v>0.27767370843009598</v>
      </c>
    </row>
    <row r="3969" spans="1:37" x14ac:dyDescent="0.2">
      <c r="A3969" t="str">
        <f>"20200111153729759"</f>
        <v>20200111153729759</v>
      </c>
      <c r="B3969" t="str">
        <f>"1578728249746977"</f>
        <v>1578728249746977</v>
      </c>
      <c r="C3969" t="s">
        <v>37</v>
      </c>
      <c r="D3969">
        <v>6.1900899999999996</v>
      </c>
      <c r="E3969">
        <v>0.54291330000000004</v>
      </c>
      <c r="F3969" t="s">
        <v>38</v>
      </c>
      <c r="G3969">
        <v>-250.8115</v>
      </c>
      <c r="H3969">
        <v>0.95560480000000003</v>
      </c>
      <c r="I3969">
        <v>140.6926</v>
      </c>
      <c r="J3969">
        <v>-250.56059999999999</v>
      </c>
      <c r="K3969">
        <v>1.1013660000000001</v>
      </c>
      <c r="L3969">
        <v>140.62010000000001</v>
      </c>
      <c r="M3969">
        <v>-0.99943749999999998</v>
      </c>
      <c r="N3969">
        <v>0</v>
      </c>
      <c r="O3969">
        <v>3.3309449999999997E-2</v>
      </c>
      <c r="P3969">
        <v>-0.99967119999999998</v>
      </c>
      <c r="Q3969">
        <v>2.5632539999999999E-2</v>
      </c>
      <c r="R3969">
        <v>8.4267779999999996E-4</v>
      </c>
      <c r="S3969">
        <v>-3.0166629999999999</v>
      </c>
      <c r="T3969">
        <v>-0.60591969999999995</v>
      </c>
      <c r="U3969">
        <v>0.36708069999999998</v>
      </c>
      <c r="V3969">
        <v>-3.2361939999999999E-2</v>
      </c>
      <c r="W3969">
        <v>2.9658090000000002E-2</v>
      </c>
      <c r="X3969">
        <v>0.99903609999999898</v>
      </c>
      <c r="Y3969">
        <v>8.6612220000000004E-2</v>
      </c>
      <c r="Z3969">
        <v>1.985129E-3</v>
      </c>
      <c r="AA3969">
        <v>0.99624009999999996</v>
      </c>
      <c r="AB3969">
        <v>49</v>
      </c>
      <c r="AC3969">
        <v>-0.25090000000000101</v>
      </c>
      <c r="AD3969">
        <v>-0.14576120000000001</v>
      </c>
      <c r="AE3969">
        <v>7.2499999999990905E-2</v>
      </c>
      <c r="AF3969">
        <v>4.8877229784121699E-2</v>
      </c>
      <c r="AG3969">
        <v>-0.14576120000000001</v>
      </c>
      <c r="AH3969">
        <v>0.19304324027053299</v>
      </c>
      <c r="AI3969">
        <v>126.203099646201</v>
      </c>
      <c r="AJ3969">
        <v>75.791693277551204</v>
      </c>
      <c r="AK3969">
        <v>0.246781287035619</v>
      </c>
    </row>
    <row r="3970" spans="1:37" x14ac:dyDescent="0.2">
      <c r="A3970" t="str">
        <f>"20200111153729781"</f>
        <v>20200111153729781</v>
      </c>
      <c r="B3970" t="str">
        <f>"1578728249777230"</f>
        <v>1578728249777230</v>
      </c>
      <c r="C3970" t="s">
        <v>37</v>
      </c>
      <c r="D3970">
        <v>6.1806449999999904</v>
      </c>
      <c r="E3970">
        <v>0.54323859999999902</v>
      </c>
      <c r="F3970" t="s">
        <v>38</v>
      </c>
      <c r="G3970">
        <v>-251.25190000000001</v>
      </c>
      <c r="H3970">
        <v>0.96115759999999995</v>
      </c>
      <c r="I3970">
        <v>140.7064</v>
      </c>
      <c r="J3970">
        <v>-251.03829999999999</v>
      </c>
      <c r="K3970">
        <v>1.1015629999999901</v>
      </c>
      <c r="L3970">
        <v>140.636</v>
      </c>
      <c r="M3970">
        <v>-0.99942949999999997</v>
      </c>
      <c r="N3970">
        <v>0</v>
      </c>
      <c r="O3970">
        <v>3.3544199999999899E-2</v>
      </c>
      <c r="P3970">
        <v>-0.99968459999999904</v>
      </c>
      <c r="Q3970">
        <v>2.5054449999999999E-2</v>
      </c>
      <c r="R3970">
        <v>1.790842E-3</v>
      </c>
      <c r="S3970">
        <v>-3.0163570000000002</v>
      </c>
      <c r="T3970">
        <v>-0.61179559999999999</v>
      </c>
      <c r="U3970">
        <v>0.37530520000000001</v>
      </c>
      <c r="V3970">
        <v>-3.1665520000000003E-2</v>
      </c>
      <c r="W3970">
        <v>2.9085650000000001E-2</v>
      </c>
      <c r="X3970">
        <v>0.99907520000000005</v>
      </c>
      <c r="Y3970">
        <v>8.900276E-2</v>
      </c>
      <c r="Z3970">
        <v>2.1961540000000001E-3</v>
      </c>
      <c r="AA3970">
        <v>0.99602900000000005</v>
      </c>
      <c r="AB3970">
        <v>49</v>
      </c>
      <c r="AC3970">
        <v>-0.213600000000013</v>
      </c>
      <c r="AD3970">
        <v>-0.14040539999999899</v>
      </c>
      <c r="AE3970">
        <v>7.0400000000006402E-2</v>
      </c>
      <c r="AF3970">
        <v>4.5472615620339801E-2</v>
      </c>
      <c r="AG3970">
        <v>-0.14040539999999899</v>
      </c>
      <c r="AH3970">
        <v>0.15531015593022501</v>
      </c>
      <c r="AI3970">
        <v>130.945219797031</v>
      </c>
      <c r="AJ3970">
        <v>73.680716098702405</v>
      </c>
      <c r="AK3970">
        <v>0.21424910654559501</v>
      </c>
    </row>
    <row r="3971" spans="1:37" x14ac:dyDescent="0.2">
      <c r="A3971" t="str">
        <f>"20200111153729804"</f>
        <v>20200111153729804</v>
      </c>
      <c r="B3971" t="str">
        <f>"1578728249796750"</f>
        <v>1578728249796750</v>
      </c>
      <c r="C3971" t="s">
        <v>37</v>
      </c>
      <c r="D3971">
        <v>6.172822</v>
      </c>
      <c r="E3971">
        <v>0.54390799999999995</v>
      </c>
      <c r="F3971" t="s">
        <v>38</v>
      </c>
      <c r="G3971">
        <v>-252.09549999999999</v>
      </c>
      <c r="H3971">
        <v>0.88437639999999995</v>
      </c>
      <c r="I3971">
        <v>140.7697</v>
      </c>
      <c r="J3971">
        <v>-251.55889999999999</v>
      </c>
      <c r="K3971">
        <v>1.101761</v>
      </c>
      <c r="L3971">
        <v>140.65350000000001</v>
      </c>
      <c r="M3971">
        <v>-0.99942520000000001</v>
      </c>
      <c r="N3971">
        <v>0</v>
      </c>
      <c r="O3971">
        <v>3.3670470000000001E-2</v>
      </c>
      <c r="P3971">
        <v>-0.99972280000000002</v>
      </c>
      <c r="Q3971">
        <v>2.3515520000000002E-2</v>
      </c>
      <c r="R3971">
        <v>1.2913639999999999E-3</v>
      </c>
      <c r="S3971">
        <v>-3.0157780000000001</v>
      </c>
      <c r="T3971">
        <v>-0.61951239999999996</v>
      </c>
      <c r="U3971">
        <v>0.380722</v>
      </c>
      <c r="V3971">
        <v>-3.23091E-2</v>
      </c>
      <c r="W3971">
        <v>2.7557999999999999E-2</v>
      </c>
      <c r="X3971">
        <v>0.99909789999999998</v>
      </c>
      <c r="Y3971">
        <v>9.0603370000000003E-2</v>
      </c>
      <c r="Z3971">
        <v>2.3600660000000001E-3</v>
      </c>
      <c r="AA3971">
        <v>0.995884199999999</v>
      </c>
      <c r="AB3971">
        <v>49</v>
      </c>
      <c r="AC3971">
        <v>-0.53659999999999197</v>
      </c>
      <c r="AD3971">
        <v>-0.21738460000000001</v>
      </c>
      <c r="AE3971">
        <v>0.116199999999992</v>
      </c>
      <c r="AF3971">
        <v>8.4776297899610401E-2</v>
      </c>
      <c r="AG3971">
        <v>-0.21738460000000001</v>
      </c>
      <c r="AH3971">
        <v>0.46699847192483401</v>
      </c>
      <c r="AI3971">
        <v>114.60813881150099</v>
      </c>
      <c r="AJ3971">
        <v>79.710892266568905</v>
      </c>
      <c r="AK3971">
        <v>0.522044689449911</v>
      </c>
    </row>
    <row r="3972" spans="1:37" x14ac:dyDescent="0.2">
      <c r="A3972" t="str">
        <f>"20200111153729826"</f>
        <v>20200111153729826</v>
      </c>
      <c r="B3972" t="str">
        <f>"1578728249817249"</f>
        <v>1578728249817249</v>
      </c>
      <c r="C3972" t="s">
        <v>37</v>
      </c>
      <c r="D3972">
        <v>6.1616569999999999</v>
      </c>
      <c r="E3972">
        <v>0.54380919999999999</v>
      </c>
      <c r="F3972" t="s">
        <v>38</v>
      </c>
      <c r="G3972">
        <v>-252.52520000000001</v>
      </c>
      <c r="H3972">
        <v>0.85440699999999903</v>
      </c>
      <c r="I3972">
        <v>140.77889999999999</v>
      </c>
      <c r="J3972">
        <v>-252.04</v>
      </c>
      <c r="K3972">
        <v>1.1019289999999999</v>
      </c>
      <c r="L3972">
        <v>140.66970000000001</v>
      </c>
      <c r="M3972">
        <v>-0.99942399999999998</v>
      </c>
      <c r="N3972">
        <v>0</v>
      </c>
      <c r="O3972">
        <v>3.3699670000000001E-2</v>
      </c>
      <c r="P3972">
        <v>-0.9997277</v>
      </c>
      <c r="Q3972">
        <v>2.3307089999999999E-2</v>
      </c>
      <c r="R3972">
        <v>-1.003831E-3</v>
      </c>
      <c r="S3972">
        <v>-3.0185240000000002</v>
      </c>
      <c r="T3972">
        <v>-0.77269480000000001</v>
      </c>
      <c r="U3972">
        <v>0.391098</v>
      </c>
      <c r="V3972">
        <v>-3.4644059999999997E-2</v>
      </c>
      <c r="W3972">
        <v>2.7363999999999999E-2</v>
      </c>
      <c r="X3972">
        <v>0.99902500000000005</v>
      </c>
      <c r="Y3972">
        <v>9.3115489999999995E-2</v>
      </c>
      <c r="Z3972">
        <v>3.2320539999999998E-3</v>
      </c>
      <c r="AA3972">
        <v>0.99565009999999998</v>
      </c>
      <c r="AB3972">
        <v>49</v>
      </c>
      <c r="AC3972">
        <v>-0.48520000000002</v>
      </c>
      <c r="AD3972">
        <v>-0.24752199999999999</v>
      </c>
      <c r="AE3972">
        <v>0.109199999999987</v>
      </c>
      <c r="AF3972">
        <v>7.4366217742334803E-2</v>
      </c>
      <c r="AG3972">
        <v>-0.24752199999999999</v>
      </c>
      <c r="AH3972">
        <v>0.39160396094563699</v>
      </c>
      <c r="AI3972">
        <v>121.83922429584599</v>
      </c>
      <c r="AJ3972">
        <v>79.247474619792001</v>
      </c>
      <c r="AK3972">
        <v>0.46920266096177699</v>
      </c>
    </row>
    <row r="3973" spans="1:37" x14ac:dyDescent="0.2">
      <c r="A3973" t="str">
        <f>"20200111153729848"</f>
        <v>20200111153729848</v>
      </c>
      <c r="B3973" t="str">
        <f>"1578728249836769"</f>
        <v>1578728249836769</v>
      </c>
      <c r="C3973" t="s">
        <v>37</v>
      </c>
      <c r="D3973">
        <v>6.1573690000000001</v>
      </c>
      <c r="E3973">
        <v>0.54413840000000002</v>
      </c>
      <c r="F3973" t="s">
        <v>38</v>
      </c>
      <c r="G3973">
        <v>-252.97149999999999</v>
      </c>
      <c r="H3973">
        <v>0.86350389999999999</v>
      </c>
      <c r="I3973">
        <v>140.7884</v>
      </c>
      <c r="J3973">
        <v>-252.5265</v>
      </c>
      <c r="K3973">
        <v>1.1020859999999999</v>
      </c>
      <c r="L3973">
        <v>140.68610000000001</v>
      </c>
      <c r="M3973">
        <v>-0.99942529999999996</v>
      </c>
      <c r="N3973">
        <v>0</v>
      </c>
      <c r="O3973">
        <v>3.3661950000000003E-2</v>
      </c>
      <c r="P3973">
        <v>-0.99969319999999895</v>
      </c>
      <c r="Q3973">
        <v>2.4479170000000001E-2</v>
      </c>
      <c r="R3973">
        <v>-3.8362100000000001E-3</v>
      </c>
      <c r="S3973">
        <v>-3.0192570000000001</v>
      </c>
      <c r="T3973">
        <v>-0.77285019999999904</v>
      </c>
      <c r="U3973">
        <v>0.38403320000000002</v>
      </c>
      <c r="V3973">
        <v>-3.7444230000000002E-2</v>
      </c>
      <c r="W3973">
        <v>2.8549910000000001E-2</v>
      </c>
      <c r="X3973">
        <v>0.99889079999999997</v>
      </c>
      <c r="Y3973">
        <v>9.0898569999999998E-2</v>
      </c>
      <c r="Z3973">
        <v>2.9635909999999998E-3</v>
      </c>
      <c r="AA3973">
        <v>0.99585569999999901</v>
      </c>
      <c r="AB3973">
        <v>49</v>
      </c>
      <c r="AC3973">
        <v>-0.44499999999999301</v>
      </c>
      <c r="AD3973">
        <v>-0.23858209999999999</v>
      </c>
      <c r="AE3973">
        <v>0.102299999999985</v>
      </c>
      <c r="AF3973">
        <v>6.8547653212225099E-2</v>
      </c>
      <c r="AG3973">
        <v>-0.23858209999999999</v>
      </c>
      <c r="AH3973">
        <v>0.35207024463483799</v>
      </c>
      <c r="AI3973">
        <v>123.630448196396</v>
      </c>
      <c r="AJ3973">
        <v>78.982417394792506</v>
      </c>
      <c r="AK3973">
        <v>0.43078260916446898</v>
      </c>
    </row>
    <row r="3974" spans="1:37" x14ac:dyDescent="0.2">
      <c r="A3974" t="str">
        <f>"20200111153729871"</f>
        <v>20200111153729871</v>
      </c>
      <c r="B3974" t="str">
        <f>"1578728249867023"</f>
        <v>1578728249867023</v>
      </c>
      <c r="C3974" t="s">
        <v>37</v>
      </c>
      <c r="D3974">
        <v>6.1367129999999896</v>
      </c>
      <c r="E3974">
        <v>0.54427809999999999</v>
      </c>
      <c r="F3974" t="s">
        <v>38</v>
      </c>
      <c r="G3974">
        <v>-253.42019999999999</v>
      </c>
      <c r="H3974">
        <v>0.87557850000000004</v>
      </c>
      <c r="I3974">
        <v>140.79769999999999</v>
      </c>
      <c r="J3974">
        <v>-253.01169999999999</v>
      </c>
      <c r="K3974">
        <v>1.1022299999999901</v>
      </c>
      <c r="L3974">
        <v>140.70240000000001</v>
      </c>
      <c r="M3974">
        <v>-0.99942819999999899</v>
      </c>
      <c r="N3974">
        <v>0</v>
      </c>
      <c r="O3974">
        <v>3.3574439999999997E-2</v>
      </c>
      <c r="P3974">
        <v>-0.99961889999999998</v>
      </c>
      <c r="Q3974">
        <v>2.689366E-2</v>
      </c>
      <c r="R3974">
        <v>-6.2257479999999997E-3</v>
      </c>
      <c r="S3974">
        <v>-3.021118</v>
      </c>
      <c r="T3974">
        <v>-0.76565539999999999</v>
      </c>
      <c r="U3974">
        <v>0.37693789999999999</v>
      </c>
      <c r="V3974">
        <v>-3.9748480000000003E-2</v>
      </c>
      <c r="W3974">
        <v>3.097784E-2</v>
      </c>
      <c r="X3974">
        <v>0.99872939999999999</v>
      </c>
      <c r="Y3974">
        <v>8.8706399999999894E-2</v>
      </c>
      <c r="Z3974">
        <v>2.6846940000000001E-3</v>
      </c>
      <c r="AA3974">
        <v>0.9960542</v>
      </c>
      <c r="AB3974">
        <v>50</v>
      </c>
      <c r="AC3974">
        <v>-0.40850000000000303</v>
      </c>
      <c r="AD3974">
        <v>-0.22665149999999901</v>
      </c>
      <c r="AE3974">
        <v>9.52999999999804E-2</v>
      </c>
      <c r="AF3974">
        <v>6.31066463447926E-2</v>
      </c>
      <c r="AG3974">
        <v>-0.22665149999999901</v>
      </c>
      <c r="AH3974">
        <v>0.31848561647040602</v>
      </c>
      <c r="AI3974">
        <v>124.918190263708</v>
      </c>
      <c r="AJ3974">
        <v>78.792245392267901</v>
      </c>
      <c r="AK3974">
        <v>0.39596267395257201</v>
      </c>
    </row>
    <row r="3975" spans="1:37" x14ac:dyDescent="0.2">
      <c r="A3975" t="str">
        <f>"20200111153729893"</f>
        <v>20200111153729893</v>
      </c>
      <c r="B3975" t="str">
        <f>"1578728249886542"</f>
        <v>1578728249886542</v>
      </c>
      <c r="C3975" t="s">
        <v>37</v>
      </c>
      <c r="D3975">
        <v>6.1197029999999897</v>
      </c>
      <c r="E3975">
        <v>0.5451648</v>
      </c>
      <c r="F3975" t="s">
        <v>38</v>
      </c>
      <c r="G3975">
        <v>-253.8699</v>
      </c>
      <c r="H3975">
        <v>0.88699419999999995</v>
      </c>
      <c r="I3975">
        <v>140.8074</v>
      </c>
      <c r="J3975">
        <v>-253.52420000000001</v>
      </c>
      <c r="K3975">
        <v>1.102357</v>
      </c>
      <c r="L3975">
        <v>140.71960000000001</v>
      </c>
      <c r="M3975">
        <v>-0.99943249999999995</v>
      </c>
      <c r="N3975">
        <v>0</v>
      </c>
      <c r="O3975">
        <v>3.3443349999999997E-2</v>
      </c>
      <c r="P3975">
        <v>-0.99954489999999996</v>
      </c>
      <c r="Q3975">
        <v>2.9077329999999998E-2</v>
      </c>
      <c r="R3975">
        <v>-8.0779210000000001E-3</v>
      </c>
      <c r="S3975">
        <v>-3.0238649999999998</v>
      </c>
      <c r="T3975">
        <v>-0.75843229999999995</v>
      </c>
      <c r="U3975">
        <v>0.36907960000000001</v>
      </c>
      <c r="V3975">
        <v>-4.147327E-2</v>
      </c>
      <c r="W3975">
        <v>3.3174919999999997E-2</v>
      </c>
      <c r="X3975">
        <v>0.998588699999999</v>
      </c>
      <c r="Y3975">
        <v>8.6279899999999896E-2</v>
      </c>
      <c r="Z3975">
        <v>2.391724E-3</v>
      </c>
      <c r="AA3975">
        <v>0.99626809999999999</v>
      </c>
      <c r="AB3975">
        <v>50</v>
      </c>
      <c r="AC3975">
        <v>-0.34569999999999301</v>
      </c>
      <c r="AD3975">
        <v>-0.21536279999999999</v>
      </c>
      <c r="AE3975">
        <v>8.7799999999987194E-2</v>
      </c>
      <c r="AF3975">
        <v>5.5833530716546703E-2</v>
      </c>
      <c r="AG3975">
        <v>-0.21536279999999999</v>
      </c>
      <c r="AH3975">
        <v>0.25534778662704399</v>
      </c>
      <c r="AI3975">
        <v>129.486576608354</v>
      </c>
      <c r="AJ3975">
        <v>77.666008758133202</v>
      </c>
      <c r="AK3975">
        <v>0.33867537688979699</v>
      </c>
    </row>
    <row r="3976" spans="1:37" x14ac:dyDescent="0.2">
      <c r="A3976" t="str">
        <f>"20200111153729915"</f>
        <v>20200111153729915</v>
      </c>
      <c r="B3976" t="str">
        <f>"1578728249907038"</f>
        <v>1578728249907038</v>
      </c>
      <c r="C3976" t="s">
        <v>37</v>
      </c>
      <c r="D3976">
        <v>6.0795149999999998</v>
      </c>
      <c r="E3976">
        <v>0.54530459999999903</v>
      </c>
      <c r="F3976" t="s">
        <v>38</v>
      </c>
      <c r="G3976">
        <v>-254.3244</v>
      </c>
      <c r="H3976">
        <v>0.90679789999999905</v>
      </c>
      <c r="I3976">
        <v>140.81729999999999</v>
      </c>
      <c r="J3976">
        <v>-254.0341</v>
      </c>
      <c r="K3976">
        <v>1.1024659999999999</v>
      </c>
      <c r="L3976">
        <v>140.73670000000001</v>
      </c>
      <c r="M3976">
        <v>-0.99943760000000004</v>
      </c>
      <c r="N3976">
        <v>0</v>
      </c>
      <c r="O3976">
        <v>3.3286400000000001E-2</v>
      </c>
      <c r="P3976">
        <v>-0.99953040000000004</v>
      </c>
      <c r="Q3976">
        <v>2.9142879999999999E-2</v>
      </c>
      <c r="R3976">
        <v>-9.4851399999999995E-3</v>
      </c>
      <c r="S3976">
        <v>-3.0258790000000002</v>
      </c>
      <c r="T3976">
        <v>-0.73950539999999998</v>
      </c>
      <c r="U3976">
        <v>0.36918640000000003</v>
      </c>
      <c r="V3976">
        <v>-4.2731619999999998E-2</v>
      </c>
      <c r="W3976">
        <v>3.3254039999999999E-2</v>
      </c>
      <c r="X3976">
        <v>0.998533</v>
      </c>
      <c r="Y3976">
        <v>8.6461709999999997E-2</v>
      </c>
      <c r="Z3976">
        <v>2.391677E-3</v>
      </c>
      <c r="AA3976">
        <v>0.99625229999999998</v>
      </c>
      <c r="AB3976">
        <v>50</v>
      </c>
      <c r="AC3976">
        <v>-0.290300000000002</v>
      </c>
      <c r="AD3976">
        <v>-0.19566810000000001</v>
      </c>
      <c r="AE3976">
        <v>8.0599999999975497E-2</v>
      </c>
      <c r="AF3976">
        <v>4.9861264986966497E-2</v>
      </c>
      <c r="AG3976">
        <v>-0.19566810000000001</v>
      </c>
      <c r="AH3976">
        <v>0.205953183788077</v>
      </c>
      <c r="AI3976">
        <v>132.71893315240499</v>
      </c>
      <c r="AJ3976">
        <v>76.390553176597507</v>
      </c>
      <c r="AK3976">
        <v>0.28842479958588102</v>
      </c>
    </row>
    <row r="3977" spans="1:37" x14ac:dyDescent="0.2">
      <c r="A3977" t="str">
        <f>"20200111153729938"</f>
        <v>20200111153729938</v>
      </c>
      <c r="B3977" t="str">
        <f>"1578728249926558"</f>
        <v>1578728249926558</v>
      </c>
      <c r="C3977" t="s">
        <v>37</v>
      </c>
      <c r="D3977">
        <v>5.7710800000000004</v>
      </c>
      <c r="E3977">
        <v>0.54063669999999997</v>
      </c>
      <c r="F3977" t="s">
        <v>38</v>
      </c>
      <c r="G3977">
        <v>-254.77950000000001</v>
      </c>
      <c r="H3977">
        <v>0.92329069999999902</v>
      </c>
      <c r="I3977">
        <v>140.82669999999999</v>
      </c>
      <c r="J3977">
        <v>-254.5307</v>
      </c>
      <c r="K3977">
        <v>1.102557</v>
      </c>
      <c r="L3977">
        <v>140.75319999999999</v>
      </c>
      <c r="M3977">
        <v>-0.99944310000000003</v>
      </c>
      <c r="N3977">
        <v>0</v>
      </c>
      <c r="O3977">
        <v>3.3115850000000002E-2</v>
      </c>
      <c r="P3977">
        <v>-0.99948809999999999</v>
      </c>
      <c r="Q3977">
        <v>2.9643799999999901E-2</v>
      </c>
      <c r="R3977">
        <v>-1.20378999999999E-2</v>
      </c>
      <c r="S3977">
        <v>-3.026062</v>
      </c>
      <c r="T3977">
        <v>-0.72745890000000002</v>
      </c>
      <c r="U3977">
        <v>0.36503600000000003</v>
      </c>
      <c r="V3977">
        <v>-4.5118070000000003E-2</v>
      </c>
      <c r="W3977">
        <v>3.377016E-2</v>
      </c>
      <c r="X3977">
        <v>0.99841069999999998</v>
      </c>
      <c r="Y3977">
        <v>8.5353079999999998E-2</v>
      </c>
      <c r="Z3977">
        <v>2.2630979999999998E-3</v>
      </c>
      <c r="AA3977">
        <v>0.99634820000000002</v>
      </c>
      <c r="AB3977">
        <v>50</v>
      </c>
      <c r="AC3977">
        <v>-0.24880000000001601</v>
      </c>
      <c r="AD3977">
        <v>-0.17926629999999999</v>
      </c>
      <c r="AE3977">
        <v>7.3499999999995597E-2</v>
      </c>
      <c r="AF3977">
        <v>4.4142888926345797E-2</v>
      </c>
      <c r="AG3977">
        <v>-0.17926629999999999</v>
      </c>
      <c r="AH3977">
        <v>0.169949484405093</v>
      </c>
      <c r="AI3977">
        <v>135.59375918916899</v>
      </c>
      <c r="AJ3977">
        <v>75.439672046795707</v>
      </c>
      <c r="AK3977">
        <v>0.25093391203265197</v>
      </c>
    </row>
    <row r="3978" spans="1:37" x14ac:dyDescent="0.2">
      <c r="A3978" t="str">
        <f>"20200111153729960"</f>
        <v>20200111153729960</v>
      </c>
      <c r="B3978" t="str">
        <f>"1578728249956814"</f>
        <v>1578728249956814</v>
      </c>
      <c r="C3978" t="s">
        <v>37</v>
      </c>
      <c r="D3978">
        <v>5.9810879999999997</v>
      </c>
      <c r="E3978">
        <v>0.4764718</v>
      </c>
      <c r="F3978" t="s">
        <v>38</v>
      </c>
      <c r="G3978">
        <v>-255.23519999999999</v>
      </c>
      <c r="H3978">
        <v>0.93606849999999997</v>
      </c>
      <c r="I3978">
        <v>140.82810000000001</v>
      </c>
      <c r="J3978">
        <v>-255.01849999999999</v>
      </c>
      <c r="K3978">
        <v>1.102635</v>
      </c>
      <c r="L3978">
        <v>140.76929999999999</v>
      </c>
      <c r="M3978">
        <v>-0.99944880000000003</v>
      </c>
      <c r="N3978">
        <v>0</v>
      </c>
      <c r="O3978">
        <v>3.2936750000000001E-2</v>
      </c>
      <c r="P3978">
        <v>-0.99938950000000004</v>
      </c>
      <c r="Q3978">
        <v>3.1079929999999999E-2</v>
      </c>
      <c r="R3978">
        <v>-1.595773E-2</v>
      </c>
      <c r="S3978">
        <v>-3.0265960000000001</v>
      </c>
      <c r="T3978">
        <v>-0.71536849999999996</v>
      </c>
      <c r="U3978">
        <v>0.32147219999999999</v>
      </c>
      <c r="V3978">
        <v>-4.8859659999999999E-2</v>
      </c>
      <c r="W3978">
        <v>3.5221269999999999E-2</v>
      </c>
      <c r="X3978">
        <v>0.99818439999999997</v>
      </c>
      <c r="Y3978">
        <v>7.1754419999999999E-2</v>
      </c>
      <c r="Z3978">
        <v>6.8799780000000004E-4</v>
      </c>
      <c r="AA3978">
        <v>0.99742209999999998</v>
      </c>
      <c r="AB3978">
        <v>50</v>
      </c>
      <c r="AC3978">
        <v>-0.216700000000003</v>
      </c>
      <c r="AD3978">
        <v>-0.16656650000000001</v>
      </c>
      <c r="AE3978">
        <v>5.8800000000019198E-2</v>
      </c>
      <c r="AF3978">
        <v>3.3303520757052799E-2</v>
      </c>
      <c r="AG3978">
        <v>-0.16656650000000001</v>
      </c>
      <c r="AH3978">
        <v>0.140952270264597</v>
      </c>
      <c r="AI3978">
        <v>138.99232267830001</v>
      </c>
      <c r="AJ3978">
        <v>76.706230649356897</v>
      </c>
      <c r="AK3978">
        <v>0.22072848912138501</v>
      </c>
    </row>
    <row r="3979" spans="1:37" x14ac:dyDescent="0.2">
      <c r="A3979" t="str">
        <f>"20200111153729982"</f>
        <v>20200111153729982</v>
      </c>
      <c r="B3979" t="str">
        <f>"1578728249977311"</f>
        <v>1578728249977311</v>
      </c>
      <c r="C3979" t="s">
        <v>37</v>
      </c>
      <c r="D3979">
        <v>6.0347489999999997</v>
      </c>
      <c r="E3979">
        <v>0.47778690000000001</v>
      </c>
      <c r="F3979" t="s">
        <v>39</v>
      </c>
      <c r="G3979">
        <v>-269.62490000000003</v>
      </c>
      <c r="H3979" s="1">
        <v>-1.627791E-7</v>
      </c>
      <c r="I3979">
        <v>139.68960000000001</v>
      </c>
      <c r="J3979">
        <v>-255.51779999999999</v>
      </c>
      <c r="K3979">
        <v>1.1026989999999901</v>
      </c>
      <c r="L3979">
        <v>140.78579999999999</v>
      </c>
      <c r="M3979">
        <v>-0.99945509999999904</v>
      </c>
      <c r="N3979">
        <v>0</v>
      </c>
      <c r="O3979">
        <v>3.2744389999999998E-2</v>
      </c>
      <c r="P3979">
        <v>-0.9992858</v>
      </c>
      <c r="Q3979">
        <v>3.2077399999999999E-2</v>
      </c>
      <c r="R3979">
        <v>-1.9980830000000002E-2</v>
      </c>
      <c r="S3979">
        <v>-3.005341</v>
      </c>
      <c r="T3979">
        <v>-0.2268742</v>
      </c>
      <c r="U3979">
        <v>-0.22215270000000001</v>
      </c>
      <c r="V3979">
        <v>-5.2690859999999999E-2</v>
      </c>
      <c r="W3979">
        <v>3.6233429999999997E-2</v>
      </c>
      <c r="X3979">
        <v>0.99795330000000004</v>
      </c>
      <c r="Y3979">
        <v>-0.1059416</v>
      </c>
      <c r="Z3979">
        <v>-6.4531440000000001E-3</v>
      </c>
      <c r="AA3979">
        <v>0.9943514</v>
      </c>
      <c r="AB3979">
        <v>50</v>
      </c>
      <c r="AC3979">
        <v>-14.107100000000001</v>
      </c>
      <c r="AD3979">
        <v>-1.1026991627791001</v>
      </c>
      <c r="AE3979">
        <v>-1.0961999999999801</v>
      </c>
      <c r="AF3979">
        <v>-1.5481422243507099</v>
      </c>
      <c r="AG3979">
        <v>-1.1026991627791001</v>
      </c>
      <c r="AH3979">
        <v>13.9787433606392</v>
      </c>
      <c r="AI3979">
        <v>94.483082980980996</v>
      </c>
      <c r="AJ3979">
        <v>96.319738524607502</v>
      </c>
      <c r="AK3979">
        <v>14.1073723893936</v>
      </c>
    </row>
    <row r="3980" spans="1:37" x14ac:dyDescent="0.2">
      <c r="A3980" t="str">
        <f>"20200111153730005"</f>
        <v>20200111153730005</v>
      </c>
      <c r="B3980" t="str">
        <f>"1578728249996830"</f>
        <v>1578728249996830</v>
      </c>
      <c r="C3980" t="s">
        <v>37</v>
      </c>
      <c r="D3980">
        <v>6.0930499999999999</v>
      </c>
      <c r="E3980">
        <v>0.47968699999999997</v>
      </c>
      <c r="F3980" t="s">
        <v>39</v>
      </c>
      <c r="G3980">
        <v>-275.70389999999998</v>
      </c>
      <c r="H3980" s="1">
        <v>-1.8880969999999899E-6</v>
      </c>
      <c r="I3980">
        <v>139.26230000000001</v>
      </c>
      <c r="J3980">
        <v>-256.06360000000001</v>
      </c>
      <c r="K3980">
        <v>1.102768</v>
      </c>
      <c r="L3980">
        <v>140.80359999999999</v>
      </c>
      <c r="M3980">
        <v>-0.99946209999999902</v>
      </c>
      <c r="N3980">
        <v>0</v>
      </c>
      <c r="O3980">
        <v>3.2526939999999997E-2</v>
      </c>
      <c r="P3980">
        <v>-0.99920419999999999</v>
      </c>
      <c r="Q3980">
        <v>3.2265870000000002E-2</v>
      </c>
      <c r="R3980">
        <v>-2.3446379999999999E-2</v>
      </c>
      <c r="S3980">
        <v>-3.0028990000000002</v>
      </c>
      <c r="T3980">
        <v>-0.164039299999999</v>
      </c>
      <c r="U3980">
        <v>-0.22662350000000001</v>
      </c>
      <c r="V3980">
        <v>-5.5939799999999998E-2</v>
      </c>
      <c r="W3980">
        <v>3.6439279999999998E-2</v>
      </c>
      <c r="X3980">
        <v>0.99776900000000002</v>
      </c>
      <c r="Y3980">
        <v>-0.1074418</v>
      </c>
      <c r="Z3980">
        <v>-4.701602E-3</v>
      </c>
      <c r="AA3980">
        <v>0.99420019999999998</v>
      </c>
      <c r="AB3980">
        <v>51</v>
      </c>
      <c r="AC3980">
        <v>-19.6402999999999</v>
      </c>
      <c r="AD3980">
        <v>-1.1027698880970001</v>
      </c>
      <c r="AE3980">
        <v>-1.5412999999999699</v>
      </c>
      <c r="AF3980">
        <v>-2.1725216302767398</v>
      </c>
      <c r="AG3980">
        <v>-1.1027698880970001</v>
      </c>
      <c r="AH3980">
        <v>19.5186147174974</v>
      </c>
      <c r="AI3980">
        <v>93.213875479356304</v>
      </c>
      <c r="AJ3980">
        <v>96.351171485953401</v>
      </c>
      <c r="AK3980">
        <v>19.670085717917399</v>
      </c>
    </row>
    <row r="3981" spans="1:37" x14ac:dyDescent="0.2">
      <c r="A3981" t="str">
        <f>"20200111153730027"</f>
        <v>20200111153730027</v>
      </c>
      <c r="B3981" t="str">
        <f>"1578728250017326"</f>
        <v>1578728250017326</v>
      </c>
      <c r="C3981" t="s">
        <v>37</v>
      </c>
      <c r="D3981">
        <v>5.9599659999999997</v>
      </c>
      <c r="E3981">
        <v>0.48050290000000001</v>
      </c>
      <c r="F3981" t="s">
        <v>39</v>
      </c>
      <c r="G3981">
        <v>-278.71469999999999</v>
      </c>
      <c r="H3981" s="1">
        <v>-6.2125489999999997E-7</v>
      </c>
      <c r="I3981">
        <v>139.12270000000001</v>
      </c>
      <c r="J3981">
        <v>-256.55619999999999</v>
      </c>
      <c r="K3981">
        <v>1.1028199999999999</v>
      </c>
      <c r="L3981">
        <v>140.81960000000001</v>
      </c>
      <c r="M3981">
        <v>-0.99946859999999904</v>
      </c>
      <c r="N3981">
        <v>0</v>
      </c>
      <c r="O3981">
        <v>3.2326019999999997E-2</v>
      </c>
      <c r="P3981">
        <v>-0.99908330000000001</v>
      </c>
      <c r="Q3981">
        <v>3.2950029999999998E-2</v>
      </c>
      <c r="R3981">
        <v>-2.733174E-2</v>
      </c>
      <c r="S3981">
        <v>-3.0018919999999998</v>
      </c>
      <c r="T3981">
        <v>-0.14614769999999999</v>
      </c>
      <c r="U3981">
        <v>-0.22276309999999999</v>
      </c>
      <c r="V3981">
        <v>-5.9622750000000002E-2</v>
      </c>
      <c r="W3981">
        <v>3.7139289999999998E-2</v>
      </c>
      <c r="X3981">
        <v>0.99752989999999997</v>
      </c>
      <c r="Y3981">
        <v>-0.10604</v>
      </c>
      <c r="Z3981">
        <v>-4.1472169999999999E-3</v>
      </c>
      <c r="AA3981">
        <v>0.99435319999999905</v>
      </c>
      <c r="AB3981">
        <v>51</v>
      </c>
      <c r="AC3981">
        <v>-22.1585</v>
      </c>
      <c r="AD3981">
        <v>-1.1028206212549001</v>
      </c>
      <c r="AE3981">
        <v>-1.6968999999999901</v>
      </c>
      <c r="AF3981">
        <v>-2.4063896287466</v>
      </c>
      <c r="AG3981">
        <v>-1.1028206212549001</v>
      </c>
      <c r="AH3981">
        <v>22.0377950305711</v>
      </c>
      <c r="AI3981">
        <v>92.847919502412296</v>
      </c>
      <c r="AJ3981">
        <v>96.231652430071094</v>
      </c>
      <c r="AK3981">
        <v>22.1962008951412</v>
      </c>
    </row>
    <row r="3982" spans="1:37" x14ac:dyDescent="0.2">
      <c r="A3982" t="str">
        <f>"20200111153730048"</f>
        <v>20200111153730048</v>
      </c>
      <c r="B3982" t="str">
        <f>"1578728250036846"</f>
        <v>1578728250036846</v>
      </c>
      <c r="C3982" t="s">
        <v>37</v>
      </c>
      <c r="D3982">
        <v>5.928706</v>
      </c>
      <c r="E3982">
        <v>0.48166979999999998</v>
      </c>
      <c r="F3982" t="s">
        <v>39</v>
      </c>
      <c r="G3982">
        <v>-279.91849999999999</v>
      </c>
      <c r="H3982" s="1">
        <v>-1.6541090000000001E-7</v>
      </c>
      <c r="I3982">
        <v>139.0463</v>
      </c>
      <c r="J3982">
        <v>-257.04469999999998</v>
      </c>
      <c r="K3982">
        <v>1.10287</v>
      </c>
      <c r="L3982">
        <v>140.83539999999999</v>
      </c>
      <c r="M3982">
        <v>-0.999475</v>
      </c>
      <c r="N3982">
        <v>0</v>
      </c>
      <c r="O3982">
        <v>3.2122749999999999E-2</v>
      </c>
      <c r="P3982">
        <v>-0.9989036</v>
      </c>
      <c r="Q3982">
        <v>3.4812559999999999E-2</v>
      </c>
      <c r="R3982">
        <v>-3.1301830000000003E-2</v>
      </c>
      <c r="S3982">
        <v>-3.0012209999999899</v>
      </c>
      <c r="T3982">
        <v>-0.14167270000000001</v>
      </c>
      <c r="U3982">
        <v>-0.22779849999999999</v>
      </c>
      <c r="V3982">
        <v>-6.3385929999999993E-2</v>
      </c>
      <c r="W3982">
        <v>3.9017139999999999E-2</v>
      </c>
      <c r="X3982">
        <v>0.9972261</v>
      </c>
      <c r="Y3982">
        <v>-0.107521399999999</v>
      </c>
      <c r="Z3982">
        <v>-4.0463449999999998E-3</v>
      </c>
      <c r="AA3982">
        <v>0.99419449999999998</v>
      </c>
      <c r="AB3982">
        <v>51</v>
      </c>
      <c r="AC3982">
        <v>-22.873799999999999</v>
      </c>
      <c r="AD3982">
        <v>-1.1028701654109001</v>
      </c>
      <c r="AE3982">
        <v>-1.7890999999999899</v>
      </c>
      <c r="AF3982">
        <v>-2.5171365267977199</v>
      </c>
      <c r="AG3982">
        <v>-1.1028701654109001</v>
      </c>
      <c r="AH3982">
        <v>22.751953523350199</v>
      </c>
      <c r="AI3982">
        <v>92.758359773997199</v>
      </c>
      <c r="AJ3982">
        <v>96.313179541609401</v>
      </c>
      <c r="AK3982">
        <v>22.9173228808468</v>
      </c>
    </row>
    <row r="3983" spans="1:37" x14ac:dyDescent="0.2">
      <c r="A3983" t="str">
        <f>"20200111153730071"</f>
        <v>20200111153730071</v>
      </c>
      <c r="B3983" t="str">
        <f>"1578728250067102"</f>
        <v>1578728250067102</v>
      </c>
      <c r="C3983" t="s">
        <v>37</v>
      </c>
      <c r="D3983">
        <v>5.8993120000000001</v>
      </c>
      <c r="E3983">
        <v>0.48276989999999997</v>
      </c>
      <c r="F3983" t="s">
        <v>51</v>
      </c>
      <c r="G3983">
        <v>-280.54759999999999</v>
      </c>
      <c r="H3983" s="1">
        <v>-3.6384070000000002E-6</v>
      </c>
      <c r="I3983">
        <v>139.03129999999999</v>
      </c>
      <c r="J3983">
        <v>-257.5462</v>
      </c>
      <c r="K3983">
        <v>1.1029100000000001</v>
      </c>
      <c r="L3983">
        <v>140.85140000000001</v>
      </c>
      <c r="M3983">
        <v>-0.99948169999999903</v>
      </c>
      <c r="N3983">
        <v>0</v>
      </c>
      <c r="O3983">
        <v>3.191037E-2</v>
      </c>
      <c r="P3983">
        <v>-0.99875519999999995</v>
      </c>
      <c r="Q3983">
        <v>3.6116309999999999E-2</v>
      </c>
      <c r="R3983">
        <v>-3.44046E-2</v>
      </c>
      <c r="S3983">
        <v>-3.0009769999999998</v>
      </c>
      <c r="T3983">
        <v>-0.14082059999999999</v>
      </c>
      <c r="U3983">
        <v>-0.23034669999999999</v>
      </c>
      <c r="V3983">
        <v>-6.6274260000000002E-2</v>
      </c>
      <c r="W3983">
        <v>4.033788E-2</v>
      </c>
      <c r="X3983">
        <v>0.99698569999999997</v>
      </c>
      <c r="Y3983">
        <v>-0.1081569</v>
      </c>
      <c r="Z3983">
        <v>-4.0271669999999999E-3</v>
      </c>
      <c r="AA3983">
        <v>0.9941257</v>
      </c>
      <c r="AB3983">
        <v>51</v>
      </c>
      <c r="AC3983">
        <v>-23.001399999999901</v>
      </c>
      <c r="AD3983">
        <v>-1.102913638407</v>
      </c>
      <c r="AE3983">
        <v>-1.82010000000002</v>
      </c>
      <c r="AF3983">
        <v>-2.5473425068065398</v>
      </c>
      <c r="AG3983">
        <v>-1.102913638407</v>
      </c>
      <c r="AH3983">
        <v>22.879328834568799</v>
      </c>
      <c r="AI3983">
        <v>92.742923246698496</v>
      </c>
      <c r="AJ3983">
        <v>96.353042050234905</v>
      </c>
      <c r="AK3983">
        <v>23.047105246887298</v>
      </c>
    </row>
    <row r="3984" spans="1:37" x14ac:dyDescent="0.2">
      <c r="A3984" t="str">
        <f>"20200111153730094"</f>
        <v>20200111153730094</v>
      </c>
      <c r="B3984" t="str">
        <f>"1578728250086623"</f>
        <v>1578728250086623</v>
      </c>
      <c r="C3984" t="s">
        <v>37</v>
      </c>
      <c r="D3984">
        <v>5.9125819999999996</v>
      </c>
      <c r="E3984">
        <v>0.48340299999999897</v>
      </c>
      <c r="F3984" t="s">
        <v>51</v>
      </c>
      <c r="G3984">
        <v>-281.56959999999998</v>
      </c>
      <c r="H3984" s="1">
        <v>-4.0817339999999999E-6</v>
      </c>
      <c r="I3984">
        <v>139.00530000000001</v>
      </c>
      <c r="J3984">
        <v>-258.07929999999999</v>
      </c>
      <c r="K3984">
        <v>1.1029439999999999</v>
      </c>
      <c r="L3984">
        <v>140.86840000000001</v>
      </c>
      <c r="M3984">
        <v>-0.99948879999999996</v>
      </c>
      <c r="N3984">
        <v>0</v>
      </c>
      <c r="O3984">
        <v>3.1681750000000002E-2</v>
      </c>
      <c r="P3984">
        <v>-0.99853099999999995</v>
      </c>
      <c r="Q3984">
        <v>3.7367850000000001E-2</v>
      </c>
      <c r="R3984">
        <v>-3.9234239999999997E-2</v>
      </c>
      <c r="S3984">
        <v>-3.0007630000000001</v>
      </c>
      <c r="T3984">
        <v>-0.1377649</v>
      </c>
      <c r="U3984">
        <v>-0.23060610000000001</v>
      </c>
      <c r="V3984">
        <v>-7.0869829999999995E-2</v>
      </c>
      <c r="W3984">
        <v>4.1608069999999997E-2</v>
      </c>
      <c r="X3984">
        <v>0.99661739999999999</v>
      </c>
      <c r="Y3984">
        <v>-0.10802730000000001</v>
      </c>
      <c r="Z3984">
        <v>-3.926695E-3</v>
      </c>
      <c r="AA3984">
        <v>0.99414009999999997</v>
      </c>
      <c r="AB3984">
        <v>51</v>
      </c>
      <c r="AC3984">
        <v>-23.490299999999898</v>
      </c>
      <c r="AD3984">
        <v>-1.1029480817340001</v>
      </c>
      <c r="AE3984">
        <v>-1.8631</v>
      </c>
      <c r="AF3984">
        <v>-2.6006877047605901</v>
      </c>
      <c r="AG3984">
        <v>-1.1029480817340001</v>
      </c>
      <c r="AH3984">
        <v>23.368284967940401</v>
      </c>
      <c r="AI3984">
        <v>92.685713016809999</v>
      </c>
      <c r="AJ3984">
        <v>96.350391863842006</v>
      </c>
      <c r="AK3984">
        <v>23.538411444945901</v>
      </c>
    </row>
    <row r="3985" spans="1:37" x14ac:dyDescent="0.2">
      <c r="A3985" t="str">
        <f>"20200111153730117"</f>
        <v>20200111153730117</v>
      </c>
      <c r="B3985" t="str">
        <f>"1578728250106746"</f>
        <v>1578728250106746</v>
      </c>
      <c r="C3985" t="s">
        <v>37</v>
      </c>
      <c r="D3985">
        <v>5.9283650000000003</v>
      </c>
      <c r="E3985">
        <v>0.48369839999999997</v>
      </c>
      <c r="F3985" t="s">
        <v>51</v>
      </c>
      <c r="G3985">
        <v>-282.17200000000003</v>
      </c>
      <c r="H3985" s="1">
        <v>-4.3251560000000002E-6</v>
      </c>
      <c r="I3985">
        <v>138.94280000000001</v>
      </c>
      <c r="J3985">
        <v>-258.6121</v>
      </c>
      <c r="K3985">
        <v>1.102973</v>
      </c>
      <c r="L3985">
        <v>140.8852</v>
      </c>
      <c r="M3985">
        <v>-0.99949599999999905</v>
      </c>
      <c r="N3985">
        <v>0</v>
      </c>
      <c r="O3985">
        <v>3.1449749999999999E-2</v>
      </c>
      <c r="P3985">
        <v>-0.99828839999999996</v>
      </c>
      <c r="Q3985">
        <v>3.8400530000000002E-2</v>
      </c>
      <c r="R3985">
        <v>-4.4109759999999998E-2</v>
      </c>
      <c r="S3985">
        <v>-3.000092</v>
      </c>
      <c r="T3985">
        <v>-0.13734250000000001</v>
      </c>
      <c r="U3985">
        <v>-0.23977660000000001</v>
      </c>
      <c r="V3985">
        <v>-7.5506740000000003E-2</v>
      </c>
      <c r="W3985">
        <v>4.2658559999999998E-2</v>
      </c>
      <c r="X3985">
        <v>0.99623240000000002</v>
      </c>
      <c r="Y3985">
        <v>-0.1108316</v>
      </c>
      <c r="Z3985">
        <v>-3.9685420000000002E-3</v>
      </c>
      <c r="AA3985">
        <v>0.99383129999999997</v>
      </c>
      <c r="AB3985">
        <v>51</v>
      </c>
      <c r="AC3985">
        <v>-23.559899999999999</v>
      </c>
      <c r="AD3985">
        <v>-1.102977325156</v>
      </c>
      <c r="AE3985">
        <v>-1.9423999999999899</v>
      </c>
      <c r="AF3985">
        <v>-2.6765723131522199</v>
      </c>
      <c r="AG3985">
        <v>-1.102977325156</v>
      </c>
      <c r="AH3985">
        <v>23.436138132212001</v>
      </c>
      <c r="AI3985">
        <v>92.677151551610393</v>
      </c>
      <c r="AJ3985">
        <v>96.515352964629201</v>
      </c>
      <c r="AK3985">
        <v>23.614257745681201</v>
      </c>
    </row>
    <row r="3986" spans="1:37" x14ac:dyDescent="0.2">
      <c r="A3986" t="str">
        <f>"20200111153730138"</f>
        <v>20200111153730138</v>
      </c>
      <c r="B3986" t="str">
        <f>"1578728250127242"</f>
        <v>1578728250127242</v>
      </c>
      <c r="C3986" t="s">
        <v>37</v>
      </c>
      <c r="D3986">
        <v>5.8981760000000003</v>
      </c>
      <c r="E3986">
        <v>0.48427009999999998</v>
      </c>
      <c r="F3986" t="s">
        <v>51</v>
      </c>
      <c r="G3986">
        <v>-282.82859999999999</v>
      </c>
      <c r="H3986" s="1">
        <v>-4.581344E-6</v>
      </c>
      <c r="I3986">
        <v>138.85069999999999</v>
      </c>
      <c r="J3986">
        <v>-259.1046</v>
      </c>
      <c r="K3986">
        <v>1.102997</v>
      </c>
      <c r="L3986">
        <v>140.9007</v>
      </c>
      <c r="M3986">
        <v>-0.99950269999999997</v>
      </c>
      <c r="N3986">
        <v>0</v>
      </c>
      <c r="O3986">
        <v>3.123358E-2</v>
      </c>
      <c r="P3986">
        <v>-0.99803379999999997</v>
      </c>
      <c r="Q3986">
        <v>3.949192E-2</v>
      </c>
      <c r="R3986">
        <v>-4.866935E-2</v>
      </c>
      <c r="S3986">
        <v>-2.999298</v>
      </c>
      <c r="T3986">
        <v>-0.1366077</v>
      </c>
      <c r="U3986">
        <v>-0.25198359999999997</v>
      </c>
      <c r="V3986">
        <v>-7.98431E-2</v>
      </c>
      <c r="W3986">
        <v>4.376617E-2</v>
      </c>
      <c r="X3986">
        <v>0.99584619999999902</v>
      </c>
      <c r="Y3986">
        <v>-0.114652399999999</v>
      </c>
      <c r="Z3986">
        <v>-4.0247299999999998E-3</v>
      </c>
      <c r="AA3986">
        <v>0.99339750000000004</v>
      </c>
      <c r="AB3986">
        <v>51</v>
      </c>
      <c r="AC3986">
        <v>-23.723999999999901</v>
      </c>
      <c r="AD3986">
        <v>-1.1030015813439999</v>
      </c>
      <c r="AE3986">
        <v>-2.05000000000001</v>
      </c>
      <c r="AF3986">
        <v>-2.7840188864897102</v>
      </c>
      <c r="AG3986">
        <v>-1.1030015813439999</v>
      </c>
      <c r="AH3986">
        <v>23.597764694059201</v>
      </c>
      <c r="AI3986">
        <v>92.657753257054907</v>
      </c>
      <c r="AJ3986">
        <v>96.728543079661407</v>
      </c>
      <c r="AK3986">
        <v>23.787010577308099</v>
      </c>
    </row>
    <row r="3987" spans="1:37" x14ac:dyDescent="0.2">
      <c r="A3987" t="str">
        <f>"20200111153730161"</f>
        <v>20200111153730161</v>
      </c>
      <c r="B3987" t="str">
        <f>"1578728250156523"</f>
        <v>1578728250156523</v>
      </c>
      <c r="C3987" t="s">
        <v>37</v>
      </c>
      <c r="D3987">
        <v>5.9200169999999996</v>
      </c>
      <c r="E3987">
        <v>0.4848249</v>
      </c>
      <c r="F3987" t="s">
        <v>51</v>
      </c>
      <c r="G3987">
        <v>-283.71379999999999</v>
      </c>
      <c r="H3987" s="1">
        <v>-4.9398139999999997E-6</v>
      </c>
      <c r="I3987">
        <v>138.76079999999999</v>
      </c>
      <c r="J3987">
        <v>-259.6096</v>
      </c>
      <c r="K3987">
        <v>1.1030149999999901</v>
      </c>
      <c r="L3987">
        <v>140.91640000000001</v>
      </c>
      <c r="M3987">
        <v>-0.9995096</v>
      </c>
      <c r="N3987">
        <v>0</v>
      </c>
      <c r="O3987">
        <v>3.100926E-2</v>
      </c>
      <c r="P3987">
        <v>-0.99775590000000003</v>
      </c>
      <c r="Q3987">
        <v>4.0830060000000001E-2</v>
      </c>
      <c r="R3987">
        <v>-5.3071559999999997E-2</v>
      </c>
      <c r="S3987">
        <v>-2.99850499999999</v>
      </c>
      <c r="T3987">
        <v>-0.13439489999999901</v>
      </c>
      <c r="U3987">
        <v>-0.26072689999999998</v>
      </c>
      <c r="V3987">
        <v>-8.4012719999999999E-2</v>
      </c>
      <c r="W3987">
        <v>4.51219E-2</v>
      </c>
      <c r="X3987">
        <v>0.99544259999999996</v>
      </c>
      <c r="Y3987">
        <v>-0.1173289</v>
      </c>
      <c r="Z3987">
        <v>-4.0099760000000002E-3</v>
      </c>
      <c r="AA3987">
        <v>0.993085</v>
      </c>
      <c r="AB3987">
        <v>51</v>
      </c>
      <c r="AC3987">
        <v>-24.104199999999899</v>
      </c>
      <c r="AD3987">
        <v>-1.1030199398139999</v>
      </c>
      <c r="AE3987">
        <v>-2.1556000000000202</v>
      </c>
      <c r="AF3987">
        <v>-2.89600765645522</v>
      </c>
      <c r="AG3987">
        <v>-1.1030199398139999</v>
      </c>
      <c r="AH3987">
        <v>23.9759559597803</v>
      </c>
      <c r="AI3987">
        <v>92.615068785228203</v>
      </c>
      <c r="AJ3987">
        <v>96.887277148085005</v>
      </c>
      <c r="AK3987">
        <v>24.175400255615202</v>
      </c>
    </row>
    <row r="3988" spans="1:37" x14ac:dyDescent="0.2">
      <c r="A3988" t="str">
        <f>"20200111153730183"</f>
        <v>20200111153730183</v>
      </c>
      <c r="B3988" t="str">
        <f>"1578728250177019"</f>
        <v>1578728250177019</v>
      </c>
      <c r="C3988" t="s">
        <v>37</v>
      </c>
      <c r="D3988">
        <v>5.8614169999999897</v>
      </c>
      <c r="E3988">
        <v>0.48524849999999897</v>
      </c>
      <c r="F3988" t="s">
        <v>51</v>
      </c>
      <c r="G3988">
        <v>-283.22809999999998</v>
      </c>
      <c r="H3988" s="1">
        <v>-4.7386860000000001E-6</v>
      </c>
      <c r="I3988">
        <v>138.79839999999999</v>
      </c>
      <c r="J3988">
        <v>-260.13630000000001</v>
      </c>
      <c r="K3988">
        <v>1.1030249999999999</v>
      </c>
      <c r="L3988">
        <v>140.93260000000001</v>
      </c>
      <c r="M3988">
        <v>-0.99951679999999998</v>
      </c>
      <c r="N3988">
        <v>0</v>
      </c>
      <c r="O3988">
        <v>3.0774099999999999E-2</v>
      </c>
      <c r="P3988">
        <v>-0.99752160000000001</v>
      </c>
      <c r="Q3988">
        <v>4.1752379999999999E-2</v>
      </c>
      <c r="R3988">
        <v>-5.6636020000000002E-2</v>
      </c>
      <c r="S3988">
        <v>-2.9981689999999999</v>
      </c>
      <c r="T3988">
        <v>-0.14001939999999999</v>
      </c>
      <c r="U3988">
        <v>-0.26885989999999999</v>
      </c>
      <c r="V3988">
        <v>-8.7336830000000004E-2</v>
      </c>
      <c r="W3988">
        <v>4.6064590000000002E-2</v>
      </c>
      <c r="X3988">
        <v>0.99511329999999998</v>
      </c>
      <c r="Y3988">
        <v>-0.11976249999999999</v>
      </c>
      <c r="Z3988">
        <v>-4.2233259999999899E-3</v>
      </c>
      <c r="AA3988">
        <v>0.99279359999999905</v>
      </c>
      <c r="AB3988">
        <v>52</v>
      </c>
      <c r="AC3988">
        <v>-23.0917999999999</v>
      </c>
      <c r="AD3988">
        <v>-1.103029738686</v>
      </c>
      <c r="AE3988">
        <v>-2.1342000000000199</v>
      </c>
      <c r="AF3988">
        <v>-2.8374060245650301</v>
      </c>
      <c r="AG3988">
        <v>-1.103029738686</v>
      </c>
      <c r="AH3988">
        <v>22.963232516624601</v>
      </c>
      <c r="AI3988">
        <v>92.729341308808301</v>
      </c>
      <c r="AJ3988">
        <v>97.043935012574096</v>
      </c>
      <c r="AK3988">
        <v>23.164144602493501</v>
      </c>
    </row>
    <row r="3989" spans="1:37" x14ac:dyDescent="0.2">
      <c r="A3989" t="str">
        <f>"20200111153730205"</f>
        <v>20200111153730205</v>
      </c>
      <c r="B3989" t="str">
        <f>"1578728250197214"</f>
        <v>1578728250197214</v>
      </c>
      <c r="C3989" t="s">
        <v>37</v>
      </c>
      <c r="D3989">
        <v>5.8989890000000003</v>
      </c>
      <c r="E3989">
        <v>0.4857997</v>
      </c>
      <c r="F3989" t="s">
        <v>51</v>
      </c>
      <c r="G3989">
        <v>-283.0496</v>
      </c>
      <c r="H3989" s="1">
        <v>-4.6688580000000004E-6</v>
      </c>
      <c r="I3989">
        <v>138.82299999999901</v>
      </c>
      <c r="J3989">
        <v>-260.66489999999999</v>
      </c>
      <c r="K3989">
        <v>1.1030249999999999</v>
      </c>
      <c r="L3989">
        <v>140.94880000000001</v>
      </c>
      <c r="M3989">
        <v>-0.99952389999999902</v>
      </c>
      <c r="N3989">
        <v>0</v>
      </c>
      <c r="O3989">
        <v>3.0536629999999999E-2</v>
      </c>
      <c r="P3989">
        <v>-0.99732359999999898</v>
      </c>
      <c r="Q3989">
        <v>4.1953129999999998E-2</v>
      </c>
      <c r="R3989">
        <v>-5.9878599999999997E-2</v>
      </c>
      <c r="S3989">
        <v>-2.997833</v>
      </c>
      <c r="T3989">
        <v>-0.14431350000000001</v>
      </c>
      <c r="U3989">
        <v>-0.27601619999999999</v>
      </c>
      <c r="V3989">
        <v>-9.033629E-2</v>
      </c>
      <c r="W3989">
        <v>4.6285599999999899E-2</v>
      </c>
      <c r="X3989">
        <v>0.99483509999999997</v>
      </c>
      <c r="Y3989">
        <v>-0.121874499999999</v>
      </c>
      <c r="Z3989">
        <v>-4.3920219999999998E-3</v>
      </c>
      <c r="AA3989">
        <v>0.99253579999999997</v>
      </c>
      <c r="AB3989">
        <v>52</v>
      </c>
      <c r="AC3989">
        <v>-22.384699999999999</v>
      </c>
      <c r="AD3989">
        <v>-1.1030296688579999</v>
      </c>
      <c r="AE3989">
        <v>-2.1258000000000199</v>
      </c>
      <c r="AF3989">
        <v>-2.8016266633225899</v>
      </c>
      <c r="AG3989">
        <v>-1.1030296688579999</v>
      </c>
      <c r="AH3989">
        <v>22.2557883321204</v>
      </c>
      <c r="AI3989">
        <v>92.815160188807994</v>
      </c>
      <c r="AJ3989">
        <v>97.1748279504816</v>
      </c>
      <c r="AK3989">
        <v>22.458537367672999</v>
      </c>
    </row>
    <row r="3990" spans="1:37" x14ac:dyDescent="0.2">
      <c r="A3990" t="str">
        <f>"20200111153730228"</f>
        <v>20200111153730228</v>
      </c>
      <c r="B3990" t="str">
        <f>"1578728250216734"</f>
        <v>1578728250216734</v>
      </c>
      <c r="C3990" t="s">
        <v>37</v>
      </c>
      <c r="D3990">
        <v>6.1149610000000001</v>
      </c>
      <c r="E3990">
        <v>0.48599520000000002</v>
      </c>
      <c r="F3990" t="s">
        <v>51</v>
      </c>
      <c r="G3990">
        <v>-282.52140000000003</v>
      </c>
      <c r="H3990" s="1">
        <v>-4.4645939999999998E-6</v>
      </c>
      <c r="I3990">
        <v>138.90199999999999</v>
      </c>
      <c r="J3990">
        <v>-261.1832</v>
      </c>
      <c r="K3990">
        <v>1.1030199999999999</v>
      </c>
      <c r="L3990">
        <v>140.96459999999999</v>
      </c>
      <c r="M3990">
        <v>-0.9995309</v>
      </c>
      <c r="N3990">
        <v>0</v>
      </c>
      <c r="O3990">
        <v>3.0302740000000002E-2</v>
      </c>
      <c r="P3990">
        <v>-0.99721319999999902</v>
      </c>
      <c r="Q3990">
        <v>4.1085320000000002E-2</v>
      </c>
      <c r="R3990">
        <v>-6.2272550000000003E-2</v>
      </c>
      <c r="S3990">
        <v>-2.9975589999999999</v>
      </c>
      <c r="T3990">
        <v>-0.15127739999999901</v>
      </c>
      <c r="U3990">
        <v>-0.28071590000000002</v>
      </c>
      <c r="V3990">
        <v>-9.2493329999999999E-2</v>
      </c>
      <c r="W3990">
        <v>4.5439630000000002E-2</v>
      </c>
      <c r="X3990">
        <v>0.99467589999999995</v>
      </c>
      <c r="Y3990">
        <v>-0.1231747</v>
      </c>
      <c r="Z3990">
        <v>-4.6247370000000003E-3</v>
      </c>
      <c r="AA3990">
        <v>0.99237419999999998</v>
      </c>
      <c r="AB3990">
        <v>52</v>
      </c>
      <c r="AC3990">
        <v>-21.338200000000001</v>
      </c>
      <c r="AD3990">
        <v>-1.1030244645939999</v>
      </c>
      <c r="AE3990">
        <v>-2.06259999999997</v>
      </c>
      <c r="AF3990">
        <v>-2.7011142039334701</v>
      </c>
      <c r="AG3990">
        <v>-1.1030244645939999</v>
      </c>
      <c r="AH3990">
        <v>21.209747358629102</v>
      </c>
      <c r="AI3990">
        <v>92.953206833315505</v>
      </c>
      <c r="AJ3990">
        <v>97.257691962119495</v>
      </c>
      <c r="AK3990">
        <v>21.4094853728215</v>
      </c>
    </row>
    <row r="3991" spans="1:37" x14ac:dyDescent="0.2">
      <c r="A3991" t="str">
        <f>"20200111153730249"</f>
        <v>20200111153730249</v>
      </c>
      <c r="B3991" t="str">
        <f>"1578728250237228"</f>
        <v>1578728250237228</v>
      </c>
      <c r="C3991" t="s">
        <v>37</v>
      </c>
      <c r="D3991">
        <v>5.9138650000000004</v>
      </c>
      <c r="E3991">
        <v>0.48647229999999902</v>
      </c>
      <c r="F3991" t="s">
        <v>51</v>
      </c>
      <c r="G3991">
        <v>-282.56420000000003</v>
      </c>
      <c r="H3991" s="1">
        <v>-4.4907129999999998E-6</v>
      </c>
      <c r="I3991">
        <v>138.92080000000001</v>
      </c>
      <c r="J3991">
        <v>-261.68079999999998</v>
      </c>
      <c r="K3991">
        <v>1.1030229999999901</v>
      </c>
      <c r="L3991">
        <v>140.9796</v>
      </c>
      <c r="M3991">
        <v>-0.99953769999999997</v>
      </c>
      <c r="N3991">
        <v>0</v>
      </c>
      <c r="O3991">
        <v>3.0077679999999999E-2</v>
      </c>
      <c r="P3991">
        <v>-0.99709150000000002</v>
      </c>
      <c r="Q3991">
        <v>3.9706999999999999E-2</v>
      </c>
      <c r="R3991">
        <v>-6.5054940000000006E-2</v>
      </c>
      <c r="S3991">
        <v>-2.9968569999999999</v>
      </c>
      <c r="T3991">
        <v>-0.1546053</v>
      </c>
      <c r="U3991">
        <v>-0.28646850000000001</v>
      </c>
      <c r="V3991">
        <v>-9.5046729999999996E-2</v>
      </c>
      <c r="W3991">
        <v>4.4082009999999998E-2</v>
      </c>
      <c r="X3991">
        <v>0.9944963</v>
      </c>
      <c r="Y3991">
        <v>-0.12485009999999901</v>
      </c>
      <c r="Z3991">
        <v>-4.7585400000000003E-3</v>
      </c>
      <c r="AA3991">
        <v>0.99216419999999905</v>
      </c>
      <c r="AB3991">
        <v>52</v>
      </c>
      <c r="AC3991">
        <v>-20.883400000000002</v>
      </c>
      <c r="AD3991">
        <v>-1.10302749071299</v>
      </c>
      <c r="AE3991">
        <v>-2.05879999999999</v>
      </c>
      <c r="AF3991">
        <v>-2.6785981467211299</v>
      </c>
      <c r="AG3991">
        <v>-1.10302749071299</v>
      </c>
      <c r="AH3991">
        <v>20.754683167162501</v>
      </c>
      <c r="AI3991">
        <v>93.0171996045664</v>
      </c>
      <c r="AJ3991">
        <v>97.353939390483703</v>
      </c>
      <c r="AK3991">
        <v>20.955868654059302</v>
      </c>
    </row>
    <row r="3992" spans="1:37" x14ac:dyDescent="0.2">
      <c r="A3992" t="str">
        <f>"20200111153730273"</f>
        <v>20200111153730273</v>
      </c>
      <c r="B3992" t="str">
        <f>"1578728250267483"</f>
        <v>1578728250267483</v>
      </c>
      <c r="C3992" t="s">
        <v>37</v>
      </c>
      <c r="D3992">
        <v>6.0925640000000003</v>
      </c>
      <c r="E3992">
        <v>0.48701869999999903</v>
      </c>
      <c r="F3992" t="s">
        <v>51</v>
      </c>
      <c r="G3992">
        <v>-282.41500000000002</v>
      </c>
      <c r="H3992" s="1">
        <v>-4.441002E-6</v>
      </c>
      <c r="I3992">
        <v>138.9641</v>
      </c>
      <c r="J3992">
        <v>-262.22500000000002</v>
      </c>
      <c r="K3992">
        <v>1.103019</v>
      </c>
      <c r="L3992">
        <v>140.99590000000001</v>
      </c>
      <c r="M3992">
        <v>-0.99954489999999996</v>
      </c>
      <c r="N3992">
        <v>0</v>
      </c>
      <c r="O3992">
        <v>2.9831159999999999E-2</v>
      </c>
      <c r="P3992">
        <v>-0.99703330000000001</v>
      </c>
      <c r="Q3992">
        <v>3.8909079999999999E-2</v>
      </c>
      <c r="R3992">
        <v>-6.6415340000000003E-2</v>
      </c>
      <c r="S3992">
        <v>-2.9960939999999998</v>
      </c>
      <c r="T3992">
        <v>-0.1593878</v>
      </c>
      <c r="U3992">
        <v>-0.29124450000000002</v>
      </c>
      <c r="V3992">
        <v>-9.6159590000000003E-2</v>
      </c>
      <c r="W3992">
        <v>4.3308359999999997E-2</v>
      </c>
      <c r="X3992">
        <v>0.99442330000000001</v>
      </c>
      <c r="Y3992">
        <v>-0.12618180000000001</v>
      </c>
      <c r="Z3992">
        <v>-4.9286479999999999E-3</v>
      </c>
      <c r="AA3992">
        <v>0.99199490000000001</v>
      </c>
      <c r="AB3992">
        <v>52</v>
      </c>
      <c r="AC3992">
        <v>-20.190000000000001</v>
      </c>
      <c r="AD3992">
        <v>-1.1030234410019999</v>
      </c>
      <c r="AE3992">
        <v>-2.0318000000000001</v>
      </c>
      <c r="AF3992">
        <v>-2.6254353991006001</v>
      </c>
      <c r="AG3992">
        <v>-1.1030234410019999</v>
      </c>
      <c r="AH3992">
        <v>20.061127117786</v>
      </c>
      <c r="AI3992">
        <v>93.120575113026604</v>
      </c>
      <c r="AJ3992">
        <v>97.4560257991903</v>
      </c>
      <c r="AK3992">
        <v>20.2622405716203</v>
      </c>
    </row>
    <row r="3993" spans="1:37" x14ac:dyDescent="0.2">
      <c r="A3993" t="str">
        <f>"20200111153730294"</f>
        <v>20200111153730294</v>
      </c>
      <c r="B3993" t="str">
        <f>"1578728250287003"</f>
        <v>1578728250287003</v>
      </c>
      <c r="C3993" t="s">
        <v>37</v>
      </c>
      <c r="D3993">
        <v>5.9476019999999998</v>
      </c>
      <c r="E3993">
        <v>0.48722070000000001</v>
      </c>
      <c r="F3993" t="s">
        <v>51</v>
      </c>
      <c r="G3993">
        <v>-282.13560000000001</v>
      </c>
      <c r="H3993" s="1">
        <v>-4.3548199999999999E-6</v>
      </c>
      <c r="I3993">
        <v>139.06360000000001</v>
      </c>
      <c r="J3993">
        <v>-262.7602</v>
      </c>
      <c r="K3993">
        <v>1.103016</v>
      </c>
      <c r="L3993">
        <v>141.01179999999999</v>
      </c>
      <c r="M3993">
        <v>-0.999552</v>
      </c>
      <c r="N3993">
        <v>0</v>
      </c>
      <c r="O3993">
        <v>2.958829E-2</v>
      </c>
      <c r="P3993">
        <v>-0.99697049999999998</v>
      </c>
      <c r="Q3993">
        <v>3.8838850000000001E-2</v>
      </c>
      <c r="R3993">
        <v>-6.7392939999999998E-2</v>
      </c>
      <c r="S3993">
        <v>-2.9960330000000002</v>
      </c>
      <c r="T3993">
        <v>-0.1659766</v>
      </c>
      <c r="U3993">
        <v>-0.29077150000000002</v>
      </c>
      <c r="V3993">
        <v>-9.6893789999999994E-2</v>
      </c>
      <c r="W3993">
        <v>4.3261679999999997E-2</v>
      </c>
      <c r="X3993">
        <v>0.99435409999999902</v>
      </c>
      <c r="Y3993">
        <v>-0.1257701</v>
      </c>
      <c r="Z3993">
        <v>-5.1074409999999999E-3</v>
      </c>
      <c r="AA3993">
        <v>0.99204629999999905</v>
      </c>
      <c r="AB3993">
        <v>52</v>
      </c>
      <c r="AC3993">
        <v>-19.375399999999999</v>
      </c>
      <c r="AD3993">
        <v>-1.1030203548199999</v>
      </c>
      <c r="AE3993">
        <v>-1.9481999999999799</v>
      </c>
      <c r="AF3993">
        <v>-2.5125762806902499</v>
      </c>
      <c r="AG3993">
        <v>-1.1030203548199999</v>
      </c>
      <c r="AH3993">
        <v>19.247517291653601</v>
      </c>
      <c r="AI3993">
        <v>93.252336369516101</v>
      </c>
      <c r="AJ3993">
        <v>97.437351282469805</v>
      </c>
      <c r="AK3993">
        <v>19.442135051530201</v>
      </c>
    </row>
    <row r="3994" spans="1:37" x14ac:dyDescent="0.2">
      <c r="A3994" t="str">
        <f>"20200111153730317"</f>
        <v>20200111153730317</v>
      </c>
      <c r="B3994" t="str">
        <f>"1578728250307499"</f>
        <v>1578728250307499</v>
      </c>
      <c r="C3994" t="s">
        <v>37</v>
      </c>
      <c r="D3994">
        <v>5.9130640000000003</v>
      </c>
      <c r="E3994">
        <v>0.48743029999999998</v>
      </c>
      <c r="F3994" t="s">
        <v>51</v>
      </c>
      <c r="G3994">
        <v>-282.39</v>
      </c>
      <c r="H3994" s="1">
        <v>-4.4815479999999998E-6</v>
      </c>
      <c r="I3994">
        <v>139.1002</v>
      </c>
      <c r="J3994">
        <v>-263.28660000000002</v>
      </c>
      <c r="K3994">
        <v>1.1030139999999999</v>
      </c>
      <c r="L3994">
        <v>141.0274</v>
      </c>
      <c r="M3994">
        <v>-0.99955899999999998</v>
      </c>
      <c r="N3994">
        <v>0</v>
      </c>
      <c r="O3994">
        <v>2.9347379999999999E-2</v>
      </c>
      <c r="P3994">
        <v>-0.99694570000000005</v>
      </c>
      <c r="Q3994">
        <v>3.8722779999999998E-2</v>
      </c>
      <c r="R3994">
        <v>-6.7821359999999997E-2</v>
      </c>
      <c r="S3994">
        <v>-2.9959410000000002</v>
      </c>
      <c r="T3994">
        <v>-0.16834549999999901</v>
      </c>
      <c r="U3994">
        <v>-0.2917633</v>
      </c>
      <c r="V3994">
        <v>-9.7081940000000005E-2</v>
      </c>
      <c r="W3994">
        <v>4.3170210000000001E-2</v>
      </c>
      <c r="X3994">
        <v>0.99433969999999905</v>
      </c>
      <c r="Y3994">
        <v>-0.12585270000000001</v>
      </c>
      <c r="Z3994">
        <v>-5.169112E-3</v>
      </c>
      <c r="AA3994">
        <v>0.99203539999999901</v>
      </c>
      <c r="AB3994">
        <v>53</v>
      </c>
      <c r="AC3994">
        <v>-19.103399999999901</v>
      </c>
      <c r="AD3994">
        <v>-1.103018481548</v>
      </c>
      <c r="AE3994">
        <v>-1.92719999999999</v>
      </c>
      <c r="AF3994">
        <v>-2.4788296279640298</v>
      </c>
      <c r="AG3994">
        <v>-1.103018481548</v>
      </c>
      <c r="AH3994">
        <v>18.9759871544654</v>
      </c>
      <c r="AI3994">
        <v>93.298729039461804</v>
      </c>
      <c r="AJ3994">
        <v>97.442395106118397</v>
      </c>
      <c r="AK3994">
        <v>19.168968010342699</v>
      </c>
    </row>
    <row r="3995" spans="1:37" x14ac:dyDescent="0.2">
      <c r="A3995" t="str">
        <f>"20200111153730339"</f>
        <v>20200111153730339</v>
      </c>
      <c r="B3995" t="str">
        <f>"1578728250327020"</f>
        <v>1578728250327020</v>
      </c>
      <c r="C3995" t="s">
        <v>37</v>
      </c>
      <c r="D3995">
        <v>6.0959029999999998</v>
      </c>
      <c r="E3995">
        <v>0.48783979999999999</v>
      </c>
      <c r="F3995" t="s">
        <v>51</v>
      </c>
      <c r="G3995">
        <v>-282.44409999999999</v>
      </c>
      <c r="H3995" s="1">
        <v>-4.5297629999999998E-6</v>
      </c>
      <c r="I3995">
        <v>139.16399999999999</v>
      </c>
      <c r="J3995">
        <v>-263.78840000000002</v>
      </c>
      <c r="K3995">
        <v>1.103019</v>
      </c>
      <c r="L3995">
        <v>141.042</v>
      </c>
      <c r="M3995">
        <v>-0.99956579999999995</v>
      </c>
      <c r="N3995">
        <v>0</v>
      </c>
      <c r="O3995">
        <v>2.9108350000000002E-2</v>
      </c>
      <c r="P3995">
        <v>-0.99690829999999997</v>
      </c>
      <c r="Q3995">
        <v>3.8209170000000001E-2</v>
      </c>
      <c r="R3995">
        <v>-6.8660159999999998E-2</v>
      </c>
      <c r="S3995">
        <v>-2.9960629999999999</v>
      </c>
      <c r="T3995">
        <v>-0.17250190000000001</v>
      </c>
      <c r="U3995">
        <v>-0.29141240000000002</v>
      </c>
      <c r="V3995">
        <v>-9.7682329999999998E-2</v>
      </c>
      <c r="W3995">
        <v>4.2683329999999998E-2</v>
      </c>
      <c r="X3995">
        <v>0.99430189999999996</v>
      </c>
      <c r="Y3995">
        <v>-0.1254854</v>
      </c>
      <c r="Z3995">
        <v>-5.2720769999999896E-3</v>
      </c>
      <c r="AA3995">
        <v>0.99208149999999995</v>
      </c>
      <c r="AB3995">
        <v>53</v>
      </c>
      <c r="AC3995">
        <v>-18.6556999999999</v>
      </c>
      <c r="AD3995">
        <v>-1.103023529763</v>
      </c>
      <c r="AE3995">
        <v>-1.8780000000000101</v>
      </c>
      <c r="AF3995">
        <v>-2.4118995969493802</v>
      </c>
      <c r="AG3995">
        <v>-1.103023529763</v>
      </c>
      <c r="AH3995">
        <v>18.5290047918383</v>
      </c>
      <c r="AI3995">
        <v>93.378338054791101</v>
      </c>
      <c r="AJ3995">
        <v>97.416426604338596</v>
      </c>
      <c r="AK3995">
        <v>18.717850815436702</v>
      </c>
    </row>
    <row r="3996" spans="1:37" x14ac:dyDescent="0.2">
      <c r="A3996" t="str">
        <f>"20200111153730362"</f>
        <v>20200111153730362</v>
      </c>
      <c r="B3996" t="str">
        <f>"1578728250357276"</f>
        <v>1578728250357276</v>
      </c>
      <c r="C3996" t="s">
        <v>37</v>
      </c>
      <c r="D3996">
        <v>5.9207689999999999</v>
      </c>
      <c r="E3996">
        <v>0.48842619999999998</v>
      </c>
      <c r="F3996" t="s">
        <v>51</v>
      </c>
      <c r="G3996">
        <v>-282.80500000000001</v>
      </c>
      <c r="H3996" s="1">
        <v>-4.703118E-6</v>
      </c>
      <c r="I3996">
        <v>139.19909999999999</v>
      </c>
      <c r="J3996">
        <v>-264.33890000000002</v>
      </c>
      <c r="K3996">
        <v>1.103051</v>
      </c>
      <c r="L3996">
        <v>141.05799999999999</v>
      </c>
      <c r="M3996">
        <v>-0.99957410000000002</v>
      </c>
      <c r="N3996">
        <v>0</v>
      </c>
      <c r="O3996">
        <v>2.881688E-2</v>
      </c>
      <c r="P3996">
        <v>-0.99684099999999998</v>
      </c>
      <c r="Q3996">
        <v>3.8317940000000002E-2</v>
      </c>
      <c r="R3996">
        <v>-6.9568669999999999E-2</v>
      </c>
      <c r="S3996">
        <v>-2.9959720000000001</v>
      </c>
      <c r="T3996">
        <v>-0.17377570000000001</v>
      </c>
      <c r="U3996">
        <v>-0.2903442</v>
      </c>
      <c r="V3996">
        <v>-9.8300440000000003E-2</v>
      </c>
      <c r="W3996">
        <v>4.2828640000000001E-2</v>
      </c>
      <c r="X3996">
        <v>0.99423470000000003</v>
      </c>
      <c r="Y3996">
        <v>-0.1248464</v>
      </c>
      <c r="Z3996">
        <v>-5.2758619999999897E-3</v>
      </c>
      <c r="AA3996">
        <v>0.99216199999999999</v>
      </c>
      <c r="AB3996">
        <v>53</v>
      </c>
      <c r="AC3996">
        <v>-18.466099999999901</v>
      </c>
      <c r="AD3996">
        <v>-1.1030557031179999</v>
      </c>
      <c r="AE3996">
        <v>-1.8589</v>
      </c>
      <c r="AF3996">
        <v>-2.3818554406970001</v>
      </c>
      <c r="AG3996">
        <v>-1.1030557031179999</v>
      </c>
      <c r="AH3996">
        <v>18.340078862386299</v>
      </c>
      <c r="AI3996">
        <v>93.413286085005595</v>
      </c>
      <c r="AJ3996">
        <v>97.399677663082002</v>
      </c>
      <c r="AK3996">
        <v>18.526965750038698</v>
      </c>
    </row>
    <row r="3997" spans="1:37" x14ac:dyDescent="0.2">
      <c r="A3997" t="str">
        <f>"20200111153730384"</f>
        <v>20200111153730384</v>
      </c>
      <c r="B3997" t="str">
        <f>"1578728250376795"</f>
        <v>1578728250376795</v>
      </c>
      <c r="C3997" t="s">
        <v>37</v>
      </c>
      <c r="D3997">
        <v>5.9406489999999996</v>
      </c>
      <c r="E3997">
        <v>0.48874820000000002</v>
      </c>
      <c r="F3997" t="s">
        <v>51</v>
      </c>
      <c r="G3997">
        <v>-283.4452</v>
      </c>
      <c r="H3997" s="1">
        <v>-4.99437599999999E-6</v>
      </c>
      <c r="I3997">
        <v>139.21850000000001</v>
      </c>
      <c r="J3997">
        <v>-264.87099999999998</v>
      </c>
      <c r="K3997">
        <v>1.103102</v>
      </c>
      <c r="L3997">
        <v>141.07320000000001</v>
      </c>
      <c r="M3997">
        <v>-0.99958309999999995</v>
      </c>
      <c r="N3997">
        <v>0</v>
      </c>
      <c r="O3997">
        <v>2.849353E-2</v>
      </c>
      <c r="P3997">
        <v>-0.99676200000000004</v>
      </c>
      <c r="Q3997">
        <v>3.9674099999999997E-2</v>
      </c>
      <c r="R3997">
        <v>-6.9939070000000006E-2</v>
      </c>
      <c r="S3997">
        <v>-2.9960019999999998</v>
      </c>
      <c r="T3997">
        <v>-0.17296739999999999</v>
      </c>
      <c r="U3997">
        <v>-0.2884369</v>
      </c>
      <c r="V3997">
        <v>-9.8351279999999999E-2</v>
      </c>
      <c r="W3997">
        <v>4.4232059999999997E-2</v>
      </c>
      <c r="X3997">
        <v>0.9941683</v>
      </c>
      <c r="Y3997">
        <v>-0.123903</v>
      </c>
      <c r="Z3997">
        <v>-5.2057049999999997E-3</v>
      </c>
      <c r="AA3997">
        <v>0.99228069999999902</v>
      </c>
      <c r="AB3997">
        <v>53</v>
      </c>
      <c r="AC3997">
        <v>-18.574200000000001</v>
      </c>
      <c r="AD3997">
        <v>-1.1031069943759999</v>
      </c>
      <c r="AE3997">
        <v>-1.8547</v>
      </c>
      <c r="AF3997">
        <v>-2.3749034376606901</v>
      </c>
      <c r="AG3997">
        <v>-1.1031069943759999</v>
      </c>
      <c r="AH3997">
        <v>18.449380770484801</v>
      </c>
      <c r="AI3997">
        <v>93.393762647473906</v>
      </c>
      <c r="AJ3997">
        <v>97.335083472194</v>
      </c>
      <c r="AK3997">
        <v>18.634287273560702</v>
      </c>
    </row>
    <row r="3998" spans="1:37" x14ac:dyDescent="0.2">
      <c r="A3998" t="str">
        <f>"20200111153730407"</f>
        <v>20200111153730407</v>
      </c>
      <c r="B3998" t="str">
        <f>"1578728250397291"</f>
        <v>1578728250397291</v>
      </c>
      <c r="C3998" t="s">
        <v>37</v>
      </c>
      <c r="D3998">
        <v>5.9567500000000004</v>
      </c>
      <c r="E3998">
        <v>0.4891395</v>
      </c>
      <c r="F3998" t="s">
        <v>51</v>
      </c>
      <c r="G3998">
        <v>-284.43049999999999</v>
      </c>
      <c r="H3998" s="1">
        <v>-5.4238170000000003E-6</v>
      </c>
      <c r="I3998">
        <v>139.1987</v>
      </c>
      <c r="J3998">
        <v>-265.41789999999997</v>
      </c>
      <c r="K3998">
        <v>1.1031610000000001</v>
      </c>
      <c r="L3998">
        <v>141.08860000000001</v>
      </c>
      <c r="M3998">
        <v>-0.99959339999999997</v>
      </c>
      <c r="N3998">
        <v>0</v>
      </c>
      <c r="O3998">
        <v>2.81175E-2</v>
      </c>
      <c r="P3998">
        <v>-0.99667050000000001</v>
      </c>
      <c r="Q3998">
        <v>4.1476359999999997E-2</v>
      </c>
      <c r="R3998">
        <v>-7.0199010000000006E-2</v>
      </c>
      <c r="S3998">
        <v>-2.9963380000000002</v>
      </c>
      <c r="T3998">
        <v>-0.16898629999999901</v>
      </c>
      <c r="U3998">
        <v>-0.2871552</v>
      </c>
      <c r="V3998">
        <v>-9.8240620000000001E-2</v>
      </c>
      <c r="W3998">
        <v>4.6094599999999999E-2</v>
      </c>
      <c r="X3998">
        <v>0.99409459999999905</v>
      </c>
      <c r="Y3998">
        <v>-0.1231119</v>
      </c>
      <c r="Z3998">
        <v>-5.0422219999999998E-3</v>
      </c>
      <c r="AA3998">
        <v>0.99237999999999904</v>
      </c>
      <c r="AB3998">
        <v>53</v>
      </c>
      <c r="AC3998">
        <v>-19.012599999999999</v>
      </c>
      <c r="AD3998">
        <v>-1.103166423817</v>
      </c>
      <c r="AE3998">
        <v>-1.8899000000000099</v>
      </c>
      <c r="AF3998">
        <v>-2.4156923049908099</v>
      </c>
      <c r="AG3998">
        <v>-1.103166423817</v>
      </c>
      <c r="AH3998">
        <v>18.8889723498094</v>
      </c>
      <c r="AI3998">
        <v>93.315487313945695</v>
      </c>
      <c r="AJ3998">
        <v>97.287940461728397</v>
      </c>
      <c r="AK3998">
        <v>19.074743036352899</v>
      </c>
    </row>
    <row r="3999" spans="1:37" x14ac:dyDescent="0.2">
      <c r="A3999" t="str">
        <f>"20200111153730431"</f>
        <v>20200111153730431</v>
      </c>
      <c r="B3999" t="str">
        <f>"1578728250427547"</f>
        <v>1578728250427547</v>
      </c>
      <c r="C3999" t="s">
        <v>37</v>
      </c>
      <c r="D3999">
        <v>5.9079379999999997</v>
      </c>
      <c r="E3999">
        <v>0.48958379999999901</v>
      </c>
      <c r="F3999" t="s">
        <v>51</v>
      </c>
      <c r="G3999">
        <v>-285.68599999999998</v>
      </c>
      <c r="H3999" s="1">
        <v>-6.1094899999999998E-6</v>
      </c>
      <c r="I3999">
        <v>139.15880000000001</v>
      </c>
      <c r="J3999">
        <v>-265.98579999999998</v>
      </c>
      <c r="K3999">
        <v>1.1032360000000001</v>
      </c>
      <c r="L3999">
        <v>141.1044</v>
      </c>
      <c r="M3999">
        <v>-0.99960550000000004</v>
      </c>
      <c r="N3999">
        <v>0</v>
      </c>
      <c r="O3999">
        <v>2.767054E-2</v>
      </c>
      <c r="P3999">
        <v>-0.99658809999999998</v>
      </c>
      <c r="Q3999">
        <v>4.2351989999999999E-2</v>
      </c>
      <c r="R3999">
        <v>-7.0843450000000002E-2</v>
      </c>
      <c r="S3999">
        <v>-2.9967039999999998</v>
      </c>
      <c r="T3999">
        <v>-0.1631069</v>
      </c>
      <c r="U3999">
        <v>-0.28532410000000002</v>
      </c>
      <c r="V3999">
        <v>-9.8444299999999998E-2</v>
      </c>
      <c r="W3999">
        <v>4.7057719999999997E-2</v>
      </c>
      <c r="X3999">
        <v>0.9940293</v>
      </c>
      <c r="Y3999">
        <v>-0.12207419999999999</v>
      </c>
      <c r="Z3999">
        <v>-4.8141820000000002E-3</v>
      </c>
      <c r="AA3999">
        <v>0.99250930000000004</v>
      </c>
      <c r="AB3999">
        <v>53</v>
      </c>
      <c r="AC3999">
        <v>-19.700199999999899</v>
      </c>
      <c r="AD3999">
        <v>-1.10324210949</v>
      </c>
      <c r="AE3999">
        <v>-1.94559999999998</v>
      </c>
      <c r="AF3999">
        <v>-2.4822668705304398</v>
      </c>
      <c r="AG3999">
        <v>-1.10324210949</v>
      </c>
      <c r="AH3999">
        <v>19.5780131373341</v>
      </c>
      <c r="AI3999">
        <v>93.199706080168497</v>
      </c>
      <c r="AJ3999">
        <v>97.225890887423603</v>
      </c>
      <c r="AK3999">
        <v>19.765560714897799</v>
      </c>
    </row>
    <row r="4000" spans="1:37" x14ac:dyDescent="0.2">
      <c r="A4000" t="str">
        <f>"20200111153730451"</f>
        <v>20200111153730451</v>
      </c>
      <c r="B4000" t="str">
        <f>"1578728250447069"</f>
        <v>1578728250447069</v>
      </c>
      <c r="C4000" t="s">
        <v>37</v>
      </c>
      <c r="D4000">
        <v>5.9082379999999999</v>
      </c>
      <c r="E4000">
        <v>0.4897492</v>
      </c>
      <c r="F4000" t="s">
        <v>51</v>
      </c>
      <c r="G4000">
        <v>-286.35019999999997</v>
      </c>
      <c r="H4000" s="1">
        <v>-6.5291129999999996E-6</v>
      </c>
      <c r="I4000">
        <v>139.1764</v>
      </c>
      <c r="J4000">
        <v>-266.46550000000002</v>
      </c>
      <c r="K4000">
        <v>1.1033120000000001</v>
      </c>
      <c r="L4000">
        <v>141.11750000000001</v>
      </c>
      <c r="M4000">
        <v>-0.99961659999999997</v>
      </c>
      <c r="N4000">
        <v>0</v>
      </c>
      <c r="O4000">
        <v>2.723919E-2</v>
      </c>
      <c r="P4000">
        <v>-0.99654619999999905</v>
      </c>
      <c r="Q4000">
        <v>4.2798950000000002E-2</v>
      </c>
      <c r="R4000">
        <v>-7.1160879999999996E-2</v>
      </c>
      <c r="S4000">
        <v>-2.9969790000000001</v>
      </c>
      <c r="T4000">
        <v>-0.16236210000000001</v>
      </c>
      <c r="U4000">
        <v>-0.28373720000000002</v>
      </c>
      <c r="V4000">
        <v>-9.8337869999999994E-2</v>
      </c>
      <c r="W4000">
        <v>4.7619759999999997E-2</v>
      </c>
      <c r="X4000">
        <v>0.99401309999999998</v>
      </c>
      <c r="Y4000">
        <v>-0.12112049999999901</v>
      </c>
      <c r="Z4000">
        <v>-4.7428469999999997E-3</v>
      </c>
      <c r="AA4000">
        <v>0.99262649999999997</v>
      </c>
      <c r="AB4000">
        <v>53</v>
      </c>
      <c r="AC4000">
        <v>-19.884699999999899</v>
      </c>
      <c r="AD4000">
        <v>-1.1033185291130001</v>
      </c>
      <c r="AE4000">
        <v>-1.9411</v>
      </c>
      <c r="AF4000">
        <v>-2.4744833131226902</v>
      </c>
      <c r="AG4000">
        <v>-1.1033185291130001</v>
      </c>
      <c r="AH4000">
        <v>19.764173748458798</v>
      </c>
      <c r="AI4000">
        <v>93.170471716433397</v>
      </c>
      <c r="AJ4000">
        <v>97.136323934767304</v>
      </c>
      <c r="AK4000">
        <v>19.949008581954001</v>
      </c>
    </row>
    <row r="4001" spans="1:37" x14ac:dyDescent="0.2">
      <c r="A4001" t="str">
        <f>"20200111153730475"</f>
        <v>20200111153730475</v>
      </c>
      <c r="B4001" t="str">
        <f>"1578728250466587"</f>
        <v>1578728250466587</v>
      </c>
      <c r="C4001" t="s">
        <v>37</v>
      </c>
      <c r="D4001">
        <v>5.9741390000000001</v>
      </c>
      <c r="E4001">
        <v>0.49004690000000001</v>
      </c>
      <c r="F4001" t="s">
        <v>51</v>
      </c>
      <c r="G4001">
        <v>-286.60149999999999</v>
      </c>
      <c r="H4001" s="1">
        <v>-6.6991169999999998E-6</v>
      </c>
      <c r="I4001">
        <v>139.21510000000001</v>
      </c>
      <c r="J4001">
        <v>-267.02429999999998</v>
      </c>
      <c r="K4001">
        <v>1.1034219999999999</v>
      </c>
      <c r="L4001">
        <v>141.13249999999999</v>
      </c>
      <c r="M4001">
        <v>-0.99963089999999999</v>
      </c>
      <c r="N4001">
        <v>0</v>
      </c>
      <c r="O4001">
        <v>2.6667199999999999E-2</v>
      </c>
      <c r="P4001">
        <v>-0.9965446</v>
      </c>
      <c r="Q4001">
        <v>4.287759E-2</v>
      </c>
      <c r="R4001">
        <v>-7.1137530000000004E-2</v>
      </c>
      <c r="S4001">
        <v>-2.997223</v>
      </c>
      <c r="T4001">
        <v>-0.1642277</v>
      </c>
      <c r="U4001">
        <v>-0.283172599999999</v>
      </c>
      <c r="V4001">
        <v>-9.7754419999999995E-2</v>
      </c>
      <c r="W4001">
        <v>4.7911710000000003E-2</v>
      </c>
      <c r="X4001">
        <v>0.99405659999999896</v>
      </c>
      <c r="Y4001">
        <v>-0.12035659999999999</v>
      </c>
      <c r="Z4001">
        <v>-4.7447909999999999E-3</v>
      </c>
      <c r="AA4001">
        <v>0.99271939999999903</v>
      </c>
      <c r="AB4001">
        <v>54</v>
      </c>
      <c r="AC4001">
        <v>-19.577200000000001</v>
      </c>
      <c r="AD4001">
        <v>-1.1034286991169999</v>
      </c>
      <c r="AE4001">
        <v>-1.91739999999998</v>
      </c>
      <c r="AF4001">
        <v>-2.4311443913766002</v>
      </c>
      <c r="AG4001">
        <v>-1.1034286991169999</v>
      </c>
      <c r="AH4001">
        <v>19.4578790005089</v>
      </c>
      <c r="AI4001">
        <v>93.220697623073505</v>
      </c>
      <c r="AJ4001">
        <v>97.121854683405601</v>
      </c>
      <c r="AK4001">
        <v>19.640190252240501</v>
      </c>
    </row>
    <row r="4002" spans="1:37" x14ac:dyDescent="0.2">
      <c r="A4002" t="str">
        <f>"20200111153730496"</f>
        <v>20200111153730496</v>
      </c>
      <c r="B4002" t="str">
        <f>"1578728250487086"</f>
        <v>1578728250487086</v>
      </c>
      <c r="C4002" t="s">
        <v>37</v>
      </c>
      <c r="D4002">
        <v>6.1554180000000001</v>
      </c>
      <c r="E4002">
        <v>0.49016019999999999</v>
      </c>
      <c r="F4002" t="s">
        <v>51</v>
      </c>
      <c r="G4002">
        <v>-286.86399999999998</v>
      </c>
      <c r="H4002" s="1">
        <v>-6.8834320000000001E-6</v>
      </c>
      <c r="I4002">
        <v>139.2749</v>
      </c>
      <c r="J4002">
        <v>-267.55990000000003</v>
      </c>
      <c r="K4002">
        <v>1.1035619999999999</v>
      </c>
      <c r="L4002">
        <v>141.1465</v>
      </c>
      <c r="M4002">
        <v>-0.99964549999999996</v>
      </c>
      <c r="N4002">
        <v>0</v>
      </c>
      <c r="O4002">
        <v>2.6043739999999999E-2</v>
      </c>
      <c r="P4002">
        <v>-0.99652169999999896</v>
      </c>
      <c r="Q4002">
        <v>4.2524930000000002E-2</v>
      </c>
      <c r="R4002">
        <v>-7.1667430000000004E-2</v>
      </c>
      <c r="S4002">
        <v>-2.9975589999999999</v>
      </c>
      <c r="T4002">
        <v>-0.16671559999999999</v>
      </c>
      <c r="U4002">
        <v>-0.28067019999999998</v>
      </c>
      <c r="V4002">
        <v>-9.7671670000000002E-2</v>
      </c>
      <c r="W4002">
        <v>4.7866949999999998E-2</v>
      </c>
      <c r="X4002">
        <v>0.99406689999999998</v>
      </c>
      <c r="Y4002">
        <v>-0.1189021</v>
      </c>
      <c r="Z4002">
        <v>-4.7412970000000002E-3</v>
      </c>
      <c r="AA4002">
        <v>0.99289459999999996</v>
      </c>
      <c r="AB4002">
        <v>54</v>
      </c>
      <c r="AC4002">
        <v>-19.304099999999998</v>
      </c>
      <c r="AD4002">
        <v>-1.1035688834320001</v>
      </c>
      <c r="AE4002">
        <v>-1.8715999999999999</v>
      </c>
      <c r="AF4002">
        <v>-2.36606319427871</v>
      </c>
      <c r="AG4002">
        <v>-1.1035688834320001</v>
      </c>
      <c r="AH4002">
        <v>19.186687002810501</v>
      </c>
      <c r="AI4002">
        <v>93.2671843309504</v>
      </c>
      <c r="AJ4002">
        <v>97.030105944328298</v>
      </c>
      <c r="AK4002">
        <v>19.363498585318101</v>
      </c>
    </row>
    <row r="4003" spans="1:37" x14ac:dyDescent="0.2">
      <c r="A4003" t="str">
        <f>"20200111153730518"</f>
        <v>20200111153730518</v>
      </c>
      <c r="B4003" t="str">
        <f>"1578728250507579"</f>
        <v>1578728250507579</v>
      </c>
      <c r="C4003" t="s">
        <v>37</v>
      </c>
      <c r="D4003">
        <v>6.2111839999999896</v>
      </c>
      <c r="E4003">
        <v>0.49040829999999902</v>
      </c>
      <c r="F4003" t="s">
        <v>51</v>
      </c>
      <c r="G4003">
        <v>-287.21910000000003</v>
      </c>
      <c r="H4003" s="1">
        <v>-7.1137890000000003E-6</v>
      </c>
      <c r="I4003">
        <v>139.3015</v>
      </c>
      <c r="J4003">
        <v>-268.0779</v>
      </c>
      <c r="K4003">
        <v>1.10372</v>
      </c>
      <c r="L4003">
        <v>141.15979999999999</v>
      </c>
      <c r="M4003">
        <v>-0.99966060000000001</v>
      </c>
      <c r="N4003">
        <v>0</v>
      </c>
      <c r="O4003">
        <v>2.536658E-2</v>
      </c>
      <c r="P4003">
        <v>-0.99650280000000002</v>
      </c>
      <c r="Q4003">
        <v>4.1850070000000003E-2</v>
      </c>
      <c r="R4003">
        <v>-7.2326109999999999E-2</v>
      </c>
      <c r="S4003">
        <v>-2.9974059999999998</v>
      </c>
      <c r="T4003">
        <v>-0.16825950000000001</v>
      </c>
      <c r="U4003">
        <v>-0.28131099999999998</v>
      </c>
      <c r="V4003">
        <v>-9.766582E-2</v>
      </c>
      <c r="W4003">
        <v>4.7598790000000002E-2</v>
      </c>
      <c r="X4003">
        <v>0.99408039999999998</v>
      </c>
      <c r="Y4003">
        <v>-0.1184423</v>
      </c>
      <c r="Z4003">
        <v>-4.734556E-3</v>
      </c>
      <c r="AA4003">
        <v>0.99294969999999905</v>
      </c>
      <c r="AB4003">
        <v>54</v>
      </c>
      <c r="AC4003">
        <v>-19.141200000000001</v>
      </c>
      <c r="AD4003">
        <v>-1.1037271137889999</v>
      </c>
      <c r="AE4003">
        <v>-1.8582999999999801</v>
      </c>
      <c r="AF4003">
        <v>-2.33556421665042</v>
      </c>
      <c r="AG4003">
        <v>-1.1037271137889999</v>
      </c>
      <c r="AH4003">
        <v>19.025233623244201</v>
      </c>
      <c r="AI4003">
        <v>93.295542921748904</v>
      </c>
      <c r="AJ4003">
        <v>96.998692391922205</v>
      </c>
      <c r="AK4003">
        <v>19.1998069826452</v>
      </c>
    </row>
    <row r="4004" spans="1:37" x14ac:dyDescent="0.2">
      <c r="A4004" t="str">
        <f>"20200111153730540"</f>
        <v>20200111153730540</v>
      </c>
      <c r="B4004" t="str">
        <f>"1578728250536859"</f>
        <v>1578728250536859</v>
      </c>
      <c r="C4004" t="s">
        <v>37</v>
      </c>
      <c r="D4004">
        <v>6.20397</v>
      </c>
      <c r="E4004">
        <v>0.49066959999999998</v>
      </c>
      <c r="F4004" t="s">
        <v>51</v>
      </c>
      <c r="G4004">
        <v>-287.43939999999998</v>
      </c>
      <c r="H4004" s="1">
        <v>-7.26534E-6</v>
      </c>
      <c r="I4004">
        <v>139.34270000000001</v>
      </c>
      <c r="J4004">
        <v>-268.61320000000001</v>
      </c>
      <c r="K4004">
        <v>1.1039000000000001</v>
      </c>
      <c r="L4004">
        <v>141.1729</v>
      </c>
      <c r="M4004">
        <v>-0.99967649999999997</v>
      </c>
      <c r="N4004">
        <v>0</v>
      </c>
      <c r="O4004">
        <v>2.4589650000000001E-2</v>
      </c>
      <c r="P4004">
        <v>-0.99653709999999995</v>
      </c>
      <c r="Q4004">
        <v>4.0809970000000001E-2</v>
      </c>
      <c r="R4004">
        <v>-7.2446029999999995E-2</v>
      </c>
      <c r="S4004">
        <v>-2.99725299999999</v>
      </c>
      <c r="T4004">
        <v>-0.1708626</v>
      </c>
      <c r="U4004">
        <v>-0.28129579999999998</v>
      </c>
      <c r="V4004">
        <v>-9.7023990000000004E-2</v>
      </c>
      <c r="W4004">
        <v>4.7081999999999999E-2</v>
      </c>
      <c r="X4004">
        <v>0.99416779999999905</v>
      </c>
      <c r="Y4004">
        <v>-0.117665899999999</v>
      </c>
      <c r="Z4004">
        <v>-4.7416960000000001E-3</v>
      </c>
      <c r="AA4004">
        <v>0.99304190000000003</v>
      </c>
      <c r="AB4004">
        <v>54</v>
      </c>
      <c r="AC4004">
        <v>-18.826199999999901</v>
      </c>
      <c r="AD4004">
        <v>-1.1039072653399999</v>
      </c>
      <c r="AE4004">
        <v>-1.8301999999999901</v>
      </c>
      <c r="AF4004">
        <v>-2.2848038029234101</v>
      </c>
      <c r="AG4004">
        <v>-1.1039072653399999</v>
      </c>
      <c r="AH4004">
        <v>18.7117685777616</v>
      </c>
      <c r="AI4004">
        <v>93.351436394473495</v>
      </c>
      <c r="AJ4004">
        <v>96.961649121616304</v>
      </c>
      <c r="AK4004">
        <v>18.883040617867401</v>
      </c>
    </row>
    <row r="4005" spans="1:37" x14ac:dyDescent="0.2">
      <c r="A4005" t="str">
        <f>"20200111153730563"</f>
        <v>20200111153730563</v>
      </c>
      <c r="B4005" t="str">
        <f>"1578728250557355"</f>
        <v>1578728250557355</v>
      </c>
      <c r="C4005" t="s">
        <v>37</v>
      </c>
      <c r="D4005">
        <v>5.8798199999999996</v>
      </c>
      <c r="E4005">
        <v>0.49085209999999901</v>
      </c>
      <c r="F4005" t="s">
        <v>51</v>
      </c>
      <c r="G4005">
        <v>-287.43349999999998</v>
      </c>
      <c r="H4005" s="1">
        <v>-7.2880740000000003E-6</v>
      </c>
      <c r="I4005">
        <v>139.41820000000001</v>
      </c>
      <c r="J4005">
        <v>-269.14319999999998</v>
      </c>
      <c r="K4005">
        <v>1.104096</v>
      </c>
      <c r="L4005">
        <v>141.18549999999999</v>
      </c>
      <c r="M4005">
        <v>-0.99969259999999904</v>
      </c>
      <c r="N4005">
        <v>0</v>
      </c>
      <c r="O4005">
        <v>2.3750770000000001E-2</v>
      </c>
      <c r="P4005">
        <v>-0.996542499999999</v>
      </c>
      <c r="Q4005">
        <v>3.9556050000000002E-2</v>
      </c>
      <c r="R4005">
        <v>-7.3063000000000003E-2</v>
      </c>
      <c r="S4005">
        <v>-2.9972840000000001</v>
      </c>
      <c r="T4005">
        <v>-0.17580599999999999</v>
      </c>
      <c r="U4005">
        <v>-0.27944949999999902</v>
      </c>
      <c r="V4005">
        <v>-9.6816520000000003E-2</v>
      </c>
      <c r="W4005">
        <v>4.6420400000000001E-2</v>
      </c>
      <c r="X4005">
        <v>0.99421909999999902</v>
      </c>
      <c r="Y4005">
        <v>-0.116215599999999</v>
      </c>
      <c r="Z4005">
        <v>-4.7872699999999997E-3</v>
      </c>
      <c r="AA4005">
        <v>0.99321250000000005</v>
      </c>
      <c r="AB4005">
        <v>54</v>
      </c>
      <c r="AC4005">
        <v>-18.290299999999998</v>
      </c>
      <c r="AD4005">
        <v>-1.104103288074</v>
      </c>
      <c r="AE4005">
        <v>-1.7672999999999699</v>
      </c>
      <c r="AF4005">
        <v>-2.19330268536272</v>
      </c>
      <c r="AG4005">
        <v>-1.104103288074</v>
      </c>
      <c r="AH4005">
        <v>18.1775382986031</v>
      </c>
      <c r="AI4005">
        <v>93.450905370641806</v>
      </c>
      <c r="AJ4005">
        <v>96.880051742884007</v>
      </c>
      <c r="AK4005">
        <v>18.342642103512201</v>
      </c>
    </row>
    <row r="4006" spans="1:37" x14ac:dyDescent="0.2">
      <c r="A4006" t="str">
        <f>"20200111153730585"</f>
        <v>20200111153730585</v>
      </c>
      <c r="B4006" t="str">
        <f>"1578728250576875"</f>
        <v>1578728250576875</v>
      </c>
      <c r="C4006" t="s">
        <v>37</v>
      </c>
      <c r="D4006">
        <v>6.0783149999999999</v>
      </c>
      <c r="E4006">
        <v>0.49097859999999999</v>
      </c>
      <c r="F4006" t="s">
        <v>51</v>
      </c>
      <c r="G4006">
        <v>-287.45049999999998</v>
      </c>
      <c r="H4006" s="1">
        <v>-7.319316E-6</v>
      </c>
      <c r="I4006">
        <v>139.47730000000001</v>
      </c>
      <c r="J4006">
        <v>-269.70429999999999</v>
      </c>
      <c r="K4006">
        <v>1.1042920000000001</v>
      </c>
      <c r="L4006">
        <v>141.19829999999999</v>
      </c>
      <c r="M4006">
        <v>-0.99970949999999903</v>
      </c>
      <c r="N4006">
        <v>0</v>
      </c>
      <c r="O4006">
        <v>2.2805550000000001E-2</v>
      </c>
      <c r="P4006">
        <v>-0.9965408</v>
      </c>
      <c r="Q4006">
        <v>3.8443070000000003E-2</v>
      </c>
      <c r="R4006">
        <v>-7.3679350000000005E-2</v>
      </c>
      <c r="S4006">
        <v>-2.9970400000000001</v>
      </c>
      <c r="T4006">
        <v>-0.1807501</v>
      </c>
      <c r="U4006">
        <v>-0.2796478</v>
      </c>
      <c r="V4006">
        <v>-9.6502389999999993E-2</v>
      </c>
      <c r="W4006">
        <v>4.5954090000000003E-2</v>
      </c>
      <c r="X4006">
        <v>0.99427129999999997</v>
      </c>
      <c r="Y4006">
        <v>-0.11533889999999999</v>
      </c>
      <c r="Z4006">
        <v>-4.8388420000000003E-3</v>
      </c>
      <c r="AA4006">
        <v>0.99331440000000004</v>
      </c>
      <c r="AB4006">
        <v>54</v>
      </c>
      <c r="AC4006">
        <v>-17.746199999999899</v>
      </c>
      <c r="AD4006">
        <v>-1.104299319316</v>
      </c>
      <c r="AE4006">
        <v>-1.7209999999999701</v>
      </c>
      <c r="AF4006">
        <v>-2.1171547752709601</v>
      </c>
      <c r="AG4006">
        <v>-1.104299319316</v>
      </c>
      <c r="AH4006">
        <v>17.634685141342199</v>
      </c>
      <c r="AI4006">
        <v>93.557750911395104</v>
      </c>
      <c r="AJ4006">
        <v>96.845952473325596</v>
      </c>
      <c r="AK4006">
        <v>17.7956157905077</v>
      </c>
    </row>
    <row r="4007" spans="1:37" x14ac:dyDescent="0.2">
      <c r="A4007" t="str">
        <f>"20200111153730620"</f>
        <v>20200111153730620</v>
      </c>
      <c r="B4007" t="str">
        <f>"1578728250617349"</f>
        <v>1578728250617349</v>
      </c>
      <c r="C4007" t="s">
        <v>37</v>
      </c>
      <c r="D4007">
        <v>5.9161060000000001</v>
      </c>
      <c r="E4007">
        <v>0.49122100000000002</v>
      </c>
      <c r="F4007" t="s">
        <v>51</v>
      </c>
      <c r="G4007">
        <v>-287.58760000000001</v>
      </c>
      <c r="H4007" s="1">
        <v>-7.4222769999999996E-6</v>
      </c>
      <c r="I4007">
        <v>139.52760000000001</v>
      </c>
      <c r="J4007">
        <v>-270.51280000000003</v>
      </c>
      <c r="K4007">
        <v>1.10454599999999</v>
      </c>
      <c r="L4007">
        <v>141.2158</v>
      </c>
      <c r="M4007">
        <v>-0.99973319999999999</v>
      </c>
      <c r="N4007">
        <v>0</v>
      </c>
      <c r="O4007">
        <v>2.13695E-2</v>
      </c>
      <c r="P4007">
        <v>-0.99642759999999997</v>
      </c>
      <c r="Q4007">
        <v>3.7990499999999899E-2</v>
      </c>
      <c r="R4007">
        <v>-7.5424480000000002E-2</v>
      </c>
      <c r="S4007">
        <v>-2.9968870000000001</v>
      </c>
      <c r="T4007">
        <v>-0.185059</v>
      </c>
      <c r="U4007">
        <v>-0.2799835</v>
      </c>
      <c r="V4007">
        <v>-9.6831520000000004E-2</v>
      </c>
      <c r="W4007">
        <v>4.6457560000000002E-2</v>
      </c>
      <c r="X4007">
        <v>0.99421599999999999</v>
      </c>
      <c r="Y4007">
        <v>-0.11402039999999999</v>
      </c>
      <c r="Z4007">
        <v>-4.8251980000000002E-3</v>
      </c>
      <c r="AA4007">
        <v>0.99346669999999904</v>
      </c>
      <c r="AB4007">
        <v>54</v>
      </c>
      <c r="AC4007">
        <v>-17.0747999999999</v>
      </c>
      <c r="AD4007">
        <v>-1.1045534222769899</v>
      </c>
      <c r="AE4007">
        <v>-1.6881999999999899</v>
      </c>
      <c r="AF4007">
        <v>-2.04423676617371</v>
      </c>
      <c r="AG4007">
        <v>-1.1045534222769899</v>
      </c>
      <c r="AH4007">
        <v>16.964519402274799</v>
      </c>
      <c r="AI4007">
        <v>93.698567764264197</v>
      </c>
      <c r="AJ4007">
        <v>96.871053498101801</v>
      </c>
      <c r="AK4007">
        <v>17.1229045657855</v>
      </c>
    </row>
    <row r="4008" spans="1:37" x14ac:dyDescent="0.2">
      <c r="A4008" t="str">
        <f>"20200111153730640"</f>
        <v>20200111153730640</v>
      </c>
      <c r="B4008" t="str">
        <f>"1578728250636870"</f>
        <v>1578728250636870</v>
      </c>
      <c r="C4008" t="s">
        <v>37</v>
      </c>
      <c r="D4008">
        <v>5.9069149999999997</v>
      </c>
      <c r="E4008">
        <v>0.49135990000000002</v>
      </c>
      <c r="F4008" t="s">
        <v>51</v>
      </c>
      <c r="G4008">
        <v>-288.06760000000003</v>
      </c>
      <c r="H4008" s="1">
        <v>-7.7319779999999996E-6</v>
      </c>
      <c r="I4008">
        <v>139.55879999999999</v>
      </c>
      <c r="J4008">
        <v>-271.02910000000003</v>
      </c>
      <c r="K4008">
        <v>1.1046899999999999</v>
      </c>
      <c r="L4008">
        <v>141.22630000000001</v>
      </c>
      <c r="M4008">
        <v>-0.9997471</v>
      </c>
      <c r="N4008">
        <v>0</v>
      </c>
      <c r="O4008">
        <v>2.041283E-2</v>
      </c>
      <c r="P4008">
        <v>-0.996328199999999</v>
      </c>
      <c r="Q4008">
        <v>3.7624310000000001E-2</v>
      </c>
      <c r="R4008">
        <v>-7.6908009999999999E-2</v>
      </c>
      <c r="S4008">
        <v>-2.996521</v>
      </c>
      <c r="T4008">
        <v>-0.1885415</v>
      </c>
      <c r="U4008">
        <v>-0.2828522</v>
      </c>
      <c r="V4008">
        <v>-9.7368850000000007E-2</v>
      </c>
      <c r="W4008">
        <v>4.6725250000000003E-2</v>
      </c>
      <c r="X4008">
        <v>0.99415089999999995</v>
      </c>
      <c r="Y4008">
        <v>-0.11401600000000001</v>
      </c>
      <c r="Z4008">
        <v>-4.8560540000000003E-3</v>
      </c>
      <c r="AA4008">
        <v>0.99346699999999999</v>
      </c>
      <c r="AB4008">
        <v>54</v>
      </c>
      <c r="AC4008">
        <v>-17.038499999999999</v>
      </c>
      <c r="AD4008">
        <v>-1.104697731978</v>
      </c>
      <c r="AE4008">
        <v>-1.66750000000001</v>
      </c>
      <c r="AF4008">
        <v>-2.0066169678776098</v>
      </c>
      <c r="AG4008">
        <v>-1.104697731978</v>
      </c>
      <c r="AH4008">
        <v>16.930415596562401</v>
      </c>
      <c r="AI4008">
        <v>93.707342177424806</v>
      </c>
      <c r="AJ4008">
        <v>96.759245300976502</v>
      </c>
      <c r="AK4008">
        <v>17.0846668392197</v>
      </c>
    </row>
    <row r="4009" spans="1:37" x14ac:dyDescent="0.2">
      <c r="A4009" t="str">
        <f>"20200111153730664"</f>
        <v>20200111153730664</v>
      </c>
      <c r="B4009" t="str">
        <f>"1578728250657365"</f>
        <v>1578728250657365</v>
      </c>
      <c r="C4009" t="s">
        <v>37</v>
      </c>
      <c r="D4009">
        <v>5.8941119999999998</v>
      </c>
      <c r="E4009">
        <v>0.4914925</v>
      </c>
      <c r="F4009" t="s">
        <v>51</v>
      </c>
      <c r="G4009">
        <v>-288.43509999999998</v>
      </c>
      <c r="H4009" s="1">
        <v>-7.9632759999999998E-6</v>
      </c>
      <c r="I4009">
        <v>139.566</v>
      </c>
      <c r="J4009">
        <v>-271.57690000000002</v>
      </c>
      <c r="K4009">
        <v>1.1048149999999901</v>
      </c>
      <c r="L4009">
        <v>141.23689999999999</v>
      </c>
      <c r="M4009">
        <v>-0.99976139999999902</v>
      </c>
      <c r="N4009">
        <v>0</v>
      </c>
      <c r="O4009">
        <v>1.9369730000000002E-2</v>
      </c>
      <c r="P4009">
        <v>-0.99616159999999998</v>
      </c>
      <c r="Q4009">
        <v>3.6923039999999997E-2</v>
      </c>
      <c r="R4009">
        <v>-7.9366939999999997E-2</v>
      </c>
      <c r="S4009">
        <v>-2.9961849999999899</v>
      </c>
      <c r="T4009">
        <v>-0.190157299999999</v>
      </c>
      <c r="U4009">
        <v>-0.28579709999999903</v>
      </c>
      <c r="V4009">
        <v>-9.8792550000000007E-2</v>
      </c>
      <c r="W4009">
        <v>4.6673800000000001E-2</v>
      </c>
      <c r="X4009">
        <v>0.99401289999999998</v>
      </c>
      <c r="Y4009">
        <v>-0.113955399999999</v>
      </c>
      <c r="Z4009">
        <v>-4.8299909999999996E-3</v>
      </c>
      <c r="AA4009">
        <v>0.99347410000000003</v>
      </c>
      <c r="AB4009">
        <v>54</v>
      </c>
      <c r="AC4009">
        <v>-16.858199999999901</v>
      </c>
      <c r="AD4009">
        <v>-1.1048229632759901</v>
      </c>
      <c r="AE4009">
        <v>-1.6708999999999801</v>
      </c>
      <c r="AF4009">
        <v>-1.98868361906715</v>
      </c>
      <c r="AG4009">
        <v>-1.1048229632759901</v>
      </c>
      <c r="AH4009">
        <v>16.751422953031501</v>
      </c>
      <c r="AI4009">
        <v>93.747181628095603</v>
      </c>
      <c r="AJ4009">
        <v>96.770312153013805</v>
      </c>
      <c r="AK4009">
        <v>16.9051964575476</v>
      </c>
    </row>
    <row r="4010" spans="1:37" x14ac:dyDescent="0.2">
      <c r="A4010" t="str">
        <f>"20200111153730686"</f>
        <v>20200111153730686</v>
      </c>
      <c r="B4010" t="str">
        <f>"1578728250676888"</f>
        <v>1578728250676888</v>
      </c>
      <c r="C4010" t="s">
        <v>37</v>
      </c>
      <c r="D4010">
        <v>5.9086030000000003</v>
      </c>
      <c r="E4010">
        <v>0.49156470000000002</v>
      </c>
      <c r="F4010" t="s">
        <v>51</v>
      </c>
      <c r="G4010">
        <v>-288.72519999999997</v>
      </c>
      <c r="H4010" s="1">
        <v>-8.1440720000000006E-6</v>
      </c>
      <c r="I4010">
        <v>139.56649999999999</v>
      </c>
      <c r="J4010">
        <v>-272.11399999999998</v>
      </c>
      <c r="K4010">
        <v>1.1049149999999901</v>
      </c>
      <c r="L4010">
        <v>141.2467</v>
      </c>
      <c r="M4010">
        <v>-0.99977450000000001</v>
      </c>
      <c r="N4010">
        <v>0</v>
      </c>
      <c r="O4010">
        <v>1.8328839999999999E-2</v>
      </c>
      <c r="P4010">
        <v>-0.99604499999999996</v>
      </c>
      <c r="Q4010">
        <v>3.6580979999999999E-2</v>
      </c>
      <c r="R4010">
        <v>-8.0970210000000001E-2</v>
      </c>
      <c r="S4010">
        <v>-2.9954529999999999</v>
      </c>
      <c r="T4010">
        <v>-0.19298959999999901</v>
      </c>
      <c r="U4010">
        <v>-0.291778599999999</v>
      </c>
      <c r="V4010">
        <v>-9.9363899999999894E-2</v>
      </c>
      <c r="W4010">
        <v>4.692959E-2</v>
      </c>
      <c r="X4010">
        <v>0.99394389999999999</v>
      </c>
      <c r="Y4010">
        <v>-0.1149018</v>
      </c>
      <c r="Z4010">
        <v>-4.86604799999999E-3</v>
      </c>
      <c r="AA4010">
        <v>0.9933649</v>
      </c>
      <c r="AB4010">
        <v>54</v>
      </c>
      <c r="AC4010">
        <v>-16.611199999999901</v>
      </c>
      <c r="AD4010">
        <v>-1.10492314407199</v>
      </c>
      <c r="AE4010">
        <v>-1.6802000000000099</v>
      </c>
      <c r="AF4010">
        <v>-1.97574613426415</v>
      </c>
      <c r="AG4010">
        <v>-1.10492314407199</v>
      </c>
      <c r="AH4010">
        <v>16.5053234458519</v>
      </c>
      <c r="AI4010">
        <v>93.802794766003402</v>
      </c>
      <c r="AJ4010">
        <v>96.826029717252297</v>
      </c>
      <c r="AK4010">
        <v>16.6598358333314</v>
      </c>
    </row>
    <row r="4011" spans="1:37" x14ac:dyDescent="0.2">
      <c r="A4011" t="str">
        <f>"20200111153730707"</f>
        <v>20200111153730707</v>
      </c>
      <c r="B4011" t="str">
        <f>"1578728250697381"</f>
        <v>1578728250697381</v>
      </c>
      <c r="C4011" t="s">
        <v>37</v>
      </c>
      <c r="D4011">
        <v>6.1507110000000003</v>
      </c>
      <c r="E4011">
        <v>0.49162499999999998</v>
      </c>
      <c r="F4011" t="s">
        <v>51</v>
      </c>
      <c r="G4011">
        <v>-289.10079999999999</v>
      </c>
      <c r="H4011" s="1">
        <v>-8.3781679999999996E-6</v>
      </c>
      <c r="I4011">
        <v>139.56720000000001</v>
      </c>
      <c r="J4011">
        <v>-272.62549999999999</v>
      </c>
      <c r="K4011">
        <v>1.1050040000000001</v>
      </c>
      <c r="L4011">
        <v>141.25550000000001</v>
      </c>
      <c r="M4011">
        <v>-0.99978639999999996</v>
      </c>
      <c r="N4011">
        <v>0</v>
      </c>
      <c r="O4011">
        <v>1.7327990000000001E-2</v>
      </c>
      <c r="P4011">
        <v>-0.99602000000000002</v>
      </c>
      <c r="Q4011">
        <v>3.6015470000000001E-2</v>
      </c>
      <c r="R4011">
        <v>-8.1529550000000006E-2</v>
      </c>
      <c r="S4011">
        <v>-2.9950559999999999</v>
      </c>
      <c r="T4011">
        <v>-0.1948155</v>
      </c>
      <c r="U4011">
        <v>-0.29611209999999999</v>
      </c>
      <c r="V4011">
        <v>-9.8931359999999996E-2</v>
      </c>
      <c r="W4011">
        <v>4.6888630000000001E-2</v>
      </c>
      <c r="X4011">
        <v>0.99398889999999995</v>
      </c>
      <c r="Y4011">
        <v>-0.115339699999999</v>
      </c>
      <c r="Z4011">
        <v>-4.8615940000000003E-3</v>
      </c>
      <c r="AA4011">
        <v>0.99331420000000004</v>
      </c>
      <c r="AB4011">
        <v>54</v>
      </c>
      <c r="AC4011">
        <v>-16.475300000000001</v>
      </c>
      <c r="AD4011">
        <v>-1.1050123781679999</v>
      </c>
      <c r="AE4011">
        <v>-1.6882999999999899</v>
      </c>
      <c r="AF4011">
        <v>-1.96480162617681</v>
      </c>
      <c r="AG4011">
        <v>-1.1050123781679999</v>
      </c>
      <c r="AH4011">
        <v>16.3706911289914</v>
      </c>
      <c r="AI4011">
        <v>93.834142012543296</v>
      </c>
      <c r="AJ4011">
        <v>96.843872962077398</v>
      </c>
      <c r="AK4011">
        <v>16.5251634130186</v>
      </c>
    </row>
    <row r="4012" spans="1:37" x14ac:dyDescent="0.2">
      <c r="A4012" t="str">
        <f>"20200111153730729"</f>
        <v>20200111153730729</v>
      </c>
      <c r="B4012" t="str">
        <f>"1578728250716901"</f>
        <v>1578728250716901</v>
      </c>
      <c r="C4012" t="s">
        <v>37</v>
      </c>
      <c r="D4012">
        <v>6.1539000000000001</v>
      </c>
      <c r="E4012">
        <v>0.49172909999999997</v>
      </c>
      <c r="F4012" t="s">
        <v>51</v>
      </c>
      <c r="G4012">
        <v>-289.47340000000003</v>
      </c>
      <c r="H4012" s="1">
        <v>-8.6145190000000006E-6</v>
      </c>
      <c r="I4012">
        <v>139.57990000000001</v>
      </c>
      <c r="J4012">
        <v>-273.14620000000002</v>
      </c>
      <c r="K4012">
        <v>1.1050719999999901</v>
      </c>
      <c r="L4012">
        <v>141.26390000000001</v>
      </c>
      <c r="M4012">
        <v>-0.99979810000000002</v>
      </c>
      <c r="N4012">
        <v>0</v>
      </c>
      <c r="O4012">
        <v>1.6305770000000001E-2</v>
      </c>
      <c r="P4012">
        <v>-0.99599749999999998</v>
      </c>
      <c r="Q4012">
        <v>3.6111999999999998E-2</v>
      </c>
      <c r="R4012">
        <v>-8.1762100000000004E-2</v>
      </c>
      <c r="S4012">
        <v>-2.99472</v>
      </c>
      <c r="T4012">
        <v>-0.1964166</v>
      </c>
      <c r="U4012">
        <v>-0.2978363</v>
      </c>
      <c r="V4012">
        <v>-9.8152290000000003E-2</v>
      </c>
      <c r="W4012">
        <v>4.7467339999999997E-2</v>
      </c>
      <c r="X4012">
        <v>0.99403869999999905</v>
      </c>
      <c r="Y4012">
        <v>-0.1149</v>
      </c>
      <c r="Z4012">
        <v>-4.820675E-3</v>
      </c>
      <c r="AA4012">
        <v>0.99336530000000001</v>
      </c>
      <c r="AB4012">
        <v>54</v>
      </c>
      <c r="AC4012">
        <v>-16.327200000000001</v>
      </c>
      <c r="AD4012">
        <v>-1.10508061451899</v>
      </c>
      <c r="AE4012">
        <v>-1.6839999999999899</v>
      </c>
      <c r="AF4012">
        <v>-1.94122278718149</v>
      </c>
      <c r="AG4012">
        <v>-1.10508061451899</v>
      </c>
      <c r="AH4012">
        <v>16.224027560951001</v>
      </c>
      <c r="AI4012">
        <v>93.8691035201511</v>
      </c>
      <c r="AJ4012">
        <v>96.8230660293151</v>
      </c>
      <c r="AK4012">
        <v>16.377076032447199</v>
      </c>
    </row>
    <row r="4013" spans="1:37" x14ac:dyDescent="0.2">
      <c r="A4013" t="str">
        <f>"20200111153730753"</f>
        <v>20200111153730753</v>
      </c>
      <c r="B4013" t="str">
        <f>"1578728250747157"</f>
        <v>1578728250747157</v>
      </c>
      <c r="C4013" t="s">
        <v>37</v>
      </c>
      <c r="D4013">
        <v>5.8800800000000004</v>
      </c>
      <c r="E4013">
        <v>0.49187120000000001</v>
      </c>
      <c r="F4013" t="s">
        <v>51</v>
      </c>
      <c r="G4013">
        <v>-289.99110000000002</v>
      </c>
      <c r="H4013" s="1">
        <v>-8.9166000000000003E-6</v>
      </c>
      <c r="I4013">
        <v>139.5898</v>
      </c>
      <c r="J4013">
        <v>-273.6934</v>
      </c>
      <c r="K4013">
        <v>1.1051340000000001</v>
      </c>
      <c r="L4013">
        <v>141.2722</v>
      </c>
      <c r="M4013">
        <v>-0.99980939999999996</v>
      </c>
      <c r="N4013">
        <v>0</v>
      </c>
      <c r="O4013">
        <v>1.5231420000000001E-2</v>
      </c>
      <c r="P4013">
        <v>-0.99597289999999905</v>
      </c>
      <c r="Q4013">
        <v>3.6077749999999999E-2</v>
      </c>
      <c r="R4013">
        <v>-8.2074159999999993E-2</v>
      </c>
      <c r="S4013">
        <v>-2.99472</v>
      </c>
      <c r="T4013">
        <v>-0.19646449999999999</v>
      </c>
      <c r="U4013">
        <v>-0.29763790000000001</v>
      </c>
      <c r="V4013">
        <v>-9.74E-2</v>
      </c>
      <c r="W4013">
        <v>4.7885049999999998E-2</v>
      </c>
      <c r="X4013">
        <v>0.99409269999999905</v>
      </c>
      <c r="Y4013">
        <v>-0.113772</v>
      </c>
      <c r="Z4013">
        <v>-4.7147420000000001E-3</v>
      </c>
      <c r="AA4013">
        <v>0.99349569999999998</v>
      </c>
      <c r="AB4013">
        <v>54</v>
      </c>
      <c r="AC4013">
        <v>-16.297699999999999</v>
      </c>
      <c r="AD4013">
        <v>-1.1051429166</v>
      </c>
      <c r="AE4013">
        <v>-1.6823999999999999</v>
      </c>
      <c r="AF4013">
        <v>-1.9217172378490801</v>
      </c>
      <c r="AG4013">
        <v>-1.1051429166</v>
      </c>
      <c r="AH4013">
        <v>16.196493007737399</v>
      </c>
      <c r="AI4013">
        <v>93.876333320098198</v>
      </c>
      <c r="AJ4013">
        <v>96.766521654535097</v>
      </c>
      <c r="AK4013">
        <v>16.347499006210199</v>
      </c>
    </row>
    <row r="4014" spans="1:37" x14ac:dyDescent="0.2">
      <c r="A4014" t="str">
        <f>"20200111153730775"</f>
        <v>20200111153730775</v>
      </c>
      <c r="B4014" t="str">
        <f>"1578728250767653"</f>
        <v>1578728250767653</v>
      </c>
      <c r="C4014" t="s">
        <v>37</v>
      </c>
      <c r="D4014">
        <v>6.1478989999999998</v>
      </c>
      <c r="E4014">
        <v>0.49192209999999997</v>
      </c>
      <c r="F4014" t="s">
        <v>51</v>
      </c>
      <c r="G4014">
        <v>-290.4991</v>
      </c>
      <c r="H4014" s="1">
        <v>-8.8768100000000001E-6</v>
      </c>
      <c r="I4014">
        <v>139.6036</v>
      </c>
      <c r="J4014">
        <v>-274.23700000000002</v>
      </c>
      <c r="K4014">
        <v>1.105183</v>
      </c>
      <c r="L4014">
        <v>141.2799</v>
      </c>
      <c r="M4014">
        <v>-0.99982039999999905</v>
      </c>
      <c r="N4014">
        <v>0</v>
      </c>
      <c r="O4014">
        <v>1.416299E-2</v>
      </c>
      <c r="P4014">
        <v>-0.99586219999999903</v>
      </c>
      <c r="Q4014">
        <v>3.63174E-2</v>
      </c>
      <c r="R4014">
        <v>-8.3306249999999998E-2</v>
      </c>
      <c r="S4014">
        <v>-2.9947509999999999</v>
      </c>
      <c r="T4014">
        <v>-0.19693479999999999</v>
      </c>
      <c r="U4014">
        <v>-0.297348</v>
      </c>
      <c r="V4014">
        <v>-9.7572389999999995E-2</v>
      </c>
      <c r="W4014">
        <v>4.8518499999999999E-2</v>
      </c>
      <c r="X4014">
        <v>0.99404509999999902</v>
      </c>
      <c r="Y4014">
        <v>-0.1126175</v>
      </c>
      <c r="Z4014">
        <v>-4.6181199999999999E-3</v>
      </c>
      <c r="AA4014">
        <v>0.9936277</v>
      </c>
      <c r="AB4014">
        <v>54</v>
      </c>
      <c r="AC4014">
        <v>-16.262099999999901</v>
      </c>
      <c r="AD4014">
        <v>-1.10519187681</v>
      </c>
      <c r="AE4014">
        <v>-1.6762999999999899</v>
      </c>
      <c r="AF4014">
        <v>-1.8977968197262001</v>
      </c>
      <c r="AG4014">
        <v>-1.10519187681</v>
      </c>
      <c r="AH4014">
        <v>16.1628584218717</v>
      </c>
      <c r="AI4014">
        <v>93.885102710868495</v>
      </c>
      <c r="AJ4014">
        <v>96.6968436573502</v>
      </c>
      <c r="AK4014">
        <v>16.3113786731532</v>
      </c>
    </row>
    <row r="4015" spans="1:37" x14ac:dyDescent="0.2">
      <c r="A4015" t="str">
        <f>"20200111153730796"</f>
        <v>20200111153730796</v>
      </c>
      <c r="B4015" t="str">
        <f>"1578728250787176"</f>
        <v>1578728250787176</v>
      </c>
      <c r="C4015" t="s">
        <v>37</v>
      </c>
      <c r="D4015">
        <v>5.8753299999999999</v>
      </c>
      <c r="E4015">
        <v>0.49197540000000001</v>
      </c>
      <c r="F4015" t="s">
        <v>51</v>
      </c>
      <c r="G4015">
        <v>-291.06270000000001</v>
      </c>
      <c r="H4015" s="1">
        <v>-8.8229649999999993E-6</v>
      </c>
      <c r="I4015">
        <v>139.59119999999999</v>
      </c>
      <c r="J4015">
        <v>-274.76190000000003</v>
      </c>
      <c r="K4015">
        <v>1.1052169999999999</v>
      </c>
      <c r="L4015">
        <v>141.2868</v>
      </c>
      <c r="M4015">
        <v>-0.99982990000000005</v>
      </c>
      <c r="N4015">
        <v>0</v>
      </c>
      <c r="O4015">
        <v>1.313074E-2</v>
      </c>
      <c r="P4015">
        <v>-0.99578820000000001</v>
      </c>
      <c r="Q4015">
        <v>3.5845599999999998E-2</v>
      </c>
      <c r="R4015">
        <v>-8.4389399999999906E-2</v>
      </c>
      <c r="S4015">
        <v>-2.9944759999999899</v>
      </c>
      <c r="T4015">
        <v>-0.19669129999999899</v>
      </c>
      <c r="U4015">
        <v>-0.300537099999999</v>
      </c>
      <c r="V4015">
        <v>-9.7629430000000003E-2</v>
      </c>
      <c r="W4015">
        <v>4.8383719999999998E-2</v>
      </c>
      <c r="X4015">
        <v>0.99404599999999899</v>
      </c>
      <c r="Y4015">
        <v>-0.1126513</v>
      </c>
      <c r="Z4015">
        <v>-4.5461240000000003E-3</v>
      </c>
      <c r="AA4015">
        <v>0.99362419999999996</v>
      </c>
      <c r="AB4015">
        <v>53</v>
      </c>
      <c r="AC4015">
        <v>-16.300799999999899</v>
      </c>
      <c r="AD4015">
        <v>-1.105225822965</v>
      </c>
      <c r="AE4015">
        <v>-1.69560000000001</v>
      </c>
      <c r="AF4015">
        <v>-1.9008683682448499</v>
      </c>
      <c r="AG4015">
        <v>-1.105225822965</v>
      </c>
      <c r="AH4015">
        <v>16.203436573934301</v>
      </c>
      <c r="AI4015">
        <v>93.875568367821302</v>
      </c>
      <c r="AJ4015">
        <v>96.690938426584793</v>
      </c>
      <c r="AK4015">
        <v>16.351947329864199</v>
      </c>
    </row>
    <row r="4016" spans="1:37" x14ac:dyDescent="0.2">
      <c r="A4016" t="str">
        <f>"20200111153730819"</f>
        <v>20200111153730819</v>
      </c>
      <c r="B4016" t="str">
        <f>"1578728250806693"</f>
        <v>1578728250806693</v>
      </c>
      <c r="C4016" t="s">
        <v>37</v>
      </c>
      <c r="D4016">
        <v>6.0780209999999997</v>
      </c>
      <c r="E4016">
        <v>0.49201610000000001</v>
      </c>
      <c r="F4016" t="s">
        <v>51</v>
      </c>
      <c r="G4016">
        <v>-291.4239</v>
      </c>
      <c r="H4016" s="1">
        <v>-8.7937660000000007E-6</v>
      </c>
      <c r="I4016">
        <v>139.5984</v>
      </c>
      <c r="J4016">
        <v>-275.28019999999998</v>
      </c>
      <c r="K4016">
        <v>1.1052389999999901</v>
      </c>
      <c r="L4016">
        <v>141.29300000000001</v>
      </c>
      <c r="M4016">
        <v>-0.99983889999999997</v>
      </c>
      <c r="N4016">
        <v>0</v>
      </c>
      <c r="O4016">
        <v>1.2111210000000001E-2</v>
      </c>
      <c r="P4016">
        <v>-0.99569799999999997</v>
      </c>
      <c r="Q4016">
        <v>3.5558050000000001E-2</v>
      </c>
      <c r="R4016">
        <v>-8.5564959999999995E-2</v>
      </c>
      <c r="S4016">
        <v>-2.9941709999999899</v>
      </c>
      <c r="T4016">
        <v>-0.1986097</v>
      </c>
      <c r="U4016">
        <v>-0.30339050000000001</v>
      </c>
      <c r="V4016">
        <v>-9.7790580000000002E-2</v>
      </c>
      <c r="W4016">
        <v>4.838895E-2</v>
      </c>
      <c r="X4016">
        <v>0.99402990000000002</v>
      </c>
      <c r="Y4016">
        <v>-0.11258269999999999</v>
      </c>
      <c r="Z4016">
        <v>-4.5209479999999899E-3</v>
      </c>
      <c r="AA4016">
        <v>0.99363210000000002</v>
      </c>
      <c r="AB4016">
        <v>53</v>
      </c>
      <c r="AC4016">
        <v>-16.143699999999999</v>
      </c>
      <c r="AD4016">
        <v>-1.1052477937659999</v>
      </c>
      <c r="AE4016">
        <v>-1.6946000000000001</v>
      </c>
      <c r="AF4016">
        <v>-1.8812907138455801</v>
      </c>
      <c r="AG4016">
        <v>-1.1052477937659999</v>
      </c>
      <c r="AH4016">
        <v>16.047591855368399</v>
      </c>
      <c r="AI4016">
        <v>93.913203193640499</v>
      </c>
      <c r="AJ4016">
        <v>96.6863771938159</v>
      </c>
      <c r="AK4016">
        <v>16.195247197622901</v>
      </c>
    </row>
    <row r="4017" spans="1:37" x14ac:dyDescent="0.2">
      <c r="A4017" t="str">
        <f>"20200111153730841"</f>
        <v>20200111153730841</v>
      </c>
      <c r="B4017" t="str">
        <f>"1578728250836949"</f>
        <v>1578728250836949</v>
      </c>
      <c r="C4017" t="s">
        <v>37</v>
      </c>
      <c r="D4017">
        <v>5.9006179999999997</v>
      </c>
      <c r="E4017">
        <v>0.49206309999999898</v>
      </c>
      <c r="F4017" t="s">
        <v>51</v>
      </c>
      <c r="G4017">
        <v>-291.8494</v>
      </c>
      <c r="H4017" s="1">
        <v>-8.7550589999999998E-6</v>
      </c>
      <c r="I4017">
        <v>139.59469999999999</v>
      </c>
      <c r="J4017">
        <v>-275.80520000000001</v>
      </c>
      <c r="K4017">
        <v>1.105256</v>
      </c>
      <c r="L4017">
        <v>141.2987</v>
      </c>
      <c r="M4017">
        <v>-0.99984729999999999</v>
      </c>
      <c r="N4017">
        <v>0</v>
      </c>
      <c r="O4017">
        <v>1.108373E-2</v>
      </c>
      <c r="P4017">
        <v>-0.99557329999999999</v>
      </c>
      <c r="Q4017">
        <v>3.5227250000000002E-2</v>
      </c>
      <c r="R4017">
        <v>-8.713833E-2</v>
      </c>
      <c r="S4017">
        <v>-2.9936829999999999</v>
      </c>
      <c r="T4017">
        <v>-0.19969389999999901</v>
      </c>
      <c r="U4017">
        <v>-0.30685419999999902</v>
      </c>
      <c r="V4017">
        <v>-9.8341209999999998E-2</v>
      </c>
      <c r="W4017">
        <v>4.8316079999999997E-2</v>
      </c>
      <c r="X4017">
        <v>0.99397919999999995</v>
      </c>
      <c r="Y4017">
        <v>-0.112714699999999</v>
      </c>
      <c r="Z4017">
        <v>-4.4821289999999996E-3</v>
      </c>
      <c r="AA4017">
        <v>0.99361730000000004</v>
      </c>
      <c r="AB4017">
        <v>53</v>
      </c>
      <c r="AC4017">
        <v>-16.044199999999901</v>
      </c>
      <c r="AD4017">
        <v>-1.105264755059</v>
      </c>
      <c r="AE4017">
        <v>-1.704</v>
      </c>
      <c r="AF4017">
        <v>-1.87295187360521</v>
      </c>
      <c r="AG4017">
        <v>-1.105264755059</v>
      </c>
      <c r="AH4017">
        <v>15.949479352808501</v>
      </c>
      <c r="AI4017">
        <v>93.937169753589203</v>
      </c>
      <c r="AJ4017">
        <v>96.697585719169297</v>
      </c>
      <c r="AK4017">
        <v>16.097063413097501</v>
      </c>
    </row>
    <row r="4018" spans="1:37" x14ac:dyDescent="0.2">
      <c r="A4018" t="str">
        <f>"20200111153730864"</f>
        <v>20200111153730864</v>
      </c>
      <c r="B4018" t="str">
        <f>"1578728250857446"</f>
        <v>1578728250857446</v>
      </c>
      <c r="C4018" t="s">
        <v>37</v>
      </c>
      <c r="D4018">
        <v>5.8954389999999997</v>
      </c>
      <c r="E4018">
        <v>0.49211139999999998</v>
      </c>
      <c r="F4018" t="s">
        <v>51</v>
      </c>
      <c r="G4018">
        <v>-292.27859999999998</v>
      </c>
      <c r="H4018" s="1">
        <v>-8.7144230000000004E-6</v>
      </c>
      <c r="I4018">
        <v>139.58629999999999</v>
      </c>
      <c r="J4018">
        <v>-276.36489999999998</v>
      </c>
      <c r="K4018">
        <v>1.1052580000000001</v>
      </c>
      <c r="L4018">
        <v>141.30430000000001</v>
      </c>
      <c r="M4018">
        <v>-0.99985539999999995</v>
      </c>
      <c r="N4018">
        <v>0</v>
      </c>
      <c r="O4018">
        <v>9.9971000000000001E-3</v>
      </c>
      <c r="P4018">
        <v>-0.995434499999999</v>
      </c>
      <c r="Q4018">
        <v>3.5197489999999998E-2</v>
      </c>
      <c r="R4018">
        <v>-8.8719439999999997E-2</v>
      </c>
      <c r="S4018">
        <v>-2.9932249999999998</v>
      </c>
      <c r="T4018">
        <v>-0.20082710000000001</v>
      </c>
      <c r="U4018">
        <v>-0.31115720000000002</v>
      </c>
      <c r="V4018">
        <v>-9.8840220000000006E-2</v>
      </c>
      <c r="W4018">
        <v>4.8525169999999999E-2</v>
      </c>
      <c r="X4018">
        <v>0.99391949999999996</v>
      </c>
      <c r="Y4018">
        <v>-0.1130622</v>
      </c>
      <c r="Z4018">
        <v>-4.4468240000000003E-3</v>
      </c>
      <c r="AA4018">
        <v>0.99357799999999996</v>
      </c>
      <c r="AB4018">
        <v>53</v>
      </c>
      <c r="AC4018">
        <v>-15.9137</v>
      </c>
      <c r="AD4018">
        <v>-1.105266714423</v>
      </c>
      <c r="AE4018">
        <v>-1.71800000000001</v>
      </c>
      <c r="AF4018">
        <v>-1.8681123996676501</v>
      </c>
      <c r="AG4018">
        <v>-1.105266714423</v>
      </c>
      <c r="AH4018">
        <v>15.820292765967</v>
      </c>
      <c r="AI4018">
        <v>93.968924791620694</v>
      </c>
      <c r="AJ4018">
        <v>96.734489192692095</v>
      </c>
      <c r="AK4018">
        <v>15.968504051685899</v>
      </c>
    </row>
    <row r="4019" spans="1:37" x14ac:dyDescent="0.2">
      <c r="A4019" t="str">
        <f>"20200111153730886"</f>
        <v>20200111153730886</v>
      </c>
      <c r="B4019" t="str">
        <f>"1578728250876968"</f>
        <v>1578728250876968</v>
      </c>
      <c r="C4019" t="s">
        <v>37</v>
      </c>
      <c r="D4019">
        <v>5.8461720000000001</v>
      </c>
      <c r="E4019">
        <v>0.49215150000000002</v>
      </c>
      <c r="F4019" t="s">
        <v>51</v>
      </c>
      <c r="G4019">
        <v>-292.78280000000001</v>
      </c>
      <c r="H4019" s="1">
        <v>-8.665874E-6</v>
      </c>
      <c r="I4019">
        <v>139.57409999999999</v>
      </c>
      <c r="J4019">
        <v>-276.89659999999998</v>
      </c>
      <c r="K4019">
        <v>1.1052599999999999</v>
      </c>
      <c r="L4019">
        <v>141.309</v>
      </c>
      <c r="M4019">
        <v>-0.99986239999999904</v>
      </c>
      <c r="N4019">
        <v>0</v>
      </c>
      <c r="O4019">
        <v>8.9738939999999996E-3</v>
      </c>
      <c r="P4019">
        <v>-0.99533570000000005</v>
      </c>
      <c r="Q4019">
        <v>3.5263089999999997E-2</v>
      </c>
      <c r="R4019">
        <v>-8.9798119999999995E-2</v>
      </c>
      <c r="S4019">
        <v>-2.99276699999999</v>
      </c>
      <c r="T4019">
        <v>-0.2014745</v>
      </c>
      <c r="U4019">
        <v>-0.31538389999999999</v>
      </c>
      <c r="V4019">
        <v>-9.8900559999999998E-2</v>
      </c>
      <c r="W4019">
        <v>4.8790930000000003E-2</v>
      </c>
      <c r="X4019">
        <v>0.99390049999999996</v>
      </c>
      <c r="Y4019">
        <v>-0.1134487</v>
      </c>
      <c r="Z4019">
        <v>-4.4058040000000001E-3</v>
      </c>
      <c r="AA4019">
        <v>0.99353409999999998</v>
      </c>
      <c r="AB4019">
        <v>53</v>
      </c>
      <c r="AC4019">
        <v>-15.886200000000001</v>
      </c>
      <c r="AD4019">
        <v>-1.1052686658740001</v>
      </c>
      <c r="AE4019">
        <v>-1.7349000000000101</v>
      </c>
      <c r="AF4019">
        <v>-1.8684672472800099</v>
      </c>
      <c r="AG4019">
        <v>-1.1052686658740001</v>
      </c>
      <c r="AH4019">
        <v>15.794437016899201</v>
      </c>
      <c r="AI4019">
        <v>93.975308503828103</v>
      </c>
      <c r="AJ4019">
        <v>96.746681636165107</v>
      </c>
      <c r="AK4019">
        <v>15.9429303880659</v>
      </c>
    </row>
    <row r="4020" spans="1:37" x14ac:dyDescent="0.2">
      <c r="A4020" t="str">
        <f>"20200111153730908"</f>
        <v>20200111153730908</v>
      </c>
      <c r="B4020" t="str">
        <f>"1578728250897461"</f>
        <v>1578728250897461</v>
      </c>
      <c r="C4020" t="s">
        <v>37</v>
      </c>
      <c r="D4020">
        <v>6.0878209999999999</v>
      </c>
      <c r="E4020">
        <v>0.49217269999999902</v>
      </c>
      <c r="F4020" t="s">
        <v>51</v>
      </c>
      <c r="G4020">
        <v>-293.2894</v>
      </c>
      <c r="H4020" s="1">
        <v>-8.6180169999999993E-6</v>
      </c>
      <c r="I4020">
        <v>139.56450000000001</v>
      </c>
      <c r="J4020">
        <v>-277.40769999999998</v>
      </c>
      <c r="K4020">
        <v>1.1052569999999999</v>
      </c>
      <c r="L4020">
        <v>141.31299999999999</v>
      </c>
      <c r="M4020">
        <v>-0.99986830000000004</v>
      </c>
      <c r="N4020">
        <v>0</v>
      </c>
      <c r="O4020">
        <v>8.0029409999999995E-3</v>
      </c>
      <c r="P4020">
        <v>-0.99528809999999901</v>
      </c>
      <c r="Q4020">
        <v>3.4183669999999999E-2</v>
      </c>
      <c r="R4020">
        <v>-9.0739249999999994E-2</v>
      </c>
      <c r="S4020">
        <v>-2.99246199999999</v>
      </c>
      <c r="T4020">
        <v>-0.20176459999999999</v>
      </c>
      <c r="U4020">
        <v>-0.31845089999999998</v>
      </c>
      <c r="V4020">
        <v>-9.887079E-2</v>
      </c>
      <c r="W4020">
        <v>4.7880760000000001E-2</v>
      </c>
      <c r="X4020">
        <v>0.99394769999999899</v>
      </c>
      <c r="Y4020">
        <v>-0.1135028</v>
      </c>
      <c r="Z4020">
        <v>-4.3489330000000001E-3</v>
      </c>
      <c r="AA4020">
        <v>0.99352819999999997</v>
      </c>
      <c r="AB4020">
        <v>53</v>
      </c>
      <c r="AC4020">
        <v>-15.8817</v>
      </c>
      <c r="AD4020">
        <v>-1.105265618017</v>
      </c>
      <c r="AE4020">
        <v>-1.74849999999997</v>
      </c>
      <c r="AF4020">
        <v>-1.8666246598076299</v>
      </c>
      <c r="AG4020">
        <v>-1.105265618017</v>
      </c>
      <c r="AH4020">
        <v>15.7916294715984</v>
      </c>
      <c r="AI4020">
        <v>93.976046275114598</v>
      </c>
      <c r="AJ4020">
        <v>96.741276914163194</v>
      </c>
      <c r="AK4020">
        <v>15.9399329068609</v>
      </c>
    </row>
    <row r="4021" spans="1:37" x14ac:dyDescent="0.2">
      <c r="A4021" t="str">
        <f>"20200111153730930"</f>
        <v>20200111153730930</v>
      </c>
      <c r="B4021" t="str">
        <f>"1578728250926741"</f>
        <v>1578728250926741</v>
      </c>
      <c r="C4021" t="s">
        <v>37</v>
      </c>
      <c r="D4021">
        <v>5.8695820000000003</v>
      </c>
      <c r="E4021">
        <v>0.49221789999999999</v>
      </c>
      <c r="F4021" t="s">
        <v>51</v>
      </c>
      <c r="G4021">
        <v>-293.51749999999998</v>
      </c>
      <c r="H4021" s="1">
        <v>-8.6050499999999999E-6</v>
      </c>
      <c r="I4021">
        <v>139.5847</v>
      </c>
      <c r="J4021">
        <v>-277.94209999999998</v>
      </c>
      <c r="K4021">
        <v>1.1052519999999999</v>
      </c>
      <c r="L4021">
        <v>141.3167</v>
      </c>
      <c r="M4021">
        <v>-0.99987359999999903</v>
      </c>
      <c r="N4021">
        <v>0</v>
      </c>
      <c r="O4021">
        <v>7.005804E-3</v>
      </c>
      <c r="P4021">
        <v>-0.99518639999999903</v>
      </c>
      <c r="Q4021">
        <v>3.3741649999999998E-2</v>
      </c>
      <c r="R4021">
        <v>-9.2008999999999994E-2</v>
      </c>
      <c r="S4021">
        <v>-2.9920040000000001</v>
      </c>
      <c r="T4021">
        <v>-0.20527629999999999</v>
      </c>
      <c r="U4021">
        <v>-0.32098389999999999</v>
      </c>
      <c r="V4021">
        <v>-9.9145620000000004E-2</v>
      </c>
      <c r="W4021">
        <v>4.7592130000000003E-2</v>
      </c>
      <c r="X4021">
        <v>0.99393419999999899</v>
      </c>
      <c r="Y4021">
        <v>-0.1133526</v>
      </c>
      <c r="Z4021">
        <v>-4.3516420000000002E-3</v>
      </c>
      <c r="AA4021">
        <v>0.99354529999999996</v>
      </c>
      <c r="AB4021">
        <v>53</v>
      </c>
      <c r="AC4021">
        <v>-15.5754</v>
      </c>
      <c r="AD4021">
        <v>-1.10526060505</v>
      </c>
      <c r="AE4021">
        <v>-1.73199999999999</v>
      </c>
      <c r="AF4021">
        <v>-1.8319743977509</v>
      </c>
      <c r="AG4021">
        <v>-1.10526060505</v>
      </c>
      <c r="AH4021">
        <v>15.485854379478599</v>
      </c>
      <c r="AI4021">
        <v>94.054232025065204</v>
      </c>
      <c r="AJ4021">
        <v>96.746726116009</v>
      </c>
      <c r="AK4021">
        <v>15.632959318744099</v>
      </c>
    </row>
    <row r="4022" spans="1:37" x14ac:dyDescent="0.2">
      <c r="A4022" t="str">
        <f>"20200111153730954"</f>
        <v>20200111153730954</v>
      </c>
      <c r="B4022" t="str">
        <f>"1578728250947239"</f>
        <v>1578728250947239</v>
      </c>
      <c r="C4022" t="s">
        <v>37</v>
      </c>
      <c r="D4022">
        <v>5.9833660000000002</v>
      </c>
      <c r="E4022">
        <v>0.49223069999999902</v>
      </c>
      <c r="F4022" t="s">
        <v>51</v>
      </c>
      <c r="G4022">
        <v>-293.93310000000002</v>
      </c>
      <c r="H4022" s="1">
        <v>-8.5679410000000002E-6</v>
      </c>
      <c r="I4022">
        <v>139.583</v>
      </c>
      <c r="J4022">
        <v>-278.4837</v>
      </c>
      <c r="K4022">
        <v>1.105245</v>
      </c>
      <c r="L4022">
        <v>141.31989999999999</v>
      </c>
      <c r="M4022">
        <v>-0.99987819999999905</v>
      </c>
      <c r="N4022">
        <v>0</v>
      </c>
      <c r="O4022">
        <v>6.018051E-3</v>
      </c>
      <c r="P4022">
        <v>-0.99509239999999999</v>
      </c>
      <c r="Q4022">
        <v>3.3542240000000001E-2</v>
      </c>
      <c r="R4022">
        <v>-9.3093540000000002E-2</v>
      </c>
      <c r="S4022">
        <v>-2.9915470000000002</v>
      </c>
      <c r="T4022">
        <v>-0.206769799999999</v>
      </c>
      <c r="U4022">
        <v>-0.32434079999999998</v>
      </c>
      <c r="V4022">
        <v>-9.9244979999999997E-2</v>
      </c>
      <c r="W4022">
        <v>4.752878E-2</v>
      </c>
      <c r="X4022">
        <v>0.99392729999999996</v>
      </c>
      <c r="Y4022">
        <v>-0.1134873</v>
      </c>
      <c r="Z4022">
        <v>-4.3202570000000001E-3</v>
      </c>
      <c r="AA4022">
        <v>0.99352999999999903</v>
      </c>
      <c r="AB4022">
        <v>53</v>
      </c>
      <c r="AC4022">
        <v>-15.449400000000001</v>
      </c>
      <c r="AD4022">
        <v>-1.105253567941</v>
      </c>
      <c r="AE4022">
        <v>-1.7368999999999899</v>
      </c>
      <c r="AF4022">
        <v>-1.8206516620694</v>
      </c>
      <c r="AG4022">
        <v>-1.105253567941</v>
      </c>
      <c r="AH4022">
        <v>15.361029805702801</v>
      </c>
      <c r="AI4022">
        <v>94.086933168099193</v>
      </c>
      <c r="AJ4022">
        <v>96.759394392991098</v>
      </c>
      <c r="AK4022">
        <v>15.5079848663755</v>
      </c>
    </row>
    <row r="4023" spans="1:37" x14ac:dyDescent="0.2">
      <c r="A4023" t="str">
        <f>"20200111153730976"</f>
        <v>20200111153730976</v>
      </c>
      <c r="B4023" t="str">
        <f>"1578728250966757"</f>
        <v>1578728250966757</v>
      </c>
      <c r="C4023" t="s">
        <v>37</v>
      </c>
      <c r="D4023">
        <v>5.8840899999999996</v>
      </c>
      <c r="E4023">
        <v>0.49223409999999901</v>
      </c>
      <c r="F4023" t="s">
        <v>51</v>
      </c>
      <c r="G4023">
        <v>-294.44389999999999</v>
      </c>
      <c r="H4023" s="1">
        <v>-8.5188980000000002E-6</v>
      </c>
      <c r="I4023">
        <v>139.571</v>
      </c>
      <c r="J4023">
        <v>-279.03100000000001</v>
      </c>
      <c r="K4023">
        <v>1.1052360000000001</v>
      </c>
      <c r="L4023">
        <v>141.3227</v>
      </c>
      <c r="M4023">
        <v>-0.99988189999999999</v>
      </c>
      <c r="N4023">
        <v>0</v>
      </c>
      <c r="O4023">
        <v>5.0451469999999998E-3</v>
      </c>
      <c r="P4023">
        <v>-0.995029099999999</v>
      </c>
      <c r="Q4023">
        <v>3.3916830000000002E-2</v>
      </c>
      <c r="R4023">
        <v>-9.3632999999999994E-2</v>
      </c>
      <c r="S4023">
        <v>-2.9911189999999999</v>
      </c>
      <c r="T4023">
        <v>-0.20713719999999999</v>
      </c>
      <c r="U4023">
        <v>-0.32775879999999902</v>
      </c>
      <c r="V4023">
        <v>-9.8815130000000001E-2</v>
      </c>
      <c r="W4023">
        <v>4.8025079999999998E-2</v>
      </c>
      <c r="X4023">
        <v>0.99394629999999995</v>
      </c>
      <c r="Y4023">
        <v>-0.1136586</v>
      </c>
      <c r="Z4023">
        <v>-4.2670620000000003E-3</v>
      </c>
      <c r="AA4023">
        <v>0.99351069999999997</v>
      </c>
      <c r="AB4023">
        <v>53</v>
      </c>
      <c r="AC4023">
        <v>-15.412899999999899</v>
      </c>
      <c r="AD4023">
        <v>-1.105244518898</v>
      </c>
      <c r="AE4023">
        <v>-1.75169999999999</v>
      </c>
      <c r="AF4023">
        <v>-1.8202057571977699</v>
      </c>
      <c r="AG4023">
        <v>-1.105244518898</v>
      </c>
      <c r="AH4023">
        <v>15.326060763585399</v>
      </c>
      <c r="AI4023">
        <v>94.096077814333199</v>
      </c>
      <c r="AJ4023">
        <v>96.773030124400407</v>
      </c>
      <c r="AK4023">
        <v>15.473294832523599</v>
      </c>
    </row>
    <row r="4024" spans="1:37" x14ac:dyDescent="0.2">
      <c r="A4024" t="str">
        <f>"20200111153730997"</f>
        <v>20200111153730997</v>
      </c>
      <c r="B4024" t="str">
        <f>"1578728250987256"</f>
        <v>1578728250987256</v>
      </c>
      <c r="C4024" t="s">
        <v>37</v>
      </c>
      <c r="D4024">
        <v>5.951047</v>
      </c>
      <c r="E4024">
        <v>0.4922859</v>
      </c>
      <c r="F4024" t="s">
        <v>51</v>
      </c>
      <c r="G4024">
        <v>-295.08339999999998</v>
      </c>
      <c r="H4024" s="1">
        <v>-8.4570090000000001E-6</v>
      </c>
      <c r="I4024">
        <v>139.5547</v>
      </c>
      <c r="J4024">
        <v>-279.54360000000003</v>
      </c>
      <c r="K4024">
        <v>1.105232</v>
      </c>
      <c r="L4024">
        <v>141.32480000000001</v>
      </c>
      <c r="M4024">
        <v>-0.99988459999999901</v>
      </c>
      <c r="N4024">
        <v>0</v>
      </c>
      <c r="O4024">
        <v>4.1578320000000002E-3</v>
      </c>
      <c r="P4024">
        <v>-0.99496779999999996</v>
      </c>
      <c r="Q4024">
        <v>3.4163119999999998E-2</v>
      </c>
      <c r="R4024">
        <v>-9.419284E-2</v>
      </c>
      <c r="S4024">
        <v>-2.991028</v>
      </c>
      <c r="T4024">
        <v>-0.20593989999999901</v>
      </c>
      <c r="U4024">
        <v>-0.32942199999999999</v>
      </c>
      <c r="V4024">
        <v>-9.8490720000000004E-2</v>
      </c>
      <c r="W4024">
        <v>4.8370379999999998E-2</v>
      </c>
      <c r="X4024">
        <v>0.99396169999999995</v>
      </c>
      <c r="Y4024">
        <v>-0.11333219999999999</v>
      </c>
      <c r="Z4024">
        <v>-4.1704159999999997E-3</v>
      </c>
      <c r="AA4024">
        <v>0.9935484</v>
      </c>
      <c r="AB4024">
        <v>53</v>
      </c>
      <c r="AC4024">
        <v>-15.5397999999999</v>
      </c>
      <c r="AD4024">
        <v>-1.105240457009</v>
      </c>
      <c r="AE4024">
        <v>-1.77010000000001</v>
      </c>
      <c r="AF4024">
        <v>-1.8255870059310699</v>
      </c>
      <c r="AG4024">
        <v>-1.105240457009</v>
      </c>
      <c r="AH4024">
        <v>15.4551265420404</v>
      </c>
      <c r="AI4024">
        <v>94.062275928895602</v>
      </c>
      <c r="AJ4024">
        <v>96.736663335634304</v>
      </c>
      <c r="AK4024">
        <v>15.601771079416499</v>
      </c>
    </row>
    <row r="4025" spans="1:37" x14ac:dyDescent="0.2">
      <c r="A4025" t="str">
        <f>"20200111153731020"</f>
        <v>20200111153731020</v>
      </c>
      <c r="B4025" t="str">
        <f>"1578728251017510"</f>
        <v>1578728251017510</v>
      </c>
      <c r="C4025" t="s">
        <v>37</v>
      </c>
      <c r="D4025">
        <v>5.9830399999999999</v>
      </c>
      <c r="E4025">
        <v>0.49227330000000002</v>
      </c>
      <c r="F4025" t="s">
        <v>51</v>
      </c>
      <c r="G4025">
        <v>-295.6789</v>
      </c>
      <c r="H4025" s="1">
        <v>-8.3996459999999992E-6</v>
      </c>
      <c r="I4025">
        <v>139.5403</v>
      </c>
      <c r="J4025">
        <v>-280.04939999999999</v>
      </c>
      <c r="K4025">
        <v>1.105218</v>
      </c>
      <c r="L4025">
        <v>141.32640000000001</v>
      </c>
      <c r="M4025">
        <v>-0.99988670000000002</v>
      </c>
      <c r="N4025">
        <v>0</v>
      </c>
      <c r="O4025">
        <v>3.3033889999999999E-3</v>
      </c>
      <c r="P4025">
        <v>-0.99488539999999903</v>
      </c>
      <c r="Q4025">
        <v>3.3969520000000003E-2</v>
      </c>
      <c r="R4025">
        <v>-9.5129409999999998E-2</v>
      </c>
      <c r="S4025">
        <v>-2.9909059999999998</v>
      </c>
      <c r="T4025">
        <v>-0.20487179999999999</v>
      </c>
      <c r="U4025">
        <v>-0.33078000000000002</v>
      </c>
      <c r="V4025">
        <v>-9.8573709999999995E-2</v>
      </c>
      <c r="W4025">
        <v>4.8261310000000002E-2</v>
      </c>
      <c r="X4025">
        <v>0.99395879999999903</v>
      </c>
      <c r="Y4025">
        <v>-0.1129391</v>
      </c>
      <c r="Z4025">
        <v>-4.0771970000000003E-3</v>
      </c>
      <c r="AA4025">
        <v>0.99359359999999997</v>
      </c>
      <c r="AB4025">
        <v>53</v>
      </c>
      <c r="AC4025">
        <v>-15.6295</v>
      </c>
      <c r="AD4025">
        <v>-1.1052263996459999</v>
      </c>
      <c r="AE4025">
        <v>-1.7861</v>
      </c>
      <c r="AF4025">
        <v>-1.82869963050039</v>
      </c>
      <c r="AG4025">
        <v>-1.1052263996459999</v>
      </c>
      <c r="AH4025">
        <v>15.5467745998801</v>
      </c>
      <c r="AI4025">
        <v>94.038589290500397</v>
      </c>
      <c r="AJ4025">
        <v>96.7086275071334</v>
      </c>
      <c r="AK4025">
        <v>15.692924144102101</v>
      </c>
    </row>
    <row r="4026" spans="1:37" x14ac:dyDescent="0.2">
      <c r="A4026" t="str">
        <f>"20200111153731042"</f>
        <v>20200111153731042</v>
      </c>
      <c r="B4026" t="str">
        <f>"1578728251037029"</f>
        <v>1578728251037029</v>
      </c>
      <c r="C4026" t="s">
        <v>37</v>
      </c>
      <c r="D4026">
        <v>5.90768</v>
      </c>
      <c r="E4026">
        <v>0.45791120000000002</v>
      </c>
      <c r="F4026" t="s">
        <v>51</v>
      </c>
      <c r="G4026">
        <v>-296.07799999999997</v>
      </c>
      <c r="H4026" s="1">
        <v>-8.3643009999999999E-6</v>
      </c>
      <c r="I4026">
        <v>139.5395</v>
      </c>
      <c r="J4026">
        <v>-280.58659999999998</v>
      </c>
      <c r="K4026">
        <v>1.1052059999999999</v>
      </c>
      <c r="L4026">
        <v>141.32759999999999</v>
      </c>
      <c r="M4026">
        <v>-0.999887999999999</v>
      </c>
      <c r="N4026">
        <v>0</v>
      </c>
      <c r="O4026">
        <v>2.4165509999999999E-3</v>
      </c>
      <c r="P4026">
        <v>-0.99477629999999995</v>
      </c>
      <c r="Q4026">
        <v>3.397505E-2</v>
      </c>
      <c r="R4026">
        <v>-9.6258449999999995E-2</v>
      </c>
      <c r="S4026">
        <v>-2.9906009999999998</v>
      </c>
      <c r="T4026">
        <v>-0.20621149999999999</v>
      </c>
      <c r="U4026">
        <v>-0.33340449999999999</v>
      </c>
      <c r="V4026">
        <v>-9.8817879999999997E-2</v>
      </c>
      <c r="W4026">
        <v>4.8343240000000003E-2</v>
      </c>
      <c r="X4026">
        <v>0.9939306</v>
      </c>
      <c r="Y4026">
        <v>-0.1129288</v>
      </c>
      <c r="Z4026">
        <v>-4.0427609999999998E-3</v>
      </c>
      <c r="AA4026">
        <v>0.99359489999999995</v>
      </c>
      <c r="AB4026">
        <v>53</v>
      </c>
      <c r="AC4026">
        <v>-15.491400000000001</v>
      </c>
      <c r="AD4026">
        <v>-1.105214364301</v>
      </c>
      <c r="AE4026">
        <v>-1.78809999999998</v>
      </c>
      <c r="AF4026">
        <v>-1.8164107755082699</v>
      </c>
      <c r="AG4026">
        <v>-1.105214364301</v>
      </c>
      <c r="AH4026">
        <v>15.4096305655595</v>
      </c>
      <c r="AI4026">
        <v>94.074249951458199</v>
      </c>
      <c r="AJ4026">
        <v>96.722720339600599</v>
      </c>
      <c r="AK4026">
        <v>15.5556279546492</v>
      </c>
    </row>
    <row r="4027" spans="1:37" x14ac:dyDescent="0.2">
      <c r="A4027" t="str">
        <f>"20200111153731065"</f>
        <v>20200111153731065</v>
      </c>
      <c r="B4027" t="str">
        <f>"1578728251057525"</f>
        <v>1578728251057525</v>
      </c>
      <c r="C4027" t="s">
        <v>37</v>
      </c>
      <c r="D4027">
        <v>5.964073</v>
      </c>
      <c r="E4027">
        <v>0.4387528</v>
      </c>
      <c r="F4027" t="s">
        <v>51</v>
      </c>
      <c r="G4027">
        <v>-292.67649999999998</v>
      </c>
      <c r="H4027" s="1">
        <v>-8.4228580000000004E-6</v>
      </c>
      <c r="I4027">
        <v>138.85239999999999</v>
      </c>
      <c r="J4027">
        <v>-281.135999999999</v>
      </c>
      <c r="K4027">
        <v>1.1051930000000001</v>
      </c>
      <c r="L4027">
        <v>141.32839999999999</v>
      </c>
      <c r="M4027">
        <v>-0.99988880000000002</v>
      </c>
      <c r="N4027">
        <v>0</v>
      </c>
      <c r="O4027">
        <v>1.5246379999999901E-3</v>
      </c>
      <c r="P4027">
        <v>-0.99465159999999997</v>
      </c>
      <c r="Q4027">
        <v>3.3698980000000003E-2</v>
      </c>
      <c r="R4027">
        <v>-9.7635949999999999E-2</v>
      </c>
      <c r="S4027">
        <v>-2.966278</v>
      </c>
      <c r="T4027">
        <v>-0.27116780000000001</v>
      </c>
      <c r="U4027">
        <v>-0.60729979999999995</v>
      </c>
      <c r="V4027">
        <v>-9.9304180000000006E-2</v>
      </c>
      <c r="W4027">
        <v>4.8133189999999999E-2</v>
      </c>
      <c r="X4027">
        <v>0.99389229999999995</v>
      </c>
      <c r="Y4027">
        <v>-0.20125609999999999</v>
      </c>
      <c r="Z4027">
        <v>-9.2239869999999995E-3</v>
      </c>
      <c r="AA4027">
        <v>0.97949519999999901</v>
      </c>
      <c r="AB4027">
        <v>53</v>
      </c>
      <c r="AC4027">
        <v>-11.5405</v>
      </c>
      <c r="AD4027">
        <v>-1.105201422858</v>
      </c>
      <c r="AE4027">
        <v>-2.4759999999999902</v>
      </c>
      <c r="AF4027">
        <v>-2.4719209164782101</v>
      </c>
      <c r="AG4027">
        <v>-1.105201422858</v>
      </c>
      <c r="AH4027">
        <v>11.4364391327716</v>
      </c>
      <c r="AI4027">
        <v>95.395996675715907</v>
      </c>
      <c r="AJ4027">
        <v>102.19653117493</v>
      </c>
      <c r="AK4027">
        <v>11.7526168677448</v>
      </c>
    </row>
    <row r="4028" spans="1:37" x14ac:dyDescent="0.2">
      <c r="A4028" t="str">
        <f>"20200111153731087"</f>
        <v>20200111153731087</v>
      </c>
      <c r="B4028" t="str">
        <f>"1578728251077048"</f>
        <v>1578728251077048</v>
      </c>
      <c r="C4028" t="s">
        <v>37</v>
      </c>
      <c r="D4028">
        <v>5.8963029999999996</v>
      </c>
      <c r="E4028">
        <v>0.42843880000000001</v>
      </c>
      <c r="F4028" t="s">
        <v>51</v>
      </c>
      <c r="G4028">
        <v>-293.26850000000002</v>
      </c>
      <c r="H4028" s="1">
        <v>-8.1382619999999906E-6</v>
      </c>
      <c r="I4028">
        <v>138.18729999999999</v>
      </c>
      <c r="J4028">
        <v>-281.65120000000002</v>
      </c>
      <c r="K4028">
        <v>1.1051839999999999</v>
      </c>
      <c r="L4028">
        <v>141.3287</v>
      </c>
      <c r="M4028">
        <v>-0.99988899999999903</v>
      </c>
      <c r="N4028">
        <v>0</v>
      </c>
      <c r="O4028">
        <v>6.9962339999999896E-4</v>
      </c>
      <c r="P4028">
        <v>-0.9945233</v>
      </c>
      <c r="Q4028">
        <v>3.3632719999999998E-2</v>
      </c>
      <c r="R4028">
        <v>-9.8957069999999994E-2</v>
      </c>
      <c r="S4028">
        <v>-2.950256</v>
      </c>
      <c r="T4028">
        <v>-0.2687503</v>
      </c>
      <c r="U4028">
        <v>-0.76382450000000002</v>
      </c>
      <c r="V4028">
        <v>-9.9801860000000006E-2</v>
      </c>
      <c r="W4028">
        <v>4.811986E-2</v>
      </c>
      <c r="X4028">
        <v>0.99384309999999998</v>
      </c>
      <c r="Y4028">
        <v>-0.25034029999999902</v>
      </c>
      <c r="Z4028">
        <v>-1.125782E-2</v>
      </c>
      <c r="AA4028">
        <v>0.96809239999999996</v>
      </c>
      <c r="AB4028">
        <v>53</v>
      </c>
      <c r="AC4028">
        <v>-11.6173</v>
      </c>
      <c r="AD4028">
        <v>-1.105192138262</v>
      </c>
      <c r="AE4028">
        <v>-3.1414</v>
      </c>
      <c r="AF4028">
        <v>-3.1231879130442501</v>
      </c>
      <c r="AG4028">
        <v>-1.105192138262</v>
      </c>
      <c r="AH4028">
        <v>11.5179603763023</v>
      </c>
      <c r="AI4028">
        <v>95.2910446273617</v>
      </c>
      <c r="AJ4028">
        <v>105.171401202193</v>
      </c>
      <c r="AK4028">
        <v>11.9849557209333</v>
      </c>
    </row>
    <row r="4029" spans="1:37" x14ac:dyDescent="0.2">
      <c r="A4029" t="str">
        <f>"20200111153731108"</f>
        <v>20200111153731108</v>
      </c>
      <c r="B4029" t="str">
        <f>"1578728251097541"</f>
        <v>1578728251097541</v>
      </c>
      <c r="C4029" t="s">
        <v>37</v>
      </c>
      <c r="D4029">
        <v>5.8299059999999896</v>
      </c>
      <c r="E4029">
        <v>0.42378769999999999</v>
      </c>
      <c r="F4029" t="s">
        <v>51</v>
      </c>
      <c r="G4029">
        <v>-293.63650000000001</v>
      </c>
      <c r="H4029" s="1">
        <v>-7.9937809999999993E-6</v>
      </c>
      <c r="I4029">
        <v>137.8665</v>
      </c>
      <c r="J4029">
        <v>-282.1429</v>
      </c>
      <c r="K4029">
        <v>1.1051739999999901</v>
      </c>
      <c r="L4029">
        <v>141.32859999999999</v>
      </c>
      <c r="M4029">
        <v>-0.99988860000000002</v>
      </c>
      <c r="N4029">
        <v>0</v>
      </c>
      <c r="O4029" s="1">
        <v>-8.0435630000000002E-5</v>
      </c>
      <c r="P4029">
        <v>-0.99441639999999998</v>
      </c>
      <c r="Q4029">
        <v>3.35745E-2</v>
      </c>
      <c r="R4029">
        <v>-0.10004439999999901</v>
      </c>
      <c r="S4029">
        <v>-2.9411619999999998</v>
      </c>
      <c r="T4029">
        <v>-0.27121190000000001</v>
      </c>
      <c r="U4029">
        <v>-0.84960939999999996</v>
      </c>
      <c r="V4029">
        <v>-0.1001118</v>
      </c>
      <c r="W4029">
        <v>4.8106049999999997E-2</v>
      </c>
      <c r="X4029">
        <v>0.99381260000000005</v>
      </c>
      <c r="Y4029">
        <v>-0.27636230000000001</v>
      </c>
      <c r="Z4029">
        <v>-1.245461E-2</v>
      </c>
      <c r="AA4029">
        <v>0.96097279999999996</v>
      </c>
      <c r="AB4029">
        <v>53</v>
      </c>
      <c r="AC4029">
        <v>-11.493600000000001</v>
      </c>
      <c r="AD4029">
        <v>-1.1051819937809999</v>
      </c>
      <c r="AE4029">
        <v>-3.4620999999999902</v>
      </c>
      <c r="AF4029">
        <v>-3.4320819896242898</v>
      </c>
      <c r="AG4029">
        <v>-1.1051819937809999</v>
      </c>
      <c r="AH4029">
        <v>11.3972650424703</v>
      </c>
      <c r="AI4029">
        <v>95.304733796796796</v>
      </c>
      <c r="AJ4029">
        <v>106.758732748536</v>
      </c>
      <c r="AK4029">
        <v>11.9540062101036</v>
      </c>
    </row>
    <row r="4030" spans="1:37" x14ac:dyDescent="0.2">
      <c r="A4030" t="str">
        <f>"20200111153731132"</f>
        <v>20200111153731132</v>
      </c>
      <c r="B4030" t="str">
        <f>"1578728251126822"</f>
        <v>1578728251126822</v>
      </c>
      <c r="C4030" t="s">
        <v>37</v>
      </c>
      <c r="D4030">
        <v>5.8209739999999996</v>
      </c>
      <c r="E4030">
        <v>0.41983939999999997</v>
      </c>
      <c r="F4030" t="s">
        <v>51</v>
      </c>
      <c r="G4030">
        <v>-294.22070000000002</v>
      </c>
      <c r="H4030" s="1">
        <v>-7.8729970000000008E-6</v>
      </c>
      <c r="I4030">
        <v>137.6679</v>
      </c>
      <c r="J4030">
        <v>-282.71420000000001</v>
      </c>
      <c r="K4030">
        <v>1.105165</v>
      </c>
      <c r="L4030">
        <v>141.328</v>
      </c>
      <c r="M4030">
        <v>-0.99988759999999999</v>
      </c>
      <c r="N4030">
        <v>0</v>
      </c>
      <c r="O4030">
        <v>-9.811074999999999E-4</v>
      </c>
      <c r="P4030">
        <v>-0.99433059999999995</v>
      </c>
      <c r="Q4030">
        <v>3.2636970000000001E-2</v>
      </c>
      <c r="R4030">
        <v>-0.10120129999999999</v>
      </c>
      <c r="S4030">
        <v>-2.9363709999999998</v>
      </c>
      <c r="T4030">
        <v>-0.2686926</v>
      </c>
      <c r="U4030">
        <v>-0.8899994</v>
      </c>
      <c r="V4030">
        <v>-0.1003682</v>
      </c>
      <c r="W4030">
        <v>4.7212520000000001E-2</v>
      </c>
      <c r="X4030">
        <v>0.99382950000000003</v>
      </c>
      <c r="Y4030">
        <v>-0.28802649999999902</v>
      </c>
      <c r="Z4030">
        <v>-1.277563E-2</v>
      </c>
      <c r="AA4030">
        <v>0.95753719999999998</v>
      </c>
      <c r="AB4030">
        <v>53</v>
      </c>
      <c r="AC4030">
        <v>-11.506500000000001</v>
      </c>
      <c r="AD4030">
        <v>-1.1051728729969901</v>
      </c>
      <c r="AE4030">
        <v>-3.6600999999999999</v>
      </c>
      <c r="AF4030">
        <v>-3.61849387537996</v>
      </c>
      <c r="AG4030">
        <v>-1.1051728729969901</v>
      </c>
      <c r="AH4030">
        <v>11.414460999572899</v>
      </c>
      <c r="AI4030">
        <v>95.273206010771204</v>
      </c>
      <c r="AJ4030">
        <v>107.589115627507</v>
      </c>
      <c r="AK4030">
        <v>12.0251746314198</v>
      </c>
    </row>
    <row r="4031" spans="1:37" x14ac:dyDescent="0.2">
      <c r="A4031" t="str">
        <f>"20200111153731154"</f>
        <v>20200111153731154</v>
      </c>
      <c r="B4031" t="str">
        <f>"1578728251147317"</f>
        <v>1578728251147317</v>
      </c>
      <c r="C4031" t="s">
        <v>37</v>
      </c>
      <c r="D4031">
        <v>5.8049660000000003</v>
      </c>
      <c r="E4031">
        <v>0.41814780000000001</v>
      </c>
      <c r="F4031" t="s">
        <v>51</v>
      </c>
      <c r="G4031">
        <v>-294.70179999999999</v>
      </c>
      <c r="H4031" s="1">
        <v>-7.7883949999999995E-6</v>
      </c>
      <c r="I4031">
        <v>137.54679999999999</v>
      </c>
      <c r="J4031">
        <v>-283.22989999999999</v>
      </c>
      <c r="K4031">
        <v>1.1051569999999999</v>
      </c>
      <c r="L4031">
        <v>141.327</v>
      </c>
      <c r="M4031">
        <v>-0.99988600000000005</v>
      </c>
      <c r="N4031">
        <v>0</v>
      </c>
      <c r="O4031">
        <v>-1.7911719999999999E-3</v>
      </c>
      <c r="P4031">
        <v>-0.99420769999999903</v>
      </c>
      <c r="Q4031">
        <v>3.1935199999999997E-2</v>
      </c>
      <c r="R4031">
        <v>-0.10262309999999999</v>
      </c>
      <c r="S4031">
        <v>-2.931854</v>
      </c>
      <c r="T4031">
        <v>-0.27029709999999901</v>
      </c>
      <c r="U4031">
        <v>-0.92478939999999998</v>
      </c>
      <c r="V4031">
        <v>-0.1009803</v>
      </c>
      <c r="W4031">
        <v>4.6542819999999999E-2</v>
      </c>
      <c r="X4031">
        <v>0.99379910000000005</v>
      </c>
      <c r="Y4031">
        <v>-0.29796669999999997</v>
      </c>
      <c r="Z4031">
        <v>-1.3222289999999999E-2</v>
      </c>
      <c r="AA4031">
        <v>0.95448459999999902</v>
      </c>
      <c r="AB4031">
        <v>53</v>
      </c>
      <c r="AC4031">
        <v>-11.4719</v>
      </c>
      <c r="AD4031">
        <v>-1.105164788395</v>
      </c>
      <c r="AE4031">
        <v>-3.7801999999999998</v>
      </c>
      <c r="AF4031">
        <v>-3.7284300519295801</v>
      </c>
      <c r="AG4031">
        <v>-1.105164788395</v>
      </c>
      <c r="AH4031">
        <v>11.3833549165635</v>
      </c>
      <c r="AI4031">
        <v>95.271366767550404</v>
      </c>
      <c r="AJ4031">
        <v>108.13535477896799</v>
      </c>
      <c r="AK4031">
        <v>12.029270510637399</v>
      </c>
    </row>
    <row r="4032" spans="1:37" x14ac:dyDescent="0.2">
      <c r="A4032" t="str">
        <f>"20200111153731176"</f>
        <v>20200111153731176</v>
      </c>
      <c r="B4032" t="str">
        <f>"1578728251166840"</f>
        <v>1578728251166840</v>
      </c>
      <c r="C4032" t="s">
        <v>37</v>
      </c>
      <c r="D4032">
        <v>5.8186460000000002</v>
      </c>
      <c r="E4032">
        <v>0.41658450000000002</v>
      </c>
      <c r="F4032" t="s">
        <v>51</v>
      </c>
      <c r="G4032">
        <v>-295.1592</v>
      </c>
      <c r="H4032" s="1">
        <v>-7.7282410000000005E-6</v>
      </c>
      <c r="I4032">
        <v>137.4897</v>
      </c>
      <c r="J4032">
        <v>-283.74939999999998</v>
      </c>
      <c r="K4032">
        <v>1.1051500000000001</v>
      </c>
      <c r="L4032">
        <v>141.32550000000001</v>
      </c>
      <c r="M4032">
        <v>-0.99988379999999999</v>
      </c>
      <c r="N4032">
        <v>0</v>
      </c>
      <c r="O4032">
        <v>-2.6056389999999999E-3</v>
      </c>
      <c r="P4032">
        <v>-0.99406859999999997</v>
      </c>
      <c r="Q4032">
        <v>3.1620830000000003E-2</v>
      </c>
      <c r="R4032">
        <v>-0.104057199999999</v>
      </c>
      <c r="S4032">
        <v>-2.9289860000000001</v>
      </c>
      <c r="T4032">
        <v>-0.27134989999999998</v>
      </c>
      <c r="U4032">
        <v>-0.94216919999999904</v>
      </c>
      <c r="V4032">
        <v>-0.1016029</v>
      </c>
      <c r="W4032">
        <v>4.6256070000000003E-2</v>
      </c>
      <c r="X4032">
        <v>0.99374910000000005</v>
      </c>
      <c r="Y4032">
        <v>-0.30257230000000002</v>
      </c>
      <c r="Z4032">
        <v>-1.340855E-2</v>
      </c>
      <c r="AA4032">
        <v>0.95303209999999905</v>
      </c>
      <c r="AB4032">
        <v>53</v>
      </c>
      <c r="AC4032">
        <v>-11.409800000000001</v>
      </c>
      <c r="AD4032">
        <v>-1.1051577282409999</v>
      </c>
      <c r="AE4032">
        <v>-3.8357999999999999</v>
      </c>
      <c r="AF4032">
        <v>-3.7742397541421102</v>
      </c>
      <c r="AG4032">
        <v>-1.1051577282409999</v>
      </c>
      <c r="AH4032">
        <v>11.324301615148601</v>
      </c>
      <c r="AI4032">
        <v>95.289644174324096</v>
      </c>
      <c r="AJ4032">
        <v>108.43254699534999</v>
      </c>
      <c r="AK4032">
        <v>11.9877465103703</v>
      </c>
    </row>
    <row r="4033" spans="1:37" x14ac:dyDescent="0.2">
      <c r="A4033" t="str">
        <f>"20200111153731198"</f>
        <v>20200111153731198</v>
      </c>
      <c r="B4033" t="str">
        <f>"1578728251187336"</f>
        <v>1578728251187336</v>
      </c>
      <c r="C4033" t="s">
        <v>37</v>
      </c>
      <c r="D4033">
        <v>5.8291259999999996</v>
      </c>
      <c r="E4033">
        <v>0.41505989999999998</v>
      </c>
      <c r="F4033" t="s">
        <v>51</v>
      </c>
      <c r="G4033">
        <v>-295.67590000000001</v>
      </c>
      <c r="H4033" s="1">
        <v>-7.6578679999999906E-6</v>
      </c>
      <c r="I4033">
        <v>137.41820000000001</v>
      </c>
      <c r="J4033">
        <v>-284.25220000000002</v>
      </c>
      <c r="K4033">
        <v>1.105146</v>
      </c>
      <c r="L4033">
        <v>141.32380000000001</v>
      </c>
      <c r="M4033">
        <v>-0.99988109999999997</v>
      </c>
      <c r="N4033">
        <v>0</v>
      </c>
      <c r="O4033">
        <v>-3.3937559999999999E-3</v>
      </c>
      <c r="P4033">
        <v>-0.99400180000000005</v>
      </c>
      <c r="Q4033">
        <v>3.1698659999999997E-2</v>
      </c>
      <c r="R4033">
        <v>-0.10466969999999901</v>
      </c>
      <c r="S4033">
        <v>-2.92617799999999</v>
      </c>
      <c r="T4033">
        <v>-0.2711519</v>
      </c>
      <c r="U4033">
        <v>-0.95866390000000001</v>
      </c>
      <c r="V4033">
        <v>-0.10143089999999901</v>
      </c>
      <c r="W4033">
        <v>4.6358959999999998E-2</v>
      </c>
      <c r="X4033">
        <v>0.99376180000000003</v>
      </c>
      <c r="Y4033">
        <v>-0.3069325</v>
      </c>
      <c r="Z4033">
        <v>-1.352515E-2</v>
      </c>
      <c r="AA4033">
        <v>0.95163519999999902</v>
      </c>
      <c r="AB4033">
        <v>53</v>
      </c>
      <c r="AC4033">
        <v>-11.423699999999901</v>
      </c>
      <c r="AD4033">
        <v>-1.1051536578679999</v>
      </c>
      <c r="AE4033">
        <v>-3.90559999999999</v>
      </c>
      <c r="AF4033">
        <v>-3.8346708819936</v>
      </c>
      <c r="AG4033">
        <v>-1.1051536578679999</v>
      </c>
      <c r="AH4033">
        <v>11.3418502543319</v>
      </c>
      <c r="AI4033">
        <v>95.273867410890105</v>
      </c>
      <c r="AJ4033">
        <v>108.680355833663</v>
      </c>
      <c r="AK4033">
        <v>12.0234617549355</v>
      </c>
    </row>
    <row r="4034" spans="1:37" x14ac:dyDescent="0.2">
      <c r="A4034" t="str">
        <f>"20200111153731221"</f>
        <v>20200111153731221</v>
      </c>
      <c r="B4034" t="str">
        <f>"1578728251217589"</f>
        <v>1578728251217589</v>
      </c>
      <c r="C4034" t="s">
        <v>37</v>
      </c>
      <c r="D4034">
        <v>5.9907440000000003</v>
      </c>
      <c r="E4034">
        <v>0.4141746</v>
      </c>
      <c r="F4034" t="s">
        <v>51</v>
      </c>
      <c r="G4034">
        <v>-296.27170000000001</v>
      </c>
      <c r="H4034" s="1">
        <v>-7.572985E-6</v>
      </c>
      <c r="I4034">
        <v>137.32509999999999</v>
      </c>
      <c r="J4034">
        <v>-284.78109999999998</v>
      </c>
      <c r="K4034">
        <v>1.105143</v>
      </c>
      <c r="L4034">
        <v>141.32149999999999</v>
      </c>
      <c r="M4034">
        <v>-0.99987760000000003</v>
      </c>
      <c r="N4034">
        <v>0</v>
      </c>
      <c r="O4034">
        <v>-4.2208439999999996E-3</v>
      </c>
      <c r="P4034">
        <v>-0.99391870000000004</v>
      </c>
      <c r="Q4034">
        <v>3.1722849999999997E-2</v>
      </c>
      <c r="R4034">
        <v>-0.10544729999999999</v>
      </c>
      <c r="S4034">
        <v>-2.9242249999999999</v>
      </c>
      <c r="T4034">
        <v>-0.26887290000000003</v>
      </c>
      <c r="U4034">
        <v>-0.97282409999999997</v>
      </c>
      <c r="V4034">
        <v>-0.10138519999999999</v>
      </c>
      <c r="W4034">
        <v>4.6406120000000002E-2</v>
      </c>
      <c r="X4034">
        <v>0.99376430000000004</v>
      </c>
      <c r="Y4034">
        <v>-0.31049640000000001</v>
      </c>
      <c r="Z4034">
        <v>-1.349586E-2</v>
      </c>
      <c r="AA4034">
        <v>0.95047870000000001</v>
      </c>
      <c r="AB4034">
        <v>53</v>
      </c>
      <c r="AC4034">
        <v>-11.490600000000001</v>
      </c>
      <c r="AD4034">
        <v>-1.105150572985</v>
      </c>
      <c r="AE4034">
        <v>-3.9963999999999902</v>
      </c>
      <c r="AF4034">
        <v>-3.9155472409453398</v>
      </c>
      <c r="AG4034">
        <v>-1.105150572985</v>
      </c>
      <c r="AH4034">
        <v>11.413184598453199</v>
      </c>
      <c r="AI4034">
        <v>95.233170307487001</v>
      </c>
      <c r="AJ4034">
        <v>108.935673469267</v>
      </c>
      <c r="AK4034">
        <v>12.116668298811099</v>
      </c>
    </row>
    <row r="4035" spans="1:37" x14ac:dyDescent="0.2">
      <c r="A4035" t="str">
        <f>"20200111153731243"</f>
        <v>20200111153731243</v>
      </c>
      <c r="B4035" t="str">
        <f>"1578728251237109"</f>
        <v>1578728251237109</v>
      </c>
      <c r="C4035" t="s">
        <v>37</v>
      </c>
      <c r="D4035">
        <v>5.8378079999999999</v>
      </c>
      <c r="E4035">
        <v>0.46757199999999999</v>
      </c>
      <c r="F4035" t="s">
        <v>51</v>
      </c>
      <c r="G4035">
        <v>-296.88440000000003</v>
      </c>
      <c r="H4035" s="1">
        <v>-7.4938759999999997E-6</v>
      </c>
      <c r="I4035">
        <v>137.25280000000001</v>
      </c>
      <c r="J4035">
        <v>-285.30950000000001</v>
      </c>
      <c r="K4035">
        <v>1.105145</v>
      </c>
      <c r="L4035">
        <v>141.31870000000001</v>
      </c>
      <c r="M4035">
        <v>-0.99987369999999898</v>
      </c>
      <c r="N4035">
        <v>0</v>
      </c>
      <c r="O4035">
        <v>-5.0455350000000003E-3</v>
      </c>
      <c r="P4035">
        <v>-0.99385449999999997</v>
      </c>
      <c r="Q4035">
        <v>3.1767669999999998E-2</v>
      </c>
      <c r="R4035">
        <v>-0.1060393</v>
      </c>
      <c r="S4035">
        <v>-2.9226380000000001</v>
      </c>
      <c r="T4035">
        <v>-0.26686539999999997</v>
      </c>
      <c r="U4035">
        <v>-0.98246769999999894</v>
      </c>
      <c r="V4035">
        <v>-0.101156</v>
      </c>
      <c r="W4035">
        <v>4.6470409999999997E-2</v>
      </c>
      <c r="X4035">
        <v>0.99378469999999997</v>
      </c>
      <c r="Y4035">
        <v>-0.31269949999999902</v>
      </c>
      <c r="Z4035">
        <v>-1.342015E-2</v>
      </c>
      <c r="AA4035">
        <v>0.94975730000000003</v>
      </c>
      <c r="AB4035">
        <v>53</v>
      </c>
      <c r="AC4035">
        <v>-11.5749</v>
      </c>
      <c r="AD4035">
        <v>-1.105152493876</v>
      </c>
      <c r="AE4035">
        <v>-4.0658999999999903</v>
      </c>
      <c r="AF4035">
        <v>-3.9751821063774599</v>
      </c>
      <c r="AG4035">
        <v>-1.105152493876</v>
      </c>
      <c r="AH4035">
        <v>11.501933356363899</v>
      </c>
      <c r="AI4035">
        <v>95.188988867594304</v>
      </c>
      <c r="AJ4035">
        <v>109.065656595498</v>
      </c>
      <c r="AK4035">
        <v>12.219570604068799</v>
      </c>
    </row>
    <row r="4036" spans="1:37" x14ac:dyDescent="0.2">
      <c r="A4036" t="str">
        <f>"20200111153731266"</f>
        <v>20200111153731266</v>
      </c>
      <c r="B4036" t="str">
        <f>"1578728251257604"</f>
        <v>1578728251257604</v>
      </c>
      <c r="C4036" t="s">
        <v>37</v>
      </c>
      <c r="D4036">
        <v>6.0919749999999997</v>
      </c>
      <c r="E4036">
        <v>0.49176750000000002</v>
      </c>
      <c r="F4036" t="s">
        <v>51</v>
      </c>
      <c r="G4036">
        <v>-297.0256</v>
      </c>
      <c r="H4036" s="1">
        <v>-8.1304609999999995E-6</v>
      </c>
      <c r="I4036">
        <v>139.1088</v>
      </c>
      <c r="J4036">
        <v>-285.85509999999999</v>
      </c>
      <c r="K4036">
        <v>1.1051389999999901</v>
      </c>
      <c r="L4036">
        <v>141.31540000000001</v>
      </c>
      <c r="M4036">
        <v>-0.99986869999999906</v>
      </c>
      <c r="N4036">
        <v>0</v>
      </c>
      <c r="O4036">
        <v>-5.8947819999999899E-3</v>
      </c>
      <c r="P4036">
        <v>-0.99378349999999904</v>
      </c>
      <c r="Q4036">
        <v>3.215432E-2</v>
      </c>
      <c r="R4036">
        <v>-0.1065859</v>
      </c>
      <c r="S4036">
        <v>-2.96777299999999</v>
      </c>
      <c r="T4036">
        <v>-0.27994259999999999</v>
      </c>
      <c r="U4036">
        <v>-0.5597839</v>
      </c>
      <c r="V4036">
        <v>-0.100858899999999</v>
      </c>
      <c r="W4036">
        <v>4.687434E-2</v>
      </c>
      <c r="X4036">
        <v>0.99379589999999995</v>
      </c>
      <c r="Y4036">
        <v>-0.1788149</v>
      </c>
      <c r="Z4036">
        <v>-7.7918569999999897E-3</v>
      </c>
      <c r="AA4036">
        <v>0.9838519</v>
      </c>
      <c r="AB4036">
        <v>53</v>
      </c>
      <c r="AC4036">
        <v>-11.170500000000001</v>
      </c>
      <c r="AD4036">
        <v>-1.1051471304610001</v>
      </c>
      <c r="AE4036">
        <v>-2.2065999999999999</v>
      </c>
      <c r="AF4036">
        <v>-2.1207283252146998</v>
      </c>
      <c r="AG4036">
        <v>-1.1051471304610001</v>
      </c>
      <c r="AH4036">
        <v>11.0789463953761</v>
      </c>
      <c r="AI4036">
        <v>95.595593570070903</v>
      </c>
      <c r="AJ4036">
        <v>100.836453913521</v>
      </c>
      <c r="AK4036">
        <v>11.3341030540997</v>
      </c>
    </row>
    <row r="4037" spans="1:37" x14ac:dyDescent="0.2">
      <c r="A4037" t="str">
        <f>"20200111153731287"</f>
        <v>20200111153731287</v>
      </c>
      <c r="B4037" t="str">
        <f>"1578728251277128"</f>
        <v>1578728251277128</v>
      </c>
      <c r="C4037" t="s">
        <v>37</v>
      </c>
      <c r="D4037">
        <v>6.1097859999999997</v>
      </c>
      <c r="E4037">
        <v>0.50075259999999999</v>
      </c>
      <c r="F4037" t="s">
        <v>51</v>
      </c>
      <c r="G4037">
        <v>-299.73829999999998</v>
      </c>
      <c r="H4037" s="1">
        <v>-8.0612910000000006E-6</v>
      </c>
      <c r="I4037">
        <v>139.5924</v>
      </c>
      <c r="J4037">
        <v>-286.36110000000002</v>
      </c>
      <c r="K4037">
        <v>1.1051299999999999</v>
      </c>
      <c r="L4037">
        <v>141.31190000000001</v>
      </c>
      <c r="M4037">
        <v>-0.99986369999999902</v>
      </c>
      <c r="N4037">
        <v>0</v>
      </c>
      <c r="O4037">
        <v>-6.68061E-3</v>
      </c>
      <c r="P4037">
        <v>-0.99371449999999995</v>
      </c>
      <c r="Q4037">
        <v>3.1826309999999997E-2</v>
      </c>
      <c r="R4037">
        <v>-0.10732650000000001</v>
      </c>
      <c r="S4037">
        <v>-2.986694</v>
      </c>
      <c r="T4037">
        <v>-0.23775170000000001</v>
      </c>
      <c r="U4037">
        <v>-0.37066650000000001</v>
      </c>
      <c r="V4037">
        <v>-0.1008168</v>
      </c>
      <c r="W4037">
        <v>4.6559009999999998E-2</v>
      </c>
      <c r="X4037">
        <v>0.993815</v>
      </c>
      <c r="Y4037">
        <v>-0.116186699999999</v>
      </c>
      <c r="Z4037">
        <v>-4.0706340000000001E-3</v>
      </c>
      <c r="AA4037">
        <v>0.99321899999999996</v>
      </c>
      <c r="AB4037">
        <v>53</v>
      </c>
      <c r="AC4037">
        <v>-13.377199999999901</v>
      </c>
      <c r="AD4037">
        <v>-1.105138061291</v>
      </c>
      <c r="AE4037">
        <v>-1.71950000000001</v>
      </c>
      <c r="AF4037">
        <v>-1.6192120778627299</v>
      </c>
      <c r="AG4037">
        <v>-1.105138061291</v>
      </c>
      <c r="AH4037">
        <v>13.299098990318299</v>
      </c>
      <c r="AI4037">
        <v>94.715626928815894</v>
      </c>
      <c r="AJ4037">
        <v>96.941795691046394</v>
      </c>
      <c r="AK4037">
        <v>13.442812646239499</v>
      </c>
    </row>
    <row r="4038" spans="1:37" x14ac:dyDescent="0.2">
      <c r="A4038" t="str">
        <f>"20200111153731310"</f>
        <v>20200111153731310</v>
      </c>
      <c r="B4038" t="str">
        <f>"1578728251307381"</f>
        <v>1578728251307381</v>
      </c>
      <c r="C4038" t="s">
        <v>37</v>
      </c>
      <c r="D4038">
        <v>6.0480130000000001</v>
      </c>
      <c r="E4038">
        <v>0.50466659999999997</v>
      </c>
      <c r="F4038" t="s">
        <v>51</v>
      </c>
      <c r="G4038">
        <v>-301.91370000000001</v>
      </c>
      <c r="H4038" s="1">
        <v>-8.3680909999999906E-6</v>
      </c>
      <c r="I4038">
        <v>139.74010000000001</v>
      </c>
      <c r="J4038">
        <v>-286.8766</v>
      </c>
      <c r="K4038">
        <v>1.105127</v>
      </c>
      <c r="L4038">
        <v>141.30799999999999</v>
      </c>
      <c r="M4038">
        <v>-0.99985780000000002</v>
      </c>
      <c r="N4038">
        <v>0</v>
      </c>
      <c r="O4038">
        <v>-7.4732990000000001E-3</v>
      </c>
      <c r="P4038">
        <v>-0.99367340000000004</v>
      </c>
      <c r="Q4038">
        <v>3.122053E-2</v>
      </c>
      <c r="R4038">
        <v>-0.10788399999999999</v>
      </c>
      <c r="S4038">
        <v>-2.9930729999999999</v>
      </c>
      <c r="T4038">
        <v>-0.2126826</v>
      </c>
      <c r="U4038">
        <v>-0.30249019999999999</v>
      </c>
      <c r="V4038">
        <v>-0.10058309999999999</v>
      </c>
      <c r="W4038">
        <v>4.5965989999999998E-2</v>
      </c>
      <c r="X4038">
        <v>0.99386629999999998</v>
      </c>
      <c r="Y4038">
        <v>-9.2898990000000001E-2</v>
      </c>
      <c r="Z4038">
        <v>-2.75908599999999E-3</v>
      </c>
      <c r="AA4038">
        <v>0.99567169999999905</v>
      </c>
      <c r="AB4038">
        <v>52</v>
      </c>
      <c r="AC4038">
        <v>-15.037100000000001</v>
      </c>
      <c r="AD4038">
        <v>-1.1051353680910001</v>
      </c>
      <c r="AE4038">
        <v>-1.5678999999999801</v>
      </c>
      <c r="AF4038">
        <v>-1.4477310095047899</v>
      </c>
      <c r="AG4038">
        <v>-1.1051353680910001</v>
      </c>
      <c r="AH4038">
        <v>14.9684185003227</v>
      </c>
      <c r="AI4038">
        <v>94.203009142793206</v>
      </c>
      <c r="AJ4038">
        <v>95.524409169174106</v>
      </c>
      <c r="AK4038">
        <v>15.0788196374415</v>
      </c>
    </row>
    <row r="4039" spans="1:37" x14ac:dyDescent="0.2">
      <c r="A4039" t="str">
        <f>"20200111153731333"</f>
        <v>20200111153731333</v>
      </c>
      <c r="B4039" t="str">
        <f>"1578728251326901"</f>
        <v>1578728251326901</v>
      </c>
      <c r="C4039" t="s">
        <v>37</v>
      </c>
      <c r="D4039">
        <v>5.9875119999999997</v>
      </c>
      <c r="E4039">
        <v>0.50600619999999996</v>
      </c>
      <c r="F4039" t="s">
        <v>51</v>
      </c>
      <c r="G4039">
        <v>-303.47230000000002</v>
      </c>
      <c r="H4039" s="1">
        <v>-8.6074630000000006E-6</v>
      </c>
      <c r="I4039">
        <v>139.79239999999999</v>
      </c>
      <c r="J4039">
        <v>-287.4248</v>
      </c>
      <c r="K4039">
        <v>1.1051219999999999</v>
      </c>
      <c r="L4039">
        <v>141.30340000000001</v>
      </c>
      <c r="M4039">
        <v>-0.9998513</v>
      </c>
      <c r="N4039">
        <v>0</v>
      </c>
      <c r="O4039">
        <v>-8.2986350000000004E-3</v>
      </c>
      <c r="P4039">
        <v>-0.99361309999999903</v>
      </c>
      <c r="Q4039">
        <v>3.1315740000000002E-2</v>
      </c>
      <c r="R4039">
        <v>-0.108410199999999</v>
      </c>
      <c r="S4039">
        <v>-2.9956360000000002</v>
      </c>
      <c r="T4039">
        <v>-0.19948540000000001</v>
      </c>
      <c r="U4039">
        <v>-0.27357480000000001</v>
      </c>
      <c r="V4039">
        <v>-0.1002878</v>
      </c>
      <c r="W4039">
        <v>4.6073639999999999E-2</v>
      </c>
      <c r="X4039">
        <v>0.99389110000000003</v>
      </c>
      <c r="Y4039">
        <v>-8.2514699999999996E-2</v>
      </c>
      <c r="Z4039">
        <v>-2.187816E-3</v>
      </c>
      <c r="AA4039">
        <v>0.99658749999999996</v>
      </c>
      <c r="AB4039">
        <v>52</v>
      </c>
      <c r="AC4039">
        <v>-16.047499999999999</v>
      </c>
      <c r="AD4039">
        <v>-1.1051306074629901</v>
      </c>
      <c r="AE4039">
        <v>-1.5110000000000201</v>
      </c>
      <c r="AF4039">
        <v>-1.3713140131813899</v>
      </c>
      <c r="AG4039">
        <v>-1.1051306074629901</v>
      </c>
      <c r="AH4039">
        <v>15.984347475788701</v>
      </c>
      <c r="AI4039">
        <v>93.940609748839606</v>
      </c>
      <c r="AJ4039">
        <v>94.903458829026903</v>
      </c>
      <c r="AK4039">
        <v>16.081081431578301</v>
      </c>
    </row>
    <row r="4040" spans="1:37" x14ac:dyDescent="0.2">
      <c r="A4040" t="str">
        <f>"20200111153731356"</f>
        <v>20200111153731356</v>
      </c>
      <c r="B4040" t="str">
        <f>"1578728251347396"</f>
        <v>1578728251347396</v>
      </c>
      <c r="C4040" t="s">
        <v>37</v>
      </c>
      <c r="D4040">
        <v>5.9528679999999996</v>
      </c>
      <c r="E4040">
        <v>0.50705869999999997</v>
      </c>
      <c r="F4040" t="s">
        <v>51</v>
      </c>
      <c r="G4040">
        <v>-305.49110000000002</v>
      </c>
      <c r="H4040" s="1">
        <v>-8.8714419999999993E-6</v>
      </c>
      <c r="I4040">
        <v>139.70519999999999</v>
      </c>
      <c r="J4040">
        <v>-287.96510000000001</v>
      </c>
      <c r="K4040">
        <v>1.1051150000000001</v>
      </c>
      <c r="L4040">
        <v>141.29839999999999</v>
      </c>
      <c r="M4040">
        <v>-0.99984430000000002</v>
      </c>
      <c r="N4040">
        <v>0</v>
      </c>
      <c r="O4040">
        <v>-9.0849369999999995E-3</v>
      </c>
      <c r="P4040">
        <v>-0.99351290000000003</v>
      </c>
      <c r="Q4040">
        <v>3.249084E-2</v>
      </c>
      <c r="R4040">
        <v>-0.108980199999999</v>
      </c>
      <c r="S4040">
        <v>-2.996124</v>
      </c>
      <c r="T4040">
        <v>-0.1832752</v>
      </c>
      <c r="U4040">
        <v>-0.26504519999999998</v>
      </c>
      <c r="V4040">
        <v>-0.100077</v>
      </c>
      <c r="W4040">
        <v>4.7260139999999999E-2</v>
      </c>
      <c r="X4040">
        <v>0.99385669999999904</v>
      </c>
      <c r="Y4040">
        <v>-7.8934770000000001E-2</v>
      </c>
      <c r="Z4040">
        <v>-1.853171E-3</v>
      </c>
      <c r="AA4040">
        <v>0.99687809999999899</v>
      </c>
      <c r="AB4040">
        <v>52</v>
      </c>
      <c r="AC4040">
        <v>-17.526</v>
      </c>
      <c r="AD4040">
        <v>-1.105123871442</v>
      </c>
      <c r="AE4040">
        <v>-1.59319999999999</v>
      </c>
      <c r="AF4040">
        <v>-1.42826105644801</v>
      </c>
      <c r="AG4040">
        <v>-1.105123871442</v>
      </c>
      <c r="AH4040">
        <v>17.470855961861002</v>
      </c>
      <c r="AI4040">
        <v>93.607435606927197</v>
      </c>
      <c r="AJ4040">
        <v>94.673597818022202</v>
      </c>
      <c r="AK4040">
        <v>17.5639413702247</v>
      </c>
    </row>
    <row r="4041" spans="1:37" x14ac:dyDescent="0.2">
      <c r="A4041" t="str">
        <f>"20200111153731377"</f>
        <v>20200111153731377</v>
      </c>
      <c r="B4041" t="str">
        <f>"1578728251366917"</f>
        <v>1578728251366917</v>
      </c>
      <c r="C4041" t="s">
        <v>37</v>
      </c>
      <c r="D4041">
        <v>6.0599669999999897</v>
      </c>
      <c r="E4041">
        <v>0.5077623</v>
      </c>
      <c r="F4041" t="s">
        <v>51</v>
      </c>
      <c r="G4041">
        <v>-307.46809999999999</v>
      </c>
      <c r="H4041" s="1">
        <v>-9.1277799999999995E-6</v>
      </c>
      <c r="I4041">
        <v>139.61279999999999</v>
      </c>
      <c r="J4041">
        <v>-288.46409999999997</v>
      </c>
      <c r="K4041">
        <v>1.1050930000000001</v>
      </c>
      <c r="L4041">
        <v>141.29349999999999</v>
      </c>
      <c r="M4041">
        <v>-0.9998378</v>
      </c>
      <c r="N4041">
        <v>0</v>
      </c>
      <c r="O4041">
        <v>-9.7791860000000005E-3</v>
      </c>
      <c r="P4041">
        <v>-0.993372899999999</v>
      </c>
      <c r="Q4041">
        <v>3.3407239999999998E-2</v>
      </c>
      <c r="R4041">
        <v>-0.1099748</v>
      </c>
      <c r="S4041">
        <v>-2.9967039999999998</v>
      </c>
      <c r="T4041">
        <v>-0.16980609999999999</v>
      </c>
      <c r="U4041">
        <v>-0.25900269999999997</v>
      </c>
      <c r="V4041">
        <v>-0.1003816</v>
      </c>
      <c r="W4041">
        <v>4.8185110000000003E-2</v>
      </c>
      <c r="X4041">
        <v>0.99378149999999998</v>
      </c>
      <c r="Y4041">
        <v>-7.6254260000000004E-2</v>
      </c>
      <c r="Z4041">
        <v>-1.602051E-3</v>
      </c>
      <c r="AA4041">
        <v>0.997087099999999</v>
      </c>
      <c r="AB4041">
        <v>52</v>
      </c>
      <c r="AC4041">
        <v>-19.004000000000001</v>
      </c>
      <c r="AD4041">
        <v>-1.1051021277799999</v>
      </c>
      <c r="AE4041">
        <v>-1.6807000000000001</v>
      </c>
      <c r="AF4041">
        <v>-1.48975612895957</v>
      </c>
      <c r="AG4041">
        <v>-1.1051021277799999</v>
      </c>
      <c r="AH4041">
        <v>18.955926037968801</v>
      </c>
      <c r="AI4041">
        <v>93.326248437821405</v>
      </c>
      <c r="AJ4041">
        <v>94.493668758950307</v>
      </c>
      <c r="AK4041">
        <v>19.0464630835633</v>
      </c>
    </row>
    <row r="4042" spans="1:37" x14ac:dyDescent="0.2">
      <c r="A4042" t="str">
        <f>"20200111153731399"</f>
        <v>20200111153731399</v>
      </c>
      <c r="B4042" t="str">
        <f>"1578728251397173"</f>
        <v>1578728251397173</v>
      </c>
      <c r="C4042" t="s">
        <v>37</v>
      </c>
      <c r="D4042">
        <v>6.0740829999999999</v>
      </c>
      <c r="E4042">
        <v>0.50818929999999995</v>
      </c>
      <c r="F4042" t="s">
        <v>51</v>
      </c>
      <c r="G4042">
        <v>-308.56569999999999</v>
      </c>
      <c r="H4042" s="1">
        <v>-9.2728549999999992E-6</v>
      </c>
      <c r="I4042">
        <v>139.5736</v>
      </c>
      <c r="J4042">
        <v>-288.96899999999999</v>
      </c>
      <c r="K4042">
        <v>1.1050679999999999</v>
      </c>
      <c r="L4042">
        <v>141.28819999999999</v>
      </c>
      <c r="M4042">
        <v>-0.99983099999999903</v>
      </c>
      <c r="N4042">
        <v>0</v>
      </c>
      <c r="O4042">
        <v>-1.044057E-2</v>
      </c>
      <c r="P4042">
        <v>-0.99319159999999995</v>
      </c>
      <c r="Q4042">
        <v>3.3861710000000003E-2</v>
      </c>
      <c r="R4042">
        <v>-0.1114617</v>
      </c>
      <c r="S4042">
        <v>-2.9971619999999999</v>
      </c>
      <c r="T4042">
        <v>-0.16477139999999901</v>
      </c>
      <c r="U4042">
        <v>-0.25643919999999998</v>
      </c>
      <c r="V4042">
        <v>-0.10120949999999999</v>
      </c>
      <c r="W4042">
        <v>4.8648049999999998E-2</v>
      </c>
      <c r="X4042">
        <v>0.99367499999999997</v>
      </c>
      <c r="Y4042">
        <v>-7.4744439999999995E-2</v>
      </c>
      <c r="Z4042">
        <v>-1.476787E-3</v>
      </c>
      <c r="AA4042">
        <v>0.99720159999999902</v>
      </c>
      <c r="AB4042">
        <v>52</v>
      </c>
      <c r="AC4042">
        <v>-19.596699999999998</v>
      </c>
      <c r="AD4042">
        <v>-1.105077272855</v>
      </c>
      <c r="AE4042">
        <v>-1.7145999999999899</v>
      </c>
      <c r="AF4042">
        <v>-1.50513250535023</v>
      </c>
      <c r="AG4042">
        <v>-1.105077272855</v>
      </c>
      <c r="AH4042">
        <v>19.5518337163472</v>
      </c>
      <c r="AI4042">
        <v>93.225415189955797</v>
      </c>
      <c r="AJ4042">
        <v>94.402041837643196</v>
      </c>
      <c r="AK4042">
        <v>19.6407948237675</v>
      </c>
    </row>
    <row r="4043" spans="1:37" x14ac:dyDescent="0.2">
      <c r="A4043" t="str">
        <f>"20200111153731422"</f>
        <v>20200111153731422</v>
      </c>
      <c r="B4043" t="str">
        <f>"1578728251417670"</f>
        <v>1578728251417670</v>
      </c>
      <c r="C4043" t="s">
        <v>37</v>
      </c>
      <c r="D4043">
        <v>6.0555589999999997</v>
      </c>
      <c r="E4043">
        <v>0.50848450000000001</v>
      </c>
      <c r="F4043" t="s">
        <v>51</v>
      </c>
      <c r="G4043">
        <v>-309.22859999999997</v>
      </c>
      <c r="H4043" s="1">
        <v>-9.3597779999999995E-6</v>
      </c>
      <c r="I4043">
        <v>139.54769999999999</v>
      </c>
      <c r="J4043">
        <v>-289.48559999999998</v>
      </c>
      <c r="K4043">
        <v>1.1050260000000001</v>
      </c>
      <c r="L4043">
        <v>141.2824</v>
      </c>
      <c r="M4043">
        <v>-0.9998243</v>
      </c>
      <c r="N4043">
        <v>0</v>
      </c>
      <c r="O4043">
        <v>-1.1061319999999999E-2</v>
      </c>
      <c r="P4043">
        <v>-0.99300080000000002</v>
      </c>
      <c r="Q4043">
        <v>3.4643809999999997E-2</v>
      </c>
      <c r="R4043">
        <v>-0.1129125</v>
      </c>
      <c r="S4043">
        <v>-2.9972840000000001</v>
      </c>
      <c r="T4043">
        <v>-0.16348959999999901</v>
      </c>
      <c r="U4043">
        <v>-0.2574921</v>
      </c>
      <c r="V4043">
        <v>-0.1020408</v>
      </c>
      <c r="W4043">
        <v>4.9440079999999997E-2</v>
      </c>
      <c r="X4043">
        <v>0.99355090000000001</v>
      </c>
      <c r="Y4043">
        <v>-7.4472430000000006E-2</v>
      </c>
      <c r="Z4043">
        <v>-1.4240679999999999E-3</v>
      </c>
      <c r="AA4043">
        <v>0.9972221</v>
      </c>
      <c r="AB4043">
        <v>52</v>
      </c>
      <c r="AC4043">
        <v>-19.742999999999899</v>
      </c>
      <c r="AD4043">
        <v>-1.105035359778</v>
      </c>
      <c r="AE4043">
        <v>-1.7346999999999999</v>
      </c>
      <c r="AF4043">
        <v>-1.51148636103557</v>
      </c>
      <c r="AG4043">
        <v>-1.105035359778</v>
      </c>
      <c r="AH4043">
        <v>19.6997405332665</v>
      </c>
      <c r="AI4043">
        <v>93.201190321790705</v>
      </c>
      <c r="AJ4043">
        <v>94.387491696546903</v>
      </c>
      <c r="AK4043">
        <v>19.788518672300398</v>
      </c>
    </row>
    <row r="4044" spans="1:37" x14ac:dyDescent="0.2">
      <c r="A4044" t="str">
        <f>"20200111153731444"</f>
        <v>20200111153731444</v>
      </c>
      <c r="B4044" t="str">
        <f>"1578728251437192"</f>
        <v>1578728251437192</v>
      </c>
      <c r="C4044" t="s">
        <v>37</v>
      </c>
      <c r="D4044">
        <v>5.9721039999999999</v>
      </c>
      <c r="E4044">
        <v>0.5089494</v>
      </c>
      <c r="F4044" t="s">
        <v>51</v>
      </c>
      <c r="G4044">
        <v>-310.745</v>
      </c>
      <c r="H4044" s="1">
        <v>-9.1357919999999996E-6</v>
      </c>
      <c r="I4044">
        <v>139.43960000000001</v>
      </c>
      <c r="J4044">
        <v>-290.04059999999998</v>
      </c>
      <c r="K4044">
        <v>1.1049690000000001</v>
      </c>
      <c r="L4044">
        <v>141.27590000000001</v>
      </c>
      <c r="M4044">
        <v>-0.99981749999999903</v>
      </c>
      <c r="N4044">
        <v>0</v>
      </c>
      <c r="O4044">
        <v>-1.1662499999999999E-2</v>
      </c>
      <c r="P4044">
        <v>-0.99283279999999996</v>
      </c>
      <c r="Q4044">
        <v>3.5301060000000002E-2</v>
      </c>
      <c r="R4044">
        <v>-0.1141805</v>
      </c>
      <c r="S4044">
        <v>-2.9970699999999999</v>
      </c>
      <c r="T4044">
        <v>-0.15578399999999901</v>
      </c>
      <c r="U4044">
        <v>-0.25979609999999997</v>
      </c>
      <c r="V4044">
        <v>-0.1027073</v>
      </c>
      <c r="W4044">
        <v>5.0110630000000003E-2</v>
      </c>
      <c r="X4044">
        <v>0.99344859999999902</v>
      </c>
      <c r="Y4044">
        <v>-7.4649010000000002E-2</v>
      </c>
      <c r="Z4044">
        <v>-1.3305070000000001E-3</v>
      </c>
      <c r="AA4044">
        <v>0.99720900000000001</v>
      </c>
      <c r="AB4044">
        <v>52</v>
      </c>
      <c r="AC4044">
        <v>-20.7044</v>
      </c>
      <c r="AD4044">
        <v>-1.1049781357920001</v>
      </c>
      <c r="AE4044">
        <v>-1.8362999999999901</v>
      </c>
      <c r="AF4044">
        <v>-1.5901884286786001</v>
      </c>
      <c r="AG4044">
        <v>-1.1049781357920001</v>
      </c>
      <c r="AH4044">
        <v>20.666006803212898</v>
      </c>
      <c r="AI4044">
        <v>93.051595194528701</v>
      </c>
      <c r="AJ4044">
        <v>94.400071297125294</v>
      </c>
      <c r="AK4044">
        <v>20.756529409073199</v>
      </c>
    </row>
    <row r="4045" spans="1:37" x14ac:dyDescent="0.2">
      <c r="A4045" t="str">
        <f>"20200111153731466"</f>
        <v>20200111153731466</v>
      </c>
      <c r="B4045" t="str">
        <f>"1578728251456712"</f>
        <v>1578728251456712</v>
      </c>
      <c r="C4045" t="s">
        <v>37</v>
      </c>
      <c r="D4045">
        <v>6.0463909999999998</v>
      </c>
      <c r="E4045">
        <v>0.5093143</v>
      </c>
      <c r="F4045" t="s">
        <v>51</v>
      </c>
      <c r="G4045">
        <v>-312.63389999999998</v>
      </c>
      <c r="H4045" s="1">
        <v>-8.3863850000000005E-6</v>
      </c>
      <c r="I4045">
        <v>139.31479999999999</v>
      </c>
      <c r="J4045">
        <v>-290.53960000000001</v>
      </c>
      <c r="K4045">
        <v>1.1049149999999901</v>
      </c>
      <c r="L4045">
        <v>141.2698</v>
      </c>
      <c r="M4045">
        <v>-0.99981160000000002</v>
      </c>
      <c r="N4045">
        <v>0</v>
      </c>
      <c r="O4045">
        <v>-1.21516E-2</v>
      </c>
      <c r="P4045">
        <v>-0.99267950000000005</v>
      </c>
      <c r="Q4045">
        <v>3.6441269999999998E-2</v>
      </c>
      <c r="R4045">
        <v>-0.1151509</v>
      </c>
      <c r="S4045">
        <v>-2.9969790000000001</v>
      </c>
      <c r="T4045">
        <v>-0.14657409999999901</v>
      </c>
      <c r="U4045">
        <v>-0.26013179999999902</v>
      </c>
      <c r="V4045">
        <v>-0.10318869999999999</v>
      </c>
      <c r="W4045">
        <v>5.1262620000000002E-2</v>
      </c>
      <c r="X4045">
        <v>0.99334</v>
      </c>
      <c r="Y4045">
        <v>-7.428535E-2</v>
      </c>
      <c r="Z4045">
        <v>-1.2192489999999999E-3</v>
      </c>
      <c r="AA4045">
        <v>0.99723629999999996</v>
      </c>
      <c r="AB4045">
        <v>52</v>
      </c>
      <c r="AC4045">
        <v>-22.094299999999901</v>
      </c>
      <c r="AD4045">
        <v>-1.1049233863850001</v>
      </c>
      <c r="AE4045">
        <v>-1.9550000000000101</v>
      </c>
      <c r="AF4045">
        <v>-1.6821694390033299</v>
      </c>
      <c r="AG4045">
        <v>-1.1049233863850001</v>
      </c>
      <c r="AH4045">
        <v>22.061681051604701</v>
      </c>
      <c r="AI4045">
        <v>92.858885511425896</v>
      </c>
      <c r="AJ4045">
        <v>94.360278648417605</v>
      </c>
      <c r="AK4045">
        <v>22.1532914153638</v>
      </c>
    </row>
    <row r="4046" spans="1:37" x14ac:dyDescent="0.2">
      <c r="A4046" t="str">
        <f>"20200111153731488"</f>
        <v>20200111153731488</v>
      </c>
      <c r="B4046" t="str">
        <f>"1578728251477208"</f>
        <v>1578728251477208</v>
      </c>
      <c r="C4046" t="s">
        <v>37</v>
      </c>
      <c r="D4046">
        <v>6.0662960000000004</v>
      </c>
      <c r="E4046">
        <v>0.50944149999999999</v>
      </c>
      <c r="F4046" t="s">
        <v>51</v>
      </c>
      <c r="G4046">
        <v>-313.80270000000002</v>
      </c>
      <c r="H4046" s="1">
        <v>-7.9266520000000002E-6</v>
      </c>
      <c r="I4046">
        <v>139.25049999999999</v>
      </c>
      <c r="J4046">
        <v>-291.04939999999999</v>
      </c>
      <c r="K4046">
        <v>1.10486</v>
      </c>
      <c r="L4046">
        <v>141.26329999999999</v>
      </c>
      <c r="M4046">
        <v>-0.99980619999999998</v>
      </c>
      <c r="N4046">
        <v>0</v>
      </c>
      <c r="O4046">
        <v>-1.259627E-2</v>
      </c>
      <c r="P4046">
        <v>-0.99260869999999901</v>
      </c>
      <c r="Q4046">
        <v>3.6770419999999998E-2</v>
      </c>
      <c r="R4046">
        <v>-0.1156551</v>
      </c>
      <c r="S4046">
        <v>-2.9971919999999899</v>
      </c>
      <c r="T4046">
        <v>-0.14235719999999999</v>
      </c>
      <c r="U4046">
        <v>-0.26016239999999902</v>
      </c>
      <c r="V4046">
        <v>-0.10324510000000001</v>
      </c>
      <c r="W4046">
        <v>5.1606440000000003E-2</v>
      </c>
      <c r="X4046">
        <v>0.99331630000000004</v>
      </c>
      <c r="Y4046">
        <v>-7.3850940000000004E-2</v>
      </c>
      <c r="Z4046">
        <v>-1.15277E-3</v>
      </c>
      <c r="AA4046">
        <v>0.99726859999999995</v>
      </c>
      <c r="AB4046">
        <v>52</v>
      </c>
      <c r="AC4046">
        <v>-22.753299999999999</v>
      </c>
      <c r="AD4046">
        <v>-1.1048679266519901</v>
      </c>
      <c r="AE4046">
        <v>-2.0127999999999902</v>
      </c>
      <c r="AF4046">
        <v>-1.72197198623535</v>
      </c>
      <c r="AG4046">
        <v>-1.1048679266519901</v>
      </c>
      <c r="AH4046">
        <v>22.723686154926</v>
      </c>
      <c r="AI4046">
        <v>92.775689593854395</v>
      </c>
      <c r="AJ4046">
        <v>94.333518884169195</v>
      </c>
      <c r="AK4046">
        <v>22.815605035245099</v>
      </c>
    </row>
    <row r="4047" spans="1:37" x14ac:dyDescent="0.2">
      <c r="A4047" t="str">
        <f>"20200111153731511"</f>
        <v>20200111153731511</v>
      </c>
      <c r="B4047" t="str">
        <f>"1578728251496725"</f>
        <v>1578728251496725</v>
      </c>
      <c r="C4047" t="s">
        <v>37</v>
      </c>
      <c r="D4047">
        <v>5.8714579999999996</v>
      </c>
      <c r="E4047">
        <v>0.50939299999999998</v>
      </c>
      <c r="F4047" t="s">
        <v>51</v>
      </c>
      <c r="G4047">
        <v>-314.05410000000001</v>
      </c>
      <c r="H4047" s="1">
        <v>-7.8361689999999998E-6</v>
      </c>
      <c r="I4047">
        <v>139.26400000000001</v>
      </c>
      <c r="J4047">
        <v>-291.5702</v>
      </c>
      <c r="K4047">
        <v>1.1048069999999901</v>
      </c>
      <c r="L4047">
        <v>141.25649999999999</v>
      </c>
      <c r="M4047">
        <v>-0.99980119999999895</v>
      </c>
      <c r="N4047">
        <v>0</v>
      </c>
      <c r="O4047">
        <v>-1.298994E-2</v>
      </c>
      <c r="P4047">
        <v>-0.99257999999999902</v>
      </c>
      <c r="Q4047">
        <v>3.7500459999999999E-2</v>
      </c>
      <c r="R4047">
        <v>-0.1156676</v>
      </c>
      <c r="S4047">
        <v>-2.9973450000000001</v>
      </c>
      <c r="T4047">
        <v>-0.14395649999999999</v>
      </c>
      <c r="U4047">
        <v>-0.26049800000000001</v>
      </c>
      <c r="V4047">
        <v>-0.1028593</v>
      </c>
      <c r="W4047">
        <v>5.2353099999999902E-2</v>
      </c>
      <c r="X4047">
        <v>0.99331719999999901</v>
      </c>
      <c r="Y4047">
        <v>-7.3563989999999996E-2</v>
      </c>
      <c r="Z4047">
        <v>-1.139911E-3</v>
      </c>
      <c r="AA4047">
        <v>0.9972898</v>
      </c>
      <c r="AB4047">
        <v>52</v>
      </c>
      <c r="AC4047">
        <v>-22.483899999999998</v>
      </c>
      <c r="AD4047">
        <v>-1.10481483616899</v>
      </c>
      <c r="AE4047">
        <v>-1.99249999999997</v>
      </c>
      <c r="AF4047">
        <v>-1.6961703446910099</v>
      </c>
      <c r="AG4047">
        <v>-1.10481483616899</v>
      </c>
      <c r="AH4047">
        <v>22.454093943999201</v>
      </c>
      <c r="AI4047">
        <v>92.808878215084405</v>
      </c>
      <c r="AJ4047">
        <v>94.319888522511604</v>
      </c>
      <c r="AK4047">
        <v>22.545153459366102</v>
      </c>
    </row>
    <row r="4048" spans="1:37" x14ac:dyDescent="0.2">
      <c r="A4048" t="str">
        <f>"20200111153731534"</f>
        <v>20200111153731534</v>
      </c>
      <c r="B4048" t="str">
        <f>"1578728251526980"</f>
        <v>1578728251526980</v>
      </c>
      <c r="C4048" t="s">
        <v>37</v>
      </c>
      <c r="D4048">
        <v>5.9223280000000003</v>
      </c>
      <c r="E4048">
        <v>0.50938760000000005</v>
      </c>
      <c r="F4048" t="s">
        <v>51</v>
      </c>
      <c r="G4048">
        <v>-314.6139</v>
      </c>
      <c r="H4048" s="1">
        <v>-7.62154E-6</v>
      </c>
      <c r="I4048">
        <v>139.25129999999999</v>
      </c>
      <c r="J4048">
        <v>-292.11099999999999</v>
      </c>
      <c r="K4048">
        <v>1.104746</v>
      </c>
      <c r="L4048">
        <v>141.24930000000001</v>
      </c>
      <c r="M4048">
        <v>-0.99979649999999998</v>
      </c>
      <c r="N4048">
        <v>0</v>
      </c>
      <c r="O4048">
        <v>-1.333811E-2</v>
      </c>
      <c r="P4048">
        <v>-0.99257700000000004</v>
      </c>
      <c r="Q4048">
        <v>3.8343199999999897E-2</v>
      </c>
      <c r="R4048">
        <v>-0.11541659999999999</v>
      </c>
      <c r="S4048">
        <v>-2.9974369999999899</v>
      </c>
      <c r="T4048">
        <v>-0.14371049999999999</v>
      </c>
      <c r="U4048">
        <v>-0.2608337</v>
      </c>
      <c r="V4048">
        <v>-0.102255</v>
      </c>
      <c r="W4048">
        <v>5.3213549999999998E-2</v>
      </c>
      <c r="X4048">
        <v>0.99333389999999999</v>
      </c>
      <c r="Y4048">
        <v>-7.3325840000000003E-2</v>
      </c>
      <c r="Z4048">
        <v>-1.1155830000000001E-3</v>
      </c>
      <c r="AA4048">
        <v>0.99730739999999996</v>
      </c>
      <c r="AB4048">
        <v>52</v>
      </c>
      <c r="AC4048">
        <v>-22.5029</v>
      </c>
      <c r="AD4048">
        <v>-1.10475362154</v>
      </c>
      <c r="AE4048">
        <v>-1.99800000000001</v>
      </c>
      <c r="AF4048">
        <v>-1.69359171321027</v>
      </c>
      <c r="AG4048">
        <v>-1.10475362154</v>
      </c>
      <c r="AH4048">
        <v>22.473807562439301</v>
      </c>
      <c r="AI4048">
        <v>92.806301057212394</v>
      </c>
      <c r="AJ4048">
        <v>94.309576614575903</v>
      </c>
      <c r="AK4048">
        <v>22.564590840715798</v>
      </c>
    </row>
    <row r="4049" spans="1:37" x14ac:dyDescent="0.2">
      <c r="A4049" t="str">
        <f>"20200111153731556"</f>
        <v>20200111153731556</v>
      </c>
      <c r="B4049" t="str">
        <f>"1578728251547477"</f>
        <v>1578728251547477</v>
      </c>
      <c r="C4049" t="s">
        <v>37</v>
      </c>
      <c r="D4049">
        <v>6.151046</v>
      </c>
      <c r="E4049">
        <v>0.50955090000000003</v>
      </c>
      <c r="F4049" t="s">
        <v>51</v>
      </c>
      <c r="G4049">
        <v>-315.16410000000002</v>
      </c>
      <c r="H4049" s="1">
        <v>-7.3954240000000002E-6</v>
      </c>
      <c r="I4049">
        <v>139.24959999999999</v>
      </c>
      <c r="J4049">
        <v>-292.62270000000001</v>
      </c>
      <c r="K4049">
        <v>1.1046879999999999</v>
      </c>
      <c r="L4049">
        <v>141.2423</v>
      </c>
      <c r="M4049">
        <v>-0.99979269999999998</v>
      </c>
      <c r="N4049">
        <v>0</v>
      </c>
      <c r="O4049">
        <v>-1.361771E-2</v>
      </c>
      <c r="P4049">
        <v>-0.99260210000000004</v>
      </c>
      <c r="Q4049">
        <v>4.0303600000000002E-2</v>
      </c>
      <c r="R4049">
        <v>-0.1145283</v>
      </c>
      <c r="S4049">
        <v>-2.9977719999999999</v>
      </c>
      <c r="T4049">
        <v>-0.1436595</v>
      </c>
      <c r="U4049">
        <v>-0.2600403</v>
      </c>
      <c r="V4049">
        <v>-0.1010827</v>
      </c>
      <c r="W4049">
        <v>5.5191419999999998E-2</v>
      </c>
      <c r="X4049">
        <v>0.99334599999999995</v>
      </c>
      <c r="Y4049">
        <v>-7.2776300000000002E-2</v>
      </c>
      <c r="Z4049">
        <v>-1.088578E-3</v>
      </c>
      <c r="AA4049">
        <v>0.99734769999999995</v>
      </c>
      <c r="AB4049">
        <v>52</v>
      </c>
      <c r="AC4049">
        <v>-22.541399999999999</v>
      </c>
      <c r="AD4049">
        <v>-1.104695395424</v>
      </c>
      <c r="AE4049">
        <v>-1.9927000000000099</v>
      </c>
      <c r="AF4049">
        <v>-1.68151055442577</v>
      </c>
      <c r="AG4049">
        <v>-1.104695395424</v>
      </c>
      <c r="AH4049">
        <v>22.512798197906999</v>
      </c>
      <c r="AI4049">
        <v>92.801440278418099</v>
      </c>
      <c r="AJ4049">
        <v>94.271565639361697</v>
      </c>
      <c r="AK4049">
        <v>22.602520044477401</v>
      </c>
    </row>
    <row r="4050" spans="1:37" x14ac:dyDescent="0.2">
      <c r="A4050" t="str">
        <f>"20200111153731578"</f>
        <v>20200111153731578</v>
      </c>
      <c r="B4050" t="str">
        <f>"1578728251566997"</f>
        <v>1578728251566997</v>
      </c>
      <c r="C4050" t="s">
        <v>37</v>
      </c>
      <c r="D4050">
        <v>6.0253189999999996</v>
      </c>
      <c r="E4050">
        <v>0.50956329999999905</v>
      </c>
      <c r="F4050" t="s">
        <v>51</v>
      </c>
      <c r="G4050">
        <v>-316.4194</v>
      </c>
      <c r="H4050" s="1">
        <v>-6.8252170000000001E-6</v>
      </c>
      <c r="I4050">
        <v>139.2073</v>
      </c>
      <c r="J4050">
        <v>-293.12569999999999</v>
      </c>
      <c r="K4050">
        <v>1.1046339999999999</v>
      </c>
      <c r="L4050">
        <v>141.2354</v>
      </c>
      <c r="M4050">
        <v>-0.9997895</v>
      </c>
      <c r="N4050">
        <v>0</v>
      </c>
      <c r="O4050">
        <v>-1.385461E-2</v>
      </c>
      <c r="P4050">
        <v>-0.99269810000000003</v>
      </c>
      <c r="Q4050">
        <v>4.1660759999999998E-2</v>
      </c>
      <c r="R4050">
        <v>-0.113202</v>
      </c>
      <c r="S4050">
        <v>-2.9984130000000002</v>
      </c>
      <c r="T4050">
        <v>-0.1391927</v>
      </c>
      <c r="U4050">
        <v>-0.25642399999999999</v>
      </c>
      <c r="V4050">
        <v>-9.9513190000000001E-2</v>
      </c>
      <c r="W4050">
        <v>5.6565900000000002E-2</v>
      </c>
      <c r="X4050">
        <v>0.99342710000000001</v>
      </c>
      <c r="Y4050">
        <v>-7.1333450000000007E-2</v>
      </c>
      <c r="Z4050">
        <v>-1.010216E-3</v>
      </c>
      <c r="AA4050">
        <v>0.99745200000000001</v>
      </c>
      <c r="AB4050">
        <v>52</v>
      </c>
      <c r="AC4050">
        <v>-23.293700000000001</v>
      </c>
      <c r="AD4050">
        <v>-1.1046408252169999</v>
      </c>
      <c r="AE4050">
        <v>-2.02809999999999</v>
      </c>
      <c r="AF4050">
        <v>-1.70134588322965</v>
      </c>
      <c r="AG4050">
        <v>-1.1046408252169999</v>
      </c>
      <c r="AH4050">
        <v>23.267633206611102</v>
      </c>
      <c r="AI4050">
        <v>92.710874176810194</v>
      </c>
      <c r="AJ4050">
        <v>94.182065401609904</v>
      </c>
      <c r="AK4050">
        <v>23.355889283101799</v>
      </c>
    </row>
    <row r="4051" spans="1:37" x14ac:dyDescent="0.2">
      <c r="A4051" t="str">
        <f>"20200111153731601"</f>
        <v>20200111153731601</v>
      </c>
      <c r="B4051" t="str">
        <f>"1578728251597253"</f>
        <v>1578728251597253</v>
      </c>
      <c r="C4051" t="s">
        <v>37</v>
      </c>
      <c r="D4051">
        <v>5.794683</v>
      </c>
      <c r="E4051">
        <v>0.5096946</v>
      </c>
      <c r="F4051" t="s">
        <v>51</v>
      </c>
      <c r="G4051">
        <v>-317.6266</v>
      </c>
      <c r="H4051" s="1">
        <v>-6.2786089999999999E-6</v>
      </c>
      <c r="I4051">
        <v>139.172</v>
      </c>
      <c r="J4051">
        <v>-293.6497</v>
      </c>
      <c r="K4051">
        <v>1.1045799999999999</v>
      </c>
      <c r="L4051">
        <v>141.22799999999901</v>
      </c>
      <c r="M4051">
        <v>-0.99978659999999997</v>
      </c>
      <c r="N4051">
        <v>0</v>
      </c>
      <c r="O4051">
        <v>-1.407073E-2</v>
      </c>
      <c r="P4051">
        <v>-0.99278009999999905</v>
      </c>
      <c r="Q4051">
        <v>4.2790740000000001E-2</v>
      </c>
      <c r="R4051">
        <v>-0.11205759999999999</v>
      </c>
      <c r="S4051">
        <v>-2.9989619999999899</v>
      </c>
      <c r="T4051">
        <v>-0.13521059999999999</v>
      </c>
      <c r="U4051">
        <v>-0.2525635</v>
      </c>
      <c r="V4051">
        <v>-9.8145709999999997E-2</v>
      </c>
      <c r="W4051">
        <v>5.77113E-2</v>
      </c>
      <c r="X4051">
        <v>0.99349730000000003</v>
      </c>
      <c r="Y4051">
        <v>-6.9832630000000007E-2</v>
      </c>
      <c r="Z4051">
        <v>-9.3774220000000005E-4</v>
      </c>
      <c r="AA4051">
        <v>0.99755830000000001</v>
      </c>
      <c r="AB4051">
        <v>52</v>
      </c>
      <c r="AC4051">
        <v>-23.976900000000001</v>
      </c>
      <c r="AD4051">
        <v>-1.1045862786089999</v>
      </c>
      <c r="AE4051">
        <v>-2.0559999999999801</v>
      </c>
      <c r="AF4051">
        <v>-1.71477257976491</v>
      </c>
      <c r="AG4051">
        <v>-1.1045862786089999</v>
      </c>
      <c r="AH4051">
        <v>23.952993404685898</v>
      </c>
      <c r="AI4051">
        <v>92.633579558299402</v>
      </c>
      <c r="AJ4051">
        <v>94.094766025177194</v>
      </c>
      <c r="AK4051">
        <v>24.039684875058899</v>
      </c>
    </row>
    <row r="4052" spans="1:37" x14ac:dyDescent="0.2">
      <c r="A4052" t="str">
        <f>"20200111153731624"</f>
        <v>20200111153731624</v>
      </c>
      <c r="B4052" t="str">
        <f>"1578728251616773"</f>
        <v>1578728251616773</v>
      </c>
      <c r="C4052" t="s">
        <v>37</v>
      </c>
      <c r="D4052">
        <v>5.9726160000000004</v>
      </c>
      <c r="E4052">
        <v>0.50959359999999998</v>
      </c>
      <c r="F4052" t="s">
        <v>51</v>
      </c>
      <c r="G4052">
        <v>-318.84379999999999</v>
      </c>
      <c r="H4052" s="1">
        <v>-5.7302189999999899E-6</v>
      </c>
      <c r="I4052">
        <v>139.14500000000001</v>
      </c>
      <c r="J4052">
        <v>-294.1866</v>
      </c>
      <c r="K4052">
        <v>1.1045320000000001</v>
      </c>
      <c r="L4052">
        <v>141.22030000000001</v>
      </c>
      <c r="M4052">
        <v>-0.99978389999999995</v>
      </c>
      <c r="N4052">
        <v>0</v>
      </c>
      <c r="O4052">
        <v>-1.4268629999999999E-2</v>
      </c>
      <c r="P4052">
        <v>-0.99297990000000003</v>
      </c>
      <c r="Q4052">
        <v>4.3739790000000001E-2</v>
      </c>
      <c r="R4052">
        <v>-0.109901</v>
      </c>
      <c r="S4052">
        <v>-2.9994809999999998</v>
      </c>
      <c r="T4052">
        <v>-0.13150689999999901</v>
      </c>
      <c r="U4052">
        <v>-0.24798579999999901</v>
      </c>
      <c r="V4052">
        <v>-9.5783679999999996E-2</v>
      </c>
      <c r="W4052">
        <v>5.8675730000000002E-2</v>
      </c>
      <c r="X4052">
        <v>0.99367129999999904</v>
      </c>
      <c r="Y4052">
        <v>-6.8113649999999998E-2</v>
      </c>
      <c r="Z4052">
        <v>-8.6572289999999996E-4</v>
      </c>
      <c r="AA4052">
        <v>0.99767719999999904</v>
      </c>
      <c r="AB4052">
        <v>52</v>
      </c>
      <c r="AC4052">
        <v>-24.6571999999999</v>
      </c>
      <c r="AD4052">
        <v>-1.104537730219</v>
      </c>
      <c r="AE4052">
        <v>-2.0752999999999902</v>
      </c>
      <c r="AF4052">
        <v>-1.7197972331640801</v>
      </c>
      <c r="AG4052">
        <v>-1.104537730219</v>
      </c>
      <c r="AH4052">
        <v>24.635217588198699</v>
      </c>
      <c r="AI4052">
        <v>92.560953759534897</v>
      </c>
      <c r="AJ4052">
        <v>93.9933690601775</v>
      </c>
      <c r="AK4052">
        <v>24.7198635056622</v>
      </c>
    </row>
    <row r="4053" spans="1:37" x14ac:dyDescent="0.2">
      <c r="A4053" t="str">
        <f>"20200111153731657"</f>
        <v>20200111153731657</v>
      </c>
      <c r="B4053" t="str">
        <f>"1578728251647029"</f>
        <v>1578728251647029</v>
      </c>
      <c r="C4053" t="s">
        <v>37</v>
      </c>
      <c r="D4053">
        <v>6.0934429999999997</v>
      </c>
      <c r="E4053">
        <v>0.50957649999999999</v>
      </c>
      <c r="F4053" t="s">
        <v>39</v>
      </c>
      <c r="G4053">
        <v>-320.0258</v>
      </c>
      <c r="H4053" s="1">
        <v>-4.3471490000000001E-6</v>
      </c>
      <c r="I4053">
        <v>139.1319</v>
      </c>
      <c r="J4053">
        <v>-294.96080000000001</v>
      </c>
      <c r="K4053">
        <v>1.104476</v>
      </c>
      <c r="L4053">
        <v>141.209</v>
      </c>
      <c r="M4053">
        <v>-0.99978009999999995</v>
      </c>
      <c r="N4053">
        <v>0</v>
      </c>
      <c r="O4053">
        <v>-1.4529490000000001E-2</v>
      </c>
      <c r="P4053">
        <v>-0.99324599999999996</v>
      </c>
      <c r="Q4053">
        <v>4.4777589999999999E-2</v>
      </c>
      <c r="R4053">
        <v>-0.10703889999999899</v>
      </c>
      <c r="S4053">
        <v>-3.0000309999999999</v>
      </c>
      <c r="T4053">
        <v>-0.12824140000000001</v>
      </c>
      <c r="U4053">
        <v>-0.24246219999999999</v>
      </c>
      <c r="V4053">
        <v>-9.2650670000000004E-2</v>
      </c>
      <c r="W4053">
        <v>5.9731020000000003E-2</v>
      </c>
      <c r="X4053">
        <v>0.9939055</v>
      </c>
      <c r="Y4053">
        <v>-6.6018110000000005E-2</v>
      </c>
      <c r="Z4053">
        <v>-7.88333E-4</v>
      </c>
      <c r="AA4053">
        <v>0.99781810000000004</v>
      </c>
      <c r="AB4053">
        <v>52</v>
      </c>
      <c r="AC4053">
        <v>-25.065000000000001</v>
      </c>
      <c r="AD4053">
        <v>-1.1044803471489999</v>
      </c>
      <c r="AE4053">
        <v>-2.0771000000000002</v>
      </c>
      <c r="AF4053">
        <v>-1.7093609687056099</v>
      </c>
      <c r="AG4053">
        <v>-1.1044803471489999</v>
      </c>
      <c r="AH4053">
        <v>25.044239659563999</v>
      </c>
      <c r="AI4053">
        <v>92.519321043790896</v>
      </c>
      <c r="AJ4053">
        <v>93.904590794730694</v>
      </c>
      <c r="AK4053">
        <v>25.126793107841099</v>
      </c>
    </row>
    <row r="4054" spans="1:37" x14ac:dyDescent="0.2">
      <c r="A4054" t="str">
        <f>"20200111153731680"</f>
        <v>20200111153731680</v>
      </c>
      <c r="B4054" t="str">
        <f>"1578728251667526"</f>
        <v>1578728251667526</v>
      </c>
      <c r="C4054" t="s">
        <v>37</v>
      </c>
      <c r="D4054">
        <v>5.855556</v>
      </c>
      <c r="E4054">
        <v>0.5095478</v>
      </c>
      <c r="F4054" t="s">
        <v>39</v>
      </c>
      <c r="G4054">
        <v>-321.70549999999997</v>
      </c>
      <c r="H4054" s="1">
        <v>-3.6278140000000002E-6</v>
      </c>
      <c r="I4054">
        <v>139.12479999999999</v>
      </c>
      <c r="J4054">
        <v>-295.47430000000003</v>
      </c>
      <c r="K4054">
        <v>1.104452</v>
      </c>
      <c r="L4054">
        <v>141.20150000000001</v>
      </c>
      <c r="M4054">
        <v>-0.9997779</v>
      </c>
      <c r="N4054">
        <v>0</v>
      </c>
      <c r="O4054">
        <v>-1.468874E-2</v>
      </c>
      <c r="P4054">
        <v>-0.99338379999999904</v>
      </c>
      <c r="Q4054">
        <v>4.5950940000000003E-2</v>
      </c>
      <c r="R4054">
        <v>-0.1052507</v>
      </c>
      <c r="S4054">
        <v>-3.0007929999999998</v>
      </c>
      <c r="T4054">
        <v>-0.12392449999999899</v>
      </c>
      <c r="U4054">
        <v>-0.23384089999999999</v>
      </c>
      <c r="V4054">
        <v>-9.0698029999999999E-2</v>
      </c>
      <c r="W4054">
        <v>6.091332E-2</v>
      </c>
      <c r="X4054">
        <v>0.99401379999999995</v>
      </c>
      <c r="Y4054">
        <v>-6.2995529999999994E-2</v>
      </c>
      <c r="Z4054">
        <v>-6.9285549999999999E-4</v>
      </c>
      <c r="AA4054">
        <v>0.99801359999999995</v>
      </c>
      <c r="AB4054">
        <v>52</v>
      </c>
      <c r="AC4054">
        <v>-26.231199999999902</v>
      </c>
      <c r="AD4054">
        <v>-1.1044556278140001</v>
      </c>
      <c r="AE4054">
        <v>-2.07670000000001</v>
      </c>
      <c r="AF4054">
        <v>-1.6881544964533099</v>
      </c>
      <c r="AG4054">
        <v>-1.1044556278140001</v>
      </c>
      <c r="AH4054">
        <v>26.212696508533199</v>
      </c>
      <c r="AI4054">
        <v>92.407712766040703</v>
      </c>
      <c r="AJ4054">
        <v>93.684883544427606</v>
      </c>
      <c r="AK4054">
        <v>26.290210080677799</v>
      </c>
    </row>
    <row r="4055" spans="1:37" x14ac:dyDescent="0.2">
      <c r="A4055" t="str">
        <f>"20200111153731702"</f>
        <v>20200111153731702</v>
      </c>
      <c r="B4055" t="str">
        <f>"1578728251696806"</f>
        <v>1578728251696806</v>
      </c>
      <c r="C4055" t="s">
        <v>37</v>
      </c>
      <c r="D4055">
        <v>5.7592309999999998</v>
      </c>
      <c r="E4055">
        <v>0.50936930000000002</v>
      </c>
      <c r="F4055" t="s">
        <v>39</v>
      </c>
      <c r="G4055">
        <v>-322.98070000000001</v>
      </c>
      <c r="H4055" s="1">
        <v>-3.08472E-6</v>
      </c>
      <c r="I4055">
        <v>139.10249999999999</v>
      </c>
      <c r="J4055">
        <v>-296.00389999999999</v>
      </c>
      <c r="K4055">
        <v>1.1044320000000001</v>
      </c>
      <c r="L4055">
        <v>141.1936</v>
      </c>
      <c r="M4055">
        <v>-0.99977559999999999</v>
      </c>
      <c r="N4055">
        <v>0</v>
      </c>
      <c r="O4055">
        <v>-1.483979E-2</v>
      </c>
      <c r="P4055">
        <v>-0.99346919999999905</v>
      </c>
      <c r="Q4055">
        <v>4.79558E-2</v>
      </c>
      <c r="R4055">
        <v>-0.1035344</v>
      </c>
      <c r="S4055">
        <v>-3.0012819999999998</v>
      </c>
      <c r="T4055">
        <v>-0.120509899999999</v>
      </c>
      <c r="U4055">
        <v>-0.22901920000000001</v>
      </c>
      <c r="V4055">
        <v>-8.8826859999999994E-2</v>
      </c>
      <c r="W4055">
        <v>6.2925529999999993E-2</v>
      </c>
      <c r="X4055">
        <v>0.99405739999999998</v>
      </c>
      <c r="Y4055">
        <v>-6.1241919999999998E-2</v>
      </c>
      <c r="Z4055">
        <v>-6.3251699999999998E-4</v>
      </c>
      <c r="AA4055">
        <v>0.99812279999999998</v>
      </c>
      <c r="AB4055">
        <v>52</v>
      </c>
      <c r="AC4055">
        <v>-26.976800000000001</v>
      </c>
      <c r="AD4055">
        <v>-1.10443508472</v>
      </c>
      <c r="AE4055">
        <v>-2.0911000000000102</v>
      </c>
      <c r="AF4055">
        <v>-1.68768205952131</v>
      </c>
      <c r="AG4055">
        <v>-1.10443508472</v>
      </c>
      <c r="AH4055">
        <v>26.959946147078799</v>
      </c>
      <c r="AI4055">
        <v>92.341276532585695</v>
      </c>
      <c r="AJ4055">
        <v>93.582019248956797</v>
      </c>
      <c r="AK4055">
        <v>27.035287012417299</v>
      </c>
    </row>
    <row r="4056" spans="1:37" x14ac:dyDescent="0.2">
      <c r="A4056" t="str">
        <f>"20200111153731724"</f>
        <v>20200111153731724</v>
      </c>
      <c r="B4056" t="str">
        <f>"1578728251717302"</f>
        <v>1578728251717302</v>
      </c>
      <c r="C4056" t="s">
        <v>37</v>
      </c>
      <c r="D4056">
        <v>6.1545899999999998</v>
      </c>
      <c r="E4056">
        <v>0.50934950000000001</v>
      </c>
      <c r="F4056" t="s">
        <v>39</v>
      </c>
      <c r="G4056">
        <v>-324.25700000000001</v>
      </c>
      <c r="H4056" s="1">
        <v>-2.542759E-6</v>
      </c>
      <c r="I4056">
        <v>139.0712</v>
      </c>
      <c r="J4056">
        <v>-296.49549999999999</v>
      </c>
      <c r="K4056">
        <v>1.1044179999999999</v>
      </c>
      <c r="L4056">
        <v>141.18610000000001</v>
      </c>
      <c r="M4056">
        <v>-0.99977359999999904</v>
      </c>
      <c r="N4056">
        <v>0</v>
      </c>
      <c r="O4056">
        <v>-1.4971989999999999E-2</v>
      </c>
      <c r="P4056">
        <v>-0.99342870000000005</v>
      </c>
      <c r="Q4056">
        <v>5.0633999999999998E-2</v>
      </c>
      <c r="R4056">
        <v>-0.102643899999999</v>
      </c>
      <c r="S4056">
        <v>-3.0019230000000001</v>
      </c>
      <c r="T4056">
        <v>-0.1173478</v>
      </c>
      <c r="U4056">
        <v>-0.22549439999999901</v>
      </c>
      <c r="V4056">
        <v>-8.7802450000000004E-2</v>
      </c>
      <c r="W4056">
        <v>6.5607910000000005E-2</v>
      </c>
      <c r="X4056">
        <v>0.99397500000000005</v>
      </c>
      <c r="Y4056">
        <v>-5.9931459999999999E-2</v>
      </c>
      <c r="Z4056">
        <v>-5.8510319999999997E-4</v>
      </c>
      <c r="AA4056">
        <v>0.99820229999999999</v>
      </c>
      <c r="AB4056">
        <v>52</v>
      </c>
      <c r="AC4056">
        <v>-27.761500000000002</v>
      </c>
      <c r="AD4056">
        <v>-1.1044205427589999</v>
      </c>
      <c r="AE4056">
        <v>-2.1149</v>
      </c>
      <c r="AF4056">
        <v>-1.69630132999204</v>
      </c>
      <c r="AG4056">
        <v>-1.1044205427589999</v>
      </c>
      <c r="AH4056">
        <v>27.7463962052413</v>
      </c>
      <c r="AI4056">
        <v>92.2751607037724</v>
      </c>
      <c r="AJ4056">
        <v>93.498475628283003</v>
      </c>
      <c r="AK4056">
        <v>27.8201309363495</v>
      </c>
    </row>
    <row r="4057" spans="1:37" x14ac:dyDescent="0.2">
      <c r="A4057" t="str">
        <f>"20200111153731746"</f>
        <v>20200111153731746</v>
      </c>
      <c r="B4057" t="str">
        <f>"1578728251736821"</f>
        <v>1578728251736821</v>
      </c>
      <c r="C4057" t="s">
        <v>37</v>
      </c>
      <c r="D4057">
        <v>5.9005539999999996</v>
      </c>
      <c r="E4057">
        <v>0.50928589999999996</v>
      </c>
      <c r="F4057" t="s">
        <v>39</v>
      </c>
      <c r="G4057">
        <v>-327.04270000000002</v>
      </c>
      <c r="H4057" s="1">
        <v>-1.3751969999999999E-6</v>
      </c>
      <c r="I4057">
        <v>138.9162</v>
      </c>
      <c r="J4057">
        <v>-297.02460000000002</v>
      </c>
      <c r="K4057">
        <v>1.1044049999999901</v>
      </c>
      <c r="L4057">
        <v>141.1781</v>
      </c>
      <c r="M4057">
        <v>-0.99977159999999998</v>
      </c>
      <c r="N4057">
        <v>0</v>
      </c>
      <c r="O4057">
        <v>-1.510648E-2</v>
      </c>
      <c r="P4057">
        <v>-0.9933419</v>
      </c>
      <c r="Q4057">
        <v>5.357642E-2</v>
      </c>
      <c r="R4057">
        <v>-0.1019877</v>
      </c>
      <c r="S4057">
        <v>-3.002319</v>
      </c>
      <c r="T4057">
        <v>-0.1085478</v>
      </c>
      <c r="U4057">
        <v>-0.22309879999999899</v>
      </c>
      <c r="V4057">
        <v>-8.7011190000000002E-2</v>
      </c>
      <c r="W4057">
        <v>6.8551940000000006E-2</v>
      </c>
      <c r="X4057">
        <v>0.99384589999999995</v>
      </c>
      <c r="Y4057">
        <v>-5.9000850000000001E-2</v>
      </c>
      <c r="Z4057">
        <v>-5.1955220000000002E-4</v>
      </c>
      <c r="AA4057">
        <v>0.99825779999999997</v>
      </c>
      <c r="AB4057">
        <v>52</v>
      </c>
      <c r="AC4057">
        <v>-30.0181</v>
      </c>
      <c r="AD4057">
        <v>-1.1044063751969999</v>
      </c>
      <c r="AE4057">
        <v>-2.26189999999999</v>
      </c>
      <c r="AF4057">
        <v>-1.80569179146156</v>
      </c>
      <c r="AG4057">
        <v>-1.1044063751969999</v>
      </c>
      <c r="AH4057">
        <v>30.008456903484699</v>
      </c>
      <c r="AI4057">
        <v>92.103913094936701</v>
      </c>
      <c r="AJ4057">
        <v>93.443493394004605</v>
      </c>
      <c r="AK4057">
        <v>30.083013845285301</v>
      </c>
    </row>
    <row r="4058" spans="1:37" x14ac:dyDescent="0.2">
      <c r="A4058" t="str">
        <f>"20200111153731769"</f>
        <v>20200111153731769</v>
      </c>
      <c r="B4058" t="str">
        <f>"1578728251757317"</f>
        <v>1578728251757317</v>
      </c>
      <c r="C4058" t="s">
        <v>37</v>
      </c>
      <c r="D4058">
        <v>5.8458740000000002</v>
      </c>
      <c r="E4058">
        <v>0.50912679999999999</v>
      </c>
      <c r="F4058" t="s">
        <v>39</v>
      </c>
      <c r="G4058">
        <v>-330.84390000000002</v>
      </c>
      <c r="H4058" s="1">
        <v>-4.474864E-6</v>
      </c>
      <c r="I4058">
        <v>138.67930000000001</v>
      </c>
      <c r="J4058">
        <v>-297.52050000000003</v>
      </c>
      <c r="K4058">
        <v>1.1043959999999999</v>
      </c>
      <c r="L4058">
        <v>141.17060000000001</v>
      </c>
      <c r="M4058">
        <v>-0.99976989999999999</v>
      </c>
      <c r="N4058">
        <v>0</v>
      </c>
      <c r="O4058">
        <v>-1.5227020000000001E-2</v>
      </c>
      <c r="P4058">
        <v>-0.99333139999999998</v>
      </c>
      <c r="Q4058">
        <v>5.5788610000000002E-2</v>
      </c>
      <c r="R4058">
        <v>-0.100898</v>
      </c>
      <c r="S4058">
        <v>-3.0026250000000001</v>
      </c>
      <c r="T4058">
        <v>-9.8054409999999995E-2</v>
      </c>
      <c r="U4058">
        <v>-0.221862799999999</v>
      </c>
      <c r="V4058">
        <v>-8.5799790000000001E-2</v>
      </c>
      <c r="W4058">
        <v>7.0766209999999996E-2</v>
      </c>
      <c r="X4058">
        <v>0.99379609999999996</v>
      </c>
      <c r="Y4058">
        <v>-5.8469930000000003E-2</v>
      </c>
      <c r="Z4058">
        <v>-4.5673010000000001E-4</v>
      </c>
      <c r="AA4058">
        <v>0.99828899999999998</v>
      </c>
      <c r="AB4058">
        <v>52</v>
      </c>
      <c r="AC4058">
        <v>-33.3233999999999</v>
      </c>
      <c r="AD4058">
        <v>-1.1044004748639999</v>
      </c>
      <c r="AE4058">
        <v>-2.4912999999999901</v>
      </c>
      <c r="AF4058">
        <v>-1.9813728785862801</v>
      </c>
      <c r="AG4058">
        <v>-1.1044004748639999</v>
      </c>
      <c r="AH4058">
        <v>33.321079137657897</v>
      </c>
      <c r="AI4058">
        <v>91.894982999693894</v>
      </c>
      <c r="AJ4058">
        <v>93.402974569927196</v>
      </c>
      <c r="AK4058">
        <v>33.398201355626</v>
      </c>
    </row>
    <row r="4059" spans="1:37" x14ac:dyDescent="0.2">
      <c r="A4059" t="str">
        <f>"20200111153731790"</f>
        <v>20200111153731790</v>
      </c>
      <c r="B4059" t="str">
        <f>"1578728251776837"</f>
        <v>1578728251776837</v>
      </c>
      <c r="C4059" t="s">
        <v>37</v>
      </c>
      <c r="D4059">
        <v>6.2456509999999996</v>
      </c>
      <c r="E4059">
        <v>0.50890639999999998</v>
      </c>
      <c r="F4059" t="s">
        <v>39</v>
      </c>
      <c r="G4059">
        <v>-333.2423</v>
      </c>
      <c r="H4059" s="1">
        <v>-3.3631619999999899E-6</v>
      </c>
      <c r="I4059">
        <v>138.5548</v>
      </c>
      <c r="J4059">
        <v>-298.01749999999998</v>
      </c>
      <c r="K4059">
        <v>1.1043879999999999</v>
      </c>
      <c r="L4059">
        <v>141.16290000000001</v>
      </c>
      <c r="M4059">
        <v>-0.999768199999999</v>
      </c>
      <c r="N4059">
        <v>0</v>
      </c>
      <c r="O4059">
        <v>-1.534262E-2</v>
      </c>
      <c r="P4059">
        <v>-0.993328199999999</v>
      </c>
      <c r="Q4059">
        <v>5.7300499999999997E-2</v>
      </c>
      <c r="R4059">
        <v>-0.1000793</v>
      </c>
      <c r="S4059">
        <v>-3.0030209999999999</v>
      </c>
      <c r="T4059">
        <v>-9.2843289999999995E-2</v>
      </c>
      <c r="U4059">
        <v>-0.21989439999999999</v>
      </c>
      <c r="V4059">
        <v>-8.4863610000000006E-2</v>
      </c>
      <c r="W4059">
        <v>7.2279599999999999E-2</v>
      </c>
      <c r="X4059">
        <v>0.99376749999999903</v>
      </c>
      <c r="Y4059">
        <v>-5.7696749999999998E-2</v>
      </c>
      <c r="Z4059">
        <v>-4.1692120000000002E-4</v>
      </c>
      <c r="AA4059">
        <v>0.9983341</v>
      </c>
      <c r="AB4059">
        <v>52</v>
      </c>
      <c r="AC4059">
        <v>-35.224800000000002</v>
      </c>
      <c r="AD4059">
        <v>-1.1043913631619999</v>
      </c>
      <c r="AE4059">
        <v>-2.6080999999999999</v>
      </c>
      <c r="AF4059">
        <v>-2.0652714897884001</v>
      </c>
      <c r="AG4059">
        <v>-1.1043913631619999</v>
      </c>
      <c r="AH4059">
        <v>35.226234347268502</v>
      </c>
      <c r="AI4059">
        <v>91.792637771703397</v>
      </c>
      <c r="AJ4059">
        <v>93.355341255093293</v>
      </c>
      <c r="AK4059">
        <v>35.304002788610802</v>
      </c>
    </row>
    <row r="4060" spans="1:37" x14ac:dyDescent="0.2">
      <c r="A4060" t="str">
        <f>"20200111153731813"</f>
        <v>20200111153731813</v>
      </c>
      <c r="B4060" t="str">
        <f>"1578728251807093"</f>
        <v>1578728251807093</v>
      </c>
      <c r="C4060" t="s">
        <v>37</v>
      </c>
      <c r="D4060">
        <v>6.0404629999999999</v>
      </c>
      <c r="E4060">
        <v>0.55405340000000003</v>
      </c>
      <c r="F4060" t="s">
        <v>39</v>
      </c>
      <c r="G4060">
        <v>-335.11369999999999</v>
      </c>
      <c r="H4060" s="1">
        <v>-2.495666E-6</v>
      </c>
      <c r="I4060">
        <v>138.45840000000001</v>
      </c>
      <c r="J4060">
        <v>-298.54930000000002</v>
      </c>
      <c r="K4060">
        <v>1.104376</v>
      </c>
      <c r="L4060">
        <v>141.15469999999999</v>
      </c>
      <c r="M4060">
        <v>-0.9997665</v>
      </c>
      <c r="N4060">
        <v>0</v>
      </c>
      <c r="O4060">
        <v>-1.546029E-2</v>
      </c>
      <c r="P4060">
        <v>-0.99338499999999996</v>
      </c>
      <c r="Q4060">
        <v>5.8297950000000001E-2</v>
      </c>
      <c r="R4060">
        <v>-9.8934110000000006E-2</v>
      </c>
      <c r="S4060">
        <v>-3.0032040000000002</v>
      </c>
      <c r="T4060">
        <v>-8.9408399999999999E-2</v>
      </c>
      <c r="U4060">
        <v>-0.21894839999999999</v>
      </c>
      <c r="V4060">
        <v>-8.3597909999999997E-2</v>
      </c>
      <c r="W4060">
        <v>7.3278319999999994E-2</v>
      </c>
      <c r="X4060">
        <v>0.99380170000000001</v>
      </c>
      <c r="Y4060">
        <v>-5.7263710000000002E-2</v>
      </c>
      <c r="Z4060">
        <v>-3.91550699999999E-4</v>
      </c>
      <c r="AA4060">
        <v>0.998359</v>
      </c>
      <c r="AB4060">
        <v>52</v>
      </c>
      <c r="AC4060">
        <v>-36.5643999999999</v>
      </c>
      <c r="AD4060">
        <v>-1.1043784956660001</v>
      </c>
      <c r="AE4060">
        <v>-2.6962999999999702</v>
      </c>
      <c r="AF4060">
        <v>-2.1286855967318701</v>
      </c>
      <c r="AG4060">
        <v>-1.1043784956660001</v>
      </c>
      <c r="AH4060">
        <v>36.568539631957201</v>
      </c>
      <c r="AI4060">
        <v>91.726898693799697</v>
      </c>
      <c r="AJ4060">
        <v>93.331476236158096</v>
      </c>
      <c r="AK4060">
        <v>36.647087811249698</v>
      </c>
    </row>
    <row r="4061" spans="1:37" x14ac:dyDescent="0.2">
      <c r="A4061" t="str">
        <f>"20200111153731836"</f>
        <v>20200111153731836</v>
      </c>
      <c r="B4061" t="str">
        <f>"1578728251827588"</f>
        <v>1578728251827588</v>
      </c>
      <c r="C4061" t="s">
        <v>37</v>
      </c>
      <c r="D4061">
        <v>5.9449430000000003</v>
      </c>
      <c r="E4061">
        <v>0.55613959999999996</v>
      </c>
      <c r="F4061" t="s">
        <v>38</v>
      </c>
      <c r="G4061">
        <v>-299.4282</v>
      </c>
      <c r="H4061">
        <v>1.047625</v>
      </c>
      <c r="I4061">
        <v>141.19749999999999</v>
      </c>
      <c r="J4061">
        <v>-299.08249999999998</v>
      </c>
      <c r="K4061">
        <v>1.1043719999999999</v>
      </c>
      <c r="L4061">
        <v>141.1463</v>
      </c>
      <c r="M4061">
        <v>-0.99976489999999996</v>
      </c>
      <c r="N4061">
        <v>0</v>
      </c>
      <c r="O4061">
        <v>-1.556891E-2</v>
      </c>
      <c r="P4061">
        <v>-0.99339249999999901</v>
      </c>
      <c r="Q4061">
        <v>5.9288099999999899E-2</v>
      </c>
      <c r="R4061">
        <v>-9.8268430000000004E-2</v>
      </c>
      <c r="S4061">
        <v>-3.0462340000000001</v>
      </c>
      <c r="T4061">
        <v>-0.196795</v>
      </c>
      <c r="U4061">
        <v>0.14793399999999901</v>
      </c>
      <c r="V4061">
        <v>-8.2822220000000002E-2</v>
      </c>
      <c r="W4061">
        <v>7.4268870000000001E-2</v>
      </c>
      <c r="X4061">
        <v>0.99379309999999998</v>
      </c>
      <c r="Y4061">
        <v>6.3886940000000003E-2</v>
      </c>
      <c r="Z4061">
        <v>3.0646109999999901E-3</v>
      </c>
      <c r="AA4061">
        <v>0.99795249999999902</v>
      </c>
      <c r="AB4061">
        <v>51</v>
      </c>
      <c r="AC4061">
        <v>-0.34570000000002199</v>
      </c>
      <c r="AD4061">
        <v>-5.6746999999999798E-2</v>
      </c>
      <c r="AE4061">
        <v>5.1199999999994299E-2</v>
      </c>
      <c r="AF4061">
        <v>5.5123136464229297E-2</v>
      </c>
      <c r="AG4061">
        <v>-5.6746999999999798E-2</v>
      </c>
      <c r="AH4061">
        <v>0.33600146023014199</v>
      </c>
      <c r="AI4061">
        <v>99.462019705001893</v>
      </c>
      <c r="AJ4061">
        <v>80.683263157765396</v>
      </c>
      <c r="AK4061">
        <v>0.34518946023805802</v>
      </c>
    </row>
    <row r="4062" spans="1:37" x14ac:dyDescent="0.2">
      <c r="A4062" t="str">
        <f>"20200111153731857"</f>
        <v>20200111153731857</v>
      </c>
      <c r="B4062" t="str">
        <f>"1578728251847112"</f>
        <v>1578728251847112</v>
      </c>
      <c r="C4062" t="s">
        <v>37</v>
      </c>
      <c r="D4062">
        <v>5.9648490000000001</v>
      </c>
      <c r="E4062">
        <v>0.556181699999999</v>
      </c>
      <c r="F4062" t="s">
        <v>38</v>
      </c>
      <c r="G4062">
        <v>-299.89980000000003</v>
      </c>
      <c r="H4062">
        <v>1.0516479999999999</v>
      </c>
      <c r="I4062">
        <v>141.19130000000001</v>
      </c>
      <c r="J4062">
        <v>-299.56720000000001</v>
      </c>
      <c r="K4062">
        <v>1.1043689999999999</v>
      </c>
      <c r="L4062">
        <v>141.1387</v>
      </c>
      <c r="M4062">
        <v>-0.99976350000000003</v>
      </c>
      <c r="N4062">
        <v>0</v>
      </c>
      <c r="O4062">
        <v>-1.5656570000000002E-2</v>
      </c>
      <c r="P4062">
        <v>-0.99336019999999903</v>
      </c>
      <c r="Q4062">
        <v>6.0912870000000001E-2</v>
      </c>
      <c r="R4062">
        <v>-9.7598829999999998E-2</v>
      </c>
      <c r="S4062">
        <v>-3.048187</v>
      </c>
      <c r="T4062">
        <v>-0.19665260000000001</v>
      </c>
      <c r="U4062">
        <v>0.16711429999999999</v>
      </c>
      <c r="V4062">
        <v>-8.2063410000000003E-2</v>
      </c>
      <c r="W4062">
        <v>7.5893619999999995E-2</v>
      </c>
      <c r="X4062">
        <v>0.99373319999999998</v>
      </c>
      <c r="Y4062">
        <v>7.0192130000000005E-2</v>
      </c>
      <c r="Z4062">
        <v>3.268632E-3</v>
      </c>
      <c r="AA4062">
        <v>0.99752809999999903</v>
      </c>
      <c r="AB4062">
        <v>51</v>
      </c>
      <c r="AC4062">
        <v>-0.332600000000013</v>
      </c>
      <c r="AD4062">
        <v>-5.2721000000000198E-2</v>
      </c>
      <c r="AE4062">
        <v>5.2600000000012401E-2</v>
      </c>
      <c r="AF4062">
        <v>5.6418538766975203E-2</v>
      </c>
      <c r="AG4062">
        <v>-5.2721000000000198E-2</v>
      </c>
      <c r="AH4062">
        <v>0.32379836315768601</v>
      </c>
      <c r="AI4062">
        <v>99.112833033791404</v>
      </c>
      <c r="AJ4062">
        <v>80.116025916402705</v>
      </c>
      <c r="AK4062">
        <v>0.33287825903954399</v>
      </c>
    </row>
    <row r="4063" spans="1:37" x14ac:dyDescent="0.2">
      <c r="A4063" t="str">
        <f>"20200111153731879"</f>
        <v>20200111153731879</v>
      </c>
      <c r="B4063" t="str">
        <f>"1578728251866629"</f>
        <v>1578728251866629</v>
      </c>
      <c r="C4063" t="s">
        <v>37</v>
      </c>
      <c r="D4063">
        <v>5.9592900000000002</v>
      </c>
      <c r="E4063">
        <v>0.55613330000000005</v>
      </c>
      <c r="F4063" t="s">
        <v>51</v>
      </c>
      <c r="G4063">
        <v>-317.48160000000001</v>
      </c>
      <c r="H4063" s="1">
        <v>-7.14995E-6</v>
      </c>
      <c r="I4063">
        <v>142.13509999999999</v>
      </c>
      <c r="J4063">
        <v>-300.0675</v>
      </c>
      <c r="K4063">
        <v>1.1043540000000001</v>
      </c>
      <c r="L4063">
        <v>141.1309</v>
      </c>
      <c r="M4063">
        <v>-0.99976219999999905</v>
      </c>
      <c r="N4063">
        <v>0</v>
      </c>
      <c r="O4063">
        <v>-1.573225E-2</v>
      </c>
      <c r="P4063">
        <v>-0.99337240000000004</v>
      </c>
      <c r="Q4063">
        <v>6.2035729999999997E-2</v>
      </c>
      <c r="R4063">
        <v>-9.6762139999999996E-2</v>
      </c>
      <c r="S4063">
        <v>-3.0482480000000001</v>
      </c>
      <c r="T4063">
        <v>-0.18791679999999999</v>
      </c>
      <c r="U4063">
        <v>0.16954040000000001</v>
      </c>
      <c r="V4063">
        <v>-8.114797E-2</v>
      </c>
      <c r="W4063">
        <v>7.7017550000000004E-2</v>
      </c>
      <c r="X4063">
        <v>0.993721999999999</v>
      </c>
      <c r="Y4063">
        <v>7.1071709999999996E-2</v>
      </c>
      <c r="Z4063">
        <v>3.1553059999999901E-3</v>
      </c>
      <c r="AA4063">
        <v>0.99746619999999997</v>
      </c>
      <c r="AB4063">
        <v>51</v>
      </c>
      <c r="AC4063">
        <v>-17.414100000000001</v>
      </c>
      <c r="AD4063">
        <v>-1.1043611499499999</v>
      </c>
      <c r="AE4063">
        <v>1.00419999999999</v>
      </c>
      <c r="AF4063">
        <v>1.2729672615543099</v>
      </c>
      <c r="AG4063">
        <v>-1.1043611499499999</v>
      </c>
      <c r="AH4063">
        <v>17.3266907414881</v>
      </c>
      <c r="AI4063">
        <v>93.637184026195499</v>
      </c>
      <c r="AJ4063">
        <v>85.798110014159406</v>
      </c>
      <c r="AK4063">
        <v>17.408454016645901</v>
      </c>
    </row>
    <row r="4064" spans="1:37" x14ac:dyDescent="0.2">
      <c r="A4064" t="str">
        <f>"20200111153731902"</f>
        <v>20200111153731902</v>
      </c>
      <c r="B4064" t="str">
        <f>"1578728251896885"</f>
        <v>1578728251896885</v>
      </c>
      <c r="C4064" t="s">
        <v>37</v>
      </c>
      <c r="D4064">
        <v>5.9451400000000003</v>
      </c>
      <c r="E4064">
        <v>0.55606519999999904</v>
      </c>
      <c r="F4064" t="s">
        <v>51</v>
      </c>
      <c r="G4064">
        <v>-318.46370000000002</v>
      </c>
      <c r="H4064" s="1">
        <v>-6.722898E-6</v>
      </c>
      <c r="I4064">
        <v>142.1671</v>
      </c>
      <c r="J4064">
        <v>-300.58710000000002</v>
      </c>
      <c r="K4064">
        <v>1.1043270000000001</v>
      </c>
      <c r="L4064">
        <v>141.12260000000001</v>
      </c>
      <c r="M4064">
        <v>-0.99976129999999996</v>
      </c>
      <c r="N4064">
        <v>0</v>
      </c>
      <c r="O4064">
        <v>-1.579202E-2</v>
      </c>
      <c r="P4064">
        <v>-0.99337759999999997</v>
      </c>
      <c r="Q4064">
        <v>6.1857370000000002E-2</v>
      </c>
      <c r="R4064">
        <v>-9.6823129999999993E-2</v>
      </c>
      <c r="S4064">
        <v>-3.0481569999999998</v>
      </c>
      <c r="T4064">
        <v>-0.18298719999999999</v>
      </c>
      <c r="U4064">
        <v>0.1717072</v>
      </c>
      <c r="V4064">
        <v>-8.1145289999999995E-2</v>
      </c>
      <c r="W4064">
        <v>7.6840710000000007E-2</v>
      </c>
      <c r="X4064">
        <v>0.99373579999999995</v>
      </c>
      <c r="Y4064">
        <v>7.1846809999999997E-2</v>
      </c>
      <c r="Z4064">
        <v>3.09952599999999E-3</v>
      </c>
      <c r="AA4064">
        <v>0.99741080000000004</v>
      </c>
      <c r="AB4064">
        <v>51</v>
      </c>
      <c r="AC4064">
        <v>-17.8765999999999</v>
      </c>
      <c r="AD4064">
        <v>-1.1043337228979999</v>
      </c>
      <c r="AE4064">
        <v>1.04449999999999</v>
      </c>
      <c r="AF4064">
        <v>1.3216828839319399</v>
      </c>
      <c r="AG4064">
        <v>-1.1043337228979999</v>
      </c>
      <c r="AH4064">
        <v>17.790213620306499</v>
      </c>
      <c r="AI4064">
        <v>93.542360263218896</v>
      </c>
      <c r="AJ4064">
        <v>85.751147798259197</v>
      </c>
      <c r="AK4064">
        <v>17.873390816332201</v>
      </c>
    </row>
    <row r="4065" spans="1:37" x14ac:dyDescent="0.2">
      <c r="A4065" t="str">
        <f>"20200111153731925"</f>
        <v>20200111153731925</v>
      </c>
      <c r="B4065" t="str">
        <f>"1578728251917384"</f>
        <v>1578728251917384</v>
      </c>
      <c r="C4065" t="s">
        <v>37</v>
      </c>
      <c r="D4065">
        <v>5.9357179999999996</v>
      </c>
      <c r="E4065">
        <v>0.55594909999999997</v>
      </c>
      <c r="F4065" t="s">
        <v>38</v>
      </c>
      <c r="G4065">
        <v>-301.71460000000002</v>
      </c>
      <c r="H4065">
        <v>1.036027</v>
      </c>
      <c r="I4065">
        <v>141.18620000000001</v>
      </c>
      <c r="J4065">
        <v>-301.11259999999999</v>
      </c>
      <c r="K4065">
        <v>1.104298</v>
      </c>
      <c r="L4065">
        <v>141.11429999999999</v>
      </c>
      <c r="M4065">
        <v>-0.99976080000000001</v>
      </c>
      <c r="N4065">
        <v>0</v>
      </c>
      <c r="O4065">
        <v>-1.5836639999999999E-2</v>
      </c>
      <c r="P4065">
        <v>-0.9934347</v>
      </c>
      <c r="Q4065">
        <v>6.0688289999999999E-2</v>
      </c>
      <c r="R4065">
        <v>-9.6977560000000004E-2</v>
      </c>
      <c r="S4065">
        <v>-3.048187</v>
      </c>
      <c r="T4065">
        <v>-0.18475999999999901</v>
      </c>
      <c r="U4065">
        <v>0.17102049999999999</v>
      </c>
      <c r="V4065">
        <v>-8.1250180000000005E-2</v>
      </c>
      <c r="W4065">
        <v>7.5673959999999998E-2</v>
      </c>
      <c r="X4065">
        <v>0.99381679999999994</v>
      </c>
      <c r="Y4065">
        <v>7.1663980000000002E-2</v>
      </c>
      <c r="Z4065">
        <v>3.126658E-3</v>
      </c>
      <c r="AA4065">
        <v>0.99742389999999903</v>
      </c>
      <c r="AB4065">
        <v>51</v>
      </c>
      <c r="AC4065">
        <v>-0.60200000000003195</v>
      </c>
      <c r="AD4065">
        <v>-6.8270999999999901E-2</v>
      </c>
      <c r="AE4065">
        <v>7.1900000000027803E-2</v>
      </c>
      <c r="AF4065">
        <v>8.0406152253956101E-2</v>
      </c>
      <c r="AG4065">
        <v>-6.8270999999999901E-2</v>
      </c>
      <c r="AH4065">
        <v>0.59326297398794503</v>
      </c>
      <c r="AI4065">
        <v>96.505596148160294</v>
      </c>
      <c r="AJ4065">
        <v>82.281615262694004</v>
      </c>
      <c r="AK4065">
        <v>0.602567037819285</v>
      </c>
    </row>
    <row r="4066" spans="1:37" x14ac:dyDescent="0.2">
      <c r="A4066" t="str">
        <f>"20200111153731946"</f>
        <v>20200111153731946</v>
      </c>
      <c r="B4066" t="str">
        <f>"1578728251936904"</f>
        <v>1578728251936904</v>
      </c>
      <c r="C4066" t="s">
        <v>37</v>
      </c>
      <c r="D4066">
        <v>5.979298</v>
      </c>
      <c r="E4066">
        <v>0.55606460000000002</v>
      </c>
      <c r="F4066" t="s">
        <v>38</v>
      </c>
      <c r="G4066">
        <v>-302.17380000000003</v>
      </c>
      <c r="H4066">
        <v>1.0389740000000001</v>
      </c>
      <c r="I4066">
        <v>141.17349999999999</v>
      </c>
      <c r="J4066">
        <v>-301.61829999999998</v>
      </c>
      <c r="K4066">
        <v>1.104274</v>
      </c>
      <c r="L4066">
        <v>141.1063</v>
      </c>
      <c r="M4066">
        <v>-0.99976039999999899</v>
      </c>
      <c r="N4066">
        <v>0</v>
      </c>
      <c r="O4066">
        <v>-1.586742E-2</v>
      </c>
      <c r="P4066">
        <v>-0.99342640000000004</v>
      </c>
      <c r="Q4066">
        <v>6.0207629999999998E-2</v>
      </c>
      <c r="R4066">
        <v>-9.7361909999999996E-2</v>
      </c>
      <c r="S4066">
        <v>-3.0478209999999999</v>
      </c>
      <c r="T4066">
        <v>-0.18764700000000001</v>
      </c>
      <c r="U4066">
        <v>0.16967769999999999</v>
      </c>
      <c r="V4066">
        <v>-8.1600569999999997E-2</v>
      </c>
      <c r="W4066">
        <v>7.5183730000000004E-2</v>
      </c>
      <c r="X4066">
        <v>0.99382530000000002</v>
      </c>
      <c r="Y4066">
        <v>7.1258920000000003E-2</v>
      </c>
      <c r="Z4066">
        <v>3.165284E-3</v>
      </c>
      <c r="AA4066">
        <v>0.99745289999999998</v>
      </c>
      <c r="AB4066">
        <v>51</v>
      </c>
      <c r="AC4066">
        <v>-0.55550000000005095</v>
      </c>
      <c r="AD4066">
        <v>-6.52999999999999E-2</v>
      </c>
      <c r="AE4066">
        <v>6.7199999999985494E-2</v>
      </c>
      <c r="AF4066">
        <v>7.4985654082773107E-2</v>
      </c>
      <c r="AG4066">
        <v>-6.52999999999999E-2</v>
      </c>
      <c r="AH4066">
        <v>0.54691514002161101</v>
      </c>
      <c r="AI4066">
        <v>96.746186195727603</v>
      </c>
      <c r="AJ4066">
        <v>82.193048766026905</v>
      </c>
      <c r="AK4066">
        <v>0.55588048059189799</v>
      </c>
    </row>
    <row r="4067" spans="1:37" x14ac:dyDescent="0.2">
      <c r="A4067" t="str">
        <f>"20200111153731969"</f>
        <v>20200111153731969</v>
      </c>
      <c r="B4067" t="str">
        <f>"1578728251957400"</f>
        <v>1578728251957400</v>
      </c>
      <c r="C4067" t="s">
        <v>37</v>
      </c>
      <c r="D4067">
        <v>5.9808789999999998</v>
      </c>
      <c r="E4067">
        <v>0.55594370000000004</v>
      </c>
      <c r="F4067" t="s">
        <v>38</v>
      </c>
      <c r="G4067">
        <v>-302.63240000000002</v>
      </c>
      <c r="H4067">
        <v>1.041142</v>
      </c>
      <c r="I4067">
        <v>141.1628</v>
      </c>
      <c r="J4067">
        <v>-302.1114</v>
      </c>
      <c r="K4067">
        <v>1.1042479999999999</v>
      </c>
      <c r="L4067">
        <v>141.0984</v>
      </c>
      <c r="M4067">
        <v>-0.99976100000000001</v>
      </c>
      <c r="N4067">
        <v>0</v>
      </c>
      <c r="O4067">
        <v>-1.5887809999999999E-2</v>
      </c>
      <c r="P4067">
        <v>-0.99340419999999996</v>
      </c>
      <c r="Q4067">
        <v>6.0565199999999902E-2</v>
      </c>
      <c r="R4067">
        <v>-9.7366789999999995E-2</v>
      </c>
      <c r="S4067">
        <v>-3.047882</v>
      </c>
      <c r="T4067">
        <v>-0.18982170000000001</v>
      </c>
      <c r="U4067">
        <v>0.1692505</v>
      </c>
      <c r="V4067">
        <v>-8.1582580000000002E-2</v>
      </c>
      <c r="W4067">
        <v>7.5489459999999994E-2</v>
      </c>
      <c r="X4067">
        <v>0.99380360000000001</v>
      </c>
      <c r="Y4067">
        <v>7.1135130000000005E-2</v>
      </c>
      <c r="Z4067">
        <v>3.1992650000000002E-3</v>
      </c>
      <c r="AA4067">
        <v>0.99746159999999995</v>
      </c>
      <c r="AB4067">
        <v>51</v>
      </c>
      <c r="AC4067">
        <v>-0.52100000000001501</v>
      </c>
      <c r="AD4067">
        <v>-6.3105999999999801E-2</v>
      </c>
      <c r="AE4067">
        <v>6.4400000000006202E-2</v>
      </c>
      <c r="AF4067">
        <v>7.1635193640995007E-2</v>
      </c>
      <c r="AG4067">
        <v>-6.3105999999999801E-2</v>
      </c>
      <c r="AH4067">
        <v>0.51250502235265805</v>
      </c>
      <c r="AI4067">
        <v>96.952718029334306</v>
      </c>
      <c r="AJ4067">
        <v>82.043055205830996</v>
      </c>
      <c r="AK4067">
        <v>0.52132079005222998</v>
      </c>
    </row>
    <row r="4068" spans="1:37" x14ac:dyDescent="0.2">
      <c r="A4068" t="str">
        <f>"20200111153731991"</f>
        <v>20200111153731991</v>
      </c>
      <c r="B4068" t="str">
        <f>"1578728251976917"</f>
        <v>1578728251976917</v>
      </c>
      <c r="C4068" t="s">
        <v>37</v>
      </c>
      <c r="D4068">
        <v>5.9770919999999998</v>
      </c>
      <c r="E4068">
        <v>0.55577619999999905</v>
      </c>
      <c r="F4068" t="s">
        <v>38</v>
      </c>
      <c r="G4068">
        <v>-303.0908</v>
      </c>
      <c r="H4068">
        <v>1.0431469999999901</v>
      </c>
      <c r="I4068">
        <v>141.1525</v>
      </c>
      <c r="J4068">
        <v>-302.62369999999999</v>
      </c>
      <c r="K4068">
        <v>1.104203</v>
      </c>
      <c r="L4068">
        <v>141.09030000000001</v>
      </c>
      <c r="M4068">
        <v>-0.9997625</v>
      </c>
      <c r="N4068">
        <v>0</v>
      </c>
      <c r="O4068">
        <v>-1.5897069999999999E-2</v>
      </c>
      <c r="P4068">
        <v>-0.99341309999999905</v>
      </c>
      <c r="Q4068">
        <v>6.027358E-2</v>
      </c>
      <c r="R4068">
        <v>-9.7457050000000003E-2</v>
      </c>
      <c r="S4068">
        <v>-3.0480040000000002</v>
      </c>
      <c r="T4068">
        <v>-0.19019320000000001</v>
      </c>
      <c r="U4068">
        <v>0.16784669999999999</v>
      </c>
      <c r="V4068">
        <v>-8.1660869999999997E-2</v>
      </c>
      <c r="W4068">
        <v>7.5089110000000001E-2</v>
      </c>
      <c r="X4068">
        <v>0.99382749999999997</v>
      </c>
      <c r="Y4068">
        <v>7.0684339999999998E-2</v>
      </c>
      <c r="Z4068">
        <v>3.1919600000000002E-3</v>
      </c>
      <c r="AA4068">
        <v>0.99749359999999998</v>
      </c>
      <c r="AB4068">
        <v>51</v>
      </c>
      <c r="AC4068">
        <v>-0.467100000000016</v>
      </c>
      <c r="AD4068">
        <v>-6.10560000000002E-2</v>
      </c>
      <c r="AE4068">
        <v>6.2199999999989999E-2</v>
      </c>
      <c r="AF4068">
        <v>6.8469015097689198E-2</v>
      </c>
      <c r="AG4068">
        <v>-6.10560000000002E-2</v>
      </c>
      <c r="AH4068">
        <v>0.45835707492852301</v>
      </c>
      <c r="AI4068">
        <v>97.505176877253604</v>
      </c>
      <c r="AJ4068">
        <v>81.504023841202596</v>
      </c>
      <c r="AK4068">
        <v>0.46744737597025798</v>
      </c>
    </row>
    <row r="4069" spans="1:37" x14ac:dyDescent="0.2">
      <c r="A4069" t="str">
        <f>"20200111153732014"</f>
        <v>20200111153732014</v>
      </c>
      <c r="B4069" t="str">
        <f>"1578728252007173"</f>
        <v>1578728252007173</v>
      </c>
      <c r="C4069" t="s">
        <v>37</v>
      </c>
      <c r="D4069">
        <v>5.9248320000000003</v>
      </c>
      <c r="E4069">
        <v>0.55562590000000001</v>
      </c>
      <c r="F4069" t="s">
        <v>38</v>
      </c>
      <c r="G4069">
        <v>-303.55070000000001</v>
      </c>
      <c r="H4069">
        <v>1.04592</v>
      </c>
      <c r="I4069">
        <v>141.14099999999999</v>
      </c>
      <c r="J4069">
        <v>-303.18020000000001</v>
      </c>
      <c r="K4069">
        <v>1.10415</v>
      </c>
      <c r="L4069">
        <v>141.0814</v>
      </c>
      <c r="M4069">
        <v>-0.99976520000000002</v>
      </c>
      <c r="N4069">
        <v>0</v>
      </c>
      <c r="O4069">
        <v>-1.5893310000000001E-2</v>
      </c>
      <c r="P4069">
        <v>-0.9934674</v>
      </c>
      <c r="Q4069">
        <v>5.971655E-2</v>
      </c>
      <c r="R4069">
        <v>-9.7246230000000003E-2</v>
      </c>
      <c r="S4069">
        <v>-3.0478209999999999</v>
      </c>
      <c r="T4069">
        <v>-0.19170699999999999</v>
      </c>
      <c r="U4069">
        <v>0.1661377</v>
      </c>
      <c r="V4069">
        <v>-8.1451129999999997E-2</v>
      </c>
      <c r="W4069">
        <v>7.4360640000000006E-2</v>
      </c>
      <c r="X4069">
        <v>0.99389950000000005</v>
      </c>
      <c r="Y4069">
        <v>7.0124580000000006E-2</v>
      </c>
      <c r="Z4069">
        <v>3.1997449999999999E-3</v>
      </c>
      <c r="AA4069">
        <v>0.99753309999999995</v>
      </c>
      <c r="AB4069">
        <v>51</v>
      </c>
      <c r="AC4069">
        <v>-0.370499999999992</v>
      </c>
      <c r="AD4069">
        <v>-5.8229999999999699E-2</v>
      </c>
      <c r="AE4069">
        <v>5.9599999999989002E-2</v>
      </c>
      <c r="AF4069">
        <v>6.3941980728357203E-2</v>
      </c>
      <c r="AG4069">
        <v>-5.8229999999999699E-2</v>
      </c>
      <c r="AH4069">
        <v>0.36081804436427201</v>
      </c>
      <c r="AI4069">
        <v>99.029224720119203</v>
      </c>
      <c r="AJ4069">
        <v>79.950721850194</v>
      </c>
      <c r="AK4069">
        <v>0.37103769476742299</v>
      </c>
    </row>
    <row r="4070" spans="1:37" x14ac:dyDescent="0.2">
      <c r="A4070" t="str">
        <f>"20200111153732036"</f>
        <v>20200111153732036</v>
      </c>
      <c r="B4070" t="str">
        <f>"1578728252026696"</f>
        <v>1578728252026696</v>
      </c>
      <c r="C4070" t="s">
        <v>37</v>
      </c>
      <c r="D4070">
        <v>5.9221209999999997</v>
      </c>
      <c r="E4070">
        <v>0.55556269999999996</v>
      </c>
      <c r="F4070" t="s">
        <v>38</v>
      </c>
      <c r="G4070">
        <v>-304.01609999999999</v>
      </c>
      <c r="H4070">
        <v>1.0516319999999999</v>
      </c>
      <c r="I4070">
        <v>141.12710000000001</v>
      </c>
      <c r="J4070">
        <v>-303.661</v>
      </c>
      <c r="K4070">
        <v>1.1041030000000001</v>
      </c>
      <c r="L4070">
        <v>141.07380000000001</v>
      </c>
      <c r="M4070">
        <v>-0.99976810000000005</v>
      </c>
      <c r="N4070">
        <v>0</v>
      </c>
      <c r="O4070">
        <v>-1.588819E-2</v>
      </c>
      <c r="P4070">
        <v>-0.99353409999999998</v>
      </c>
      <c r="Q4070">
        <v>5.8890310000000001E-2</v>
      </c>
      <c r="R4070">
        <v>-9.7066699999999895E-2</v>
      </c>
      <c r="S4070">
        <v>-3.0474239999999999</v>
      </c>
      <c r="T4070">
        <v>-0.1915684</v>
      </c>
      <c r="U4070">
        <v>0.1655121</v>
      </c>
      <c r="V4070">
        <v>-8.1273849999999995E-2</v>
      </c>
      <c r="W4070">
        <v>7.3345850000000004E-2</v>
      </c>
      <c r="X4070">
        <v>0.99398940000000002</v>
      </c>
      <c r="Y4070">
        <v>6.9922910000000005E-2</v>
      </c>
      <c r="Z4070">
        <v>3.1912149999999999E-3</v>
      </c>
      <c r="AA4070">
        <v>0.99754730000000003</v>
      </c>
      <c r="AB4070">
        <v>51</v>
      </c>
      <c r="AC4070">
        <v>-0.35509999999999298</v>
      </c>
      <c r="AD4070">
        <v>-5.2471000000000101E-2</v>
      </c>
      <c r="AE4070">
        <v>5.3300000000007203E-2</v>
      </c>
      <c r="AF4070">
        <v>5.7703610776608599E-2</v>
      </c>
      <c r="AG4070">
        <v>-5.2471000000000101E-2</v>
      </c>
      <c r="AH4070">
        <v>0.34680291173352601</v>
      </c>
      <c r="AI4070">
        <v>98.4885866599883</v>
      </c>
      <c r="AJ4070">
        <v>80.553250705264901</v>
      </c>
      <c r="AK4070">
        <v>0.35546472697654502</v>
      </c>
    </row>
    <row r="4071" spans="1:37" x14ac:dyDescent="0.2">
      <c r="A4071" t="str">
        <f>"20200111153732057"</f>
        <v>20200111153732057</v>
      </c>
      <c r="B4071" t="str">
        <f>"1578728252047189"</f>
        <v>1578728252047189</v>
      </c>
      <c r="C4071" t="s">
        <v>37</v>
      </c>
      <c r="D4071">
        <v>5.9271459999999996</v>
      </c>
      <c r="E4071">
        <v>0.55554040000000005</v>
      </c>
      <c r="F4071" t="s">
        <v>39</v>
      </c>
      <c r="G4071">
        <v>-321.0675</v>
      </c>
      <c r="H4071" s="1">
        <v>-4.3391639999999997E-6</v>
      </c>
      <c r="I4071">
        <v>142.02019999999999</v>
      </c>
      <c r="J4071">
        <v>-304.15660000000003</v>
      </c>
      <c r="K4071">
        <v>1.1040479999999999</v>
      </c>
      <c r="L4071">
        <v>141.0659</v>
      </c>
      <c r="M4071">
        <v>-0.99977150000000004</v>
      </c>
      <c r="N4071">
        <v>0</v>
      </c>
      <c r="O4071">
        <v>-1.5886540000000001E-2</v>
      </c>
      <c r="P4071">
        <v>-0.99359900000000001</v>
      </c>
      <c r="Q4071">
        <v>5.9127649999999997E-2</v>
      </c>
      <c r="R4071">
        <v>-9.6255469999999996E-2</v>
      </c>
      <c r="S4071">
        <v>-3.0471189999999999</v>
      </c>
      <c r="T4071">
        <v>-0.19328229999999999</v>
      </c>
      <c r="U4071">
        <v>0.16569519999999999</v>
      </c>
      <c r="V4071">
        <v>-8.0461889999999994E-2</v>
      </c>
      <c r="W4071">
        <v>7.3347280000000001E-2</v>
      </c>
      <c r="X4071">
        <v>0.99405540000000003</v>
      </c>
      <c r="Y4071">
        <v>6.9983199999999995E-2</v>
      </c>
      <c r="Z4071">
        <v>3.2218259999999901E-3</v>
      </c>
      <c r="AA4071">
        <v>0.99754299999999996</v>
      </c>
      <c r="AB4071">
        <v>51</v>
      </c>
      <c r="AC4071">
        <v>-16.910899999999899</v>
      </c>
      <c r="AD4071">
        <v>-1.10405233916399</v>
      </c>
      <c r="AE4071">
        <v>0.95429999999998905</v>
      </c>
      <c r="AF4071">
        <v>1.2176890132495</v>
      </c>
      <c r="AG4071">
        <v>-1.10405233916399</v>
      </c>
      <c r="AH4071">
        <v>16.822129681628098</v>
      </c>
      <c r="AI4071">
        <v>93.745219936540295</v>
      </c>
      <c r="AJ4071">
        <v>85.859800884958105</v>
      </c>
      <c r="AK4071">
        <v>16.902240831502599</v>
      </c>
    </row>
    <row r="4072" spans="1:37" x14ac:dyDescent="0.2">
      <c r="A4072" t="str">
        <f>"20200111153732080"</f>
        <v>20200111153732080</v>
      </c>
      <c r="B4072" t="str">
        <f>"1578728252066709"</f>
        <v>1578728252066709</v>
      </c>
      <c r="C4072" t="s">
        <v>37</v>
      </c>
      <c r="D4072">
        <v>5.906771</v>
      </c>
      <c r="E4072">
        <v>0.55556609999999995</v>
      </c>
      <c r="F4072" t="s">
        <v>39</v>
      </c>
      <c r="G4072">
        <v>-321.56169999999997</v>
      </c>
      <c r="H4072" s="1">
        <v>-4.1719619999999901E-6</v>
      </c>
      <c r="I4072">
        <v>142.0258</v>
      </c>
      <c r="J4072">
        <v>-304.6687</v>
      </c>
      <c r="K4072">
        <v>1.1039889999999899</v>
      </c>
      <c r="L4072">
        <v>141.05770000000001</v>
      </c>
      <c r="M4072">
        <v>-0.99977559999999999</v>
      </c>
      <c r="N4072">
        <v>0</v>
      </c>
      <c r="O4072">
        <v>-1.588937E-2</v>
      </c>
      <c r="P4072">
        <v>-0.99368239999999997</v>
      </c>
      <c r="Q4072">
        <v>5.9343710000000001E-2</v>
      </c>
      <c r="R4072">
        <v>-9.5257620000000001E-2</v>
      </c>
      <c r="S4072">
        <v>-3.0471499999999998</v>
      </c>
      <c r="T4072">
        <v>-0.19328879999999901</v>
      </c>
      <c r="U4072">
        <v>0.16807559999999999</v>
      </c>
      <c r="V4072">
        <v>-7.9458290000000001E-2</v>
      </c>
      <c r="W4072">
        <v>7.3282130000000001E-2</v>
      </c>
      <c r="X4072">
        <v>0.99414089999999999</v>
      </c>
      <c r="Y4072">
        <v>7.0760779999999995E-2</v>
      </c>
      <c r="Z4072">
        <v>3.2466299999999999E-3</v>
      </c>
      <c r="AA4072">
        <v>0.99748799999999904</v>
      </c>
      <c r="AB4072">
        <v>51</v>
      </c>
      <c r="AC4072">
        <v>-16.892999999999901</v>
      </c>
      <c r="AD4072">
        <v>-1.103993171962</v>
      </c>
      <c r="AE4072">
        <v>0.96809999999999197</v>
      </c>
      <c r="AF4072">
        <v>1.23118219162119</v>
      </c>
      <c r="AG4072">
        <v>-1.103993171962</v>
      </c>
      <c r="AH4072">
        <v>16.803949901776502</v>
      </c>
      <c r="AI4072">
        <v>93.748821233390302</v>
      </c>
      <c r="AJ4072">
        <v>85.809573121671406</v>
      </c>
      <c r="AK4072">
        <v>16.885121936607899</v>
      </c>
    </row>
    <row r="4073" spans="1:37" x14ac:dyDescent="0.2">
      <c r="A4073" t="str">
        <f>"20200111153732103"</f>
        <v>20200111153732103</v>
      </c>
      <c r="B4073" t="str">
        <f>"1578728252096965"</f>
        <v>1578728252096965</v>
      </c>
      <c r="C4073" t="s">
        <v>37</v>
      </c>
      <c r="D4073">
        <v>5.8762299999999996</v>
      </c>
      <c r="E4073">
        <v>0.55552769999999996</v>
      </c>
      <c r="F4073" t="s">
        <v>38</v>
      </c>
      <c r="G4073">
        <v>-305.83099999999899</v>
      </c>
      <c r="H4073">
        <v>1.030721</v>
      </c>
      <c r="I4073">
        <v>141.12309999999999</v>
      </c>
      <c r="J4073">
        <v>-305.18959999999998</v>
      </c>
      <c r="K4073">
        <v>1.1039289999999999</v>
      </c>
      <c r="L4073">
        <v>141.04939999999999</v>
      </c>
      <c r="M4073">
        <v>-0.99977990000000005</v>
      </c>
      <c r="N4073">
        <v>0</v>
      </c>
      <c r="O4073">
        <v>-1.5895650000000001E-2</v>
      </c>
      <c r="P4073">
        <v>-0.99375429999999998</v>
      </c>
      <c r="Q4073">
        <v>5.9215549999999999E-2</v>
      </c>
      <c r="R4073">
        <v>-9.4584230000000005E-2</v>
      </c>
      <c r="S4073">
        <v>-3.0469360000000001</v>
      </c>
      <c r="T4073">
        <v>-0.19204640000000001</v>
      </c>
      <c r="U4073">
        <v>0.1710052</v>
      </c>
      <c r="V4073">
        <v>-7.8775349999999994E-2</v>
      </c>
      <c r="W4073">
        <v>7.2841760000000005E-2</v>
      </c>
      <c r="X4073">
        <v>0.99422759999999999</v>
      </c>
      <c r="Y4073">
        <v>7.1727199999999894E-2</v>
      </c>
      <c r="Z4073">
        <v>3.2567379999999999E-3</v>
      </c>
      <c r="AA4073">
        <v>0.99741899999999994</v>
      </c>
      <c r="AB4073">
        <v>51</v>
      </c>
      <c r="AC4073">
        <v>-0.64139999999997599</v>
      </c>
      <c r="AD4073">
        <v>-7.3208000000000106E-2</v>
      </c>
      <c r="AE4073">
        <v>7.3700000000002305E-2</v>
      </c>
      <c r="AF4073">
        <v>8.2822210908666094E-2</v>
      </c>
      <c r="AG4073">
        <v>-7.3208000000000106E-2</v>
      </c>
      <c r="AH4073">
        <v>0.63202100414333695</v>
      </c>
      <c r="AI4073">
        <v>96.551695383477394</v>
      </c>
      <c r="AJ4073">
        <v>82.534304205675298</v>
      </c>
      <c r="AK4073">
        <v>0.641614743878405</v>
      </c>
    </row>
    <row r="4074" spans="1:37" x14ac:dyDescent="0.2">
      <c r="A4074" t="str">
        <f>"20200111153732126"</f>
        <v>20200111153732126</v>
      </c>
      <c r="B4074" t="str">
        <f>"1578728252117157"</f>
        <v>1578728252117157</v>
      </c>
      <c r="C4074" t="s">
        <v>37</v>
      </c>
      <c r="D4074">
        <v>5.9032549999999997</v>
      </c>
      <c r="E4074">
        <v>0.55554769999999998</v>
      </c>
      <c r="F4074" t="s">
        <v>38</v>
      </c>
      <c r="G4074">
        <v>-306.29129999999998</v>
      </c>
      <c r="H4074">
        <v>1.0347010000000001</v>
      </c>
      <c r="I4074">
        <v>141.11199999999999</v>
      </c>
      <c r="J4074">
        <v>-305.72030000000001</v>
      </c>
      <c r="K4074">
        <v>1.1038709999999901</v>
      </c>
      <c r="L4074">
        <v>141.041</v>
      </c>
      <c r="M4074">
        <v>-0.99978409999999995</v>
      </c>
      <c r="N4074">
        <v>0</v>
      </c>
      <c r="O4074">
        <v>-1.5902309999999999E-2</v>
      </c>
      <c r="P4074">
        <v>-0.99381529999999996</v>
      </c>
      <c r="Q4074">
        <v>5.8941779999999999E-2</v>
      </c>
      <c r="R4074">
        <v>-9.4112909999999994E-2</v>
      </c>
      <c r="S4074">
        <v>-3.0467219999999999</v>
      </c>
      <c r="T4074">
        <v>-0.19153319999999999</v>
      </c>
      <c r="U4074">
        <v>0.17272950000000001</v>
      </c>
      <c r="V4074">
        <v>-7.8295660000000003E-2</v>
      </c>
      <c r="W4074">
        <v>7.2247279999999997E-2</v>
      </c>
      <c r="X4074">
        <v>0.99430889999999905</v>
      </c>
      <c r="Y4074">
        <v>7.2300130000000004E-2</v>
      </c>
      <c r="Z4074">
        <v>3.2666179999999898E-3</v>
      </c>
      <c r="AA4074">
        <v>0.99737759999999998</v>
      </c>
      <c r="AB4074">
        <v>51</v>
      </c>
      <c r="AC4074">
        <v>-0.57099999999996898</v>
      </c>
      <c r="AD4074">
        <v>-6.9169999999999704E-2</v>
      </c>
      <c r="AE4074">
        <v>7.0999999999997898E-2</v>
      </c>
      <c r="AF4074">
        <v>7.8931408424259997E-2</v>
      </c>
      <c r="AG4074">
        <v>-6.9169999999999704E-2</v>
      </c>
      <c r="AH4074">
        <v>0.56168171790094301</v>
      </c>
      <c r="AI4074">
        <v>96.952877367471999</v>
      </c>
      <c r="AJ4074">
        <v>82.000781154145997</v>
      </c>
      <c r="AK4074">
        <v>0.57140266744213897</v>
      </c>
    </row>
    <row r="4075" spans="1:37" x14ac:dyDescent="0.2">
      <c r="A4075" t="str">
        <f>"20200111153732147"</f>
        <v>20200111153732147</v>
      </c>
      <c r="B4075" t="str">
        <f>"1578728252136680"</f>
        <v>1578728252136680</v>
      </c>
      <c r="C4075" t="s">
        <v>37</v>
      </c>
      <c r="D4075">
        <v>5.873494</v>
      </c>
      <c r="E4075">
        <v>0.55557159999999906</v>
      </c>
      <c r="F4075" t="s">
        <v>38</v>
      </c>
      <c r="G4075">
        <v>-306.75209999999998</v>
      </c>
      <c r="H4075">
        <v>1.0388469999999901</v>
      </c>
      <c r="I4075">
        <v>141.1003</v>
      </c>
      <c r="J4075">
        <v>-306.20999999999998</v>
      </c>
      <c r="K4075">
        <v>1.103828</v>
      </c>
      <c r="L4075">
        <v>141.03319999999999</v>
      </c>
      <c r="M4075">
        <v>-0.99978829999999996</v>
      </c>
      <c r="N4075">
        <v>0</v>
      </c>
      <c r="O4075">
        <v>-1.590749E-2</v>
      </c>
      <c r="P4075">
        <v>-0.99384749999999999</v>
      </c>
      <c r="Q4075">
        <v>5.9048469999999999E-2</v>
      </c>
      <c r="R4075">
        <v>-9.3707559999999995E-2</v>
      </c>
      <c r="S4075">
        <v>-3.0466000000000002</v>
      </c>
      <c r="T4075">
        <v>-0.19203979999999901</v>
      </c>
      <c r="U4075">
        <v>0.17462159999999999</v>
      </c>
      <c r="V4075">
        <v>-7.7883839999999996E-2</v>
      </c>
      <c r="W4075">
        <v>7.2043739999999995E-2</v>
      </c>
      <c r="X4075">
        <v>0.99435599999999902</v>
      </c>
      <c r="Y4075">
        <v>7.2922710000000002E-2</v>
      </c>
      <c r="Z4075">
        <v>3.2952229999999999E-3</v>
      </c>
      <c r="AA4075">
        <v>0.9973322</v>
      </c>
      <c r="AB4075">
        <v>51</v>
      </c>
      <c r="AC4075">
        <v>-0.54210000000000402</v>
      </c>
      <c r="AD4075">
        <v>-6.4981000000000094E-2</v>
      </c>
      <c r="AE4075">
        <v>6.7100000000010596E-2</v>
      </c>
      <c r="AF4075">
        <v>7.4659134455196799E-2</v>
      </c>
      <c r="AG4075">
        <v>-6.4981000000000094E-2</v>
      </c>
      <c r="AH4075">
        <v>0.53341514592816497</v>
      </c>
      <c r="AI4075">
        <v>96.879184988301006</v>
      </c>
      <c r="AJ4075">
        <v>82.0323897552977</v>
      </c>
      <c r="AK4075">
        <v>0.54252026194803604</v>
      </c>
    </row>
    <row r="4076" spans="1:37" x14ac:dyDescent="0.2">
      <c r="A4076" t="str">
        <f>"20200111153732169"</f>
        <v>20200111153732169</v>
      </c>
      <c r="B4076" t="str">
        <f>"1578728252157173"</f>
        <v>1578728252157173</v>
      </c>
      <c r="C4076" t="s">
        <v>37</v>
      </c>
      <c r="D4076">
        <v>5.8970960000000003</v>
      </c>
      <c r="E4076">
        <v>0.55559579999999997</v>
      </c>
      <c r="F4076" t="s">
        <v>38</v>
      </c>
      <c r="G4076">
        <v>-307.2122</v>
      </c>
      <c r="H4076">
        <v>1.0406850000000001</v>
      </c>
      <c r="I4076">
        <v>141.0915</v>
      </c>
      <c r="J4076">
        <v>-306.71679999999998</v>
      </c>
      <c r="K4076">
        <v>1.103785</v>
      </c>
      <c r="L4076">
        <v>141.02510000000001</v>
      </c>
      <c r="M4076">
        <v>-0.99979259999999903</v>
      </c>
      <c r="N4076">
        <v>0</v>
      </c>
      <c r="O4076">
        <v>-1.5911080000000001E-2</v>
      </c>
      <c r="P4076">
        <v>-0.99390509999999999</v>
      </c>
      <c r="Q4076">
        <v>5.9537010000000001E-2</v>
      </c>
      <c r="R4076">
        <v>-9.2780489999999993E-2</v>
      </c>
      <c r="S4076">
        <v>-3.0466000000000002</v>
      </c>
      <c r="T4076">
        <v>-0.19202829999999901</v>
      </c>
      <c r="U4076">
        <v>0.17637629999999899</v>
      </c>
      <c r="V4076">
        <v>-7.6952240000000005E-2</v>
      </c>
      <c r="W4076">
        <v>7.218782E-2</v>
      </c>
      <c r="X4076">
        <v>0.99441809999999997</v>
      </c>
      <c r="Y4076">
        <v>7.3497640000000003E-2</v>
      </c>
      <c r="Z4076">
        <v>3.313281E-3</v>
      </c>
      <c r="AA4076">
        <v>0.99728989999999995</v>
      </c>
      <c r="AB4076">
        <v>51</v>
      </c>
      <c r="AC4076">
        <v>-0.49540000000001699</v>
      </c>
      <c r="AD4076">
        <v>-6.3099999999999906E-2</v>
      </c>
      <c r="AE4076">
        <v>6.6399999999987303E-2</v>
      </c>
      <c r="AF4076">
        <v>7.3109414638638806E-2</v>
      </c>
      <c r="AG4076">
        <v>-6.3099999999999906E-2</v>
      </c>
      <c r="AH4076">
        <v>0.48652678783623798</v>
      </c>
      <c r="AI4076">
        <v>97.308563238809199</v>
      </c>
      <c r="AJ4076">
        <v>81.454216764015101</v>
      </c>
      <c r="AK4076">
        <v>0.49601906393913198</v>
      </c>
    </row>
    <row r="4077" spans="1:37" x14ac:dyDescent="0.2">
      <c r="A4077" t="str">
        <f>"20200111153732193"</f>
        <v>20200111153732193</v>
      </c>
      <c r="B4077" t="str">
        <f>"1578728252187429"</f>
        <v>1578728252187429</v>
      </c>
      <c r="C4077" t="s">
        <v>37</v>
      </c>
      <c r="D4077">
        <v>5.8853339999999896</v>
      </c>
      <c r="E4077">
        <v>0.55574760000000001</v>
      </c>
      <c r="F4077" t="s">
        <v>38</v>
      </c>
      <c r="G4077">
        <v>-307.67360000000002</v>
      </c>
      <c r="H4077">
        <v>1.043898</v>
      </c>
      <c r="I4077">
        <v>141.08160000000001</v>
      </c>
      <c r="J4077">
        <v>-307.2414</v>
      </c>
      <c r="K4077">
        <v>1.1037319999999999</v>
      </c>
      <c r="L4077">
        <v>141.01679999999999</v>
      </c>
      <c r="M4077">
        <v>-0.9997973</v>
      </c>
      <c r="N4077">
        <v>0</v>
      </c>
      <c r="O4077">
        <v>-1.591302E-2</v>
      </c>
      <c r="P4077">
        <v>-0.99392539999999996</v>
      </c>
      <c r="Q4077">
        <v>6.0188650000000003E-2</v>
      </c>
      <c r="R4077">
        <v>-9.2139180000000001E-2</v>
      </c>
      <c r="S4077">
        <v>-3.0465390000000001</v>
      </c>
      <c r="T4077">
        <v>-0.19063959999999999</v>
      </c>
      <c r="U4077">
        <v>0.17922969999999999</v>
      </c>
      <c r="V4077">
        <v>-7.6308669999999995E-2</v>
      </c>
      <c r="W4077">
        <v>7.2462239999999997E-2</v>
      </c>
      <c r="X4077">
        <v>0.99444769999999905</v>
      </c>
      <c r="Y4077">
        <v>7.4432239999999997E-2</v>
      </c>
      <c r="Z4077">
        <v>3.3186489999999999E-3</v>
      </c>
      <c r="AA4077">
        <v>0.99722060000000001</v>
      </c>
      <c r="AB4077">
        <v>51</v>
      </c>
      <c r="AC4077">
        <v>-0.43220000000002201</v>
      </c>
      <c r="AD4077">
        <v>-5.9833999999999901E-2</v>
      </c>
      <c r="AE4077">
        <v>6.4800000000019495E-2</v>
      </c>
      <c r="AF4077">
        <v>7.0351231004019202E-2</v>
      </c>
      <c r="AG4077">
        <v>-5.9833999999999901E-2</v>
      </c>
      <c r="AH4077">
        <v>0.42318172703892798</v>
      </c>
      <c r="AI4077">
        <v>97.940194880506297</v>
      </c>
      <c r="AJ4077">
        <v>80.561267207651696</v>
      </c>
      <c r="AK4077">
        <v>0.43314221378137602</v>
      </c>
    </row>
    <row r="4078" spans="1:37" x14ac:dyDescent="0.2">
      <c r="A4078" t="str">
        <f>"20200111153732215"</f>
        <v>20200111153732215</v>
      </c>
      <c r="B4078" t="str">
        <f>"1578728252206951"</f>
        <v>1578728252206951</v>
      </c>
      <c r="C4078" t="s">
        <v>37</v>
      </c>
      <c r="D4078">
        <v>5.8610629999999997</v>
      </c>
      <c r="E4078">
        <v>0.55598289999999995</v>
      </c>
      <c r="F4078" t="s">
        <v>38</v>
      </c>
      <c r="G4078">
        <v>-308.13760000000002</v>
      </c>
      <c r="H4078">
        <v>1.0483009999999999</v>
      </c>
      <c r="I4078">
        <v>141.07050000000001</v>
      </c>
      <c r="J4078">
        <v>-307.78370000000001</v>
      </c>
      <c r="K4078">
        <v>1.1036779999999999</v>
      </c>
      <c r="L4078">
        <v>141.00819999999999</v>
      </c>
      <c r="M4078">
        <v>-0.99980219999999898</v>
      </c>
      <c r="N4078">
        <v>0</v>
      </c>
      <c r="O4078">
        <v>-1.5914109999999999E-2</v>
      </c>
      <c r="P4078">
        <v>-0.9939808</v>
      </c>
      <c r="Q4078">
        <v>6.0475269999999998E-2</v>
      </c>
      <c r="R4078">
        <v>-9.1352959999999997E-2</v>
      </c>
      <c r="S4078">
        <v>-3.0466310000000001</v>
      </c>
      <c r="T4078">
        <v>-0.18851850000000001</v>
      </c>
      <c r="U4078">
        <v>0.18218989999999999</v>
      </c>
      <c r="V4078">
        <v>-7.552064E-2</v>
      </c>
      <c r="W4078">
        <v>7.2357149999999995E-2</v>
      </c>
      <c r="X4078">
        <v>0.9945155</v>
      </c>
      <c r="Y4078">
        <v>7.5399049999999995E-2</v>
      </c>
      <c r="Z4078">
        <v>3.3115240000000002E-3</v>
      </c>
      <c r="AA4078">
        <v>0.99714789999999998</v>
      </c>
      <c r="AB4078">
        <v>51</v>
      </c>
      <c r="AC4078">
        <v>-0.35390000000000998</v>
      </c>
      <c r="AD4078">
        <v>-5.5377000000000197E-2</v>
      </c>
      <c r="AE4078">
        <v>6.2300000000021699E-2</v>
      </c>
      <c r="AF4078">
        <v>6.6348802683527802E-2</v>
      </c>
      <c r="AG4078">
        <v>-5.5377000000000197E-2</v>
      </c>
      <c r="AH4078">
        <v>0.34467793574243599</v>
      </c>
      <c r="AI4078">
        <v>98.965465710370395</v>
      </c>
      <c r="AJ4078">
        <v>79.104120343850795</v>
      </c>
      <c r="AK4078">
        <v>0.35534723178069699</v>
      </c>
    </row>
    <row r="4079" spans="1:37" x14ac:dyDescent="0.2">
      <c r="A4079" t="str">
        <f>"20200111153732237"</f>
        <v>20200111153732237</v>
      </c>
      <c r="B4079" t="str">
        <f>"1578728252227444"</f>
        <v>1578728252227444</v>
      </c>
      <c r="C4079" t="s">
        <v>37</v>
      </c>
      <c r="D4079">
        <v>5.9521809999999897</v>
      </c>
      <c r="E4079">
        <v>0.55586899999999995</v>
      </c>
      <c r="F4079" t="s">
        <v>38</v>
      </c>
      <c r="G4079">
        <v>-308.60289999999998</v>
      </c>
      <c r="H4079">
        <v>1.0530469999999901</v>
      </c>
      <c r="I4079">
        <v>141.05850000000001</v>
      </c>
      <c r="J4079">
        <v>-308.27730000000003</v>
      </c>
      <c r="K4079">
        <v>1.1036319999999999</v>
      </c>
      <c r="L4079">
        <v>141.00030000000001</v>
      </c>
      <c r="M4079">
        <v>-0.99980619999999998</v>
      </c>
      <c r="N4079">
        <v>0</v>
      </c>
      <c r="O4079">
        <v>-1.5914810000000001E-2</v>
      </c>
      <c r="P4079">
        <v>-0.99403889999999995</v>
      </c>
      <c r="Q4079">
        <v>6.0041829999999997E-2</v>
      </c>
      <c r="R4079">
        <v>-9.1005059999999999E-2</v>
      </c>
      <c r="S4079">
        <v>-3.046783</v>
      </c>
      <c r="T4079">
        <v>-0.18830820000000001</v>
      </c>
      <c r="U4079">
        <v>0.186554</v>
      </c>
      <c r="V4079">
        <v>-7.5170630000000002E-2</v>
      </c>
      <c r="W4079">
        <v>7.1575239999999998E-2</v>
      </c>
      <c r="X4079">
        <v>0.994598599999999</v>
      </c>
      <c r="Y4079">
        <v>7.6817399999999994E-2</v>
      </c>
      <c r="Z4079">
        <v>3.3513200000000001E-3</v>
      </c>
      <c r="AA4079">
        <v>0.99703960000000003</v>
      </c>
      <c r="AB4079">
        <v>52</v>
      </c>
      <c r="AC4079">
        <v>-0.32559999999995098</v>
      </c>
      <c r="AD4079">
        <v>-5.0585000000000102E-2</v>
      </c>
      <c r="AE4079">
        <v>5.8199999999999301E-2</v>
      </c>
      <c r="AF4079">
        <v>6.1926426901220001E-2</v>
      </c>
      <c r="AG4079">
        <v>-5.0585000000000102E-2</v>
      </c>
      <c r="AH4079">
        <v>0.31721308475149101</v>
      </c>
      <c r="AI4079">
        <v>98.895335124492902</v>
      </c>
      <c r="AJ4079">
        <v>78.953632779541095</v>
      </c>
      <c r="AK4079">
        <v>0.32713585207266499</v>
      </c>
    </row>
    <row r="4080" spans="1:37" x14ac:dyDescent="0.2">
      <c r="A4080" t="str">
        <f>"20200111153732260"</f>
        <v>20200111153732260</v>
      </c>
      <c r="B4080" t="str">
        <f>"1578728252256724"</f>
        <v>1578728252256724</v>
      </c>
      <c r="C4080" t="s">
        <v>37</v>
      </c>
      <c r="D4080">
        <v>5.8886979999999998</v>
      </c>
      <c r="E4080">
        <v>0.51199689999999998</v>
      </c>
      <c r="F4080" t="s">
        <v>39</v>
      </c>
      <c r="G4080">
        <v>-326.08420000000001</v>
      </c>
      <c r="H4080" s="1">
        <v>-2.3207660000000002E-6</v>
      </c>
      <c r="I4080">
        <v>142.0915</v>
      </c>
      <c r="J4080">
        <v>-308.78859999999997</v>
      </c>
      <c r="K4080">
        <v>1.1035900000000001</v>
      </c>
      <c r="L4080">
        <v>140.99209999999999</v>
      </c>
      <c r="M4080">
        <v>-0.99981030000000004</v>
      </c>
      <c r="N4080">
        <v>0</v>
      </c>
      <c r="O4080">
        <v>-1.5915869999999999E-2</v>
      </c>
      <c r="P4080">
        <v>-0.99406609999999995</v>
      </c>
      <c r="Q4080">
        <v>5.9848329999999998E-2</v>
      </c>
      <c r="R4080">
        <v>-9.0833129999999998E-2</v>
      </c>
      <c r="S4080">
        <v>-3.0465089999999999</v>
      </c>
      <c r="T4080">
        <v>-0.18881729999999899</v>
      </c>
      <c r="U4080">
        <v>0.1867065</v>
      </c>
      <c r="V4080">
        <v>-7.4997190000000005E-2</v>
      </c>
      <c r="W4080">
        <v>7.1023050000000004E-2</v>
      </c>
      <c r="X4080">
        <v>0.99465130000000002</v>
      </c>
      <c r="Y4080">
        <v>7.6872529999999994E-2</v>
      </c>
      <c r="Z4080">
        <v>3.3624279999999898E-3</v>
      </c>
      <c r="AA4080">
        <v>0.99703529999999996</v>
      </c>
      <c r="AB4080">
        <v>52</v>
      </c>
      <c r="AC4080">
        <v>-17.2956</v>
      </c>
      <c r="AD4080">
        <v>-1.1035923207659999</v>
      </c>
      <c r="AE4080">
        <v>1.0993999999999999</v>
      </c>
      <c r="AF4080">
        <v>1.3690012475506601</v>
      </c>
      <c r="AG4080">
        <v>-1.1035923207659999</v>
      </c>
      <c r="AH4080">
        <v>17.206138429773102</v>
      </c>
      <c r="AI4080">
        <v>93.658363129298905</v>
      </c>
      <c r="AJ4080">
        <v>85.450861825259594</v>
      </c>
      <c r="AK4080">
        <v>17.295759020371602</v>
      </c>
    </row>
    <row r="4081" spans="1:37" x14ac:dyDescent="0.2">
      <c r="A4081" t="str">
        <f>"20200111153732304"</f>
        <v>20200111153732304</v>
      </c>
      <c r="B4081" t="str">
        <f>"1578728252296743"</f>
        <v>1578728252296743</v>
      </c>
      <c r="C4081" t="s">
        <v>37</v>
      </c>
      <c r="D4081">
        <v>5.7401910000000003</v>
      </c>
      <c r="E4081">
        <v>0.51085919999999996</v>
      </c>
      <c r="F4081" t="s">
        <v>39</v>
      </c>
      <c r="G4081">
        <v>-325.51530000000002</v>
      </c>
      <c r="H4081" s="1">
        <v>-2.0344489999999998E-6</v>
      </c>
      <c r="I4081">
        <v>140.09819999999999</v>
      </c>
      <c r="J4081">
        <v>-309.83449999999999</v>
      </c>
      <c r="K4081">
        <v>1.1034949999999999</v>
      </c>
      <c r="L4081">
        <v>140.97550000000001</v>
      </c>
      <c r="M4081">
        <v>-0.9998184</v>
      </c>
      <c r="N4081">
        <v>0</v>
      </c>
      <c r="O4081">
        <v>-1.591826E-2</v>
      </c>
      <c r="P4081">
        <v>-0.99408639999999904</v>
      </c>
      <c r="Q4081">
        <v>6.040657E-2</v>
      </c>
      <c r="R4081">
        <v>-9.024066E-2</v>
      </c>
      <c r="S4081">
        <v>-3.0151669999999999</v>
      </c>
      <c r="T4081">
        <v>-0.19893520000000001</v>
      </c>
      <c r="U4081">
        <v>-0.16113279999999999</v>
      </c>
      <c r="V4081">
        <v>-7.4402029999999994E-2</v>
      </c>
      <c r="W4081">
        <v>7.0829939999999994E-2</v>
      </c>
      <c r="X4081">
        <v>0.99470970000000003</v>
      </c>
      <c r="Y4081">
        <v>-3.7414790000000003E-2</v>
      </c>
      <c r="Z4081">
        <v>-1.8377849999999901E-4</v>
      </c>
      <c r="AA4081">
        <v>0.99929979999999996</v>
      </c>
      <c r="AB4081">
        <v>52</v>
      </c>
      <c r="AC4081">
        <v>-15.6808</v>
      </c>
      <c r="AD4081">
        <v>-1.103497034449</v>
      </c>
      <c r="AE4081">
        <v>-0.87730000000001895</v>
      </c>
      <c r="AF4081">
        <v>-0.62448111715239796</v>
      </c>
      <c r="AG4081">
        <v>-1.103497034449</v>
      </c>
      <c r="AH4081">
        <v>15.615686751047001</v>
      </c>
      <c r="AI4081">
        <v>94.038922495490795</v>
      </c>
      <c r="AJ4081">
        <v>92.2900739143886</v>
      </c>
      <c r="AK4081">
        <v>15.667078702730199</v>
      </c>
    </row>
    <row r="4082" spans="1:37" x14ac:dyDescent="0.2">
      <c r="A4082" t="str">
        <f>"20200111153732326"</f>
        <v>20200111153732326</v>
      </c>
      <c r="B4082" t="str">
        <f>"1578728252317239"</f>
        <v>1578728252317239</v>
      </c>
      <c r="C4082" t="s">
        <v>37</v>
      </c>
      <c r="D4082">
        <v>5.6448029999999996</v>
      </c>
      <c r="E4082">
        <v>0.51139460000000003</v>
      </c>
      <c r="F4082" t="s">
        <v>39</v>
      </c>
      <c r="G4082">
        <v>-326.28629999999998</v>
      </c>
      <c r="H4082" s="1">
        <v>-1.692342E-6</v>
      </c>
      <c r="I4082">
        <v>140.0556</v>
      </c>
      <c r="J4082">
        <v>-310.36689999999999</v>
      </c>
      <c r="K4082">
        <v>1.1034489999999999</v>
      </c>
      <c r="L4082">
        <v>140.96700000000001</v>
      </c>
      <c r="M4082">
        <v>-0.9998224</v>
      </c>
      <c r="N4082">
        <v>0</v>
      </c>
      <c r="O4082">
        <v>-1.5919530000000001E-2</v>
      </c>
      <c r="P4082">
        <v>-0.99412599999999995</v>
      </c>
      <c r="Q4082">
        <v>6.0240719999999998E-2</v>
      </c>
      <c r="R4082">
        <v>-8.9914300000000003E-2</v>
      </c>
      <c r="S4082">
        <v>-3.0148929999999998</v>
      </c>
      <c r="T4082">
        <v>-0.2022225</v>
      </c>
      <c r="U4082">
        <v>-0.16856379999999899</v>
      </c>
      <c r="V4082">
        <v>-7.4073810000000004E-2</v>
      </c>
      <c r="W4082">
        <v>7.0281040000000003E-2</v>
      </c>
      <c r="X4082">
        <v>0.99477309999999997</v>
      </c>
      <c r="Y4082">
        <v>-3.9866989999999998E-2</v>
      </c>
      <c r="Z4082">
        <v>-2.6882160000000002E-4</v>
      </c>
      <c r="AA4082">
        <v>0.99920489999999995</v>
      </c>
      <c r="AB4082">
        <v>52</v>
      </c>
      <c r="AC4082">
        <v>-15.9193999999999</v>
      </c>
      <c r="AD4082">
        <v>-1.103450692342</v>
      </c>
      <c r="AE4082">
        <v>-0.91140000000001398</v>
      </c>
      <c r="AF4082">
        <v>-0.65470693977551098</v>
      </c>
      <c r="AG4082">
        <v>-1.103450692342</v>
      </c>
      <c r="AH4082">
        <v>15.8559603940485</v>
      </c>
      <c r="AI4082">
        <v>93.977540892107399</v>
      </c>
      <c r="AJ4082">
        <v>92.364451398351207</v>
      </c>
      <c r="AK4082">
        <v>15.907788175137799</v>
      </c>
    </row>
    <row r="4083" spans="1:37" x14ac:dyDescent="0.2">
      <c r="A4083" t="str">
        <f>"20200111153732347"</f>
        <v>20200111153732347</v>
      </c>
      <c r="B4083" t="str">
        <f>"1578728252336756"</f>
        <v>1578728252336756</v>
      </c>
      <c r="C4083" t="s">
        <v>37</v>
      </c>
      <c r="D4083">
        <v>5.6541680000000003</v>
      </c>
      <c r="E4083">
        <v>0.5118045</v>
      </c>
      <c r="F4083" t="s">
        <v>39</v>
      </c>
      <c r="G4083">
        <v>-326.51859999999999</v>
      </c>
      <c r="H4083" s="1">
        <v>-1.602827E-6</v>
      </c>
      <c r="I4083">
        <v>140.09379999999999</v>
      </c>
      <c r="J4083">
        <v>-310.84739999999999</v>
      </c>
      <c r="K4083">
        <v>1.1034120000000001</v>
      </c>
      <c r="L4083">
        <v>140.95939999999999</v>
      </c>
      <c r="M4083">
        <v>-0.99982590000000005</v>
      </c>
      <c r="N4083">
        <v>0</v>
      </c>
      <c r="O4083">
        <v>-1.5919849999999999E-2</v>
      </c>
      <c r="P4083">
        <v>-0.9940968</v>
      </c>
      <c r="Q4083">
        <v>6.0657379999999997E-2</v>
      </c>
      <c r="R4083">
        <v>-8.9960899999999996E-2</v>
      </c>
      <c r="S4083">
        <v>-3.0154719999999999</v>
      </c>
      <c r="T4083">
        <v>-0.2060109</v>
      </c>
      <c r="U4083">
        <v>-0.1630249</v>
      </c>
      <c r="V4083">
        <v>-7.4120439999999996E-2</v>
      </c>
      <c r="W4083">
        <v>7.0351449999999996E-2</v>
      </c>
      <c r="X4083">
        <v>0.99476469999999995</v>
      </c>
      <c r="Y4083">
        <v>-3.8028369999999999E-2</v>
      </c>
      <c r="Z4083">
        <v>-2.11097599999999E-4</v>
      </c>
      <c r="AA4083">
        <v>0.99927659999999996</v>
      </c>
      <c r="AB4083">
        <v>52</v>
      </c>
      <c r="AC4083">
        <v>-15.671200000000001</v>
      </c>
      <c r="AD4083">
        <v>-1.1034136028270001</v>
      </c>
      <c r="AE4083">
        <v>-0.86560000000000004</v>
      </c>
      <c r="AF4083">
        <v>-0.61296572188042597</v>
      </c>
      <c r="AG4083">
        <v>-1.1034136028270001</v>
      </c>
      <c r="AH4083">
        <v>15.6058622745641</v>
      </c>
      <c r="AI4083">
        <v>94.0412657767057</v>
      </c>
      <c r="AJ4083">
        <v>92.249302488972006</v>
      </c>
      <c r="AK4083">
        <v>15.656825536735299</v>
      </c>
    </row>
    <row r="4084" spans="1:37" x14ac:dyDescent="0.2">
      <c r="A4084" t="str">
        <f>"20200111153732369"</f>
        <v>20200111153732369</v>
      </c>
      <c r="B4084" t="str">
        <f>"1578728252357252"</f>
        <v>1578728252357252</v>
      </c>
      <c r="C4084" t="s">
        <v>37</v>
      </c>
      <c r="D4084">
        <v>5.9338670000000002</v>
      </c>
      <c r="E4084">
        <v>0.51249670000000003</v>
      </c>
      <c r="F4084" t="s">
        <v>39</v>
      </c>
      <c r="G4084">
        <v>-327.00360000000001</v>
      </c>
      <c r="H4084" s="1">
        <v>-1.3975369999999999E-6</v>
      </c>
      <c r="I4084">
        <v>140.10399999999899</v>
      </c>
      <c r="J4084">
        <v>-311.36720000000003</v>
      </c>
      <c r="K4084">
        <v>1.1033660000000001</v>
      </c>
      <c r="L4084">
        <v>140.9511</v>
      </c>
      <c r="M4084">
        <v>-0.99982959999999999</v>
      </c>
      <c r="N4084">
        <v>0</v>
      </c>
      <c r="O4084">
        <v>-1.5918060000000001E-2</v>
      </c>
      <c r="P4084">
        <v>-0.99406519999999998</v>
      </c>
      <c r="Q4084">
        <v>6.1053129999999997E-2</v>
      </c>
      <c r="R4084">
        <v>-9.0040140000000005E-2</v>
      </c>
      <c r="S4084">
        <v>-3.01593</v>
      </c>
      <c r="T4084">
        <v>-0.20597869999999999</v>
      </c>
      <c r="U4084">
        <v>-0.15965270000000001</v>
      </c>
      <c r="V4084">
        <v>-7.4201899999999904E-2</v>
      </c>
      <c r="W4084">
        <v>7.0370929999999998E-2</v>
      </c>
      <c r="X4084">
        <v>0.99475720000000001</v>
      </c>
      <c r="Y4084">
        <v>-3.6910510000000001E-2</v>
      </c>
      <c r="Z4084">
        <v>-1.7306139999999999E-4</v>
      </c>
      <c r="AA4084">
        <v>0.9993185</v>
      </c>
      <c r="AB4084">
        <v>52</v>
      </c>
      <c r="AC4084">
        <v>-15.636399999999901</v>
      </c>
      <c r="AD4084">
        <v>-1.103367397537</v>
      </c>
      <c r="AE4084">
        <v>-0.84710000000001096</v>
      </c>
      <c r="AF4084">
        <v>-0.59512600458042497</v>
      </c>
      <c r="AG4084">
        <v>-1.103367397537</v>
      </c>
      <c r="AH4084">
        <v>15.570599933927699</v>
      </c>
      <c r="AI4084">
        <v>94.050383515136105</v>
      </c>
      <c r="AJ4084">
        <v>92.188844286207996</v>
      </c>
      <c r="AK4084">
        <v>15.620985144276499</v>
      </c>
    </row>
    <row r="4085" spans="1:37" x14ac:dyDescent="0.2">
      <c r="A4085" t="str">
        <f>"20200111153732395"</f>
        <v>20200111153732395</v>
      </c>
      <c r="B4085" t="str">
        <f>"1578728252387508"</f>
        <v>1578728252387508</v>
      </c>
      <c r="C4085" t="s">
        <v>37</v>
      </c>
      <c r="D4085">
        <v>5.7752919999999897</v>
      </c>
      <c r="E4085">
        <v>0.51228090000000004</v>
      </c>
      <c r="F4085" t="s">
        <v>39</v>
      </c>
      <c r="G4085">
        <v>-328.00199999999899</v>
      </c>
      <c r="H4085" s="1">
        <v>-9.6801780000000007E-7</v>
      </c>
      <c r="I4085">
        <v>140.09950000000001</v>
      </c>
      <c r="J4085">
        <v>-311.94170000000003</v>
      </c>
      <c r="K4085">
        <v>1.10331</v>
      </c>
      <c r="L4085">
        <v>140.94200000000001</v>
      </c>
      <c r="M4085">
        <v>-0.99983330000000004</v>
      </c>
      <c r="N4085">
        <v>0</v>
      </c>
      <c r="O4085">
        <v>-1.5909719999999999E-2</v>
      </c>
      <c r="P4085">
        <v>-0.99401219999999901</v>
      </c>
      <c r="Q4085">
        <v>6.129851E-2</v>
      </c>
      <c r="R4085">
        <v>-9.0457280000000001E-2</v>
      </c>
      <c r="S4085">
        <v>-3.016235</v>
      </c>
      <c r="T4085">
        <v>-0.2000642</v>
      </c>
      <c r="U4085">
        <v>-0.1544037</v>
      </c>
      <c r="V4085">
        <v>-7.4627319999999997E-2</v>
      </c>
      <c r="W4085">
        <v>7.0203039999999994E-2</v>
      </c>
      <c r="X4085">
        <v>0.99473729999999905</v>
      </c>
      <c r="Y4085">
        <v>-3.5185660000000001E-2</v>
      </c>
      <c r="Z4085">
        <v>-1.11542299999999E-4</v>
      </c>
      <c r="AA4085">
        <v>0.99938079999999996</v>
      </c>
      <c r="AB4085">
        <v>52</v>
      </c>
      <c r="AC4085">
        <v>-16.060299999999899</v>
      </c>
      <c r="AD4085">
        <v>-1.1033109680177999</v>
      </c>
      <c r="AE4085">
        <v>-0.84250000000000103</v>
      </c>
      <c r="AF4085">
        <v>-0.58411909101897896</v>
      </c>
      <c r="AG4085">
        <v>-1.1033109680177999</v>
      </c>
      <c r="AH4085">
        <v>15.9963851321913</v>
      </c>
      <c r="AI4085">
        <v>93.942965873240496</v>
      </c>
      <c r="AJ4085">
        <v>92.091265938737493</v>
      </c>
      <c r="AK4085">
        <v>16.045025007834401</v>
      </c>
    </row>
    <row r="4086" spans="1:37" x14ac:dyDescent="0.2">
      <c r="A4086" t="str">
        <f>"20200111153732416"</f>
        <v>20200111153732416</v>
      </c>
      <c r="B4086" t="str">
        <f>"1578728252407028"</f>
        <v>1578728252407028</v>
      </c>
      <c r="C4086" t="s">
        <v>37</v>
      </c>
      <c r="D4086">
        <v>5.7852860000000002</v>
      </c>
      <c r="E4086">
        <v>0.51239060000000003</v>
      </c>
      <c r="F4086" t="s">
        <v>39</v>
      </c>
      <c r="G4086">
        <v>-329.98680000000002</v>
      </c>
      <c r="H4086" s="1">
        <v>-4.783776E-6</v>
      </c>
      <c r="I4086">
        <v>139.9965</v>
      </c>
      <c r="J4086">
        <v>-312.4522</v>
      </c>
      <c r="K4086">
        <v>1.1032580000000001</v>
      </c>
      <c r="L4086">
        <v>140.93389999999999</v>
      </c>
      <c r="M4086">
        <v>-0.99983699999999998</v>
      </c>
      <c r="N4086">
        <v>0</v>
      </c>
      <c r="O4086">
        <v>-1.5892630000000001E-2</v>
      </c>
      <c r="P4086">
        <v>-0.99399169999999903</v>
      </c>
      <c r="Q4086">
        <v>6.1143419999999997E-2</v>
      </c>
      <c r="R4086">
        <v>-9.0787759999999995E-2</v>
      </c>
      <c r="S4086">
        <v>-3.0150759999999899</v>
      </c>
      <c r="T4086">
        <v>-0.1843477</v>
      </c>
      <c r="U4086">
        <v>-0.15797420000000001</v>
      </c>
      <c r="V4086">
        <v>-7.4974360000000004E-2</v>
      </c>
      <c r="W4086">
        <v>6.9695499999999994E-2</v>
      </c>
      <c r="X4086">
        <v>0.99474689999999999</v>
      </c>
      <c r="Y4086">
        <v>-3.6406769999999998E-2</v>
      </c>
      <c r="Z4086">
        <v>-1.4115149999999901E-4</v>
      </c>
      <c r="AA4086">
        <v>0.99933700000000003</v>
      </c>
      <c r="AB4086">
        <v>52</v>
      </c>
      <c r="AC4086">
        <v>-17.534600000000001</v>
      </c>
      <c r="AD4086">
        <v>-1.1032627837760001</v>
      </c>
      <c r="AE4086">
        <v>-0.93739999999999601</v>
      </c>
      <c r="AF4086">
        <v>-0.65601083370549595</v>
      </c>
      <c r="AG4086">
        <v>-1.1032627837760001</v>
      </c>
      <c r="AH4086">
        <v>17.478287312557601</v>
      </c>
      <c r="AI4086">
        <v>93.609292236304995</v>
      </c>
      <c r="AJ4086">
        <v>92.149467888036099</v>
      </c>
      <c r="AK4086">
        <v>17.5253549568708</v>
      </c>
    </row>
    <row r="4087" spans="1:37" x14ac:dyDescent="0.2">
      <c r="A4087" t="str">
        <f>"20200111153732439"</f>
        <v>20200111153732439</v>
      </c>
      <c r="B4087" t="str">
        <f>"1578728252427525"</f>
        <v>1578728252427525</v>
      </c>
      <c r="C4087" t="s">
        <v>37</v>
      </c>
      <c r="D4087">
        <v>6.0653839999999999</v>
      </c>
      <c r="E4087">
        <v>0.51238779999999995</v>
      </c>
      <c r="F4087" t="s">
        <v>39</v>
      </c>
      <c r="G4087">
        <v>-331.10239999999999</v>
      </c>
      <c r="H4087" s="1">
        <v>-4.2761859999999999E-6</v>
      </c>
      <c r="I4087">
        <v>139.9537</v>
      </c>
      <c r="J4087">
        <v>-312.97219999999999</v>
      </c>
      <c r="K4087">
        <v>1.103207</v>
      </c>
      <c r="L4087">
        <v>140.9256</v>
      </c>
      <c r="M4087">
        <v>-0.99984030000000002</v>
      </c>
      <c r="N4087">
        <v>0</v>
      </c>
      <c r="O4087">
        <v>-1.586301E-2</v>
      </c>
      <c r="P4087">
        <v>-0.99397999999999997</v>
      </c>
      <c r="Q4087">
        <v>6.1097369999999998E-2</v>
      </c>
      <c r="R4087">
        <v>-9.0946730000000003E-2</v>
      </c>
      <c r="S4087">
        <v>-3.0147089999999999</v>
      </c>
      <c r="T4087">
        <v>-0.1783362</v>
      </c>
      <c r="U4087">
        <v>-0.15843199999999999</v>
      </c>
      <c r="V4087">
        <v>-7.5161350000000002E-2</v>
      </c>
      <c r="W4087">
        <v>6.9313050000000001E-2</v>
      </c>
      <c r="X4087">
        <v>0.99475949999999902</v>
      </c>
      <c r="Y4087">
        <v>-3.6596150000000001E-2</v>
      </c>
      <c r="Z4087">
        <v>-1.4391729999999999E-4</v>
      </c>
      <c r="AA4087">
        <v>0.9993301</v>
      </c>
      <c r="AB4087">
        <v>52</v>
      </c>
      <c r="AC4087">
        <v>-18.130199999999999</v>
      </c>
      <c r="AD4087">
        <v>-1.103211276186</v>
      </c>
      <c r="AE4087">
        <v>-0.97190000000000498</v>
      </c>
      <c r="AF4087">
        <v>-0.68165173369905896</v>
      </c>
      <c r="AG4087">
        <v>-1.103211276186</v>
      </c>
      <c r="AH4087">
        <v>18.076596934300301</v>
      </c>
      <c r="AI4087">
        <v>93.489944549887099</v>
      </c>
      <c r="AJ4087">
        <v>92.159547577456706</v>
      </c>
      <c r="AK4087">
        <v>18.123053852237899</v>
      </c>
    </row>
    <row r="4088" spans="1:37" x14ac:dyDescent="0.2">
      <c r="A4088" t="str">
        <f>"20200111153732460"</f>
        <v>20200111153732460</v>
      </c>
      <c r="B4088" t="str">
        <f>"1578728252456805"</f>
        <v>1578728252456805</v>
      </c>
      <c r="C4088" t="s">
        <v>37</v>
      </c>
      <c r="D4088">
        <v>5.8802289999999999</v>
      </c>
      <c r="E4088">
        <v>0.51271259999999996</v>
      </c>
      <c r="F4088" t="s">
        <v>39</v>
      </c>
      <c r="G4088">
        <v>-331.72699999999998</v>
      </c>
      <c r="H4088" s="1">
        <v>-3.976479E-6</v>
      </c>
      <c r="I4088">
        <v>139.93690000000001</v>
      </c>
      <c r="J4088">
        <v>-313.4753</v>
      </c>
      <c r="K4088">
        <v>1.1031629999999999</v>
      </c>
      <c r="L4088">
        <v>140.91759999999999</v>
      </c>
      <c r="M4088">
        <v>-0.99984340000000005</v>
      </c>
      <c r="N4088">
        <v>0</v>
      </c>
      <c r="O4088">
        <v>-1.581987E-2</v>
      </c>
      <c r="P4088">
        <v>-0.993992599999999</v>
      </c>
      <c r="Q4088">
        <v>6.0868869999999999E-2</v>
      </c>
      <c r="R4088">
        <v>-9.0961749999999994E-2</v>
      </c>
      <c r="S4088">
        <v>-3.014526</v>
      </c>
      <c r="T4088">
        <v>-0.17732319999999999</v>
      </c>
      <c r="U4088">
        <v>-0.15892029999999999</v>
      </c>
      <c r="V4088">
        <v>-7.5217220000000001E-2</v>
      </c>
      <c r="W4088">
        <v>6.8785979999999997E-2</v>
      </c>
      <c r="X4088">
        <v>0.99479189999999995</v>
      </c>
      <c r="Y4088">
        <v>-3.6803879999999997E-2</v>
      </c>
      <c r="Z4088">
        <v>-1.5174519999999999E-4</v>
      </c>
      <c r="AA4088">
        <v>0.9993225</v>
      </c>
      <c r="AB4088">
        <v>53</v>
      </c>
      <c r="AC4088">
        <v>-18.2516999999999</v>
      </c>
      <c r="AD4088">
        <v>-1.103166976479</v>
      </c>
      <c r="AE4088">
        <v>-0.98069999999998403</v>
      </c>
      <c r="AF4088">
        <v>-0.689317682109026</v>
      </c>
      <c r="AG4088">
        <v>-1.103166976479</v>
      </c>
      <c r="AH4088">
        <v>18.198638595208699</v>
      </c>
      <c r="AI4088">
        <v>93.466437109255907</v>
      </c>
      <c r="AJ4088">
        <v>92.169179971595</v>
      </c>
      <c r="AK4088">
        <v>18.2450701002731</v>
      </c>
    </row>
    <row r="4089" spans="1:37" x14ac:dyDescent="0.2">
      <c r="A4089" t="str">
        <f>"20200111153732483"</f>
        <v>20200111153732483</v>
      </c>
      <c r="B4089" t="str">
        <f>"1578728252477302"</f>
        <v>1578728252477302</v>
      </c>
      <c r="C4089" t="s">
        <v>37</v>
      </c>
      <c r="D4089">
        <v>5.8120479999999999</v>
      </c>
      <c r="E4089">
        <v>0.51279010000000003</v>
      </c>
      <c r="F4089" t="s">
        <v>39</v>
      </c>
      <c r="G4089">
        <v>-332.49959999999999</v>
      </c>
      <c r="H4089" s="1">
        <v>-3.609334E-6</v>
      </c>
      <c r="I4089">
        <v>139.92959999999999</v>
      </c>
      <c r="J4089">
        <v>-314.02</v>
      </c>
      <c r="K4089">
        <v>1.1031169999999999</v>
      </c>
      <c r="L4089">
        <v>140.9091</v>
      </c>
      <c r="M4089">
        <v>-0.99984689999999998</v>
      </c>
      <c r="N4089">
        <v>0</v>
      </c>
      <c r="O4089">
        <v>-1.5754359999999999E-2</v>
      </c>
      <c r="P4089">
        <v>-0.99397309999999905</v>
      </c>
      <c r="Q4089">
        <v>6.1205620000000002E-2</v>
      </c>
      <c r="R4089">
        <v>-9.0949810000000006E-2</v>
      </c>
      <c r="S4089">
        <v>-3.0145569999999999</v>
      </c>
      <c r="T4089">
        <v>-0.1748054</v>
      </c>
      <c r="U4089">
        <v>-0.15655520000000001</v>
      </c>
      <c r="V4089">
        <v>-7.5268699999999994E-2</v>
      </c>
      <c r="W4089">
        <v>6.8829269999999998E-2</v>
      </c>
      <c r="X4089">
        <v>0.99478500000000003</v>
      </c>
      <c r="Y4089">
        <v>-3.6089059999999999E-2</v>
      </c>
      <c r="Z4089">
        <v>-1.3269449999999999E-4</v>
      </c>
      <c r="AA4089">
        <v>0.99934859999999903</v>
      </c>
      <c r="AB4089">
        <v>53</v>
      </c>
      <c r="AC4089">
        <v>-18.479600000000001</v>
      </c>
      <c r="AD4089">
        <v>-1.10312060933399</v>
      </c>
      <c r="AE4089">
        <v>-0.97950000000000104</v>
      </c>
      <c r="AF4089">
        <v>-0.68579881041596202</v>
      </c>
      <c r="AG4089">
        <v>-1.10312060933399</v>
      </c>
      <c r="AH4089">
        <v>18.4272590782892</v>
      </c>
      <c r="AI4089">
        <v>93.423474259609307</v>
      </c>
      <c r="AJ4089">
        <v>92.131366957864302</v>
      </c>
      <c r="AK4089">
        <v>18.472982223384999</v>
      </c>
    </row>
    <row r="4090" spans="1:37" x14ac:dyDescent="0.2">
      <c r="A4090" t="str">
        <f>"20200111153732505"</f>
        <v>20200111153732505</v>
      </c>
      <c r="B4090" t="str">
        <f>"1578728252496834"</f>
        <v>1578728252496834</v>
      </c>
      <c r="C4090" t="s">
        <v>37</v>
      </c>
      <c r="D4090">
        <v>5.8726240000000001</v>
      </c>
      <c r="E4090">
        <v>0.51306479999999999</v>
      </c>
      <c r="F4090" t="s">
        <v>39</v>
      </c>
      <c r="G4090">
        <v>-333.12880000000001</v>
      </c>
      <c r="H4090" s="1">
        <v>-3.30947299999999E-6</v>
      </c>
      <c r="I4090">
        <v>139.92060000000001</v>
      </c>
      <c r="J4090">
        <v>-314.56240000000003</v>
      </c>
      <c r="K4090">
        <v>1.103075</v>
      </c>
      <c r="L4090">
        <v>140.9006</v>
      </c>
      <c r="M4090">
        <v>-0.99984989999999996</v>
      </c>
      <c r="N4090">
        <v>0</v>
      </c>
      <c r="O4090">
        <v>-1.5672309999999998E-2</v>
      </c>
      <c r="P4090">
        <v>-0.99400489999999997</v>
      </c>
      <c r="Q4090">
        <v>6.1265970000000003E-2</v>
      </c>
      <c r="R4090">
        <v>-9.0558189999999997E-2</v>
      </c>
      <c r="S4090">
        <v>-3.0146790000000001</v>
      </c>
      <c r="T4090">
        <v>-0.174032399999999</v>
      </c>
      <c r="U4090">
        <v>-0.15594479999999999</v>
      </c>
      <c r="V4090">
        <v>-7.4955229999999998E-2</v>
      </c>
      <c r="W4090">
        <v>6.8628040000000001E-2</v>
      </c>
      <c r="X4090">
        <v>0.9948226</v>
      </c>
      <c r="Y4090">
        <v>-3.5967579999999999E-2</v>
      </c>
      <c r="Z4090">
        <v>-1.33332E-4</v>
      </c>
      <c r="AA4090">
        <v>0.99935289999999999</v>
      </c>
      <c r="AB4090">
        <v>53</v>
      </c>
      <c r="AC4090">
        <v>-18.566399999999899</v>
      </c>
      <c r="AD4090">
        <v>-1.1030783094729999</v>
      </c>
      <c r="AE4090">
        <v>-0.97999999999998899</v>
      </c>
      <c r="AF4090">
        <v>-0.68647688379406102</v>
      </c>
      <c r="AG4090">
        <v>-1.1030783094729999</v>
      </c>
      <c r="AH4090">
        <v>18.5143075564112</v>
      </c>
      <c r="AI4090">
        <v>93.407303264765702</v>
      </c>
      <c r="AJ4090">
        <v>92.123450653967097</v>
      </c>
      <c r="AK4090">
        <v>18.5598388075489</v>
      </c>
    </row>
    <row r="4091" spans="1:37" x14ac:dyDescent="0.2">
      <c r="A4091" t="str">
        <f>"20200111153732527"</f>
        <v>20200111153732527</v>
      </c>
      <c r="B4091" t="str">
        <f>"1578728252517432"</f>
        <v>1578728252517432</v>
      </c>
      <c r="C4091" t="s">
        <v>37</v>
      </c>
      <c r="D4091">
        <v>5.7389559999999999</v>
      </c>
      <c r="E4091">
        <v>0.51327290000000003</v>
      </c>
      <c r="F4091" t="s">
        <v>39</v>
      </c>
      <c r="G4091">
        <v>-333.92970000000003</v>
      </c>
      <c r="H4091" s="1">
        <v>-2.930588E-6</v>
      </c>
      <c r="I4091">
        <v>139.9195</v>
      </c>
      <c r="J4091">
        <v>-315.0822</v>
      </c>
      <c r="K4091">
        <v>1.1030389999999901</v>
      </c>
      <c r="L4091">
        <v>140.89250000000001</v>
      </c>
      <c r="M4091">
        <v>-0.999853199999999</v>
      </c>
      <c r="N4091">
        <v>0</v>
      </c>
      <c r="O4091">
        <v>-1.5578170000000001E-2</v>
      </c>
      <c r="P4091">
        <v>-0.99400440000000001</v>
      </c>
      <c r="Q4091">
        <v>6.1865379999999998E-2</v>
      </c>
      <c r="R4091">
        <v>-9.0155940000000004E-2</v>
      </c>
      <c r="S4091">
        <v>-3.0148009999999998</v>
      </c>
      <c r="T4091">
        <v>-0.17171029999999901</v>
      </c>
      <c r="U4091">
        <v>-0.15272520000000001</v>
      </c>
      <c r="V4091">
        <v>-7.4644489999999994E-2</v>
      </c>
      <c r="W4091">
        <v>6.9003380000000003E-2</v>
      </c>
      <c r="X4091">
        <v>0.99481989999999998</v>
      </c>
      <c r="Y4091">
        <v>-3.4997460000000001E-2</v>
      </c>
      <c r="Z4091">
        <v>-1.093202E-4</v>
      </c>
      <c r="AA4091">
        <v>0.99938739999999904</v>
      </c>
      <c r="AB4091">
        <v>53</v>
      </c>
      <c r="AC4091">
        <v>-18.8475</v>
      </c>
      <c r="AD4091">
        <v>-1.1030419305879999</v>
      </c>
      <c r="AE4091">
        <v>-0.97300000000001297</v>
      </c>
      <c r="AF4091">
        <v>-0.67695240756439201</v>
      </c>
      <c r="AG4091">
        <v>-1.1030419305879999</v>
      </c>
      <c r="AH4091">
        <v>18.796162639559999</v>
      </c>
      <c r="AI4091">
        <v>93.356346689421798</v>
      </c>
      <c r="AJ4091">
        <v>92.062642226512395</v>
      </c>
      <c r="AK4091">
        <v>18.840666018894701</v>
      </c>
    </row>
    <row r="4092" spans="1:37" x14ac:dyDescent="0.2">
      <c r="A4092" t="str">
        <f>"20200111153732549"</f>
        <v>20200111153732549</v>
      </c>
      <c r="B4092" t="str">
        <f>"1578728252536953"</f>
        <v>1578728252536953</v>
      </c>
      <c r="C4092" t="s">
        <v>37</v>
      </c>
      <c r="D4092">
        <v>5.8964540000000003</v>
      </c>
      <c r="E4092">
        <v>0.51339199999999996</v>
      </c>
      <c r="F4092" t="s">
        <v>39</v>
      </c>
      <c r="G4092">
        <v>-334.93709999999999</v>
      </c>
      <c r="H4092" s="1">
        <v>-2.4500569999999999E-6</v>
      </c>
      <c r="I4092">
        <v>139.9032</v>
      </c>
      <c r="J4092">
        <v>-315.59890000000001</v>
      </c>
      <c r="K4092">
        <v>1.1029990000000001</v>
      </c>
      <c r="L4092">
        <v>140.8845</v>
      </c>
      <c r="M4092">
        <v>-0.99985619999999997</v>
      </c>
      <c r="N4092">
        <v>0</v>
      </c>
      <c r="O4092">
        <v>-1.546935E-2</v>
      </c>
      <c r="P4092">
        <v>-0.99401260000000002</v>
      </c>
      <c r="Q4092">
        <v>6.2220289999999998E-2</v>
      </c>
      <c r="R4092">
        <v>-8.9820170000000005E-2</v>
      </c>
      <c r="S4092">
        <v>-3.0148929999999998</v>
      </c>
      <c r="T4092">
        <v>-0.1674928</v>
      </c>
      <c r="U4092">
        <v>-0.15022279999999999</v>
      </c>
      <c r="V4092">
        <v>-7.4414569999999999E-2</v>
      </c>
      <c r="W4092">
        <v>6.9159399999999996E-2</v>
      </c>
      <c r="X4092">
        <v>0.99482630000000005</v>
      </c>
      <c r="Y4092">
        <v>-3.4279730000000001E-2</v>
      </c>
      <c r="Z4092" s="1">
        <v>-9.276427E-5</v>
      </c>
      <c r="AA4092">
        <v>0.99941229999999903</v>
      </c>
      <c r="AB4092">
        <v>53</v>
      </c>
      <c r="AC4092">
        <v>-19.338199999999901</v>
      </c>
      <c r="AD4092">
        <v>-1.103001450057</v>
      </c>
      <c r="AE4092">
        <v>-0.98130000000000395</v>
      </c>
      <c r="AF4092">
        <v>-0.67982001109963597</v>
      </c>
      <c r="AG4092">
        <v>-1.103001450057</v>
      </c>
      <c r="AH4092">
        <v>19.288476913880601</v>
      </c>
      <c r="AI4092">
        <v>93.270838279946304</v>
      </c>
      <c r="AJ4092">
        <v>92.018547208004506</v>
      </c>
      <c r="AK4092">
        <v>19.331945300554299</v>
      </c>
    </row>
    <row r="4093" spans="1:37" x14ac:dyDescent="0.2">
      <c r="A4093" t="str">
        <f>"20200111153732572"</f>
        <v>20200111153732572</v>
      </c>
      <c r="B4093" t="str">
        <f>"1578728252567209"</f>
        <v>1578728252567209</v>
      </c>
      <c r="C4093" t="s">
        <v>37</v>
      </c>
      <c r="D4093">
        <v>6.1293249999999997</v>
      </c>
      <c r="E4093">
        <v>0.51342500000000002</v>
      </c>
      <c r="F4093" t="s">
        <v>39</v>
      </c>
      <c r="G4093">
        <v>-335.77850000000001</v>
      </c>
      <c r="H4093" s="1">
        <v>-2.0491419999999999E-6</v>
      </c>
      <c r="I4093">
        <v>139.8912</v>
      </c>
      <c r="J4093">
        <v>-316.14060000000001</v>
      </c>
      <c r="K4093">
        <v>1.102962</v>
      </c>
      <c r="L4093">
        <v>140.87620000000001</v>
      </c>
      <c r="M4093">
        <v>-0.99985949999999901</v>
      </c>
      <c r="N4093">
        <v>0</v>
      </c>
      <c r="O4093">
        <v>-1.534056E-2</v>
      </c>
      <c r="P4093">
        <v>-0.99406859999999997</v>
      </c>
      <c r="Q4093">
        <v>6.2010589999999997E-2</v>
      </c>
      <c r="R4093">
        <v>-8.934483E-2</v>
      </c>
      <c r="S4093">
        <v>-3.015015</v>
      </c>
      <c r="T4093">
        <v>-0.16479859999999999</v>
      </c>
      <c r="U4093">
        <v>-0.14840699999999901</v>
      </c>
      <c r="V4093">
        <v>-7.4063660000000003E-2</v>
      </c>
      <c r="W4093">
        <v>6.8762660000000003E-2</v>
      </c>
      <c r="X4093">
        <v>0.99487999999999899</v>
      </c>
      <c r="Y4093">
        <v>-3.3807480000000001E-2</v>
      </c>
      <c r="Z4093" s="1">
        <v>-8.5411070000000004E-5</v>
      </c>
      <c r="AA4093">
        <v>0.99942830000000005</v>
      </c>
      <c r="AB4093">
        <v>53</v>
      </c>
      <c r="AC4093">
        <v>-19.637899999999998</v>
      </c>
      <c r="AD4093">
        <v>-1.1029640491420001</v>
      </c>
      <c r="AE4093">
        <v>-0.98500000000001298</v>
      </c>
      <c r="AF4093">
        <v>-0.68147649406425204</v>
      </c>
      <c r="AG4093">
        <v>-1.1029640491420001</v>
      </c>
      <c r="AH4093">
        <v>19.589060917065201</v>
      </c>
      <c r="AI4093">
        <v>93.220697744181194</v>
      </c>
      <c r="AJ4093">
        <v>91.992437864383803</v>
      </c>
      <c r="AK4093">
        <v>19.6319190992158</v>
      </c>
    </row>
    <row r="4094" spans="1:37" x14ac:dyDescent="0.2">
      <c r="A4094" t="str">
        <f>"20200111153732595"</f>
        <v>20200111153732595</v>
      </c>
      <c r="B4094" t="str">
        <f>"1578728252586731"</f>
        <v>1578728252586731</v>
      </c>
      <c r="C4094" t="s">
        <v>37</v>
      </c>
      <c r="D4094">
        <v>5.8822339999999897</v>
      </c>
      <c r="E4094">
        <v>0.51350609999999997</v>
      </c>
      <c r="F4094" t="s">
        <v>39</v>
      </c>
      <c r="G4094">
        <v>-336.52539999999999</v>
      </c>
      <c r="H4094" s="1">
        <v>-1.693707E-6</v>
      </c>
      <c r="I4094">
        <v>139.88229999999999</v>
      </c>
      <c r="J4094">
        <v>-316.70589999999999</v>
      </c>
      <c r="K4094">
        <v>1.102922</v>
      </c>
      <c r="L4094">
        <v>140.86760000000001</v>
      </c>
      <c r="M4094">
        <v>-0.99986299999999995</v>
      </c>
      <c r="N4094">
        <v>0</v>
      </c>
      <c r="O4094">
        <v>-1.519122E-2</v>
      </c>
      <c r="P4094">
        <v>-0.994123599999999</v>
      </c>
      <c r="Q4094">
        <v>6.2233629999999998E-2</v>
      </c>
      <c r="R4094">
        <v>-8.8574650000000005E-2</v>
      </c>
      <c r="S4094">
        <v>-3.0148320000000002</v>
      </c>
      <c r="T4094">
        <v>-0.1631242</v>
      </c>
      <c r="U4094">
        <v>-0.14698789999999901</v>
      </c>
      <c r="V4094">
        <v>-7.3438130000000004E-2</v>
      </c>
      <c r="W4094">
        <v>6.8814050000000002E-2</v>
      </c>
      <c r="X4094">
        <v>0.9949228</v>
      </c>
      <c r="Y4094">
        <v>-3.349125E-2</v>
      </c>
      <c r="Z4094" s="1">
        <v>-8.4075260000000002E-5</v>
      </c>
      <c r="AA4094">
        <v>0.99943899999999997</v>
      </c>
      <c r="AB4094">
        <v>53</v>
      </c>
      <c r="AC4094">
        <v>-19.819500000000001</v>
      </c>
      <c r="AD4094">
        <v>-1.1029236937069999</v>
      </c>
      <c r="AE4094">
        <v>-0.98530000000002305</v>
      </c>
      <c r="AF4094">
        <v>-0.68199066358027005</v>
      </c>
      <c r="AG4094">
        <v>-1.1029236937069999</v>
      </c>
      <c r="AH4094">
        <v>19.771105953748901</v>
      </c>
      <c r="AI4094">
        <v>93.191020233590905</v>
      </c>
      <c r="AJ4094">
        <v>91.975595086559295</v>
      </c>
      <c r="AK4094">
        <v>19.813585808069099</v>
      </c>
    </row>
    <row r="4095" spans="1:37" x14ac:dyDescent="0.2">
      <c r="A4095" t="str">
        <f>"20200111153732617"</f>
        <v>20200111153732617</v>
      </c>
      <c r="B4095" t="str">
        <f>"1578728252607225"</f>
        <v>1578728252607225</v>
      </c>
      <c r="C4095" t="s">
        <v>37</v>
      </c>
      <c r="D4095">
        <v>5.8942620000000003</v>
      </c>
      <c r="E4095">
        <v>0.51350620000000002</v>
      </c>
      <c r="F4095" t="s">
        <v>39</v>
      </c>
      <c r="G4095">
        <v>-337.200999999999</v>
      </c>
      <c r="H4095" s="1">
        <v>-1.375516E-6</v>
      </c>
      <c r="I4095">
        <v>139.88659999999999</v>
      </c>
      <c r="J4095">
        <v>-317.23570000000001</v>
      </c>
      <c r="K4095">
        <v>1.102892</v>
      </c>
      <c r="L4095">
        <v>140.8596</v>
      </c>
      <c r="M4095">
        <v>-0.99986620000000004</v>
      </c>
      <c r="N4095">
        <v>0</v>
      </c>
      <c r="O4095">
        <v>-1.5039500000000001E-2</v>
      </c>
      <c r="P4095">
        <v>-0.99420699999999995</v>
      </c>
      <c r="Q4095">
        <v>6.2019119999999997E-2</v>
      </c>
      <c r="R4095">
        <v>-8.7783399999999998E-2</v>
      </c>
      <c r="S4095">
        <v>-3.0150450000000002</v>
      </c>
      <c r="T4095">
        <v>-0.16225209999999901</v>
      </c>
      <c r="U4095">
        <v>-0.1443024</v>
      </c>
      <c r="V4095">
        <v>-7.2794209999999998E-2</v>
      </c>
      <c r="W4095">
        <v>6.8460110000000005E-2</v>
      </c>
      <c r="X4095">
        <v>0.99499459999999995</v>
      </c>
      <c r="Y4095">
        <v>-3.2752450000000002E-2</v>
      </c>
      <c r="Z4095" s="1">
        <v>-7.1920220000000004E-5</v>
      </c>
      <c r="AA4095">
        <v>0.99946349999999995</v>
      </c>
      <c r="AB4095">
        <v>54</v>
      </c>
      <c r="AC4095">
        <v>-19.9652999999999</v>
      </c>
      <c r="AD4095">
        <v>-1.102893375516</v>
      </c>
      <c r="AE4095">
        <v>-0.97300000000001297</v>
      </c>
      <c r="AF4095">
        <v>-0.67057418695874105</v>
      </c>
      <c r="AG4095">
        <v>-1.102893375516</v>
      </c>
      <c r="AH4095">
        <v>19.917042445963101</v>
      </c>
      <c r="AI4095">
        <v>93.167688710370399</v>
      </c>
      <c r="AJ4095">
        <v>91.928326618867203</v>
      </c>
      <c r="AK4095">
        <v>19.958823195075102</v>
      </c>
    </row>
    <row r="4096" spans="1:37" x14ac:dyDescent="0.2">
      <c r="A4096" t="str">
        <f>"20200111153732641"</f>
        <v>20200111153732641</v>
      </c>
      <c r="B4096" t="str">
        <f>"1578728252637482"</f>
        <v>1578728252637482</v>
      </c>
      <c r="C4096" t="s">
        <v>37</v>
      </c>
      <c r="D4096">
        <v>6.1286360000000002</v>
      </c>
      <c r="E4096">
        <v>0.51350119999999999</v>
      </c>
      <c r="F4096" t="s">
        <v>39</v>
      </c>
      <c r="G4096">
        <v>-337.90969999999999</v>
      </c>
      <c r="H4096" s="1">
        <v>-1.0399649999999899E-6</v>
      </c>
      <c r="I4096">
        <v>139.88460000000001</v>
      </c>
      <c r="J4096">
        <v>-317.78440000000001</v>
      </c>
      <c r="K4096">
        <v>1.102859</v>
      </c>
      <c r="L4096">
        <v>140.85140000000001</v>
      </c>
      <c r="M4096">
        <v>-0.99986939999999902</v>
      </c>
      <c r="N4096">
        <v>0</v>
      </c>
      <c r="O4096">
        <v>-1.4873549999999999E-2</v>
      </c>
      <c r="P4096">
        <v>-0.99428150000000004</v>
      </c>
      <c r="Q4096">
        <v>6.1899419999999997E-2</v>
      </c>
      <c r="R4096">
        <v>-8.702327E-2</v>
      </c>
      <c r="S4096">
        <v>-3.0149539999999999</v>
      </c>
      <c r="T4096">
        <v>-0.1608385</v>
      </c>
      <c r="U4096">
        <v>-0.14218139999999899</v>
      </c>
      <c r="V4096">
        <v>-7.2195709999999996E-2</v>
      </c>
      <c r="W4096">
        <v>6.8216540000000006E-2</v>
      </c>
      <c r="X4096">
        <v>0.99505489999999996</v>
      </c>
      <c r="Y4096">
        <v>-3.2219230000000001E-2</v>
      </c>
      <c r="Z4096" s="1">
        <v>-6.5932109999999999E-5</v>
      </c>
      <c r="AA4096">
        <v>0.99948079999999995</v>
      </c>
      <c r="AB4096">
        <v>54</v>
      </c>
      <c r="AC4096">
        <v>-20.1252999999999</v>
      </c>
      <c r="AD4096">
        <v>-1.1028600399649999</v>
      </c>
      <c r="AE4096">
        <v>-0.96680000000000599</v>
      </c>
      <c r="AF4096">
        <v>-0.66535893821717595</v>
      </c>
      <c r="AG4096">
        <v>-1.1028600399649999</v>
      </c>
      <c r="AH4096">
        <v>20.077300321671601</v>
      </c>
      <c r="AI4096">
        <v>93.142415472340403</v>
      </c>
      <c r="AJ4096">
        <v>91.898079506269497</v>
      </c>
      <c r="AK4096">
        <v>20.1185732841823</v>
      </c>
    </row>
    <row r="4097" spans="1:37" x14ac:dyDescent="0.2">
      <c r="A4097" t="str">
        <f>"20200111153732661"</f>
        <v>20200111153732661</v>
      </c>
      <c r="B4097" t="str">
        <f>"1578728252657001"</f>
        <v>1578728252657001</v>
      </c>
      <c r="C4097" t="s">
        <v>37</v>
      </c>
      <c r="D4097">
        <v>5.8996190000000004</v>
      </c>
      <c r="E4097">
        <v>0.51341270000000006</v>
      </c>
      <c r="F4097" t="s">
        <v>39</v>
      </c>
      <c r="G4097">
        <v>-338.50360000000001</v>
      </c>
      <c r="H4097" s="1">
        <v>-7.6102369999999904E-7</v>
      </c>
      <c r="I4097">
        <v>139.8914</v>
      </c>
      <c r="J4097">
        <v>-318.30220000000003</v>
      </c>
      <c r="K4097">
        <v>1.102822</v>
      </c>
      <c r="L4097">
        <v>140.84370000000001</v>
      </c>
      <c r="M4097">
        <v>-0.99987250000000005</v>
      </c>
      <c r="N4097">
        <v>0</v>
      </c>
      <c r="O4097">
        <v>-1.47108E-2</v>
      </c>
      <c r="P4097">
        <v>-0.99433549999999904</v>
      </c>
      <c r="Q4097">
        <v>6.1477980000000002E-2</v>
      </c>
      <c r="R4097">
        <v>-8.6705409999999997E-2</v>
      </c>
      <c r="S4097">
        <v>-3.0149840000000001</v>
      </c>
      <c r="T4097">
        <v>-0.16048419999999999</v>
      </c>
      <c r="U4097">
        <v>-0.13969419999999999</v>
      </c>
      <c r="V4097">
        <v>-7.2036939999999994E-2</v>
      </c>
      <c r="W4097">
        <v>6.7697519999999997E-2</v>
      </c>
      <c r="X4097">
        <v>0.99510189999999998</v>
      </c>
      <c r="Y4097">
        <v>-3.1559539999999997E-2</v>
      </c>
      <c r="Z4097" s="1">
        <v>-5.6901660000000002E-5</v>
      </c>
      <c r="AA4097">
        <v>0.99950190000000005</v>
      </c>
      <c r="AB4097">
        <v>54</v>
      </c>
      <c r="AC4097">
        <v>-20.2013999999999</v>
      </c>
      <c r="AD4097">
        <v>-1.1028227610237</v>
      </c>
      <c r="AE4097">
        <v>-0.95230000000000703</v>
      </c>
      <c r="AF4097">
        <v>-0.653070481626842</v>
      </c>
      <c r="AG4097">
        <v>-1.1028227610237</v>
      </c>
      <c r="AH4097">
        <v>20.153295188135701</v>
      </c>
      <c r="AI4097">
        <v>93.130559075952405</v>
      </c>
      <c r="AJ4097">
        <v>91.856028638909905</v>
      </c>
      <c r="AK4097">
        <v>20.1940096572309</v>
      </c>
    </row>
    <row r="4098" spans="1:37" x14ac:dyDescent="0.2">
      <c r="A4098" t="str">
        <f>"20200111153732696"</f>
        <v>20200111153732696</v>
      </c>
      <c r="B4098" t="str">
        <f>"1578728252687259"</f>
        <v>1578728252687259</v>
      </c>
      <c r="C4098" t="s">
        <v>37</v>
      </c>
      <c r="D4098">
        <v>5.8699139999999996</v>
      </c>
      <c r="E4098">
        <v>0.51336459999999995</v>
      </c>
      <c r="F4098" t="s">
        <v>39</v>
      </c>
      <c r="G4098">
        <v>-338.83170000000001</v>
      </c>
      <c r="H4098" s="1">
        <v>-6.0695139999999996E-7</v>
      </c>
      <c r="I4098">
        <v>139.89519999999999</v>
      </c>
      <c r="J4098">
        <v>-319.12810000000002</v>
      </c>
      <c r="K4098">
        <v>1.1027910000000001</v>
      </c>
      <c r="L4098">
        <v>140.83170000000001</v>
      </c>
      <c r="M4098">
        <v>-0.99987729999999997</v>
      </c>
      <c r="N4098">
        <v>0</v>
      </c>
      <c r="O4098">
        <v>-1.444435E-2</v>
      </c>
      <c r="P4098">
        <v>-0.99431139999999996</v>
      </c>
      <c r="Q4098">
        <v>6.1989740000000002E-2</v>
      </c>
      <c r="R4098">
        <v>-8.6615520000000001E-2</v>
      </c>
      <c r="S4098">
        <v>-3.0149539999999999</v>
      </c>
      <c r="T4098">
        <v>-0.16196070000000001</v>
      </c>
      <c r="U4098">
        <v>-0.13929749999999999</v>
      </c>
      <c r="V4098">
        <v>-7.2209659999999995E-2</v>
      </c>
      <c r="W4098">
        <v>6.8081439999999993E-2</v>
      </c>
      <c r="X4098">
        <v>0.99506309999999998</v>
      </c>
      <c r="Y4098">
        <v>-3.1694109999999998E-2</v>
      </c>
      <c r="Z4098" s="1">
        <v>-7.5328340000000005E-5</v>
      </c>
      <c r="AA4098">
        <v>0.99949759999999999</v>
      </c>
      <c r="AB4098">
        <v>54</v>
      </c>
      <c r="AC4098">
        <v>-19.703599999999899</v>
      </c>
      <c r="AD4098">
        <v>-1.1027916069514001</v>
      </c>
      <c r="AE4098">
        <v>-0.93650000000002298</v>
      </c>
      <c r="AF4098">
        <v>-0.64976056304548802</v>
      </c>
      <c r="AG4098">
        <v>-1.1027916069514001</v>
      </c>
      <c r="AH4098">
        <v>19.653644790585901</v>
      </c>
      <c r="AI4098">
        <v>93.209823094833794</v>
      </c>
      <c r="AJ4098">
        <v>91.893541052234099</v>
      </c>
      <c r="AK4098">
        <v>19.695280949308</v>
      </c>
    </row>
    <row r="4099" spans="1:37" x14ac:dyDescent="0.2">
      <c r="A4099" t="str">
        <f>"20200111153732717"</f>
        <v>20200111153732717</v>
      </c>
      <c r="B4099" t="str">
        <f>"1578728252707285"</f>
        <v>1578728252707285</v>
      </c>
      <c r="C4099" t="s">
        <v>37</v>
      </c>
      <c r="D4099">
        <v>5.908614</v>
      </c>
      <c r="E4099">
        <v>0.51340479999999999</v>
      </c>
      <c r="F4099" t="s">
        <v>39</v>
      </c>
      <c r="G4099">
        <v>-339.89319999999998</v>
      </c>
      <c r="H4099" s="1">
        <v>-9.8334739999999997E-8</v>
      </c>
      <c r="I4099">
        <v>139.86969999999999</v>
      </c>
      <c r="J4099">
        <v>-319.65089999999998</v>
      </c>
      <c r="K4099">
        <v>1.1027719999999901</v>
      </c>
      <c r="L4099">
        <v>140.82419999999999</v>
      </c>
      <c r="M4099">
        <v>-0.99988009999999905</v>
      </c>
      <c r="N4099">
        <v>0</v>
      </c>
      <c r="O4099">
        <v>-1.42727999999999E-2</v>
      </c>
      <c r="P4099">
        <v>-0.99427649999999901</v>
      </c>
      <c r="Q4099">
        <v>6.2000390000000002E-2</v>
      </c>
      <c r="R4099">
        <v>-8.700716E-2</v>
      </c>
      <c r="S4099">
        <v>-3.0149840000000001</v>
      </c>
      <c r="T4099">
        <v>-0.1601194</v>
      </c>
      <c r="U4099">
        <v>-0.139679</v>
      </c>
      <c r="V4099">
        <v>-7.2770280000000007E-2</v>
      </c>
      <c r="W4099">
        <v>6.8029580000000006E-2</v>
      </c>
      <c r="X4099">
        <v>0.99502590000000002</v>
      </c>
      <c r="Y4099">
        <v>-3.1991230000000002E-2</v>
      </c>
      <c r="Z4099" s="1">
        <v>-9.1449820000000001E-5</v>
      </c>
      <c r="AA4099">
        <v>0.99948819999999905</v>
      </c>
      <c r="AB4099">
        <v>54</v>
      </c>
      <c r="AC4099">
        <v>-20.2423</v>
      </c>
      <c r="AD4099">
        <v>-1.10277209833473</v>
      </c>
      <c r="AE4099">
        <v>-0.95449999999999602</v>
      </c>
      <c r="AF4099">
        <v>-0.66351836019136101</v>
      </c>
      <c r="AG4099">
        <v>-1.10277209833473</v>
      </c>
      <c r="AH4099">
        <v>20.194060307677301</v>
      </c>
      <c r="AI4099">
        <v>93.124062871447293</v>
      </c>
      <c r="AJ4099">
        <v>91.881896414076394</v>
      </c>
      <c r="AK4099">
        <v>20.235029889409301</v>
      </c>
    </row>
    <row r="4100" spans="1:37" x14ac:dyDescent="0.2">
      <c r="A4100" t="str">
        <f>"20200111153732739"</f>
        <v>20200111153732739</v>
      </c>
      <c r="B4100" t="str">
        <f>"1578728252726806"</f>
        <v>1578728252726806</v>
      </c>
      <c r="C4100" t="s">
        <v>37</v>
      </c>
      <c r="D4100">
        <v>6.005795</v>
      </c>
      <c r="E4100">
        <v>0.54118509999999997</v>
      </c>
      <c r="F4100" t="s">
        <v>39</v>
      </c>
      <c r="G4100">
        <v>-340.47320000000002</v>
      </c>
      <c r="H4100" s="1">
        <v>-4.1323350000000001E-6</v>
      </c>
      <c r="I4100">
        <v>139.85339999999999</v>
      </c>
      <c r="J4100">
        <v>-320.1789</v>
      </c>
      <c r="K4100">
        <v>1.1027530000000001</v>
      </c>
      <c r="L4100">
        <v>140.81659999999999</v>
      </c>
      <c r="M4100">
        <v>-0.99988279999999996</v>
      </c>
      <c r="N4100">
        <v>0</v>
      </c>
      <c r="O4100">
        <v>-1.409726E-2</v>
      </c>
      <c r="P4100">
        <v>-0.99422350000000004</v>
      </c>
      <c r="Q4100">
        <v>6.1902459999999999E-2</v>
      </c>
      <c r="R4100">
        <v>-8.7681599999999998E-2</v>
      </c>
      <c r="S4100">
        <v>-3.0149539999999999</v>
      </c>
      <c r="T4100">
        <v>-0.15967619999999999</v>
      </c>
      <c r="U4100">
        <v>-0.1405487</v>
      </c>
      <c r="V4100">
        <v>-7.3618340000000004E-2</v>
      </c>
      <c r="W4100">
        <v>6.789162E-2</v>
      </c>
      <c r="X4100">
        <v>0.99497289999999905</v>
      </c>
      <c r="Y4100">
        <v>-3.2454129999999998E-2</v>
      </c>
      <c r="Z4100">
        <v>-1.1272370000000001E-4</v>
      </c>
      <c r="AA4100">
        <v>0.99947319999999995</v>
      </c>
      <c r="AB4100">
        <v>54</v>
      </c>
      <c r="AC4100">
        <v>-20.2943</v>
      </c>
      <c r="AD4100">
        <v>-1.1027571323350001</v>
      </c>
      <c r="AE4100">
        <v>-0.96319999999999995</v>
      </c>
      <c r="AF4100">
        <v>-0.67501655188310195</v>
      </c>
      <c r="AG4100">
        <v>-1.1027571323350001</v>
      </c>
      <c r="AH4100">
        <v>20.246216397973502</v>
      </c>
      <c r="AI4100">
        <v>93.115938987238806</v>
      </c>
      <c r="AJ4100">
        <v>91.909555739266196</v>
      </c>
      <c r="AK4100">
        <v>20.287459157612702</v>
      </c>
    </row>
    <row r="4101" spans="1:37" x14ac:dyDescent="0.2">
      <c r="A4101" t="str">
        <f>"20200111153732761"</f>
        <v>20200111153732761</v>
      </c>
      <c r="B4101" t="str">
        <f>"1578728252757062"</f>
        <v>1578728252757062</v>
      </c>
      <c r="C4101" t="s">
        <v>37</v>
      </c>
      <c r="D4101">
        <v>6.2231759999999996</v>
      </c>
      <c r="E4101">
        <v>0.55292439999999998</v>
      </c>
      <c r="F4101" t="s">
        <v>39</v>
      </c>
      <c r="G4101">
        <v>-350.52370000000002</v>
      </c>
      <c r="H4101" s="1">
        <v>-4.446395E-6</v>
      </c>
      <c r="I4101">
        <v>141.5814</v>
      </c>
      <c r="J4101">
        <v>-320.72980000000001</v>
      </c>
      <c r="K4101">
        <v>1.1027439999999999</v>
      </c>
      <c r="L4101">
        <v>140.80889999999999</v>
      </c>
      <c r="M4101">
        <v>-0.99988539999999904</v>
      </c>
      <c r="N4101">
        <v>0</v>
      </c>
      <c r="O4101">
        <v>-1.390869E-2</v>
      </c>
      <c r="P4101">
        <v>-0.99418030000000002</v>
      </c>
      <c r="Q4101">
        <v>6.2048609999999997E-2</v>
      </c>
      <c r="R4101">
        <v>-8.8066489999999997E-2</v>
      </c>
      <c r="S4101">
        <v>-3.0310359999999998</v>
      </c>
      <c r="T4101">
        <v>-0.1101506</v>
      </c>
      <c r="U4101">
        <v>7.6400759999999998E-2</v>
      </c>
      <c r="V4101">
        <v>-7.4189779999999997E-2</v>
      </c>
      <c r="W4101">
        <v>6.8033399999999994E-2</v>
      </c>
      <c r="X4101">
        <v>0.99492080000000005</v>
      </c>
      <c r="Y4101">
        <v>3.9065290000000003E-2</v>
      </c>
      <c r="Z4101">
        <v>1.214714E-3</v>
      </c>
      <c r="AA4101">
        <v>0.99923589999999995</v>
      </c>
      <c r="AB4101">
        <v>54</v>
      </c>
      <c r="AC4101">
        <v>-29.793900000000001</v>
      </c>
      <c r="AD4101">
        <v>-1.1027484463949999</v>
      </c>
      <c r="AE4101">
        <v>0.77250000000000696</v>
      </c>
      <c r="AF4101">
        <v>1.18520424104626</v>
      </c>
      <c r="AG4101">
        <v>-1.1027484463949999</v>
      </c>
      <c r="AH4101">
        <v>29.7395595354336</v>
      </c>
      <c r="AI4101">
        <v>92.121882526479496</v>
      </c>
      <c r="AJ4101">
        <v>87.717811390723</v>
      </c>
      <c r="AK4101">
        <v>29.783588846722601</v>
      </c>
    </row>
    <row r="4102" spans="1:37" x14ac:dyDescent="0.2">
      <c r="A4102" t="str">
        <f>"20200111153732785"</f>
        <v>20200111153732785</v>
      </c>
      <c r="B4102" t="str">
        <f>"1578728252777557"</f>
        <v>1578728252777557</v>
      </c>
      <c r="C4102" t="s">
        <v>37</v>
      </c>
      <c r="D4102">
        <v>6.0106479999999998</v>
      </c>
      <c r="E4102">
        <v>0.5543093</v>
      </c>
      <c r="F4102" t="s">
        <v>38</v>
      </c>
      <c r="G4102">
        <v>-321.90010000000001</v>
      </c>
      <c r="H4102">
        <v>1.0484610000000001</v>
      </c>
      <c r="I4102">
        <v>140.87450000000001</v>
      </c>
      <c r="J4102">
        <v>-321.30650000000003</v>
      </c>
      <c r="K4102">
        <v>1.102743</v>
      </c>
      <c r="L4102">
        <v>140.80090000000001</v>
      </c>
      <c r="M4102">
        <v>-0.99988809999999995</v>
      </c>
      <c r="N4102">
        <v>0</v>
      </c>
      <c r="O4102">
        <v>-1.370354E-2</v>
      </c>
      <c r="P4102">
        <v>-0.99416849999999901</v>
      </c>
      <c r="Q4102">
        <v>6.1707369999999998E-2</v>
      </c>
      <c r="R4102">
        <v>-8.8437100000000005E-2</v>
      </c>
      <c r="S4102">
        <v>-3.0414430000000001</v>
      </c>
      <c r="T4102">
        <v>-0.14105419999999999</v>
      </c>
      <c r="U4102">
        <v>0.1701355</v>
      </c>
      <c r="V4102">
        <v>-7.4762490000000001E-2</v>
      </c>
      <c r="W4102">
        <v>6.7732710000000002E-2</v>
      </c>
      <c r="X4102">
        <v>0.99489839999999996</v>
      </c>
      <c r="Y4102">
        <v>6.9439810000000005E-2</v>
      </c>
      <c r="Z4102">
        <v>2.2428529999999999E-3</v>
      </c>
      <c r="AA4102">
        <v>0.99758359999999902</v>
      </c>
      <c r="AB4102">
        <v>55</v>
      </c>
      <c r="AC4102">
        <v>-0.59359999999998003</v>
      </c>
      <c r="AD4102">
        <v>-5.42819999999999E-2</v>
      </c>
      <c r="AE4102">
        <v>7.3599999999999E-2</v>
      </c>
      <c r="AF4102">
        <v>8.1060073830047999E-2</v>
      </c>
      <c r="AG4102">
        <v>-5.42819999999999E-2</v>
      </c>
      <c r="AH4102">
        <v>0.58769560324616199</v>
      </c>
      <c r="AI4102">
        <v>95.227886857307993</v>
      </c>
      <c r="AJ4102">
        <v>82.146819556651295</v>
      </c>
      <c r="AK4102">
        <v>0.59573768822209205</v>
      </c>
    </row>
    <row r="4103" spans="1:37" x14ac:dyDescent="0.2">
      <c r="A4103" t="str">
        <f>"20200111153732806"</f>
        <v>20200111153732806</v>
      </c>
      <c r="B4103" t="str">
        <f>"1578728252797077"</f>
        <v>1578728252797077</v>
      </c>
      <c r="C4103" t="s">
        <v>37</v>
      </c>
      <c r="D4103">
        <v>5.9812079999999996</v>
      </c>
      <c r="E4103">
        <v>0.55413869999999998</v>
      </c>
      <c r="F4103" t="s">
        <v>38</v>
      </c>
      <c r="G4103">
        <v>-322.3947</v>
      </c>
      <c r="H4103">
        <v>1.053231</v>
      </c>
      <c r="I4103">
        <v>140.8656</v>
      </c>
      <c r="J4103">
        <v>-321.84350000000001</v>
      </c>
      <c r="K4103">
        <v>1.1027480000000001</v>
      </c>
      <c r="L4103">
        <v>140.7936</v>
      </c>
      <c r="M4103">
        <v>-0.99989039999999996</v>
      </c>
      <c r="N4103">
        <v>0</v>
      </c>
      <c r="O4103">
        <v>-1.350468E-2</v>
      </c>
      <c r="P4103">
        <v>-0.99415489999999995</v>
      </c>
      <c r="Q4103">
        <v>6.1446559999999997E-2</v>
      </c>
      <c r="R4103">
        <v>-8.8773679999999994E-2</v>
      </c>
      <c r="S4103">
        <v>-3.0422060000000002</v>
      </c>
      <c r="T4103">
        <v>-0.1384956</v>
      </c>
      <c r="U4103">
        <v>0.17997739999999901</v>
      </c>
      <c r="V4103">
        <v>-7.5294780000000006E-2</v>
      </c>
      <c r="W4103">
        <v>6.7543370000000005E-2</v>
      </c>
      <c r="X4103">
        <v>0.99487109999999901</v>
      </c>
      <c r="Y4103">
        <v>7.2444159999999994E-2</v>
      </c>
      <c r="Z4103">
        <v>2.26071E-3</v>
      </c>
      <c r="AA4103">
        <v>0.99736990000000003</v>
      </c>
      <c r="AB4103">
        <v>55</v>
      </c>
      <c r="AC4103">
        <v>-0.55119999999999403</v>
      </c>
      <c r="AD4103">
        <v>-4.9516999999999999E-2</v>
      </c>
      <c r="AE4103">
        <v>7.2000000000002701E-2</v>
      </c>
      <c r="AF4103">
        <v>7.8811983791289605E-2</v>
      </c>
      <c r="AG4103">
        <v>-4.9516999999999999E-2</v>
      </c>
      <c r="AH4103">
        <v>0.54584613294961404</v>
      </c>
      <c r="AI4103">
        <v>95.130544319724095</v>
      </c>
      <c r="AJ4103">
        <v>81.784128125605804</v>
      </c>
      <c r="AK4103">
        <v>0.55372489824295101</v>
      </c>
    </row>
    <row r="4104" spans="1:37" x14ac:dyDescent="0.2">
      <c r="A4104" t="str">
        <f>"20200111153732828"</f>
        <v>20200111153732828</v>
      </c>
      <c r="B4104" t="str">
        <f>"1578728252817573"</f>
        <v>1578728252817573</v>
      </c>
      <c r="C4104" t="s">
        <v>37</v>
      </c>
      <c r="D4104">
        <v>5.9876629999999897</v>
      </c>
      <c r="E4104">
        <v>0.55435159999999895</v>
      </c>
      <c r="F4104" t="s">
        <v>38</v>
      </c>
      <c r="G4104">
        <v>-322.8888</v>
      </c>
      <c r="H4104">
        <v>1.0567299999999999</v>
      </c>
      <c r="I4104">
        <v>140.85480000000001</v>
      </c>
      <c r="J4104">
        <v>-322.37139999999999</v>
      </c>
      <c r="K4104">
        <v>1.1027499999999999</v>
      </c>
      <c r="L4104">
        <v>140.78649999999999</v>
      </c>
      <c r="M4104">
        <v>-0.99989240000000001</v>
      </c>
      <c r="N4104">
        <v>0</v>
      </c>
      <c r="O4104">
        <v>-1.3298330000000001E-2</v>
      </c>
      <c r="P4104">
        <v>-0.99414599999999897</v>
      </c>
      <c r="Q4104">
        <v>6.1345549999999999E-2</v>
      </c>
      <c r="R4104">
        <v>-8.8942649999999998E-2</v>
      </c>
      <c r="S4104">
        <v>-3.0418090000000002</v>
      </c>
      <c r="T4104">
        <v>-0.1339455</v>
      </c>
      <c r="U4104">
        <v>0.17747499999999999</v>
      </c>
      <c r="V4104">
        <v>-7.5666559999999994E-2</v>
      </c>
      <c r="W4104">
        <v>6.7569050000000005E-2</v>
      </c>
      <c r="X4104">
        <v>0.99484119999999998</v>
      </c>
      <c r="Y4104">
        <v>7.1435150000000003E-2</v>
      </c>
      <c r="Z4104">
        <v>2.1555860000000001E-3</v>
      </c>
      <c r="AA4104">
        <v>0.99744290000000002</v>
      </c>
      <c r="AB4104">
        <v>55</v>
      </c>
      <c r="AC4104">
        <v>-0.51740000000000896</v>
      </c>
      <c r="AD4104">
        <v>-4.6019999999999901E-2</v>
      </c>
      <c r="AE4104">
        <v>6.8300000000021996E-2</v>
      </c>
      <c r="AF4104">
        <v>7.4594625047262303E-2</v>
      </c>
      <c r="AG4104">
        <v>-4.6019999999999901E-2</v>
      </c>
      <c r="AH4104">
        <v>0.51246122461138299</v>
      </c>
      <c r="AI4104">
        <v>95.078272835178296</v>
      </c>
      <c r="AJ4104">
        <v>81.718106130443104</v>
      </c>
      <c r="AK4104">
        <v>0.51990259204598999</v>
      </c>
    </row>
    <row r="4105" spans="1:37" x14ac:dyDescent="0.2">
      <c r="A4105" t="str">
        <f>"20200111153732850"</f>
        <v>20200111153732850</v>
      </c>
      <c r="B4105" t="str">
        <f>"1578728252837093"</f>
        <v>1578728252837093</v>
      </c>
      <c r="C4105" t="s">
        <v>37</v>
      </c>
      <c r="D4105">
        <v>6.0071820000000002</v>
      </c>
      <c r="E4105">
        <v>0.55442400000000003</v>
      </c>
      <c r="F4105" t="s">
        <v>39</v>
      </c>
      <c r="G4105">
        <v>-347.72399999999999</v>
      </c>
      <c r="H4105" s="1">
        <v>-1.66625999999999E-6</v>
      </c>
      <c r="I4105">
        <v>142.27539999999999</v>
      </c>
      <c r="J4105">
        <v>-322.91149999999999</v>
      </c>
      <c r="K4105">
        <v>1.1027709999999999</v>
      </c>
      <c r="L4105">
        <v>140.77940000000001</v>
      </c>
      <c r="M4105">
        <v>-0.9998939</v>
      </c>
      <c r="N4105">
        <v>0</v>
      </c>
      <c r="O4105">
        <v>-1.3072200000000001E-2</v>
      </c>
      <c r="P4105">
        <v>-0.99416439999999995</v>
      </c>
      <c r="Q4105">
        <v>6.0635149999999999E-2</v>
      </c>
      <c r="R4105">
        <v>-8.9222889999999999E-2</v>
      </c>
      <c r="S4105">
        <v>-3.0418090000000002</v>
      </c>
      <c r="T4105">
        <v>-0.13230899999999901</v>
      </c>
      <c r="U4105">
        <v>0.1786499</v>
      </c>
      <c r="V4105">
        <v>-7.6169539999999994E-2</v>
      </c>
      <c r="W4105">
        <v>6.7083799999999999E-2</v>
      </c>
      <c r="X4105">
        <v>0.99483569999999999</v>
      </c>
      <c r="Y4105">
        <v>7.1595590000000001E-2</v>
      </c>
      <c r="Z4105">
        <v>2.1229109999999999E-3</v>
      </c>
      <c r="AA4105">
        <v>0.99743150000000003</v>
      </c>
      <c r="AB4105">
        <v>55</v>
      </c>
      <c r="AC4105">
        <v>-24.8125</v>
      </c>
      <c r="AD4105">
        <v>-1.1027726662599999</v>
      </c>
      <c r="AE4105">
        <v>1.49599999999998</v>
      </c>
      <c r="AF4105">
        <v>1.8166574022701201</v>
      </c>
      <c r="AG4105">
        <v>-1.1027726662599999</v>
      </c>
      <c r="AH4105">
        <v>24.742127528249</v>
      </c>
      <c r="AI4105">
        <v>92.5451787334204</v>
      </c>
      <c r="AJ4105">
        <v>85.800669953411003</v>
      </c>
      <c r="AK4105">
        <v>24.833228269695599</v>
      </c>
    </row>
    <row r="4106" spans="1:37" x14ac:dyDescent="0.2">
      <c r="A4106" t="str">
        <f>"20200111153732873"</f>
        <v>20200111153732873</v>
      </c>
      <c r="B4106" t="str">
        <f>"1578728252867349"</f>
        <v>1578728252867349</v>
      </c>
      <c r="C4106" t="s">
        <v>37</v>
      </c>
      <c r="D4106">
        <v>5.9956370000000003</v>
      </c>
      <c r="E4106">
        <v>0.55443659999999995</v>
      </c>
      <c r="F4106" t="s">
        <v>39</v>
      </c>
      <c r="G4106">
        <v>-347.29300000000001</v>
      </c>
      <c r="H4106" s="1">
        <v>-1.8339949999999901E-6</v>
      </c>
      <c r="I4106">
        <v>142.21100000000001</v>
      </c>
      <c r="J4106">
        <v>-323.47750000000002</v>
      </c>
      <c r="K4106">
        <v>1.102811</v>
      </c>
      <c r="L4106">
        <v>140.77209999999999</v>
      </c>
      <c r="M4106">
        <v>-0.99989490000000003</v>
      </c>
      <c r="N4106">
        <v>0</v>
      </c>
      <c r="O4106">
        <v>-1.281475E-2</v>
      </c>
      <c r="P4106">
        <v>-0.99428809999999901</v>
      </c>
      <c r="Q4106">
        <v>5.9066559999999997E-2</v>
      </c>
      <c r="R4106">
        <v>-8.8895859999999993E-2</v>
      </c>
      <c r="S4106">
        <v>-3.0420529999999899</v>
      </c>
      <c r="T4106">
        <v>-0.13759170000000001</v>
      </c>
      <c r="U4106">
        <v>0.1786346</v>
      </c>
      <c r="V4106">
        <v>-7.6094040000000002E-2</v>
      </c>
      <c r="W4106">
        <v>6.5881490000000001E-2</v>
      </c>
      <c r="X4106">
        <v>0.99492169999999902</v>
      </c>
      <c r="Y4106">
        <v>7.1323209999999998E-2</v>
      </c>
      <c r="Z4106">
        <v>2.1896329999999999E-3</v>
      </c>
      <c r="AA4106">
        <v>0.99745079999999997</v>
      </c>
      <c r="AB4106">
        <v>55</v>
      </c>
      <c r="AC4106">
        <v>-23.815499999999901</v>
      </c>
      <c r="AD4106">
        <v>-1.1028128339950001</v>
      </c>
      <c r="AE4106">
        <v>1.4389000000000101</v>
      </c>
      <c r="AF4106">
        <v>1.74026048035099</v>
      </c>
      <c r="AG4106">
        <v>-1.1028128339950001</v>
      </c>
      <c r="AH4106">
        <v>23.744375074294499</v>
      </c>
      <c r="AI4106">
        <v>92.652101008973602</v>
      </c>
      <c r="AJ4106">
        <v>85.808202196447695</v>
      </c>
      <c r="AK4106">
        <v>23.8335907985992</v>
      </c>
    </row>
    <row r="4107" spans="1:37" x14ac:dyDescent="0.2">
      <c r="A4107" t="str">
        <f>"20200111153732896"</f>
        <v>20200111153732896</v>
      </c>
      <c r="B4107" t="str">
        <f>"1578728252886870"</f>
        <v>1578728252886870</v>
      </c>
      <c r="C4107" t="s">
        <v>37</v>
      </c>
      <c r="D4107">
        <v>5.9942989999999998</v>
      </c>
      <c r="E4107">
        <v>0.55465600000000004</v>
      </c>
      <c r="F4107" t="s">
        <v>39</v>
      </c>
      <c r="G4107">
        <v>-345.85899999999998</v>
      </c>
      <c r="H4107" s="1">
        <v>-2.4189420000000001E-6</v>
      </c>
      <c r="I4107">
        <v>142.09729999999999</v>
      </c>
      <c r="J4107">
        <v>-324.05040000000002</v>
      </c>
      <c r="K4107">
        <v>1.1028659999999999</v>
      </c>
      <c r="L4107">
        <v>140.76490000000001</v>
      </c>
      <c r="M4107">
        <v>-0.99989519999999998</v>
      </c>
      <c r="N4107">
        <v>0</v>
      </c>
      <c r="O4107">
        <v>-1.252613E-2</v>
      </c>
      <c r="P4107">
        <v>-0.99445329999999998</v>
      </c>
      <c r="Q4107">
        <v>5.6868120000000001E-2</v>
      </c>
      <c r="R4107">
        <v>-8.8481249999999997E-2</v>
      </c>
      <c r="S4107">
        <v>-3.0422359999999999</v>
      </c>
      <c r="T4107">
        <v>-0.1499019</v>
      </c>
      <c r="U4107">
        <v>0.18014530000000001</v>
      </c>
      <c r="V4107">
        <v>-7.5961559999999997E-2</v>
      </c>
      <c r="W4107">
        <v>6.4185179999999994E-2</v>
      </c>
      <c r="X4107">
        <v>0.99504269999999995</v>
      </c>
      <c r="Y4107">
        <v>7.1509509999999998E-2</v>
      </c>
      <c r="Z4107">
        <v>2.3755149999999999E-3</v>
      </c>
      <c r="AA4107">
        <v>0.99743709999999997</v>
      </c>
      <c r="AB4107">
        <v>55</v>
      </c>
      <c r="AC4107">
        <v>-21.808599999999998</v>
      </c>
      <c r="AD4107">
        <v>-1.1028684189419999</v>
      </c>
      <c r="AE4107">
        <v>1.3323999999999701</v>
      </c>
      <c r="AF4107">
        <v>1.60139989009654</v>
      </c>
      <c r="AG4107">
        <v>-1.1028684189419999</v>
      </c>
      <c r="AH4107">
        <v>21.734821603176599</v>
      </c>
      <c r="AI4107">
        <v>92.896972194220098</v>
      </c>
      <c r="AJ4107">
        <v>85.786118487175401</v>
      </c>
      <c r="AK4107">
        <v>21.8216239193927</v>
      </c>
    </row>
    <row r="4108" spans="1:37" x14ac:dyDescent="0.2">
      <c r="A4108" t="str">
        <f>"20200111153732917"</f>
        <v>20200111153732917</v>
      </c>
      <c r="B4108" t="str">
        <f>"1578728252907365"</f>
        <v>1578728252907365</v>
      </c>
      <c r="C4108" t="s">
        <v>37</v>
      </c>
      <c r="D4108">
        <v>5.9903769999999996</v>
      </c>
      <c r="E4108">
        <v>0.55465909999999996</v>
      </c>
      <c r="F4108" t="s">
        <v>39</v>
      </c>
      <c r="G4108">
        <v>-345.54320000000001</v>
      </c>
      <c r="H4108" s="1">
        <v>-2.5446070000000001E-6</v>
      </c>
      <c r="I4108">
        <v>142.06039999999999</v>
      </c>
      <c r="J4108">
        <v>-324.56459999999998</v>
      </c>
      <c r="K4108">
        <v>1.1029119999999999</v>
      </c>
      <c r="L4108">
        <v>140.7585</v>
      </c>
      <c r="M4108">
        <v>-0.99989459999999997</v>
      </c>
      <c r="N4108">
        <v>0</v>
      </c>
      <c r="O4108">
        <v>-1.2238280000000001E-2</v>
      </c>
      <c r="P4108">
        <v>-0.99460360000000003</v>
      </c>
      <c r="Q4108">
        <v>5.5240900000000003E-2</v>
      </c>
      <c r="R4108">
        <v>-8.781978E-2</v>
      </c>
      <c r="S4108">
        <v>-3.041992</v>
      </c>
      <c r="T4108">
        <v>-0.1560956</v>
      </c>
      <c r="U4108">
        <v>0.18338009999999999</v>
      </c>
      <c r="V4108">
        <v>-7.5580120000000001E-2</v>
      </c>
      <c r="W4108">
        <v>6.3095419999999999E-2</v>
      </c>
      <c r="X4108">
        <v>0.99514150000000001</v>
      </c>
      <c r="Y4108">
        <v>7.2274850000000002E-2</v>
      </c>
      <c r="Z4108">
        <v>2.4785200000000001E-3</v>
      </c>
      <c r="AA4108">
        <v>0.99738169999999904</v>
      </c>
      <c r="AB4108">
        <v>55</v>
      </c>
      <c r="AC4108">
        <v>-20.9786</v>
      </c>
      <c r="AD4108">
        <v>-1.1029145446069999</v>
      </c>
      <c r="AE4108">
        <v>1.3018999999999801</v>
      </c>
      <c r="AF4108">
        <v>1.5542728510354999</v>
      </c>
      <c r="AG4108">
        <v>-1.1029145446069999</v>
      </c>
      <c r="AH4108">
        <v>20.903540547520699</v>
      </c>
      <c r="AI4108">
        <v>93.011945618242706</v>
      </c>
      <c r="AJ4108">
        <v>85.747624502007895</v>
      </c>
      <c r="AK4108">
        <v>20.990240399052499</v>
      </c>
    </row>
    <row r="4109" spans="1:37" x14ac:dyDescent="0.2">
      <c r="A4109" t="str">
        <f>"20200111153732940"</f>
        <v>20200111153732940</v>
      </c>
      <c r="B4109" t="str">
        <f>"1578728252926886"</f>
        <v>1578728252926886</v>
      </c>
      <c r="C4109" t="s">
        <v>37</v>
      </c>
      <c r="D4109">
        <v>6.003997</v>
      </c>
      <c r="E4109">
        <v>0.5547588</v>
      </c>
      <c r="F4109" t="s">
        <v>39</v>
      </c>
      <c r="G4109">
        <v>-345.6266</v>
      </c>
      <c r="H4109" s="1">
        <v>-2.5038870000000001E-6</v>
      </c>
      <c r="I4109">
        <v>142.0419</v>
      </c>
      <c r="J4109">
        <v>-325.11200000000002</v>
      </c>
      <c r="K4109">
        <v>1.1029579999999899</v>
      </c>
      <c r="L4109">
        <v>140.75200000000001</v>
      </c>
      <c r="M4109">
        <v>-0.99989340000000004</v>
      </c>
      <c r="N4109">
        <v>0</v>
      </c>
      <c r="O4109">
        <v>-1.191292E-2</v>
      </c>
      <c r="P4109">
        <v>-0.99469110000000005</v>
      </c>
      <c r="Q4109">
        <v>5.3577479999999997E-2</v>
      </c>
      <c r="R4109">
        <v>-8.7860610000000006E-2</v>
      </c>
      <c r="S4109">
        <v>-3.041534</v>
      </c>
      <c r="T4109">
        <v>-0.15927089999999999</v>
      </c>
      <c r="U4109">
        <v>0.1853485</v>
      </c>
      <c r="V4109">
        <v>-7.5938519999999995E-2</v>
      </c>
      <c r="W4109">
        <v>6.2070809999999997E-2</v>
      </c>
      <c r="X4109">
        <v>0.99517860000000002</v>
      </c>
      <c r="Y4109">
        <v>7.2597899999999896E-2</v>
      </c>
      <c r="Z4109">
        <v>2.5206349999999998E-3</v>
      </c>
      <c r="AA4109">
        <v>0.99735810000000003</v>
      </c>
      <c r="AB4109">
        <v>55</v>
      </c>
      <c r="AC4109">
        <v>-20.514599999999898</v>
      </c>
      <c r="AD4109">
        <v>-1.1029605038869901</v>
      </c>
      <c r="AE4109">
        <v>1.2898999999999801</v>
      </c>
      <c r="AF4109">
        <v>1.5298012697697501</v>
      </c>
      <c r="AG4109">
        <v>-1.1029605038869901</v>
      </c>
      <c r="AH4109">
        <v>20.438928233515199</v>
      </c>
      <c r="AI4109">
        <v>93.080297668899306</v>
      </c>
      <c r="AJ4109">
        <v>85.719539436093498</v>
      </c>
      <c r="AK4109">
        <v>20.525754581327998</v>
      </c>
    </row>
    <row r="4110" spans="1:37" x14ac:dyDescent="0.2">
      <c r="A4110" t="str">
        <f>"20200111153732963"</f>
        <v>20200111153732963</v>
      </c>
      <c r="B4110" t="str">
        <f>"1578728252957142"</f>
        <v>1578728252957142</v>
      </c>
      <c r="C4110" t="s">
        <v>37</v>
      </c>
      <c r="D4110">
        <v>5.9713139999999996</v>
      </c>
      <c r="E4110">
        <v>0.55507709999999999</v>
      </c>
      <c r="F4110" t="s">
        <v>38</v>
      </c>
      <c r="G4110">
        <v>-326.32249999999999</v>
      </c>
      <c r="H4110">
        <v>1.0382769999999999</v>
      </c>
      <c r="I4110">
        <v>140.82650000000001</v>
      </c>
      <c r="J4110">
        <v>-325.6952</v>
      </c>
      <c r="K4110">
        <v>1.1030139999999999</v>
      </c>
      <c r="L4110">
        <v>140.74529999999999</v>
      </c>
      <c r="M4110">
        <v>-0.99989150000000004</v>
      </c>
      <c r="N4110">
        <v>0</v>
      </c>
      <c r="O4110">
        <v>-1.1529569999999999E-2</v>
      </c>
      <c r="P4110">
        <v>-0.99472109999999903</v>
      </c>
      <c r="Q4110">
        <v>5.2318749999999997E-2</v>
      </c>
      <c r="R4110">
        <v>-8.8279259999999998E-2</v>
      </c>
      <c r="S4110">
        <v>-3.041229</v>
      </c>
      <c r="T4110">
        <v>-0.16259370000000001</v>
      </c>
      <c r="U4110">
        <v>0.1862946</v>
      </c>
      <c r="V4110">
        <v>-7.673249E-2</v>
      </c>
      <c r="W4110">
        <v>6.155157E-2</v>
      </c>
      <c r="X4110">
        <v>0.99514999999999998</v>
      </c>
      <c r="Y4110">
        <v>7.252654E-2</v>
      </c>
      <c r="Z4110">
        <v>2.551017E-3</v>
      </c>
      <c r="AA4110">
        <v>0.99736320000000001</v>
      </c>
      <c r="AB4110">
        <v>55</v>
      </c>
      <c r="AC4110">
        <v>-0.62729999999999098</v>
      </c>
      <c r="AD4110">
        <v>-6.4736999999999795E-2</v>
      </c>
      <c r="AE4110">
        <v>8.1200000000023906E-2</v>
      </c>
      <c r="AF4110">
        <v>8.7510764273461897E-2</v>
      </c>
      <c r="AG4110">
        <v>-6.4736999999999795E-2</v>
      </c>
      <c r="AH4110">
        <v>0.61982958612515604</v>
      </c>
      <c r="AI4110">
        <v>95.904401243688397</v>
      </c>
      <c r="AJ4110">
        <v>81.963798888101095</v>
      </c>
      <c r="AK4110">
        <v>0.62931528574221596</v>
      </c>
    </row>
    <row r="4111" spans="1:37" x14ac:dyDescent="0.2">
      <c r="A4111" t="str">
        <f>"20200111153732986"</f>
        <v>20200111153732986</v>
      </c>
      <c r="B4111" t="str">
        <f>"1578728252977637"</f>
        <v>1578728252977637</v>
      </c>
      <c r="C4111" t="s">
        <v>37</v>
      </c>
      <c r="D4111">
        <v>5.9917689999999997</v>
      </c>
      <c r="E4111">
        <v>0.55527109999999902</v>
      </c>
      <c r="F4111" t="s">
        <v>38</v>
      </c>
      <c r="G4111">
        <v>-326.8159</v>
      </c>
      <c r="H4111">
        <v>1.0424789999999999</v>
      </c>
      <c r="I4111">
        <v>140.81479999999999</v>
      </c>
      <c r="J4111">
        <v>-326.24979999999999</v>
      </c>
      <c r="K4111">
        <v>1.1030610000000001</v>
      </c>
      <c r="L4111">
        <v>140.73920000000001</v>
      </c>
      <c r="M4111">
        <v>-0.99988940000000004</v>
      </c>
      <c r="N4111">
        <v>0</v>
      </c>
      <c r="O4111">
        <v>-1.112437E-2</v>
      </c>
      <c r="P4111">
        <v>-0.99475539999999996</v>
      </c>
      <c r="Q4111">
        <v>5.1189749999999999E-2</v>
      </c>
      <c r="R4111">
        <v>-8.8554079999999993E-2</v>
      </c>
      <c r="S4111">
        <v>-3.0412599999999999</v>
      </c>
      <c r="T4111">
        <v>-0.16428409999999999</v>
      </c>
      <c r="U4111">
        <v>0.18795780000000001</v>
      </c>
      <c r="V4111">
        <v>-7.7405989999999994E-2</v>
      </c>
      <c r="W4111">
        <v>6.1119409999999999E-2</v>
      </c>
      <c r="X4111">
        <v>0.99512449999999997</v>
      </c>
      <c r="Y4111">
        <v>7.2663110000000003E-2</v>
      </c>
      <c r="Z4111">
        <v>2.559263E-3</v>
      </c>
      <c r="AA4111">
        <v>0.9973533</v>
      </c>
      <c r="AB4111">
        <v>55</v>
      </c>
      <c r="AC4111">
        <v>-0.56610000000000504</v>
      </c>
      <c r="AD4111">
        <v>-6.05819999999999E-2</v>
      </c>
      <c r="AE4111">
        <v>7.55999999999801E-2</v>
      </c>
      <c r="AF4111">
        <v>8.0981937932632697E-2</v>
      </c>
      <c r="AG4111">
        <v>-6.05819999999999E-2</v>
      </c>
      <c r="AH4111">
        <v>0.55893487482799598</v>
      </c>
      <c r="AI4111">
        <v>96.122606865497403</v>
      </c>
      <c r="AJ4111">
        <v>81.756000086189701</v>
      </c>
      <c r="AK4111">
        <v>0.56801095701959203</v>
      </c>
    </row>
    <row r="4112" spans="1:37" x14ac:dyDescent="0.2">
      <c r="A4112" t="str">
        <f>"20200111153733007"</f>
        <v>20200111153733007</v>
      </c>
      <c r="B4112" t="str">
        <f>"1578728252997157"</f>
        <v>1578728252997157</v>
      </c>
      <c r="C4112" t="s">
        <v>37</v>
      </c>
      <c r="D4112">
        <v>5.9384180000000004</v>
      </c>
      <c r="E4112">
        <v>0.55528100000000002</v>
      </c>
      <c r="F4112" t="s">
        <v>38</v>
      </c>
      <c r="G4112">
        <v>-327.30829999999997</v>
      </c>
      <c r="H4112">
        <v>1.045067</v>
      </c>
      <c r="I4112">
        <v>140.80510000000001</v>
      </c>
      <c r="J4112">
        <v>-326.77800000000002</v>
      </c>
      <c r="K4112">
        <v>1.1030850000000001</v>
      </c>
      <c r="L4112">
        <v>140.7336</v>
      </c>
      <c r="M4112">
        <v>-0.99988770000000005</v>
      </c>
      <c r="N4112">
        <v>0</v>
      </c>
      <c r="O4112">
        <v>-1.0695319999999999E-2</v>
      </c>
      <c r="P4112">
        <v>-0.99481049999999904</v>
      </c>
      <c r="Q4112">
        <v>4.9668329999999997E-2</v>
      </c>
      <c r="R4112">
        <v>-8.8797609999999999E-2</v>
      </c>
      <c r="S4112">
        <v>-3.0411990000000002</v>
      </c>
      <c r="T4112">
        <v>-0.166666799999999</v>
      </c>
      <c r="U4112">
        <v>0.18867490000000001</v>
      </c>
      <c r="V4112">
        <v>-7.8072180000000005E-2</v>
      </c>
      <c r="W4112">
        <v>6.0224130000000001E-2</v>
      </c>
      <c r="X4112">
        <v>0.99512699999999998</v>
      </c>
      <c r="Y4112">
        <v>7.2468119999999997E-2</v>
      </c>
      <c r="Z4112">
        <v>2.5675529999999898E-3</v>
      </c>
      <c r="AA4112">
        <v>0.99736740000000002</v>
      </c>
      <c r="AB4112">
        <v>55</v>
      </c>
      <c r="AC4112">
        <v>-0.53029999999995403</v>
      </c>
      <c r="AD4112">
        <v>-5.8018000000000097E-2</v>
      </c>
      <c r="AE4112">
        <v>7.1500000000014496E-2</v>
      </c>
      <c r="AF4112">
        <v>7.6271308193280193E-2</v>
      </c>
      <c r="AG4112">
        <v>-5.8018000000000097E-2</v>
      </c>
      <c r="AH4112">
        <v>0.52335239739888895</v>
      </c>
      <c r="AI4112">
        <v>96.260289151674598</v>
      </c>
      <c r="AJ4112">
        <v>81.708313273804293</v>
      </c>
      <c r="AK4112">
        <v>0.53205369338129704</v>
      </c>
    </row>
    <row r="4113" spans="1:37" x14ac:dyDescent="0.2">
      <c r="A4113" t="str">
        <f>"20200111153733029"</f>
        <v>20200111153733029</v>
      </c>
      <c r="B4113" t="str">
        <f>"1578728253017653"</f>
        <v>1578728253017653</v>
      </c>
      <c r="C4113" t="s">
        <v>37</v>
      </c>
      <c r="D4113">
        <v>5.9569460000000003</v>
      </c>
      <c r="E4113">
        <v>0.55523529999999999</v>
      </c>
      <c r="F4113" t="s">
        <v>38</v>
      </c>
      <c r="G4113">
        <v>-327.7987</v>
      </c>
      <c r="H4113">
        <v>1.0444869999999999</v>
      </c>
      <c r="I4113">
        <v>140.79679999999999</v>
      </c>
      <c r="J4113">
        <v>-327.30919999999998</v>
      </c>
      <c r="K4113">
        <v>1.1030930000000001</v>
      </c>
      <c r="L4113">
        <v>140.72819999999999</v>
      </c>
      <c r="M4113">
        <v>-0.99988659999999996</v>
      </c>
      <c r="N4113">
        <v>0</v>
      </c>
      <c r="O4113">
        <v>-1.0218069999999999E-2</v>
      </c>
      <c r="P4113">
        <v>-0.99487349999999997</v>
      </c>
      <c r="Q4113">
        <v>4.8292649999999999E-2</v>
      </c>
      <c r="R4113">
        <v>-8.8852189999999998E-2</v>
      </c>
      <c r="S4113">
        <v>-3.0411679999999999</v>
      </c>
      <c r="T4113">
        <v>-0.1745698</v>
      </c>
      <c r="U4113">
        <v>0.1881409</v>
      </c>
      <c r="V4113">
        <v>-7.8596479999999996E-2</v>
      </c>
      <c r="W4113">
        <v>5.9425440000000003E-2</v>
      </c>
      <c r="X4113">
        <v>0.99513379999999996</v>
      </c>
      <c r="Y4113">
        <v>7.1808070000000002E-2</v>
      </c>
      <c r="Z4113">
        <v>2.6428889999999998E-3</v>
      </c>
      <c r="AA4113">
        <v>0.99741489999999999</v>
      </c>
      <c r="AB4113">
        <v>55</v>
      </c>
      <c r="AC4113">
        <v>-0.48950000000001997</v>
      </c>
      <c r="AD4113">
        <v>-5.8605999999999901E-2</v>
      </c>
      <c r="AE4113">
        <v>6.8600000000003505E-2</v>
      </c>
      <c r="AF4113">
        <v>7.2578146410884697E-2</v>
      </c>
      <c r="AG4113">
        <v>-5.8605999999999901E-2</v>
      </c>
      <c r="AH4113">
        <v>0.48199739018485799</v>
      </c>
      <c r="AI4113">
        <v>96.856014249462604</v>
      </c>
      <c r="AJ4113">
        <v>81.436855493984396</v>
      </c>
      <c r="AK4113">
        <v>0.490941681584946</v>
      </c>
    </row>
    <row r="4114" spans="1:37" x14ac:dyDescent="0.2">
      <c r="A4114" t="str">
        <f>"20200111153733051"</f>
        <v>20200111153733051</v>
      </c>
      <c r="B4114" t="str">
        <f>"1578728253046934"</f>
        <v>1578728253046934</v>
      </c>
      <c r="C4114" t="s">
        <v>37</v>
      </c>
      <c r="D4114">
        <v>5.9349489999999996</v>
      </c>
      <c r="E4114">
        <v>0.55533180000000004</v>
      </c>
      <c r="F4114" t="s">
        <v>38</v>
      </c>
      <c r="G4114">
        <v>-328.28919999999999</v>
      </c>
      <c r="H4114">
        <v>1.044581</v>
      </c>
      <c r="I4114">
        <v>140.78899999999999</v>
      </c>
      <c r="J4114">
        <v>-327.87060000000002</v>
      </c>
      <c r="K4114">
        <v>1.103081</v>
      </c>
      <c r="L4114">
        <v>140.72280000000001</v>
      </c>
      <c r="M4114">
        <v>-0.99988600000000005</v>
      </c>
      <c r="N4114">
        <v>0</v>
      </c>
      <c r="O4114">
        <v>-9.6640059999999993E-3</v>
      </c>
      <c r="P4114">
        <v>-0.99492199999999997</v>
      </c>
      <c r="Q4114">
        <v>4.7022340000000003E-2</v>
      </c>
      <c r="R4114">
        <v>-8.8989849999999995E-2</v>
      </c>
      <c r="S4114">
        <v>-3.040985</v>
      </c>
      <c r="T4114">
        <v>-0.18162320000000001</v>
      </c>
      <c r="U4114">
        <v>0.18753049999999999</v>
      </c>
      <c r="V4114">
        <v>-7.9278860000000007E-2</v>
      </c>
      <c r="W4114">
        <v>5.8707139999999998E-2</v>
      </c>
      <c r="X4114">
        <v>0.99512230000000002</v>
      </c>
      <c r="Y4114">
        <v>7.1050929999999998E-2</v>
      </c>
      <c r="Z4114">
        <v>2.6940670000000001E-3</v>
      </c>
      <c r="AA4114">
        <v>0.997469099999999</v>
      </c>
      <c r="AB4114">
        <v>55</v>
      </c>
      <c r="AC4114">
        <v>-0.418599999999969</v>
      </c>
      <c r="AD4114">
        <v>-5.8500000000000003E-2</v>
      </c>
      <c r="AE4114">
        <v>6.6199999999980705E-2</v>
      </c>
      <c r="AF4114">
        <v>6.8929160404078801E-2</v>
      </c>
      <c r="AG4114">
        <v>-5.8500000000000003E-2</v>
      </c>
      <c r="AH4114">
        <v>0.41012612560551198</v>
      </c>
      <c r="AI4114">
        <v>98.007043045397197</v>
      </c>
      <c r="AJ4114">
        <v>80.459563876555094</v>
      </c>
      <c r="AK4114">
        <v>0.419972520598907</v>
      </c>
    </row>
    <row r="4115" spans="1:37" x14ac:dyDescent="0.2">
      <c r="A4115" t="str">
        <f>"20200111153733074"</f>
        <v>20200111153733074</v>
      </c>
      <c r="B4115" t="str">
        <f>"1578728253067429"</f>
        <v>1578728253067429</v>
      </c>
      <c r="C4115" t="s">
        <v>37</v>
      </c>
      <c r="D4115">
        <v>6.2509199999999998</v>
      </c>
      <c r="E4115">
        <v>0.55519350000000001</v>
      </c>
      <c r="F4115" t="s">
        <v>38</v>
      </c>
      <c r="G4115">
        <v>-328.78120000000001</v>
      </c>
      <c r="H4115">
        <v>1.0466169999999999</v>
      </c>
      <c r="I4115">
        <v>140.77940000000001</v>
      </c>
      <c r="J4115">
        <v>-328.42079999999999</v>
      </c>
      <c r="K4115">
        <v>1.10304</v>
      </c>
      <c r="L4115">
        <v>140.71780000000001</v>
      </c>
      <c r="M4115">
        <v>-0.99988580000000005</v>
      </c>
      <c r="N4115">
        <v>0</v>
      </c>
      <c r="O4115">
        <v>-9.0697680000000006E-3</v>
      </c>
      <c r="P4115">
        <v>-0.99499839999999995</v>
      </c>
      <c r="Q4115">
        <v>4.6495759999999997E-2</v>
      </c>
      <c r="R4115">
        <v>-8.8410550000000004E-2</v>
      </c>
      <c r="S4115">
        <v>-3.0410159999999999</v>
      </c>
      <c r="T4115">
        <v>-0.18862960000000001</v>
      </c>
      <c r="U4115">
        <v>0.188369799999999</v>
      </c>
      <c r="V4115">
        <v>-7.9282370000000005E-2</v>
      </c>
      <c r="W4115">
        <v>5.8666210000000003E-2</v>
      </c>
      <c r="X4115">
        <v>0.99512440000000002</v>
      </c>
      <c r="Y4115">
        <v>7.0722289999999993E-2</v>
      </c>
      <c r="Z4115">
        <v>2.7507819999999998E-3</v>
      </c>
      <c r="AA4115">
        <v>0.9974923</v>
      </c>
      <c r="AB4115">
        <v>55</v>
      </c>
      <c r="AC4115">
        <v>-0.36040000000002598</v>
      </c>
      <c r="AD4115">
        <v>-5.6423000000000098E-2</v>
      </c>
      <c r="AE4115">
        <v>6.1599999999998503E-2</v>
      </c>
      <c r="AF4115">
        <v>6.3357634073661004E-2</v>
      </c>
      <c r="AG4115">
        <v>-5.6423000000000098E-2</v>
      </c>
      <c r="AH4115">
        <v>0.35145675343578903</v>
      </c>
      <c r="AI4115">
        <v>98.978157581405199</v>
      </c>
      <c r="AJ4115">
        <v>79.780959702572204</v>
      </c>
      <c r="AK4115">
        <v>0.36155164812241802</v>
      </c>
    </row>
    <row r="4116" spans="1:37" x14ac:dyDescent="0.2">
      <c r="A4116" t="str">
        <f>"20200111153733096"</f>
        <v>20200111153733096</v>
      </c>
      <c r="B4116" t="str">
        <f>"1578728253086952"</f>
        <v>1578728253086952</v>
      </c>
      <c r="C4116" t="s">
        <v>37</v>
      </c>
      <c r="D4116">
        <v>5.9901580000000001</v>
      </c>
      <c r="E4116">
        <v>0.56824699999999995</v>
      </c>
      <c r="F4116" t="s">
        <v>38</v>
      </c>
      <c r="G4116">
        <v>-329.27339999999998</v>
      </c>
      <c r="H4116">
        <v>1.049131</v>
      </c>
      <c r="I4116">
        <v>140.77090000000001</v>
      </c>
      <c r="J4116">
        <v>-328.96289999999999</v>
      </c>
      <c r="K4116">
        <v>1.102989</v>
      </c>
      <c r="L4116">
        <v>140.7133</v>
      </c>
      <c r="M4116">
        <v>-0.99988630000000001</v>
      </c>
      <c r="N4116">
        <v>0</v>
      </c>
      <c r="O4116">
        <v>-8.4338460000000001E-3</v>
      </c>
      <c r="P4116">
        <v>-0.99511070000000001</v>
      </c>
      <c r="Q4116">
        <v>4.5666520000000002E-2</v>
      </c>
      <c r="R4116">
        <v>-8.7576879999999996E-2</v>
      </c>
      <c r="S4116">
        <v>-3.0408019999999998</v>
      </c>
      <c r="T4116">
        <v>-0.19225709999999999</v>
      </c>
      <c r="U4116">
        <v>0.1890869</v>
      </c>
      <c r="V4116">
        <v>-7.9072110000000001E-2</v>
      </c>
      <c r="W4116">
        <v>5.8265400000000002E-2</v>
      </c>
      <c r="X4116">
        <v>0.99516469999999901</v>
      </c>
      <c r="Y4116">
        <v>7.0322720000000005E-2</v>
      </c>
      <c r="Z4116">
        <v>2.7510149999999999E-3</v>
      </c>
      <c r="AA4116">
        <v>0.99752050000000003</v>
      </c>
      <c r="AB4116">
        <v>55</v>
      </c>
      <c r="AC4116">
        <v>-0.31049999999999001</v>
      </c>
      <c r="AD4116">
        <v>-5.3857999999999899E-2</v>
      </c>
      <c r="AE4116">
        <v>5.7600000000007798E-2</v>
      </c>
      <c r="AF4116">
        <v>5.8514903212894202E-2</v>
      </c>
      <c r="AG4116">
        <v>-5.3857999999999899E-2</v>
      </c>
      <c r="AH4116">
        <v>0.301241239310305</v>
      </c>
      <c r="AI4116">
        <v>99.954403076231799</v>
      </c>
      <c r="AJ4116">
        <v>79.007415829372107</v>
      </c>
      <c r="AK4116">
        <v>0.31156213236403202</v>
      </c>
    </row>
    <row r="4117" spans="1:37" x14ac:dyDescent="0.2">
      <c r="A4117" t="str">
        <f>"20200111153733120"</f>
        <v>20200111153733120</v>
      </c>
      <c r="B4117" t="str">
        <f>"1578728253107445"</f>
        <v>1578728253107445</v>
      </c>
      <c r="C4117" t="s">
        <v>37</v>
      </c>
      <c r="D4117">
        <v>5.9618690000000001</v>
      </c>
      <c r="E4117">
        <v>0.5684882</v>
      </c>
      <c r="F4117" t="s">
        <v>38</v>
      </c>
      <c r="G4117">
        <v>-329.75689999999997</v>
      </c>
      <c r="H4117">
        <v>1.041633</v>
      </c>
      <c r="I4117">
        <v>140.79060000000001</v>
      </c>
      <c r="J4117">
        <v>-329.5181</v>
      </c>
      <c r="K4117">
        <v>1.1029260000000001</v>
      </c>
      <c r="L4117">
        <v>140.709</v>
      </c>
      <c r="M4117">
        <v>-0.99988699999999997</v>
      </c>
      <c r="N4117">
        <v>0</v>
      </c>
      <c r="O4117">
        <v>-7.7307069999999999E-3</v>
      </c>
      <c r="P4117">
        <v>-0.99523739999999905</v>
      </c>
      <c r="Q4117">
        <v>4.4918409999999999E-2</v>
      </c>
      <c r="R4117">
        <v>-8.6515560000000005E-2</v>
      </c>
      <c r="S4117">
        <v>-3.0516969999999999</v>
      </c>
      <c r="T4117">
        <v>-0.2358246</v>
      </c>
      <c r="U4117">
        <v>0.29713440000000002</v>
      </c>
      <c r="V4117">
        <v>-7.8701729999999998E-2</v>
      </c>
      <c r="W4117">
        <v>5.7906949999999999E-2</v>
      </c>
      <c r="X4117">
        <v>0.99521489999999901</v>
      </c>
      <c r="Y4117">
        <v>0.104269899999999</v>
      </c>
      <c r="Z4117">
        <v>4.6085779999999899E-3</v>
      </c>
      <c r="AA4117">
        <v>0.99453840000000004</v>
      </c>
      <c r="AB4117">
        <v>55</v>
      </c>
      <c r="AC4117">
        <v>-0.23879999999996901</v>
      </c>
      <c r="AD4117">
        <v>-6.1293E-2</v>
      </c>
      <c r="AE4117">
        <v>8.1600000000008693E-2</v>
      </c>
      <c r="AF4117">
        <v>7.8795520304875105E-2</v>
      </c>
      <c r="AG4117">
        <v>-6.1293E-2</v>
      </c>
      <c r="AH4117">
        <v>0.224895029062154</v>
      </c>
      <c r="AI4117">
        <v>104.424395703493</v>
      </c>
      <c r="AJ4117">
        <v>70.691285845332303</v>
      </c>
      <c r="AK4117">
        <v>0.246055562761713</v>
      </c>
    </row>
    <row r="4118" spans="1:37" x14ac:dyDescent="0.2">
      <c r="A4118" t="str">
        <f>"20200111153733141"</f>
        <v>20200111153733141</v>
      </c>
      <c r="B4118" t="str">
        <f>"1578728253137701"</f>
        <v>1578728253137701</v>
      </c>
      <c r="C4118" t="s">
        <v>37</v>
      </c>
      <c r="D4118">
        <v>5.9717969999999996</v>
      </c>
      <c r="E4118">
        <v>0.56812750000000001</v>
      </c>
      <c r="F4118" t="s">
        <v>38</v>
      </c>
      <c r="G4118">
        <v>-330.2491</v>
      </c>
      <c r="H4118">
        <v>1.0462229999999999</v>
      </c>
      <c r="I4118">
        <v>140.7817</v>
      </c>
      <c r="J4118">
        <v>-330.03730000000002</v>
      </c>
      <c r="K4118">
        <v>1.102873</v>
      </c>
      <c r="L4118">
        <v>140.7054</v>
      </c>
      <c r="M4118">
        <v>-0.9998882</v>
      </c>
      <c r="N4118">
        <v>0</v>
      </c>
      <c r="O4118">
        <v>-7.024321E-3</v>
      </c>
      <c r="P4118">
        <v>-0.99535859999999998</v>
      </c>
      <c r="Q4118">
        <v>4.4134519999999997E-2</v>
      </c>
      <c r="R4118">
        <v>-8.5519109999999995E-2</v>
      </c>
      <c r="S4118">
        <v>-3.051361</v>
      </c>
      <c r="T4118">
        <v>-0.23678679999999999</v>
      </c>
      <c r="U4118">
        <v>0.3022919</v>
      </c>
      <c r="V4118">
        <v>-7.8400120000000004E-2</v>
      </c>
      <c r="W4118">
        <v>5.7443279999999999E-2</v>
      </c>
      <c r="X4118">
        <v>0.99526569999999903</v>
      </c>
      <c r="Y4118">
        <v>0.10523929999999999</v>
      </c>
      <c r="Z4118">
        <v>4.610304E-3</v>
      </c>
      <c r="AA4118">
        <v>0.99443630000000005</v>
      </c>
      <c r="AB4118">
        <v>55</v>
      </c>
      <c r="AC4118">
        <v>-0.211799999999982</v>
      </c>
      <c r="AD4118">
        <v>-5.6649999999999999E-2</v>
      </c>
      <c r="AE4118">
        <v>7.6300000000003296E-2</v>
      </c>
      <c r="AF4118">
        <v>7.3153749660061301E-2</v>
      </c>
      <c r="AG4118">
        <v>-5.6649999999999999E-2</v>
      </c>
      <c r="AH4118">
        <v>0.198678061001656</v>
      </c>
      <c r="AI4118">
        <v>104.97989350882</v>
      </c>
      <c r="AJ4118">
        <v>69.786169254926406</v>
      </c>
      <c r="AK4118">
        <v>0.21916584020486601</v>
      </c>
    </row>
    <row r="4119" spans="1:37" x14ac:dyDescent="0.2">
      <c r="A4119" t="str">
        <f>"20200111153733165"</f>
        <v>20200111153733165</v>
      </c>
      <c r="B4119" t="str">
        <f>"1578728253157224"</f>
        <v>1578728253157224</v>
      </c>
      <c r="C4119" t="s">
        <v>37</v>
      </c>
      <c r="D4119">
        <v>5.9576979999999997</v>
      </c>
      <c r="E4119">
        <v>0.56795229999999997</v>
      </c>
      <c r="F4119" t="s">
        <v>38</v>
      </c>
      <c r="G4119">
        <v>-331.2099</v>
      </c>
      <c r="H4119">
        <v>1.014707</v>
      </c>
      <c r="I4119">
        <v>140.82169999999999</v>
      </c>
      <c r="J4119">
        <v>-330.61709999999999</v>
      </c>
      <c r="K4119">
        <v>1.1028260000000001</v>
      </c>
      <c r="L4119">
        <v>140.70189999999999</v>
      </c>
      <c r="M4119">
        <v>-0.9998899</v>
      </c>
      <c r="N4119">
        <v>0</v>
      </c>
      <c r="O4119">
        <v>-6.188898E-3</v>
      </c>
      <c r="P4119">
        <v>-0.99550890000000003</v>
      </c>
      <c r="Q4119">
        <v>4.3749410000000002E-2</v>
      </c>
      <c r="R4119">
        <v>-8.3954349999999997E-2</v>
      </c>
      <c r="S4119">
        <v>-3.0501099999999899</v>
      </c>
      <c r="T4119">
        <v>-0.22932089999999999</v>
      </c>
      <c r="U4119">
        <v>0.30180359999999901</v>
      </c>
      <c r="V4119">
        <v>-7.7657710000000005E-2</v>
      </c>
      <c r="W4119">
        <v>5.736807E-2</v>
      </c>
      <c r="X4119">
        <v>0.995328199999999</v>
      </c>
      <c r="Y4119">
        <v>0.10431609999999999</v>
      </c>
      <c r="Z4119">
        <v>4.3700550000000003E-3</v>
      </c>
      <c r="AA4119">
        <v>0.99453459999999905</v>
      </c>
      <c r="AB4119">
        <v>55</v>
      </c>
      <c r="AC4119">
        <v>-0.59280000000001098</v>
      </c>
      <c r="AD4119">
        <v>-8.8119000000000003E-2</v>
      </c>
      <c r="AE4119">
        <v>0.11979999999999701</v>
      </c>
      <c r="AF4119">
        <v>0.120900176021995</v>
      </c>
      <c r="AG4119">
        <v>-8.8119000000000003E-2</v>
      </c>
      <c r="AH4119">
        <v>0.57973960698892701</v>
      </c>
      <c r="AI4119">
        <v>98.463310964405196</v>
      </c>
      <c r="AJ4119">
        <v>78.220241890994799</v>
      </c>
      <c r="AK4119">
        <v>0.59873184534883805</v>
      </c>
    </row>
    <row r="4120" spans="1:37" x14ac:dyDescent="0.2">
      <c r="A4120" t="str">
        <f>"20200111153733186"</f>
        <v>20200111153733186</v>
      </c>
      <c r="B4120" t="str">
        <f>"1578728253176744"</f>
        <v>1578728253176744</v>
      </c>
      <c r="C4120" t="s">
        <v>37</v>
      </c>
      <c r="D4120">
        <v>5.9986230000000003</v>
      </c>
      <c r="E4120">
        <v>0.56793870000000002</v>
      </c>
      <c r="F4120" t="s">
        <v>38</v>
      </c>
      <c r="G4120">
        <v>-331.70080000000002</v>
      </c>
      <c r="H4120">
        <v>1.0213729999999901</v>
      </c>
      <c r="I4120">
        <v>140.81039999999999</v>
      </c>
      <c r="J4120">
        <v>-331.14670000000001</v>
      </c>
      <c r="K4120">
        <v>1.102781</v>
      </c>
      <c r="L4120">
        <v>140.69909999999999</v>
      </c>
      <c r="M4120">
        <v>-0.99989130000000004</v>
      </c>
      <c r="N4120">
        <v>0</v>
      </c>
      <c r="O4120">
        <v>-5.3923540000000002E-3</v>
      </c>
      <c r="P4120">
        <v>-0.99559189999999997</v>
      </c>
      <c r="Q4120">
        <v>4.3743020000000001E-2</v>
      </c>
      <c r="R4120">
        <v>-8.2966390000000001E-2</v>
      </c>
      <c r="S4120">
        <v>-3.0493160000000001</v>
      </c>
      <c r="T4120">
        <v>-0.22919320000000001</v>
      </c>
      <c r="U4120">
        <v>0.30471799999999999</v>
      </c>
      <c r="V4120">
        <v>-7.7455449999999995E-2</v>
      </c>
      <c r="W4120">
        <v>5.7599900000000002E-2</v>
      </c>
      <c r="X4120">
        <v>0.99533059999999995</v>
      </c>
      <c r="Y4120">
        <v>0.1044925</v>
      </c>
      <c r="Z4120">
        <v>4.3154999999999999E-3</v>
      </c>
      <c r="AA4120">
        <v>0.99451630000000002</v>
      </c>
      <c r="AB4120">
        <v>55</v>
      </c>
      <c r="AC4120">
        <v>-0.55410000000000503</v>
      </c>
      <c r="AD4120">
        <v>-8.1408000000000105E-2</v>
      </c>
      <c r="AE4120">
        <v>0.111299999999999</v>
      </c>
      <c r="AF4120">
        <v>0.111963529261818</v>
      </c>
      <c r="AG4120">
        <v>-8.1408000000000105E-2</v>
      </c>
      <c r="AH4120">
        <v>0.54224121075958498</v>
      </c>
      <c r="AI4120">
        <v>98.364315543958099</v>
      </c>
      <c r="AJ4120">
        <v>78.333361159156993</v>
      </c>
      <c r="AK4120">
        <v>0.55963258035498897</v>
      </c>
    </row>
    <row r="4121" spans="1:37" x14ac:dyDescent="0.2">
      <c r="A4121" t="str">
        <f>"20200111153733207"</f>
        <v>20200111153733207</v>
      </c>
      <c r="B4121" t="str">
        <f>"1578728253197237"</f>
        <v>1578728253197237</v>
      </c>
      <c r="C4121" t="s">
        <v>37</v>
      </c>
      <c r="D4121">
        <v>6.0105259999999996</v>
      </c>
      <c r="E4121">
        <v>0.56782869999999996</v>
      </c>
      <c r="F4121" t="s">
        <v>38</v>
      </c>
      <c r="G4121">
        <v>-332.1902</v>
      </c>
      <c r="H4121">
        <v>1.025272</v>
      </c>
      <c r="I4121">
        <v>140.80459999999999</v>
      </c>
      <c r="J4121">
        <v>-331.671999999999</v>
      </c>
      <c r="K4121">
        <v>1.102732</v>
      </c>
      <c r="L4121">
        <v>140.69669999999999</v>
      </c>
      <c r="M4121">
        <v>-0.99989340000000004</v>
      </c>
      <c r="N4121">
        <v>0</v>
      </c>
      <c r="O4121">
        <v>-4.5721729999999997E-3</v>
      </c>
      <c r="P4121">
        <v>-0.99566869999999996</v>
      </c>
      <c r="Q4121">
        <v>4.3779749999999999E-2</v>
      </c>
      <c r="R4121">
        <v>-8.2019399999999895E-2</v>
      </c>
      <c r="S4121">
        <v>-3.0488590000000002</v>
      </c>
      <c r="T4121">
        <v>-0.22649659999999999</v>
      </c>
      <c r="U4121">
        <v>0.30766300000000002</v>
      </c>
      <c r="V4121">
        <v>-7.7317419999999998E-2</v>
      </c>
      <c r="W4121">
        <v>5.7790309999999998E-2</v>
      </c>
      <c r="X4121">
        <v>0.9953303</v>
      </c>
      <c r="Y4121">
        <v>0.10465149999999999</v>
      </c>
      <c r="Z4121">
        <v>4.210475E-3</v>
      </c>
      <c r="AA4121">
        <v>0.99450000000000005</v>
      </c>
      <c r="AB4121">
        <v>55</v>
      </c>
      <c r="AC4121">
        <v>-0.51820000000003497</v>
      </c>
      <c r="AD4121">
        <v>-7.7460000000000001E-2</v>
      </c>
      <c r="AE4121">
        <v>0.1079</v>
      </c>
      <c r="AF4121">
        <v>0.107956461019572</v>
      </c>
      <c r="AG4121">
        <v>-7.7460000000000001E-2</v>
      </c>
      <c r="AH4121">
        <v>0.50684683229223204</v>
      </c>
      <c r="AI4121">
        <v>98.501300989754299</v>
      </c>
      <c r="AJ4121">
        <v>77.975900333505393</v>
      </c>
      <c r="AK4121">
        <v>0.52397362574898798</v>
      </c>
    </row>
    <row r="4122" spans="1:37" x14ac:dyDescent="0.2">
      <c r="A4122" t="str">
        <f>"20200111153733230"</f>
        <v>20200111153733230</v>
      </c>
      <c r="B4122" t="str">
        <f>"1578728253227493"</f>
        <v>1578728253227493</v>
      </c>
      <c r="C4122" t="s">
        <v>37</v>
      </c>
      <c r="D4122">
        <v>6.0065790000000003</v>
      </c>
      <c r="E4122">
        <v>0.56792229999999999</v>
      </c>
      <c r="F4122" t="s">
        <v>38</v>
      </c>
      <c r="G4122">
        <v>-332.67930000000001</v>
      </c>
      <c r="H4122">
        <v>1.0287409999999999</v>
      </c>
      <c r="I4122">
        <v>140.79929999999999</v>
      </c>
      <c r="J4122">
        <v>-332.22239999999999</v>
      </c>
      <c r="K4122">
        <v>1.102654</v>
      </c>
      <c r="L4122">
        <v>140.69470000000001</v>
      </c>
      <c r="M4122">
        <v>-0.99989680000000003</v>
      </c>
      <c r="N4122">
        <v>0</v>
      </c>
      <c r="O4122">
        <v>-3.6895640000000002E-3</v>
      </c>
      <c r="P4122">
        <v>-0.99566060000000001</v>
      </c>
      <c r="Q4122">
        <v>4.478062E-2</v>
      </c>
      <c r="R4122">
        <v>-8.1578349999999994E-2</v>
      </c>
      <c r="S4122">
        <v>-3.0484619999999998</v>
      </c>
      <c r="T4122">
        <v>-0.22398570000000001</v>
      </c>
      <c r="U4122">
        <v>0.30992129999999901</v>
      </c>
      <c r="V4122">
        <v>-7.7746529999999994E-2</v>
      </c>
      <c r="W4122">
        <v>5.8819490000000002E-2</v>
      </c>
      <c r="X4122">
        <v>0.99523649999999997</v>
      </c>
      <c r="Y4122">
        <v>0.10452500000000001</v>
      </c>
      <c r="Z4122">
        <v>4.0950709999999996E-3</v>
      </c>
      <c r="AA4122">
        <v>0.9945138</v>
      </c>
      <c r="AB4122">
        <v>54</v>
      </c>
      <c r="AC4122">
        <v>-0.45690000000001801</v>
      </c>
      <c r="AD4122">
        <v>-7.3913000000000104E-2</v>
      </c>
      <c r="AE4122">
        <v>0.104599999999976</v>
      </c>
      <c r="AF4122">
        <v>0.10370640072249999</v>
      </c>
      <c r="AG4122">
        <v>-7.3913000000000104E-2</v>
      </c>
      <c r="AH4122">
        <v>0.445434541899282</v>
      </c>
      <c r="AI4122">
        <v>99.180324016422105</v>
      </c>
      <c r="AJ4122">
        <v>76.893833716108205</v>
      </c>
      <c r="AK4122">
        <v>0.46328185830748803</v>
      </c>
    </row>
    <row r="4123" spans="1:37" x14ac:dyDescent="0.2">
      <c r="A4123" t="str">
        <f>"20200111153733252"</f>
        <v>20200111153733252</v>
      </c>
      <c r="B4123" t="str">
        <f>"1578728253247013"</f>
        <v>1578728253247013</v>
      </c>
      <c r="C4123" t="s">
        <v>37</v>
      </c>
      <c r="D4123">
        <v>5.9955809999999996</v>
      </c>
      <c r="E4123">
        <v>0.56789499999999904</v>
      </c>
      <c r="F4123" t="s">
        <v>38</v>
      </c>
      <c r="G4123">
        <v>-333.16989999999998</v>
      </c>
      <c r="H4123">
        <v>1.0349159999999999</v>
      </c>
      <c r="I4123">
        <v>140.79179999999999</v>
      </c>
      <c r="J4123">
        <v>-332.7715</v>
      </c>
      <c r="K4123">
        <v>1.102563</v>
      </c>
      <c r="L4123">
        <v>140.69319999999999</v>
      </c>
      <c r="M4123">
        <v>-0.99990140000000005</v>
      </c>
      <c r="N4123">
        <v>0</v>
      </c>
      <c r="O4123">
        <v>-2.7980589999999999E-3</v>
      </c>
      <c r="P4123">
        <v>-0.99563690000000005</v>
      </c>
      <c r="Q4123">
        <v>4.5711500000000002E-2</v>
      </c>
      <c r="R4123">
        <v>-8.1350560000000002E-2</v>
      </c>
      <c r="S4123">
        <v>-3.0484619999999998</v>
      </c>
      <c r="T4123">
        <v>-0.21802089999999999</v>
      </c>
      <c r="U4123">
        <v>0.31195070000000003</v>
      </c>
      <c r="V4123">
        <v>-7.839902E-2</v>
      </c>
      <c r="W4123">
        <v>5.963773E-2</v>
      </c>
      <c r="X4123">
        <v>0.99513660000000004</v>
      </c>
      <c r="Y4123">
        <v>0.1043115</v>
      </c>
      <c r="Z4123">
        <v>3.9150349999999999E-3</v>
      </c>
      <c r="AA4123">
        <v>0.99453689999999995</v>
      </c>
      <c r="AB4123">
        <v>54</v>
      </c>
      <c r="AC4123">
        <v>-0.39839999999998099</v>
      </c>
      <c r="AD4123">
        <v>-6.7646999999999999E-2</v>
      </c>
      <c r="AE4123">
        <v>9.8600000000004601E-2</v>
      </c>
      <c r="AF4123">
        <v>9.7077179508049394E-2</v>
      </c>
      <c r="AG4123">
        <v>-6.7646999999999999E-2</v>
      </c>
      <c r="AH4123">
        <v>0.38759282710883702</v>
      </c>
      <c r="AI4123">
        <v>99.609150606303103</v>
      </c>
      <c r="AJ4123">
        <v>75.938858924519295</v>
      </c>
      <c r="AK4123">
        <v>0.40525090378240902</v>
      </c>
    </row>
    <row r="4124" spans="1:37" x14ac:dyDescent="0.2">
      <c r="A4124" t="str">
        <f>"20200111153733275"</f>
        <v>20200111153733275</v>
      </c>
      <c r="B4124" t="str">
        <f>"1578728253267509"</f>
        <v>1578728253267509</v>
      </c>
      <c r="C4124" t="s">
        <v>37</v>
      </c>
      <c r="D4124">
        <v>6.0205419999999998</v>
      </c>
      <c r="E4124">
        <v>0.5679111</v>
      </c>
      <c r="F4124" t="s">
        <v>38</v>
      </c>
      <c r="G4124">
        <v>-333.66039999999998</v>
      </c>
      <c r="H4124">
        <v>1.040335</v>
      </c>
      <c r="I4124">
        <v>140.7843</v>
      </c>
      <c r="J4124">
        <v>-333.32960000000003</v>
      </c>
      <c r="K4124">
        <v>1.102473</v>
      </c>
      <c r="L4124">
        <v>140.69210000000001</v>
      </c>
      <c r="M4124">
        <v>-0.99990659999999898</v>
      </c>
      <c r="N4124">
        <v>0</v>
      </c>
      <c r="O4124">
        <v>-1.881782E-3</v>
      </c>
      <c r="P4124">
        <v>-0.99557949999999995</v>
      </c>
      <c r="Q4124">
        <v>4.685777E-2</v>
      </c>
      <c r="R4124">
        <v>-8.1399630000000001E-2</v>
      </c>
      <c r="S4124">
        <v>-3.0484619999999998</v>
      </c>
      <c r="T4124">
        <v>-0.21338389999999999</v>
      </c>
      <c r="U4124">
        <v>0.31262209999999901</v>
      </c>
      <c r="V4124">
        <v>-7.9354540000000001E-2</v>
      </c>
      <c r="W4124">
        <v>6.0557310000000003E-2</v>
      </c>
      <c r="X4124">
        <v>0.99500540000000004</v>
      </c>
      <c r="Y4124">
        <v>0.10363219999999999</v>
      </c>
      <c r="Z4124">
        <v>3.7443419999999999E-3</v>
      </c>
      <c r="AA4124">
        <v>0.99460859999999995</v>
      </c>
      <c r="AB4124">
        <v>55</v>
      </c>
      <c r="AC4124">
        <v>-0.33079999999995302</v>
      </c>
      <c r="AD4124">
        <v>-6.2137999999999999E-2</v>
      </c>
      <c r="AE4124">
        <v>9.2199999999991095E-2</v>
      </c>
      <c r="AF4124">
        <v>8.9879636594718704E-2</v>
      </c>
      <c r="AG4124">
        <v>-6.2137999999999999E-2</v>
      </c>
      <c r="AH4124">
        <v>0.32014405618573599</v>
      </c>
      <c r="AI4124">
        <v>100.58473130605501</v>
      </c>
      <c r="AJ4124">
        <v>74.318047443346501</v>
      </c>
      <c r="AK4124">
        <v>0.33827754408097199</v>
      </c>
    </row>
    <row r="4125" spans="1:37" x14ac:dyDescent="0.2">
      <c r="A4125" t="str">
        <f>"20200111153733296"</f>
        <v>20200111153733296</v>
      </c>
      <c r="B4125" t="str">
        <f>"1578728253287032"</f>
        <v>1578728253287032</v>
      </c>
      <c r="C4125" t="s">
        <v>37</v>
      </c>
      <c r="D4125">
        <v>5.9707689999999998</v>
      </c>
      <c r="E4125">
        <v>0.56781610000000005</v>
      </c>
      <c r="F4125" t="s">
        <v>38</v>
      </c>
      <c r="G4125">
        <v>-334.15300000000002</v>
      </c>
      <c r="H4125">
        <v>1.045763</v>
      </c>
      <c r="I4125">
        <v>140.77680000000001</v>
      </c>
      <c r="J4125">
        <v>-333.85640000000001</v>
      </c>
      <c r="K4125">
        <v>1.1023959999999999</v>
      </c>
      <c r="L4125">
        <v>140.69149999999999</v>
      </c>
      <c r="M4125">
        <v>-0.99991169999999996</v>
      </c>
      <c r="N4125">
        <v>0</v>
      </c>
      <c r="O4125">
        <v>-1.004532E-3</v>
      </c>
      <c r="P4125">
        <v>-0.99558559999999996</v>
      </c>
      <c r="Q4125">
        <v>4.7292389999999997E-2</v>
      </c>
      <c r="R4125">
        <v>-8.1074690000000005E-2</v>
      </c>
      <c r="S4125">
        <v>-3.0487669999999998</v>
      </c>
      <c r="T4125">
        <v>-0.21000559999999999</v>
      </c>
      <c r="U4125">
        <v>0.31231690000000001</v>
      </c>
      <c r="V4125">
        <v>-7.9899849999999994E-2</v>
      </c>
      <c r="W4125">
        <v>6.0715329999999998E-2</v>
      </c>
      <c r="X4125">
        <v>0.99495210000000001</v>
      </c>
      <c r="Y4125">
        <v>0.1026633</v>
      </c>
      <c r="Z4125">
        <v>3.591407E-3</v>
      </c>
      <c r="AA4125">
        <v>0.99470970000000003</v>
      </c>
      <c r="AB4125">
        <v>55</v>
      </c>
      <c r="AC4125">
        <v>-0.29660000000001202</v>
      </c>
      <c r="AD4125">
        <v>-5.6632999999999899E-2</v>
      </c>
      <c r="AE4125">
        <v>8.5300000000017903E-2</v>
      </c>
      <c r="AF4125">
        <v>8.2809464582622797E-2</v>
      </c>
      <c r="AG4125">
        <v>-5.6632999999999899E-2</v>
      </c>
      <c r="AH4125">
        <v>0.28685482570230703</v>
      </c>
      <c r="AI4125">
        <v>100.74037081111</v>
      </c>
      <c r="AJ4125">
        <v>73.8975895613803</v>
      </c>
      <c r="AK4125">
        <v>0.30389207811682301</v>
      </c>
    </row>
    <row r="4126" spans="1:37" x14ac:dyDescent="0.2">
      <c r="A4126" t="str">
        <f>"20200111153733319"</f>
        <v>20200111153733319</v>
      </c>
      <c r="B4126" t="str">
        <f>"1578728253307525"</f>
        <v>1578728253307525</v>
      </c>
      <c r="C4126" t="s">
        <v>37</v>
      </c>
      <c r="D4126">
        <v>6.0125099999999998</v>
      </c>
      <c r="E4126">
        <v>0.56780459999999899</v>
      </c>
      <c r="F4126" t="s">
        <v>38</v>
      </c>
      <c r="G4126">
        <v>-334.64389999999997</v>
      </c>
      <c r="H4126">
        <v>1.0484849999999999</v>
      </c>
      <c r="I4126">
        <v>140.7723</v>
      </c>
      <c r="J4126">
        <v>-334.39800000000002</v>
      </c>
      <c r="K4126">
        <v>1.102328</v>
      </c>
      <c r="L4126">
        <v>140.69139999999999</v>
      </c>
      <c r="M4126">
        <v>-0.99991629999999998</v>
      </c>
      <c r="N4126">
        <v>0</v>
      </c>
      <c r="O4126" s="1">
        <v>-9.0391189999999995E-5</v>
      </c>
      <c r="P4126">
        <v>-0.99564430000000004</v>
      </c>
      <c r="Q4126">
        <v>4.7217780000000001E-2</v>
      </c>
      <c r="R4126">
        <v>-8.0393640000000002E-2</v>
      </c>
      <c r="S4126">
        <v>-3.0486759999999999</v>
      </c>
      <c r="T4126">
        <v>-0.20872489999999999</v>
      </c>
      <c r="U4126">
        <v>0.3123474</v>
      </c>
      <c r="V4126">
        <v>-8.0128980000000002E-2</v>
      </c>
      <c r="W4126">
        <v>6.033314E-2</v>
      </c>
      <c r="X4126">
        <v>0.99495689999999903</v>
      </c>
      <c r="Y4126">
        <v>0.101773899999999</v>
      </c>
      <c r="Z4126">
        <v>3.4769709999999902E-3</v>
      </c>
      <c r="AA4126">
        <v>0.99480149999999901</v>
      </c>
      <c r="AB4126">
        <v>55</v>
      </c>
      <c r="AC4126">
        <v>-0.24589999999994899</v>
      </c>
      <c r="AD4126">
        <v>-5.3842999999999801E-2</v>
      </c>
      <c r="AE4126">
        <v>8.0900000000013905E-2</v>
      </c>
      <c r="AF4126">
        <v>7.7566531607235895E-2</v>
      </c>
      <c r="AG4126">
        <v>-5.3842999999999801E-2</v>
      </c>
      <c r="AH4126">
        <v>0.23569596489085001</v>
      </c>
      <c r="AI4126">
        <v>102.24303337351699</v>
      </c>
      <c r="AJ4126">
        <v>71.783846252425704</v>
      </c>
      <c r="AK4126">
        <v>0.25390593403937101</v>
      </c>
    </row>
    <row r="4127" spans="1:37" x14ac:dyDescent="0.2">
      <c r="A4127" t="str">
        <f>"20200111153733342"</f>
        <v>20200111153733342</v>
      </c>
      <c r="B4127" t="str">
        <f>"1578728253336805"</f>
        <v>1578728253336805</v>
      </c>
      <c r="C4127" t="s">
        <v>37</v>
      </c>
      <c r="D4127">
        <v>6.2717299999999998</v>
      </c>
      <c r="E4127">
        <v>0.56627669999999997</v>
      </c>
      <c r="F4127" t="s">
        <v>38</v>
      </c>
      <c r="G4127">
        <v>-335.13580000000002</v>
      </c>
      <c r="H4127">
        <v>1.051868</v>
      </c>
      <c r="I4127">
        <v>140.76769999999999</v>
      </c>
      <c r="J4127">
        <v>-334.95030000000003</v>
      </c>
      <c r="K4127">
        <v>1.1022749999999999</v>
      </c>
      <c r="L4127">
        <v>140.6917</v>
      </c>
      <c r="M4127">
        <v>-0.99992000000000003</v>
      </c>
      <c r="N4127">
        <v>0</v>
      </c>
      <c r="O4127">
        <v>8.497639E-4</v>
      </c>
      <c r="P4127">
        <v>-0.99571480000000001</v>
      </c>
      <c r="Q4127">
        <v>4.7108780000000003E-2</v>
      </c>
      <c r="R4127">
        <v>-7.9581360000000004E-2</v>
      </c>
      <c r="S4127">
        <v>-3.0484309999999999</v>
      </c>
      <c r="T4127">
        <v>-0.20859439999999899</v>
      </c>
      <c r="U4127">
        <v>0.31434629999999902</v>
      </c>
      <c r="V4127">
        <v>-8.0251980000000001E-2</v>
      </c>
      <c r="W4127">
        <v>5.9913330000000001E-2</v>
      </c>
      <c r="X4127">
        <v>0.99497230000000003</v>
      </c>
      <c r="Y4127">
        <v>0.1014953</v>
      </c>
      <c r="Z4127">
        <v>3.4013730000000001E-3</v>
      </c>
      <c r="AA4127">
        <v>0.9948302</v>
      </c>
      <c r="AB4127">
        <v>55</v>
      </c>
      <c r="AC4127">
        <v>-0.18549999999999001</v>
      </c>
      <c r="AD4127">
        <v>-5.0406999999999799E-2</v>
      </c>
      <c r="AE4127">
        <v>7.5999999999993406E-2</v>
      </c>
      <c r="AF4127">
        <v>7.1332191264435296E-2</v>
      </c>
      <c r="AG4127">
        <v>-5.0406999999999799E-2</v>
      </c>
      <c r="AH4127">
        <v>0.17452950163400299</v>
      </c>
      <c r="AI4127">
        <v>104.967898456873</v>
      </c>
      <c r="AJ4127">
        <v>67.769607369459294</v>
      </c>
      <c r="AK4127">
        <v>0.19516581181190401</v>
      </c>
    </row>
    <row r="4128" spans="1:37" x14ac:dyDescent="0.2">
      <c r="A4128" t="str">
        <f>"20200111153733365"</f>
        <v>20200111153733365</v>
      </c>
      <c r="B4128" t="str">
        <f>"1578728253357304"</f>
        <v>1578728253357304</v>
      </c>
      <c r="C4128" t="s">
        <v>37</v>
      </c>
      <c r="D4128">
        <v>5.9724339999999998</v>
      </c>
      <c r="E4128">
        <v>0.48717189999999999</v>
      </c>
      <c r="F4128" t="s">
        <v>38</v>
      </c>
      <c r="G4128">
        <v>-336.09960000000001</v>
      </c>
      <c r="H4128">
        <v>1.0267090000000001</v>
      </c>
      <c r="I4128">
        <v>140.80709999999999</v>
      </c>
      <c r="J4128">
        <v>-335.51670000000001</v>
      </c>
      <c r="K4128">
        <v>1.1022369999999999</v>
      </c>
      <c r="L4128">
        <v>140.6926</v>
      </c>
      <c r="M4128">
        <v>-0.99992250000000005</v>
      </c>
      <c r="N4128">
        <v>0</v>
      </c>
      <c r="O4128">
        <v>1.815248E-3</v>
      </c>
      <c r="P4128">
        <v>-0.99580569999999902</v>
      </c>
      <c r="Q4128">
        <v>4.673625E-2</v>
      </c>
      <c r="R4128">
        <v>-7.8656619999999997E-2</v>
      </c>
      <c r="S4128">
        <v>-3.0467219999999999</v>
      </c>
      <c r="T4128">
        <v>-0.2003759</v>
      </c>
      <c r="U4128">
        <v>0.30448909999999901</v>
      </c>
      <c r="V4128">
        <v>-8.0287940000000002E-2</v>
      </c>
      <c r="W4128">
        <v>5.9242179999999998E-2</v>
      </c>
      <c r="X4128">
        <v>0.9950097</v>
      </c>
      <c r="Y4128">
        <v>9.743346E-2</v>
      </c>
      <c r="Z4128">
        <v>3.0736370000000002E-3</v>
      </c>
      <c r="AA4128">
        <v>0.99523729999999999</v>
      </c>
      <c r="AB4128">
        <v>55</v>
      </c>
      <c r="AC4128">
        <v>-0.58289999999999498</v>
      </c>
      <c r="AD4128">
        <v>-7.5527999999999998E-2</v>
      </c>
      <c r="AE4128">
        <v>0.114499999999992</v>
      </c>
      <c r="AF4128">
        <v>0.111636970067386</v>
      </c>
      <c r="AG4128">
        <v>-7.5527999999999998E-2</v>
      </c>
      <c r="AH4128">
        <v>0.57383071529184704</v>
      </c>
      <c r="AI4128">
        <v>97.361743850650896</v>
      </c>
      <c r="AJ4128">
        <v>78.990804455424794</v>
      </c>
      <c r="AK4128">
        <v>0.58944803136678603</v>
      </c>
    </row>
    <row r="4129" spans="1:37" x14ac:dyDescent="0.2">
      <c r="A4129" t="str">
        <f>"20200111153733386"</f>
        <v>20200111153733386</v>
      </c>
      <c r="B4129" t="str">
        <f>"1578728253376822"</f>
        <v>1578728253376822</v>
      </c>
      <c r="C4129" t="s">
        <v>37</v>
      </c>
      <c r="D4129">
        <v>5.9631879999999997</v>
      </c>
      <c r="E4129">
        <v>0.48190729999999998</v>
      </c>
      <c r="F4129" t="s">
        <v>39</v>
      </c>
      <c r="G4129">
        <v>-362.03590000000003</v>
      </c>
      <c r="H4129" s="1">
        <v>-3.7200279999999999E-6</v>
      </c>
      <c r="I4129">
        <v>137.8058</v>
      </c>
      <c r="J4129">
        <v>-336.05040000000002</v>
      </c>
      <c r="K4129">
        <v>1.102206</v>
      </c>
      <c r="L4129">
        <v>140.69380000000001</v>
      </c>
      <c r="M4129">
        <v>-0.99992359999999902</v>
      </c>
      <c r="N4129">
        <v>0</v>
      </c>
      <c r="O4129">
        <v>2.7215749999999999E-3</v>
      </c>
      <c r="P4129">
        <v>-0.995865</v>
      </c>
      <c r="Q4129">
        <v>4.685578E-2</v>
      </c>
      <c r="R4129">
        <v>-7.7829190000000006E-2</v>
      </c>
      <c r="S4129">
        <v>-2.9927060000000001</v>
      </c>
      <c r="T4129">
        <v>-0.124389</v>
      </c>
      <c r="U4129">
        <v>-0.32575989999999999</v>
      </c>
      <c r="V4129">
        <v>-8.0361199999999994E-2</v>
      </c>
      <c r="W4129">
        <v>5.910224E-2</v>
      </c>
      <c r="X4129">
        <v>0.99501200000000001</v>
      </c>
      <c r="Y4129">
        <v>-0.11082060000000001</v>
      </c>
      <c r="Z4129">
        <v>-2.4080629999999998E-3</v>
      </c>
      <c r="AA4129">
        <v>0.99383750000000004</v>
      </c>
      <c r="AB4129">
        <v>55</v>
      </c>
      <c r="AC4129">
        <v>-25.985499999999998</v>
      </c>
      <c r="AD4129">
        <v>-1.1022097200280001</v>
      </c>
      <c r="AE4129">
        <v>-2.8879999999999999</v>
      </c>
      <c r="AF4129">
        <v>-2.95346704761416</v>
      </c>
      <c r="AG4129">
        <v>-1.1022097200280001</v>
      </c>
      <c r="AH4129">
        <v>25.9314580376744</v>
      </c>
      <c r="AI4129">
        <v>92.418261150517793</v>
      </c>
      <c r="AJ4129">
        <v>96.497711049028695</v>
      </c>
      <c r="AK4129">
        <v>26.122372591859499</v>
      </c>
    </row>
    <row r="4130" spans="1:37" x14ac:dyDescent="0.2">
      <c r="A4130" t="str">
        <f>"20200111153733410"</f>
        <v>20200111153733410</v>
      </c>
      <c r="B4130" t="str">
        <f>"1578728253397318"</f>
        <v>1578728253397318</v>
      </c>
      <c r="C4130" t="s">
        <v>37</v>
      </c>
      <c r="D4130">
        <v>5.8383560000000001</v>
      </c>
      <c r="E4130">
        <v>0.48236289999999998</v>
      </c>
      <c r="F4130" t="s">
        <v>39</v>
      </c>
      <c r="G4130">
        <v>-355.9058</v>
      </c>
      <c r="H4130" s="1">
        <v>-1.9753049999999999E-6</v>
      </c>
      <c r="I4130">
        <v>138.2825</v>
      </c>
      <c r="J4130">
        <v>-336.59710000000001</v>
      </c>
      <c r="K4130">
        <v>1.102176</v>
      </c>
      <c r="L4130">
        <v>140.69560000000001</v>
      </c>
      <c r="M4130">
        <v>-0.99992359999999902</v>
      </c>
      <c r="N4130">
        <v>0</v>
      </c>
      <c r="O4130">
        <v>3.6447889999999998E-3</v>
      </c>
      <c r="P4130">
        <v>-0.99592329999999996</v>
      </c>
      <c r="Q4130">
        <v>4.6985100000000002E-2</v>
      </c>
      <c r="R4130">
        <v>-7.7001570000000005E-2</v>
      </c>
      <c r="S4130">
        <v>-2.9918819999999999</v>
      </c>
      <c r="T4130">
        <v>-0.16608519999999999</v>
      </c>
      <c r="U4130">
        <v>-0.36332700000000001</v>
      </c>
      <c r="V4130">
        <v>-8.0449510000000002E-2</v>
      </c>
      <c r="W4130">
        <v>5.8990849999999997E-2</v>
      </c>
      <c r="X4130">
        <v>0.99501149999999905</v>
      </c>
      <c r="Y4130">
        <v>-0.123976</v>
      </c>
      <c r="Z4130">
        <v>-3.627332E-3</v>
      </c>
      <c r="AA4130">
        <v>0.99227860000000001</v>
      </c>
      <c r="AB4130">
        <v>55</v>
      </c>
      <c r="AC4130">
        <v>-19.308699999999899</v>
      </c>
      <c r="AD4130">
        <v>-1.1021779753050001</v>
      </c>
      <c r="AE4130">
        <v>-2.4131000000000098</v>
      </c>
      <c r="AF4130">
        <v>-2.4755229472034799</v>
      </c>
      <c r="AG4130">
        <v>-1.1021779753050001</v>
      </c>
      <c r="AH4130">
        <v>19.238055595999601</v>
      </c>
      <c r="AI4130">
        <v>93.252222886777503</v>
      </c>
      <c r="AJ4130">
        <v>97.332438071660107</v>
      </c>
      <c r="AK4130">
        <v>19.427964207969602</v>
      </c>
    </row>
    <row r="4131" spans="1:37" x14ac:dyDescent="0.2">
      <c r="A4131" t="str">
        <f>"20200111153733432"</f>
        <v>20200111153733432</v>
      </c>
      <c r="B4131" t="str">
        <f>"1578728253427574"</f>
        <v>1578728253427574</v>
      </c>
      <c r="C4131" t="s">
        <v>37</v>
      </c>
      <c r="D4131">
        <v>5.8363629999999898</v>
      </c>
      <c r="E4131">
        <v>0.48315639999999999</v>
      </c>
      <c r="F4131" t="s">
        <v>39</v>
      </c>
      <c r="G4131">
        <v>-354.16460000000001</v>
      </c>
      <c r="H4131" s="1">
        <v>-2.6650610000000001E-6</v>
      </c>
      <c r="I4131">
        <v>138.60509999999999</v>
      </c>
      <c r="J4131">
        <v>-337.1644</v>
      </c>
      <c r="K4131">
        <v>1.1021529999999999</v>
      </c>
      <c r="L4131">
        <v>140.69799999999901</v>
      </c>
      <c r="M4131">
        <v>-0.99992239999999999</v>
      </c>
      <c r="N4131">
        <v>0</v>
      </c>
      <c r="O4131">
        <v>4.5983489999999998E-3</v>
      </c>
      <c r="P4131">
        <v>-0.99594689999999997</v>
      </c>
      <c r="Q4131">
        <v>4.7524070000000002E-2</v>
      </c>
      <c r="R4131">
        <v>-7.6363929999999997E-2</v>
      </c>
      <c r="S4131">
        <v>-2.9935909999999999</v>
      </c>
      <c r="T4131">
        <v>-0.1878174</v>
      </c>
      <c r="U4131">
        <v>-0.35621639999999999</v>
      </c>
      <c r="V4131">
        <v>-8.0757330000000002E-2</v>
      </c>
      <c r="W4131">
        <v>5.9307869999999999E-2</v>
      </c>
      <c r="X4131">
        <v>0.99496779999999996</v>
      </c>
      <c r="Y4131">
        <v>-0.1224782</v>
      </c>
      <c r="Z4131">
        <v>-4.1121489999999998E-3</v>
      </c>
      <c r="AA4131">
        <v>0.99246270000000003</v>
      </c>
      <c r="AB4131">
        <v>55</v>
      </c>
      <c r="AC4131">
        <v>-17.0002</v>
      </c>
      <c r="AD4131">
        <v>-1.102155665061</v>
      </c>
      <c r="AE4131">
        <v>-2.0928999999999802</v>
      </c>
      <c r="AF4131">
        <v>-2.1621039326070002</v>
      </c>
      <c r="AG4131">
        <v>-1.102155665061</v>
      </c>
      <c r="AH4131">
        <v>16.9203383138349</v>
      </c>
      <c r="AI4131">
        <v>93.696888007673707</v>
      </c>
      <c r="AJ4131">
        <v>97.281871060283194</v>
      </c>
      <c r="AK4131">
        <v>17.093486747297899</v>
      </c>
    </row>
    <row r="4132" spans="1:37" x14ac:dyDescent="0.2">
      <c r="A4132" t="str">
        <f>"20200111153733454"</f>
        <v>20200111153733454</v>
      </c>
      <c r="B4132" t="str">
        <f>"1578728253447111"</f>
        <v>1578728253447111</v>
      </c>
      <c r="C4132" t="s">
        <v>37</v>
      </c>
      <c r="D4132">
        <v>6.0233429999999997</v>
      </c>
      <c r="E4132">
        <v>0.48398789999999903</v>
      </c>
      <c r="F4132" t="s">
        <v>39</v>
      </c>
      <c r="G4132">
        <v>-353.6284</v>
      </c>
      <c r="H4132" s="1">
        <v>-2.8623009999999999E-6</v>
      </c>
      <c r="I4132">
        <v>138.78980000000001</v>
      </c>
      <c r="J4132">
        <v>-337.71370000000002</v>
      </c>
      <c r="K4132">
        <v>1.102141</v>
      </c>
      <c r="L4132">
        <v>140.70079999999999</v>
      </c>
      <c r="M4132">
        <v>-0.99992000000000003</v>
      </c>
      <c r="N4132">
        <v>0</v>
      </c>
      <c r="O4132">
        <v>5.5192119999999999E-3</v>
      </c>
      <c r="P4132">
        <v>-0.99597979999999997</v>
      </c>
      <c r="Q4132">
        <v>4.7805279999999999E-2</v>
      </c>
      <c r="R4132">
        <v>-7.5756450000000003E-2</v>
      </c>
      <c r="S4132">
        <v>-2.995117</v>
      </c>
      <c r="T4132">
        <v>-0.20050279999999901</v>
      </c>
      <c r="U4132">
        <v>-0.34712219999999999</v>
      </c>
      <c r="V4132">
        <v>-8.1063350000000006E-2</v>
      </c>
      <c r="W4132">
        <v>5.9403539999999998E-2</v>
      </c>
      <c r="X4132">
        <v>0.99493719999999997</v>
      </c>
      <c r="Y4132">
        <v>-0.12032859999999999</v>
      </c>
      <c r="Z4132">
        <v>-4.3775999999999997E-3</v>
      </c>
      <c r="AA4132">
        <v>0.99272450000000001</v>
      </c>
      <c r="AB4132">
        <v>55</v>
      </c>
      <c r="AC4132">
        <v>-15.9146999999999</v>
      </c>
      <c r="AD4132">
        <v>-1.102143862301</v>
      </c>
      <c r="AE4132">
        <v>-1.9109999999999701</v>
      </c>
      <c r="AF4132">
        <v>-1.98940758889223</v>
      </c>
      <c r="AG4132">
        <v>-1.102143862301</v>
      </c>
      <c r="AH4132">
        <v>15.829072410815799</v>
      </c>
      <c r="AI4132">
        <v>93.951962355038404</v>
      </c>
      <c r="AJ4132">
        <v>97.163409668991903</v>
      </c>
      <c r="AK4132">
        <v>15.991622714246301</v>
      </c>
    </row>
    <row r="4133" spans="1:37" x14ac:dyDescent="0.2">
      <c r="A4133" t="str">
        <f>"20200111153733476"</f>
        <v>20200111153733476</v>
      </c>
      <c r="B4133" t="str">
        <f>"1578728253467589"</f>
        <v>1578728253467589</v>
      </c>
      <c r="C4133" t="s">
        <v>37</v>
      </c>
      <c r="D4133">
        <v>5.7617880000000001</v>
      </c>
      <c r="E4133">
        <v>0.484075599999999</v>
      </c>
      <c r="F4133" t="s">
        <v>39</v>
      </c>
      <c r="G4133">
        <v>-354.71260000000001</v>
      </c>
      <c r="H4133" s="1">
        <v>-2.3993519999999998E-6</v>
      </c>
      <c r="I4133">
        <v>138.77760000000001</v>
      </c>
      <c r="J4133">
        <v>-338.26</v>
      </c>
      <c r="K4133">
        <v>1.1021449999999999</v>
      </c>
      <c r="L4133">
        <v>140.70410000000001</v>
      </c>
      <c r="M4133">
        <v>-0.99991609999999997</v>
      </c>
      <c r="N4133">
        <v>0</v>
      </c>
      <c r="O4133">
        <v>6.4343450000000002E-3</v>
      </c>
      <c r="P4133">
        <v>-0.99602959999999996</v>
      </c>
      <c r="Q4133">
        <v>4.7825489999999998E-2</v>
      </c>
      <c r="R4133">
        <v>-7.5086650000000005E-2</v>
      </c>
      <c r="S4133">
        <v>-2.9956969999999998</v>
      </c>
      <c r="T4133">
        <v>-0.19422919999999999</v>
      </c>
      <c r="U4133">
        <v>-0.33889770000000002</v>
      </c>
      <c r="V4133">
        <v>-8.1303100000000003E-2</v>
      </c>
      <c r="W4133">
        <v>5.9271209999999998E-2</v>
      </c>
      <c r="X4133">
        <v>0.99492549999999902</v>
      </c>
      <c r="Y4133">
        <v>-0.1185436</v>
      </c>
      <c r="Z4133">
        <v>-4.2422359999999999E-3</v>
      </c>
      <c r="AA4133">
        <v>0.99293980000000004</v>
      </c>
      <c r="AB4133">
        <v>55</v>
      </c>
      <c r="AC4133">
        <v>-16.4526</v>
      </c>
      <c r="AD4133">
        <v>-1.1021473993519999</v>
      </c>
      <c r="AE4133">
        <v>-1.9265000000000001</v>
      </c>
      <c r="AF4133">
        <v>-2.0233713219171898</v>
      </c>
      <c r="AG4133">
        <v>-1.1021473993519999</v>
      </c>
      <c r="AH4133">
        <v>16.3674065552235</v>
      </c>
      <c r="AI4133">
        <v>93.823347054620896</v>
      </c>
      <c r="AJ4133">
        <v>97.047263567849697</v>
      </c>
      <c r="AK4133">
        <v>16.5287857309673</v>
      </c>
    </row>
    <row r="4134" spans="1:37" x14ac:dyDescent="0.2">
      <c r="A4134" t="str">
        <f>"20200111153733497"</f>
        <v>20200111153733497</v>
      </c>
      <c r="B4134" t="str">
        <f>"1578728253487110"</f>
        <v>1578728253487110</v>
      </c>
      <c r="C4134" t="s">
        <v>37</v>
      </c>
      <c r="D4134">
        <v>5.7876000000000003</v>
      </c>
      <c r="E4134">
        <v>0.4842959</v>
      </c>
      <c r="F4134" t="s">
        <v>39</v>
      </c>
      <c r="G4134">
        <v>-355.26679999999999</v>
      </c>
      <c r="H4134" s="1">
        <v>-2.158446E-6</v>
      </c>
      <c r="I4134">
        <v>138.7954</v>
      </c>
      <c r="J4134">
        <v>-338.79180000000002</v>
      </c>
      <c r="K4134">
        <v>1.1021620000000001</v>
      </c>
      <c r="L4134">
        <v>140.70779999999999</v>
      </c>
      <c r="M4134">
        <v>-0.99991149999999995</v>
      </c>
      <c r="N4134">
        <v>0</v>
      </c>
      <c r="O4134">
        <v>7.3257249999999999E-3</v>
      </c>
      <c r="P4134">
        <v>-0.99601640000000002</v>
      </c>
      <c r="Q4134">
        <v>4.8301599999999903E-2</v>
      </c>
      <c r="R4134">
        <v>-7.4955679999999997E-2</v>
      </c>
      <c r="S4134">
        <v>-2.9959410000000002</v>
      </c>
      <c r="T4134">
        <v>-0.194156299999999</v>
      </c>
      <c r="U4134">
        <v>-0.33622740000000001</v>
      </c>
      <c r="V4134">
        <v>-8.2055610000000001E-2</v>
      </c>
      <c r="W4134">
        <v>5.963487E-2</v>
      </c>
      <c r="X4134">
        <v>0.994842</v>
      </c>
      <c r="Y4134">
        <v>-0.1185441</v>
      </c>
      <c r="Z4134">
        <v>-4.2980709999999997E-3</v>
      </c>
      <c r="AA4134">
        <v>0.99293949999999997</v>
      </c>
      <c r="AB4134">
        <v>55</v>
      </c>
      <c r="AC4134">
        <v>-16.474999999999898</v>
      </c>
      <c r="AD4134">
        <v>-1.102164158446</v>
      </c>
      <c r="AE4134">
        <v>-1.9123999999999901</v>
      </c>
      <c r="AF4134">
        <v>-2.0241089761560298</v>
      </c>
      <c r="AG4134">
        <v>-1.102164158446</v>
      </c>
      <c r="AH4134">
        <v>16.388177108093402</v>
      </c>
      <c r="AI4134">
        <v>93.818625285057394</v>
      </c>
      <c r="AJ4134">
        <v>97.040961656736897</v>
      </c>
      <c r="AK4134">
        <v>16.5494450633777</v>
      </c>
    </row>
    <row r="4135" spans="1:37" x14ac:dyDescent="0.2">
      <c r="A4135" t="str">
        <f>"20200111153733521"</f>
        <v>20200111153733521</v>
      </c>
      <c r="B4135" t="str">
        <f>"1578728253517365"</f>
        <v>1578728253517365</v>
      </c>
      <c r="C4135" t="s">
        <v>37</v>
      </c>
      <c r="D4135">
        <v>6.0725550000000004</v>
      </c>
      <c r="E4135">
        <v>0.48457479999999897</v>
      </c>
      <c r="F4135" t="s">
        <v>39</v>
      </c>
      <c r="G4135">
        <v>-355.57150000000001</v>
      </c>
      <c r="H4135" s="1">
        <v>-2.0200059999999999E-6</v>
      </c>
      <c r="I4135">
        <v>138.839</v>
      </c>
      <c r="J4135">
        <v>-339.34289999999999</v>
      </c>
      <c r="K4135">
        <v>1.10219</v>
      </c>
      <c r="L4135">
        <v>140.71209999999999</v>
      </c>
      <c r="M4135">
        <v>-0.99990499999999904</v>
      </c>
      <c r="N4135">
        <v>0</v>
      </c>
      <c r="O4135">
        <v>8.2503449999999992E-3</v>
      </c>
      <c r="P4135">
        <v>-0.99593659999999995</v>
      </c>
      <c r="Q4135">
        <v>4.9319769999999999E-2</v>
      </c>
      <c r="R4135">
        <v>-7.5350559999999997E-2</v>
      </c>
      <c r="S4135">
        <v>-2.9964599999999999</v>
      </c>
      <c r="T4135">
        <v>-0.19682149999999901</v>
      </c>
      <c r="U4135">
        <v>-0.3337097</v>
      </c>
      <c r="V4135">
        <v>-8.3366209999999996E-2</v>
      </c>
      <c r="W4135">
        <v>6.058587E-2</v>
      </c>
      <c r="X4135">
        <v>0.99467549999999905</v>
      </c>
      <c r="Y4135">
        <v>-0.11860999999999999</v>
      </c>
      <c r="Z4135">
        <v>-4.4190499999999999E-3</v>
      </c>
      <c r="AA4135">
        <v>0.99293109999999996</v>
      </c>
      <c r="AB4135">
        <v>55</v>
      </c>
      <c r="AC4135">
        <v>-16.2286</v>
      </c>
      <c r="AD4135">
        <v>-1.102192020006</v>
      </c>
      <c r="AE4135">
        <v>-1.87309999999999</v>
      </c>
      <c r="AF4135">
        <v>-1.9978417192687801</v>
      </c>
      <c r="AG4135">
        <v>-1.102192020006</v>
      </c>
      <c r="AH4135">
        <v>16.139127151287799</v>
      </c>
      <c r="AI4135">
        <v>93.877340440012603</v>
      </c>
      <c r="AJ4135">
        <v>97.056672068168993</v>
      </c>
      <c r="AK4135">
        <v>16.2996203633598</v>
      </c>
    </row>
    <row r="4136" spans="1:37" x14ac:dyDescent="0.2">
      <c r="A4136" t="str">
        <f>"20200111153733543"</f>
        <v>20200111153733543</v>
      </c>
      <c r="B4136" t="str">
        <f>"1578728253536885"</f>
        <v>1578728253536885</v>
      </c>
      <c r="C4136" t="s">
        <v>37</v>
      </c>
      <c r="D4136">
        <v>5.8823749999999997</v>
      </c>
      <c r="E4136">
        <v>0.48465740000000002</v>
      </c>
      <c r="F4136" t="s">
        <v>39</v>
      </c>
      <c r="G4136">
        <v>-356.53809999999999</v>
      </c>
      <c r="H4136" s="1">
        <v>-1.6114359999999899E-6</v>
      </c>
      <c r="I4136">
        <v>138.80459999999999</v>
      </c>
      <c r="J4136">
        <v>-339.90410000000003</v>
      </c>
      <c r="K4136">
        <v>1.102236</v>
      </c>
      <c r="L4136">
        <v>140.71709999999999</v>
      </c>
      <c r="M4136">
        <v>-0.99989660000000002</v>
      </c>
      <c r="N4136">
        <v>0</v>
      </c>
      <c r="O4136">
        <v>9.1920609999999996E-3</v>
      </c>
      <c r="P4136">
        <v>-0.99580360000000001</v>
      </c>
      <c r="Q4136">
        <v>5.0782620000000001E-2</v>
      </c>
      <c r="R4136">
        <v>-7.6134320000000005E-2</v>
      </c>
      <c r="S4136">
        <v>-2.996613</v>
      </c>
      <c r="T4136">
        <v>-0.192079799999999</v>
      </c>
      <c r="U4136">
        <v>-0.33241270000000001</v>
      </c>
      <c r="V4136">
        <v>-8.5078639999999997E-2</v>
      </c>
      <c r="W4136">
        <v>6.2057950000000001E-2</v>
      </c>
      <c r="X4136">
        <v>0.99443979999999998</v>
      </c>
      <c r="Y4136">
        <v>-0.11912499999999999</v>
      </c>
      <c r="Z4136">
        <v>-4.389263E-3</v>
      </c>
      <c r="AA4136">
        <v>0.99286960000000002</v>
      </c>
      <c r="AB4136">
        <v>55</v>
      </c>
      <c r="AC4136">
        <v>-16.633999999999901</v>
      </c>
      <c r="AD4136">
        <v>-1.102237611436</v>
      </c>
      <c r="AE4136">
        <v>-1.9124999999999901</v>
      </c>
      <c r="AF4136">
        <v>-2.0564174953840402</v>
      </c>
      <c r="AG4136">
        <v>-1.102237611436</v>
      </c>
      <c r="AH4136">
        <v>16.544020317345201</v>
      </c>
      <c r="AI4136">
        <v>93.782647111374899</v>
      </c>
      <c r="AJ4136">
        <v>97.085508511674007</v>
      </c>
      <c r="AK4136">
        <v>16.707734404404299</v>
      </c>
    </row>
    <row r="4137" spans="1:37" x14ac:dyDescent="0.2">
      <c r="A4137" t="str">
        <f>"20200111153733566"</f>
        <v>20200111153733566</v>
      </c>
      <c r="B4137" t="str">
        <f>"1578728253557384"</f>
        <v>1578728253557384</v>
      </c>
      <c r="C4137" t="s">
        <v>37</v>
      </c>
      <c r="D4137">
        <v>5.8537589999999904</v>
      </c>
      <c r="E4137">
        <v>0.48487799999999998</v>
      </c>
      <c r="F4137" t="s">
        <v>39</v>
      </c>
      <c r="G4137">
        <v>-357.68259999999998</v>
      </c>
      <c r="H4137" s="1">
        <v>-1.132816E-6</v>
      </c>
      <c r="I4137">
        <v>138.73490000000001</v>
      </c>
      <c r="J4137">
        <v>-340.47019999999998</v>
      </c>
      <c r="K4137">
        <v>1.1022909999999999</v>
      </c>
      <c r="L4137">
        <v>140.7227</v>
      </c>
      <c r="M4137">
        <v>-0.99988679999999996</v>
      </c>
      <c r="N4137">
        <v>0</v>
      </c>
      <c r="O4137">
        <v>1.014198E-2</v>
      </c>
      <c r="P4137">
        <v>-0.99568609999999902</v>
      </c>
      <c r="Q4137">
        <v>5.1976000000000001E-2</v>
      </c>
      <c r="R4137">
        <v>-7.6864059999999998E-2</v>
      </c>
      <c r="S4137">
        <v>-2.9965820000000001</v>
      </c>
      <c r="T4137">
        <v>-0.1857828</v>
      </c>
      <c r="U4137">
        <v>-0.33409119999999998</v>
      </c>
      <c r="V4137">
        <v>-8.6746420000000005E-2</v>
      </c>
      <c r="W4137">
        <v>6.3327179999999997E-2</v>
      </c>
      <c r="X4137">
        <v>0.99421559999999898</v>
      </c>
      <c r="Y4137">
        <v>-0.1206306</v>
      </c>
      <c r="Z4137">
        <v>-4.3507179999999999E-3</v>
      </c>
      <c r="AA4137">
        <v>0.99268789999999996</v>
      </c>
      <c r="AB4137">
        <v>55</v>
      </c>
      <c r="AC4137">
        <v>-17.212399999999999</v>
      </c>
      <c r="AD4137">
        <v>-1.10229213281599</v>
      </c>
      <c r="AE4137">
        <v>-1.98779999999999</v>
      </c>
      <c r="AF4137">
        <v>-2.1535604234301302</v>
      </c>
      <c r="AG4137">
        <v>-1.10229213281599</v>
      </c>
      <c r="AH4137">
        <v>17.122056467995598</v>
      </c>
      <c r="AI4137">
        <v>93.654815542645693</v>
      </c>
      <c r="AJ4137">
        <v>97.168844506654693</v>
      </c>
      <c r="AK4137">
        <v>17.292127923904101</v>
      </c>
    </row>
    <row r="4138" spans="1:37" x14ac:dyDescent="0.2">
      <c r="A4138" t="str">
        <f>"20200111153733587"</f>
        <v>20200111153733587</v>
      </c>
      <c r="B4138" t="str">
        <f>"1578728253576901"</f>
        <v>1578728253576901</v>
      </c>
      <c r="C4138" t="s">
        <v>37</v>
      </c>
      <c r="D4138">
        <v>5.890676</v>
      </c>
      <c r="E4138">
        <v>0.48491469999999998</v>
      </c>
      <c r="F4138" t="s">
        <v>39</v>
      </c>
      <c r="G4138">
        <v>-358.87189999999998</v>
      </c>
      <c r="H4138" s="1">
        <v>-6.3471999999999996E-7</v>
      </c>
      <c r="I4138">
        <v>138.66650000000001</v>
      </c>
      <c r="J4138">
        <v>-341.00540000000001</v>
      </c>
      <c r="K4138">
        <v>1.102355</v>
      </c>
      <c r="L4138">
        <v>140.7285</v>
      </c>
      <c r="M4138">
        <v>-0.99987549999999903</v>
      </c>
      <c r="N4138">
        <v>0</v>
      </c>
      <c r="O4138">
        <v>1.10335E-2</v>
      </c>
      <c r="P4138">
        <v>-0.99560499999999996</v>
      </c>
      <c r="Q4138">
        <v>5.2987760000000002E-2</v>
      </c>
      <c r="R4138">
        <v>-7.7222990000000005E-2</v>
      </c>
      <c r="S4138">
        <v>-2.996521</v>
      </c>
      <c r="T4138">
        <v>-0.17949660000000001</v>
      </c>
      <c r="U4138">
        <v>-0.3348083</v>
      </c>
      <c r="V4138">
        <v>-8.7985530000000006E-2</v>
      </c>
      <c r="W4138">
        <v>6.4513009999999996E-2</v>
      </c>
      <c r="X4138">
        <v>0.99403050000000004</v>
      </c>
      <c r="Y4138">
        <v>-0.1217654</v>
      </c>
      <c r="Z4138">
        <v>-4.2908620000000003E-3</v>
      </c>
      <c r="AA4138">
        <v>0.99254969999999998</v>
      </c>
      <c r="AB4138">
        <v>55</v>
      </c>
      <c r="AC4138">
        <v>-17.866499999999899</v>
      </c>
      <c r="AD4138">
        <v>-1.1023556347200001</v>
      </c>
      <c r="AE4138">
        <v>-2.0619999999999798</v>
      </c>
      <c r="AF4138">
        <v>-2.2505621298571699</v>
      </c>
      <c r="AG4138">
        <v>-1.1023556347200001</v>
      </c>
      <c r="AH4138">
        <v>17.7758793826738</v>
      </c>
      <c r="AI4138">
        <v>93.520570590637703</v>
      </c>
      <c r="AJ4138">
        <v>97.2156922021654</v>
      </c>
      <c r="AK4138">
        <v>17.951660248375699</v>
      </c>
    </row>
    <row r="4139" spans="1:37" x14ac:dyDescent="0.2">
      <c r="A4139" t="str">
        <f>"20200111153733611"</f>
        <v>20200111153733611</v>
      </c>
      <c r="B4139" t="str">
        <f>"1578728253607157"</f>
        <v>1578728253607157</v>
      </c>
      <c r="C4139" t="s">
        <v>37</v>
      </c>
      <c r="D4139">
        <v>6.1310120000000001</v>
      </c>
      <c r="E4139">
        <v>0.48511589999999999</v>
      </c>
      <c r="F4139" t="s">
        <v>39</v>
      </c>
      <c r="G4139">
        <v>-359.83909999999997</v>
      </c>
      <c r="H4139" s="1">
        <v>-3.0656199999999901E-7</v>
      </c>
      <c r="I4139">
        <v>138.61750000000001</v>
      </c>
      <c r="J4139">
        <v>-341.55930000000001</v>
      </c>
      <c r="K4139">
        <v>1.102444</v>
      </c>
      <c r="L4139">
        <v>140.73500000000001</v>
      </c>
      <c r="M4139">
        <v>-0.99986149999999996</v>
      </c>
      <c r="N4139">
        <v>0</v>
      </c>
      <c r="O4139">
        <v>1.194246E-2</v>
      </c>
      <c r="P4139">
        <v>-0.99557050000000002</v>
      </c>
      <c r="Q4139">
        <v>5.3057809999999997E-2</v>
      </c>
      <c r="R4139">
        <v>-7.7617740000000005E-2</v>
      </c>
      <c r="S4139">
        <v>-2.996521</v>
      </c>
      <c r="T4139">
        <v>-0.17538989999999999</v>
      </c>
      <c r="U4139">
        <v>-0.33584589999999998</v>
      </c>
      <c r="V4139">
        <v>-8.9281029999999997E-2</v>
      </c>
      <c r="W4139">
        <v>6.4895599999999998E-2</v>
      </c>
      <c r="X4139">
        <v>0.99388999999999905</v>
      </c>
      <c r="Y4139">
        <v>-0.1230141</v>
      </c>
      <c r="Z4139">
        <v>-4.28219E-3</v>
      </c>
      <c r="AA4139">
        <v>0.99239569999999999</v>
      </c>
      <c r="AB4139">
        <v>55</v>
      </c>
      <c r="AC4139">
        <v>-18.279799999999899</v>
      </c>
      <c r="AD4139">
        <v>-1.102444306562</v>
      </c>
      <c r="AE4139">
        <v>-2.1175000000000002</v>
      </c>
      <c r="AF4139">
        <v>-2.32731652451483</v>
      </c>
      <c r="AG4139">
        <v>-1.102444306562</v>
      </c>
      <c r="AH4139">
        <v>18.187928664973601</v>
      </c>
      <c r="AI4139">
        <v>93.440700497262</v>
      </c>
      <c r="AJ4139">
        <v>97.291907850813104</v>
      </c>
      <c r="AK4139">
        <v>18.369336808293301</v>
      </c>
    </row>
    <row r="4140" spans="1:37" x14ac:dyDescent="0.2">
      <c r="A4140" t="str">
        <f>"20200111153733634"</f>
        <v>20200111153733634</v>
      </c>
      <c r="B4140" t="str">
        <f>"1578728253627653"</f>
        <v>1578728253627653</v>
      </c>
      <c r="C4140" t="s">
        <v>37</v>
      </c>
      <c r="D4140">
        <v>5.9088320000000003</v>
      </c>
      <c r="E4140">
        <v>0.48518670000000003</v>
      </c>
      <c r="F4140" t="s">
        <v>39</v>
      </c>
      <c r="G4140">
        <v>-360.81819999999999</v>
      </c>
      <c r="H4140" s="1">
        <v>-4.1057569999999996E-6</v>
      </c>
      <c r="I4140">
        <v>138.5763</v>
      </c>
      <c r="J4140">
        <v>-342.11059999999998</v>
      </c>
      <c r="K4140">
        <v>1.102538</v>
      </c>
      <c r="L4140">
        <v>140.74189999999999</v>
      </c>
      <c r="M4140">
        <v>-0.99984589999999995</v>
      </c>
      <c r="N4140">
        <v>0</v>
      </c>
      <c r="O4140">
        <v>1.2842559999999999E-2</v>
      </c>
      <c r="P4140">
        <v>-0.99559030000000004</v>
      </c>
      <c r="Q4140">
        <v>5.2380549999999998E-2</v>
      </c>
      <c r="R4140">
        <v>-7.7822420000000003E-2</v>
      </c>
      <c r="S4140">
        <v>-2.9962770000000001</v>
      </c>
      <c r="T4140">
        <v>-0.1715187</v>
      </c>
      <c r="U4140">
        <v>-0.33583069999999998</v>
      </c>
      <c r="V4140">
        <v>-9.0382240000000003E-2</v>
      </c>
      <c r="W4140">
        <v>6.459724E-2</v>
      </c>
      <c r="X4140">
        <v>0.99380990000000002</v>
      </c>
      <c r="Y4140">
        <v>-0.1239184</v>
      </c>
      <c r="Z4140">
        <v>-4.2652920000000004E-3</v>
      </c>
      <c r="AA4140">
        <v>0.99228320000000003</v>
      </c>
      <c r="AB4140">
        <v>55</v>
      </c>
      <c r="AC4140">
        <v>-18.707599999999999</v>
      </c>
      <c r="AD4140">
        <v>-1.102542105757</v>
      </c>
      <c r="AE4140">
        <v>-2.16559999999998</v>
      </c>
      <c r="AF4140">
        <v>-2.3974748016866601</v>
      </c>
      <c r="AG4140">
        <v>-1.102542105757</v>
      </c>
      <c r="AH4140">
        <v>18.614442777059299</v>
      </c>
      <c r="AI4140">
        <v>93.361989359679498</v>
      </c>
      <c r="AJ4140">
        <v>97.339091395426095</v>
      </c>
      <c r="AK4140">
        <v>18.800557556096699</v>
      </c>
    </row>
    <row r="4141" spans="1:37" x14ac:dyDescent="0.2">
      <c r="A4141" t="str">
        <f>"20200111153733654"</f>
        <v>20200111153733654</v>
      </c>
      <c r="B4141" t="str">
        <f>"1578728253647173"</f>
        <v>1578728253647173</v>
      </c>
      <c r="C4141" t="s">
        <v>37</v>
      </c>
      <c r="D4141">
        <v>5.8813719999999998</v>
      </c>
      <c r="E4141">
        <v>0.48523450000000001</v>
      </c>
      <c r="F4141" t="s">
        <v>39</v>
      </c>
      <c r="G4141">
        <v>-361.27030000000002</v>
      </c>
      <c r="H4141" s="1">
        <v>-3.9086780000000002E-6</v>
      </c>
      <c r="I4141">
        <v>138.59379999999999</v>
      </c>
      <c r="J4141">
        <v>-342.66489999999999</v>
      </c>
      <c r="K4141">
        <v>1.1026209999999901</v>
      </c>
      <c r="L4141">
        <v>140.74950000000001</v>
      </c>
      <c r="M4141">
        <v>-0.99982919999999997</v>
      </c>
      <c r="N4141">
        <v>0</v>
      </c>
      <c r="O4141">
        <v>1.375082E-2</v>
      </c>
      <c r="P4141">
        <v>-0.99558930000000001</v>
      </c>
      <c r="Q4141">
        <v>5.1932739999999998E-2</v>
      </c>
      <c r="R4141">
        <v>-7.8137380000000006E-2</v>
      </c>
      <c r="S4141">
        <v>-2.9960939999999998</v>
      </c>
      <c r="T4141">
        <v>-0.1724096</v>
      </c>
      <c r="U4141">
        <v>-0.33590700000000001</v>
      </c>
      <c r="V4141">
        <v>-9.1600440000000005E-2</v>
      </c>
      <c r="W4141">
        <v>6.453159E-2</v>
      </c>
      <c r="X4141">
        <v>0.99370270000000005</v>
      </c>
      <c r="Y4141">
        <v>-0.1248461</v>
      </c>
      <c r="Z4141">
        <v>-4.3663360000000002E-3</v>
      </c>
      <c r="AA4141">
        <v>0.99216649999999995</v>
      </c>
      <c r="AB4141">
        <v>55</v>
      </c>
      <c r="AC4141">
        <v>-18.605399999999999</v>
      </c>
      <c r="AD4141">
        <v>-1.10262490867799</v>
      </c>
      <c r="AE4141">
        <v>-2.1557000000000199</v>
      </c>
      <c r="AF4141">
        <v>-2.4030270895626802</v>
      </c>
      <c r="AG4141">
        <v>-1.10262490867799</v>
      </c>
      <c r="AH4141">
        <v>18.509846876309599</v>
      </c>
      <c r="AI4141">
        <v>93.380755830256206</v>
      </c>
      <c r="AJ4141">
        <v>97.397009831285601</v>
      </c>
      <c r="AK4141">
        <v>18.697720509913399</v>
      </c>
    </row>
    <row r="4142" spans="1:37" x14ac:dyDescent="0.2">
      <c r="A4142" t="str">
        <f>"20200111153733677"</f>
        <v>20200111153733677</v>
      </c>
      <c r="B4142" t="str">
        <f>"1578728253667669"</f>
        <v>1578728253667669</v>
      </c>
      <c r="C4142" t="s">
        <v>37</v>
      </c>
      <c r="D4142">
        <v>5.7491879999999904</v>
      </c>
      <c r="E4142">
        <v>0.48527520000000002</v>
      </c>
      <c r="F4142" t="s">
        <v>39</v>
      </c>
      <c r="G4142">
        <v>-361.69220000000001</v>
      </c>
      <c r="H4142" s="1">
        <v>-3.724551E-6</v>
      </c>
      <c r="I4142">
        <v>138.6114</v>
      </c>
      <c r="J4142">
        <v>-343.21820000000002</v>
      </c>
      <c r="K4142">
        <v>1.1026879999999999</v>
      </c>
      <c r="L4142">
        <v>140.75749999999999</v>
      </c>
      <c r="M4142">
        <v>-0.99981189999999998</v>
      </c>
      <c r="N4142">
        <v>0</v>
      </c>
      <c r="O4142">
        <v>1.466104E-2</v>
      </c>
      <c r="P4142">
        <v>-0.995552399999999</v>
      </c>
      <c r="Q4142">
        <v>5.2544790000000001E-2</v>
      </c>
      <c r="R4142">
        <v>-7.8196180000000004E-2</v>
      </c>
      <c r="S4142">
        <v>-2.9959410000000002</v>
      </c>
      <c r="T4142">
        <v>-0.1736134</v>
      </c>
      <c r="U4142">
        <v>-0.33663939999999998</v>
      </c>
      <c r="V4142">
        <v>-9.2561180000000007E-2</v>
      </c>
      <c r="W4142">
        <v>6.5495129999999999E-2</v>
      </c>
      <c r="X4142">
        <v>0.99355059999999995</v>
      </c>
      <c r="Y4142">
        <v>-0.12598789999999899</v>
      </c>
      <c r="Z4142">
        <v>-4.482448E-3</v>
      </c>
      <c r="AA4142">
        <v>0.99202169999999901</v>
      </c>
      <c r="AB4142">
        <v>55</v>
      </c>
      <c r="AC4142">
        <v>-18.473999999999901</v>
      </c>
      <c r="AD4142">
        <v>-1.102691724551</v>
      </c>
      <c r="AE4142">
        <v>-2.1460999999999899</v>
      </c>
      <c r="AF4142">
        <v>-2.4082733432581001</v>
      </c>
      <c r="AG4142">
        <v>-1.102691724551</v>
      </c>
      <c r="AH4142">
        <v>18.3759502047787</v>
      </c>
      <c r="AI4142">
        <v>93.405001292438001</v>
      </c>
      <c r="AJ4142">
        <v>97.466386989993694</v>
      </c>
      <c r="AK4142">
        <v>18.5658626372099</v>
      </c>
    </row>
    <row r="4143" spans="1:37" x14ac:dyDescent="0.2">
      <c r="A4143" t="str">
        <f>"20200111153733699"</f>
        <v>20200111153733699</v>
      </c>
      <c r="B4143" t="str">
        <f>"1578728253687190"</f>
        <v>1578728253687190</v>
      </c>
      <c r="C4143" t="s">
        <v>37</v>
      </c>
      <c r="D4143">
        <v>5.9045439999999996</v>
      </c>
      <c r="E4143">
        <v>0.48524440000000002</v>
      </c>
      <c r="F4143" t="s">
        <v>39</v>
      </c>
      <c r="G4143">
        <v>-362.45850000000002</v>
      </c>
      <c r="H4143" s="1">
        <v>-3.3983440000000001E-6</v>
      </c>
      <c r="I4143">
        <v>138.59719999999999</v>
      </c>
      <c r="J4143">
        <v>-343.74720000000002</v>
      </c>
      <c r="K4143">
        <v>1.102749</v>
      </c>
      <c r="L4143">
        <v>140.76580000000001</v>
      </c>
      <c r="M4143">
        <v>-0.99979479999999998</v>
      </c>
      <c r="N4143">
        <v>0</v>
      </c>
      <c r="O4143">
        <v>1.5531359999999999E-2</v>
      </c>
      <c r="P4143">
        <v>-0.99543729999999997</v>
      </c>
      <c r="Q4143">
        <v>5.4250720000000002E-2</v>
      </c>
      <c r="R4143">
        <v>-7.8495759999999998E-2</v>
      </c>
      <c r="S4143">
        <v>-2.9959720000000001</v>
      </c>
      <c r="T4143">
        <v>-0.17170450000000001</v>
      </c>
      <c r="U4143">
        <v>-0.33638000000000001</v>
      </c>
      <c r="V4143">
        <v>-9.3717320000000007E-2</v>
      </c>
      <c r="W4143">
        <v>6.7504350000000005E-2</v>
      </c>
      <c r="X4143">
        <v>0.99330769999999902</v>
      </c>
      <c r="Y4143">
        <v>-0.12676789999999999</v>
      </c>
      <c r="Z4143">
        <v>-4.5051919999999999E-3</v>
      </c>
      <c r="AA4143">
        <v>0.99192219999999998</v>
      </c>
      <c r="AB4143">
        <v>55</v>
      </c>
      <c r="AC4143">
        <v>-18.711299999999898</v>
      </c>
      <c r="AD4143">
        <v>-1.102752398344</v>
      </c>
      <c r="AE4143">
        <v>-2.1686000000000201</v>
      </c>
      <c r="AF4143">
        <v>-2.4505760145840298</v>
      </c>
      <c r="AG4143">
        <v>-1.102752398344</v>
      </c>
      <c r="AH4143">
        <v>18.611570909536301</v>
      </c>
      <c r="AI4143">
        <v>93.361912516746798</v>
      </c>
      <c r="AJ4143">
        <v>97.500956897787603</v>
      </c>
      <c r="AK4143">
        <v>18.8045727783432</v>
      </c>
    </row>
    <row r="4144" spans="1:37" x14ac:dyDescent="0.2">
      <c r="A4144" t="str">
        <f>"20200111153733734"</f>
        <v>20200111153733734</v>
      </c>
      <c r="B4144" t="str">
        <f>"1578728253727205"</f>
        <v>1578728253727205</v>
      </c>
      <c r="C4144" t="s">
        <v>37</v>
      </c>
      <c r="D4144">
        <v>5.8705030000000002</v>
      </c>
      <c r="E4144">
        <v>0.48541509999999999</v>
      </c>
      <c r="F4144" t="s">
        <v>39</v>
      </c>
      <c r="G4144">
        <v>-363.52190000000002</v>
      </c>
      <c r="H4144" s="1">
        <v>-2.9528809999999998E-6</v>
      </c>
      <c r="I4144">
        <v>138.5368</v>
      </c>
      <c r="J4144">
        <v>-344.5761</v>
      </c>
      <c r="K4144">
        <v>1.1028009999999999</v>
      </c>
      <c r="L4144">
        <v>140.77959999999999</v>
      </c>
      <c r="M4144">
        <v>-0.99976699999999996</v>
      </c>
      <c r="N4144">
        <v>0</v>
      </c>
      <c r="O4144">
        <v>1.6894780000000002E-2</v>
      </c>
      <c r="P4144">
        <v>-0.99541279999999999</v>
      </c>
      <c r="Q4144">
        <v>5.5631590000000002E-2</v>
      </c>
      <c r="R4144">
        <v>-7.7839190000000003E-2</v>
      </c>
      <c r="S4144">
        <v>-2.996216</v>
      </c>
      <c r="T4144">
        <v>-0.16708689999999901</v>
      </c>
      <c r="U4144">
        <v>-0.33770749999999999</v>
      </c>
      <c r="V4144">
        <v>-9.4410899999999895E-2</v>
      </c>
      <c r="W4144">
        <v>6.9300680000000003E-2</v>
      </c>
      <c r="X4144">
        <v>0.99311830000000001</v>
      </c>
      <c r="Y4144">
        <v>-0.1285529</v>
      </c>
      <c r="Z4144">
        <v>-4.509112E-3</v>
      </c>
      <c r="AA4144">
        <v>0.99169240000000003</v>
      </c>
      <c r="AB4144">
        <v>55</v>
      </c>
      <c r="AC4144">
        <v>-18.945799999999998</v>
      </c>
      <c r="AD4144">
        <v>-1.1028039528810001</v>
      </c>
      <c r="AE4144">
        <v>-2.2427999999999799</v>
      </c>
      <c r="AF4144">
        <v>-2.55405974664049</v>
      </c>
      <c r="AG4144">
        <v>-1.1028039528810001</v>
      </c>
      <c r="AH4144">
        <v>18.842241168133199</v>
      </c>
      <c r="AI4144">
        <v>93.319315642109004</v>
      </c>
      <c r="AJ4144">
        <v>97.719376103824104</v>
      </c>
      <c r="AK4144">
        <v>19.0465075535121</v>
      </c>
    </row>
    <row r="4145" spans="1:37" x14ac:dyDescent="0.2">
      <c r="A4145" t="str">
        <f>"20200111153733755"</f>
        <v>20200111153733755</v>
      </c>
      <c r="B4145" t="str">
        <f>"1578728253747701"</f>
        <v>1578728253747701</v>
      </c>
      <c r="C4145" t="s">
        <v>37</v>
      </c>
      <c r="D4145">
        <v>5.737425</v>
      </c>
      <c r="E4145">
        <v>0.4853674</v>
      </c>
      <c r="F4145" t="s">
        <v>39</v>
      </c>
      <c r="G4145">
        <v>-364.88209999999998</v>
      </c>
      <c r="H4145" s="1">
        <v>-2.3741470000000001E-6</v>
      </c>
      <c r="I4145">
        <v>138.50960000000001</v>
      </c>
      <c r="J4145">
        <v>-345.1354</v>
      </c>
      <c r="K4145">
        <v>1.1028309999999999</v>
      </c>
      <c r="L4145">
        <v>140.78960000000001</v>
      </c>
      <c r="M4145">
        <v>-0.99974779999999996</v>
      </c>
      <c r="N4145">
        <v>0</v>
      </c>
      <c r="O4145">
        <v>1.781551E-2</v>
      </c>
      <c r="P4145">
        <v>-0.99545019999999995</v>
      </c>
      <c r="Q4145">
        <v>5.5543049999999997E-2</v>
      </c>
      <c r="R4145">
        <v>-7.7421680000000007E-2</v>
      </c>
      <c r="S4145">
        <v>-2.9967349999999899</v>
      </c>
      <c r="T4145">
        <v>-0.16275049999999999</v>
      </c>
      <c r="U4145">
        <v>-0.3349915</v>
      </c>
      <c r="V4145">
        <v>-9.4910389999999997E-2</v>
      </c>
      <c r="W4145">
        <v>6.9459090000000001E-2</v>
      </c>
      <c r="X4145">
        <v>0.99305959999999904</v>
      </c>
      <c r="Y4145">
        <v>-0.12856960000000001</v>
      </c>
      <c r="Z4145">
        <v>-4.4420140000000002E-3</v>
      </c>
      <c r="AA4145">
        <v>0.99169050000000003</v>
      </c>
      <c r="AB4145">
        <v>55</v>
      </c>
      <c r="AC4145">
        <v>-19.746699999999901</v>
      </c>
      <c r="AD4145">
        <v>-1.102833374147</v>
      </c>
      <c r="AE4145">
        <v>-2.2799999999999998</v>
      </c>
      <c r="AF4145">
        <v>-2.62339349383896</v>
      </c>
      <c r="AG4145">
        <v>-1.102833374147</v>
      </c>
      <c r="AH4145">
        <v>19.642481250960302</v>
      </c>
      <c r="AI4145">
        <v>93.185291746111901</v>
      </c>
      <c r="AJ4145">
        <v>97.607241833873601</v>
      </c>
      <c r="AK4145">
        <v>19.847556639772399</v>
      </c>
    </row>
    <row r="4146" spans="1:37" x14ac:dyDescent="0.2">
      <c r="A4146" t="str">
        <f>"20200111153733776"</f>
        <v>20200111153733776</v>
      </c>
      <c r="B4146" t="str">
        <f>"1578728253767225"</f>
        <v>1578728253767225</v>
      </c>
      <c r="C4146" t="s">
        <v>37</v>
      </c>
      <c r="D4146">
        <v>5.8467199999999897</v>
      </c>
      <c r="E4146">
        <v>0.46400190000000002</v>
      </c>
      <c r="F4146" t="s">
        <v>39</v>
      </c>
      <c r="G4146">
        <v>-365.44810000000001</v>
      </c>
      <c r="H4146" s="1">
        <v>-2.129413E-6</v>
      </c>
      <c r="I4146">
        <v>138.5205</v>
      </c>
      <c r="J4146">
        <v>-345.66059999999999</v>
      </c>
      <c r="K4146">
        <v>1.1028579999999999</v>
      </c>
      <c r="L4146">
        <v>140.79939999999999</v>
      </c>
      <c r="M4146">
        <v>-0.99972899999999998</v>
      </c>
      <c r="N4146">
        <v>0</v>
      </c>
      <c r="O4146">
        <v>1.8681509999999998E-2</v>
      </c>
      <c r="P4146">
        <v>-0.99549669999999901</v>
      </c>
      <c r="Q4146">
        <v>5.5641419999999997E-2</v>
      </c>
      <c r="R4146">
        <v>-7.6750189999999996E-2</v>
      </c>
      <c r="S4146">
        <v>-2.9967959999999998</v>
      </c>
      <c r="T4146">
        <v>-0.16270489999999899</v>
      </c>
      <c r="U4146">
        <v>-0.33474729999999903</v>
      </c>
      <c r="V4146">
        <v>-9.5100610000000002E-2</v>
      </c>
      <c r="W4146">
        <v>6.9763039999999998E-2</v>
      </c>
      <c r="X4146">
        <v>0.99302009999999996</v>
      </c>
      <c r="Y4146">
        <v>-0.1293443</v>
      </c>
      <c r="Z4146">
        <v>-4.5085170000000001E-3</v>
      </c>
      <c r="AA4146">
        <v>0.99158950000000001</v>
      </c>
      <c r="AB4146">
        <v>55</v>
      </c>
      <c r="AC4146">
        <v>-19.787500000000001</v>
      </c>
      <c r="AD4146">
        <v>-1.1028601294129901</v>
      </c>
      <c r="AE4146">
        <v>-2.2788999999999899</v>
      </c>
      <c r="AF4146">
        <v>-2.6401043698136499</v>
      </c>
      <c r="AG4146">
        <v>-1.1028601294129901</v>
      </c>
      <c r="AH4146">
        <v>19.6811313319817</v>
      </c>
      <c r="AI4146">
        <v>93.178881443561394</v>
      </c>
      <c r="AJ4146">
        <v>97.640271225714898</v>
      </c>
      <c r="AK4146">
        <v>19.888021069358999</v>
      </c>
    </row>
    <row r="4147" spans="1:37" x14ac:dyDescent="0.2">
      <c r="A4147" t="str">
        <f>"20200111153733799"</f>
        <v>20200111153733799</v>
      </c>
      <c r="B4147" t="str">
        <f>"1578728253787717"</f>
        <v>1578728253787717</v>
      </c>
      <c r="C4147" t="s">
        <v>37</v>
      </c>
      <c r="D4147">
        <v>5.8217650000000001</v>
      </c>
      <c r="E4147">
        <v>0.460410499999999</v>
      </c>
      <c r="F4147" t="s">
        <v>39</v>
      </c>
      <c r="G4147">
        <v>-363.76740000000001</v>
      </c>
      <c r="H4147" s="1">
        <v>-2.9867309999999999E-6</v>
      </c>
      <c r="I4147">
        <v>137.75219999999999</v>
      </c>
      <c r="J4147">
        <v>-346.2</v>
      </c>
      <c r="K4147">
        <v>1.102875</v>
      </c>
      <c r="L4147">
        <v>140.81</v>
      </c>
      <c r="M4147">
        <v>-0.99970919999999897</v>
      </c>
      <c r="N4147">
        <v>0</v>
      </c>
      <c r="O4147">
        <v>1.9572079999999999E-2</v>
      </c>
      <c r="P4147">
        <v>-0.99551590000000001</v>
      </c>
      <c r="Q4147">
        <v>5.6215000000000001E-2</v>
      </c>
      <c r="R4147">
        <v>-7.607796E-2</v>
      </c>
      <c r="S4147">
        <v>-2.984985</v>
      </c>
      <c r="T4147">
        <v>-0.18181269999999999</v>
      </c>
      <c r="U4147">
        <v>-0.50233459999999996</v>
      </c>
      <c r="V4147">
        <v>-9.5313800000000004E-2</v>
      </c>
      <c r="W4147">
        <v>7.0523150000000007E-2</v>
      </c>
      <c r="X4147">
        <v>0.992945999999999</v>
      </c>
      <c r="Y4147">
        <v>-0.18485570000000001</v>
      </c>
      <c r="Z4147">
        <v>-6.7685879999999999E-3</v>
      </c>
      <c r="AA4147">
        <v>0.98274240000000002</v>
      </c>
      <c r="AB4147">
        <v>55</v>
      </c>
      <c r="AC4147">
        <v>-17.567399999999999</v>
      </c>
      <c r="AD4147">
        <v>-1.1028779867309999</v>
      </c>
      <c r="AE4147">
        <v>-3.0578000000000101</v>
      </c>
      <c r="AF4147">
        <v>-3.3881179141597699</v>
      </c>
      <c r="AG4147">
        <v>-1.1028779867309999</v>
      </c>
      <c r="AH4147">
        <v>17.4374754196424</v>
      </c>
      <c r="AI4147">
        <v>93.552731809420493</v>
      </c>
      <c r="AJ4147">
        <v>100.995618139383</v>
      </c>
      <c r="AK4147">
        <v>17.797787274391698</v>
      </c>
    </row>
    <row r="4148" spans="1:37" x14ac:dyDescent="0.2">
      <c r="A4148" t="str">
        <f>"20200111153733822"</f>
        <v>20200111153733822</v>
      </c>
      <c r="B4148" t="str">
        <f>"1578728253816997"</f>
        <v>1578728253816997</v>
      </c>
      <c r="C4148" t="s">
        <v>37</v>
      </c>
      <c r="D4148">
        <v>6.2711839999999999</v>
      </c>
      <c r="E4148">
        <v>0.4603372</v>
      </c>
      <c r="F4148" t="s">
        <v>39</v>
      </c>
      <c r="G4148">
        <v>-364.69720000000001</v>
      </c>
      <c r="H4148" s="1">
        <v>-2.6275069999999998E-6</v>
      </c>
      <c r="I4148">
        <v>137.52850000000001</v>
      </c>
      <c r="J4148">
        <v>-346.76690000000002</v>
      </c>
      <c r="K4148">
        <v>1.1028910000000001</v>
      </c>
      <c r="L4148">
        <v>140.82159999999999</v>
      </c>
      <c r="M4148">
        <v>-0.99968799999999902</v>
      </c>
      <c r="N4148">
        <v>0</v>
      </c>
      <c r="O4148">
        <v>2.0509199999999998E-2</v>
      </c>
      <c r="P4148">
        <v>-0.9955716</v>
      </c>
      <c r="Q4148">
        <v>5.6362910000000002E-2</v>
      </c>
      <c r="R4148">
        <v>-7.5237479999999995E-2</v>
      </c>
      <c r="S4148">
        <v>-2.9830930000000002</v>
      </c>
      <c r="T4148">
        <v>-0.17786450000000001</v>
      </c>
      <c r="U4148">
        <v>-0.5291901</v>
      </c>
      <c r="V4148">
        <v>-9.5406329999999998E-2</v>
      </c>
      <c r="W4148">
        <v>7.0841360000000006E-2</v>
      </c>
      <c r="X4148">
        <v>0.99291439999999997</v>
      </c>
      <c r="Y4148">
        <v>-0.19445809999999999</v>
      </c>
      <c r="Z4148">
        <v>-6.9602369999999898E-3</v>
      </c>
      <c r="AA4148">
        <v>0.98088619999999904</v>
      </c>
      <c r="AB4148">
        <v>55</v>
      </c>
      <c r="AC4148">
        <v>-17.9302999999999</v>
      </c>
      <c r="AD4148">
        <v>-1.102893627507</v>
      </c>
      <c r="AE4148">
        <v>-3.2930999999999799</v>
      </c>
      <c r="AF4148">
        <v>-3.6468331807524499</v>
      </c>
      <c r="AG4148">
        <v>-1.102893627507</v>
      </c>
      <c r="AH4148">
        <v>17.7938561238769</v>
      </c>
      <c r="AI4148">
        <v>93.474710237872799</v>
      </c>
      <c r="AJ4148">
        <v>101.582322460683</v>
      </c>
      <c r="AK4148">
        <v>18.197172372626</v>
      </c>
    </row>
    <row r="4149" spans="1:37" x14ac:dyDescent="0.2">
      <c r="A4149" t="str">
        <f>"20200111153733845"</f>
        <v>20200111153733845</v>
      </c>
      <c r="B4149" t="str">
        <f>"1578728253837493"</f>
        <v>1578728253837493</v>
      </c>
      <c r="C4149" t="s">
        <v>37</v>
      </c>
      <c r="D4149">
        <v>5.9599970000000004</v>
      </c>
      <c r="E4149">
        <v>0.46033249999999998</v>
      </c>
      <c r="F4149" t="s">
        <v>39</v>
      </c>
      <c r="G4149">
        <v>-365.366999999999</v>
      </c>
      <c r="H4149" s="1">
        <v>-2.3390049999999999E-6</v>
      </c>
      <c r="I4149">
        <v>137.5351</v>
      </c>
      <c r="J4149">
        <v>-347.30990000000003</v>
      </c>
      <c r="K4149">
        <v>1.1029040000000001</v>
      </c>
      <c r="L4149">
        <v>140.83330000000001</v>
      </c>
      <c r="M4149">
        <v>-0.99966719999999898</v>
      </c>
      <c r="N4149">
        <v>0</v>
      </c>
      <c r="O4149">
        <v>2.140684E-2</v>
      </c>
      <c r="P4149">
        <v>-0.99560369999999998</v>
      </c>
      <c r="Q4149">
        <v>5.6745709999999998E-2</v>
      </c>
      <c r="R4149">
        <v>-7.4522199999999997E-2</v>
      </c>
      <c r="S4149">
        <v>-2.9835210000000001</v>
      </c>
      <c r="T4149">
        <v>-0.17690829999999999</v>
      </c>
      <c r="U4149">
        <v>-0.52716059999999998</v>
      </c>
      <c r="V4149">
        <v>-9.5583619999999994E-2</v>
      </c>
      <c r="W4149">
        <v>7.1367410000000006E-2</v>
      </c>
      <c r="X4149">
        <v>0.99285970000000001</v>
      </c>
      <c r="Y4149">
        <v>-0.19466989999999901</v>
      </c>
      <c r="Z4149">
        <v>-6.981358E-3</v>
      </c>
      <c r="AA4149">
        <v>0.98084400000000005</v>
      </c>
      <c r="AB4149">
        <v>55</v>
      </c>
      <c r="AC4149">
        <v>-18.057099999999899</v>
      </c>
      <c r="AD4149">
        <v>-1.102906339005</v>
      </c>
      <c r="AE4149">
        <v>-3.2982</v>
      </c>
      <c r="AF4149">
        <v>-3.67077740316974</v>
      </c>
      <c r="AG4149">
        <v>-1.102906339005</v>
      </c>
      <c r="AH4149">
        <v>17.9176640016825</v>
      </c>
      <c r="AI4149">
        <v>93.450852533750805</v>
      </c>
      <c r="AJ4149">
        <v>101.57793373129</v>
      </c>
      <c r="AK4149">
        <v>18.323037204934899</v>
      </c>
    </row>
    <row r="4150" spans="1:37" x14ac:dyDescent="0.2">
      <c r="A4150" t="str">
        <f>"20200111153733866"</f>
        <v>20200111153733866</v>
      </c>
      <c r="B4150" t="str">
        <f>"1578728253857016"</f>
        <v>1578728253857016</v>
      </c>
      <c r="C4150" t="s">
        <v>37</v>
      </c>
      <c r="D4150">
        <v>6.0144960000000003</v>
      </c>
      <c r="E4150">
        <v>0.46016269999999998</v>
      </c>
      <c r="F4150" t="s">
        <v>39</v>
      </c>
      <c r="G4150">
        <v>-366.10930000000002</v>
      </c>
      <c r="H4150" s="1">
        <v>-2.0220580000000002E-6</v>
      </c>
      <c r="I4150">
        <v>137.52670000000001</v>
      </c>
      <c r="J4150">
        <v>-347.85140000000001</v>
      </c>
      <c r="K4150">
        <v>1.10291299999999</v>
      </c>
      <c r="L4150">
        <v>140.84540000000001</v>
      </c>
      <c r="M4150">
        <v>-0.99964569999999997</v>
      </c>
      <c r="N4150">
        <v>0</v>
      </c>
      <c r="O4150">
        <v>2.230203E-2</v>
      </c>
      <c r="P4150">
        <v>-0.99558369999999996</v>
      </c>
      <c r="Q4150">
        <v>5.7539060000000003E-2</v>
      </c>
      <c r="R4150">
        <v>-7.417675E-2</v>
      </c>
      <c r="S4150">
        <v>-2.9839479999999998</v>
      </c>
      <c r="T4150">
        <v>-0.17505989999999999</v>
      </c>
      <c r="U4150">
        <v>-0.52482600000000001</v>
      </c>
      <c r="V4150">
        <v>-9.6125920000000004E-2</v>
      </c>
      <c r="W4150">
        <v>7.228532E-2</v>
      </c>
      <c r="X4150">
        <v>0.99274099999999998</v>
      </c>
      <c r="Y4150">
        <v>-0.19478589999999901</v>
      </c>
      <c r="Z4150">
        <v>-6.9635230000000001E-3</v>
      </c>
      <c r="AA4150">
        <v>0.980821099999999</v>
      </c>
      <c r="AB4150">
        <v>55</v>
      </c>
      <c r="AC4150">
        <v>-18.257899999999999</v>
      </c>
      <c r="AD4150">
        <v>-1.10291502205799</v>
      </c>
      <c r="AE4150">
        <v>-3.3187000000000002</v>
      </c>
      <c r="AF4150">
        <v>-3.71199349875699</v>
      </c>
      <c r="AG4150">
        <v>-1.10291502205799</v>
      </c>
      <c r="AH4150">
        <v>18.115346349457401</v>
      </c>
      <c r="AI4150">
        <v>93.4132851921661</v>
      </c>
      <c r="AJ4150">
        <v>101.580110336394</v>
      </c>
      <c r="AK4150">
        <v>18.524607705468298</v>
      </c>
    </row>
    <row r="4151" spans="1:37" x14ac:dyDescent="0.2">
      <c r="A4151" t="str">
        <f>"20200111153733889"</f>
        <v>20200111153733889</v>
      </c>
      <c r="B4151" t="str">
        <f>"1578728253877510"</f>
        <v>1578728253877510</v>
      </c>
      <c r="C4151" t="s">
        <v>37</v>
      </c>
      <c r="D4151">
        <v>5.8133839999999903</v>
      </c>
      <c r="E4151">
        <v>0.45870680000000003</v>
      </c>
      <c r="F4151" t="s">
        <v>39</v>
      </c>
      <c r="G4151">
        <v>-367.05119999999999</v>
      </c>
      <c r="H4151" s="1">
        <v>-1.6282360000000001E-6</v>
      </c>
      <c r="I4151">
        <v>137.46889999999999</v>
      </c>
      <c r="J4151">
        <v>-348.38569999999999</v>
      </c>
      <c r="K4151">
        <v>1.102916</v>
      </c>
      <c r="L4151">
        <v>140.8578</v>
      </c>
      <c r="M4151">
        <v>-0.99962410000000002</v>
      </c>
      <c r="N4151">
        <v>0</v>
      </c>
      <c r="O4151">
        <v>2.3184739999999999E-2</v>
      </c>
      <c r="P4151">
        <v>-0.99554880000000001</v>
      </c>
      <c r="Q4151">
        <v>5.7425070000000002E-2</v>
      </c>
      <c r="R4151">
        <v>-7.4733969999999997E-2</v>
      </c>
      <c r="S4151">
        <v>-2.9841310000000001</v>
      </c>
      <c r="T4151">
        <v>-0.1714212</v>
      </c>
      <c r="U4151">
        <v>-0.52478029999999998</v>
      </c>
      <c r="V4151">
        <v>-9.7560659999999993E-2</v>
      </c>
      <c r="W4151">
        <v>7.2281520000000002E-2</v>
      </c>
      <c r="X4151">
        <v>0.99260130000000002</v>
      </c>
      <c r="Y4151">
        <v>-0.19563920000000001</v>
      </c>
      <c r="Z4151">
        <v>-6.8932459999999996E-3</v>
      </c>
      <c r="AA4151">
        <v>0.98065170000000002</v>
      </c>
      <c r="AB4151">
        <v>55</v>
      </c>
      <c r="AC4151">
        <v>-18.665500000000002</v>
      </c>
      <c r="AD4151">
        <v>-1.102917628236</v>
      </c>
      <c r="AE4151">
        <v>-3.3889</v>
      </c>
      <c r="AF4151">
        <v>-3.8079190485654202</v>
      </c>
      <c r="AG4151">
        <v>-1.102917628236</v>
      </c>
      <c r="AH4151">
        <v>18.519306432793599</v>
      </c>
      <c r="AI4151">
        <v>93.338543765701303</v>
      </c>
      <c r="AJ4151">
        <v>101.619151220093</v>
      </c>
      <c r="AK4151">
        <v>18.9388855407812</v>
      </c>
    </row>
    <row r="4152" spans="1:37" x14ac:dyDescent="0.2">
      <c r="A4152" t="str">
        <f>"20200111153733912"</f>
        <v>20200111153733912</v>
      </c>
      <c r="B4152" t="str">
        <f>"1578728253907765"</f>
        <v>1578728253907765</v>
      </c>
      <c r="C4152" t="s">
        <v>37</v>
      </c>
      <c r="D4152">
        <v>5.8191940000000004</v>
      </c>
      <c r="E4152">
        <v>0.4588062</v>
      </c>
      <c r="F4152" t="s">
        <v>39</v>
      </c>
      <c r="G4152">
        <v>-366.66919999999999</v>
      </c>
      <c r="H4152" s="1">
        <v>-1.7754679999999999E-6</v>
      </c>
      <c r="I4152">
        <v>137.56290000000001</v>
      </c>
      <c r="J4152">
        <v>-348.95460000000003</v>
      </c>
      <c r="K4152">
        <v>1.1029149999999901</v>
      </c>
      <c r="L4152">
        <v>140.8715</v>
      </c>
      <c r="M4152">
        <v>-0.999600499999999</v>
      </c>
      <c r="N4152">
        <v>0</v>
      </c>
      <c r="O4152">
        <v>2.4123530000000001E-2</v>
      </c>
      <c r="P4152">
        <v>-0.99553780000000003</v>
      </c>
      <c r="Q4152">
        <v>5.6782510000000001E-2</v>
      </c>
      <c r="R4152">
        <v>-7.537054E-2</v>
      </c>
      <c r="S4152">
        <v>-2.98339799999999</v>
      </c>
      <c r="T4152">
        <v>-0.1799693</v>
      </c>
      <c r="U4152">
        <v>-0.53764339999999999</v>
      </c>
      <c r="V4152">
        <v>-9.913247E-2</v>
      </c>
      <c r="W4152">
        <v>7.1740760000000001E-2</v>
      </c>
      <c r="X4152">
        <v>0.9924847</v>
      </c>
      <c r="Y4152">
        <v>-0.20065069999999999</v>
      </c>
      <c r="Z4152">
        <v>-7.4414490000000002E-3</v>
      </c>
      <c r="AA4152">
        <v>0.97963459999999902</v>
      </c>
      <c r="AB4152">
        <v>55</v>
      </c>
      <c r="AC4152">
        <v>-17.714599999999901</v>
      </c>
      <c r="AD4152">
        <v>-1.1029167754679901</v>
      </c>
      <c r="AE4152">
        <v>-3.3085999999999798</v>
      </c>
      <c r="AF4152">
        <v>-3.7210839715025399</v>
      </c>
      <c r="AG4152">
        <v>-1.1029167754679901</v>
      </c>
      <c r="AH4152">
        <v>17.563831343326999</v>
      </c>
      <c r="AI4152">
        <v>93.515332950295999</v>
      </c>
      <c r="AJ4152">
        <v>101.961843044478</v>
      </c>
      <c r="AK4152">
        <v>17.9875251992434</v>
      </c>
    </row>
    <row r="4153" spans="1:37" x14ac:dyDescent="0.2">
      <c r="A4153" t="str">
        <f>"20200111153733935"</f>
        <v>20200111153733935</v>
      </c>
      <c r="B4153" t="str">
        <f>"1578728253927288"</f>
        <v>1578728253927288</v>
      </c>
      <c r="C4153" t="s">
        <v>37</v>
      </c>
      <c r="D4153">
        <v>6.5240749999999998</v>
      </c>
      <c r="E4153">
        <v>0.45895379999999902</v>
      </c>
      <c r="F4153" t="s">
        <v>39</v>
      </c>
      <c r="G4153">
        <v>-366.9375</v>
      </c>
      <c r="H4153" s="1">
        <v>-1.649627E-6</v>
      </c>
      <c r="I4153">
        <v>137.6232</v>
      </c>
      <c r="J4153">
        <v>-349.50380000000001</v>
      </c>
      <c r="K4153">
        <v>1.102908</v>
      </c>
      <c r="L4153">
        <v>140.8853</v>
      </c>
      <c r="M4153">
        <v>-0.99957700000000005</v>
      </c>
      <c r="N4153">
        <v>0</v>
      </c>
      <c r="O4153">
        <v>2.5028379999999999E-2</v>
      </c>
      <c r="P4153">
        <v>-0.99551299999999898</v>
      </c>
      <c r="Q4153">
        <v>5.5762800000000001E-2</v>
      </c>
      <c r="R4153">
        <v>-7.6449680000000006E-2</v>
      </c>
      <c r="S4153">
        <v>-2.9830930000000002</v>
      </c>
      <c r="T4153">
        <v>-0.1829575</v>
      </c>
      <c r="U4153">
        <v>-0.53883359999999902</v>
      </c>
      <c r="V4153">
        <v>-0.10111389999999899</v>
      </c>
      <c r="W4153">
        <v>7.0807579999999995E-2</v>
      </c>
      <c r="X4153">
        <v>0.99235189999999995</v>
      </c>
      <c r="Y4153">
        <v>-0.20191609999999999</v>
      </c>
      <c r="Z4153">
        <v>-7.6587950000000004E-3</v>
      </c>
      <c r="AA4153">
        <v>0.97937289999999999</v>
      </c>
      <c r="AB4153">
        <v>55</v>
      </c>
      <c r="AC4153">
        <v>-17.433699999999899</v>
      </c>
      <c r="AD4153">
        <v>-1.1029096496270001</v>
      </c>
      <c r="AE4153">
        <v>-3.2621000000000002</v>
      </c>
      <c r="AF4153">
        <v>-3.6832206377344301</v>
      </c>
      <c r="AG4153">
        <v>-1.1029096496270001</v>
      </c>
      <c r="AH4153">
        <v>17.279765536585298</v>
      </c>
      <c r="AI4153">
        <v>93.572014973147006</v>
      </c>
      <c r="AJ4153">
        <v>102.032650259731</v>
      </c>
      <c r="AK4153">
        <v>17.702339420563401</v>
      </c>
    </row>
    <row r="4154" spans="1:37" x14ac:dyDescent="0.2">
      <c r="A4154" t="str">
        <f>"20200111153733956"</f>
        <v>20200111153733956</v>
      </c>
      <c r="B4154" t="str">
        <f>"1578728253946808"</f>
        <v>1578728253946808</v>
      </c>
      <c r="C4154" t="s">
        <v>37</v>
      </c>
      <c r="D4154">
        <v>5.7130150000000004</v>
      </c>
      <c r="E4154">
        <v>0.45816030000000002</v>
      </c>
      <c r="F4154" t="s">
        <v>39</v>
      </c>
      <c r="G4154">
        <v>-367.20569999999998</v>
      </c>
      <c r="H4154" s="1">
        <v>-1.525827E-6</v>
      </c>
      <c r="I4154">
        <v>137.67269999999999</v>
      </c>
      <c r="J4154">
        <v>-350.02980000000002</v>
      </c>
      <c r="K4154">
        <v>1.102908</v>
      </c>
      <c r="L4154">
        <v>140.8989</v>
      </c>
      <c r="M4154">
        <v>-0.999554099999999</v>
      </c>
      <c r="N4154">
        <v>0</v>
      </c>
      <c r="O4154">
        <v>2.5890079999999999E-2</v>
      </c>
      <c r="P4154">
        <v>-0.99546979999999996</v>
      </c>
      <c r="Q4154">
        <v>5.5171949999999997E-2</v>
      </c>
      <c r="R4154">
        <v>-7.7436729999999995E-2</v>
      </c>
      <c r="S4154">
        <v>-2.982361</v>
      </c>
      <c r="T4154">
        <v>-0.18581619999999999</v>
      </c>
      <c r="U4154">
        <v>-0.54122919999999997</v>
      </c>
      <c r="V4154">
        <v>-0.1029578</v>
      </c>
      <c r="W4154">
        <v>7.0287240000000001E-2</v>
      </c>
      <c r="X4154">
        <v>0.99219930000000001</v>
      </c>
      <c r="Y4154">
        <v>-0.203546</v>
      </c>
      <c r="Z4154">
        <v>-7.8831390000000008E-3</v>
      </c>
      <c r="AA4154">
        <v>0.97903359999999995</v>
      </c>
      <c r="AB4154">
        <v>54</v>
      </c>
      <c r="AC4154">
        <v>-17.175899999999899</v>
      </c>
      <c r="AD4154">
        <v>-1.1029095258270001</v>
      </c>
      <c r="AE4154">
        <v>-3.2262</v>
      </c>
      <c r="AF4154">
        <v>-3.6552948581495901</v>
      </c>
      <c r="AG4154">
        <v>-1.1029095258270001</v>
      </c>
      <c r="AH4154">
        <v>17.018823844540499</v>
      </c>
      <c r="AI4154">
        <v>93.625433502697305</v>
      </c>
      <c r="AJ4154">
        <v>102.121805325593</v>
      </c>
      <c r="AK4154">
        <v>17.441844941796599</v>
      </c>
    </row>
    <row r="4155" spans="1:37" x14ac:dyDescent="0.2">
      <c r="A4155" t="str">
        <f>"20200111153733978"</f>
        <v>20200111153733978</v>
      </c>
      <c r="B4155" t="str">
        <f>"1578728253967301"</f>
        <v>1578728253967301</v>
      </c>
      <c r="C4155" t="s">
        <v>37</v>
      </c>
      <c r="D4155">
        <v>5.7249970000000001</v>
      </c>
      <c r="E4155">
        <v>0.4573702</v>
      </c>
      <c r="F4155" t="s">
        <v>39</v>
      </c>
      <c r="G4155">
        <v>-367.04640000000001</v>
      </c>
      <c r="H4155" s="1">
        <v>-1.5794690000000001E-6</v>
      </c>
      <c r="I4155">
        <v>137.75540000000001</v>
      </c>
      <c r="J4155">
        <v>-350.56259999999997</v>
      </c>
      <c r="K4155">
        <v>1.102916</v>
      </c>
      <c r="L4155">
        <v>140.91319999999999</v>
      </c>
      <c r="M4155">
        <v>-0.99953029999999998</v>
      </c>
      <c r="N4155">
        <v>0</v>
      </c>
      <c r="O4155">
        <v>2.6756749999999999E-2</v>
      </c>
      <c r="P4155">
        <v>-0.99546679999999999</v>
      </c>
      <c r="Q4155">
        <v>5.5646830000000001E-2</v>
      </c>
      <c r="R4155">
        <v>-7.7134939999999999E-2</v>
      </c>
      <c r="S4155">
        <v>-2.981506</v>
      </c>
      <c r="T4155">
        <v>-0.19324249999999901</v>
      </c>
      <c r="U4155">
        <v>-0.55076599999999998</v>
      </c>
      <c r="V4155">
        <v>-0.103516899999999</v>
      </c>
      <c r="W4155">
        <v>7.0820910000000001E-2</v>
      </c>
      <c r="X4155">
        <v>0.99210319999999996</v>
      </c>
      <c r="Y4155">
        <v>-0.207427799999999</v>
      </c>
      <c r="Z4155">
        <v>-8.3778729999999992E-3</v>
      </c>
      <c r="AA4155">
        <v>0.97821440000000004</v>
      </c>
      <c r="AB4155">
        <v>54</v>
      </c>
      <c r="AC4155">
        <v>-16.483799999999999</v>
      </c>
      <c r="AD4155">
        <v>-1.102917579469</v>
      </c>
      <c r="AE4155">
        <v>-3.15779999999998</v>
      </c>
      <c r="AF4155">
        <v>-3.5823016659275999</v>
      </c>
      <c r="AG4155">
        <v>-1.102917579469</v>
      </c>
      <c r="AH4155">
        <v>16.322906981868801</v>
      </c>
      <c r="AI4155">
        <v>93.775930921021896</v>
      </c>
      <c r="AJ4155">
        <v>102.37816000109299</v>
      </c>
      <c r="AK4155">
        <v>16.747734316962099</v>
      </c>
    </row>
    <row r="4156" spans="1:37" x14ac:dyDescent="0.2">
      <c r="A4156" t="str">
        <f>"20200111153734001"</f>
        <v>20200111153734001</v>
      </c>
      <c r="B4156" t="str">
        <f>"1578728253997558"</f>
        <v>1578728253997558</v>
      </c>
      <c r="C4156" t="s">
        <v>37</v>
      </c>
      <c r="D4156">
        <v>5.7663699999999896</v>
      </c>
      <c r="E4156">
        <v>0.45631440000000001</v>
      </c>
      <c r="F4156" t="s">
        <v>39</v>
      </c>
      <c r="G4156">
        <v>-367.5609</v>
      </c>
      <c r="H4156" s="1">
        <v>-1.361377E-6</v>
      </c>
      <c r="I4156">
        <v>137.7406</v>
      </c>
      <c r="J4156">
        <v>-351.10539999999997</v>
      </c>
      <c r="K4156">
        <v>1.1029279999999999</v>
      </c>
      <c r="L4156">
        <v>140.9282</v>
      </c>
      <c r="M4156">
        <v>-0.9995058</v>
      </c>
      <c r="N4156">
        <v>0</v>
      </c>
      <c r="O4156">
        <v>2.7631180000000002E-2</v>
      </c>
      <c r="P4156">
        <v>-0.99548009999999998</v>
      </c>
      <c r="Q4156">
        <v>5.676643E-2</v>
      </c>
      <c r="R4156">
        <v>-7.6141479999999997E-2</v>
      </c>
      <c r="S4156">
        <v>-2.9813839999999998</v>
      </c>
      <c r="T4156">
        <v>-0.19344459999999999</v>
      </c>
      <c r="U4156">
        <v>-0.55644229999999995</v>
      </c>
      <c r="V4156">
        <v>-0.10339089999999999</v>
      </c>
      <c r="W4156">
        <v>7.1988559999999993E-2</v>
      </c>
      <c r="X4156">
        <v>0.99203220000000003</v>
      </c>
      <c r="Y4156">
        <v>-0.2100822</v>
      </c>
      <c r="Z4156">
        <v>-8.5270720000000001E-3</v>
      </c>
      <c r="AA4156">
        <v>0.97764649999999997</v>
      </c>
      <c r="AB4156">
        <v>54</v>
      </c>
      <c r="AC4156">
        <v>-16.455500000000001</v>
      </c>
      <c r="AD4156">
        <v>-1.1029293613769999</v>
      </c>
      <c r="AE4156">
        <v>-3.1876000000000002</v>
      </c>
      <c r="AF4156">
        <v>-3.6254210107885698</v>
      </c>
      <c r="AG4156">
        <v>-1.1029293613769999</v>
      </c>
      <c r="AH4156">
        <v>16.290592398229801</v>
      </c>
      <c r="AI4156">
        <v>93.780990265882494</v>
      </c>
      <c r="AJ4156">
        <v>102.546534317685</v>
      </c>
      <c r="AK4156">
        <v>16.725535308830001</v>
      </c>
    </row>
    <row r="4157" spans="1:37" x14ac:dyDescent="0.2">
      <c r="A4157" t="str">
        <f>"20200111153734023"</f>
        <v>20200111153734023</v>
      </c>
      <c r="B4157" t="str">
        <f>"1578728254016998"</f>
        <v>1578728254016998</v>
      </c>
      <c r="C4157" t="s">
        <v>37</v>
      </c>
      <c r="D4157">
        <v>5.6965339999999998</v>
      </c>
      <c r="E4157">
        <v>0.45578980000000002</v>
      </c>
      <c r="F4157" t="s">
        <v>39</v>
      </c>
      <c r="G4157">
        <v>-367.82619999999997</v>
      </c>
      <c r="H4157" s="1">
        <v>-1.2409489999999999E-6</v>
      </c>
      <c r="I4157">
        <v>137.77799999999999</v>
      </c>
      <c r="J4157">
        <v>-351.65440000000001</v>
      </c>
      <c r="K4157">
        <v>1.102951</v>
      </c>
      <c r="L4157">
        <v>140.94390000000001</v>
      </c>
      <c r="M4157">
        <v>-0.99948060000000005</v>
      </c>
      <c r="N4157">
        <v>0</v>
      </c>
      <c r="O4157">
        <v>2.8504910000000001E-2</v>
      </c>
      <c r="P4157">
        <v>-0.99551420000000002</v>
      </c>
      <c r="Q4157">
        <v>5.7364159999999997E-2</v>
      </c>
      <c r="R4157">
        <v>-7.5241420000000003E-2</v>
      </c>
      <c r="S4157">
        <v>-2.98187299999999</v>
      </c>
      <c r="T4157">
        <v>-0.1966897</v>
      </c>
      <c r="U4157">
        <v>-0.56178280000000003</v>
      </c>
      <c r="V4157">
        <v>-0.1033601</v>
      </c>
      <c r="W4157">
        <v>7.2627750000000005E-2</v>
      </c>
      <c r="X4157">
        <v>0.9919888</v>
      </c>
      <c r="Y4157">
        <v>-0.212575599999999</v>
      </c>
      <c r="Z4157">
        <v>-8.8055870000000001E-3</v>
      </c>
      <c r="AA4157">
        <v>0.977104999999999</v>
      </c>
      <c r="AB4157">
        <v>54</v>
      </c>
      <c r="AC4157">
        <v>-16.171799999999902</v>
      </c>
      <c r="AD4157">
        <v>-1.102952240949</v>
      </c>
      <c r="AE4157">
        <v>-3.1659000000000201</v>
      </c>
      <c r="AF4157">
        <v>-3.60947116410797</v>
      </c>
      <c r="AG4157">
        <v>-1.102952240949</v>
      </c>
      <c r="AH4157">
        <v>16.003280939413301</v>
      </c>
      <c r="AI4157">
        <v>93.846294775877993</v>
      </c>
      <c r="AJ4157">
        <v>102.710139604316</v>
      </c>
      <c r="AK4157">
        <v>16.442316946103698</v>
      </c>
    </row>
    <row r="4158" spans="1:37" x14ac:dyDescent="0.2">
      <c r="A4158" t="str">
        <f>"20200111153734046"</f>
        <v>20200111153734046</v>
      </c>
      <c r="B4158" t="str">
        <f>"1578728254037491"</f>
        <v>1578728254037491</v>
      </c>
      <c r="C4158" t="s">
        <v>37</v>
      </c>
      <c r="D4158">
        <v>5.8676820000000003</v>
      </c>
      <c r="E4158">
        <v>0.45572069999999998</v>
      </c>
      <c r="F4158" t="s">
        <v>39</v>
      </c>
      <c r="G4158">
        <v>-368.25659999999999</v>
      </c>
      <c r="H4158" s="1">
        <v>-1.060696E-6</v>
      </c>
      <c r="I4158">
        <v>137.80709999999999</v>
      </c>
      <c r="J4158">
        <v>-352.20409999999998</v>
      </c>
      <c r="K4158">
        <v>1.102981</v>
      </c>
      <c r="L4158">
        <v>140.96010000000001</v>
      </c>
      <c r="M4158">
        <v>-0.99945490000000003</v>
      </c>
      <c r="N4158">
        <v>0</v>
      </c>
      <c r="O4158">
        <v>2.9370150000000001E-2</v>
      </c>
      <c r="P4158">
        <v>-0.9954809</v>
      </c>
      <c r="Q4158">
        <v>5.8926060000000002E-2</v>
      </c>
      <c r="R4158">
        <v>-7.4470350000000005E-2</v>
      </c>
      <c r="S4158">
        <v>-2.982361</v>
      </c>
      <c r="T4158">
        <v>-0.19813169999999999</v>
      </c>
      <c r="U4158">
        <v>-0.56346130000000005</v>
      </c>
      <c r="V4158">
        <v>-0.1034453</v>
      </c>
      <c r="W4158">
        <v>7.4222750000000004E-2</v>
      </c>
      <c r="X4158">
        <v>0.99186189999999996</v>
      </c>
      <c r="Y4158">
        <v>-0.213911299999999</v>
      </c>
      <c r="Z4158">
        <v>-8.969042E-3</v>
      </c>
      <c r="AA4158">
        <v>0.97681189999999996</v>
      </c>
      <c r="AB4158">
        <v>54</v>
      </c>
      <c r="AC4158">
        <v>-16.052499999999998</v>
      </c>
      <c r="AD4158">
        <v>-1.1029820606959999</v>
      </c>
      <c r="AE4158">
        <v>-3.15300000000002</v>
      </c>
      <c r="AF4158">
        <v>-3.6067617579507201</v>
      </c>
      <c r="AG4158">
        <v>-1.1029820606959999</v>
      </c>
      <c r="AH4158">
        <v>15.8807678315637</v>
      </c>
      <c r="AI4158">
        <v>93.874676175165703</v>
      </c>
      <c r="AJ4158">
        <v>102.79567655177701</v>
      </c>
      <c r="AK4158">
        <v>16.322502465151</v>
      </c>
    </row>
    <row r="4159" spans="1:37" x14ac:dyDescent="0.2">
      <c r="A4159" t="str">
        <f>"20200111153734067"</f>
        <v>20200111153734067</v>
      </c>
      <c r="B4159" t="str">
        <f>"1578728254057011"</f>
        <v>1578728254057011</v>
      </c>
      <c r="C4159" t="s">
        <v>37</v>
      </c>
      <c r="D4159">
        <v>5.8025080000000004</v>
      </c>
      <c r="E4159">
        <v>0.45560050000000002</v>
      </c>
      <c r="F4159" t="s">
        <v>39</v>
      </c>
      <c r="G4159">
        <v>-369.36540000000002</v>
      </c>
      <c r="H4159" s="1">
        <v>-7.0511060000000005E-7</v>
      </c>
      <c r="I4159">
        <v>137.72540000000001</v>
      </c>
      <c r="J4159">
        <v>-352.73869999999999</v>
      </c>
      <c r="K4159">
        <v>1.1030219999999999</v>
      </c>
      <c r="L4159">
        <v>140.97620000000001</v>
      </c>
      <c r="M4159">
        <v>-0.99942960000000003</v>
      </c>
      <c r="N4159">
        <v>0</v>
      </c>
      <c r="O4159">
        <v>3.0201450000000001E-2</v>
      </c>
      <c r="P4159">
        <v>-0.99542219999999904</v>
      </c>
      <c r="Q4159">
        <v>6.044998E-2</v>
      </c>
      <c r="R4159">
        <v>-7.4030499999999999E-2</v>
      </c>
      <c r="S4159">
        <v>-2.98287999999999</v>
      </c>
      <c r="T4159">
        <v>-0.1917151</v>
      </c>
      <c r="U4159">
        <v>-0.56221009999999905</v>
      </c>
      <c r="V4159">
        <v>-0.10382709999999901</v>
      </c>
      <c r="W4159">
        <v>7.5774270000000005E-2</v>
      </c>
      <c r="X4159">
        <v>0.991704699999999</v>
      </c>
      <c r="Y4159">
        <v>-0.21432759999999901</v>
      </c>
      <c r="Z4159">
        <v>-8.7442389999999991E-3</v>
      </c>
      <c r="AA4159">
        <v>0.97672269999999894</v>
      </c>
      <c r="AB4159">
        <v>54</v>
      </c>
      <c r="AC4159">
        <v>-16.6267</v>
      </c>
      <c r="AD4159">
        <v>-1.1030227051106001</v>
      </c>
      <c r="AE4159">
        <v>-3.2507999999999901</v>
      </c>
      <c r="AF4159">
        <v>-3.7356889156796398</v>
      </c>
      <c r="AG4159">
        <v>-1.1030227051106001</v>
      </c>
      <c r="AH4159">
        <v>16.451186856395498</v>
      </c>
      <c r="AI4159">
        <v>93.740884128824206</v>
      </c>
      <c r="AJ4159">
        <v>102.793611204673</v>
      </c>
      <c r="AK4159">
        <v>16.906021996518302</v>
      </c>
    </row>
    <row r="4160" spans="1:37" x14ac:dyDescent="0.2">
      <c r="A4160" t="str">
        <f>"20200111153734090"</f>
        <v>20200111153734090</v>
      </c>
      <c r="B4160" t="str">
        <f>"1578728254077507"</f>
        <v>1578728254077507</v>
      </c>
      <c r="C4160" t="s">
        <v>37</v>
      </c>
      <c r="D4160">
        <v>5.8101310000000002</v>
      </c>
      <c r="E4160">
        <v>0.45555580000000001</v>
      </c>
      <c r="F4160" t="s">
        <v>39</v>
      </c>
      <c r="G4160">
        <v>-370.39240000000001</v>
      </c>
      <c r="H4160" s="1">
        <v>-4.4526639999999996E-6</v>
      </c>
      <c r="I4160">
        <v>137.65020000000001</v>
      </c>
      <c r="J4160">
        <v>-353.26479999999998</v>
      </c>
      <c r="K4160">
        <v>1.1030530000000001</v>
      </c>
      <c r="L4160">
        <v>140.99260000000001</v>
      </c>
      <c r="M4160">
        <v>-0.99940439999999997</v>
      </c>
      <c r="N4160">
        <v>0</v>
      </c>
      <c r="O4160">
        <v>3.1007730000000001E-2</v>
      </c>
      <c r="P4160">
        <v>-0.99532679999999996</v>
      </c>
      <c r="Q4160">
        <v>6.248335E-2</v>
      </c>
      <c r="R4160">
        <v>-7.3625449999999995E-2</v>
      </c>
      <c r="S4160">
        <v>-2.9833069999999999</v>
      </c>
      <c r="T4160">
        <v>-0.18640090000000001</v>
      </c>
      <c r="U4160">
        <v>-0.56205749999999999</v>
      </c>
      <c r="V4160">
        <v>-0.1042158</v>
      </c>
      <c r="W4160">
        <v>7.7829090000000004E-2</v>
      </c>
      <c r="X4160">
        <v>0.99150479999999996</v>
      </c>
      <c r="Y4160">
        <v>-0.2150656</v>
      </c>
      <c r="Z4160">
        <v>-8.573954E-3</v>
      </c>
      <c r="AA4160">
        <v>0.97656200000000004</v>
      </c>
      <c r="AB4160">
        <v>54</v>
      </c>
      <c r="AC4160">
        <v>-17.127600000000001</v>
      </c>
      <c r="AD4160">
        <v>-1.103057452664</v>
      </c>
      <c r="AE4160">
        <v>-3.3423999999999898</v>
      </c>
      <c r="AF4160">
        <v>-3.8565325477474199</v>
      </c>
      <c r="AG4160">
        <v>-1.103057452664</v>
      </c>
      <c r="AH4160">
        <v>16.947994330997101</v>
      </c>
      <c r="AI4160">
        <v>93.631266237544395</v>
      </c>
      <c r="AJ4160">
        <v>102.819424269066</v>
      </c>
      <c r="AK4160">
        <v>17.416201964814999</v>
      </c>
    </row>
    <row r="4161" spans="1:37" x14ac:dyDescent="0.2">
      <c r="A4161" t="str">
        <f>"20200111153734113"</f>
        <v>20200111153734113</v>
      </c>
      <c r="B4161" t="str">
        <f>"1578728254106790"</f>
        <v>1578728254106790</v>
      </c>
      <c r="C4161" t="s">
        <v>37</v>
      </c>
      <c r="D4161">
        <v>5.8441150000000004</v>
      </c>
      <c r="E4161">
        <v>0.45543459999999902</v>
      </c>
      <c r="F4161" t="s">
        <v>39</v>
      </c>
      <c r="G4161">
        <v>-371.47480000000002</v>
      </c>
      <c r="H4161" s="1">
        <v>-4.003274E-6</v>
      </c>
      <c r="I4161">
        <v>137.5659</v>
      </c>
      <c r="J4161">
        <v>-353.82089999999999</v>
      </c>
      <c r="K4161">
        <v>1.1030819999999999</v>
      </c>
      <c r="L4161">
        <v>141.0103</v>
      </c>
      <c r="M4161">
        <v>-0.99937770000000004</v>
      </c>
      <c r="N4161">
        <v>0</v>
      </c>
      <c r="O4161">
        <v>3.1845999999999999E-2</v>
      </c>
      <c r="P4161">
        <v>-0.99532579999999904</v>
      </c>
      <c r="Q4161">
        <v>6.3613130000000004E-2</v>
      </c>
      <c r="R4161">
        <v>-7.2662470000000007E-2</v>
      </c>
      <c r="S4161">
        <v>-2.9839169999999999</v>
      </c>
      <c r="T4161">
        <v>-0.1807482</v>
      </c>
      <c r="U4161">
        <v>-0.56149289999999996</v>
      </c>
      <c r="V4161">
        <v>-0.1040859</v>
      </c>
      <c r="W4161">
        <v>7.8976619999999997E-2</v>
      </c>
      <c r="X4161">
        <v>0.99142770000000002</v>
      </c>
      <c r="Y4161">
        <v>-0.2156952</v>
      </c>
      <c r="Z4161">
        <v>-8.3821239999999995E-3</v>
      </c>
      <c r="AA4161">
        <v>0.97642479999999998</v>
      </c>
      <c r="AB4161">
        <v>54</v>
      </c>
      <c r="AC4161">
        <v>-17.6539</v>
      </c>
      <c r="AD4161">
        <v>-1.103086003274</v>
      </c>
      <c r="AE4161">
        <v>-3.4443999999999999</v>
      </c>
      <c r="AF4161">
        <v>-3.9899169501204099</v>
      </c>
      <c r="AG4161">
        <v>-1.103086003274</v>
      </c>
      <c r="AH4161">
        <v>17.469536420031702</v>
      </c>
      <c r="AI4161">
        <v>93.522584159215697</v>
      </c>
      <c r="AJ4161">
        <v>102.865276588291</v>
      </c>
      <c r="AK4161">
        <v>17.953298825850698</v>
      </c>
    </row>
    <row r="4162" spans="1:37" x14ac:dyDescent="0.2">
      <c r="A4162" t="str">
        <f>"20200111153734136"</f>
        <v>20200111153734136</v>
      </c>
      <c r="B4162" t="str">
        <f>"1578728254126852"</f>
        <v>1578728254126852</v>
      </c>
      <c r="C4162" t="s">
        <v>37</v>
      </c>
      <c r="D4162">
        <v>5.8240049999999997</v>
      </c>
      <c r="E4162">
        <v>0.4552909</v>
      </c>
      <c r="F4162" t="s">
        <v>39</v>
      </c>
      <c r="G4162">
        <v>-372.28680000000003</v>
      </c>
      <c r="H4162" s="1">
        <v>-3.658522E-6</v>
      </c>
      <c r="I4162">
        <v>137.54570000000001</v>
      </c>
      <c r="J4162">
        <v>-354.38199999999898</v>
      </c>
      <c r="K4162">
        <v>1.103116</v>
      </c>
      <c r="L4162">
        <v>141.02869999999999</v>
      </c>
      <c r="M4162">
        <v>-0.99935069999999904</v>
      </c>
      <c r="N4162">
        <v>0</v>
      </c>
      <c r="O4162">
        <v>3.2675799999999998E-2</v>
      </c>
      <c r="P4162">
        <v>-0.99534140000000004</v>
      </c>
      <c r="Q4162">
        <v>6.4062649999999999E-2</v>
      </c>
      <c r="R4162">
        <v>-7.2054480000000004E-2</v>
      </c>
      <c r="S4162">
        <v>-2.9845579999999998</v>
      </c>
      <c r="T4162">
        <v>-0.17828669999999999</v>
      </c>
      <c r="U4162">
        <v>-0.5599518</v>
      </c>
      <c r="V4162">
        <v>-0.104304199999999</v>
      </c>
      <c r="W4162">
        <v>7.9441499999999998E-2</v>
      </c>
      <c r="X4162">
        <v>0.99136759999999902</v>
      </c>
      <c r="Y4162">
        <v>-0.21599079999999901</v>
      </c>
      <c r="Z4162">
        <v>-8.3247169999999902E-3</v>
      </c>
      <c r="AA4162">
        <v>0.97635989999999995</v>
      </c>
      <c r="AB4162">
        <v>54</v>
      </c>
      <c r="AC4162">
        <v>-17.904800000000002</v>
      </c>
      <c r="AD4162">
        <v>-1.103119658522</v>
      </c>
      <c r="AE4162">
        <v>-3.4829999999999699</v>
      </c>
      <c r="AF4162">
        <v>-4.0514429120345596</v>
      </c>
      <c r="AG4162">
        <v>-1.103119658522</v>
      </c>
      <c r="AH4162">
        <v>17.716616591607998</v>
      </c>
      <c r="AI4162">
        <v>93.473467795923895</v>
      </c>
      <c r="AJ4162">
        <v>102.880934847123</v>
      </c>
      <c r="AK4162">
        <v>18.207404156126501</v>
      </c>
    </row>
    <row r="4163" spans="1:37" x14ac:dyDescent="0.2">
      <c r="A4163" t="str">
        <f>"20200111153734158"</f>
        <v>20200111153734158</v>
      </c>
      <c r="B4163" t="str">
        <f>"1578728254147348"</f>
        <v>1578728254147348</v>
      </c>
      <c r="C4163" t="s">
        <v>37</v>
      </c>
      <c r="D4163">
        <v>5.91357</v>
      </c>
      <c r="E4163">
        <v>0.45520899999999997</v>
      </c>
      <c r="F4163" t="s">
        <v>39</v>
      </c>
      <c r="G4163">
        <v>-372.9495</v>
      </c>
      <c r="H4163" s="1">
        <v>-3.3740789999999899E-6</v>
      </c>
      <c r="I4163">
        <v>137.54650000000001</v>
      </c>
      <c r="J4163">
        <v>-354.89760000000001</v>
      </c>
      <c r="K4163">
        <v>1.1031329999999999</v>
      </c>
      <c r="L4163">
        <v>141.04589999999999</v>
      </c>
      <c r="M4163">
        <v>-0.99932569999999998</v>
      </c>
      <c r="N4163">
        <v>0</v>
      </c>
      <c r="O4163">
        <v>3.3423179999999997E-2</v>
      </c>
      <c r="P4163">
        <v>-0.99537609999999999</v>
      </c>
      <c r="Q4163">
        <v>6.3949000000000006E-2</v>
      </c>
      <c r="R4163">
        <v>-7.1672760000000002E-2</v>
      </c>
      <c r="S4163">
        <v>-2.9848939999999899</v>
      </c>
      <c r="T4163">
        <v>-0.177336299999999</v>
      </c>
      <c r="U4163">
        <v>-0.55976870000000001</v>
      </c>
      <c r="V4163">
        <v>-0.10467</v>
      </c>
      <c r="W4163">
        <v>7.9338829999999999E-2</v>
      </c>
      <c r="X4163">
        <v>0.99133719999999903</v>
      </c>
      <c r="Y4163">
        <v>-0.21664539999999899</v>
      </c>
      <c r="Z4163">
        <v>-8.3428510000000001E-3</v>
      </c>
      <c r="AA4163">
        <v>0.97621469999999899</v>
      </c>
      <c r="AB4163">
        <v>54</v>
      </c>
      <c r="AC4163">
        <v>-18.0518999999999</v>
      </c>
      <c r="AD4163">
        <v>-1.1031363740789999</v>
      </c>
      <c r="AE4163">
        <v>-3.4993999999999801</v>
      </c>
      <c r="AF4163">
        <v>-4.0861595929752301</v>
      </c>
      <c r="AG4163">
        <v>-1.1031363740789999</v>
      </c>
      <c r="AH4163">
        <v>17.860555717282701</v>
      </c>
      <c r="AI4163">
        <v>93.445519417700197</v>
      </c>
      <c r="AJ4163">
        <v>102.886423982314</v>
      </c>
      <c r="AK4163">
        <v>18.3551916527515</v>
      </c>
    </row>
    <row r="4164" spans="1:37" x14ac:dyDescent="0.2">
      <c r="A4164" t="str">
        <f>"20200111153734179"</f>
        <v>20200111153734179</v>
      </c>
      <c r="B4164" t="str">
        <f>"1578728254166868"</f>
        <v>1578728254166868</v>
      </c>
      <c r="C4164" t="s">
        <v>37</v>
      </c>
      <c r="D4164">
        <v>5.858498</v>
      </c>
      <c r="E4164">
        <v>0.49481069999999999</v>
      </c>
      <c r="F4164" t="s">
        <v>39</v>
      </c>
      <c r="G4164">
        <v>-373.26609999999999</v>
      </c>
      <c r="H4164" s="1">
        <v>-3.227882E-6</v>
      </c>
      <c r="I4164">
        <v>137.60509999999999</v>
      </c>
      <c r="J4164">
        <v>-355.43060000000003</v>
      </c>
      <c r="K4164">
        <v>1.1031439999999999</v>
      </c>
      <c r="L4164">
        <v>141.0641</v>
      </c>
      <c r="M4164">
        <v>-0.99930010000000002</v>
      </c>
      <c r="N4164">
        <v>0</v>
      </c>
      <c r="O4164">
        <v>3.4179359999999999E-2</v>
      </c>
      <c r="P4164">
        <v>-0.99542580000000003</v>
      </c>
      <c r="Q4164">
        <v>6.3414449999999997E-2</v>
      </c>
      <c r="R4164">
        <v>-7.1461490000000003E-2</v>
      </c>
      <c r="S4164">
        <v>-2.9851679999999998</v>
      </c>
      <c r="T4164">
        <v>-0.17927799999999999</v>
      </c>
      <c r="U4164">
        <v>-0.55917359999999905</v>
      </c>
      <c r="V4164">
        <v>-0.105217</v>
      </c>
      <c r="W4164">
        <v>7.8814060000000005E-2</v>
      </c>
      <c r="X4164">
        <v>0.99132119999999901</v>
      </c>
      <c r="Y4164">
        <v>-0.2171681</v>
      </c>
      <c r="Z4164">
        <v>-8.4940109999999992E-3</v>
      </c>
      <c r="AA4164">
        <v>0.97609729999999995</v>
      </c>
      <c r="AB4164">
        <v>54</v>
      </c>
      <c r="AC4164">
        <v>-17.8354999999999</v>
      </c>
      <c r="AD4164">
        <v>-1.103147227882</v>
      </c>
      <c r="AE4164">
        <v>-3.4590000000000001</v>
      </c>
      <c r="AF4164">
        <v>-4.05171664253663</v>
      </c>
      <c r="AG4164">
        <v>-1.103147227882</v>
      </c>
      <c r="AH4164">
        <v>17.6417929972378</v>
      </c>
      <c r="AI4164">
        <v>93.487503857375103</v>
      </c>
      <c r="AJ4164">
        <v>102.934577419775</v>
      </c>
      <c r="AK4164">
        <v>18.1346685030408</v>
      </c>
    </row>
    <row r="4165" spans="1:37" x14ac:dyDescent="0.2">
      <c r="A4165" t="str">
        <f>"20200111153734202"</f>
        <v>20200111153734202</v>
      </c>
      <c r="B4165" t="str">
        <f>"1578728254197124"</f>
        <v>1578728254197124</v>
      </c>
      <c r="C4165" t="s">
        <v>37</v>
      </c>
      <c r="D4165">
        <v>5.8545720000000001</v>
      </c>
      <c r="E4165">
        <v>0.4998281</v>
      </c>
      <c r="F4165" t="s">
        <v>39</v>
      </c>
      <c r="G4165">
        <v>-368.5772</v>
      </c>
      <c r="H4165" s="1">
        <v>-6.982473E-7</v>
      </c>
      <c r="I4165">
        <v>140.01300000000001</v>
      </c>
      <c r="J4165">
        <v>-355.97809999999998</v>
      </c>
      <c r="K4165">
        <v>1.1031530000000001</v>
      </c>
      <c r="L4165">
        <v>141.08330000000001</v>
      </c>
      <c r="M4165">
        <v>-0.99927369999999904</v>
      </c>
      <c r="N4165">
        <v>0</v>
      </c>
      <c r="O4165">
        <v>3.49369E-2</v>
      </c>
      <c r="P4165">
        <v>-0.99548269999999905</v>
      </c>
      <c r="Q4165">
        <v>6.2486760000000002E-2</v>
      </c>
      <c r="R4165">
        <v>-7.1482030000000002E-2</v>
      </c>
      <c r="S4165">
        <v>-3.0126339999999998</v>
      </c>
      <c r="T4165">
        <v>-0.25279400000000002</v>
      </c>
      <c r="U4165">
        <v>-0.24084469999999999</v>
      </c>
      <c r="V4165">
        <v>-0.105999</v>
      </c>
      <c r="W4165">
        <v>7.7893260000000006E-2</v>
      </c>
      <c r="X4165">
        <v>0.99131069999999999</v>
      </c>
      <c r="Y4165">
        <v>-0.1139515</v>
      </c>
      <c r="Z4165">
        <v>-7.6876929999999998E-3</v>
      </c>
      <c r="AA4165">
        <v>0.99345649999999996</v>
      </c>
      <c r="AB4165">
        <v>54</v>
      </c>
      <c r="AC4165">
        <v>-12.5991</v>
      </c>
      <c r="AD4165">
        <v>-1.1031536982473</v>
      </c>
      <c r="AE4165">
        <v>-1.0703</v>
      </c>
      <c r="AF4165">
        <v>-1.4984653387876401</v>
      </c>
      <c r="AG4165">
        <v>-1.1031536982473</v>
      </c>
      <c r="AH4165">
        <v>12.4591764335305</v>
      </c>
      <c r="AI4165">
        <v>95.023840328863997</v>
      </c>
      <c r="AJ4165">
        <v>96.858024039296396</v>
      </c>
      <c r="AK4165">
        <v>12.5973578124679</v>
      </c>
    </row>
    <row r="4166" spans="1:37" x14ac:dyDescent="0.2">
      <c r="A4166" t="str">
        <f>"20200111153734225"</f>
        <v>20200111153734225</v>
      </c>
      <c r="B4166" t="str">
        <f>"1578728254217180"</f>
        <v>1578728254217180</v>
      </c>
      <c r="C4166" t="s">
        <v>37</v>
      </c>
      <c r="D4166">
        <v>5.838069</v>
      </c>
      <c r="E4166">
        <v>0.50016839999999996</v>
      </c>
      <c r="F4166" t="s">
        <v>39</v>
      </c>
      <c r="G4166">
        <v>-369.15199999999999</v>
      </c>
      <c r="H4166" s="1">
        <v>-5.0312929999999998E-7</v>
      </c>
      <c r="I4166">
        <v>140.2064</v>
      </c>
      <c r="J4166">
        <v>-356.54309999999998</v>
      </c>
      <c r="K4166">
        <v>1.1031759999999999</v>
      </c>
      <c r="L4166">
        <v>141.1035</v>
      </c>
      <c r="M4166">
        <v>-0.99924650000000004</v>
      </c>
      <c r="N4166">
        <v>0</v>
      </c>
      <c r="O4166">
        <v>3.5700620000000002E-2</v>
      </c>
      <c r="P4166">
        <v>-0.99551139999999905</v>
      </c>
      <c r="Q4166">
        <v>6.2352190000000002E-2</v>
      </c>
      <c r="R4166">
        <v>-7.1200869999999999E-2</v>
      </c>
      <c r="S4166">
        <v>-3.0150450000000002</v>
      </c>
      <c r="T4166">
        <v>-0.25247510000000001</v>
      </c>
      <c r="U4166">
        <v>-0.20066829999999999</v>
      </c>
      <c r="V4166">
        <v>-0.106482199999999</v>
      </c>
      <c r="W4166">
        <v>7.7762040000000004E-2</v>
      </c>
      <c r="X4166">
        <v>0.99126919999999996</v>
      </c>
      <c r="Y4166">
        <v>-0.10151399999999999</v>
      </c>
      <c r="Z4166">
        <v>-7.2199859999999899E-3</v>
      </c>
      <c r="AA4166">
        <v>0.99480789999999997</v>
      </c>
      <c r="AB4166">
        <v>54</v>
      </c>
      <c r="AC4166">
        <v>-12.6089</v>
      </c>
      <c r="AD4166">
        <v>-1.1031765031292999</v>
      </c>
      <c r="AE4166">
        <v>-0.89709999999999401</v>
      </c>
      <c r="AF4166">
        <v>-1.3365462369476699</v>
      </c>
      <c r="AG4166">
        <v>-1.1031765031292999</v>
      </c>
      <c r="AH4166">
        <v>12.4738254860256</v>
      </c>
      <c r="AI4166">
        <v>95.025432862147994</v>
      </c>
      <c r="AJ4166">
        <v>96.1157984451212</v>
      </c>
      <c r="AK4166">
        <v>12.593636349219199</v>
      </c>
    </row>
    <row r="4167" spans="1:37" x14ac:dyDescent="0.2">
      <c r="A4167" t="str">
        <f>"20200111153734247"</f>
        <v>20200111153734247</v>
      </c>
      <c r="B4167" t="str">
        <f>"1578728254237677"</f>
        <v>1578728254237677</v>
      </c>
      <c r="C4167" t="s">
        <v>37</v>
      </c>
      <c r="D4167">
        <v>5.7987190000000002</v>
      </c>
      <c r="E4167">
        <v>0.50017979999999995</v>
      </c>
      <c r="F4167" t="s">
        <v>39</v>
      </c>
      <c r="G4167">
        <v>-369.69990000000001</v>
      </c>
      <c r="H4167" s="1">
        <v>-2.7825969999999998E-7</v>
      </c>
      <c r="I4167">
        <v>140.24459999999999</v>
      </c>
      <c r="J4167">
        <v>-357.0779</v>
      </c>
      <c r="K4167">
        <v>1.103197</v>
      </c>
      <c r="L4167">
        <v>141.12299999999999</v>
      </c>
      <c r="M4167">
        <v>-0.99922069999999996</v>
      </c>
      <c r="N4167">
        <v>0</v>
      </c>
      <c r="O4167">
        <v>3.6409070000000002E-2</v>
      </c>
      <c r="P4167">
        <v>-0.99546590000000001</v>
      </c>
      <c r="Q4167">
        <v>6.3153210000000001E-2</v>
      </c>
      <c r="R4167">
        <v>-7.1129789999999998E-2</v>
      </c>
      <c r="S4167">
        <v>-3.0152890000000001</v>
      </c>
      <c r="T4167">
        <v>-0.25282919999999998</v>
      </c>
      <c r="U4167">
        <v>-0.1968231</v>
      </c>
      <c r="V4167">
        <v>-0.1071154</v>
      </c>
      <c r="W4167">
        <v>7.8563540000000001E-2</v>
      </c>
      <c r="X4167">
        <v>0.99113770000000001</v>
      </c>
      <c r="Y4167">
        <v>-0.100949</v>
      </c>
      <c r="Z4167">
        <v>-7.2654059999999899E-3</v>
      </c>
      <c r="AA4167">
        <v>0.99486509999999995</v>
      </c>
      <c r="AB4167">
        <v>54</v>
      </c>
      <c r="AC4167">
        <v>-12.622</v>
      </c>
      <c r="AD4167">
        <v>-1.1031972782596999</v>
      </c>
      <c r="AE4167">
        <v>-0.87839999999999896</v>
      </c>
      <c r="AF4167">
        <v>-1.3273351871860399</v>
      </c>
      <c r="AG4167">
        <v>-1.1031972782596999</v>
      </c>
      <c r="AH4167">
        <v>12.4867146244491</v>
      </c>
      <c r="AI4167">
        <v>95.020813152477999</v>
      </c>
      <c r="AJ4167">
        <v>96.067743545453396</v>
      </c>
      <c r="AK4167">
        <v>12.6054315692218</v>
      </c>
    </row>
    <row r="4168" spans="1:37" x14ac:dyDescent="0.2">
      <c r="A4168" t="str">
        <f>"20200111153734269"</f>
        <v>20200111153734269</v>
      </c>
      <c r="B4168" t="str">
        <f>"1578728254257196"</f>
        <v>1578728254257196</v>
      </c>
      <c r="C4168" t="s">
        <v>37</v>
      </c>
      <c r="D4168">
        <v>5.824751</v>
      </c>
      <c r="E4168">
        <v>0.49976409999999999</v>
      </c>
      <c r="F4168" t="s">
        <v>39</v>
      </c>
      <c r="G4168">
        <v>-370.4212</v>
      </c>
      <c r="H4168" s="1">
        <v>-4.245952E-6</v>
      </c>
      <c r="I4168">
        <v>140.25479999999999</v>
      </c>
      <c r="J4168">
        <v>-357.58690000000001</v>
      </c>
      <c r="K4168">
        <v>1.1032139999999999</v>
      </c>
      <c r="L4168">
        <v>141.14189999999999</v>
      </c>
      <c r="M4168">
        <v>-0.99919639999999998</v>
      </c>
      <c r="N4168">
        <v>0</v>
      </c>
      <c r="O4168">
        <v>3.7070539999999999E-2</v>
      </c>
      <c r="P4168">
        <v>-0.99541329999999995</v>
      </c>
      <c r="Q4168">
        <v>6.4188419999999996E-2</v>
      </c>
      <c r="R4168">
        <v>-7.0939550000000004E-2</v>
      </c>
      <c r="S4168">
        <v>-3.01544199999999</v>
      </c>
      <c r="T4168">
        <v>-0.24931229999999999</v>
      </c>
      <c r="U4168">
        <v>-0.196182299999999</v>
      </c>
      <c r="V4168">
        <v>-0.1075811</v>
      </c>
      <c r="W4168">
        <v>7.9597890000000004E-2</v>
      </c>
      <c r="X4168">
        <v>0.99100480000000002</v>
      </c>
      <c r="Y4168">
        <v>-0.1014032</v>
      </c>
      <c r="Z4168">
        <v>-7.2376519999999998E-3</v>
      </c>
      <c r="AA4168">
        <v>0.99481909999999896</v>
      </c>
      <c r="AB4168">
        <v>54</v>
      </c>
      <c r="AC4168">
        <v>-12.834299999999899</v>
      </c>
      <c r="AD4168">
        <v>-1.1032182459519999</v>
      </c>
      <c r="AE4168">
        <v>-0.887100000000003</v>
      </c>
      <c r="AF4168">
        <v>-1.3523748004231699</v>
      </c>
      <c r="AG4168">
        <v>-1.1032182459519999</v>
      </c>
      <c r="AH4168">
        <v>12.699200524199</v>
      </c>
      <c r="AI4168">
        <v>94.937216087387398</v>
      </c>
      <c r="AJ4168">
        <v>96.078684367068604</v>
      </c>
      <c r="AK4168">
        <v>12.8185686429038</v>
      </c>
    </row>
    <row r="4169" spans="1:37" x14ac:dyDescent="0.2">
      <c r="A4169" t="str">
        <f>"20200111153734291"</f>
        <v>20200111153734291</v>
      </c>
      <c r="B4169" t="str">
        <f>"1578728254287453"</f>
        <v>1578728254287453</v>
      </c>
      <c r="C4169" t="s">
        <v>37</v>
      </c>
      <c r="D4169">
        <v>5.8553290000000002</v>
      </c>
      <c r="E4169">
        <v>0.49966670000000002</v>
      </c>
      <c r="F4169" t="s">
        <v>39</v>
      </c>
      <c r="G4169">
        <v>-371.1035</v>
      </c>
      <c r="H4169" s="1">
        <v>-3.9682829999999999E-6</v>
      </c>
      <c r="I4169">
        <v>140.25299999999999</v>
      </c>
      <c r="J4169">
        <v>-358.125</v>
      </c>
      <c r="K4169">
        <v>1.103232</v>
      </c>
      <c r="L4169">
        <v>141.16220000000001</v>
      </c>
      <c r="M4169">
        <v>-0.99917060000000002</v>
      </c>
      <c r="N4169">
        <v>0</v>
      </c>
      <c r="O4169">
        <v>3.7759189999999998E-2</v>
      </c>
      <c r="P4169">
        <v>-0.99539230000000001</v>
      </c>
      <c r="Q4169">
        <v>6.4527680000000004E-2</v>
      </c>
      <c r="R4169">
        <v>-7.0927160000000003E-2</v>
      </c>
      <c r="S4169">
        <v>-3.0155639999999999</v>
      </c>
      <c r="T4169">
        <v>-0.24612899999999999</v>
      </c>
      <c r="U4169">
        <v>-0.19830320000000001</v>
      </c>
      <c r="V4169">
        <v>-0.1082548</v>
      </c>
      <c r="W4169">
        <v>7.9936789999999994E-2</v>
      </c>
      <c r="X4169">
        <v>0.99090419999999901</v>
      </c>
      <c r="Y4169">
        <v>-0.102788</v>
      </c>
      <c r="Z4169">
        <v>-7.2575290000000004E-3</v>
      </c>
      <c r="AA4169">
        <v>0.99467680000000003</v>
      </c>
      <c r="AB4169">
        <v>54</v>
      </c>
      <c r="AC4169">
        <v>-12.978499999999899</v>
      </c>
      <c r="AD4169">
        <v>-1.103235968283</v>
      </c>
      <c r="AE4169">
        <v>-0.90920000000002599</v>
      </c>
      <c r="AF4169">
        <v>-1.38868069213242</v>
      </c>
      <c r="AG4169">
        <v>-1.103235968283</v>
      </c>
      <c r="AH4169">
        <v>12.842562813232499</v>
      </c>
      <c r="AI4169">
        <v>94.881603225602603</v>
      </c>
      <c r="AJ4169">
        <v>96.171478306893206</v>
      </c>
      <c r="AK4169">
        <v>12.9644507511208</v>
      </c>
    </row>
    <row r="4170" spans="1:37" x14ac:dyDescent="0.2">
      <c r="A4170" t="str">
        <f>"20200111153734315"</f>
        <v>20200111153734315</v>
      </c>
      <c r="B4170" t="str">
        <f>"1578728254306975"</f>
        <v>1578728254306975</v>
      </c>
      <c r="C4170" t="s">
        <v>37</v>
      </c>
      <c r="D4170">
        <v>5.8131709999999996</v>
      </c>
      <c r="E4170">
        <v>0.49937939999999997</v>
      </c>
      <c r="F4170" t="s">
        <v>39</v>
      </c>
      <c r="G4170">
        <v>-371.77440000000001</v>
      </c>
      <c r="H4170" s="1">
        <v>-3.6830350000000001E-6</v>
      </c>
      <c r="I4170">
        <v>140.26259999999999</v>
      </c>
      <c r="J4170">
        <v>-358.68220000000002</v>
      </c>
      <c r="K4170">
        <v>1.1032459999999999</v>
      </c>
      <c r="L4170">
        <v>141.18369999999999</v>
      </c>
      <c r="M4170">
        <v>-0.99914369999999997</v>
      </c>
      <c r="N4170">
        <v>0</v>
      </c>
      <c r="O4170">
        <v>3.8462339999999998E-2</v>
      </c>
      <c r="P4170">
        <v>-0.99537849999999894</v>
      </c>
      <c r="Q4170">
        <v>6.4502920000000005E-2</v>
      </c>
      <c r="R4170">
        <v>-7.1143730000000002E-2</v>
      </c>
      <c r="S4170">
        <v>-3.0155029999999998</v>
      </c>
      <c r="T4170">
        <v>-0.24373320000000001</v>
      </c>
      <c r="U4170">
        <v>-0.1987457</v>
      </c>
      <c r="V4170">
        <v>-0.10917209999999999</v>
      </c>
      <c r="W4170">
        <v>7.9911120000000002E-2</v>
      </c>
      <c r="X4170">
        <v>0.99080559999999995</v>
      </c>
      <c r="Y4170">
        <v>-0.10363849999999999</v>
      </c>
      <c r="Z4170">
        <v>-7.2781959999999998E-3</v>
      </c>
      <c r="AA4170">
        <v>0.99458840000000004</v>
      </c>
      <c r="AB4170">
        <v>54</v>
      </c>
      <c r="AC4170">
        <v>-13.092199999999901</v>
      </c>
      <c r="AD4170">
        <v>-1.103249683035</v>
      </c>
      <c r="AE4170">
        <v>-0.92109999999999503</v>
      </c>
      <c r="AF4170">
        <v>-1.4140417548629201</v>
      </c>
      <c r="AG4170">
        <v>-1.103249683035</v>
      </c>
      <c r="AH4170">
        <v>12.9555336784651</v>
      </c>
      <c r="AI4170">
        <v>94.838774388631094</v>
      </c>
      <c r="AJ4170">
        <v>96.228935620420899</v>
      </c>
      <c r="AK4170">
        <v>13.079087385649499</v>
      </c>
    </row>
    <row r="4171" spans="1:37" x14ac:dyDescent="0.2">
      <c r="A4171" t="str">
        <f>"20200111153734336"</f>
        <v>20200111153734336</v>
      </c>
      <c r="B4171" t="str">
        <f>"1578728254327047"</f>
        <v>1578728254327047</v>
      </c>
      <c r="C4171" t="s">
        <v>37</v>
      </c>
      <c r="D4171">
        <v>5.8136140000000003</v>
      </c>
      <c r="E4171">
        <v>0.49931300000000001</v>
      </c>
      <c r="F4171" t="s">
        <v>39</v>
      </c>
      <c r="G4171">
        <v>-372.375</v>
      </c>
      <c r="H4171" s="1">
        <v>-3.4269059999999999E-6</v>
      </c>
      <c r="I4171">
        <v>140.26820000000001</v>
      </c>
      <c r="J4171">
        <v>-359.200999999999</v>
      </c>
      <c r="K4171">
        <v>1.1032629999999899</v>
      </c>
      <c r="L4171">
        <v>141.20400000000001</v>
      </c>
      <c r="M4171">
        <v>-0.99911849999999902</v>
      </c>
      <c r="N4171">
        <v>0</v>
      </c>
      <c r="O4171">
        <v>3.9107959999999997E-2</v>
      </c>
      <c r="P4171">
        <v>-0.9954075</v>
      </c>
      <c r="Q4171">
        <v>6.3577159999999994E-2</v>
      </c>
      <c r="R4171">
        <v>-7.1565199999999995E-2</v>
      </c>
      <c r="S4171">
        <v>-3.0152589999999999</v>
      </c>
      <c r="T4171">
        <v>-0.2429451</v>
      </c>
      <c r="U4171">
        <v>-0.20156859999999999</v>
      </c>
      <c r="V4171">
        <v>-0.1102413</v>
      </c>
      <c r="W4171">
        <v>7.8984700000000005E-2</v>
      </c>
      <c r="X4171">
        <v>0.99076149999999996</v>
      </c>
      <c r="Y4171">
        <v>-0.1052091</v>
      </c>
      <c r="Z4171">
        <v>-7.3701039999999997E-3</v>
      </c>
      <c r="AA4171">
        <v>0.99442280000000005</v>
      </c>
      <c r="AB4171">
        <v>54</v>
      </c>
      <c r="AC4171">
        <v>-13.173999999999999</v>
      </c>
      <c r="AD4171">
        <v>-1.103266426906</v>
      </c>
      <c r="AE4171">
        <v>-0.93579999999999997</v>
      </c>
      <c r="AF4171">
        <v>-1.4403015564258601</v>
      </c>
      <c r="AG4171">
        <v>-1.103266426906</v>
      </c>
      <c r="AH4171">
        <v>13.0363484812077</v>
      </c>
      <c r="AI4171">
        <v>94.808296944313597</v>
      </c>
      <c r="AJ4171">
        <v>96.304669012696706</v>
      </c>
      <c r="AK4171">
        <v>13.161992520346899</v>
      </c>
    </row>
    <row r="4172" spans="1:37" x14ac:dyDescent="0.2">
      <c r="A4172" t="str">
        <f>"20200111153734358"</f>
        <v>20200111153734358</v>
      </c>
      <c r="B4172" t="str">
        <f>"1578728254347541"</f>
        <v>1578728254347541</v>
      </c>
      <c r="C4172" t="s">
        <v>37</v>
      </c>
      <c r="D4172">
        <v>5.3595090000000001</v>
      </c>
      <c r="E4172">
        <v>0.49898009999999898</v>
      </c>
      <c r="F4172" t="s">
        <v>39</v>
      </c>
      <c r="G4172">
        <v>-372.68990000000002</v>
      </c>
      <c r="H4172" s="1">
        <v>-3.2990169999999999E-6</v>
      </c>
      <c r="I4172">
        <v>140.2954</v>
      </c>
      <c r="J4172">
        <v>-359.72039999999998</v>
      </c>
      <c r="K4172">
        <v>1.103275</v>
      </c>
      <c r="L4172">
        <v>141.22470000000001</v>
      </c>
      <c r="M4172">
        <v>-0.99909329999999996</v>
      </c>
      <c r="N4172">
        <v>0</v>
      </c>
      <c r="O4172">
        <v>3.9745229999999999E-2</v>
      </c>
      <c r="P4172">
        <v>-0.99541429999999997</v>
      </c>
      <c r="Q4172">
        <v>6.2979240000000006E-2</v>
      </c>
      <c r="R4172">
        <v>-7.1999779999999999E-2</v>
      </c>
      <c r="S4172">
        <v>-3.0149840000000001</v>
      </c>
      <c r="T4172">
        <v>-0.2465976</v>
      </c>
      <c r="U4172">
        <v>-0.20307919999999999</v>
      </c>
      <c r="V4172">
        <v>-0.1113133</v>
      </c>
      <c r="W4172">
        <v>7.8384809999999999E-2</v>
      </c>
      <c r="X4172">
        <v>0.99068919999999905</v>
      </c>
      <c r="Y4172">
        <v>-0.106325399999999</v>
      </c>
      <c r="Z4172">
        <v>-7.578614E-3</v>
      </c>
      <c r="AA4172">
        <v>0.99430249999999998</v>
      </c>
      <c r="AB4172">
        <v>54</v>
      </c>
      <c r="AC4172">
        <v>-12.9695</v>
      </c>
      <c r="AD4172">
        <v>-1.103278299017</v>
      </c>
      <c r="AE4172">
        <v>-0.92930000000001201</v>
      </c>
      <c r="AF4172">
        <v>-1.4337789077279699</v>
      </c>
      <c r="AG4172">
        <v>-1.103278299017</v>
      </c>
      <c r="AH4172">
        <v>12.829941570009501</v>
      </c>
      <c r="AI4172">
        <v>94.884656103205003</v>
      </c>
      <c r="AJ4172">
        <v>96.376493709029504</v>
      </c>
      <c r="AK4172">
        <v>12.9568648079381</v>
      </c>
    </row>
    <row r="4173" spans="1:37" x14ac:dyDescent="0.2">
      <c r="A4173" t="str">
        <f>"20200111153734381"</f>
        <v>20200111153734381</v>
      </c>
      <c r="B4173" t="str">
        <f>"1578728254376820"</f>
        <v>1578728254376820</v>
      </c>
      <c r="C4173" t="s">
        <v>37</v>
      </c>
      <c r="D4173">
        <v>5.8206739999999897</v>
      </c>
      <c r="E4173">
        <v>0.49845319999999999</v>
      </c>
      <c r="F4173" t="s">
        <v>39</v>
      </c>
      <c r="G4173">
        <v>-373.45440000000002</v>
      </c>
      <c r="H4173" s="1">
        <v>-2.967178E-6</v>
      </c>
      <c r="I4173">
        <v>140.2807</v>
      </c>
      <c r="J4173">
        <v>-360.26639999999998</v>
      </c>
      <c r="K4173">
        <v>1.1033109999999999</v>
      </c>
      <c r="L4173">
        <v>141.24680000000001</v>
      </c>
      <c r="M4173">
        <v>-0.99906640000000002</v>
      </c>
      <c r="N4173">
        <v>0</v>
      </c>
      <c r="O4173">
        <v>4.0395140000000003E-2</v>
      </c>
      <c r="P4173">
        <v>-0.99542389999999903</v>
      </c>
      <c r="Q4173">
        <v>6.2763280000000005E-2</v>
      </c>
      <c r="R4173">
        <v>-7.2055960000000002E-2</v>
      </c>
      <c r="S4173">
        <v>-3.01416</v>
      </c>
      <c r="T4173">
        <v>-0.24213479999999901</v>
      </c>
      <c r="U4173">
        <v>-0.20715329999999901</v>
      </c>
      <c r="V4173">
        <v>-0.11201899999999999</v>
      </c>
      <c r="W4173">
        <v>7.822461E-2</v>
      </c>
      <c r="X4173">
        <v>0.99062229999999996</v>
      </c>
      <c r="Y4173">
        <v>-0.10833660000000001</v>
      </c>
      <c r="Z4173">
        <v>-7.5762429999999999E-3</v>
      </c>
      <c r="AA4173">
        <v>0.99408539999999901</v>
      </c>
      <c r="AB4173">
        <v>54</v>
      </c>
      <c r="AC4173">
        <v>-13.188000000000001</v>
      </c>
      <c r="AD4173">
        <v>-1.1033139671779999</v>
      </c>
      <c r="AE4173">
        <v>-0.96610000000001095</v>
      </c>
      <c r="AF4173">
        <v>-1.4877475958526201</v>
      </c>
      <c r="AG4173">
        <v>-1.1033139671779999</v>
      </c>
      <c r="AH4173">
        <v>13.0473708629795</v>
      </c>
      <c r="AI4173">
        <v>94.802582074182794</v>
      </c>
      <c r="AJ4173">
        <v>96.505147693396495</v>
      </c>
      <c r="AK4173">
        <v>13.1781858028813</v>
      </c>
    </row>
    <row r="4174" spans="1:37" x14ac:dyDescent="0.2">
      <c r="A4174" t="str">
        <f>"20200111153734404"</f>
        <v>20200111153734404</v>
      </c>
      <c r="B4174" t="str">
        <f>"1578728254397316"</f>
        <v>1578728254397316</v>
      </c>
      <c r="C4174" t="s">
        <v>37</v>
      </c>
      <c r="D4174">
        <v>5.988245</v>
      </c>
      <c r="E4174">
        <v>0.4988281</v>
      </c>
      <c r="F4174" t="s">
        <v>39</v>
      </c>
      <c r="G4174">
        <v>-374.45740000000001</v>
      </c>
      <c r="H4174" s="1">
        <v>-2.5284190000000001E-6</v>
      </c>
      <c r="I4174">
        <v>140.249</v>
      </c>
      <c r="J4174">
        <v>-360.8075</v>
      </c>
      <c r="K4174">
        <v>1.103383</v>
      </c>
      <c r="L4174">
        <v>141.26910000000001</v>
      </c>
      <c r="M4174">
        <v>-0.99903819999999999</v>
      </c>
      <c r="N4174">
        <v>0</v>
      </c>
      <c r="O4174">
        <v>4.1012130000000001E-2</v>
      </c>
      <c r="P4174">
        <v>-0.99541229999999903</v>
      </c>
      <c r="Q4174">
        <v>6.2710020000000005E-2</v>
      </c>
      <c r="R4174">
        <v>-7.2261359999999997E-2</v>
      </c>
      <c r="S4174">
        <v>-3.0131839999999999</v>
      </c>
      <c r="T4174">
        <v>-0.234266799999999</v>
      </c>
      <c r="U4174">
        <v>-0.21185300000000001</v>
      </c>
      <c r="V4174">
        <v>-0.1128396</v>
      </c>
      <c r="W4174">
        <v>7.8363870000000002E-2</v>
      </c>
      <c r="X4174">
        <v>0.99051819999999902</v>
      </c>
      <c r="Y4174">
        <v>-0.1105372</v>
      </c>
      <c r="Z4174">
        <v>-7.4659710000000001E-3</v>
      </c>
      <c r="AA4174">
        <v>0.9938439</v>
      </c>
      <c r="AB4174">
        <v>54</v>
      </c>
      <c r="AC4174">
        <v>-13.649900000000001</v>
      </c>
      <c r="AD4174">
        <v>-1.103385528419</v>
      </c>
      <c r="AE4174">
        <v>-1.02010000000001</v>
      </c>
      <c r="AF4174">
        <v>-1.56892557333093</v>
      </c>
      <c r="AG4174">
        <v>-1.103385528419</v>
      </c>
      <c r="AH4174">
        <v>13.5087918169191</v>
      </c>
      <c r="AI4174">
        <v>94.638458852886302</v>
      </c>
      <c r="AJ4174">
        <v>96.624713323861101</v>
      </c>
      <c r="AK4174">
        <v>13.6442824447399</v>
      </c>
    </row>
    <row r="4175" spans="1:37" x14ac:dyDescent="0.2">
      <c r="A4175" t="str">
        <f>"20200111153734426"</f>
        <v>20200111153734426</v>
      </c>
      <c r="B4175" t="str">
        <f>"1578728254416839"</f>
        <v>1578728254416839</v>
      </c>
      <c r="C4175" t="s">
        <v>37</v>
      </c>
      <c r="D4175">
        <v>5.9243160000000001</v>
      </c>
      <c r="E4175">
        <v>0.53108100000000003</v>
      </c>
      <c r="F4175" t="s">
        <v>39</v>
      </c>
      <c r="G4175">
        <v>-375.14</v>
      </c>
      <c r="H4175" s="1">
        <v>-2.2415850000000001E-6</v>
      </c>
      <c r="I4175">
        <v>140.2715</v>
      </c>
      <c r="J4175">
        <v>-361.3494</v>
      </c>
      <c r="K4175">
        <v>1.1034759999999999</v>
      </c>
      <c r="L4175">
        <v>141.29169999999999</v>
      </c>
      <c r="M4175">
        <v>-0.99900849999999997</v>
      </c>
      <c r="N4175">
        <v>0</v>
      </c>
      <c r="O4175">
        <v>4.1611460000000003E-2</v>
      </c>
      <c r="P4175">
        <v>-0.99542790000000003</v>
      </c>
      <c r="Q4175">
        <v>6.211709E-2</v>
      </c>
      <c r="R4175">
        <v>-7.2560150000000004E-2</v>
      </c>
      <c r="S4175">
        <v>-3.0132140000000001</v>
      </c>
      <c r="T4175">
        <v>-0.23197209999999999</v>
      </c>
      <c r="U4175">
        <v>-0.20970149999999901</v>
      </c>
      <c r="V4175">
        <v>-0.1137387</v>
      </c>
      <c r="W4175">
        <v>7.8071050000000003E-2</v>
      </c>
      <c r="X4175">
        <v>0.9904385</v>
      </c>
      <c r="Y4175">
        <v>-0.11043409999999999</v>
      </c>
      <c r="Z4175">
        <v>-7.4352350000000001E-3</v>
      </c>
      <c r="AA4175">
        <v>0.99385569999999901</v>
      </c>
      <c r="AB4175">
        <v>53</v>
      </c>
      <c r="AC4175">
        <v>-13.7905999999999</v>
      </c>
      <c r="AD4175">
        <v>-1.103478241585</v>
      </c>
      <c r="AE4175">
        <v>-1.02019999999998</v>
      </c>
      <c r="AF4175">
        <v>-1.58315379795702</v>
      </c>
      <c r="AG4175">
        <v>-1.103478241585</v>
      </c>
      <c r="AH4175">
        <v>13.6492790161108</v>
      </c>
      <c r="AI4175">
        <v>94.591386177922004</v>
      </c>
      <c r="AJ4175">
        <v>96.616064543914604</v>
      </c>
      <c r="AK4175">
        <v>13.7850229538177</v>
      </c>
    </row>
    <row r="4176" spans="1:37" x14ac:dyDescent="0.2">
      <c r="A4176" t="str">
        <f>"20200111153734447"</f>
        <v>20200111153734447</v>
      </c>
      <c r="B4176" t="str">
        <f>"1578728254437332"</f>
        <v>1578728254437332</v>
      </c>
      <c r="C4176" t="s">
        <v>37</v>
      </c>
      <c r="D4176">
        <v>5.8651330000000002</v>
      </c>
      <c r="E4176">
        <v>0.53341819999999995</v>
      </c>
      <c r="F4176" t="s">
        <v>39</v>
      </c>
      <c r="G4176">
        <v>-376.23399999999998</v>
      </c>
      <c r="H4176" s="1">
        <v>-2.1039829999999998E-6</v>
      </c>
      <c r="I4176">
        <v>141.51820000000001</v>
      </c>
      <c r="J4176">
        <v>-361.85039999999998</v>
      </c>
      <c r="K4176">
        <v>1.1035469999999901</v>
      </c>
      <c r="L4176">
        <v>141.31299999999999</v>
      </c>
      <c r="M4176">
        <v>-0.9989808</v>
      </c>
      <c r="N4176">
        <v>0</v>
      </c>
      <c r="O4176">
        <v>4.2152160000000001E-2</v>
      </c>
      <c r="P4176">
        <v>-0.99540759999999995</v>
      </c>
      <c r="Q4176">
        <v>6.19001E-2</v>
      </c>
      <c r="R4176">
        <v>-7.3022190000000001E-2</v>
      </c>
      <c r="S4176">
        <v>-3.031158</v>
      </c>
      <c r="T4176">
        <v>-0.22471729999999901</v>
      </c>
      <c r="U4176">
        <v>4.6127319999999999E-2</v>
      </c>
      <c r="V4176">
        <v>-0.11473940000000001</v>
      </c>
      <c r="W4176">
        <v>7.8169450000000001E-2</v>
      </c>
      <c r="X4176">
        <v>0.99031530000000001</v>
      </c>
      <c r="Y4176">
        <v>-2.676133E-2</v>
      </c>
      <c r="Z4176">
        <v>-4.110552E-3</v>
      </c>
      <c r="AA4176">
        <v>0.99963340000000001</v>
      </c>
      <c r="AB4176">
        <v>53</v>
      </c>
      <c r="AC4176">
        <v>-14.383599999999999</v>
      </c>
      <c r="AD4176">
        <v>-1.1035491039830001</v>
      </c>
      <c r="AE4176">
        <v>0.20520000000001901</v>
      </c>
      <c r="AF4176">
        <v>-0.39901297730056701</v>
      </c>
      <c r="AG4176">
        <v>-1.1035491039830001</v>
      </c>
      <c r="AH4176">
        <v>14.295332706474101</v>
      </c>
      <c r="AI4176">
        <v>94.412564925525601</v>
      </c>
      <c r="AJ4176">
        <v>91.5988312912758</v>
      </c>
      <c r="AK4176">
        <v>14.343415533607899</v>
      </c>
    </row>
    <row r="4177" spans="1:37" x14ac:dyDescent="0.2">
      <c r="A4177" t="str">
        <f>"20200111153734469"</f>
        <v>20200111153734469</v>
      </c>
      <c r="B4177" t="str">
        <f>"1578728254456853"</f>
        <v>1578728254456853</v>
      </c>
      <c r="C4177" t="s">
        <v>37</v>
      </c>
      <c r="D4177">
        <v>6.0413239999999897</v>
      </c>
      <c r="E4177">
        <v>0.5335801</v>
      </c>
      <c r="F4177" t="s">
        <v>39</v>
      </c>
      <c r="G4177">
        <v>-377.9846</v>
      </c>
      <c r="H4177" s="1">
        <v>-1.387037E-6</v>
      </c>
      <c r="I4177">
        <v>141.6463</v>
      </c>
      <c r="J4177">
        <v>-362.37729999999999</v>
      </c>
      <c r="K4177">
        <v>1.103629</v>
      </c>
      <c r="L4177">
        <v>141.3356</v>
      </c>
      <c r="M4177">
        <v>-0.9989517</v>
      </c>
      <c r="N4177">
        <v>0</v>
      </c>
      <c r="O4177">
        <v>4.2705020000000003E-2</v>
      </c>
      <c r="P4177">
        <v>-0.99537710000000001</v>
      </c>
      <c r="Q4177">
        <v>6.186548E-2</v>
      </c>
      <c r="R4177">
        <v>-7.3467699999999997E-2</v>
      </c>
      <c r="S4177">
        <v>-3.0313720000000002</v>
      </c>
      <c r="T4177">
        <v>-0.207340099999999</v>
      </c>
      <c r="U4177">
        <v>6.2637330000000005E-2</v>
      </c>
      <c r="V4177">
        <v>-0.1157353</v>
      </c>
      <c r="W4177">
        <v>7.8476539999999997E-2</v>
      </c>
      <c r="X4177">
        <v>0.99017509999999997</v>
      </c>
      <c r="Y4177">
        <v>-2.1911099999999999E-2</v>
      </c>
      <c r="Z4177">
        <v>-3.665017E-3</v>
      </c>
      <c r="AA4177">
        <v>0.99975319999999901</v>
      </c>
      <c r="AB4177">
        <v>53</v>
      </c>
      <c r="AC4177">
        <v>-15.6073</v>
      </c>
      <c r="AD4177">
        <v>-1.1036303870369999</v>
      </c>
      <c r="AE4177">
        <v>0.31069999999999698</v>
      </c>
      <c r="AF4177">
        <v>-0.35441272075264502</v>
      </c>
      <c r="AG4177">
        <v>-1.1036303870369999</v>
      </c>
      <c r="AH4177">
        <v>15.528711538896101</v>
      </c>
      <c r="AI4177">
        <v>94.064138948841503</v>
      </c>
      <c r="AJ4177">
        <v>91.307438054300405</v>
      </c>
      <c r="AK4177">
        <v>15.571913513311999</v>
      </c>
    </row>
    <row r="4178" spans="1:37" x14ac:dyDescent="0.2">
      <c r="A4178" t="str">
        <f>"20200111153734492"</f>
        <v>20200111153734492</v>
      </c>
      <c r="B4178" t="str">
        <f>"1578728254487109"</f>
        <v>1578728254487109</v>
      </c>
      <c r="C4178" t="s">
        <v>37</v>
      </c>
      <c r="D4178">
        <v>6.0420230000000004</v>
      </c>
      <c r="E4178">
        <v>0.53332349999999995</v>
      </c>
      <c r="F4178" t="s">
        <v>39</v>
      </c>
      <c r="G4178">
        <v>-379.25099999999998</v>
      </c>
      <c r="H4178" s="1">
        <v>-8.5310210000000003E-7</v>
      </c>
      <c r="I4178">
        <v>141.6814</v>
      </c>
      <c r="J4178">
        <v>-362.91800000000001</v>
      </c>
      <c r="K4178">
        <v>1.1037139999999901</v>
      </c>
      <c r="L4178">
        <v>141.35910000000001</v>
      </c>
      <c r="M4178">
        <v>-0.99892139999999996</v>
      </c>
      <c r="N4178">
        <v>0</v>
      </c>
      <c r="O4178">
        <v>4.3256410000000002E-2</v>
      </c>
      <c r="P4178">
        <v>-0.99535069999999903</v>
      </c>
      <c r="Q4178">
        <v>6.1889470000000002E-2</v>
      </c>
      <c r="R4178">
        <v>-7.3802999999999994E-2</v>
      </c>
      <c r="S4178">
        <v>-3.030853</v>
      </c>
      <c r="T4178">
        <v>-0.19823370000000001</v>
      </c>
      <c r="U4178">
        <v>6.2118529999999998E-2</v>
      </c>
      <c r="V4178">
        <v>-0.11662019999999999</v>
      </c>
      <c r="W4178">
        <v>7.8876340000000003E-2</v>
      </c>
      <c r="X4178">
        <v>0.99003949999999996</v>
      </c>
      <c r="Y4178">
        <v>-2.2640899999999999E-2</v>
      </c>
      <c r="Z4178">
        <v>-3.5648579999999902E-3</v>
      </c>
      <c r="AA4178">
        <v>0.99973729999999905</v>
      </c>
      <c r="AB4178">
        <v>53</v>
      </c>
      <c r="AC4178">
        <v>-16.332999999999899</v>
      </c>
      <c r="AD4178">
        <v>-1.1037148531020999</v>
      </c>
      <c r="AE4178">
        <v>0.32229999999998399</v>
      </c>
      <c r="AF4178">
        <v>-0.38286172155263798</v>
      </c>
      <c r="AG4178">
        <v>-1.1037148531020999</v>
      </c>
      <c r="AH4178">
        <v>16.257441104648301</v>
      </c>
      <c r="AI4178">
        <v>93.882767678182304</v>
      </c>
      <c r="AJ4178">
        <v>91.349062665591902</v>
      </c>
      <c r="AK4178">
        <v>16.2993607496091</v>
      </c>
    </row>
    <row r="4179" spans="1:37" x14ac:dyDescent="0.2">
      <c r="A4179" t="str">
        <f>"20200111153734515"</f>
        <v>20200111153734515</v>
      </c>
      <c r="B4179" t="str">
        <f>"1578728254507604"</f>
        <v>1578728254507604</v>
      </c>
      <c r="C4179" t="s">
        <v>37</v>
      </c>
      <c r="D4179">
        <v>5.9531589999999897</v>
      </c>
      <c r="E4179">
        <v>0.53342080000000003</v>
      </c>
      <c r="F4179" t="s">
        <v>39</v>
      </c>
      <c r="G4179">
        <v>-380.15179999999998</v>
      </c>
      <c r="H4179" s="1">
        <v>-4.592813E-6</v>
      </c>
      <c r="I4179">
        <v>141.6934</v>
      </c>
      <c r="J4179">
        <v>-363.45690000000002</v>
      </c>
      <c r="K4179">
        <v>1.10381</v>
      </c>
      <c r="L4179">
        <v>141.38290000000001</v>
      </c>
      <c r="M4179">
        <v>-0.99889079999999997</v>
      </c>
      <c r="N4179">
        <v>0</v>
      </c>
      <c r="O4179">
        <v>4.379272E-2</v>
      </c>
      <c r="P4179">
        <v>-0.99537399999999998</v>
      </c>
      <c r="Q4179">
        <v>6.102142E-2</v>
      </c>
      <c r="R4179">
        <v>-7.4208650000000001E-2</v>
      </c>
      <c r="S4179">
        <v>-3.0303960000000001</v>
      </c>
      <c r="T4179">
        <v>-0.19407839999999901</v>
      </c>
      <c r="U4179">
        <v>5.8792110000000002E-2</v>
      </c>
      <c r="V4179">
        <v>-0.1175662</v>
      </c>
      <c r="W4179">
        <v>7.8423779999999998E-2</v>
      </c>
      <c r="X4179">
        <v>0.98996360000000005</v>
      </c>
      <c r="Y4179">
        <v>-2.4273159999999998E-2</v>
      </c>
      <c r="Z4179">
        <v>-3.5773809999999902E-3</v>
      </c>
      <c r="AA4179">
        <v>0.99969889999999995</v>
      </c>
      <c r="AB4179">
        <v>53</v>
      </c>
      <c r="AC4179">
        <v>-16.694899999999901</v>
      </c>
      <c r="AD4179">
        <v>-1.1038145928129901</v>
      </c>
      <c r="AE4179">
        <v>0.31049999999999001</v>
      </c>
      <c r="AF4179">
        <v>-0.41919067897144602</v>
      </c>
      <c r="AG4179">
        <v>-1.1038145928129901</v>
      </c>
      <c r="AH4179">
        <v>16.619850860185199</v>
      </c>
      <c r="AI4179">
        <v>93.798539149029807</v>
      </c>
      <c r="AJ4179">
        <v>91.444824370808306</v>
      </c>
      <c r="AK4179">
        <v>16.6617397079489</v>
      </c>
    </row>
    <row r="4180" spans="1:37" x14ac:dyDescent="0.2">
      <c r="A4180" t="str">
        <f>"20200111153734537"</f>
        <v>20200111153734537</v>
      </c>
      <c r="B4180" t="str">
        <f>"1578728254527124"</f>
        <v>1578728254527124</v>
      </c>
      <c r="C4180" t="s">
        <v>37</v>
      </c>
      <c r="D4180">
        <v>5.8115410000000001</v>
      </c>
      <c r="E4180">
        <v>0.53266709999999995</v>
      </c>
      <c r="F4180" t="s">
        <v>39</v>
      </c>
      <c r="G4180">
        <v>-379.84100000000001</v>
      </c>
      <c r="H4180" s="1">
        <v>-6.051769E-7</v>
      </c>
      <c r="I4180">
        <v>141.70070000000001</v>
      </c>
      <c r="J4180">
        <v>-363.97570000000002</v>
      </c>
      <c r="K4180">
        <v>1.1039030000000001</v>
      </c>
      <c r="L4180">
        <v>141.40600000000001</v>
      </c>
      <c r="M4180">
        <v>-0.99886079999999999</v>
      </c>
      <c r="N4180">
        <v>0</v>
      </c>
      <c r="O4180">
        <v>4.4295519999999998E-2</v>
      </c>
      <c r="P4180">
        <v>-0.99535910000000005</v>
      </c>
      <c r="Q4180">
        <v>6.0468580000000001E-2</v>
      </c>
      <c r="R4180">
        <v>-7.4858729999999998E-2</v>
      </c>
      <c r="S4180">
        <v>-3.030853</v>
      </c>
      <c r="T4180">
        <v>-0.2041924</v>
      </c>
      <c r="U4180">
        <v>5.8807369999999998E-2</v>
      </c>
      <c r="V4180">
        <v>-0.11872049999999899</v>
      </c>
      <c r="W4180">
        <v>7.8295429999999999E-2</v>
      </c>
      <c r="X4180">
        <v>0.98983600000000005</v>
      </c>
      <c r="Y4180">
        <v>-2.4757540000000001E-2</v>
      </c>
      <c r="Z4180">
        <v>-3.8129539999999999E-3</v>
      </c>
      <c r="AA4180">
        <v>0.99968619999999997</v>
      </c>
      <c r="AB4180">
        <v>53</v>
      </c>
      <c r="AC4180">
        <v>-15.8652999999999</v>
      </c>
      <c r="AD4180">
        <v>-1.10390360517689</v>
      </c>
      <c r="AE4180">
        <v>0.29470000000000601</v>
      </c>
      <c r="AF4180">
        <v>-0.40649447553617302</v>
      </c>
      <c r="AG4180">
        <v>-1.10390360517689</v>
      </c>
      <c r="AH4180">
        <v>15.786377909969801</v>
      </c>
      <c r="AI4180">
        <v>93.998724091078998</v>
      </c>
      <c r="AJ4180">
        <v>91.475023116522095</v>
      </c>
      <c r="AK4180">
        <v>15.8301474549212</v>
      </c>
    </row>
    <row r="4181" spans="1:37" x14ac:dyDescent="0.2">
      <c r="A4181" t="str">
        <f>"20200111153734559"</f>
        <v>20200111153734559</v>
      </c>
      <c r="B4181" t="str">
        <f>"1578728254547620"</f>
        <v>1578728254547620</v>
      </c>
      <c r="C4181" t="s">
        <v>37</v>
      </c>
      <c r="D4181">
        <v>5.8621099999999897</v>
      </c>
      <c r="E4181">
        <v>0.53239399999999903</v>
      </c>
      <c r="F4181" t="s">
        <v>39</v>
      </c>
      <c r="G4181">
        <v>-379.64150000000001</v>
      </c>
      <c r="H4181" s="1">
        <v>-6.8295899999999999E-7</v>
      </c>
      <c r="I4181">
        <v>141.67150000000001</v>
      </c>
      <c r="J4181">
        <v>-364.483</v>
      </c>
      <c r="K4181">
        <v>1.10399</v>
      </c>
      <c r="L4181">
        <v>141.4289</v>
      </c>
      <c r="M4181">
        <v>-0.99883199999999905</v>
      </c>
      <c r="N4181">
        <v>0</v>
      </c>
      <c r="O4181">
        <v>4.4769129999999997E-2</v>
      </c>
      <c r="P4181">
        <v>-0.99533130000000003</v>
      </c>
      <c r="Q4181">
        <v>6.0252630000000001E-2</v>
      </c>
      <c r="R4181">
        <v>-7.5400990000000001E-2</v>
      </c>
      <c r="S4181">
        <v>-3.0308229999999998</v>
      </c>
      <c r="T4181">
        <v>-0.21357010000000001</v>
      </c>
      <c r="U4181">
        <v>5.137634E-2</v>
      </c>
      <c r="V4181">
        <v>-0.1197371</v>
      </c>
      <c r="W4181">
        <v>7.8498419999999999E-2</v>
      </c>
      <c r="X4181">
        <v>0.98969750000000001</v>
      </c>
      <c r="Y4181">
        <v>-2.7658769999999999E-2</v>
      </c>
      <c r="Z4181">
        <v>-4.1232279999999996E-3</v>
      </c>
      <c r="AA4181">
        <v>0.99960890000000002</v>
      </c>
      <c r="AB4181">
        <v>53</v>
      </c>
      <c r="AC4181">
        <v>-15.1585</v>
      </c>
      <c r="AD4181">
        <v>-1.103990682959</v>
      </c>
      <c r="AE4181">
        <v>0.24260000000001</v>
      </c>
      <c r="AF4181">
        <v>-0.43408641917332702</v>
      </c>
      <c r="AG4181">
        <v>-1.103990682959</v>
      </c>
      <c r="AH4181">
        <v>15.0742233006301</v>
      </c>
      <c r="AI4181">
        <v>94.186962519017499</v>
      </c>
      <c r="AJ4181">
        <v>91.649467961628304</v>
      </c>
      <c r="AK4181">
        <v>15.120827839924299</v>
      </c>
    </row>
    <row r="4182" spans="1:37" x14ac:dyDescent="0.2">
      <c r="A4182" t="str">
        <f>"20200111153734582"</f>
        <v>20200111153734582</v>
      </c>
      <c r="B4182" t="str">
        <f>"1578728254576901"</f>
        <v>1578728254576901</v>
      </c>
      <c r="C4182" t="s">
        <v>37</v>
      </c>
      <c r="D4182">
        <v>6.0337690000000004</v>
      </c>
      <c r="E4182">
        <v>0.53240169999999998</v>
      </c>
      <c r="F4182" t="s">
        <v>39</v>
      </c>
      <c r="G4182">
        <v>-379.78250000000003</v>
      </c>
      <c r="H4182" s="1">
        <v>-6.2221050000000002E-7</v>
      </c>
      <c r="I4182">
        <v>141.6704</v>
      </c>
      <c r="J4182">
        <v>-365.01459999999997</v>
      </c>
      <c r="K4182">
        <v>1.104082</v>
      </c>
      <c r="L4182">
        <v>141.45310000000001</v>
      </c>
      <c r="M4182">
        <v>-0.99880239999999998</v>
      </c>
      <c r="N4182">
        <v>0</v>
      </c>
      <c r="O4182">
        <v>4.5239300000000003E-2</v>
      </c>
      <c r="P4182">
        <v>-0.99524099999999904</v>
      </c>
      <c r="Q4182">
        <v>6.0303839999999997E-2</v>
      </c>
      <c r="R4182">
        <v>-7.6544609999999999E-2</v>
      </c>
      <c r="S4182">
        <v>-3.0309750000000002</v>
      </c>
      <c r="T4182">
        <v>-0.21871160000000001</v>
      </c>
      <c r="U4182">
        <v>4.7866819999999997E-2</v>
      </c>
      <c r="V4182">
        <v>-0.1213481</v>
      </c>
      <c r="W4182">
        <v>7.8988039999999995E-2</v>
      </c>
      <c r="X4182">
        <v>0.98946229999999902</v>
      </c>
      <c r="Y4182">
        <v>-2.9273489999999999E-2</v>
      </c>
      <c r="Z4182">
        <v>-4.3141459999999996E-3</v>
      </c>
      <c r="AA4182">
        <v>0.99956209999999901</v>
      </c>
      <c r="AB4182">
        <v>53</v>
      </c>
      <c r="AC4182">
        <v>-14.767899999999999</v>
      </c>
      <c r="AD4182">
        <v>-1.1040826222105</v>
      </c>
      <c r="AE4182">
        <v>0.217299999999994</v>
      </c>
      <c r="AF4182">
        <v>-0.44862103081538801</v>
      </c>
      <c r="AG4182">
        <v>-1.1040826222105</v>
      </c>
      <c r="AH4182">
        <v>14.6805693620467</v>
      </c>
      <c r="AI4182">
        <v>94.298951802719202</v>
      </c>
      <c r="AJ4182">
        <v>91.750347300919302</v>
      </c>
      <c r="AK4182">
        <v>14.728862008309401</v>
      </c>
    </row>
    <row r="4183" spans="1:37" x14ac:dyDescent="0.2">
      <c r="A4183" t="str">
        <f>"20200111153734605"</f>
        <v>20200111153734605</v>
      </c>
      <c r="B4183" t="str">
        <f>"1578728254597399"</f>
        <v>1578728254597399</v>
      </c>
      <c r="C4183" t="s">
        <v>37</v>
      </c>
      <c r="D4183">
        <v>6.0922489999999998</v>
      </c>
      <c r="E4183">
        <v>0.53232800000000002</v>
      </c>
      <c r="F4183" t="s">
        <v>39</v>
      </c>
      <c r="G4183">
        <v>-380.4769</v>
      </c>
      <c r="H4183" s="1">
        <v>-4.4798270000000004E-6</v>
      </c>
      <c r="I4183">
        <v>141.68</v>
      </c>
      <c r="J4183">
        <v>-365.54739999999998</v>
      </c>
      <c r="K4183">
        <v>1.1041700000000001</v>
      </c>
      <c r="L4183">
        <v>141.4776</v>
      </c>
      <c r="M4183">
        <v>-0.99877380000000004</v>
      </c>
      <c r="N4183">
        <v>0</v>
      </c>
      <c r="O4183">
        <v>4.56815E-2</v>
      </c>
      <c r="P4183">
        <v>-0.9951468</v>
      </c>
      <c r="Q4183">
        <v>6.0343750000000002E-2</v>
      </c>
      <c r="R4183">
        <v>-7.7730179999999996E-2</v>
      </c>
      <c r="S4183">
        <v>-3.030853</v>
      </c>
      <c r="T4183">
        <v>-0.21642020000000001</v>
      </c>
      <c r="U4183">
        <v>4.449463E-2</v>
      </c>
      <c r="V4183">
        <v>-0.1229719</v>
      </c>
      <c r="W4183">
        <v>7.946338E-2</v>
      </c>
      <c r="X4183">
        <v>0.98922369999999904</v>
      </c>
      <c r="Y4183">
        <v>-3.0826559999999999E-2</v>
      </c>
      <c r="Z4183">
        <v>-4.3562029999999899E-3</v>
      </c>
      <c r="AA4183">
        <v>0.99951520000000005</v>
      </c>
      <c r="AB4183">
        <v>52</v>
      </c>
      <c r="AC4183">
        <v>-14.929500000000001</v>
      </c>
      <c r="AD4183">
        <v>-1.1041744798269999</v>
      </c>
      <c r="AE4183">
        <v>0.20240000000001099</v>
      </c>
      <c r="AF4183">
        <v>-0.47732703259056403</v>
      </c>
      <c r="AG4183">
        <v>-1.1041744798269999</v>
      </c>
      <c r="AH4183">
        <v>14.841986079421</v>
      </c>
      <c r="AI4183">
        <v>94.252510081330797</v>
      </c>
      <c r="AJ4183">
        <v>91.842031189105597</v>
      </c>
      <c r="AK4183">
        <v>14.890654557797999</v>
      </c>
    </row>
    <row r="4184" spans="1:37" x14ac:dyDescent="0.2">
      <c r="A4184" t="str">
        <f>"20200111153734627"</f>
        <v>20200111153734627</v>
      </c>
      <c r="B4184" t="str">
        <f>"1578728254617520"</f>
        <v>1578728254617520</v>
      </c>
      <c r="C4184" t="s">
        <v>37</v>
      </c>
      <c r="D4184">
        <v>5.8865669999999897</v>
      </c>
      <c r="E4184">
        <v>0.53228959999999903</v>
      </c>
      <c r="F4184" t="s">
        <v>39</v>
      </c>
      <c r="G4184">
        <v>-381.30849999999998</v>
      </c>
      <c r="H4184" s="1">
        <v>-4.1980369999999998E-6</v>
      </c>
      <c r="I4184">
        <v>141.68690000000001</v>
      </c>
      <c r="J4184">
        <v>-366.0686</v>
      </c>
      <c r="K4184">
        <v>1.1042510000000001</v>
      </c>
      <c r="L4184">
        <v>141.5018</v>
      </c>
      <c r="M4184">
        <v>-0.99874680000000005</v>
      </c>
      <c r="N4184">
        <v>0</v>
      </c>
      <c r="O4184">
        <v>4.6090270000000003E-2</v>
      </c>
      <c r="P4184">
        <v>-0.99508680000000005</v>
      </c>
      <c r="Q4184">
        <v>5.93365E-2</v>
      </c>
      <c r="R4184">
        <v>-7.9258229999999999E-2</v>
      </c>
      <c r="S4184">
        <v>-3.0306700000000002</v>
      </c>
      <c r="T4184">
        <v>-0.21231990000000001</v>
      </c>
      <c r="U4184">
        <v>4.0252690000000001E-2</v>
      </c>
      <c r="V4184">
        <v>-0.124909199999999</v>
      </c>
      <c r="W4184">
        <v>7.8869679999999998E-2</v>
      </c>
      <c r="X4184">
        <v>0.98902849999999998</v>
      </c>
      <c r="Y4184">
        <v>-3.263564E-2</v>
      </c>
      <c r="Z4184">
        <v>-4.3660929999999997E-3</v>
      </c>
      <c r="AA4184">
        <v>0.99945779999999995</v>
      </c>
      <c r="AB4184">
        <v>52</v>
      </c>
      <c r="AC4184">
        <v>-15.239899999999899</v>
      </c>
      <c r="AD4184">
        <v>-1.1042551980369999</v>
      </c>
      <c r="AE4184">
        <v>0.18510000000000501</v>
      </c>
      <c r="AF4184">
        <v>-0.51493844431621405</v>
      </c>
      <c r="AG4184">
        <v>-1.1042551980369999</v>
      </c>
      <c r="AH4184">
        <v>15.152688305322901</v>
      </c>
      <c r="AI4184">
        <v>94.165677014388905</v>
      </c>
      <c r="AJ4184">
        <v>91.946350984159807</v>
      </c>
      <c r="AK4184">
        <v>15.201595443311</v>
      </c>
    </row>
    <row r="4185" spans="1:37" x14ac:dyDescent="0.2">
      <c r="A4185" t="str">
        <f>"20200111153734649"</f>
        <v>20200111153734649</v>
      </c>
      <c r="B4185" t="str">
        <f>"1578728254637040"</f>
        <v>1578728254637040</v>
      </c>
      <c r="C4185" t="s">
        <v>37</v>
      </c>
      <c r="D4185">
        <v>5.8478870000000001</v>
      </c>
      <c r="E4185">
        <v>0.53226110000000004</v>
      </c>
      <c r="F4185" t="s">
        <v>39</v>
      </c>
      <c r="G4185">
        <v>-381.77319999999997</v>
      </c>
      <c r="H4185" s="1">
        <v>-4.0396700000000001E-6</v>
      </c>
      <c r="I4185">
        <v>141.68559999999999</v>
      </c>
      <c r="J4185">
        <v>-366.58199999999999</v>
      </c>
      <c r="K4185">
        <v>1.1043229999999999</v>
      </c>
      <c r="L4185">
        <v>141.5258</v>
      </c>
      <c r="M4185">
        <v>-0.99872109999999903</v>
      </c>
      <c r="N4185">
        <v>0</v>
      </c>
      <c r="O4185">
        <v>4.6469940000000001E-2</v>
      </c>
      <c r="P4185">
        <v>-0.99495710000000004</v>
      </c>
      <c r="Q4185">
        <v>5.896581E-2</v>
      </c>
      <c r="R4185">
        <v>-8.1137399999999901E-2</v>
      </c>
      <c r="S4185">
        <v>-3.0303040000000001</v>
      </c>
      <c r="T4185">
        <v>-0.21307419999999999</v>
      </c>
      <c r="U4185">
        <v>3.5476679999999997E-2</v>
      </c>
      <c r="V4185">
        <v>-0.127164</v>
      </c>
      <c r="W4185">
        <v>7.8883449999999994E-2</v>
      </c>
      <c r="X4185">
        <v>0.98873999999999995</v>
      </c>
      <c r="Y4185">
        <v>-3.4582099999999998E-2</v>
      </c>
      <c r="Z4185">
        <v>-4.4771809999999898E-3</v>
      </c>
      <c r="AA4185">
        <v>0.9993919</v>
      </c>
      <c r="AB4185">
        <v>52</v>
      </c>
      <c r="AC4185">
        <v>-15.191199999999901</v>
      </c>
      <c r="AD4185">
        <v>-1.10432703967</v>
      </c>
      <c r="AE4185">
        <v>0.15979999999998901</v>
      </c>
      <c r="AF4185">
        <v>-0.54357467061686005</v>
      </c>
      <c r="AG4185">
        <v>-1.10432703967</v>
      </c>
      <c r="AH4185">
        <v>15.1024084326225</v>
      </c>
      <c r="AI4185">
        <v>94.179475099978703</v>
      </c>
      <c r="AJ4185">
        <v>92.061333208193602</v>
      </c>
      <c r="AK4185">
        <v>15.152483364083601</v>
      </c>
    </row>
    <row r="4186" spans="1:37" x14ac:dyDescent="0.2">
      <c r="A4186" t="str">
        <f>"20200111153734672"</f>
        <v>20200111153734672</v>
      </c>
      <c r="B4186" t="str">
        <f>"1578728254667296"</f>
        <v>1578728254667296</v>
      </c>
      <c r="C4186" t="s">
        <v>37</v>
      </c>
      <c r="D4186">
        <v>5.9155629999999997</v>
      </c>
      <c r="E4186">
        <v>0.53231430000000002</v>
      </c>
      <c r="F4186" t="s">
        <v>39</v>
      </c>
      <c r="G4186">
        <v>-381.85890000000001</v>
      </c>
      <c r="H4186" s="1">
        <v>-4.0088230000000001E-6</v>
      </c>
      <c r="I4186">
        <v>141.67619999999999</v>
      </c>
      <c r="J4186">
        <v>-367.09480000000002</v>
      </c>
      <c r="K4186">
        <v>1.1044049999999901</v>
      </c>
      <c r="L4186">
        <v>141.55000000000001</v>
      </c>
      <c r="M4186">
        <v>-0.9986971</v>
      </c>
      <c r="N4186">
        <v>0</v>
      </c>
      <c r="O4186">
        <v>4.6821340000000003E-2</v>
      </c>
      <c r="P4186">
        <v>-0.99476989999999998</v>
      </c>
      <c r="Q4186">
        <v>5.8951299999999998E-2</v>
      </c>
      <c r="R4186">
        <v>-8.3412340000000001E-2</v>
      </c>
      <c r="S4186">
        <v>-3.0305789999999999</v>
      </c>
      <c r="T4186">
        <v>-0.2190724</v>
      </c>
      <c r="U4186">
        <v>2.9846190000000002E-2</v>
      </c>
      <c r="V4186">
        <v>-0.12978319999999999</v>
      </c>
      <c r="W4186">
        <v>7.9230460000000003E-2</v>
      </c>
      <c r="X4186">
        <v>0.98837180000000002</v>
      </c>
      <c r="Y4186">
        <v>-3.6773630000000002E-2</v>
      </c>
      <c r="Z4186">
        <v>-4.7070409999999899E-3</v>
      </c>
      <c r="AA4186">
        <v>0.99931250000000005</v>
      </c>
      <c r="AB4186">
        <v>52</v>
      </c>
      <c r="AC4186">
        <v>-14.7640999999999</v>
      </c>
      <c r="AD4186">
        <v>-1.1044090088230001</v>
      </c>
      <c r="AE4186">
        <v>0.12619999999998299</v>
      </c>
      <c r="AF4186">
        <v>-0.56221014098448197</v>
      </c>
      <c r="AG4186">
        <v>-1.1044090088230001</v>
      </c>
      <c r="AH4186">
        <v>14.671720364878301</v>
      </c>
      <c r="AI4186">
        <v>94.301657611087293</v>
      </c>
      <c r="AJ4186">
        <v>92.194460830243301</v>
      </c>
      <c r="AK4186">
        <v>14.7239661085789</v>
      </c>
    </row>
    <row r="4187" spans="1:37" x14ac:dyDescent="0.2">
      <c r="A4187" t="str">
        <f>"20200111153734695"</f>
        <v>20200111153734695</v>
      </c>
      <c r="B4187" t="str">
        <f>"1578728254686819"</f>
        <v>1578728254686819</v>
      </c>
      <c r="C4187" t="s">
        <v>37</v>
      </c>
      <c r="D4187">
        <v>5.9359699999999904</v>
      </c>
      <c r="E4187">
        <v>0.53252900000000003</v>
      </c>
      <c r="F4187" t="s">
        <v>39</v>
      </c>
      <c r="G4187">
        <v>-382.0419</v>
      </c>
      <c r="H4187" s="1">
        <v>-3.941934E-6</v>
      </c>
      <c r="I4187">
        <v>141.66679999999999</v>
      </c>
      <c r="J4187">
        <v>-367.62220000000002</v>
      </c>
      <c r="K4187">
        <v>1.104495</v>
      </c>
      <c r="L4187">
        <v>141.57499999999999</v>
      </c>
      <c r="M4187">
        <v>-0.99867439999999996</v>
      </c>
      <c r="N4187">
        <v>0</v>
      </c>
      <c r="O4187">
        <v>4.7144329999999998E-2</v>
      </c>
      <c r="P4187">
        <v>-0.99453150000000001</v>
      </c>
      <c r="Q4187">
        <v>5.9474979999999997E-2</v>
      </c>
      <c r="R4187">
        <v>-8.5850170000000003E-2</v>
      </c>
      <c r="S4187">
        <v>-3.0310359999999998</v>
      </c>
      <c r="T4187">
        <v>-0.22395899999999999</v>
      </c>
      <c r="U4187">
        <v>2.36969E-2</v>
      </c>
      <c r="V4187">
        <v>-0.13253570000000001</v>
      </c>
      <c r="W4187">
        <v>8.0100290000000005E-2</v>
      </c>
      <c r="X4187">
        <v>0.98793639999999905</v>
      </c>
      <c r="Y4187">
        <v>-3.9108759999999999E-2</v>
      </c>
      <c r="Z4187">
        <v>-4.9211029999999996E-3</v>
      </c>
      <c r="AA4187">
        <v>0.99922279999999997</v>
      </c>
      <c r="AB4187">
        <v>52</v>
      </c>
      <c r="AC4187">
        <v>-14.419699999999899</v>
      </c>
      <c r="AD4187">
        <v>-1.1044989419339999</v>
      </c>
      <c r="AE4187">
        <v>9.1800000000006293E-2</v>
      </c>
      <c r="AF4187">
        <v>-0.58482331274536903</v>
      </c>
      <c r="AG4187">
        <v>-1.1044989419339999</v>
      </c>
      <c r="AH4187">
        <v>14.323952857827599</v>
      </c>
      <c r="AI4187">
        <v>94.405612374025097</v>
      </c>
      <c r="AJ4187">
        <v>92.337993415717094</v>
      </c>
      <c r="AK4187">
        <v>14.3783713157343</v>
      </c>
    </row>
    <row r="4188" spans="1:37" x14ac:dyDescent="0.2">
      <c r="A4188" t="str">
        <f>"20200111153734716"</f>
        <v>20200111153734716</v>
      </c>
      <c r="B4188" t="str">
        <f>"1578728254707314"</f>
        <v>1578728254707314</v>
      </c>
      <c r="C4188" t="s">
        <v>37</v>
      </c>
      <c r="D4188">
        <v>5.9284030000000003</v>
      </c>
      <c r="E4188">
        <v>0.53268490000000002</v>
      </c>
      <c r="F4188" t="s">
        <v>39</v>
      </c>
      <c r="G4188">
        <v>-382.56049999999999</v>
      </c>
      <c r="H4188" s="1">
        <v>-3.7187559999999999E-6</v>
      </c>
      <c r="I4188">
        <v>141.6643</v>
      </c>
      <c r="J4188">
        <v>-368.11509999999998</v>
      </c>
      <c r="K4188">
        <v>1.1045849999999999</v>
      </c>
      <c r="L4188">
        <v>141.5985</v>
      </c>
      <c r="M4188">
        <v>-0.99865599999999999</v>
      </c>
      <c r="N4188">
        <v>0</v>
      </c>
      <c r="O4188">
        <v>4.7391259999999998E-2</v>
      </c>
      <c r="P4188">
        <v>-0.99425680000000005</v>
      </c>
      <c r="Q4188">
        <v>6.044414E-2</v>
      </c>
      <c r="R4188">
        <v>-8.8316610000000004E-2</v>
      </c>
      <c r="S4188">
        <v>-3.0314939999999999</v>
      </c>
      <c r="T4188">
        <v>-0.22414039999999999</v>
      </c>
      <c r="U4188">
        <v>1.8127440000000002E-2</v>
      </c>
      <c r="V4188">
        <v>-0.13524129999999901</v>
      </c>
      <c r="W4188">
        <v>8.1360269999999998E-2</v>
      </c>
      <c r="X4188">
        <v>0.98746659999999997</v>
      </c>
      <c r="Y4188">
        <v>-4.1186269999999997E-2</v>
      </c>
      <c r="Z4188">
        <v>-5.0193460000000001E-3</v>
      </c>
      <c r="AA4188">
        <v>0.99913890000000005</v>
      </c>
      <c r="AB4188">
        <v>51</v>
      </c>
      <c r="AC4188">
        <v>-14.445399999999999</v>
      </c>
      <c r="AD4188">
        <v>-1.104588718756</v>
      </c>
      <c r="AE4188">
        <v>6.5799999999995806E-2</v>
      </c>
      <c r="AF4188">
        <v>-0.61541210659460499</v>
      </c>
      <c r="AG4188">
        <v>-1.104588718756</v>
      </c>
      <c r="AH4188">
        <v>14.3483860653817</v>
      </c>
      <c r="AI4188">
        <v>94.398118262835496</v>
      </c>
      <c r="AJ4188">
        <v>92.455949970016803</v>
      </c>
      <c r="AK4188">
        <v>14.403993577469601</v>
      </c>
    </row>
    <row r="4189" spans="1:37" x14ac:dyDescent="0.2">
      <c r="A4189" t="str">
        <f>"20200111153734739"</f>
        <v>20200111153734739</v>
      </c>
      <c r="B4189" t="str">
        <f>"1578728254727291"</f>
        <v>1578728254727291</v>
      </c>
      <c r="C4189" t="s">
        <v>37</v>
      </c>
      <c r="D4189">
        <v>5.9307379999999998</v>
      </c>
      <c r="E4189">
        <v>0.53287130000000005</v>
      </c>
      <c r="F4189" t="s">
        <v>39</v>
      </c>
      <c r="G4189">
        <v>-383.07909999999998</v>
      </c>
      <c r="H4189" s="1">
        <v>-3.4949319999999998E-6</v>
      </c>
      <c r="I4189">
        <v>141.6591</v>
      </c>
      <c r="J4189">
        <v>-368.61689999999999</v>
      </c>
      <c r="K4189">
        <v>1.1046830000000001</v>
      </c>
      <c r="L4189">
        <v>141.6225</v>
      </c>
      <c r="M4189">
        <v>-0.9986408</v>
      </c>
      <c r="N4189">
        <v>0</v>
      </c>
      <c r="O4189">
        <v>4.7579240000000002E-2</v>
      </c>
      <c r="P4189">
        <v>-0.99381849999999905</v>
      </c>
      <c r="Q4189">
        <v>6.1494479999999997E-2</v>
      </c>
      <c r="R4189">
        <v>-9.2431399999999997E-2</v>
      </c>
      <c r="S4189">
        <v>-3.0320130000000001</v>
      </c>
      <c r="T4189">
        <v>-0.22381229999999999</v>
      </c>
      <c r="U4189">
        <v>1.229858E-2</v>
      </c>
      <c r="V4189">
        <v>-0.13952909999999999</v>
      </c>
      <c r="W4189">
        <v>8.2668569999999997E-2</v>
      </c>
      <c r="X4189">
        <v>0.98676119999999901</v>
      </c>
      <c r="Y4189">
        <v>-4.3290839999999997E-2</v>
      </c>
      <c r="Z4189">
        <v>-5.102667E-3</v>
      </c>
      <c r="AA4189">
        <v>0.99904950000000003</v>
      </c>
      <c r="AB4189">
        <v>51</v>
      </c>
      <c r="AC4189">
        <v>-14.4621999999999</v>
      </c>
      <c r="AD4189">
        <v>-1.1046864949320001</v>
      </c>
      <c r="AE4189">
        <v>3.6599999999992798E-2</v>
      </c>
      <c r="AF4189">
        <v>-0.64791748214621303</v>
      </c>
      <c r="AG4189">
        <v>-1.1046864949320001</v>
      </c>
      <c r="AH4189">
        <v>14.363749583455</v>
      </c>
      <c r="AI4189">
        <v>94.393393720266005</v>
      </c>
      <c r="AJ4189">
        <v>92.582737151574605</v>
      </c>
      <c r="AK4189">
        <v>14.4207292260815</v>
      </c>
    </row>
    <row r="4190" spans="1:37" x14ac:dyDescent="0.2">
      <c r="A4190" t="str">
        <f>"20200111153734773"</f>
        <v>20200111153734773</v>
      </c>
      <c r="B4190" t="str">
        <f>"1578728254767306"</f>
        <v>1578728254767306</v>
      </c>
      <c r="C4190" t="s">
        <v>37</v>
      </c>
      <c r="D4190">
        <v>5.797472</v>
      </c>
      <c r="E4190">
        <v>0.49386759999999902</v>
      </c>
      <c r="F4190" t="s">
        <v>39</v>
      </c>
      <c r="G4190">
        <v>-383.66289999999998</v>
      </c>
      <c r="H4190" s="1">
        <v>-3.237419E-6</v>
      </c>
      <c r="I4190">
        <v>141.6326</v>
      </c>
      <c r="J4190">
        <v>-369.38189999999997</v>
      </c>
      <c r="K4190">
        <v>1.10486</v>
      </c>
      <c r="L4190">
        <v>141.6591</v>
      </c>
      <c r="M4190">
        <v>-0.99862909999999905</v>
      </c>
      <c r="N4190">
        <v>0</v>
      </c>
      <c r="O4190">
        <v>4.7651979999999997E-2</v>
      </c>
      <c r="P4190">
        <v>-0.99334069999999997</v>
      </c>
      <c r="Q4190">
        <v>6.1898349999999998E-2</v>
      </c>
      <c r="R4190">
        <v>-9.717742E-2</v>
      </c>
      <c r="S4190">
        <v>-3.0326230000000001</v>
      </c>
      <c r="T4190">
        <v>-0.22265769999999999</v>
      </c>
      <c r="U4190">
        <v>2.0446779999999999E-3</v>
      </c>
      <c r="V4190">
        <v>-0.14435010000000001</v>
      </c>
      <c r="W4190">
        <v>8.3388489999999996E-2</v>
      </c>
      <c r="X4190">
        <v>0.98600679999999996</v>
      </c>
      <c r="Y4190">
        <v>-4.6735680000000002E-2</v>
      </c>
      <c r="Z4190">
        <v>-5.2071359999999898E-3</v>
      </c>
      <c r="AA4190">
        <v>0.9988937</v>
      </c>
      <c r="AB4190">
        <v>51</v>
      </c>
      <c r="AC4190">
        <v>-14.281000000000001</v>
      </c>
      <c r="AD4190">
        <v>-1.1048632374189999</v>
      </c>
      <c r="AE4190">
        <v>-2.6499999999998601E-2</v>
      </c>
      <c r="AF4190">
        <v>-0.70294008979050804</v>
      </c>
      <c r="AG4190">
        <v>-1.1048632374189999</v>
      </c>
      <c r="AH4190">
        <v>14.1786402415906</v>
      </c>
      <c r="AI4190">
        <v>94.450296032562605</v>
      </c>
      <c r="AJ4190">
        <v>92.838251787478399</v>
      </c>
      <c r="AK4190">
        <v>14.2389847476457</v>
      </c>
    </row>
    <row r="4191" spans="1:37" x14ac:dyDescent="0.2">
      <c r="A4191" t="str">
        <f>"20200111153734794"</f>
        <v>20200111153734794</v>
      </c>
      <c r="B4191" t="str">
        <f>"1578728254786826"</f>
        <v>1578728254786826</v>
      </c>
      <c r="C4191" t="s">
        <v>37</v>
      </c>
      <c r="D4191">
        <v>5.8981309999999896</v>
      </c>
      <c r="E4191">
        <v>0.483068</v>
      </c>
      <c r="F4191" t="s">
        <v>39</v>
      </c>
      <c r="G4191">
        <v>-386.77190000000002</v>
      </c>
      <c r="H4191" s="1">
        <v>-1.4113890000000001E-6</v>
      </c>
      <c r="I4191">
        <v>139.7824</v>
      </c>
      <c r="J4191">
        <v>-369.88659999999999</v>
      </c>
      <c r="K4191">
        <v>1.1050040000000001</v>
      </c>
      <c r="L4191">
        <v>141.6831</v>
      </c>
      <c r="M4191">
        <v>-0.99862989999999996</v>
      </c>
      <c r="N4191">
        <v>0</v>
      </c>
      <c r="O4191">
        <v>4.7532419999999999E-2</v>
      </c>
      <c r="P4191">
        <v>-0.99301609999999996</v>
      </c>
      <c r="Q4191">
        <v>6.1422959999999999E-2</v>
      </c>
      <c r="R4191">
        <v>-0.1007291</v>
      </c>
      <c r="S4191">
        <v>-3.000305</v>
      </c>
      <c r="T4191">
        <v>-0.1906235</v>
      </c>
      <c r="U4191">
        <v>-0.32377620000000001</v>
      </c>
      <c r="V4191">
        <v>-0.14779139999999999</v>
      </c>
      <c r="W4191">
        <v>8.3073439999999998E-2</v>
      </c>
      <c r="X4191">
        <v>0.9855235</v>
      </c>
      <c r="Y4191">
        <v>-0.15403729999999999</v>
      </c>
      <c r="Z4191">
        <v>-7.8843290000000007E-3</v>
      </c>
      <c r="AA4191">
        <v>0.98803359999999996</v>
      </c>
      <c r="AB4191">
        <v>51</v>
      </c>
      <c r="AC4191">
        <v>-16.885300000000001</v>
      </c>
      <c r="AD4191">
        <v>-1.105005411389</v>
      </c>
      <c r="AE4191">
        <v>-1.9007000000000001</v>
      </c>
      <c r="AF4191">
        <v>-2.6899660574884998</v>
      </c>
      <c r="AG4191">
        <v>-1.105005411389</v>
      </c>
      <c r="AH4191">
        <v>16.705191703773799</v>
      </c>
      <c r="AI4191">
        <v>93.736462168873501</v>
      </c>
      <c r="AJ4191">
        <v>99.1475720078611</v>
      </c>
      <c r="AK4191">
        <v>16.956426044702699</v>
      </c>
    </row>
    <row r="4192" spans="1:37" x14ac:dyDescent="0.2">
      <c r="A4192" t="str">
        <f>"20200111153734816"</f>
        <v>20200111153734816</v>
      </c>
      <c r="B4192" t="str">
        <f>"1578728254807326"</f>
        <v>1578728254807326</v>
      </c>
      <c r="C4192" t="s">
        <v>37</v>
      </c>
      <c r="D4192">
        <v>5.7889569999999999</v>
      </c>
      <c r="E4192">
        <v>0.43668849999999998</v>
      </c>
      <c r="F4192" t="s">
        <v>39</v>
      </c>
      <c r="G4192">
        <v>-387.52839999999998</v>
      </c>
      <c r="H4192" s="1">
        <v>-1.1171850000000001E-6</v>
      </c>
      <c r="I4192">
        <v>139.19579999999999</v>
      </c>
      <c r="J4192">
        <v>-370.37150000000003</v>
      </c>
      <c r="K4192">
        <v>1.1051660000000001</v>
      </c>
      <c r="L4192">
        <v>141.70599999999999</v>
      </c>
      <c r="M4192">
        <v>-0.99863989999999903</v>
      </c>
      <c r="N4192">
        <v>0</v>
      </c>
      <c r="O4192">
        <v>4.7237080000000001E-2</v>
      </c>
      <c r="P4192">
        <v>-0.99264149999999995</v>
      </c>
      <c r="Q4192">
        <v>6.0615189999999999E-2</v>
      </c>
      <c r="R4192">
        <v>-0.104827399999999</v>
      </c>
      <c r="S4192">
        <v>-2.98996</v>
      </c>
      <c r="T4192">
        <v>-0.1872789</v>
      </c>
      <c r="U4192">
        <v>-0.42153930000000001</v>
      </c>
      <c r="V4192">
        <v>-0.15160879999999999</v>
      </c>
      <c r="W4192">
        <v>8.2378220000000002E-2</v>
      </c>
      <c r="X4192">
        <v>0.98500180000000004</v>
      </c>
      <c r="Y4192">
        <v>-0.1857858</v>
      </c>
      <c r="Z4192">
        <v>-8.7278900000000003E-3</v>
      </c>
      <c r="AA4192">
        <v>0.98255149999999902</v>
      </c>
      <c r="AB4192">
        <v>50</v>
      </c>
      <c r="AC4192">
        <v>-17.156899999999901</v>
      </c>
      <c r="AD4192">
        <v>-1.1051671171849999</v>
      </c>
      <c r="AE4192">
        <v>-2.5102000000000202</v>
      </c>
      <c r="AF4192">
        <v>-3.3046112256350102</v>
      </c>
      <c r="AG4192">
        <v>-1.1051671171849999</v>
      </c>
      <c r="AH4192">
        <v>16.950276771874002</v>
      </c>
      <c r="AI4192">
        <v>93.661688477590005</v>
      </c>
      <c r="AJ4192">
        <v>101.031953130053</v>
      </c>
      <c r="AK4192">
        <v>17.304731501893698</v>
      </c>
    </row>
    <row r="4193" spans="1:37" x14ac:dyDescent="0.2">
      <c r="A4193" t="str">
        <f>"20200111153734838"</f>
        <v>20200111153734838</v>
      </c>
      <c r="B4193" t="str">
        <f>"1578728254827293"</f>
        <v>1578728254827293</v>
      </c>
      <c r="C4193" t="s">
        <v>37</v>
      </c>
      <c r="D4193">
        <v>5.7214470000000004</v>
      </c>
      <c r="E4193">
        <v>0.43953599999999998</v>
      </c>
      <c r="F4193" t="s">
        <v>39</v>
      </c>
      <c r="G4193">
        <v>-383.7611</v>
      </c>
      <c r="H4193" s="1">
        <v>-2.932046E-6</v>
      </c>
      <c r="I4193">
        <v>138.07560000000001</v>
      </c>
      <c r="J4193">
        <v>-370.85829999999999</v>
      </c>
      <c r="K4193">
        <v>1.1053869999999999</v>
      </c>
      <c r="L4193">
        <v>141.7286</v>
      </c>
      <c r="M4193">
        <v>-0.99866180000000004</v>
      </c>
      <c r="N4193">
        <v>0</v>
      </c>
      <c r="O4193">
        <v>4.6695279999999999E-2</v>
      </c>
      <c r="P4193">
        <v>-0.99234059999999902</v>
      </c>
      <c r="Q4193">
        <v>5.8580880000000002E-2</v>
      </c>
      <c r="R4193">
        <v>-0.1087596</v>
      </c>
      <c r="S4193">
        <v>-2.9525759999999899</v>
      </c>
      <c r="T4193">
        <v>-0.2437049</v>
      </c>
      <c r="U4193">
        <v>-0.8005371</v>
      </c>
      <c r="V4193">
        <v>-0.1550301</v>
      </c>
      <c r="W4193">
        <v>8.0414940000000004E-2</v>
      </c>
      <c r="X4193">
        <v>0.98463149999999999</v>
      </c>
      <c r="Y4193">
        <v>-0.30535859999999998</v>
      </c>
      <c r="Z4193">
        <v>-1.61442999999999E-2</v>
      </c>
      <c r="AA4193">
        <v>0.95210059999999996</v>
      </c>
      <c r="AB4193">
        <v>50</v>
      </c>
      <c r="AC4193">
        <v>-12.902799999999999</v>
      </c>
      <c r="AD4193">
        <v>-1.1053899320459999</v>
      </c>
      <c r="AE4193">
        <v>-3.6529999999999898</v>
      </c>
      <c r="AF4193">
        <v>-4.2229678058681897</v>
      </c>
      <c r="AG4193">
        <v>-1.1053899320459999</v>
      </c>
      <c r="AH4193">
        <v>12.632264628297101</v>
      </c>
      <c r="AI4193">
        <v>94.744145163469298</v>
      </c>
      <c r="AJ4193">
        <v>108.484788788297</v>
      </c>
      <c r="AK4193">
        <v>13.3652330181929</v>
      </c>
    </row>
    <row r="4194" spans="1:37" x14ac:dyDescent="0.2">
      <c r="A4194" t="str">
        <f>"20200111153734861"</f>
        <v>20200111153734861</v>
      </c>
      <c r="B4194" t="str">
        <f>"1578728254857549"</f>
        <v>1578728254857549</v>
      </c>
      <c r="C4194" t="s">
        <v>37</v>
      </c>
      <c r="D4194">
        <v>5.6927899999999996</v>
      </c>
      <c r="E4194">
        <v>0.44298399999999999</v>
      </c>
      <c r="F4194" t="s">
        <v>39</v>
      </c>
      <c r="G4194">
        <v>-383.89139999999998</v>
      </c>
      <c r="H4194" s="1">
        <v>-2.8470419999999999E-6</v>
      </c>
      <c r="I4194">
        <v>138.2397</v>
      </c>
      <c r="J4194">
        <v>-371.36180000000002</v>
      </c>
      <c r="K4194">
        <v>1.1056760000000001</v>
      </c>
      <c r="L4194">
        <v>141.75139999999999</v>
      </c>
      <c r="M4194">
        <v>-0.99869959999999902</v>
      </c>
      <c r="N4194">
        <v>0</v>
      </c>
      <c r="O4194">
        <v>4.5807750000000001E-2</v>
      </c>
      <c r="P4194">
        <v>-0.99207599999999996</v>
      </c>
      <c r="Q4194">
        <v>5.6550940000000001E-2</v>
      </c>
      <c r="R4194">
        <v>-0.1121948</v>
      </c>
      <c r="S4194">
        <v>-2.9512939999999999</v>
      </c>
      <c r="T4194">
        <v>-0.25031149999999902</v>
      </c>
      <c r="U4194">
        <v>-0.79003909999999999</v>
      </c>
      <c r="V4194">
        <v>-0.1576272</v>
      </c>
      <c r="W4194">
        <v>7.8412839999999998E-2</v>
      </c>
      <c r="X4194">
        <v>0.98438049999999999</v>
      </c>
      <c r="Y4194">
        <v>-0.30140990000000001</v>
      </c>
      <c r="Z4194">
        <v>-1.6356550000000001E-2</v>
      </c>
      <c r="AA4194">
        <v>0.95335439999999905</v>
      </c>
      <c r="AB4194">
        <v>50</v>
      </c>
      <c r="AC4194">
        <v>-12.529599999999901</v>
      </c>
      <c r="AD4194">
        <v>-1.105678847042</v>
      </c>
      <c r="AE4194">
        <v>-3.5116999999999901</v>
      </c>
      <c r="AF4194">
        <v>-4.0528464805548401</v>
      </c>
      <c r="AG4194">
        <v>-1.105678847042</v>
      </c>
      <c r="AH4194">
        <v>12.266968843501299</v>
      </c>
      <c r="AI4194">
        <v>94.891714857844804</v>
      </c>
      <c r="AJ4194">
        <v>108.282881214559</v>
      </c>
      <c r="AK4194">
        <v>12.9663647532828</v>
      </c>
    </row>
    <row r="4195" spans="1:37" x14ac:dyDescent="0.2">
      <c r="A4195" t="str">
        <f>"20200111153734883"</f>
        <v>20200111153734883</v>
      </c>
      <c r="B4195" t="str">
        <f>"1578728254877072"</f>
        <v>1578728254877072</v>
      </c>
      <c r="C4195" t="s">
        <v>37</v>
      </c>
      <c r="D4195">
        <v>5.6806619999999999</v>
      </c>
      <c r="E4195">
        <v>0.44404519999999997</v>
      </c>
      <c r="F4195" t="s">
        <v>39</v>
      </c>
      <c r="G4195">
        <v>-383.94819999999999</v>
      </c>
      <c r="H4195" s="1">
        <v>-2.78452999999999E-6</v>
      </c>
      <c r="I4195">
        <v>138.4546</v>
      </c>
      <c r="J4195">
        <v>-371.87610000000001</v>
      </c>
      <c r="K4195">
        <v>1.1060379999999901</v>
      </c>
      <c r="L4195">
        <v>141.7739</v>
      </c>
      <c r="M4195">
        <v>-0.99875539999999996</v>
      </c>
      <c r="N4195">
        <v>0</v>
      </c>
      <c r="O4195">
        <v>4.4511849999999999E-2</v>
      </c>
      <c r="P4195">
        <v>-0.99164330000000001</v>
      </c>
      <c r="Q4195">
        <v>5.5942199999999997E-2</v>
      </c>
      <c r="R4195">
        <v>-0.11625190000000001</v>
      </c>
      <c r="S4195">
        <v>-2.9512939999999999</v>
      </c>
      <c r="T4195">
        <v>-0.25926379999999999</v>
      </c>
      <c r="U4195">
        <v>-0.77302550000000003</v>
      </c>
      <c r="V4195">
        <v>-0.16044810000000001</v>
      </c>
      <c r="W4195">
        <v>7.7781550000000005E-2</v>
      </c>
      <c r="X4195">
        <v>0.98397479999999904</v>
      </c>
      <c r="Y4195">
        <v>-0.29497180000000001</v>
      </c>
      <c r="Z4195">
        <v>-1.6561949999999999E-2</v>
      </c>
      <c r="AA4195">
        <v>0.95536239999999994</v>
      </c>
      <c r="AB4195">
        <v>50</v>
      </c>
      <c r="AC4195">
        <v>-12.072099999999899</v>
      </c>
      <c r="AD4195">
        <v>-1.10604078452999</v>
      </c>
      <c r="AE4195">
        <v>-3.3192999999999899</v>
      </c>
      <c r="AF4195">
        <v>-3.8236556572231799</v>
      </c>
      <c r="AG4195">
        <v>-1.10604078452999</v>
      </c>
      <c r="AH4195">
        <v>11.820097368013499</v>
      </c>
      <c r="AI4195">
        <v>95.087658497344606</v>
      </c>
      <c r="AJ4195">
        <v>107.92575428646199</v>
      </c>
      <c r="AK4195">
        <v>12.472304141231399</v>
      </c>
    </row>
    <row r="4196" spans="1:37" x14ac:dyDescent="0.2">
      <c r="A4196" t="str">
        <f>"20200111153734905"</f>
        <v>20200111153734905</v>
      </c>
      <c r="B4196" t="str">
        <f>"1578728254897564"</f>
        <v>1578728254897564</v>
      </c>
      <c r="C4196" t="s">
        <v>37</v>
      </c>
      <c r="D4196">
        <v>5.6856780000000002</v>
      </c>
      <c r="E4196">
        <v>0.44533450000000002</v>
      </c>
      <c r="F4196" t="s">
        <v>39</v>
      </c>
      <c r="G4196">
        <v>-384.27850000000001</v>
      </c>
      <c r="H4196" s="1">
        <v>-2.6335840000000001E-6</v>
      </c>
      <c r="I4196">
        <v>138.5069</v>
      </c>
      <c r="J4196">
        <v>-372.35210000000001</v>
      </c>
      <c r="K4196">
        <v>1.1063889999999901</v>
      </c>
      <c r="L4196">
        <v>141.7938</v>
      </c>
      <c r="M4196">
        <v>-0.99881889999999995</v>
      </c>
      <c r="N4196">
        <v>0</v>
      </c>
      <c r="O4196">
        <v>4.3008520000000001E-2</v>
      </c>
      <c r="P4196">
        <v>-0.99105359999999998</v>
      </c>
      <c r="Q4196">
        <v>5.627733E-2</v>
      </c>
      <c r="R4196">
        <v>-0.121019499999999</v>
      </c>
      <c r="S4196">
        <v>-2.9490660000000002</v>
      </c>
      <c r="T4196">
        <v>-0.26299869999999997</v>
      </c>
      <c r="U4196">
        <v>-0.77680969999999905</v>
      </c>
      <c r="V4196">
        <v>-0.16376840000000001</v>
      </c>
      <c r="W4196">
        <v>7.8056790000000001E-2</v>
      </c>
      <c r="X4196">
        <v>0.9834058</v>
      </c>
      <c r="Y4196">
        <v>-0.29482729999999902</v>
      </c>
      <c r="Z4196">
        <v>-1.667103E-2</v>
      </c>
      <c r="AA4196">
        <v>0.95540509999999901</v>
      </c>
      <c r="AB4196">
        <v>50</v>
      </c>
      <c r="AC4196">
        <v>-11.926399999999999</v>
      </c>
      <c r="AD4196">
        <v>-1.1063916335839901</v>
      </c>
      <c r="AE4196">
        <v>-3.2869000000000002</v>
      </c>
      <c r="AF4196">
        <v>-3.7667965502015699</v>
      </c>
      <c r="AG4196">
        <v>-1.1063916335839901</v>
      </c>
      <c r="AH4196">
        <v>11.680532093818799</v>
      </c>
      <c r="AI4196">
        <v>95.151250353861101</v>
      </c>
      <c r="AJ4196">
        <v>107.87373359467399</v>
      </c>
      <c r="AK4196">
        <v>12.322649418538401</v>
      </c>
    </row>
    <row r="4197" spans="1:37" x14ac:dyDescent="0.2">
      <c r="A4197" t="str">
        <f>"20200111153734927"</f>
        <v>20200111153734927</v>
      </c>
      <c r="B4197" t="str">
        <f>"1578728254917085"</f>
        <v>1578728254917085</v>
      </c>
      <c r="C4197" t="s">
        <v>37</v>
      </c>
      <c r="D4197">
        <v>5.7182639999999996</v>
      </c>
      <c r="E4197">
        <v>0.46066579999999901</v>
      </c>
      <c r="F4197" t="s">
        <v>39</v>
      </c>
      <c r="G4197">
        <v>-384.8861</v>
      </c>
      <c r="H4197" s="1">
        <v>-2.379237E-6</v>
      </c>
      <c r="I4197">
        <v>138.47139999999999</v>
      </c>
      <c r="J4197">
        <v>-372.83710000000002</v>
      </c>
      <c r="K4197">
        <v>1.1067549999999999</v>
      </c>
      <c r="L4197">
        <v>141.81309999999999</v>
      </c>
      <c r="M4197">
        <v>-0.99889559999999999</v>
      </c>
      <c r="N4197">
        <v>0</v>
      </c>
      <c r="O4197">
        <v>4.1147690000000001E-2</v>
      </c>
      <c r="P4197">
        <v>-0.99051639999999996</v>
      </c>
      <c r="Q4197">
        <v>5.5038820000000002E-2</v>
      </c>
      <c r="R4197">
        <v>-0.12588930000000001</v>
      </c>
      <c r="S4197">
        <v>-2.946472</v>
      </c>
      <c r="T4197">
        <v>-0.26009070000000001</v>
      </c>
      <c r="U4197">
        <v>-0.78102109999999902</v>
      </c>
      <c r="V4197">
        <v>-0.166841299999999</v>
      </c>
      <c r="W4197">
        <v>7.6728019999999994E-2</v>
      </c>
      <c r="X4197">
        <v>0.98299380000000003</v>
      </c>
      <c r="Y4197">
        <v>-0.29456539999999998</v>
      </c>
      <c r="Z4197">
        <v>-1.6325570000000001E-2</v>
      </c>
      <c r="AA4197">
        <v>0.9554918</v>
      </c>
      <c r="AB4197">
        <v>49</v>
      </c>
      <c r="AC4197">
        <v>-12.0489999999999</v>
      </c>
      <c r="AD4197">
        <v>-1.106757379237</v>
      </c>
      <c r="AE4197">
        <v>-3.3416999999999999</v>
      </c>
      <c r="AF4197">
        <v>-3.8049738129790698</v>
      </c>
      <c r="AG4197">
        <v>-1.106757379237</v>
      </c>
      <c r="AH4197">
        <v>11.8087341757339</v>
      </c>
      <c r="AI4197">
        <v>95.097694176906899</v>
      </c>
      <c r="AJ4197">
        <v>107.85981822541</v>
      </c>
      <c r="AK4197">
        <v>12.455879754039801</v>
      </c>
    </row>
    <row r="4198" spans="1:37" x14ac:dyDescent="0.2">
      <c r="A4198" t="str">
        <f>"20200111153734950"</f>
        <v>20200111153734950</v>
      </c>
      <c r="B4198" t="str">
        <f>"1578728254947341"</f>
        <v>1578728254947341</v>
      </c>
      <c r="C4198" t="s">
        <v>37</v>
      </c>
      <c r="D4198">
        <v>5.7392899999999996</v>
      </c>
      <c r="E4198">
        <v>0.46002090000000001</v>
      </c>
      <c r="F4198" t="s">
        <v>39</v>
      </c>
      <c r="G4198">
        <v>-388.61189999999999</v>
      </c>
      <c r="H4198" s="1">
        <v>-8.3443340000000004E-7</v>
      </c>
      <c r="I4198">
        <v>138.203</v>
      </c>
      <c r="J4198">
        <v>-373.3227</v>
      </c>
      <c r="K4198">
        <v>1.1071249999999999</v>
      </c>
      <c r="L4198">
        <v>141.8312</v>
      </c>
      <c r="M4198">
        <v>-0.99898349999999903</v>
      </c>
      <c r="N4198">
        <v>0</v>
      </c>
      <c r="O4198">
        <v>3.8923909999999999E-2</v>
      </c>
      <c r="P4198">
        <v>-0.98997900000000005</v>
      </c>
      <c r="Q4198">
        <v>5.3112020000000003E-2</v>
      </c>
      <c r="R4198">
        <v>-0.13084609999999999</v>
      </c>
      <c r="S4198">
        <v>-2.9543149999999998</v>
      </c>
      <c r="T4198">
        <v>-0.20727379999999901</v>
      </c>
      <c r="U4198">
        <v>-0.67608639999999998</v>
      </c>
      <c r="V4198">
        <v>-0.16964189999999901</v>
      </c>
      <c r="W4198">
        <v>7.4680170000000004E-2</v>
      </c>
      <c r="X4198">
        <v>0.98267209999999905</v>
      </c>
      <c r="Y4198">
        <v>-0.2601637</v>
      </c>
      <c r="Z4198">
        <v>-1.16954E-2</v>
      </c>
      <c r="AA4198">
        <v>0.96549370000000001</v>
      </c>
      <c r="AB4198">
        <v>49</v>
      </c>
      <c r="AC4198">
        <v>-15.2891999999999</v>
      </c>
      <c r="AD4198">
        <v>-1.1071258344333901</v>
      </c>
      <c r="AE4198">
        <v>-3.6281999999999899</v>
      </c>
      <c r="AF4198">
        <v>-4.1998702094042901</v>
      </c>
      <c r="AG4198">
        <v>-1.1071258344333901</v>
      </c>
      <c r="AH4198">
        <v>15.0615816014459</v>
      </c>
      <c r="AI4198">
        <v>94.050090626769702</v>
      </c>
      <c r="AJ4198">
        <v>105.58094541089901</v>
      </c>
      <c r="AK4198">
        <v>15.6753270372941</v>
      </c>
    </row>
    <row r="4199" spans="1:37" x14ac:dyDescent="0.2">
      <c r="A4199" t="str">
        <f>"20200111153734972"</f>
        <v>20200111153734972</v>
      </c>
      <c r="B4199" t="str">
        <f>"1578728254967838"</f>
        <v>1578728254967838</v>
      </c>
      <c r="C4199" t="s">
        <v>37</v>
      </c>
      <c r="D4199">
        <v>5.7073609999999997</v>
      </c>
      <c r="E4199">
        <v>0.46003759999999999</v>
      </c>
      <c r="F4199" t="s">
        <v>39</v>
      </c>
      <c r="G4199">
        <v>-388.82279999999997</v>
      </c>
      <c r="H4199" s="1">
        <v>-7.6996259999999905E-7</v>
      </c>
      <c r="I4199">
        <v>138.1756</v>
      </c>
      <c r="J4199">
        <v>-373.81549999999999</v>
      </c>
      <c r="K4199">
        <v>1.1075109999999999</v>
      </c>
      <c r="L4199">
        <v>141.84819999999999</v>
      </c>
      <c r="M4199">
        <v>-0.99908169999999996</v>
      </c>
      <c r="N4199">
        <v>0</v>
      </c>
      <c r="O4199">
        <v>3.6293010000000001E-2</v>
      </c>
      <c r="P4199">
        <v>-0.98928819999999995</v>
      </c>
      <c r="Q4199">
        <v>5.1567559999999998E-2</v>
      </c>
      <c r="R4199">
        <v>-0.1365634</v>
      </c>
      <c r="S4199">
        <v>-2.9497070000000001</v>
      </c>
      <c r="T4199">
        <v>-0.21068870000000001</v>
      </c>
      <c r="U4199">
        <v>-0.69566349999999999</v>
      </c>
      <c r="V4199">
        <v>-0.17280129999999999</v>
      </c>
      <c r="W4199">
        <v>7.2982039999999998E-2</v>
      </c>
      <c r="X4199">
        <v>0.98224909999999999</v>
      </c>
      <c r="Y4199">
        <v>-0.263999599999999</v>
      </c>
      <c r="Z4199">
        <v>-1.184644E-2</v>
      </c>
      <c r="AA4199">
        <v>0.96445000000000003</v>
      </c>
      <c r="AB4199">
        <v>49</v>
      </c>
      <c r="AC4199">
        <v>-15.007299999999899</v>
      </c>
      <c r="AD4199">
        <v>-1.1075117699626</v>
      </c>
      <c r="AE4199">
        <v>-3.6725999999999801</v>
      </c>
      <c r="AF4199">
        <v>-4.1934328602197803</v>
      </c>
      <c r="AG4199">
        <v>-1.1075117699626</v>
      </c>
      <c r="AH4199">
        <v>14.7880958782576</v>
      </c>
      <c r="AI4199">
        <v>94.121111869320202</v>
      </c>
      <c r="AJ4199">
        <v>105.83164692196701</v>
      </c>
      <c r="AK4199">
        <v>15.411010387976299</v>
      </c>
    </row>
    <row r="4200" spans="1:37" x14ac:dyDescent="0.2">
      <c r="A4200" t="str">
        <f>"20200111153734994"</f>
        <v>20200111153734994</v>
      </c>
      <c r="B4200" t="str">
        <f>"1578728254987359"</f>
        <v>1578728254987359</v>
      </c>
      <c r="C4200" t="s">
        <v>37</v>
      </c>
      <c r="D4200">
        <v>5.72614</v>
      </c>
      <c r="E4200">
        <v>0.45995159999999902</v>
      </c>
      <c r="F4200" t="s">
        <v>39</v>
      </c>
      <c r="G4200">
        <v>-388.70830000000001</v>
      </c>
      <c r="H4200" s="1">
        <v>-7.896471E-7</v>
      </c>
      <c r="I4200">
        <v>138.24809999999999</v>
      </c>
      <c r="J4200">
        <v>-374.29419999999999</v>
      </c>
      <c r="K4200">
        <v>1.107893</v>
      </c>
      <c r="L4200">
        <v>141.86320000000001</v>
      </c>
      <c r="M4200">
        <v>-0.99918280000000004</v>
      </c>
      <c r="N4200">
        <v>0</v>
      </c>
      <c r="O4200">
        <v>3.3384659999999997E-2</v>
      </c>
      <c r="P4200">
        <v>-0.98833869999999902</v>
      </c>
      <c r="Q4200">
        <v>5.0319129999999997E-2</v>
      </c>
      <c r="R4200">
        <v>-0.14371809999999999</v>
      </c>
      <c r="S4200">
        <v>-2.9456479999999998</v>
      </c>
      <c r="T4200">
        <v>-0.2190549</v>
      </c>
      <c r="U4200">
        <v>-0.7120514</v>
      </c>
      <c r="V4200">
        <v>-0.17711679999999999</v>
      </c>
      <c r="W4200">
        <v>7.1546719999999994E-2</v>
      </c>
      <c r="X4200">
        <v>0.98158579999999995</v>
      </c>
      <c r="Y4200">
        <v>-0.26650600000000002</v>
      </c>
      <c r="Z4200">
        <v>-1.220277E-2</v>
      </c>
      <c r="AA4200">
        <v>0.96375599999999995</v>
      </c>
      <c r="AB4200">
        <v>49</v>
      </c>
      <c r="AC4200">
        <v>-14.414099999999999</v>
      </c>
      <c r="AD4200">
        <v>-1.1078937896470999</v>
      </c>
      <c r="AE4200">
        <v>-3.6151000000000102</v>
      </c>
      <c r="AF4200">
        <v>-4.0717871295107697</v>
      </c>
      <c r="AG4200">
        <v>-1.1078937896470999</v>
      </c>
      <c r="AH4200">
        <v>14.206380082646801</v>
      </c>
      <c r="AI4200">
        <v>94.287282950788807</v>
      </c>
      <c r="AJ4200">
        <v>105.993191835141</v>
      </c>
      <c r="AK4200">
        <v>14.8198554017848</v>
      </c>
    </row>
    <row r="4201" spans="1:37" x14ac:dyDescent="0.2">
      <c r="A4201" t="str">
        <f>"20200111153735016"</f>
        <v>20200111153735016</v>
      </c>
      <c r="B4201" t="str">
        <f>"1578728255007852"</f>
        <v>1578728255007852</v>
      </c>
      <c r="C4201" t="s">
        <v>37</v>
      </c>
      <c r="D4201">
        <v>5.8604229999999999</v>
      </c>
      <c r="E4201">
        <v>0.46012740000000002</v>
      </c>
      <c r="F4201" t="s">
        <v>39</v>
      </c>
      <c r="G4201">
        <v>-388.96769999999998</v>
      </c>
      <c r="H4201" s="1">
        <v>-7.1282100000000003E-7</v>
      </c>
      <c r="I4201">
        <v>138.20500000000001</v>
      </c>
      <c r="J4201">
        <v>-374.77910000000003</v>
      </c>
      <c r="K4201">
        <v>1.1082809999999901</v>
      </c>
      <c r="L4201">
        <v>141.8767</v>
      </c>
      <c r="M4201">
        <v>-0.99928680000000003</v>
      </c>
      <c r="N4201">
        <v>0</v>
      </c>
      <c r="O4201">
        <v>3.01056E-2</v>
      </c>
      <c r="P4201">
        <v>-0.98720869999999905</v>
      </c>
      <c r="Q4201">
        <v>5.0062839999999997E-2</v>
      </c>
      <c r="R4201">
        <v>-0.1513697</v>
      </c>
      <c r="S4201">
        <v>-2.9401250000000001</v>
      </c>
      <c r="T4201">
        <v>-0.2219882</v>
      </c>
      <c r="U4201">
        <v>-0.73297119999999905</v>
      </c>
      <c r="V4201">
        <v>-0.1815705</v>
      </c>
      <c r="W4201">
        <v>7.1074910000000005E-2</v>
      </c>
      <c r="X4201">
        <v>0.98080610000000001</v>
      </c>
      <c r="Y4201">
        <v>-0.27019879999999902</v>
      </c>
      <c r="Z4201">
        <v>-1.227117E-2</v>
      </c>
      <c r="AA4201">
        <v>0.96272639999999998</v>
      </c>
      <c r="AB4201">
        <v>49</v>
      </c>
      <c r="AC4201">
        <v>-14.1885999999999</v>
      </c>
      <c r="AD4201">
        <v>-1.1082817128210001</v>
      </c>
      <c r="AE4201">
        <v>-3.67169999999998</v>
      </c>
      <c r="AF4201">
        <v>-4.0740055798663803</v>
      </c>
      <c r="AG4201">
        <v>-1.1082817128210001</v>
      </c>
      <c r="AH4201">
        <v>13.9915890627198</v>
      </c>
      <c r="AI4201">
        <v>94.349096952141807</v>
      </c>
      <c r="AJ4201">
        <v>106.234256910079</v>
      </c>
      <c r="AK4201">
        <v>14.6147314145617</v>
      </c>
    </row>
    <row r="4202" spans="1:37" x14ac:dyDescent="0.2">
      <c r="A4202" t="str">
        <f>"20200111153735040"</f>
        <v>20200111153735040</v>
      </c>
      <c r="B4202" t="str">
        <f>"1578728255027373"</f>
        <v>1578728255027373</v>
      </c>
      <c r="C4202" t="s">
        <v>37</v>
      </c>
      <c r="D4202">
        <v>5.6766870000000003</v>
      </c>
      <c r="E4202">
        <v>0.45447739999999998</v>
      </c>
      <c r="F4202" t="s">
        <v>39</v>
      </c>
      <c r="G4202">
        <v>-389.36349999999999</v>
      </c>
      <c r="H4202" s="1">
        <v>-5.9751319999999896E-7</v>
      </c>
      <c r="I4202">
        <v>138.13220000000001</v>
      </c>
      <c r="J4202">
        <v>-375.25869999999998</v>
      </c>
      <c r="K4202">
        <v>1.1086530000000001</v>
      </c>
      <c r="L4202">
        <v>141.88829999999999</v>
      </c>
      <c r="M4202">
        <v>-0.99938749999999998</v>
      </c>
      <c r="N4202">
        <v>0</v>
      </c>
      <c r="O4202">
        <v>2.6555740000000001E-2</v>
      </c>
      <c r="P4202">
        <v>-0.98613119999999999</v>
      </c>
      <c r="Q4202">
        <v>4.9338590000000002E-2</v>
      </c>
      <c r="R4202">
        <v>-0.1584642</v>
      </c>
      <c r="S4202">
        <v>-2.934631</v>
      </c>
      <c r="T4202">
        <v>-0.22300599999999901</v>
      </c>
      <c r="U4202">
        <v>-0.75344849999999997</v>
      </c>
      <c r="V4202">
        <v>-0.1852029</v>
      </c>
      <c r="W4202">
        <v>7.0134070000000007E-2</v>
      </c>
      <c r="X4202">
        <v>0.98019439999999902</v>
      </c>
      <c r="Y4202">
        <v>-0.27350590000000002</v>
      </c>
      <c r="Z4202">
        <v>-1.219723E-2</v>
      </c>
      <c r="AA4202">
        <v>0.96179300000000001</v>
      </c>
      <c r="AB4202">
        <v>49</v>
      </c>
      <c r="AC4202">
        <v>-14.104799999999999</v>
      </c>
      <c r="AD4202">
        <v>-1.1086535975131999</v>
      </c>
      <c r="AE4202">
        <v>-3.7560999999999698</v>
      </c>
      <c r="AF4202">
        <v>-4.1057491940258002</v>
      </c>
      <c r="AG4202">
        <v>-1.1086535975131999</v>
      </c>
      <c r="AH4202">
        <v>13.9197477747737</v>
      </c>
      <c r="AI4202">
        <v>94.368472071366298</v>
      </c>
      <c r="AJ4202">
        <v>106.433876594062</v>
      </c>
      <c r="AK4202">
        <v>14.554919008941299</v>
      </c>
    </row>
    <row r="4203" spans="1:37" x14ac:dyDescent="0.2">
      <c r="A4203" t="str">
        <f>"20200111153735062"</f>
        <v>20200111153735062</v>
      </c>
      <c r="B4203" t="str">
        <f>"1578728255057629"</f>
        <v>1578728255057629</v>
      </c>
      <c r="C4203" t="s">
        <v>37</v>
      </c>
      <c r="D4203">
        <v>5.7329309999999998</v>
      </c>
      <c r="E4203">
        <v>0.37308059999999998</v>
      </c>
      <c r="F4203" t="s">
        <v>39</v>
      </c>
      <c r="G4203">
        <v>-389.60950000000003</v>
      </c>
      <c r="H4203" s="1">
        <v>-5.850671E-7</v>
      </c>
      <c r="I4203">
        <v>137.86439999999999</v>
      </c>
      <c r="J4203">
        <v>-375.73989999999998</v>
      </c>
      <c r="K4203">
        <v>1.109005</v>
      </c>
      <c r="L4203">
        <v>141.89779999999999</v>
      </c>
      <c r="M4203">
        <v>-0.99948309999999996</v>
      </c>
      <c r="N4203">
        <v>0</v>
      </c>
      <c r="O4203">
        <v>2.2683330000000002E-2</v>
      </c>
      <c r="P4203">
        <v>-0.984882699999999</v>
      </c>
      <c r="Q4203">
        <v>4.852559E-2</v>
      </c>
      <c r="R4203">
        <v>-0.1662875</v>
      </c>
      <c r="S4203">
        <v>-2.9218439999999899</v>
      </c>
      <c r="T4203">
        <v>-0.22572510000000001</v>
      </c>
      <c r="U4203">
        <v>-0.81925959999999998</v>
      </c>
      <c r="V4203">
        <v>-0.18924449999999901</v>
      </c>
      <c r="W4203">
        <v>6.909564E-2</v>
      </c>
      <c r="X4203">
        <v>0.97949589999999997</v>
      </c>
      <c r="Y4203">
        <v>-0.2908887</v>
      </c>
      <c r="Z4203">
        <v>-1.2726639999999999E-2</v>
      </c>
      <c r="AA4203">
        <v>0.95667230000000003</v>
      </c>
      <c r="AB4203">
        <v>48</v>
      </c>
      <c r="AC4203">
        <v>-13.8696</v>
      </c>
      <c r="AD4203">
        <v>-1.1090055850670999</v>
      </c>
      <c r="AE4203">
        <v>-4.0334000000000003</v>
      </c>
      <c r="AF4203">
        <v>-4.3215764594374004</v>
      </c>
      <c r="AG4203">
        <v>-1.1090055850670999</v>
      </c>
      <c r="AH4203">
        <v>13.6937902248575</v>
      </c>
      <c r="AI4203">
        <v>94.416264594963707</v>
      </c>
      <c r="AJ4203">
        <v>107.514997091639</v>
      </c>
      <c r="AK4203">
        <v>14.4022847911322</v>
      </c>
    </row>
    <row r="4204" spans="1:37" x14ac:dyDescent="0.2">
      <c r="A4204" t="str">
        <f>"20200111153735083"</f>
        <v>20200111153735083</v>
      </c>
      <c r="B4204" t="str">
        <f>"1578728255077148"</f>
        <v>1578728255077148</v>
      </c>
      <c r="C4204" t="s">
        <v>37</v>
      </c>
      <c r="D4204">
        <v>5.6616819999999999</v>
      </c>
      <c r="E4204">
        <v>0.37369239999999998</v>
      </c>
      <c r="F4204" t="s">
        <v>38</v>
      </c>
      <c r="G4204">
        <v>-376.8186</v>
      </c>
      <c r="H4204">
        <v>1.0024919999999999</v>
      </c>
      <c r="I4204">
        <v>141.32929999999999</v>
      </c>
      <c r="J4204">
        <v>-376.2244</v>
      </c>
      <c r="K4204">
        <v>1.1093389999999901</v>
      </c>
      <c r="L4204">
        <v>141.90530000000001</v>
      </c>
      <c r="M4204">
        <v>-0.99956919999999905</v>
      </c>
      <c r="N4204">
        <v>0</v>
      </c>
      <c r="O4204">
        <v>1.8516089999999999E-2</v>
      </c>
      <c r="P4204">
        <v>-0.98353769999999996</v>
      </c>
      <c r="Q4204">
        <v>4.7658760000000001E-2</v>
      </c>
      <c r="R4204">
        <v>-0.17430499999999999</v>
      </c>
      <c r="S4204">
        <v>-2.8096919999999899</v>
      </c>
      <c r="T4204">
        <v>-0.27742659999999902</v>
      </c>
      <c r="U4204">
        <v>-1.480896</v>
      </c>
      <c r="V4204">
        <v>-0.193192899999999</v>
      </c>
      <c r="W4204">
        <v>6.8002930000000003E-2</v>
      </c>
      <c r="X4204">
        <v>0.97880140000000004</v>
      </c>
      <c r="Y4204">
        <v>-0.48066569999999997</v>
      </c>
      <c r="Z4204">
        <v>-2.3948089999999998E-2</v>
      </c>
      <c r="AA4204">
        <v>0.87657680000000004</v>
      </c>
      <c r="AB4204">
        <v>48</v>
      </c>
      <c r="AC4204">
        <v>-0.59419999999999995</v>
      </c>
      <c r="AD4204">
        <v>-0.106846999999999</v>
      </c>
      <c r="AE4204">
        <v>-0.57600000000002105</v>
      </c>
      <c r="AF4204">
        <v>-0.57728314192506702</v>
      </c>
      <c r="AG4204">
        <v>-0.106846999999999</v>
      </c>
      <c r="AH4204">
        <v>0.57386386984372895</v>
      </c>
      <c r="AI4204">
        <v>97.478101666623601</v>
      </c>
      <c r="AJ4204">
        <v>135.170186154427</v>
      </c>
      <c r="AK4204">
        <v>0.82097006551511797</v>
      </c>
    </row>
    <row r="4205" spans="1:37" x14ac:dyDescent="0.2">
      <c r="A4205" t="str">
        <f>"20200111153735106"</f>
        <v>20200111153735106</v>
      </c>
      <c r="B4205" t="str">
        <f>"1578728255097644"</f>
        <v>1578728255097644</v>
      </c>
      <c r="C4205" t="s">
        <v>37</v>
      </c>
      <c r="D4205">
        <v>5.5150379999999997</v>
      </c>
      <c r="E4205">
        <v>0.37420359999999903</v>
      </c>
      <c r="F4205" t="s">
        <v>38</v>
      </c>
      <c r="G4205">
        <v>-377.24709999999999</v>
      </c>
      <c r="H4205">
        <v>1.002856</v>
      </c>
      <c r="I4205">
        <v>141.35820000000001</v>
      </c>
      <c r="J4205">
        <v>-376.685</v>
      </c>
      <c r="K4205">
        <v>1.109629</v>
      </c>
      <c r="L4205">
        <v>141.91050000000001</v>
      </c>
      <c r="M4205">
        <v>-0.99963809999999997</v>
      </c>
      <c r="N4205">
        <v>0</v>
      </c>
      <c r="O4205">
        <v>1.4344320000000001E-2</v>
      </c>
      <c r="P4205">
        <v>-0.98227419999999999</v>
      </c>
      <c r="Q4205">
        <v>4.6501599999999997E-2</v>
      </c>
      <c r="R4205">
        <v>-0.18159059999999999</v>
      </c>
      <c r="S4205">
        <v>-2.7989199999999999</v>
      </c>
      <c r="T4205">
        <v>-0.29140719999999998</v>
      </c>
      <c r="U4205">
        <v>-1.4975129999999901</v>
      </c>
      <c r="V4205">
        <v>-0.19640379999999999</v>
      </c>
      <c r="W4205">
        <v>6.664465E-2</v>
      </c>
      <c r="X4205">
        <v>0.9782556</v>
      </c>
      <c r="Y4205">
        <v>-0.48226449999999998</v>
      </c>
      <c r="Z4205">
        <v>-2.4872970000000001E-2</v>
      </c>
      <c r="AA4205">
        <v>0.87567249999999996</v>
      </c>
      <c r="AB4205">
        <v>48</v>
      </c>
      <c r="AC4205">
        <v>-0.56209999999998606</v>
      </c>
      <c r="AD4205">
        <v>-0.10677300000000001</v>
      </c>
      <c r="AE4205">
        <v>-0.55230000000000201</v>
      </c>
      <c r="AF4205">
        <v>-0.55020720155084901</v>
      </c>
      <c r="AG4205">
        <v>-0.10677300000000001</v>
      </c>
      <c r="AH4205">
        <v>0.544128340216539</v>
      </c>
      <c r="AI4205">
        <v>97.856121760052403</v>
      </c>
      <c r="AJ4205">
        <v>135.318265744949</v>
      </c>
      <c r="AK4205">
        <v>0.78115561112637599</v>
      </c>
    </row>
    <row r="4206" spans="1:37" x14ac:dyDescent="0.2">
      <c r="A4206" t="str">
        <f>"20200111153735128"</f>
        <v>20200111153735128</v>
      </c>
      <c r="B4206" t="str">
        <f>"1578728255117166"</f>
        <v>1578728255117166</v>
      </c>
      <c r="C4206" t="s">
        <v>37</v>
      </c>
      <c r="D4206">
        <v>5.5772190000000004</v>
      </c>
      <c r="E4206">
        <v>0.3751603</v>
      </c>
      <c r="F4206" t="s">
        <v>38</v>
      </c>
      <c r="G4206">
        <v>-377.67219999999998</v>
      </c>
      <c r="H4206">
        <v>1.0013639999999999</v>
      </c>
      <c r="I4206">
        <v>141.37520000000001</v>
      </c>
      <c r="J4206">
        <v>-377.15879999999999</v>
      </c>
      <c r="K4206">
        <v>1.1099079999999999</v>
      </c>
      <c r="L4206">
        <v>141.91370000000001</v>
      </c>
      <c r="M4206">
        <v>-0.99969300000000005</v>
      </c>
      <c r="N4206">
        <v>0</v>
      </c>
      <c r="O4206">
        <v>9.8541180000000003E-3</v>
      </c>
      <c r="P4206">
        <v>-0.98093549999999996</v>
      </c>
      <c r="Q4206">
        <v>4.5212160000000001E-2</v>
      </c>
      <c r="R4206">
        <v>-0.18900239999999999</v>
      </c>
      <c r="S4206">
        <v>-2.788818</v>
      </c>
      <c r="T4206">
        <v>-0.30579229999999902</v>
      </c>
      <c r="U4206">
        <v>-1.5135350000000001</v>
      </c>
      <c r="V4206">
        <v>-0.19943029999999901</v>
      </c>
      <c r="W4206">
        <v>6.515493E-2</v>
      </c>
      <c r="X4206">
        <v>0.97774349999999999</v>
      </c>
      <c r="Y4206">
        <v>-0.48334739999999998</v>
      </c>
      <c r="Z4206">
        <v>-2.5739789999999999E-2</v>
      </c>
      <c r="AA4206">
        <v>0.87505010000000005</v>
      </c>
      <c r="AB4206">
        <v>48</v>
      </c>
      <c r="AC4206">
        <v>-0.51339999999998998</v>
      </c>
      <c r="AD4206">
        <v>-0.108543999999999</v>
      </c>
      <c r="AE4206">
        <v>-0.53849999999999898</v>
      </c>
      <c r="AF4206">
        <v>-0.53220696123451094</v>
      </c>
      <c r="AG4206">
        <v>-0.108543999999999</v>
      </c>
      <c r="AH4206">
        <v>0.49747908919139999</v>
      </c>
      <c r="AI4206">
        <v>98.474392814737101</v>
      </c>
      <c r="AJ4206">
        <v>136.93166312250401</v>
      </c>
      <c r="AK4206">
        <v>0.73655379552696498</v>
      </c>
    </row>
    <row r="4207" spans="1:37" x14ac:dyDescent="0.2">
      <c r="A4207" t="str">
        <f>"20200111153735151"</f>
        <v>20200111153735151</v>
      </c>
      <c r="B4207" t="str">
        <f>"1578728255147421"</f>
        <v>1578728255147421</v>
      </c>
      <c r="C4207" t="s">
        <v>37</v>
      </c>
      <c r="D4207">
        <v>5.651796</v>
      </c>
      <c r="E4207">
        <v>0.37666259999999901</v>
      </c>
      <c r="F4207" t="s">
        <v>38</v>
      </c>
      <c r="G4207">
        <v>-378.09750000000003</v>
      </c>
      <c r="H4207">
        <v>1.0015719999999999</v>
      </c>
      <c r="I4207">
        <v>141.3981</v>
      </c>
      <c r="J4207">
        <v>-377.63029999999998</v>
      </c>
      <c r="K4207">
        <v>1.110169</v>
      </c>
      <c r="L4207">
        <v>141.91460000000001</v>
      </c>
      <c r="M4207">
        <v>-0.99972859999999997</v>
      </c>
      <c r="N4207">
        <v>0</v>
      </c>
      <c r="O4207">
        <v>5.1994179999999999E-3</v>
      </c>
      <c r="P4207">
        <v>-0.97953860000000004</v>
      </c>
      <c r="Q4207">
        <v>4.4308489999999999E-2</v>
      </c>
      <c r="R4207">
        <v>-0.1963184</v>
      </c>
      <c r="S4207">
        <v>-2.7789609999999998</v>
      </c>
      <c r="T4207">
        <v>-0.32071959999999999</v>
      </c>
      <c r="U4207">
        <v>-1.5263519999999999</v>
      </c>
      <c r="V4207">
        <v>-0.20220769999999999</v>
      </c>
      <c r="W4207">
        <v>6.4052399999999995E-2</v>
      </c>
      <c r="X4207">
        <v>0.97724580000000005</v>
      </c>
      <c r="Y4207">
        <v>-0.48347209999999902</v>
      </c>
      <c r="Z4207">
        <v>-2.6551169999999999E-2</v>
      </c>
      <c r="AA4207">
        <v>0.87495699999999998</v>
      </c>
      <c r="AB4207">
        <v>48</v>
      </c>
      <c r="AC4207">
        <v>-0.46720000000004802</v>
      </c>
      <c r="AD4207">
        <v>-0.108597</v>
      </c>
      <c r="AE4207">
        <v>-0.51650000000000695</v>
      </c>
      <c r="AF4207">
        <v>-0.506605364246699</v>
      </c>
      <c r="AG4207">
        <v>-0.108597</v>
      </c>
      <c r="AH4207">
        <v>0.45348167699759501</v>
      </c>
      <c r="AI4207">
        <v>99.074615449520294</v>
      </c>
      <c r="AJ4207">
        <v>138.16706957257301</v>
      </c>
      <c r="AK4207">
        <v>0.68854043807541299</v>
      </c>
    </row>
    <row r="4208" spans="1:37" x14ac:dyDescent="0.2">
      <c r="A4208" t="str">
        <f>"20200111153735173"</f>
        <v>20200111153735173</v>
      </c>
      <c r="B4208" t="str">
        <f>"1578728255166943"</f>
        <v>1578728255166943</v>
      </c>
      <c r="C4208" t="s">
        <v>37</v>
      </c>
      <c r="D4208">
        <v>5.6174869999999997</v>
      </c>
      <c r="E4208">
        <v>0.37661669999999903</v>
      </c>
      <c r="F4208" t="s">
        <v>38</v>
      </c>
      <c r="G4208">
        <v>-378.52179999999998</v>
      </c>
      <c r="H4208">
        <v>1.0046619999999999</v>
      </c>
      <c r="I4208">
        <v>141.42070000000001</v>
      </c>
      <c r="J4208">
        <v>-378.11590000000001</v>
      </c>
      <c r="K4208">
        <v>1.1104209999999901</v>
      </c>
      <c r="L4208">
        <v>141.91319999999999</v>
      </c>
      <c r="M4208">
        <v>-0.99974300000000005</v>
      </c>
      <c r="N4208">
        <v>0</v>
      </c>
      <c r="O4208">
        <v>2.336172E-4</v>
      </c>
      <c r="P4208">
        <v>-0.9778597</v>
      </c>
      <c r="Q4208">
        <v>4.439013E-2</v>
      </c>
      <c r="R4208">
        <v>-0.20449999999999999</v>
      </c>
      <c r="S4208">
        <v>-2.7698360000000002</v>
      </c>
      <c r="T4208">
        <v>-0.32782670000000003</v>
      </c>
      <c r="U4208">
        <v>-1.534958</v>
      </c>
      <c r="V4208">
        <v>-0.20556529999999901</v>
      </c>
      <c r="W4208">
        <v>6.3914869999999999E-2</v>
      </c>
      <c r="X4208">
        <v>0.97655400000000003</v>
      </c>
      <c r="Y4208">
        <v>-0.48234139999999998</v>
      </c>
      <c r="Z4208">
        <v>-2.6585749999999998E-2</v>
      </c>
      <c r="AA4208">
        <v>0.87557980000000002</v>
      </c>
      <c r="AB4208">
        <v>47</v>
      </c>
      <c r="AC4208">
        <v>-0.405899999999974</v>
      </c>
      <c r="AD4208">
        <v>-0.10575899999999901</v>
      </c>
      <c r="AE4208">
        <v>-0.49249999999997801</v>
      </c>
      <c r="AF4208">
        <v>-0.479429462547458</v>
      </c>
      <c r="AG4208">
        <v>-0.10575899999999901</v>
      </c>
      <c r="AH4208">
        <v>0.39493966159948501</v>
      </c>
      <c r="AI4208">
        <v>99.662670313432798</v>
      </c>
      <c r="AJ4208">
        <v>140.51932336094001</v>
      </c>
      <c r="AK4208">
        <v>0.63009119335526398</v>
      </c>
    </row>
    <row r="4209" spans="1:37" x14ac:dyDescent="0.2">
      <c r="A4209" t="str">
        <f>"20200111153735196"</f>
        <v>20200111153735196</v>
      </c>
      <c r="B4209" t="str">
        <f>"1578728255187436"</f>
        <v>1578728255187436</v>
      </c>
      <c r="C4209" t="s">
        <v>37</v>
      </c>
      <c r="D4209">
        <v>5.6167049999999996</v>
      </c>
      <c r="E4209">
        <v>0.37674629999999998</v>
      </c>
      <c r="F4209" t="s">
        <v>38</v>
      </c>
      <c r="G4209">
        <v>-378.94549999999998</v>
      </c>
      <c r="H4209">
        <v>1.0129950000000001</v>
      </c>
      <c r="I4209">
        <v>141.4442</v>
      </c>
      <c r="J4209">
        <v>-378.57530000000003</v>
      </c>
      <c r="K4209">
        <v>1.110635</v>
      </c>
      <c r="L4209">
        <v>141.90960000000001</v>
      </c>
      <c r="M4209">
        <v>-0.99973369999999995</v>
      </c>
      <c r="N4209">
        <v>0</v>
      </c>
      <c r="O4209">
        <v>-4.6122330000000003E-3</v>
      </c>
      <c r="P4209">
        <v>-0.97608819999999996</v>
      </c>
      <c r="Q4209">
        <v>4.5736119999999998E-2</v>
      </c>
      <c r="R4209">
        <v>-0.2125097</v>
      </c>
      <c r="S4209">
        <v>-2.7567140000000001</v>
      </c>
      <c r="T4209">
        <v>-0.32373829999999998</v>
      </c>
      <c r="U4209">
        <v>-1.5583799999999901</v>
      </c>
      <c r="V4209">
        <v>-0.2088904</v>
      </c>
      <c r="W4209">
        <v>6.5041680000000004E-2</v>
      </c>
      <c r="X4209">
        <v>0.97577380000000002</v>
      </c>
      <c r="Y4209">
        <v>-0.48558750000000001</v>
      </c>
      <c r="Z4209">
        <v>-2.5962809999999999E-2</v>
      </c>
      <c r="AA4209">
        <v>0.87380249999999904</v>
      </c>
      <c r="AB4209">
        <v>47</v>
      </c>
      <c r="AC4209">
        <v>-0.37019999999995401</v>
      </c>
      <c r="AD4209">
        <v>-9.7639999999999894E-2</v>
      </c>
      <c r="AE4209">
        <v>-0.46540000000001602</v>
      </c>
      <c r="AF4209">
        <v>-0.45151521197101102</v>
      </c>
      <c r="AG4209">
        <v>-9.7639999999999894E-2</v>
      </c>
      <c r="AH4209">
        <v>0.36256900496032202</v>
      </c>
      <c r="AI4209">
        <v>99.570909885950201</v>
      </c>
      <c r="AJ4209">
        <v>141.235359011827</v>
      </c>
      <c r="AK4209">
        <v>0.58724427591858597</v>
      </c>
    </row>
    <row r="4210" spans="1:37" x14ac:dyDescent="0.2">
      <c r="A4210" t="str">
        <f>"20200111153735217"</f>
        <v>20200111153735217</v>
      </c>
      <c r="B4210" t="str">
        <f>"1578728255206958"</f>
        <v>1578728255206958</v>
      </c>
      <c r="C4210" t="s">
        <v>37</v>
      </c>
      <c r="D4210">
        <v>5.6152899999999999</v>
      </c>
      <c r="E4210">
        <v>0.37691520000000001</v>
      </c>
      <c r="F4210" t="s">
        <v>38</v>
      </c>
      <c r="G4210">
        <v>-379.36559999999997</v>
      </c>
      <c r="H4210">
        <v>1.019247</v>
      </c>
      <c r="I4210">
        <v>141.45490000000001</v>
      </c>
      <c r="J4210">
        <v>-379.02839999999998</v>
      </c>
      <c r="K4210">
        <v>1.1108209999999901</v>
      </c>
      <c r="L4210">
        <v>141.90369999999999</v>
      </c>
      <c r="M4210">
        <v>-0.99970059999999905</v>
      </c>
      <c r="N4210">
        <v>0</v>
      </c>
      <c r="O4210">
        <v>-9.5215400000000002E-3</v>
      </c>
      <c r="P4210">
        <v>-0.97430550000000005</v>
      </c>
      <c r="Q4210">
        <v>4.683739E-2</v>
      </c>
      <c r="R4210">
        <v>-0.22030739999999999</v>
      </c>
      <c r="S4210">
        <v>-2.744507</v>
      </c>
      <c r="T4210">
        <v>-0.31735429999999998</v>
      </c>
      <c r="U4210">
        <v>-1.5793299999999999</v>
      </c>
      <c r="V4210">
        <v>-0.2119481</v>
      </c>
      <c r="W4210">
        <v>6.5913379999999994E-2</v>
      </c>
      <c r="X4210">
        <v>0.97505560000000002</v>
      </c>
      <c r="Y4210">
        <v>-0.48809359999999902</v>
      </c>
      <c r="Z4210">
        <v>-2.51157999999999E-2</v>
      </c>
      <c r="AA4210">
        <v>0.87242980000000003</v>
      </c>
      <c r="AB4210">
        <v>47</v>
      </c>
      <c r="AC4210">
        <v>-0.337199999999995</v>
      </c>
      <c r="AD4210">
        <v>-9.1573999999999794E-2</v>
      </c>
      <c r="AE4210">
        <v>-0.448799999999977</v>
      </c>
      <c r="AF4210">
        <v>-0.43401850148309201</v>
      </c>
      <c r="AG4210">
        <v>-9.1573999999999794E-2</v>
      </c>
      <c r="AH4210">
        <v>0.332608028905724</v>
      </c>
      <c r="AI4210">
        <v>99.507088246165395</v>
      </c>
      <c r="AJ4210">
        <v>142.53541973669201</v>
      </c>
      <c r="AK4210">
        <v>0.55442398757465405</v>
      </c>
    </row>
    <row r="4211" spans="1:37" x14ac:dyDescent="0.2">
      <c r="A4211" t="str">
        <f>"20200111153735241"</f>
        <v>20200111153735241</v>
      </c>
      <c r="B4211" t="str">
        <f>"1578728255237212"</f>
        <v>1578728255237212</v>
      </c>
      <c r="C4211" t="s">
        <v>37</v>
      </c>
      <c r="D4211">
        <v>5.607056</v>
      </c>
      <c r="E4211">
        <v>0.37701259999999998</v>
      </c>
      <c r="F4211" t="s">
        <v>38</v>
      </c>
      <c r="G4211">
        <v>-379.78390000000002</v>
      </c>
      <c r="H4211">
        <v>1.024767</v>
      </c>
      <c r="I4211">
        <v>141.4615</v>
      </c>
      <c r="J4211">
        <v>-379.49340000000001</v>
      </c>
      <c r="K4211">
        <v>1.1109799999999901</v>
      </c>
      <c r="L4211">
        <v>141.89529999999999</v>
      </c>
      <c r="M4211">
        <v>-0.9996408</v>
      </c>
      <c r="N4211">
        <v>0</v>
      </c>
      <c r="O4211">
        <v>-1.468528E-2</v>
      </c>
      <c r="P4211">
        <v>-0.97230680000000003</v>
      </c>
      <c r="Q4211">
        <v>4.735052E-2</v>
      </c>
      <c r="R4211">
        <v>-0.22886190000000001</v>
      </c>
      <c r="S4211">
        <v>-2.7323</v>
      </c>
      <c r="T4211">
        <v>-0.31122119999999998</v>
      </c>
      <c r="U4211">
        <v>-1.599777</v>
      </c>
      <c r="V4211">
        <v>-0.21551809999999999</v>
      </c>
      <c r="W4211">
        <v>6.6155560000000002E-2</v>
      </c>
      <c r="X4211">
        <v>0.97425629999999996</v>
      </c>
      <c r="Y4211">
        <v>-0.49025159999999901</v>
      </c>
      <c r="Z4211">
        <v>-2.4255849999999999E-2</v>
      </c>
      <c r="AA4211">
        <v>0.8712434</v>
      </c>
      <c r="AB4211">
        <v>47</v>
      </c>
      <c r="AC4211">
        <v>-0.29050000000000797</v>
      </c>
      <c r="AD4211">
        <v>-8.6212999999999804E-2</v>
      </c>
      <c r="AE4211">
        <v>-0.43379999999999003</v>
      </c>
      <c r="AF4211">
        <v>-0.41808543817059202</v>
      </c>
      <c r="AG4211">
        <v>-8.6212999999999804E-2</v>
      </c>
      <c r="AH4211">
        <v>0.28896116192589499</v>
      </c>
      <c r="AI4211">
        <v>99.627721733944597</v>
      </c>
      <c r="AJ4211">
        <v>145.34957955470699</v>
      </c>
      <c r="AK4211">
        <v>0.51548682629225295</v>
      </c>
    </row>
    <row r="4212" spans="1:37" x14ac:dyDescent="0.2">
      <c r="A4212" t="str">
        <f>"20200111153735263"</f>
        <v>20200111153735263</v>
      </c>
      <c r="B4212" t="str">
        <f>"1578728255257709"</f>
        <v>1578728255257709</v>
      </c>
      <c r="C4212" t="s">
        <v>37</v>
      </c>
      <c r="D4212">
        <v>5.6276519999999897</v>
      </c>
      <c r="E4212">
        <v>0.37707590000000002</v>
      </c>
      <c r="F4212" t="s">
        <v>39</v>
      </c>
      <c r="G4212">
        <v>-389.34719999999999</v>
      </c>
      <c r="H4212" s="1">
        <v>-1.167592E-6</v>
      </c>
      <c r="I4212">
        <v>136.01050000000001</v>
      </c>
      <c r="J4212">
        <v>-379.96499999999997</v>
      </c>
      <c r="K4212">
        <v>1.1111120000000001</v>
      </c>
      <c r="L4212">
        <v>141.88409999999999</v>
      </c>
      <c r="M4212">
        <v>-0.99955099999999997</v>
      </c>
      <c r="N4212">
        <v>0</v>
      </c>
      <c r="O4212">
        <v>-2.0057950000000001E-2</v>
      </c>
      <c r="P4212">
        <v>-0.97055650000000004</v>
      </c>
      <c r="Q4212">
        <v>4.8088890000000002E-2</v>
      </c>
      <c r="R4212">
        <v>-0.23602489999999901</v>
      </c>
      <c r="S4212">
        <v>-2.71826199999999</v>
      </c>
      <c r="T4212">
        <v>-0.30647559999999902</v>
      </c>
      <c r="U4212">
        <v>-1.623367</v>
      </c>
      <c r="V4212">
        <v>-0.21750129999999901</v>
      </c>
      <c r="W4212">
        <v>6.6608020000000004E-2</v>
      </c>
      <c r="X4212">
        <v>0.9737846</v>
      </c>
      <c r="Y4212">
        <v>-0.493199</v>
      </c>
      <c r="Z4212">
        <v>-2.3541159999999998E-2</v>
      </c>
      <c r="AA4212">
        <v>0.86959799999999998</v>
      </c>
      <c r="AB4212">
        <v>47</v>
      </c>
      <c r="AC4212">
        <v>-9.3822000000000099</v>
      </c>
      <c r="AD4212">
        <v>-1.1111131675920001</v>
      </c>
      <c r="AE4212">
        <v>-5.8735999999999802</v>
      </c>
      <c r="AF4212">
        <v>-5.6274803753267797</v>
      </c>
      <c r="AG4212">
        <v>-1.1111131675920001</v>
      </c>
      <c r="AH4212">
        <v>9.4034034992419304</v>
      </c>
      <c r="AI4212">
        <v>95.789503286264093</v>
      </c>
      <c r="AJ4212">
        <v>120.898472334282</v>
      </c>
      <c r="AK4212">
        <v>11.0148583838122</v>
      </c>
    </row>
    <row r="4213" spans="1:37" x14ac:dyDescent="0.2">
      <c r="A4213" t="str">
        <f>"20200111153735286"</f>
        <v>20200111153735286</v>
      </c>
      <c r="B4213" t="str">
        <f>"1578728255277229"</f>
        <v>1578728255277229</v>
      </c>
      <c r="C4213" t="s">
        <v>37</v>
      </c>
      <c r="D4213">
        <v>5.5829370000000003</v>
      </c>
      <c r="E4213">
        <v>0.37718879999999999</v>
      </c>
      <c r="F4213" t="s">
        <v>38</v>
      </c>
      <c r="G4213">
        <v>-380.98270000000002</v>
      </c>
      <c r="H4213">
        <v>0.99780489999999999</v>
      </c>
      <c r="I4213">
        <v>141.26609999999999</v>
      </c>
      <c r="J4213">
        <v>-380.43549999999999</v>
      </c>
      <c r="K4213">
        <v>1.1112200000000001</v>
      </c>
      <c r="L4213">
        <v>141.87039999999999</v>
      </c>
      <c r="M4213">
        <v>-0.99943099999999996</v>
      </c>
      <c r="N4213">
        <v>0</v>
      </c>
      <c r="O4213">
        <v>-2.5523980000000002E-2</v>
      </c>
      <c r="P4213">
        <v>-0.96831970000000001</v>
      </c>
      <c r="Q4213">
        <v>4.8121440000000001E-2</v>
      </c>
      <c r="R4213">
        <v>-0.245033799999999</v>
      </c>
      <c r="S4213">
        <v>-2.7062379999999999</v>
      </c>
      <c r="T4213">
        <v>-0.3012995</v>
      </c>
      <c r="U4213">
        <v>-1.6436770000000001</v>
      </c>
      <c r="V4213">
        <v>-0.22124730000000001</v>
      </c>
      <c r="W4213">
        <v>6.6297800000000004E-2</v>
      </c>
      <c r="X4213">
        <v>0.97296159999999998</v>
      </c>
      <c r="Y4213">
        <v>-0.49501479999999998</v>
      </c>
      <c r="Z4213">
        <v>-2.2727299999999999E-2</v>
      </c>
      <c r="AA4213">
        <v>0.86858729999999995</v>
      </c>
      <c r="AB4213">
        <v>47</v>
      </c>
      <c r="AC4213">
        <v>-0.54720000000003199</v>
      </c>
      <c r="AD4213">
        <v>-0.1134151</v>
      </c>
      <c r="AE4213">
        <v>-0.60429999999999495</v>
      </c>
      <c r="AF4213">
        <v>-0.57892816627083699</v>
      </c>
      <c r="AG4213">
        <v>-0.1134151</v>
      </c>
      <c r="AH4213">
        <v>0.551770407644113</v>
      </c>
      <c r="AI4213">
        <v>98.071424144633497</v>
      </c>
      <c r="AJ4213">
        <v>136.375897936516</v>
      </c>
      <c r="AK4213">
        <v>0.80775701133538602</v>
      </c>
    </row>
    <row r="4214" spans="1:37" x14ac:dyDescent="0.2">
      <c r="A4214" t="str">
        <f>"20200111153735307"</f>
        <v>20200111153735307</v>
      </c>
      <c r="B4214" t="str">
        <f>"1578728255297725"</f>
        <v>1578728255297725</v>
      </c>
      <c r="C4214" t="s">
        <v>37</v>
      </c>
      <c r="D4214">
        <v>5.6185669999999996</v>
      </c>
      <c r="E4214">
        <v>0.37736009999999998</v>
      </c>
      <c r="F4214" t="s">
        <v>38</v>
      </c>
      <c r="G4214">
        <v>-381.39780000000002</v>
      </c>
      <c r="H4214">
        <v>1.0044770000000001</v>
      </c>
      <c r="I4214">
        <v>141.2739</v>
      </c>
      <c r="J4214">
        <v>-380.87450000000001</v>
      </c>
      <c r="K4214">
        <v>1.111297</v>
      </c>
      <c r="L4214">
        <v>141.8552</v>
      </c>
      <c r="M4214">
        <v>-0.99928930000000005</v>
      </c>
      <c r="N4214">
        <v>0</v>
      </c>
      <c r="O4214">
        <v>-3.0712079999999999E-2</v>
      </c>
      <c r="P4214">
        <v>-0.9662212</v>
      </c>
      <c r="Q4214">
        <v>4.7951359999999998E-2</v>
      </c>
      <c r="R4214">
        <v>-0.2532143</v>
      </c>
      <c r="S4214">
        <v>-2.6909179999999999</v>
      </c>
      <c r="T4214">
        <v>-0.29851509999999998</v>
      </c>
      <c r="U4214">
        <v>-1.667923</v>
      </c>
      <c r="V4214">
        <v>-0.22444020000000001</v>
      </c>
      <c r="W4214">
        <v>6.5812510000000005E-2</v>
      </c>
      <c r="X4214">
        <v>0.97226299999999899</v>
      </c>
      <c r="Y4214">
        <v>-0.49841400000000002</v>
      </c>
      <c r="Z4214">
        <v>-2.222594E-2</v>
      </c>
      <c r="AA4214">
        <v>0.86665419999999904</v>
      </c>
      <c r="AB4214">
        <v>46</v>
      </c>
      <c r="AC4214">
        <v>-0.52330000000000598</v>
      </c>
      <c r="AD4214">
        <v>-0.106819999999999</v>
      </c>
      <c r="AE4214">
        <v>-0.58129999999999804</v>
      </c>
      <c r="AF4214">
        <v>-0.55460558564184603</v>
      </c>
      <c r="AG4214">
        <v>-0.106819999999999</v>
      </c>
      <c r="AH4214">
        <v>0.53100581453905005</v>
      </c>
      <c r="AI4214">
        <v>97.920171642894204</v>
      </c>
      <c r="AJ4214">
        <v>136.24533911821501</v>
      </c>
      <c r="AK4214">
        <v>0.775219351602768</v>
      </c>
    </row>
    <row r="4215" spans="1:37" x14ac:dyDescent="0.2">
      <c r="A4215" t="str">
        <f>"20200111153735329"</f>
        <v>20200111153735329</v>
      </c>
      <c r="B4215" t="str">
        <f>"1578728255327005"</f>
        <v>1578728255327005</v>
      </c>
      <c r="C4215" t="s">
        <v>37</v>
      </c>
      <c r="D4215">
        <v>5.622071</v>
      </c>
      <c r="E4215">
        <v>0.3775347</v>
      </c>
      <c r="F4215" t="s">
        <v>38</v>
      </c>
      <c r="G4215">
        <v>-381.80849999999998</v>
      </c>
      <c r="H4215">
        <v>1.0071110000000001</v>
      </c>
      <c r="I4215">
        <v>141.26599999999999</v>
      </c>
      <c r="J4215">
        <v>-381.34</v>
      </c>
      <c r="K4215">
        <v>1.1113770000000001</v>
      </c>
      <c r="L4215">
        <v>141.83670000000001</v>
      </c>
      <c r="M4215">
        <v>-0.99910569999999899</v>
      </c>
      <c r="N4215">
        <v>0</v>
      </c>
      <c r="O4215">
        <v>-3.6317830000000002E-2</v>
      </c>
      <c r="P4215">
        <v>-0.96411039999999903</v>
      </c>
      <c r="Q4215">
        <v>4.7025030000000002E-2</v>
      </c>
      <c r="R4215">
        <v>-0.26130419999999999</v>
      </c>
      <c r="S4215">
        <v>-2.6770019999999999</v>
      </c>
      <c r="T4215">
        <v>-0.29859019999999997</v>
      </c>
      <c r="U4215">
        <v>-1.689255</v>
      </c>
      <c r="V4215">
        <v>-0.22713549999999999</v>
      </c>
      <c r="W4215">
        <v>6.4574409999999999E-2</v>
      </c>
      <c r="X4215">
        <v>0.97171989999999997</v>
      </c>
      <c r="Y4215">
        <v>-0.50053549999999902</v>
      </c>
      <c r="Z4215">
        <v>-2.1825689999999998E-2</v>
      </c>
      <c r="AA4215">
        <v>0.86544080000000001</v>
      </c>
      <c r="AB4215">
        <v>46</v>
      </c>
      <c r="AC4215">
        <v>-0.46850000000000502</v>
      </c>
      <c r="AD4215">
        <v>-0.104265999999999</v>
      </c>
      <c r="AE4215">
        <v>-0.57070000000001597</v>
      </c>
      <c r="AF4215">
        <v>-0.54248694995622304</v>
      </c>
      <c r="AG4215">
        <v>-0.104265999999999</v>
      </c>
      <c r="AH4215">
        <v>0.47936345949815601</v>
      </c>
      <c r="AI4215">
        <v>98.195768049805807</v>
      </c>
      <c r="AJ4215">
        <v>138.53488105352599</v>
      </c>
      <c r="AK4215">
        <v>0.73140468683954096</v>
      </c>
    </row>
    <row r="4216" spans="1:37" x14ac:dyDescent="0.2">
      <c r="A4216" t="str">
        <f>"20200111153735352"</f>
        <v>20200111153735352</v>
      </c>
      <c r="B4216" t="str">
        <f>"1578728255347501"</f>
        <v>1578728255347501</v>
      </c>
      <c r="C4216" t="s">
        <v>37</v>
      </c>
      <c r="D4216">
        <v>5.8223449999999897</v>
      </c>
      <c r="E4216">
        <v>0.37762800000000002</v>
      </c>
      <c r="F4216" t="s">
        <v>38</v>
      </c>
      <c r="G4216">
        <v>-382.22160000000002</v>
      </c>
      <c r="H4216">
        <v>1.0119830000000001</v>
      </c>
      <c r="I4216">
        <v>141.27029999999999</v>
      </c>
      <c r="J4216">
        <v>-381.79899999999998</v>
      </c>
      <c r="K4216">
        <v>1.111467</v>
      </c>
      <c r="L4216">
        <v>141.8159</v>
      </c>
      <c r="M4216">
        <v>-0.99888869999999896</v>
      </c>
      <c r="N4216">
        <v>0</v>
      </c>
      <c r="O4216">
        <v>-4.1963569999999999E-2</v>
      </c>
      <c r="P4216">
        <v>-0.96224929999999997</v>
      </c>
      <c r="Q4216">
        <v>4.6027079999999998E-2</v>
      </c>
      <c r="R4216">
        <v>-0.26824969999999998</v>
      </c>
      <c r="S4216">
        <v>-2.6626590000000001</v>
      </c>
      <c r="T4216">
        <v>-0.30020000000000002</v>
      </c>
      <c r="U4216">
        <v>-1.710434</v>
      </c>
      <c r="V4216">
        <v>-0.22864979999999999</v>
      </c>
      <c r="W4216">
        <v>6.3295299999999999E-2</v>
      </c>
      <c r="X4216">
        <v>0.97144889999999995</v>
      </c>
      <c r="Y4216">
        <v>-0.50262719999999905</v>
      </c>
      <c r="Z4216">
        <v>-2.1530270000000001E-2</v>
      </c>
      <c r="AA4216">
        <v>0.86423510000000003</v>
      </c>
      <c r="AB4216">
        <v>46</v>
      </c>
      <c r="AC4216">
        <v>-0.42259999999998799</v>
      </c>
      <c r="AD4216">
        <v>-9.9483999999999906E-2</v>
      </c>
      <c r="AE4216">
        <v>-0.54560000000000697</v>
      </c>
      <c r="AF4216">
        <v>-0.51664521799520402</v>
      </c>
      <c r="AG4216">
        <v>-9.9483999999999906E-2</v>
      </c>
      <c r="AH4216">
        <v>0.43606655250759602</v>
      </c>
      <c r="AI4216">
        <v>98.3709731162987</v>
      </c>
      <c r="AJ4216">
        <v>139.83446918696399</v>
      </c>
      <c r="AK4216">
        <v>0.68335450956964705</v>
      </c>
    </row>
    <row r="4217" spans="1:37" x14ac:dyDescent="0.2">
      <c r="A4217" t="str">
        <f>"20200111153735374"</f>
        <v>20200111153735374</v>
      </c>
      <c r="B4217" t="str">
        <f>"1578728255367023"</f>
        <v>1578728255367023</v>
      </c>
      <c r="C4217" t="s">
        <v>37</v>
      </c>
      <c r="D4217">
        <v>5.7980279999999897</v>
      </c>
      <c r="E4217">
        <v>0.424921299999999</v>
      </c>
      <c r="F4217" t="s">
        <v>38</v>
      </c>
      <c r="G4217">
        <v>-382.63339999999999</v>
      </c>
      <c r="H4217">
        <v>1.016492</v>
      </c>
      <c r="I4217">
        <v>141.2714</v>
      </c>
      <c r="J4217">
        <v>-382.25920000000002</v>
      </c>
      <c r="K4217">
        <v>1.1115709999999901</v>
      </c>
      <c r="L4217">
        <v>141.79230000000001</v>
      </c>
      <c r="M4217">
        <v>-0.99863250000000003</v>
      </c>
      <c r="N4217">
        <v>0</v>
      </c>
      <c r="O4217">
        <v>-4.7762199999999998E-2</v>
      </c>
      <c r="P4217">
        <v>-0.96044030000000002</v>
      </c>
      <c r="Q4217">
        <v>4.5756789999999999E-2</v>
      </c>
      <c r="R4217">
        <v>-0.27470139999999998</v>
      </c>
      <c r="S4217">
        <v>-2.6499630000000001</v>
      </c>
      <c r="T4217">
        <v>-0.30159520000000001</v>
      </c>
      <c r="U4217">
        <v>-1.7296450000000001</v>
      </c>
      <c r="V4217">
        <v>-0.229542</v>
      </c>
      <c r="W4217">
        <v>6.273898E-2</v>
      </c>
      <c r="X4217">
        <v>0.97127459999999899</v>
      </c>
      <c r="Y4217">
        <v>-0.50389919999999999</v>
      </c>
      <c r="Z4217">
        <v>-2.1147969999999999E-2</v>
      </c>
      <c r="AA4217">
        <v>0.86350349999999998</v>
      </c>
      <c r="AB4217">
        <v>46</v>
      </c>
      <c r="AC4217">
        <v>-0.374199999999973</v>
      </c>
      <c r="AD4217">
        <v>-9.50789999999999E-2</v>
      </c>
      <c r="AE4217">
        <v>-0.52090000000001102</v>
      </c>
      <c r="AF4217">
        <v>-0.49162474722205401</v>
      </c>
      <c r="AG4217">
        <v>-9.50789999999999E-2</v>
      </c>
      <c r="AH4217">
        <v>0.390085265572857</v>
      </c>
      <c r="AI4217">
        <v>98.614804602840806</v>
      </c>
      <c r="AJ4217">
        <v>141.56935655828201</v>
      </c>
      <c r="AK4217">
        <v>0.63474516362016997</v>
      </c>
    </row>
    <row r="4218" spans="1:37" x14ac:dyDescent="0.2">
      <c r="A4218" t="str">
        <f>"20200111153735397"</f>
        <v>20200111153735397</v>
      </c>
      <c r="B4218" t="str">
        <f>"1578728255387517"</f>
        <v>1578728255387517</v>
      </c>
      <c r="C4218" t="s">
        <v>37</v>
      </c>
      <c r="D4218">
        <v>5.7148120000000002</v>
      </c>
      <c r="E4218">
        <v>0.4296159</v>
      </c>
      <c r="F4218" t="s">
        <v>39</v>
      </c>
      <c r="G4218">
        <v>-391.62119999999999</v>
      </c>
      <c r="H4218" s="1">
        <v>-4.028788E-6</v>
      </c>
      <c r="I4218">
        <v>137.06780000000001</v>
      </c>
      <c r="J4218">
        <v>-382.71800000000002</v>
      </c>
      <c r="K4218">
        <v>1.111713</v>
      </c>
      <c r="L4218">
        <v>141.76609999999999</v>
      </c>
      <c r="M4218">
        <v>-0.99833519999999898</v>
      </c>
      <c r="N4218">
        <v>0</v>
      </c>
      <c r="O4218">
        <v>-5.3700249999999998E-2</v>
      </c>
      <c r="P4218">
        <v>-0.95875429999999995</v>
      </c>
      <c r="Q4218">
        <v>4.6644249999999998E-2</v>
      </c>
      <c r="R4218">
        <v>-0.28038239999999998</v>
      </c>
      <c r="S4218">
        <v>-2.7431640000000002</v>
      </c>
      <c r="T4218">
        <v>-0.32570179999999999</v>
      </c>
      <c r="U4218">
        <v>-1.384293</v>
      </c>
      <c r="V4218">
        <v>-0.2295537</v>
      </c>
      <c r="W4218">
        <v>6.3340030000000005E-2</v>
      </c>
      <c r="X4218">
        <v>0.97123280000000001</v>
      </c>
      <c r="Y4218">
        <v>-0.39998990000000001</v>
      </c>
      <c r="Z4218">
        <v>-1.635729E-2</v>
      </c>
      <c r="AA4218">
        <v>0.91637359999999901</v>
      </c>
      <c r="AB4218">
        <v>46</v>
      </c>
      <c r="AC4218">
        <v>-8.9031999999999698</v>
      </c>
      <c r="AD4218">
        <v>-1.1117170287880001</v>
      </c>
      <c r="AE4218">
        <v>-4.6982999999999802</v>
      </c>
      <c r="AF4218">
        <v>-4.1625430584006002</v>
      </c>
      <c r="AG4218">
        <v>-1.1117170287880001</v>
      </c>
      <c r="AH4218">
        <v>9.0325463110550697</v>
      </c>
      <c r="AI4218">
        <v>96.378075551919295</v>
      </c>
      <c r="AJ4218">
        <v>114.742059078278</v>
      </c>
      <c r="AK4218">
        <v>10.0074758219288</v>
      </c>
    </row>
    <row r="4219" spans="1:37" x14ac:dyDescent="0.2">
      <c r="A4219" t="str">
        <f>"20200111153735419"</f>
        <v>20200111153735419</v>
      </c>
      <c r="B4219" t="str">
        <f>"1578728255407037"</f>
        <v>1578728255407037</v>
      </c>
      <c r="C4219" t="s">
        <v>37</v>
      </c>
      <c r="D4219">
        <v>5.7893189999999999</v>
      </c>
      <c r="E4219">
        <v>0.43071409999999999</v>
      </c>
      <c r="F4219" t="s">
        <v>39</v>
      </c>
      <c r="G4219">
        <v>-392.1936</v>
      </c>
      <c r="H4219" s="1">
        <v>-3.7861399999999999E-6</v>
      </c>
      <c r="I4219">
        <v>137.05170000000001</v>
      </c>
      <c r="J4219">
        <v>-383.16320000000002</v>
      </c>
      <c r="K4219">
        <v>1.1118729999999999</v>
      </c>
      <c r="L4219">
        <v>141.7379</v>
      </c>
      <c r="M4219">
        <v>-0.99800219999999995</v>
      </c>
      <c r="N4219">
        <v>0</v>
      </c>
      <c r="O4219">
        <v>-5.9643889999999998E-2</v>
      </c>
      <c r="P4219">
        <v>-0.9568063</v>
      </c>
      <c r="Q4219">
        <v>4.8833130000000002E-2</v>
      </c>
      <c r="R4219">
        <v>-0.28659600000000002</v>
      </c>
      <c r="S4219">
        <v>-2.7452999999999999</v>
      </c>
      <c r="T4219">
        <v>-0.32209199999999999</v>
      </c>
      <c r="U4219">
        <v>-1.3658600000000001</v>
      </c>
      <c r="V4219">
        <v>-0.23013749999999999</v>
      </c>
      <c r="W4219">
        <v>6.5218200000000004E-2</v>
      </c>
      <c r="X4219">
        <v>0.97097029999999995</v>
      </c>
      <c r="Y4219">
        <v>-0.38943499999999998</v>
      </c>
      <c r="Z4219">
        <v>-1.495321E-2</v>
      </c>
      <c r="AA4219">
        <v>0.92093259999999899</v>
      </c>
      <c r="AB4219">
        <v>46</v>
      </c>
      <c r="AC4219">
        <v>-9.0303999999999807</v>
      </c>
      <c r="AD4219">
        <v>-1.1118767861399901</v>
      </c>
      <c r="AE4219">
        <v>-4.6861999999999799</v>
      </c>
      <c r="AF4219">
        <v>-4.0902756556485897</v>
      </c>
      <c r="AG4219">
        <v>-1.1118767861399901</v>
      </c>
      <c r="AH4219">
        <v>9.1841875722262607</v>
      </c>
      <c r="AI4219">
        <v>96.310825378467896</v>
      </c>
      <c r="AJ4219">
        <v>114.00630938042001</v>
      </c>
      <c r="AK4219">
        <v>10.115133527966099</v>
      </c>
    </row>
    <row r="4220" spans="1:37" x14ac:dyDescent="0.2">
      <c r="A4220" t="str">
        <f>"20200111153735442"</f>
        <v>20200111153735442</v>
      </c>
      <c r="B4220" t="str">
        <f>"1578728255437293"</f>
        <v>1578728255437293</v>
      </c>
      <c r="C4220" t="s">
        <v>37</v>
      </c>
      <c r="D4220">
        <v>5.7944779999999998</v>
      </c>
      <c r="E4220">
        <v>0.43155579999999999</v>
      </c>
      <c r="F4220" t="s">
        <v>39</v>
      </c>
      <c r="G4220">
        <v>-393.03570000000002</v>
      </c>
      <c r="H4220" s="1">
        <v>-3.47392E-6</v>
      </c>
      <c r="I4220">
        <v>136.77510000000001</v>
      </c>
      <c r="J4220">
        <v>-383.61759999999998</v>
      </c>
      <c r="K4220">
        <v>1.1120639999999999</v>
      </c>
      <c r="L4220">
        <v>141.70599999999999</v>
      </c>
      <c r="M4220">
        <v>-0.99761010000000006</v>
      </c>
      <c r="N4220">
        <v>0</v>
      </c>
      <c r="O4220">
        <v>-6.5946179999999993E-2</v>
      </c>
      <c r="P4220">
        <v>-0.95476099999999997</v>
      </c>
      <c r="Q4220">
        <v>5.1616499999999899E-2</v>
      </c>
      <c r="R4220">
        <v>-0.29286059999999903</v>
      </c>
      <c r="S4220">
        <v>-2.7388309999999998</v>
      </c>
      <c r="T4220">
        <v>-0.30845840000000002</v>
      </c>
      <c r="U4220">
        <v>-1.376755</v>
      </c>
      <c r="V4220">
        <v>-0.23045399999999999</v>
      </c>
      <c r="W4220">
        <v>6.7668019999999995E-2</v>
      </c>
      <c r="X4220">
        <v>0.97072760000000002</v>
      </c>
      <c r="Y4220">
        <v>-0.38760519999999998</v>
      </c>
      <c r="Z4220">
        <v>-1.3582800000000001E-2</v>
      </c>
      <c r="AA4220">
        <v>0.92172540000000003</v>
      </c>
      <c r="AB4220">
        <v>46</v>
      </c>
      <c r="AC4220">
        <v>-9.4181000000000292</v>
      </c>
      <c r="AD4220">
        <v>-1.11206747392</v>
      </c>
      <c r="AE4220">
        <v>-4.9309000000000003</v>
      </c>
      <c r="AF4220">
        <v>-4.2524086859649204</v>
      </c>
      <c r="AG4220">
        <v>-1.11206747392</v>
      </c>
      <c r="AH4220">
        <v>9.6175895627368693</v>
      </c>
      <c r="AI4220">
        <v>96.036737588126996</v>
      </c>
      <c r="AJ4220">
        <v>113.85257546420399</v>
      </c>
      <c r="AK4220">
        <v>10.5743889987216</v>
      </c>
    </row>
    <row r="4221" spans="1:37" x14ac:dyDescent="0.2">
      <c r="A4221" t="str">
        <f>"20200111153735464"</f>
        <v>20200111153735464</v>
      </c>
      <c r="B4221" t="str">
        <f>"1578728255457789"</f>
        <v>1578728255457789</v>
      </c>
      <c r="C4221" t="s">
        <v>37</v>
      </c>
      <c r="D4221">
        <v>5.7885980000000004</v>
      </c>
      <c r="E4221">
        <v>0.4317085</v>
      </c>
      <c r="F4221" t="s">
        <v>38</v>
      </c>
      <c r="G4221">
        <v>-384.65870000000001</v>
      </c>
      <c r="H4221">
        <v>0.99847249999999999</v>
      </c>
      <c r="I4221">
        <v>141.17670000000001</v>
      </c>
      <c r="J4221">
        <v>-384.07859999999999</v>
      </c>
      <c r="K4221">
        <v>1.1122719999999999</v>
      </c>
      <c r="L4221">
        <v>141.67060000000001</v>
      </c>
      <c r="M4221">
        <v>-0.99715319999999996</v>
      </c>
      <c r="N4221">
        <v>0</v>
      </c>
      <c r="O4221">
        <v>-7.259177E-2</v>
      </c>
      <c r="P4221">
        <v>-0.95273369999999902</v>
      </c>
      <c r="Q4221">
        <v>5.4107089999999997E-2</v>
      </c>
      <c r="R4221">
        <v>-0.29894979999999999</v>
      </c>
      <c r="S4221">
        <v>-2.7321469999999999</v>
      </c>
      <c r="T4221">
        <v>-0.29813840000000003</v>
      </c>
      <c r="U4221">
        <v>-1.3892359999999999</v>
      </c>
      <c r="V4221">
        <v>-0.2302689</v>
      </c>
      <c r="W4221">
        <v>6.9820129999999994E-2</v>
      </c>
      <c r="X4221">
        <v>0.97061909999999896</v>
      </c>
      <c r="Y4221">
        <v>-0.385866599999999</v>
      </c>
      <c r="Z4221">
        <v>-1.238245E-2</v>
      </c>
      <c r="AA4221">
        <v>0.9224715</v>
      </c>
      <c r="AB4221">
        <v>46</v>
      </c>
      <c r="AC4221">
        <v>-0.58010000000001505</v>
      </c>
      <c r="AD4221">
        <v>-0.113799499999999</v>
      </c>
      <c r="AE4221">
        <v>-0.49389999999999601</v>
      </c>
      <c r="AF4221">
        <v>-0.44064604487980003</v>
      </c>
      <c r="AG4221">
        <v>-0.113799499999999</v>
      </c>
      <c r="AH4221">
        <v>0.60102024852692604</v>
      </c>
      <c r="AI4221">
        <v>98.682011983738406</v>
      </c>
      <c r="AJ4221">
        <v>126.247505461561</v>
      </c>
      <c r="AK4221">
        <v>0.75388633241877301</v>
      </c>
    </row>
    <row r="4222" spans="1:37" x14ac:dyDescent="0.2">
      <c r="A4222" t="str">
        <f>"20200111153735487"</f>
        <v>20200111153735487</v>
      </c>
      <c r="B4222" t="str">
        <f>"1578728255477309"</f>
        <v>1578728255477309</v>
      </c>
      <c r="C4222" t="s">
        <v>37</v>
      </c>
      <c r="D4222">
        <v>5.8678460000000001</v>
      </c>
      <c r="E4222">
        <v>0.43216169999999998</v>
      </c>
      <c r="F4222" t="s">
        <v>38</v>
      </c>
      <c r="G4222">
        <v>-385.0641</v>
      </c>
      <c r="H4222">
        <v>1.007471</v>
      </c>
      <c r="I4222">
        <v>141.16200000000001</v>
      </c>
      <c r="J4222">
        <v>-384.52659999999997</v>
      </c>
      <c r="K4222">
        <v>1.112468</v>
      </c>
      <c r="L4222">
        <v>141.63299999999899</v>
      </c>
      <c r="M4222">
        <v>-0.99664830000000004</v>
      </c>
      <c r="N4222">
        <v>0</v>
      </c>
      <c r="O4222">
        <v>-7.9277719999999996E-2</v>
      </c>
      <c r="P4222">
        <v>-0.95085049999999904</v>
      </c>
      <c r="Q4222">
        <v>5.5551589999999998E-2</v>
      </c>
      <c r="R4222">
        <v>-0.30462600000000001</v>
      </c>
      <c r="S4222">
        <v>-2.723846</v>
      </c>
      <c r="T4222">
        <v>-0.28964050000000002</v>
      </c>
      <c r="U4222">
        <v>-1.4067989999999999</v>
      </c>
      <c r="V4222">
        <v>-0.22961119999999999</v>
      </c>
      <c r="W4222">
        <v>7.0956950000000005E-2</v>
      </c>
      <c r="X4222">
        <v>0.97069249999999996</v>
      </c>
      <c r="Y4222">
        <v>-0.38563759999999903</v>
      </c>
      <c r="Z4222">
        <v>-1.137613E-2</v>
      </c>
      <c r="AA4222">
        <v>0.92258019999999996</v>
      </c>
      <c r="AB4222">
        <v>45</v>
      </c>
      <c r="AC4222">
        <v>-0.53750000000002196</v>
      </c>
      <c r="AD4222">
        <v>-0.10499699999999999</v>
      </c>
      <c r="AE4222">
        <v>-0.47099999999997499</v>
      </c>
      <c r="AF4222">
        <v>-0.41787672219021998</v>
      </c>
      <c r="AG4222">
        <v>-0.10499699999999999</v>
      </c>
      <c r="AH4222">
        <v>0.56104494134268501</v>
      </c>
      <c r="AI4222">
        <v>98.535741513798499</v>
      </c>
      <c r="AJ4222">
        <v>126.679427273239</v>
      </c>
      <c r="AK4222">
        <v>0.70740140738032098</v>
      </c>
    </row>
    <row r="4223" spans="1:37" x14ac:dyDescent="0.2">
      <c r="A4223" t="str">
        <f>"20200111153735508"</f>
        <v>20200111153735508</v>
      </c>
      <c r="B4223" t="str">
        <f>"1578728255497805"</f>
        <v>1578728255497805</v>
      </c>
      <c r="C4223" t="s">
        <v>37</v>
      </c>
      <c r="D4223">
        <v>5.7843299999999997</v>
      </c>
      <c r="E4223">
        <v>0.43256030000000001</v>
      </c>
      <c r="F4223" t="s">
        <v>38</v>
      </c>
      <c r="G4223">
        <v>-385.52099999999899</v>
      </c>
      <c r="H4223">
        <v>1.0089459999999999</v>
      </c>
      <c r="I4223">
        <v>141.1131</v>
      </c>
      <c r="J4223">
        <v>-384.95859999999999</v>
      </c>
      <c r="K4223">
        <v>1.112652</v>
      </c>
      <c r="L4223">
        <v>141.59389999999999</v>
      </c>
      <c r="M4223">
        <v>-0.99609890000000001</v>
      </c>
      <c r="N4223">
        <v>0</v>
      </c>
      <c r="O4223">
        <v>-8.5950680000000002E-2</v>
      </c>
      <c r="P4223">
        <v>-0.94908919999999997</v>
      </c>
      <c r="Q4223">
        <v>5.654961E-2</v>
      </c>
      <c r="R4223">
        <v>-0.3098899</v>
      </c>
      <c r="S4223">
        <v>-2.7166139999999999</v>
      </c>
      <c r="T4223">
        <v>-0.28282180000000001</v>
      </c>
      <c r="U4223">
        <v>-1.420166</v>
      </c>
      <c r="V4223">
        <v>-0.22854240000000001</v>
      </c>
      <c r="W4223">
        <v>7.1680839999999996E-2</v>
      </c>
      <c r="X4223">
        <v>0.97089150000000002</v>
      </c>
      <c r="Y4223">
        <v>-0.38413069999999999</v>
      </c>
      <c r="Z4223">
        <v>-1.040748E-2</v>
      </c>
      <c r="AA4223">
        <v>0.92322009999999899</v>
      </c>
      <c r="AB4223">
        <v>45</v>
      </c>
      <c r="AC4223">
        <v>-0.56239999999996804</v>
      </c>
      <c r="AD4223">
        <v>-0.10370600000000001</v>
      </c>
      <c r="AE4223">
        <v>-0.48079999999998702</v>
      </c>
      <c r="AF4223">
        <v>-0.42237414818052199</v>
      </c>
      <c r="AG4223">
        <v>-0.10370600000000001</v>
      </c>
      <c r="AH4223">
        <v>0.59005953088719099</v>
      </c>
      <c r="AI4223">
        <v>98.133312992956803</v>
      </c>
      <c r="AJ4223">
        <v>125.595699540475</v>
      </c>
      <c r="AK4223">
        <v>0.73302462815244795</v>
      </c>
    </row>
    <row r="4224" spans="1:37" x14ac:dyDescent="0.2">
      <c r="A4224" t="str">
        <f>"20200111153735530"</f>
        <v>20200111153735530</v>
      </c>
      <c r="B4224" t="str">
        <f>"1578728255527085"</f>
        <v>1578728255527085</v>
      </c>
      <c r="C4224" t="s">
        <v>37</v>
      </c>
      <c r="D4224">
        <v>5.7915179999999999</v>
      </c>
      <c r="E4224">
        <v>0.43185119999999999</v>
      </c>
      <c r="F4224" t="s">
        <v>39</v>
      </c>
      <c r="G4224">
        <v>-395.89980000000003</v>
      </c>
      <c r="H4224" s="1">
        <v>-2.41671799999999E-6</v>
      </c>
      <c r="I4224">
        <v>135.8083</v>
      </c>
      <c r="J4224">
        <v>-385.39330000000001</v>
      </c>
      <c r="K4224">
        <v>1.112843</v>
      </c>
      <c r="L4224">
        <v>141.5514</v>
      </c>
      <c r="M4224">
        <v>-0.99547819999999998</v>
      </c>
      <c r="N4224">
        <v>0</v>
      </c>
      <c r="O4224">
        <v>-9.2901860000000003E-2</v>
      </c>
      <c r="P4224">
        <v>-0.94734050000000003</v>
      </c>
      <c r="Q4224">
        <v>5.7388599999999998E-2</v>
      </c>
      <c r="R4224">
        <v>-0.31504450000000001</v>
      </c>
      <c r="S4224">
        <v>-2.7095340000000001</v>
      </c>
      <c r="T4224">
        <v>-0.27554229999999902</v>
      </c>
      <c r="U4224">
        <v>-1.4327239999999899</v>
      </c>
      <c r="V4224">
        <v>-0.22709509999999999</v>
      </c>
      <c r="W4224">
        <v>7.2267730000000002E-2</v>
      </c>
      <c r="X4224">
        <v>0.97118749999999998</v>
      </c>
      <c r="Y4224">
        <v>-0.38212659999999998</v>
      </c>
      <c r="Z4224">
        <v>-9.4060659999999994E-3</v>
      </c>
      <c r="AA4224">
        <v>0.924062099999999</v>
      </c>
      <c r="AB4224">
        <v>45</v>
      </c>
      <c r="AC4224">
        <v>-10.506500000000001</v>
      </c>
      <c r="AD4224">
        <v>-1.112845416718</v>
      </c>
      <c r="AE4224">
        <v>-5.7430999999999903</v>
      </c>
      <c r="AF4224">
        <v>-4.7013775180864599</v>
      </c>
      <c r="AG4224">
        <v>-1.112845416718</v>
      </c>
      <c r="AH4224">
        <v>10.900535135904899</v>
      </c>
      <c r="AI4224">
        <v>95.355458879531795</v>
      </c>
      <c r="AJ4224">
        <v>113.330433377155</v>
      </c>
      <c r="AK4224">
        <v>11.9232144046049</v>
      </c>
    </row>
    <row r="4225" spans="1:37" x14ac:dyDescent="0.2">
      <c r="A4225" t="str">
        <f>"20200111153735553"</f>
        <v>20200111153735553</v>
      </c>
      <c r="B4225" t="str">
        <f>"1578728255547580"</f>
        <v>1578728255547580</v>
      </c>
      <c r="C4225" t="s">
        <v>37</v>
      </c>
      <c r="D4225">
        <v>5.8259889999999999</v>
      </c>
      <c r="E4225">
        <v>0.4317571</v>
      </c>
      <c r="F4225" t="s">
        <v>39</v>
      </c>
      <c r="G4225">
        <v>-396.22930000000002</v>
      </c>
      <c r="H4225" s="1">
        <v>-2.3059860000000001E-6</v>
      </c>
      <c r="I4225">
        <v>135.71969999999999</v>
      </c>
      <c r="J4225">
        <v>-385.8451</v>
      </c>
      <c r="K4225">
        <v>1.113043</v>
      </c>
      <c r="L4225">
        <v>141.50389999999999</v>
      </c>
      <c r="M4225">
        <v>-0.99475689999999894</v>
      </c>
      <c r="N4225">
        <v>0</v>
      </c>
      <c r="O4225">
        <v>-0.10036299999999999</v>
      </c>
      <c r="P4225">
        <v>-0.94541319999999995</v>
      </c>
      <c r="Q4225">
        <v>5.7292370000000002E-2</v>
      </c>
      <c r="R4225">
        <v>-0.32079819999999998</v>
      </c>
      <c r="S4225">
        <v>-2.7002869999999999</v>
      </c>
      <c r="T4225">
        <v>-0.2773176</v>
      </c>
      <c r="U4225">
        <v>-1.453201</v>
      </c>
      <c r="V4225">
        <v>-0.22574910000000001</v>
      </c>
      <c r="W4225">
        <v>7.1924329999999995E-2</v>
      </c>
      <c r="X4225">
        <v>0.97152669999999997</v>
      </c>
      <c r="Y4225">
        <v>-0.38197429999999999</v>
      </c>
      <c r="Z4225">
        <v>-8.7675389999999995E-3</v>
      </c>
      <c r="AA4225">
        <v>0.92413140000000005</v>
      </c>
      <c r="AB4225">
        <v>45</v>
      </c>
      <c r="AC4225">
        <v>-10.3842</v>
      </c>
      <c r="AD4225">
        <v>-1.1130453059859999</v>
      </c>
      <c r="AE4225">
        <v>-5.7841999999999896</v>
      </c>
      <c r="AF4225">
        <v>-4.6716304019132604</v>
      </c>
      <c r="AG4225">
        <v>-1.1130453059859999</v>
      </c>
      <c r="AH4225">
        <v>10.817528400031</v>
      </c>
      <c r="AI4225">
        <v>95.396182867295494</v>
      </c>
      <c r="AJ4225">
        <v>113.35746190220701</v>
      </c>
      <c r="AK4225">
        <v>11.8356208603831</v>
      </c>
    </row>
    <row r="4226" spans="1:37" x14ac:dyDescent="0.2">
      <c r="A4226" t="str">
        <f>"20200111153735575"</f>
        <v>20200111153735575</v>
      </c>
      <c r="B4226" t="str">
        <f>"1578728255567104"</f>
        <v>1578728255567104</v>
      </c>
      <c r="C4226" t="s">
        <v>37</v>
      </c>
      <c r="D4226">
        <v>5.8509719999999996</v>
      </c>
      <c r="E4226">
        <v>0.43155270000000001</v>
      </c>
      <c r="F4226" t="s">
        <v>39</v>
      </c>
      <c r="G4226">
        <v>-396.55790000000002</v>
      </c>
      <c r="H4226" s="1">
        <v>-2.2122409999999998E-6</v>
      </c>
      <c r="I4226">
        <v>135.65180000000001</v>
      </c>
      <c r="J4226">
        <v>-386.29349999999999</v>
      </c>
      <c r="K4226">
        <v>1.1132409999999999</v>
      </c>
      <c r="L4226">
        <v>141.45330000000001</v>
      </c>
      <c r="M4226">
        <v>-0.99396010000000001</v>
      </c>
      <c r="N4226">
        <v>0</v>
      </c>
      <c r="O4226">
        <v>-0.107994699999999</v>
      </c>
      <c r="P4226">
        <v>-0.94322609999999996</v>
      </c>
      <c r="Q4226">
        <v>5.6141290000000003E-2</v>
      </c>
      <c r="R4226">
        <v>-0.32737319999999998</v>
      </c>
      <c r="S4226">
        <v>-2.6912539999999998</v>
      </c>
      <c r="T4226">
        <v>-0.27961819999999998</v>
      </c>
      <c r="U4226">
        <v>-1.4701229999999901</v>
      </c>
      <c r="V4226">
        <v>-0.22506139999999999</v>
      </c>
      <c r="W4226">
        <v>7.0530759999999998E-2</v>
      </c>
      <c r="X4226">
        <v>0.97178850000000006</v>
      </c>
      <c r="Y4226">
        <v>-0.38068150000000001</v>
      </c>
      <c r="Z4226">
        <v>-8.0647069999999904E-3</v>
      </c>
      <c r="AA4226">
        <v>0.92467109999999997</v>
      </c>
      <c r="AB4226">
        <v>45</v>
      </c>
      <c r="AC4226">
        <v>-10.2644</v>
      </c>
      <c r="AD4226">
        <v>-1.1132432122409901</v>
      </c>
      <c r="AE4226">
        <v>-5.8014999999999999</v>
      </c>
      <c r="AF4226">
        <v>-4.6176788279022301</v>
      </c>
      <c r="AG4226">
        <v>-1.1132432122409901</v>
      </c>
      <c r="AH4226">
        <v>10.7352916299031</v>
      </c>
      <c r="AI4226">
        <v>95.4416095211335</v>
      </c>
      <c r="AJ4226">
        <v>113.27447634885201</v>
      </c>
      <c r="AK4226">
        <v>11.739197356988401</v>
      </c>
    </row>
    <row r="4227" spans="1:37" x14ac:dyDescent="0.2">
      <c r="A4227" t="str">
        <f>"20200111153735597"</f>
        <v>20200111153735597</v>
      </c>
      <c r="B4227" t="str">
        <f>"1578728255587596"</f>
        <v>1578728255587596</v>
      </c>
      <c r="C4227" t="s">
        <v>37</v>
      </c>
      <c r="D4227">
        <v>5.8369450000000001</v>
      </c>
      <c r="E4227">
        <v>0.43152749999999901</v>
      </c>
      <c r="F4227" t="s">
        <v>39</v>
      </c>
      <c r="G4227">
        <v>-396.72629999999998</v>
      </c>
      <c r="H4227" s="1">
        <v>-2.1537429999999999E-6</v>
      </c>
      <c r="I4227">
        <v>135.65629999999999</v>
      </c>
      <c r="J4227">
        <v>-386.71980000000002</v>
      </c>
      <c r="K4227">
        <v>1.113418</v>
      </c>
      <c r="L4227">
        <v>141.40190000000001</v>
      </c>
      <c r="M4227">
        <v>-0.99312420000000001</v>
      </c>
      <c r="N4227">
        <v>0</v>
      </c>
      <c r="O4227">
        <v>-0.1154501</v>
      </c>
      <c r="P4227">
        <v>-0.94058310000000001</v>
      </c>
      <c r="Q4227">
        <v>5.3945739999999999E-2</v>
      </c>
      <c r="R4227">
        <v>-0.33525090000000002</v>
      </c>
      <c r="S4227">
        <v>-2.6806030000000001</v>
      </c>
      <c r="T4227">
        <v>-0.28603729999999999</v>
      </c>
      <c r="U4227">
        <v>-1.489471</v>
      </c>
      <c r="V4227">
        <v>-0.22587080000000001</v>
      </c>
      <c r="W4227">
        <v>6.8085720000000002E-2</v>
      </c>
      <c r="X4227">
        <v>0.97177500000000006</v>
      </c>
      <c r="Y4227">
        <v>-0.38038539999999998</v>
      </c>
      <c r="Z4227">
        <v>-7.5240990000000002E-3</v>
      </c>
      <c r="AA4227">
        <v>0.92479750000000005</v>
      </c>
      <c r="AB4227">
        <v>45</v>
      </c>
      <c r="AC4227">
        <v>-10.0064999999999</v>
      </c>
      <c r="AD4227">
        <v>-1.113420153743</v>
      </c>
      <c r="AE4227">
        <v>-5.74560000000002</v>
      </c>
      <c r="AF4227">
        <v>-4.5097073121447302</v>
      </c>
      <c r="AG4227">
        <v>-1.113420153743</v>
      </c>
      <c r="AH4227">
        <v>10.5052033267011</v>
      </c>
      <c r="AI4227">
        <v>95.562650462635204</v>
      </c>
      <c r="AJ4227">
        <v>113.233035020565</v>
      </c>
      <c r="AK4227">
        <v>11.4863597982696</v>
      </c>
    </row>
    <row r="4228" spans="1:37" x14ac:dyDescent="0.2">
      <c r="A4228" t="str">
        <f>"20200111153735620"</f>
        <v>20200111153735620</v>
      </c>
      <c r="B4228" t="str">
        <f>"1578728255617854"</f>
        <v>1578728255617854</v>
      </c>
      <c r="C4228" t="s">
        <v>37</v>
      </c>
      <c r="D4228">
        <v>5.8601960000000002</v>
      </c>
      <c r="E4228">
        <v>0.43113429999999903</v>
      </c>
      <c r="F4228" t="s">
        <v>39</v>
      </c>
      <c r="G4228">
        <v>-396.85090000000002</v>
      </c>
      <c r="H4228" s="1">
        <v>-2.1091400000000001E-6</v>
      </c>
      <c r="I4228">
        <v>135.66460000000001</v>
      </c>
      <c r="J4228">
        <v>-387.16320000000002</v>
      </c>
      <c r="K4228">
        <v>1.113607</v>
      </c>
      <c r="L4228">
        <v>141.34479999999999</v>
      </c>
      <c r="M4228">
        <v>-0.99217099999999903</v>
      </c>
      <c r="N4228">
        <v>0</v>
      </c>
      <c r="O4228">
        <v>-0.1233918</v>
      </c>
      <c r="P4228">
        <v>-0.93736129999999995</v>
      </c>
      <c r="Q4228">
        <v>5.2357599999999997E-2</v>
      </c>
      <c r="R4228">
        <v>-0.34440209999999999</v>
      </c>
      <c r="S4228">
        <v>-2.6678470000000001</v>
      </c>
      <c r="T4228">
        <v>-0.29320159999999901</v>
      </c>
      <c r="U4228">
        <v>-1.5108029999999999</v>
      </c>
      <c r="V4228">
        <v>-0.22755600000000001</v>
      </c>
      <c r="W4228">
        <v>6.623358E-2</v>
      </c>
      <c r="X4228">
        <v>0.97150990000000004</v>
      </c>
      <c r="Y4228">
        <v>-0.38045879999999999</v>
      </c>
      <c r="Z4228">
        <v>-6.941315E-3</v>
      </c>
      <c r="AA4228">
        <v>0.92477180000000003</v>
      </c>
      <c r="AB4228">
        <v>45</v>
      </c>
      <c r="AC4228">
        <v>-9.6876999999999995</v>
      </c>
      <c r="AD4228">
        <v>-1.11360910914</v>
      </c>
      <c r="AE4228">
        <v>-5.6801999999999797</v>
      </c>
      <c r="AF4228">
        <v>-4.3979256045677202</v>
      </c>
      <c r="AG4228">
        <v>-1.11360910914</v>
      </c>
      <c r="AH4228">
        <v>10.2142210950737</v>
      </c>
      <c r="AI4228">
        <v>95.718396190503199</v>
      </c>
      <c r="AJ4228">
        <v>113.29520666717001</v>
      </c>
      <c r="AK4228">
        <v>11.1764121009527</v>
      </c>
    </row>
    <row r="4229" spans="1:37" x14ac:dyDescent="0.2">
      <c r="A4229" t="str">
        <f>"20200111153735643"</f>
        <v>20200111153735643</v>
      </c>
      <c r="B4229" t="str">
        <f>"1578728255637372"</f>
        <v>1578728255637372</v>
      </c>
      <c r="C4229" t="s">
        <v>37</v>
      </c>
      <c r="D4229">
        <v>5.8695269999999997</v>
      </c>
      <c r="E4229">
        <v>0.43086029999999997</v>
      </c>
      <c r="F4229" t="s">
        <v>38</v>
      </c>
      <c r="G4229">
        <v>-388.19799999999998</v>
      </c>
      <c r="H4229">
        <v>0.99644599999999905</v>
      </c>
      <c r="I4229">
        <v>140.74449999999999</v>
      </c>
      <c r="J4229">
        <v>-387.61599999999999</v>
      </c>
      <c r="K4229">
        <v>1.113794</v>
      </c>
      <c r="L4229">
        <v>141.2825</v>
      </c>
      <c r="M4229">
        <v>-0.99110549999999997</v>
      </c>
      <c r="N4229">
        <v>0</v>
      </c>
      <c r="O4229">
        <v>-0.131691</v>
      </c>
      <c r="P4229">
        <v>-0.93384709999999904</v>
      </c>
      <c r="Q4229">
        <v>5.1828069999999997E-2</v>
      </c>
      <c r="R4229">
        <v>-0.35389729999999903</v>
      </c>
      <c r="S4229">
        <v>-2.6518250000000001</v>
      </c>
      <c r="T4229">
        <v>-0.30023670000000002</v>
      </c>
      <c r="U4229">
        <v>-1.538864</v>
      </c>
      <c r="V4229">
        <v>-0.229301</v>
      </c>
      <c r="W4229">
        <v>6.5452789999999997E-2</v>
      </c>
      <c r="X4229">
        <v>0.97115239999999903</v>
      </c>
      <c r="Y4229">
        <v>-0.38243919999999998</v>
      </c>
      <c r="Z4229">
        <v>-6.3831419999999996E-3</v>
      </c>
      <c r="AA4229">
        <v>0.92395869999999902</v>
      </c>
      <c r="AB4229">
        <v>45</v>
      </c>
      <c r="AC4229">
        <v>-0.58200000000005003</v>
      </c>
      <c r="AD4229">
        <v>-0.11734799999999999</v>
      </c>
      <c r="AE4229">
        <v>-0.53800000000001003</v>
      </c>
      <c r="AF4229">
        <v>-0.44685855537709801</v>
      </c>
      <c r="AG4229">
        <v>-0.11734799999999999</v>
      </c>
      <c r="AH4229">
        <v>0.63389603730281796</v>
      </c>
      <c r="AI4229">
        <v>98.603919350861702</v>
      </c>
      <c r="AJ4229">
        <v>125.181533096496</v>
      </c>
      <c r="AK4229">
        <v>0.78439614209015696</v>
      </c>
    </row>
    <row r="4230" spans="1:37" x14ac:dyDescent="0.2">
      <c r="A4230" t="str">
        <f>"20200111153735665"</f>
        <v>20200111153735665</v>
      </c>
      <c r="B4230" t="str">
        <f>"1578728255656892"</f>
        <v>1578728255656892</v>
      </c>
      <c r="C4230" t="s">
        <v>37</v>
      </c>
      <c r="D4230">
        <v>5.9038050000000002</v>
      </c>
      <c r="E4230">
        <v>0.4306352</v>
      </c>
      <c r="F4230" t="s">
        <v>38</v>
      </c>
      <c r="G4230">
        <v>-388.59160000000003</v>
      </c>
      <c r="H4230">
        <v>1.0011299999999901</v>
      </c>
      <c r="I4230">
        <v>140.70230000000001</v>
      </c>
      <c r="J4230">
        <v>-388.05829999999997</v>
      </c>
      <c r="K4230">
        <v>1.113964</v>
      </c>
      <c r="L4230">
        <v>141.21780000000001</v>
      </c>
      <c r="M4230">
        <v>-0.98997599999999997</v>
      </c>
      <c r="N4230">
        <v>0</v>
      </c>
      <c r="O4230">
        <v>-0.13994179999999901</v>
      </c>
      <c r="P4230">
        <v>-0.93038509999999996</v>
      </c>
      <c r="Q4230">
        <v>5.2346999999999998E-2</v>
      </c>
      <c r="R4230">
        <v>-0.36282720000000002</v>
      </c>
      <c r="S4230">
        <v>-2.635437</v>
      </c>
      <c r="T4230">
        <v>-0.3043479</v>
      </c>
      <c r="U4230">
        <v>-1.5672299999999999</v>
      </c>
      <c r="V4230">
        <v>-0.23055719999999999</v>
      </c>
      <c r="W4230">
        <v>6.5748749999999995E-2</v>
      </c>
      <c r="X4230">
        <v>0.97083489999999995</v>
      </c>
      <c r="Y4230">
        <v>-0.38461119999999999</v>
      </c>
      <c r="Z4230">
        <v>-5.7499990000000004E-3</v>
      </c>
      <c r="AA4230">
        <v>0.92306080000000001</v>
      </c>
      <c r="AB4230">
        <v>45</v>
      </c>
      <c r="AC4230">
        <v>-0.53330000000005295</v>
      </c>
      <c r="AD4230">
        <v>-0.112834</v>
      </c>
      <c r="AE4230">
        <v>-0.51550000000000296</v>
      </c>
      <c r="AF4230">
        <v>-0.42592423660962497</v>
      </c>
      <c r="AG4230">
        <v>-0.112834</v>
      </c>
      <c r="AH4230">
        <v>0.58662769363840395</v>
      </c>
      <c r="AI4230">
        <v>98.846827694320694</v>
      </c>
      <c r="AJ4230">
        <v>125.98173022522801</v>
      </c>
      <c r="AK4230">
        <v>0.73367228231070902</v>
      </c>
    </row>
    <row r="4231" spans="1:37" x14ac:dyDescent="0.2">
      <c r="A4231" t="str">
        <f>"20200111153735687"</f>
        <v>20200111153735687</v>
      </c>
      <c r="B4231" t="str">
        <f>"1578728255677388"</f>
        <v>1578728255677388</v>
      </c>
      <c r="C4231" t="s">
        <v>37</v>
      </c>
      <c r="D4231">
        <v>6.0209679999999999</v>
      </c>
      <c r="E4231">
        <v>0.43053350000000001</v>
      </c>
      <c r="F4231" t="s">
        <v>38</v>
      </c>
      <c r="G4231">
        <v>-388.9873</v>
      </c>
      <c r="H4231">
        <v>1.006162</v>
      </c>
      <c r="I4231">
        <v>140.6525</v>
      </c>
      <c r="J4231">
        <v>-388.47109999999998</v>
      </c>
      <c r="K4231">
        <v>1.114099</v>
      </c>
      <c r="L4231">
        <v>141.1541</v>
      </c>
      <c r="M4231">
        <v>-0.98884289999999997</v>
      </c>
      <c r="N4231">
        <v>0</v>
      </c>
      <c r="O4231">
        <v>-0.14774709999999999</v>
      </c>
      <c r="P4231">
        <v>-0.92712899999999998</v>
      </c>
      <c r="Q4231">
        <v>5.3273760000000003E-2</v>
      </c>
      <c r="R4231">
        <v>-0.37093589999999999</v>
      </c>
      <c r="S4231">
        <v>-2.619812</v>
      </c>
      <c r="T4231">
        <v>-0.30400300000000002</v>
      </c>
      <c r="U4231">
        <v>-1.5944670000000001</v>
      </c>
      <c r="V4231">
        <v>-0.23142489999999999</v>
      </c>
      <c r="W4231">
        <v>6.6485269999999999E-2</v>
      </c>
      <c r="X4231">
        <v>0.9705783</v>
      </c>
      <c r="Y4231">
        <v>-0.3868086</v>
      </c>
      <c r="Z4231">
        <v>-5.0689209999999997E-3</v>
      </c>
      <c r="AA4231">
        <v>0.92214609999999997</v>
      </c>
      <c r="AB4231">
        <v>44</v>
      </c>
      <c r="AC4231">
        <v>-0.51620000000002597</v>
      </c>
      <c r="AD4231">
        <v>-0.10793699999999901</v>
      </c>
      <c r="AE4231">
        <v>-0.50159999999999605</v>
      </c>
      <c r="AF4231">
        <v>-0.41057900666416902</v>
      </c>
      <c r="AG4231">
        <v>-0.10793699999999901</v>
      </c>
      <c r="AH4231">
        <v>0.57179730444246102</v>
      </c>
      <c r="AI4231">
        <v>98.717456624014403</v>
      </c>
      <c r="AJ4231">
        <v>125.68023412568</v>
      </c>
      <c r="AK4231">
        <v>0.71216407803960502</v>
      </c>
    </row>
    <row r="4232" spans="1:37" x14ac:dyDescent="0.2">
      <c r="A4232" t="str">
        <f>"20200111153735709"</f>
        <v>20200111153735709</v>
      </c>
      <c r="B4232" t="str">
        <f>"1578728255696909"</f>
        <v>1578728255696909</v>
      </c>
      <c r="C4232" t="s">
        <v>37</v>
      </c>
      <c r="D4232">
        <v>5.8948749999999999</v>
      </c>
      <c r="E4232">
        <v>0.43032399999999998</v>
      </c>
      <c r="F4232" t="s">
        <v>38</v>
      </c>
      <c r="G4232">
        <v>-389.40910000000002</v>
      </c>
      <c r="H4232">
        <v>1.005306</v>
      </c>
      <c r="I4232">
        <v>140.57140000000001</v>
      </c>
      <c r="J4232">
        <v>-388.90690000000001</v>
      </c>
      <c r="K4232">
        <v>1.1142129999999999</v>
      </c>
      <c r="L4232">
        <v>141.08320000000001</v>
      </c>
      <c r="M4232">
        <v>-0.98756369999999905</v>
      </c>
      <c r="N4232">
        <v>0</v>
      </c>
      <c r="O4232">
        <v>-0.15608159999999999</v>
      </c>
      <c r="P4232">
        <v>-0.92381769999999996</v>
      </c>
      <c r="Q4232">
        <v>5.4121370000000002E-2</v>
      </c>
      <c r="R4232">
        <v>-0.3789882</v>
      </c>
      <c r="S4232">
        <v>-2.60562099999999</v>
      </c>
      <c r="T4232">
        <v>-0.30220590000000003</v>
      </c>
      <c r="U4232">
        <v>-1.6184540000000001</v>
      </c>
      <c r="V4232">
        <v>-0.23172970000000001</v>
      </c>
      <c r="W4232">
        <v>6.7153249999999998E-2</v>
      </c>
      <c r="X4232">
        <v>0.97045959999999998</v>
      </c>
      <c r="Y4232">
        <v>-0.38746059999999999</v>
      </c>
      <c r="Z4232">
        <v>-4.2292320000000003E-3</v>
      </c>
      <c r="AA4232">
        <v>0.92187649999999999</v>
      </c>
      <c r="AB4232">
        <v>44</v>
      </c>
      <c r="AC4232">
        <v>-0.50220000000001597</v>
      </c>
      <c r="AD4232">
        <v>-0.108906999999999</v>
      </c>
      <c r="AE4232">
        <v>-0.51179999999999304</v>
      </c>
      <c r="AF4232">
        <v>-0.41749589053872199</v>
      </c>
      <c r="AG4232">
        <v>-0.108906999999999</v>
      </c>
      <c r="AH4232">
        <v>0.56295301284228605</v>
      </c>
      <c r="AI4232">
        <v>98.832456482641504</v>
      </c>
      <c r="AJ4232">
        <v>126.561284011444</v>
      </c>
      <c r="AK4232">
        <v>0.70928107822916597</v>
      </c>
    </row>
    <row r="4233" spans="1:37" x14ac:dyDescent="0.2">
      <c r="A4233" t="str">
        <f>"20200111153735733"</f>
        <v>20200111153735733</v>
      </c>
      <c r="B4233" t="str">
        <f>"1578728255727165"</f>
        <v>1578728255727165</v>
      </c>
      <c r="C4233" t="s">
        <v>37</v>
      </c>
      <c r="D4233">
        <v>5.9245010000000002</v>
      </c>
      <c r="E4233">
        <v>0.43006939999999999</v>
      </c>
      <c r="F4233" t="s">
        <v>39</v>
      </c>
      <c r="G4233">
        <v>-398.5027</v>
      </c>
      <c r="H4233" s="1">
        <v>-1.7243139999999999E-6</v>
      </c>
      <c r="I4233">
        <v>134.9983</v>
      </c>
      <c r="J4233">
        <v>-389.34870000000001</v>
      </c>
      <c r="K4233">
        <v>1.1143049999999901</v>
      </c>
      <c r="L4233">
        <v>141.00749999999999</v>
      </c>
      <c r="M4233">
        <v>-0.98618039999999996</v>
      </c>
      <c r="N4233">
        <v>0</v>
      </c>
      <c r="O4233">
        <v>-0.16460829999999901</v>
      </c>
      <c r="P4233">
        <v>-0.92071099999999995</v>
      </c>
      <c r="Q4233">
        <v>5.4371650000000001E-2</v>
      </c>
      <c r="R4233">
        <v>-0.38643909999999998</v>
      </c>
      <c r="S4233">
        <v>-2.590973</v>
      </c>
      <c r="T4233">
        <v>-0.30085240000000002</v>
      </c>
      <c r="U4233">
        <v>-1.64299</v>
      </c>
      <c r="V4233">
        <v>-0.231209</v>
      </c>
      <c r="W4233">
        <v>6.7249359999999994E-2</v>
      </c>
      <c r="X4233">
        <v>0.97057709999999997</v>
      </c>
      <c r="Y4233">
        <v>-0.388129</v>
      </c>
      <c r="Z4233">
        <v>-3.3841650000000002E-3</v>
      </c>
      <c r="AA4233">
        <v>0.9215989</v>
      </c>
      <c r="AB4233">
        <v>44</v>
      </c>
      <c r="AC4233">
        <v>-9.1539999999999893</v>
      </c>
      <c r="AD4233">
        <v>-1.1143067243139999</v>
      </c>
      <c r="AE4233">
        <v>-6.0091999999999901</v>
      </c>
      <c r="AF4233">
        <v>-4.3748066353486097</v>
      </c>
      <c r="AG4233">
        <v>-1.1143067243139999</v>
      </c>
      <c r="AH4233">
        <v>9.9157428943207808</v>
      </c>
      <c r="AI4233">
        <v>95.870260784686593</v>
      </c>
      <c r="AJ4233">
        <v>113.806979473667</v>
      </c>
      <c r="AK4233">
        <v>10.8950708909494</v>
      </c>
    </row>
    <row r="4234" spans="1:37" x14ac:dyDescent="0.2">
      <c r="A4234" t="str">
        <f>"20200111153735755"</f>
        <v>20200111153735755</v>
      </c>
      <c r="B4234" t="str">
        <f>"1578728255747660"</f>
        <v>1578728255747660</v>
      </c>
      <c r="C4234" t="s">
        <v>37</v>
      </c>
      <c r="D4234">
        <v>5.917662</v>
      </c>
      <c r="E4234">
        <v>0.42990279999999997</v>
      </c>
      <c r="F4234" t="s">
        <v>39</v>
      </c>
      <c r="G4234">
        <v>-398.8929</v>
      </c>
      <c r="H4234" s="1">
        <v>-1.6349349999999999E-6</v>
      </c>
      <c r="I4234">
        <v>134.83500000000001</v>
      </c>
      <c r="J4234">
        <v>-389.78590000000003</v>
      </c>
      <c r="K4234">
        <v>1.114377</v>
      </c>
      <c r="L4234">
        <v>140.92869999999999</v>
      </c>
      <c r="M4234">
        <v>-0.98472630000000005</v>
      </c>
      <c r="N4234">
        <v>0</v>
      </c>
      <c r="O4234">
        <v>-0.17310629999999999</v>
      </c>
      <c r="P4234">
        <v>-0.91726589999999997</v>
      </c>
      <c r="Q4234">
        <v>5.4100849999999999E-2</v>
      </c>
      <c r="R4234">
        <v>-0.39458389999999999</v>
      </c>
      <c r="S4234">
        <v>-2.576721</v>
      </c>
      <c r="T4234">
        <v>-0.30083670000000001</v>
      </c>
      <c r="U4234">
        <v>-1.6663969999999999</v>
      </c>
      <c r="V4234">
        <v>-0.23144439999999999</v>
      </c>
      <c r="W4234">
        <v>6.6811170000000003E-2</v>
      </c>
      <c r="X4234">
        <v>0.97055130000000001</v>
      </c>
      <c r="Y4234">
        <v>-0.38845049999999998</v>
      </c>
      <c r="Z4234">
        <v>-2.5406309999999998E-3</v>
      </c>
      <c r="AA4234">
        <v>0.92146609999999995</v>
      </c>
      <c r="AB4234">
        <v>44</v>
      </c>
      <c r="AC4234">
        <v>-9.1069999999999691</v>
      </c>
      <c r="AD4234">
        <v>-1.114378634935</v>
      </c>
      <c r="AE4234">
        <v>-6.0936999999999797</v>
      </c>
      <c r="AF4234">
        <v>-4.3796217221163101</v>
      </c>
      <c r="AG4234">
        <v>-1.114378634935</v>
      </c>
      <c r="AH4234">
        <v>9.9218884129735194</v>
      </c>
      <c r="AI4234">
        <v>95.866569870540602</v>
      </c>
      <c r="AJ4234">
        <v>113.81714744819401</v>
      </c>
      <c r="AK4234">
        <v>10.9026050029491</v>
      </c>
    </row>
    <row r="4235" spans="1:37" x14ac:dyDescent="0.2">
      <c r="A4235" t="str">
        <f>"20200111153735777"</f>
        <v>20200111153735777</v>
      </c>
      <c r="B4235" t="str">
        <f>"1578728255767181"</f>
        <v>1578728255767181</v>
      </c>
      <c r="C4235" t="s">
        <v>37</v>
      </c>
      <c r="D4235">
        <v>5.9523339999999996</v>
      </c>
      <c r="E4235">
        <v>0.429737799999999</v>
      </c>
      <c r="F4235" t="s">
        <v>39</v>
      </c>
      <c r="G4235">
        <v>-399.21800000000002</v>
      </c>
      <c r="H4235" s="1">
        <v>-1.5595109999999999E-6</v>
      </c>
      <c r="I4235">
        <v>134.70269999999999</v>
      </c>
      <c r="J4235">
        <v>-390.21370000000002</v>
      </c>
      <c r="K4235">
        <v>1.114433</v>
      </c>
      <c r="L4235">
        <v>140.84790000000001</v>
      </c>
      <c r="M4235">
        <v>-0.98322109999999996</v>
      </c>
      <c r="N4235">
        <v>0</v>
      </c>
      <c r="O4235">
        <v>-0.18147430000000001</v>
      </c>
      <c r="P4235">
        <v>-0.91360620000000003</v>
      </c>
      <c r="Q4235">
        <v>5.3767589999999997E-2</v>
      </c>
      <c r="R4235">
        <v>-0.40302979999999999</v>
      </c>
      <c r="S4235">
        <v>-2.5611269999999999</v>
      </c>
      <c r="T4235">
        <v>-0.30258970000000002</v>
      </c>
      <c r="U4235">
        <v>-1.6905520000000001</v>
      </c>
      <c r="V4235">
        <v>-0.23214470000000001</v>
      </c>
      <c r="W4235">
        <v>6.6298770000000007E-2</v>
      </c>
      <c r="X4235">
        <v>0.97041919999999904</v>
      </c>
      <c r="Y4235">
        <v>-0.38927209999999901</v>
      </c>
      <c r="Z4235">
        <v>-1.746802E-3</v>
      </c>
      <c r="AA4235">
        <v>0.92112119999999997</v>
      </c>
      <c r="AB4235">
        <v>44</v>
      </c>
      <c r="AC4235">
        <v>-9.0043000000000006</v>
      </c>
      <c r="AD4235">
        <v>-1.1144345595109999</v>
      </c>
      <c r="AE4235">
        <v>-6.1452000000000098</v>
      </c>
      <c r="AF4235">
        <v>-4.36319993778182</v>
      </c>
      <c r="AG4235">
        <v>-1.1144345595109999</v>
      </c>
      <c r="AH4235">
        <v>9.8670087404897302</v>
      </c>
      <c r="AI4235">
        <v>95.897551808099294</v>
      </c>
      <c r="AJ4235">
        <v>113.855056413412</v>
      </c>
      <c r="AK4235">
        <v>10.846074846200899</v>
      </c>
    </row>
    <row r="4236" spans="1:37" x14ac:dyDescent="0.2">
      <c r="A4236" t="str">
        <f>"20200111153735811"</f>
        <v>20200111153735811</v>
      </c>
      <c r="B4236" t="str">
        <f>"1578728255807197"</f>
        <v>1578728255807197</v>
      </c>
      <c r="C4236" t="s">
        <v>37</v>
      </c>
      <c r="D4236">
        <v>5.9285379999999996</v>
      </c>
      <c r="E4236">
        <v>0.42955539999999998</v>
      </c>
      <c r="F4236" t="s">
        <v>39</v>
      </c>
      <c r="G4236">
        <v>-399.529</v>
      </c>
      <c r="H4236" s="1">
        <v>-1.489265E-6</v>
      </c>
      <c r="I4236">
        <v>134.56899999999999</v>
      </c>
      <c r="J4236">
        <v>-390.84280000000001</v>
      </c>
      <c r="K4236">
        <v>1.114501</v>
      </c>
      <c r="L4236">
        <v>140.7218</v>
      </c>
      <c r="M4236">
        <v>-0.98085449999999996</v>
      </c>
      <c r="N4236">
        <v>0</v>
      </c>
      <c r="O4236">
        <v>-0.19387499999999999</v>
      </c>
      <c r="P4236">
        <v>-0.90845609999999999</v>
      </c>
      <c r="Q4236">
        <v>5.2453090000000001E-2</v>
      </c>
      <c r="R4236">
        <v>-0.41467599999999999</v>
      </c>
      <c r="S4236">
        <v>-2.5448909999999998</v>
      </c>
      <c r="T4236">
        <v>-0.30445850000000002</v>
      </c>
      <c r="U4236">
        <v>-1.715347</v>
      </c>
      <c r="V4236">
        <v>-0.2322623</v>
      </c>
      <c r="W4236">
        <v>6.4749520000000005E-2</v>
      </c>
      <c r="X4236">
        <v>0.97049560000000001</v>
      </c>
      <c r="Y4236">
        <v>-0.38659679999999902</v>
      </c>
      <c r="Z4236">
        <v>-3.3570829999999999E-4</v>
      </c>
      <c r="AA4236">
        <v>0.92224879999999998</v>
      </c>
      <c r="AB4236">
        <v>44</v>
      </c>
      <c r="AC4236">
        <v>-8.6861999999999799</v>
      </c>
      <c r="AD4236">
        <v>-1.114502489265</v>
      </c>
      <c r="AE4236">
        <v>-6.1528000000000098</v>
      </c>
      <c r="AF4236">
        <v>-4.3045100020394198</v>
      </c>
      <c r="AG4236">
        <v>-1.114502489265</v>
      </c>
      <c r="AH4236">
        <v>9.6090707665431392</v>
      </c>
      <c r="AI4236">
        <v>96.042214475585695</v>
      </c>
      <c r="AJ4236">
        <v>114.130623095236</v>
      </c>
      <c r="AK4236">
        <v>10.5879725704532</v>
      </c>
    </row>
    <row r="4237" spans="1:37" x14ac:dyDescent="0.2">
      <c r="A4237" t="str">
        <f>"20200111153735832"</f>
        <v>20200111153735832</v>
      </c>
      <c r="B4237" t="str">
        <f>"1578728255827693"</f>
        <v>1578728255827693</v>
      </c>
      <c r="C4237" t="s">
        <v>37</v>
      </c>
      <c r="D4237">
        <v>5.9967459999999999</v>
      </c>
      <c r="E4237">
        <v>0.42946049999999902</v>
      </c>
      <c r="F4237" t="s">
        <v>39</v>
      </c>
      <c r="G4237">
        <v>-399.91419999999999</v>
      </c>
      <c r="H4237" s="1">
        <v>-1.3953110000000001E-6</v>
      </c>
      <c r="I4237">
        <v>134.42939999999999</v>
      </c>
      <c r="J4237">
        <v>-391.2593</v>
      </c>
      <c r="K4237">
        <v>1.1145430000000001</v>
      </c>
      <c r="L4237">
        <v>140.63390000000001</v>
      </c>
      <c r="M4237">
        <v>-0.97918669999999997</v>
      </c>
      <c r="N4237">
        <v>0</v>
      </c>
      <c r="O4237">
        <v>-0.202140299999999</v>
      </c>
      <c r="P4237">
        <v>-0.9051245</v>
      </c>
      <c r="Q4237">
        <v>5.267645E-2</v>
      </c>
      <c r="R4237">
        <v>-0.42187059999999998</v>
      </c>
      <c r="S4237">
        <v>-2.5217290000000001</v>
      </c>
      <c r="T4237">
        <v>-0.309814799999999</v>
      </c>
      <c r="U4237">
        <v>-1.749161</v>
      </c>
      <c r="V4237">
        <v>-0.23179250000000001</v>
      </c>
      <c r="W4237">
        <v>6.4840869999999995E-2</v>
      </c>
      <c r="X4237">
        <v>0.97060179999999996</v>
      </c>
      <c r="Y4237">
        <v>-0.39111560000000001</v>
      </c>
      <c r="Z4237">
        <v>2.7290919999999898E-4</v>
      </c>
      <c r="AA4237">
        <v>0.92034159999999898</v>
      </c>
      <c r="AB4237">
        <v>44</v>
      </c>
      <c r="AC4237">
        <v>-8.6548999999999907</v>
      </c>
      <c r="AD4237">
        <v>-1.1145443953109999</v>
      </c>
      <c r="AE4237">
        <v>-6.2045000000000199</v>
      </c>
      <c r="AF4237">
        <v>-4.2797000825581302</v>
      </c>
      <c r="AG4237">
        <v>-1.1145443953109999</v>
      </c>
      <c r="AH4237">
        <v>9.6251283679247805</v>
      </c>
      <c r="AI4237">
        <v>96.039848039146904</v>
      </c>
      <c r="AJ4237">
        <v>113.97176017029101</v>
      </c>
      <c r="AK4237">
        <v>10.5925038638084</v>
      </c>
    </row>
    <row r="4238" spans="1:37" x14ac:dyDescent="0.2">
      <c r="A4238" t="str">
        <f>"20200111153735855"</f>
        <v>20200111153735855</v>
      </c>
      <c r="B4238" t="str">
        <f>"1578728255847212"</f>
        <v>1578728255847212</v>
      </c>
      <c r="C4238" t="s">
        <v>37</v>
      </c>
      <c r="D4238">
        <v>5.9628899999999998</v>
      </c>
      <c r="E4238">
        <v>0.42940800000000001</v>
      </c>
      <c r="F4238" t="s">
        <v>51</v>
      </c>
      <c r="G4238">
        <v>-400.27080000000001</v>
      </c>
      <c r="H4238" s="1">
        <v>-2.6935679999999999E-6</v>
      </c>
      <c r="I4238">
        <v>134.2748</v>
      </c>
      <c r="J4238">
        <v>-391.69729999999998</v>
      </c>
      <c r="K4238">
        <v>1.1145940000000001</v>
      </c>
      <c r="L4238">
        <v>140.53739999999999</v>
      </c>
      <c r="M4238">
        <v>-0.97734049999999995</v>
      </c>
      <c r="N4238">
        <v>0</v>
      </c>
      <c r="O4238">
        <v>-0.210895899999999</v>
      </c>
      <c r="P4238">
        <v>-0.90151000000000003</v>
      </c>
      <c r="Q4238">
        <v>5.2657049999999997E-2</v>
      </c>
      <c r="R4238">
        <v>-0.42954309999999901</v>
      </c>
      <c r="S4238">
        <v>-2.5077210000000001</v>
      </c>
      <c r="T4238">
        <v>-0.31015409999999999</v>
      </c>
      <c r="U4238">
        <v>-1.7695919999999901</v>
      </c>
      <c r="V4238">
        <v>-0.23135649999999999</v>
      </c>
      <c r="W4238">
        <v>6.4690029999999996E-2</v>
      </c>
      <c r="X4238">
        <v>0.97071589999999996</v>
      </c>
      <c r="Y4238">
        <v>-0.39035249999999999</v>
      </c>
      <c r="Z4238">
        <v>1.2363750000000001E-3</v>
      </c>
      <c r="AA4238">
        <v>0.920664699999999</v>
      </c>
      <c r="AB4238">
        <v>44</v>
      </c>
      <c r="AC4238">
        <v>-8.5735000000000205</v>
      </c>
      <c r="AD4238">
        <v>-1.1145966935680001</v>
      </c>
      <c r="AE4238">
        <v>-6.2625999999999902</v>
      </c>
      <c r="AF4238">
        <v>-4.2662671764193201</v>
      </c>
      <c r="AG4238">
        <v>-1.1145966935680001</v>
      </c>
      <c r="AH4238">
        <v>9.5958247640241403</v>
      </c>
      <c r="AI4238">
        <v>96.058531493886306</v>
      </c>
      <c r="AJ4238">
        <v>113.96974905251101</v>
      </c>
      <c r="AK4238">
        <v>10.560455213283401</v>
      </c>
    </row>
    <row r="4239" spans="1:37" x14ac:dyDescent="0.2">
      <c r="A4239" t="str">
        <f>"20200111153735876"</f>
        <v>20200111153735876</v>
      </c>
      <c r="B4239" t="str">
        <f>"1578728255867708"</f>
        <v>1578728255867708</v>
      </c>
      <c r="C4239" t="s">
        <v>37</v>
      </c>
      <c r="D4239">
        <v>5.9538510000000002</v>
      </c>
      <c r="E4239">
        <v>0.42930489999999999</v>
      </c>
      <c r="F4239" t="s">
        <v>51</v>
      </c>
      <c r="G4239">
        <v>-400.62209999999999</v>
      </c>
      <c r="H4239" s="1">
        <v>-2.8128019999999899E-6</v>
      </c>
      <c r="I4239">
        <v>134.12200000000001</v>
      </c>
      <c r="J4239">
        <v>-392.0985</v>
      </c>
      <c r="K4239">
        <v>1.114654</v>
      </c>
      <c r="L4239">
        <v>140.44540000000001</v>
      </c>
      <c r="M4239">
        <v>-0.97555910000000001</v>
      </c>
      <c r="N4239">
        <v>0</v>
      </c>
      <c r="O4239">
        <v>-0.21899569999999999</v>
      </c>
      <c r="P4239">
        <v>-0.89798679999999997</v>
      </c>
      <c r="Q4239">
        <v>5.324388E-2</v>
      </c>
      <c r="R4239">
        <v>-0.43678939999999999</v>
      </c>
      <c r="S4239">
        <v>-2.49234</v>
      </c>
      <c r="T4239">
        <v>-0.31126279999999901</v>
      </c>
      <c r="U4239">
        <v>-1.7915650000000001</v>
      </c>
      <c r="V4239">
        <v>-0.2311532</v>
      </c>
      <c r="W4239">
        <v>6.5154920000000005E-2</v>
      </c>
      <c r="X4239">
        <v>0.97073319999999996</v>
      </c>
      <c r="Y4239">
        <v>-0.39079209999999998</v>
      </c>
      <c r="Z4239">
        <v>2.0722259999999999E-3</v>
      </c>
      <c r="AA4239">
        <v>0.92047659999999998</v>
      </c>
      <c r="AB4239">
        <v>44</v>
      </c>
      <c r="AC4239">
        <v>-8.5235999999999805</v>
      </c>
      <c r="AD4239">
        <v>-1.114656812802</v>
      </c>
      <c r="AE4239">
        <v>-6.3233999999999897</v>
      </c>
      <c r="AF4239">
        <v>-4.2559725448651502</v>
      </c>
      <c r="AG4239">
        <v>-1.114656812802</v>
      </c>
      <c r="AH4239">
        <v>9.5958033275778298</v>
      </c>
      <c r="AI4239">
        <v>96.061260614130504</v>
      </c>
      <c r="AJ4239">
        <v>113.91845264716601</v>
      </c>
      <c r="AK4239">
        <v>10.5562873973062</v>
      </c>
    </row>
    <row r="4240" spans="1:37" x14ac:dyDescent="0.2">
      <c r="A4240" t="str">
        <f>"20200111153735898"</f>
        <v>20200111153735898</v>
      </c>
      <c r="B4240" t="str">
        <f>"1578728255887229"</f>
        <v>1578728255887229</v>
      </c>
      <c r="C4240" t="s">
        <v>37</v>
      </c>
      <c r="D4240">
        <v>5.9772629999999998</v>
      </c>
      <c r="E4240">
        <v>0.42918489999999998</v>
      </c>
      <c r="F4240" t="s">
        <v>51</v>
      </c>
      <c r="G4240">
        <v>-400.99</v>
      </c>
      <c r="H4240" s="1">
        <v>-2.9279989999999999E-6</v>
      </c>
      <c r="I4240">
        <v>133.94370000000001</v>
      </c>
      <c r="J4240">
        <v>-392.51870000000002</v>
      </c>
      <c r="K4240">
        <v>1.114725</v>
      </c>
      <c r="L4240">
        <v>140.34530000000001</v>
      </c>
      <c r="M4240">
        <v>-0.9735935</v>
      </c>
      <c r="N4240">
        <v>0</v>
      </c>
      <c r="O4240">
        <v>-0.22758129999999999</v>
      </c>
      <c r="P4240">
        <v>-0.8940958</v>
      </c>
      <c r="Q4240">
        <v>5.4284480000000003E-2</v>
      </c>
      <c r="R4240">
        <v>-0.44457409999999897</v>
      </c>
      <c r="S4240">
        <v>-2.4779049999999998</v>
      </c>
      <c r="T4240">
        <v>-0.31063619999999997</v>
      </c>
      <c r="U4240">
        <v>-1.8119049999999901</v>
      </c>
      <c r="V4240">
        <v>-0.2310866</v>
      </c>
      <c r="W4240">
        <v>6.606658E-2</v>
      </c>
      <c r="X4240">
        <v>0.97068750000000004</v>
      </c>
      <c r="Y4240">
        <v>-0.39021119999999998</v>
      </c>
      <c r="Z4240">
        <v>3.0073299999999999E-3</v>
      </c>
      <c r="AA4240">
        <v>0.92072049999999905</v>
      </c>
      <c r="AB4240">
        <v>44</v>
      </c>
      <c r="AC4240">
        <v>-8.4712999999999798</v>
      </c>
      <c r="AD4240">
        <v>-1.1147279279989999</v>
      </c>
      <c r="AE4240">
        <v>-6.4016000000000002</v>
      </c>
      <c r="AF4240">
        <v>-4.2584062022050704</v>
      </c>
      <c r="AG4240">
        <v>-1.1147279279989999</v>
      </c>
      <c r="AH4240">
        <v>9.6002415431269092</v>
      </c>
      <c r="AI4240">
        <v>96.058754974449698</v>
      </c>
      <c r="AJ4240">
        <v>113.92077261860599</v>
      </c>
      <c r="AK4240">
        <v>10.5613104974155</v>
      </c>
    </row>
    <row r="4241" spans="1:37" x14ac:dyDescent="0.2">
      <c r="A4241" t="str">
        <f>"20200111153735922"</f>
        <v>20200111153735922</v>
      </c>
      <c r="B4241" t="str">
        <f>"1578728255917485"</f>
        <v>1578728255917485</v>
      </c>
      <c r="C4241" t="s">
        <v>37</v>
      </c>
      <c r="D4241">
        <v>5.9644059999999897</v>
      </c>
      <c r="E4241">
        <v>0.42906519999999998</v>
      </c>
      <c r="F4241" t="s">
        <v>51</v>
      </c>
      <c r="G4241">
        <v>-401.40980000000002</v>
      </c>
      <c r="H4241" s="1">
        <v>-3.0490329999999998E-6</v>
      </c>
      <c r="I4241">
        <v>133.72059999999999</v>
      </c>
      <c r="J4241">
        <v>-392.94009999999997</v>
      </c>
      <c r="K4241">
        <v>1.114819</v>
      </c>
      <c r="L4241">
        <v>140.2405</v>
      </c>
      <c r="M4241">
        <v>-0.97150759999999903</v>
      </c>
      <c r="N4241">
        <v>0</v>
      </c>
      <c r="O4241">
        <v>-0.23633280000000001</v>
      </c>
      <c r="P4241">
        <v>-0.88994799999999996</v>
      </c>
      <c r="Q4241">
        <v>5.4831989999999997E-2</v>
      </c>
      <c r="R4241">
        <v>-0.45275409999999999</v>
      </c>
      <c r="S4241">
        <v>-2.4619450000000001</v>
      </c>
      <c r="T4241">
        <v>-0.30866979999999999</v>
      </c>
      <c r="U4241">
        <v>-1.8343659999999999</v>
      </c>
      <c r="V4241">
        <v>-0.23128939999999901</v>
      </c>
      <c r="W4241">
        <v>6.6480520000000001E-2</v>
      </c>
      <c r="X4241">
        <v>0.97061090000000005</v>
      </c>
      <c r="Y4241">
        <v>-0.39024159999999902</v>
      </c>
      <c r="Z4241">
        <v>3.9064939999999999E-3</v>
      </c>
      <c r="AA4241">
        <v>0.92070419999999997</v>
      </c>
      <c r="AB4241">
        <v>44</v>
      </c>
      <c r="AC4241">
        <v>-8.4697000000000404</v>
      </c>
      <c r="AD4241">
        <v>-1.1148220490330001</v>
      </c>
      <c r="AE4241">
        <v>-6.5198999999999998</v>
      </c>
      <c r="AF4241">
        <v>-4.2865258616330904</v>
      </c>
      <c r="AG4241">
        <v>-1.1148220490330001</v>
      </c>
      <c r="AH4241">
        <v>9.6656574587947599</v>
      </c>
      <c r="AI4241">
        <v>96.018761944144799</v>
      </c>
      <c r="AJ4241">
        <v>113.91632914055801</v>
      </c>
      <c r="AK4241">
        <v>10.632124259724099</v>
      </c>
    </row>
    <row r="4242" spans="1:37" x14ac:dyDescent="0.2">
      <c r="A4242" t="str">
        <f>"20200111153735944"</f>
        <v>20200111153735944</v>
      </c>
      <c r="B4242" t="str">
        <f>"1578728255937005"</f>
        <v>1578728255937005</v>
      </c>
      <c r="C4242" t="s">
        <v>37</v>
      </c>
      <c r="D4242">
        <v>5.9262189999999997</v>
      </c>
      <c r="E4242">
        <v>0.42902449999999998</v>
      </c>
      <c r="F4242" t="s">
        <v>38</v>
      </c>
      <c r="G4242">
        <v>-393.86189999999999</v>
      </c>
      <c r="H4242">
        <v>0.99833530000000004</v>
      </c>
      <c r="I4242">
        <v>139.54</v>
      </c>
      <c r="J4242">
        <v>-393.36810000000003</v>
      </c>
      <c r="K4242">
        <v>1.11493</v>
      </c>
      <c r="L4242">
        <v>140.12970000000001</v>
      </c>
      <c r="M4242">
        <v>-0.96926250000000003</v>
      </c>
      <c r="N4242">
        <v>0</v>
      </c>
      <c r="O4242">
        <v>-0.24538260000000001</v>
      </c>
      <c r="P4242">
        <v>-0.88536389999999998</v>
      </c>
      <c r="Q4242">
        <v>5.4863549999999997E-2</v>
      </c>
      <c r="R4242">
        <v>-0.46165059999999902</v>
      </c>
      <c r="S4242">
        <v>-2.4447939999999999</v>
      </c>
      <c r="T4242">
        <v>-0.30889</v>
      </c>
      <c r="U4242">
        <v>-1.8579410000000001</v>
      </c>
      <c r="V4242">
        <v>-0.23198489999999999</v>
      </c>
      <c r="W4242">
        <v>6.6365370000000007E-2</v>
      </c>
      <c r="X4242">
        <v>0.9704528</v>
      </c>
      <c r="Y4242">
        <v>-0.390437799999999</v>
      </c>
      <c r="Z4242">
        <v>4.8518220000000004E-3</v>
      </c>
      <c r="AA4242">
        <v>0.92061659999999901</v>
      </c>
      <c r="AB4242">
        <v>43</v>
      </c>
      <c r="AC4242">
        <v>-0.49379999999996399</v>
      </c>
      <c r="AD4242">
        <v>-0.116594699999999</v>
      </c>
      <c r="AE4242">
        <v>-0.58970000000002099</v>
      </c>
      <c r="AF4242">
        <v>-0.44035652805831399</v>
      </c>
      <c r="AG4242">
        <v>-0.116594699999999</v>
      </c>
      <c r="AH4242">
        <v>0.60941879784275499</v>
      </c>
      <c r="AI4242">
        <v>98.814840424910699</v>
      </c>
      <c r="AJ4242">
        <v>125.85128907451799</v>
      </c>
      <c r="AK4242">
        <v>0.76085443222456905</v>
      </c>
    </row>
    <row r="4243" spans="1:37" x14ac:dyDescent="0.2">
      <c r="A4243" t="str">
        <f>"20200111153735966"</f>
        <v>20200111153735966</v>
      </c>
      <c r="B4243" t="str">
        <f>"1578728255957500"</f>
        <v>1578728255957500</v>
      </c>
      <c r="C4243" t="s">
        <v>37</v>
      </c>
      <c r="D4243">
        <v>5.9328469999999998</v>
      </c>
      <c r="E4243">
        <v>0.42900109999999902</v>
      </c>
      <c r="F4243" t="s">
        <v>38</v>
      </c>
      <c r="G4243">
        <v>-394.23750000000001</v>
      </c>
      <c r="H4243">
        <v>1.0036590000000001</v>
      </c>
      <c r="I4243">
        <v>139.4555</v>
      </c>
      <c r="J4243">
        <v>-393.77640000000002</v>
      </c>
      <c r="K4243">
        <v>1.11504</v>
      </c>
      <c r="L4243">
        <v>140.02010000000001</v>
      </c>
      <c r="M4243">
        <v>-0.96699880000000005</v>
      </c>
      <c r="N4243">
        <v>0</v>
      </c>
      <c r="O4243">
        <v>-0.25416079999999902</v>
      </c>
      <c r="P4243">
        <v>-0.88069609999999998</v>
      </c>
      <c r="Q4243">
        <v>5.5856610000000001E-2</v>
      </c>
      <c r="R4243">
        <v>-0.47037689999999999</v>
      </c>
      <c r="S4243">
        <v>-2.4262999999999999</v>
      </c>
      <c r="T4243">
        <v>-0.31055779999999999</v>
      </c>
      <c r="U4243">
        <v>-1.8820650000000001</v>
      </c>
      <c r="V4243">
        <v>-0.2328355</v>
      </c>
      <c r="W4243">
        <v>6.7210339999999993E-2</v>
      </c>
      <c r="X4243">
        <v>0.97019089999999997</v>
      </c>
      <c r="Y4243">
        <v>-0.39123429999999998</v>
      </c>
      <c r="Z4243">
        <v>5.7659089999999996E-3</v>
      </c>
      <c r="AA4243">
        <v>0.92027300000000001</v>
      </c>
      <c r="AB4243">
        <v>43</v>
      </c>
      <c r="AC4243">
        <v>-0.46109999999998702</v>
      </c>
      <c r="AD4243">
        <v>-0.11138099999999899</v>
      </c>
      <c r="AE4243">
        <v>-0.56460000000001198</v>
      </c>
      <c r="AF4243">
        <v>-0.41905833510364798</v>
      </c>
      <c r="AG4243">
        <v>-0.11138099999999899</v>
      </c>
      <c r="AH4243">
        <v>0.57602744727853195</v>
      </c>
      <c r="AI4243">
        <v>98.886866287484807</v>
      </c>
      <c r="AJ4243">
        <v>126.035783203124</v>
      </c>
      <c r="AK4243">
        <v>0.72098768047662498</v>
      </c>
    </row>
    <row r="4244" spans="1:37" x14ac:dyDescent="0.2">
      <c r="A4244" t="str">
        <f>"20200111153735988"</f>
        <v>20200111153735988</v>
      </c>
      <c r="B4244" t="str">
        <f>"1578728255977021"</f>
        <v>1578728255977021</v>
      </c>
      <c r="C4244" t="s">
        <v>37</v>
      </c>
      <c r="D4244">
        <v>5.9236620000000002</v>
      </c>
      <c r="E4244">
        <v>0.42897380000000002</v>
      </c>
      <c r="F4244" t="s">
        <v>38</v>
      </c>
      <c r="G4244">
        <v>-394.62479999999999</v>
      </c>
      <c r="H4244">
        <v>1.00621</v>
      </c>
      <c r="I4244">
        <v>139.3486</v>
      </c>
      <c r="J4244">
        <v>-394.17590000000001</v>
      </c>
      <c r="K4244">
        <v>1.115156</v>
      </c>
      <c r="L4244">
        <v>139.90880000000001</v>
      </c>
      <c r="M4244">
        <v>-0.96465919999999905</v>
      </c>
      <c r="N4244">
        <v>0</v>
      </c>
      <c r="O4244">
        <v>-0.262905</v>
      </c>
      <c r="P4244">
        <v>-0.87561460000000002</v>
      </c>
      <c r="Q4244">
        <v>5.7095600000000003E-2</v>
      </c>
      <c r="R4244">
        <v>-0.47962450000000001</v>
      </c>
      <c r="S4244">
        <v>-2.4080810000000001</v>
      </c>
      <c r="T4244">
        <v>-0.3088651</v>
      </c>
      <c r="U4244">
        <v>-1.90585299999999</v>
      </c>
      <c r="V4244">
        <v>-0.23433969999999901</v>
      </c>
      <c r="W4244">
        <v>6.8282190000000006E-2</v>
      </c>
      <c r="X4244">
        <v>0.9697538</v>
      </c>
      <c r="Y4244">
        <v>-0.39192709999999997</v>
      </c>
      <c r="Z4244">
        <v>6.6211630000000002E-3</v>
      </c>
      <c r="AA4244">
        <v>0.91997249999999997</v>
      </c>
      <c r="AB4244">
        <v>43</v>
      </c>
      <c r="AC4244">
        <v>-0.44889999999997998</v>
      </c>
      <c r="AD4244">
        <v>-0.108946</v>
      </c>
      <c r="AE4244">
        <v>-0.56020000000000802</v>
      </c>
      <c r="AF4244">
        <v>-0.41293942788529198</v>
      </c>
      <c r="AG4244">
        <v>-0.108946</v>
      </c>
      <c r="AH4244">
        <v>0.56733892489360704</v>
      </c>
      <c r="AI4244">
        <v>98.8252003185479</v>
      </c>
      <c r="AJ4244">
        <v>126.049118736099</v>
      </c>
      <c r="AK4244">
        <v>0.71011383433761299</v>
      </c>
    </row>
    <row r="4245" spans="1:37" x14ac:dyDescent="0.2">
      <c r="A4245" t="str">
        <f>"20200111153736011"</f>
        <v>20200111153736011</v>
      </c>
      <c r="B4245" t="str">
        <f>"1578728256007278"</f>
        <v>1578728256007278</v>
      </c>
      <c r="C4245" t="s">
        <v>37</v>
      </c>
      <c r="D4245">
        <v>5.8437409999999996</v>
      </c>
      <c r="E4245">
        <v>0.4289944</v>
      </c>
      <c r="F4245" t="s">
        <v>38</v>
      </c>
      <c r="G4245">
        <v>-395.03539999999998</v>
      </c>
      <c r="H4245">
        <v>1.004807</v>
      </c>
      <c r="I4245">
        <v>139.214</v>
      </c>
      <c r="J4245">
        <v>-394.59010000000001</v>
      </c>
      <c r="K4245">
        <v>1.1152850000000001</v>
      </c>
      <c r="L4245">
        <v>139.78919999999999</v>
      </c>
      <c r="M4245">
        <v>-0.96209419999999901</v>
      </c>
      <c r="N4245">
        <v>0</v>
      </c>
      <c r="O4245">
        <v>-0.27214519999999998</v>
      </c>
      <c r="P4245">
        <v>-0.87081559999999902</v>
      </c>
      <c r="Q4245">
        <v>5.7138410000000001E-2</v>
      </c>
      <c r="R4245">
        <v>-0.4882782</v>
      </c>
      <c r="S4245">
        <v>-2.388153</v>
      </c>
      <c r="T4245">
        <v>-0.30659589999999998</v>
      </c>
      <c r="U4245">
        <v>-1.931503</v>
      </c>
      <c r="V4245">
        <v>-0.23467080000000001</v>
      </c>
      <c r="W4245">
        <v>6.8191310000000005E-2</v>
      </c>
      <c r="X4245">
        <v>0.96968009999999905</v>
      </c>
      <c r="Y4245">
        <v>-0.39287949999999999</v>
      </c>
      <c r="Z4245">
        <v>7.4923079999999996E-3</v>
      </c>
      <c r="AA4245">
        <v>0.91955949999999997</v>
      </c>
      <c r="AB4245">
        <v>43</v>
      </c>
      <c r="AC4245">
        <v>-0.44529999999997399</v>
      </c>
      <c r="AD4245">
        <v>-0.11047800000000001</v>
      </c>
      <c r="AE4245">
        <v>-0.57519999999999505</v>
      </c>
      <c r="AF4245">
        <v>-0.422531533887264</v>
      </c>
      <c r="AG4245">
        <v>-0.11047800000000001</v>
      </c>
      <c r="AH4245">
        <v>0.57185907646720102</v>
      </c>
      <c r="AI4245">
        <v>98.831916900322696</v>
      </c>
      <c r="AJ4245">
        <v>126.459714053357</v>
      </c>
      <c r="AK4245">
        <v>0.71955617497944102</v>
      </c>
    </row>
    <row r="4246" spans="1:37" x14ac:dyDescent="0.2">
      <c r="A4246" t="str">
        <f>"20200111153736033"</f>
        <v>20200111153736033</v>
      </c>
      <c r="B4246" t="str">
        <f>"1578728256027772"</f>
        <v>1578728256027772</v>
      </c>
      <c r="C4246" t="s">
        <v>37</v>
      </c>
      <c r="D4246">
        <v>5.8545579999999999</v>
      </c>
      <c r="E4246">
        <v>0.42899549999999997</v>
      </c>
      <c r="F4246" t="s">
        <v>51</v>
      </c>
      <c r="G4246">
        <v>-403.16320000000002</v>
      </c>
      <c r="H4246" s="1">
        <v>-3.515107E-6</v>
      </c>
      <c r="I4246">
        <v>132.71440000000001</v>
      </c>
      <c r="J4246">
        <v>-395.00920000000002</v>
      </c>
      <c r="K4246">
        <v>1.115421</v>
      </c>
      <c r="L4246">
        <v>139.66370000000001</v>
      </c>
      <c r="M4246">
        <v>-0.95934589999999997</v>
      </c>
      <c r="N4246">
        <v>0</v>
      </c>
      <c r="O4246">
        <v>-0.28168290000000001</v>
      </c>
      <c r="P4246">
        <v>-0.86583549999999998</v>
      </c>
      <c r="Q4246">
        <v>5.7551159999999997E-2</v>
      </c>
      <c r="R4246">
        <v>-0.4970077</v>
      </c>
      <c r="S4246">
        <v>-2.3690799999999999</v>
      </c>
      <c r="T4246">
        <v>-0.30819940000000001</v>
      </c>
      <c r="U4246">
        <v>-1.9550479999999999</v>
      </c>
      <c r="V4246">
        <v>-0.23483370000000001</v>
      </c>
      <c r="W4246">
        <v>6.8476289999999995E-2</v>
      </c>
      <c r="X4246">
        <v>0.96962060000000005</v>
      </c>
      <c r="Y4246">
        <v>-0.39285979999999998</v>
      </c>
      <c r="Z4246">
        <v>8.5429049999999999E-3</v>
      </c>
      <c r="AA4246">
        <v>0.91955869999999995</v>
      </c>
      <c r="AB4246">
        <v>43</v>
      </c>
      <c r="AC4246">
        <v>-8.1539999999999893</v>
      </c>
      <c r="AD4246">
        <v>-1.1154245151069999</v>
      </c>
      <c r="AE4246">
        <v>-6.9492999999999903</v>
      </c>
      <c r="AF4246">
        <v>-4.3237503830004398</v>
      </c>
      <c r="AG4246">
        <v>-1.1154245151069999</v>
      </c>
      <c r="AH4246">
        <v>9.6766320268608599</v>
      </c>
      <c r="AI4246">
        <v>96.007797356198495</v>
      </c>
      <c r="AJ4246">
        <v>114.076232875079</v>
      </c>
      <c r="AK4246">
        <v>10.6572133602864</v>
      </c>
    </row>
    <row r="4247" spans="1:37" x14ac:dyDescent="0.2">
      <c r="A4247" t="str">
        <f>"20200111153736056"</f>
        <v>20200111153736056</v>
      </c>
      <c r="B4247" t="str">
        <f>"1578728256047295"</f>
        <v>1578728256047295</v>
      </c>
      <c r="C4247" t="s">
        <v>37</v>
      </c>
      <c r="D4247">
        <v>5.8329779999999998</v>
      </c>
      <c r="E4247">
        <v>0.42902790000000002</v>
      </c>
      <c r="F4247" t="s">
        <v>51</v>
      </c>
      <c r="G4247">
        <v>-403.51519999999999</v>
      </c>
      <c r="H4247" s="1">
        <v>-3.6021100000000001E-6</v>
      </c>
      <c r="I4247">
        <v>132.5</v>
      </c>
      <c r="J4247">
        <v>-395.4171</v>
      </c>
      <c r="K4247">
        <v>1.115561</v>
      </c>
      <c r="L4247">
        <v>139.53710000000001</v>
      </c>
      <c r="M4247">
        <v>-0.95651189999999997</v>
      </c>
      <c r="N4247">
        <v>0</v>
      </c>
      <c r="O4247">
        <v>-0.29116329999999901</v>
      </c>
      <c r="P4247">
        <v>-0.86053329999999995</v>
      </c>
      <c r="Q4247">
        <v>5.8200929999999998E-2</v>
      </c>
      <c r="R4247">
        <v>-0.50605869999999997</v>
      </c>
      <c r="S4247">
        <v>-2.3495180000000002</v>
      </c>
      <c r="T4247">
        <v>-0.30809899999999901</v>
      </c>
      <c r="U4247">
        <v>-1.978745</v>
      </c>
      <c r="V4247">
        <v>-0.23545729999999901</v>
      </c>
      <c r="W4247">
        <v>6.899052E-2</v>
      </c>
      <c r="X4247">
        <v>0.96943289999999904</v>
      </c>
      <c r="Y4247">
        <v>-0.3930013</v>
      </c>
      <c r="Z4247">
        <v>9.5385109999999995E-3</v>
      </c>
      <c r="AA4247">
        <v>0.91948850000000004</v>
      </c>
      <c r="AB4247">
        <v>43</v>
      </c>
      <c r="AC4247">
        <v>-8.0980999999999792</v>
      </c>
      <c r="AD4247">
        <v>-1.1155646021100001</v>
      </c>
      <c r="AE4247">
        <v>-7.0370999999999997</v>
      </c>
      <c r="AF4247">
        <v>-4.3270906328174004</v>
      </c>
      <c r="AG4247">
        <v>-1.1155646021100001</v>
      </c>
      <c r="AH4247">
        <v>9.6916000012749102</v>
      </c>
      <c r="AI4247">
        <v>96.0001004248154</v>
      </c>
      <c r="AJ4247">
        <v>114.059732750245</v>
      </c>
      <c r="AK4247">
        <v>10.6721744883978</v>
      </c>
    </row>
    <row r="4248" spans="1:37" x14ac:dyDescent="0.2">
      <c r="A4248" t="str">
        <f>"20200111153736077"</f>
        <v>20200111153736077</v>
      </c>
      <c r="B4248" t="str">
        <f>"1578728256067789"</f>
        <v>1578728256067789</v>
      </c>
      <c r="C4248" t="s">
        <v>37</v>
      </c>
      <c r="D4248">
        <v>5.8099270000000001</v>
      </c>
      <c r="E4248">
        <v>0.42904599999999998</v>
      </c>
      <c r="F4248" t="s">
        <v>51</v>
      </c>
      <c r="G4248">
        <v>-403.8698</v>
      </c>
      <c r="H4248" s="1">
        <v>-3.6511909999999998E-6</v>
      </c>
      <c r="I4248">
        <v>132.26820000000001</v>
      </c>
      <c r="J4248">
        <v>-395.80500000000001</v>
      </c>
      <c r="K4248">
        <v>1.1156979999999901</v>
      </c>
      <c r="L4248">
        <v>139.41249999999999</v>
      </c>
      <c r="M4248">
        <v>-0.95366209999999996</v>
      </c>
      <c r="N4248">
        <v>0</v>
      </c>
      <c r="O4248">
        <v>-0.30036790000000002</v>
      </c>
      <c r="P4248">
        <v>-0.85485999999999995</v>
      </c>
      <c r="Q4248">
        <v>5.832582E-2</v>
      </c>
      <c r="R4248">
        <v>-0.51557039999999998</v>
      </c>
      <c r="S4248">
        <v>-2.3290709999999999</v>
      </c>
      <c r="T4248">
        <v>-0.30738579999999999</v>
      </c>
      <c r="U4248">
        <v>-2.0029140000000001</v>
      </c>
      <c r="V4248">
        <v>-0.2368951</v>
      </c>
      <c r="W4248">
        <v>6.8961510000000004E-2</v>
      </c>
      <c r="X4248">
        <v>0.96908459999999996</v>
      </c>
      <c r="Y4248">
        <v>-0.39365699999999998</v>
      </c>
      <c r="Z4248">
        <v>1.045776E-2</v>
      </c>
      <c r="AA4248">
        <v>0.91919789999999901</v>
      </c>
      <c r="AB4248">
        <v>43</v>
      </c>
      <c r="AC4248">
        <v>-8.0647999999999893</v>
      </c>
      <c r="AD4248">
        <v>-1.1157016511909901</v>
      </c>
      <c r="AE4248">
        <v>-7.1442999999999799</v>
      </c>
      <c r="AF4248">
        <v>-4.3449246166168498</v>
      </c>
      <c r="AG4248">
        <v>-1.1157016511909901</v>
      </c>
      <c r="AH4248">
        <v>9.7341435835313401</v>
      </c>
      <c r="AI4248">
        <v>95.975058656960599</v>
      </c>
      <c r="AJ4248">
        <v>114.054035548342</v>
      </c>
      <c r="AK4248">
        <v>10.7180553928106</v>
      </c>
    </row>
    <row r="4249" spans="1:37" x14ac:dyDescent="0.2">
      <c r="A4249" t="str">
        <f>"20200111153736100"</f>
        <v>20200111153736100</v>
      </c>
      <c r="B4249" t="str">
        <f>"1578728256097069"</f>
        <v>1578728256097069</v>
      </c>
      <c r="C4249" t="s">
        <v>37</v>
      </c>
      <c r="D4249">
        <v>5.721139</v>
      </c>
      <c r="E4249">
        <v>0.42912129999999998</v>
      </c>
      <c r="F4249" t="s">
        <v>51</v>
      </c>
      <c r="G4249">
        <v>-404.15839999999997</v>
      </c>
      <c r="H4249" s="1">
        <v>-3.6858389999999999E-6</v>
      </c>
      <c r="I4249">
        <v>132.06829999999999</v>
      </c>
      <c r="J4249">
        <v>-396.21359999999999</v>
      </c>
      <c r="K4249">
        <v>1.115847</v>
      </c>
      <c r="L4249">
        <v>139.2766</v>
      </c>
      <c r="M4249">
        <v>-0.95048889999999997</v>
      </c>
      <c r="N4249">
        <v>0</v>
      </c>
      <c r="O4249">
        <v>-0.31026399999999998</v>
      </c>
      <c r="P4249">
        <v>-0.84895330000000002</v>
      </c>
      <c r="Q4249">
        <v>5.7830399999999997E-2</v>
      </c>
      <c r="R4249">
        <v>-0.52529440000000005</v>
      </c>
      <c r="S4249">
        <v>-2.3070680000000001</v>
      </c>
      <c r="T4249">
        <v>-0.30813940000000001</v>
      </c>
      <c r="U4249">
        <v>-2.0283660000000001</v>
      </c>
      <c r="V4249">
        <v>-0.237886499999999</v>
      </c>
      <c r="W4249">
        <v>6.8322149999999998E-2</v>
      </c>
      <c r="X4249">
        <v>0.96888700000000005</v>
      </c>
      <c r="Y4249">
        <v>-0.39420909999999998</v>
      </c>
      <c r="Z4249">
        <v>1.1508279999999999E-2</v>
      </c>
      <c r="AA4249">
        <v>0.91894869999999995</v>
      </c>
      <c r="AB4249">
        <v>43</v>
      </c>
      <c r="AC4249">
        <v>-7.9447999999999803</v>
      </c>
      <c r="AD4249">
        <v>-1.115850685839</v>
      </c>
      <c r="AE4249">
        <v>-7.2083000000000004</v>
      </c>
      <c r="AF4249">
        <v>-4.3401384912984096</v>
      </c>
      <c r="AG4249">
        <v>-1.115850685839</v>
      </c>
      <c r="AH4249">
        <v>9.6846387920654493</v>
      </c>
      <c r="AI4249">
        <v>96.002204285374305</v>
      </c>
      <c r="AJ4249">
        <v>114.139377424397</v>
      </c>
      <c r="AK4249">
        <v>10.671183318147801</v>
      </c>
    </row>
    <row r="4250" spans="1:37" x14ac:dyDescent="0.2">
      <c r="A4250" t="str">
        <f>"20200111153736124"</f>
        <v>20200111153736124</v>
      </c>
      <c r="B4250" t="str">
        <f>"1578728256117565"</f>
        <v>1578728256117565</v>
      </c>
      <c r="C4250" t="s">
        <v>37</v>
      </c>
      <c r="D4250">
        <v>5.645359</v>
      </c>
      <c r="E4250">
        <v>0.42917050000000001</v>
      </c>
      <c r="F4250" t="s">
        <v>38</v>
      </c>
      <c r="G4250">
        <v>-397.08749999999998</v>
      </c>
      <c r="H4250">
        <v>0.99699289999999996</v>
      </c>
      <c r="I4250">
        <v>138.49100000000001</v>
      </c>
      <c r="J4250">
        <v>-396.63240000000002</v>
      </c>
      <c r="K4250">
        <v>1.116004</v>
      </c>
      <c r="L4250">
        <v>139.1319</v>
      </c>
      <c r="M4250">
        <v>-0.94703979999999999</v>
      </c>
      <c r="N4250">
        <v>0</v>
      </c>
      <c r="O4250">
        <v>-0.32063900000000001</v>
      </c>
      <c r="P4250">
        <v>-0.84260449999999998</v>
      </c>
      <c r="Q4250">
        <v>5.7412709999999999E-2</v>
      </c>
      <c r="R4250">
        <v>-0.53546400000000005</v>
      </c>
      <c r="S4250">
        <v>-2.284119</v>
      </c>
      <c r="T4250">
        <v>-0.31067909999999999</v>
      </c>
      <c r="U4250">
        <v>-2.0537869999999998</v>
      </c>
      <c r="V4250">
        <v>-0.2389492</v>
      </c>
      <c r="W4250">
        <v>6.7747940000000006E-2</v>
      </c>
      <c r="X4250">
        <v>0.96866580000000002</v>
      </c>
      <c r="Y4250">
        <v>-0.39444359999999901</v>
      </c>
      <c r="Z4250">
        <v>1.2708809999999999E-2</v>
      </c>
      <c r="AA4250">
        <v>0.91883219999999999</v>
      </c>
      <c r="AB4250">
        <v>43</v>
      </c>
      <c r="AC4250">
        <v>-0.45509999999995798</v>
      </c>
      <c r="AD4250">
        <v>-0.11901109999999999</v>
      </c>
      <c r="AE4250">
        <v>-0.64089999999998704</v>
      </c>
      <c r="AF4250">
        <v>-0.45077238408891102</v>
      </c>
      <c r="AG4250">
        <v>-0.11901109999999999</v>
      </c>
      <c r="AH4250">
        <v>0.62232699510365996</v>
      </c>
      <c r="AI4250">
        <v>98.803761163840306</v>
      </c>
      <c r="AJ4250">
        <v>125.917078778407</v>
      </c>
      <c r="AK4250">
        <v>0.77759261378639799</v>
      </c>
    </row>
    <row r="4251" spans="1:37" x14ac:dyDescent="0.2">
      <c r="A4251" t="str">
        <f>"20200111153736145"</f>
        <v>20200111153736145</v>
      </c>
      <c r="B4251" t="str">
        <f>"1578728256137085"</f>
        <v>1578728256137085</v>
      </c>
      <c r="C4251" t="s">
        <v>37</v>
      </c>
      <c r="D4251">
        <v>5.5295930000000002</v>
      </c>
      <c r="E4251">
        <v>0.42920009999999997</v>
      </c>
      <c r="F4251" t="s">
        <v>38</v>
      </c>
      <c r="G4251">
        <v>-397.44909999999999</v>
      </c>
      <c r="H4251">
        <v>1.002958</v>
      </c>
      <c r="I4251">
        <v>138.37979999999999</v>
      </c>
      <c r="J4251">
        <v>-397.01560000000001</v>
      </c>
      <c r="K4251">
        <v>1.116133</v>
      </c>
      <c r="L4251">
        <v>138.99510000000001</v>
      </c>
      <c r="M4251">
        <v>-0.9437141</v>
      </c>
      <c r="N4251">
        <v>0</v>
      </c>
      <c r="O4251">
        <v>-0.33030080000000001</v>
      </c>
      <c r="P4251">
        <v>-0.83667130000000001</v>
      </c>
      <c r="Q4251">
        <v>5.7123479999999997E-2</v>
      </c>
      <c r="R4251">
        <v>-0.54471829999999999</v>
      </c>
      <c r="S4251">
        <v>-2.2593079999999999</v>
      </c>
      <c r="T4251">
        <v>-0.31273089999999998</v>
      </c>
      <c r="U4251">
        <v>-2.0807950000000002</v>
      </c>
      <c r="V4251">
        <v>-0.23973530000000001</v>
      </c>
      <c r="W4251">
        <v>6.7313109999999995E-2</v>
      </c>
      <c r="X4251">
        <v>0.96850190000000003</v>
      </c>
      <c r="Y4251">
        <v>-0.39605370000000001</v>
      </c>
      <c r="Z4251">
        <v>1.375577E-2</v>
      </c>
      <c r="AA4251">
        <v>0.9181243</v>
      </c>
      <c r="AB4251">
        <v>43</v>
      </c>
      <c r="AC4251">
        <v>-0.43349999999998001</v>
      </c>
      <c r="AD4251">
        <v>-0.113175</v>
      </c>
      <c r="AE4251">
        <v>-0.61530000000001905</v>
      </c>
      <c r="AF4251">
        <v>-0.42787465866757002</v>
      </c>
      <c r="AG4251">
        <v>-0.113175</v>
      </c>
      <c r="AH4251">
        <v>0.59888710764172204</v>
      </c>
      <c r="AI4251">
        <v>98.7415517782824</v>
      </c>
      <c r="AJ4251">
        <v>125.54389525006999</v>
      </c>
      <c r="AK4251">
        <v>0.74468185949058596</v>
      </c>
    </row>
    <row r="4252" spans="1:37" x14ac:dyDescent="0.2">
      <c r="A4252" t="str">
        <f>"20200111153736167"</f>
        <v>20200111153736167</v>
      </c>
      <c r="B4252" t="str">
        <f>"1578728256157580"</f>
        <v>1578728256157580</v>
      </c>
      <c r="C4252" t="s">
        <v>37</v>
      </c>
      <c r="D4252">
        <v>5.5530619999999997</v>
      </c>
      <c r="E4252">
        <v>0.42924220000000002</v>
      </c>
      <c r="F4252" t="s">
        <v>38</v>
      </c>
      <c r="G4252">
        <v>-397.80250000000001</v>
      </c>
      <c r="H4252">
        <v>1.0057100000000001</v>
      </c>
      <c r="I4252">
        <v>138.25460000000001</v>
      </c>
      <c r="J4252">
        <v>-397.40069999999997</v>
      </c>
      <c r="K4252">
        <v>1.116263</v>
      </c>
      <c r="L4252">
        <v>138.85299999999901</v>
      </c>
      <c r="M4252">
        <v>-0.94020550000000003</v>
      </c>
      <c r="N4252">
        <v>0</v>
      </c>
      <c r="O4252">
        <v>-0.34016229999999997</v>
      </c>
      <c r="P4252">
        <v>-0.83064439999999995</v>
      </c>
      <c r="Q4252">
        <v>5.7414180000000002E-2</v>
      </c>
      <c r="R4252">
        <v>-0.55383579999999999</v>
      </c>
      <c r="S4252">
        <v>-2.2362669999999998</v>
      </c>
      <c r="T4252">
        <v>-0.31378729999999999</v>
      </c>
      <c r="U4252">
        <v>-2.1054529999999998</v>
      </c>
      <c r="V4252">
        <v>-0.2402261</v>
      </c>
      <c r="W4252">
        <v>6.746344E-2</v>
      </c>
      <c r="X4252">
        <v>0.96836979999999995</v>
      </c>
      <c r="Y4252">
        <v>-0.396569</v>
      </c>
      <c r="Z4252">
        <v>1.4852509999999999E-2</v>
      </c>
      <c r="AA4252">
        <v>0.91788479999999995</v>
      </c>
      <c r="AB4252">
        <v>43</v>
      </c>
      <c r="AC4252">
        <v>-0.40180000000003702</v>
      </c>
      <c r="AD4252">
        <v>-0.110552999999999</v>
      </c>
      <c r="AE4252">
        <v>-0.59839999999996896</v>
      </c>
      <c r="AF4252">
        <v>-0.41621480191721</v>
      </c>
      <c r="AG4252">
        <v>-0.110552999999999</v>
      </c>
      <c r="AH4252">
        <v>0.56805228481919601</v>
      </c>
      <c r="AI4252">
        <v>98.921912251038293</v>
      </c>
      <c r="AJ4252">
        <v>126.230423215741</v>
      </c>
      <c r="AK4252">
        <v>0.71283948083161897</v>
      </c>
    </row>
    <row r="4253" spans="1:37" x14ac:dyDescent="0.2">
      <c r="A4253" t="str">
        <f>"20200111153736189"</f>
        <v>20200111153736189</v>
      </c>
      <c r="B4253" t="str">
        <f>"1578728256177101"</f>
        <v>1578728256177101</v>
      </c>
      <c r="C4253" t="s">
        <v>37</v>
      </c>
      <c r="D4253">
        <v>5.5415619999999999</v>
      </c>
      <c r="E4253">
        <v>0.42933589999999999</v>
      </c>
      <c r="F4253" t="s">
        <v>38</v>
      </c>
      <c r="G4253">
        <v>-398.17180000000002</v>
      </c>
      <c r="H4253">
        <v>1.0068509999999999</v>
      </c>
      <c r="I4253">
        <v>138.11150000000001</v>
      </c>
      <c r="J4253">
        <v>-397.7912</v>
      </c>
      <c r="K4253">
        <v>1.1163829999999999</v>
      </c>
      <c r="L4253">
        <v>138.70429999999999</v>
      </c>
      <c r="M4253">
        <v>-0.93647530000000001</v>
      </c>
      <c r="N4253">
        <v>0</v>
      </c>
      <c r="O4253">
        <v>-0.35030329999999998</v>
      </c>
      <c r="P4253">
        <v>-0.82436799999999999</v>
      </c>
      <c r="Q4253">
        <v>5.7470689999999998E-2</v>
      </c>
      <c r="R4253">
        <v>-0.56312980000000001</v>
      </c>
      <c r="S4253">
        <v>-2.21347</v>
      </c>
      <c r="T4253">
        <v>-0.3140907</v>
      </c>
      <c r="U4253">
        <v>-2.129562</v>
      </c>
      <c r="V4253">
        <v>-0.24066100000000001</v>
      </c>
      <c r="W4253">
        <v>6.7383990000000005E-2</v>
      </c>
      <c r="X4253">
        <v>0.9682674</v>
      </c>
      <c r="Y4253">
        <v>-0.39660889999999999</v>
      </c>
      <c r="Z4253">
        <v>1.597662E-2</v>
      </c>
      <c r="AA4253">
        <v>0.91784859999999902</v>
      </c>
      <c r="AB4253">
        <v>43</v>
      </c>
      <c r="AC4253">
        <v>-0.38060000000001498</v>
      </c>
      <c r="AD4253">
        <v>-0.10953199999999901</v>
      </c>
      <c r="AE4253">
        <v>-0.59279999999998201</v>
      </c>
      <c r="AF4253">
        <v>-0.41192254155844099</v>
      </c>
      <c r="AG4253">
        <v>-0.10953199999999901</v>
      </c>
      <c r="AH4253">
        <v>0.55085059552101401</v>
      </c>
      <c r="AI4253">
        <v>99.047911849830598</v>
      </c>
      <c r="AJ4253">
        <v>126.78890422581</v>
      </c>
      <c r="AK4253">
        <v>0.69650112552229404</v>
      </c>
    </row>
    <row r="4254" spans="1:37" x14ac:dyDescent="0.2">
      <c r="A4254" t="str">
        <f>"20200111153736213"</f>
        <v>20200111153736213</v>
      </c>
      <c r="B4254" t="str">
        <f>"1578728256207356"</f>
        <v>1578728256207356</v>
      </c>
      <c r="C4254" t="s">
        <v>37</v>
      </c>
      <c r="D4254">
        <v>5.4598399999999998</v>
      </c>
      <c r="E4254">
        <v>0.42945</v>
      </c>
      <c r="F4254" t="s">
        <v>38</v>
      </c>
      <c r="G4254">
        <v>-398.57990000000001</v>
      </c>
      <c r="H4254">
        <v>1.002896</v>
      </c>
      <c r="I4254">
        <v>137.9289</v>
      </c>
      <c r="J4254">
        <v>-398.19510000000002</v>
      </c>
      <c r="K4254">
        <v>1.116492</v>
      </c>
      <c r="L4254">
        <v>138.5454</v>
      </c>
      <c r="M4254">
        <v>-0.93243099999999901</v>
      </c>
      <c r="N4254">
        <v>0</v>
      </c>
      <c r="O4254">
        <v>-0.3609328</v>
      </c>
      <c r="P4254">
        <v>-0.81763339999999995</v>
      </c>
      <c r="Q4254">
        <v>5.721395E-2</v>
      </c>
      <c r="R4254">
        <v>-0.57289019999999902</v>
      </c>
      <c r="S4254">
        <v>-2.1900330000000001</v>
      </c>
      <c r="T4254">
        <v>-0.31512699999999999</v>
      </c>
      <c r="U4254">
        <v>-2.1535340000000001</v>
      </c>
      <c r="V4254">
        <v>-0.24116460000000001</v>
      </c>
      <c r="W4254">
        <v>6.6992449999999995E-2</v>
      </c>
      <c r="X4254">
        <v>0.96816919999999995</v>
      </c>
      <c r="Y4254">
        <v>-0.39623320000000001</v>
      </c>
      <c r="Z4254">
        <v>1.7222560000000001E-2</v>
      </c>
      <c r="AA4254">
        <v>0.91798840000000004</v>
      </c>
      <c r="AB4254">
        <v>43</v>
      </c>
      <c r="AC4254">
        <v>-0.38479999999998399</v>
      </c>
      <c r="AD4254">
        <v>-0.113596</v>
      </c>
      <c r="AE4254">
        <v>-0.61650000000000205</v>
      </c>
      <c r="AF4254">
        <v>-0.42562297931874798</v>
      </c>
      <c r="AG4254">
        <v>-0.113596</v>
      </c>
      <c r="AH4254">
        <v>0.56753521201101198</v>
      </c>
      <c r="AI4254">
        <v>99.097497137739197</v>
      </c>
      <c r="AJ4254">
        <v>126.868060716915</v>
      </c>
      <c r="AK4254">
        <v>0.71843941192876704</v>
      </c>
    </row>
    <row r="4255" spans="1:37" x14ac:dyDescent="0.2">
      <c r="A4255" t="str">
        <f>"20200111153736234"</f>
        <v>20200111153736234</v>
      </c>
      <c r="B4255" t="str">
        <f>"1578728256226880"</f>
        <v>1578728256226880</v>
      </c>
      <c r="C4255" t="s">
        <v>37</v>
      </c>
      <c r="D4255">
        <v>5.4655750000000003</v>
      </c>
      <c r="E4255">
        <v>0.42953849999999999</v>
      </c>
      <c r="F4255" t="s">
        <v>51</v>
      </c>
      <c r="G4255">
        <v>-405.80149999999998</v>
      </c>
      <c r="H4255" s="1">
        <v>-4.0668590000000003E-6</v>
      </c>
      <c r="I4255">
        <v>130.89240000000001</v>
      </c>
      <c r="J4255">
        <v>-398.57470000000001</v>
      </c>
      <c r="K4255">
        <v>1.1165909999999999</v>
      </c>
      <c r="L4255">
        <v>138.39109999999999</v>
      </c>
      <c r="M4255">
        <v>-0.928455699999999</v>
      </c>
      <c r="N4255">
        <v>0</v>
      </c>
      <c r="O4255">
        <v>-0.3710407</v>
      </c>
      <c r="P4255">
        <v>-0.81101880000000004</v>
      </c>
      <c r="Q4255">
        <v>5.5547869999999999E-2</v>
      </c>
      <c r="R4255">
        <v>-0.58237709999999998</v>
      </c>
      <c r="S4255">
        <v>-2.1650700000000001</v>
      </c>
      <c r="T4255">
        <v>-0.31779609999999903</v>
      </c>
      <c r="U4255">
        <v>-2.1783290000000002</v>
      </c>
      <c r="V4255">
        <v>-0.2418534</v>
      </c>
      <c r="W4255">
        <v>6.520012E-2</v>
      </c>
      <c r="X4255">
        <v>0.96811970000000003</v>
      </c>
      <c r="Y4255">
        <v>-0.39681450000000001</v>
      </c>
      <c r="Z4255">
        <v>1.8464410000000001E-2</v>
      </c>
      <c r="AA4255">
        <v>0.91771309999999995</v>
      </c>
      <c r="AB4255">
        <v>42</v>
      </c>
      <c r="AC4255">
        <v>-7.2267999999999599</v>
      </c>
      <c r="AD4255">
        <v>-1.1165950668589999</v>
      </c>
      <c r="AE4255">
        <v>-7.4986999999999799</v>
      </c>
      <c r="AF4255">
        <v>-4.2327553005328902</v>
      </c>
      <c r="AG4255">
        <v>-1.1165950668589999</v>
      </c>
      <c r="AH4255">
        <v>9.3856114063252996</v>
      </c>
      <c r="AI4255">
        <v>96.189552478054694</v>
      </c>
      <c r="AJ4255">
        <v>114.274586157637</v>
      </c>
      <c r="AK4255">
        <v>10.356288111484</v>
      </c>
    </row>
    <row r="4256" spans="1:37" x14ac:dyDescent="0.2">
      <c r="A4256" t="str">
        <f>"20200111153736257"</f>
        <v>20200111153736257</v>
      </c>
      <c r="B4256" t="str">
        <f>"1578728256247376"</f>
        <v>1578728256247376</v>
      </c>
      <c r="C4256" t="s">
        <v>37</v>
      </c>
      <c r="D4256">
        <v>5.4597699999999998</v>
      </c>
      <c r="E4256">
        <v>0.42961339999999998</v>
      </c>
      <c r="F4256" t="s">
        <v>51</v>
      </c>
      <c r="G4256">
        <v>-405.93189999999998</v>
      </c>
      <c r="H4256" s="1">
        <v>-4.123799E-6</v>
      </c>
      <c r="I4256">
        <v>130.82380000000001</v>
      </c>
      <c r="J4256">
        <v>-398.96019999999999</v>
      </c>
      <c r="K4256">
        <v>1.1166830000000001</v>
      </c>
      <c r="L4256">
        <v>138.2296</v>
      </c>
      <c r="M4256">
        <v>-0.92424399999999995</v>
      </c>
      <c r="N4256">
        <v>0</v>
      </c>
      <c r="O4256">
        <v>-0.38141249999999999</v>
      </c>
      <c r="P4256">
        <v>-0.803786</v>
      </c>
      <c r="Q4256">
        <v>5.4873409999999997E-2</v>
      </c>
      <c r="R4256">
        <v>-0.59238279999999999</v>
      </c>
      <c r="S4256">
        <v>-2.1404109999999998</v>
      </c>
      <c r="T4256">
        <v>-0.32484750000000001</v>
      </c>
      <c r="U4256">
        <v>-2.2015229999999999</v>
      </c>
      <c r="V4256">
        <v>-0.24299079999999901</v>
      </c>
      <c r="W4256">
        <v>6.4383120000000002E-2</v>
      </c>
      <c r="X4256">
        <v>0.96788960000000002</v>
      </c>
      <c r="Y4256">
        <v>-0.39669189999999999</v>
      </c>
      <c r="Z4256">
        <v>2.0068369999999999E-2</v>
      </c>
      <c r="AA4256">
        <v>0.9177324</v>
      </c>
      <c r="AB4256">
        <v>42</v>
      </c>
      <c r="AC4256">
        <v>-6.9716999999999896</v>
      </c>
      <c r="AD4256">
        <v>-1.1166871237989999</v>
      </c>
      <c r="AE4256">
        <v>-7.4057999999999904</v>
      </c>
      <c r="AF4256">
        <v>-4.1364350043868097</v>
      </c>
      <c r="AG4256">
        <v>-1.1166871237989999</v>
      </c>
      <c r="AH4256">
        <v>9.1591909757194401</v>
      </c>
      <c r="AI4256">
        <v>96.340357575139706</v>
      </c>
      <c r="AJ4256">
        <v>114.30468527536701</v>
      </c>
      <c r="AK4256">
        <v>10.111768589503701</v>
      </c>
    </row>
    <row r="4257" spans="1:37" x14ac:dyDescent="0.2">
      <c r="A4257" t="str">
        <f>"20200111153736279"</f>
        <v>20200111153736279</v>
      </c>
      <c r="B4257" t="str">
        <f>"1578728256266893"</f>
        <v>1578728256266893</v>
      </c>
      <c r="C4257" t="s">
        <v>37</v>
      </c>
      <c r="D4257">
        <v>5.4535910000000003</v>
      </c>
      <c r="E4257">
        <v>0.42966399999999999</v>
      </c>
      <c r="F4257" t="s">
        <v>51</v>
      </c>
      <c r="G4257">
        <v>-406.16059999999999</v>
      </c>
      <c r="H4257" s="1">
        <v>-4.1962090000000002E-6</v>
      </c>
      <c r="I4257">
        <v>130.6447</v>
      </c>
      <c r="J4257">
        <v>-399.3417</v>
      </c>
      <c r="K4257">
        <v>1.1167769999999999</v>
      </c>
      <c r="L4257">
        <v>138.06469999999999</v>
      </c>
      <c r="M4257">
        <v>-0.91990400000000005</v>
      </c>
      <c r="N4257">
        <v>0</v>
      </c>
      <c r="O4257">
        <v>-0.39176630000000001</v>
      </c>
      <c r="P4257">
        <v>-0.79617729999999998</v>
      </c>
      <c r="Q4257">
        <v>5.4801860000000001E-2</v>
      </c>
      <c r="R4257">
        <v>-0.60257689999999997</v>
      </c>
      <c r="S4257">
        <v>-2.1137389999999998</v>
      </c>
      <c r="T4257">
        <v>-0.3278122</v>
      </c>
      <c r="U4257">
        <v>-2.2265779999999999</v>
      </c>
      <c r="V4257">
        <v>-0.24446679999999901</v>
      </c>
      <c r="W4257">
        <v>6.415709E-2</v>
      </c>
      <c r="X4257">
        <v>0.96753289999999903</v>
      </c>
      <c r="Y4257">
        <v>-0.39736519999999997</v>
      </c>
      <c r="Z4257">
        <v>2.141272E-2</v>
      </c>
      <c r="AA4257">
        <v>0.91741070000000002</v>
      </c>
      <c r="AB4257">
        <v>42</v>
      </c>
      <c r="AC4257">
        <v>-6.8188999999999798</v>
      </c>
      <c r="AD4257">
        <v>-1.116781196209</v>
      </c>
      <c r="AE4257">
        <v>-7.4199999999999804</v>
      </c>
      <c r="AF4257">
        <v>-4.1044791654447499</v>
      </c>
      <c r="AG4257">
        <v>-1.116781196209</v>
      </c>
      <c r="AH4257">
        <v>9.0696117728140297</v>
      </c>
      <c r="AI4257">
        <v>96.400764415793205</v>
      </c>
      <c r="AJ4257">
        <v>114.34926791461599</v>
      </c>
      <c r="AK4257">
        <v>10.017574914586</v>
      </c>
    </row>
    <row r="4258" spans="1:37" x14ac:dyDescent="0.2">
      <c r="A4258" t="str">
        <f>"20200111153736302"</f>
        <v>20200111153736302</v>
      </c>
      <c r="B4258" t="str">
        <f>"1578728256297149"</f>
        <v>1578728256297149</v>
      </c>
      <c r="C4258" t="s">
        <v>37</v>
      </c>
      <c r="D4258">
        <v>5.4252739999999999</v>
      </c>
      <c r="E4258">
        <v>0.42977989999999999</v>
      </c>
      <c r="F4258" t="s">
        <v>51</v>
      </c>
      <c r="G4258">
        <v>-406.4203</v>
      </c>
      <c r="H4258" s="1">
        <v>-4.2672439999999999E-6</v>
      </c>
      <c r="I4258">
        <v>130.41749999999999</v>
      </c>
      <c r="J4258">
        <v>-399.71559999999999</v>
      </c>
      <c r="K4258">
        <v>1.1168559999999901</v>
      </c>
      <c r="L4258">
        <v>137.89779999999999</v>
      </c>
      <c r="M4258">
        <v>-0.91548200000000002</v>
      </c>
      <c r="N4258">
        <v>0</v>
      </c>
      <c r="O4258">
        <v>-0.40199319999999999</v>
      </c>
      <c r="P4258">
        <v>-0.78813069999999996</v>
      </c>
      <c r="Q4258">
        <v>5.5822410000000003E-2</v>
      </c>
      <c r="R4258">
        <v>-0.6129715</v>
      </c>
      <c r="S4258">
        <v>-2.08550999999999</v>
      </c>
      <c r="T4258">
        <v>-0.32902940000000003</v>
      </c>
      <c r="U4258">
        <v>-2.2530359999999998</v>
      </c>
      <c r="V4258">
        <v>-0.24645300000000001</v>
      </c>
      <c r="W4258">
        <v>6.501026E-2</v>
      </c>
      <c r="X4258">
        <v>0.9669719</v>
      </c>
      <c r="Y4258">
        <v>-0.3987407</v>
      </c>
      <c r="Z4258">
        <v>2.2605150000000001E-2</v>
      </c>
      <c r="AA4258">
        <v>0.91678510000000002</v>
      </c>
      <c r="AB4258">
        <v>42</v>
      </c>
      <c r="AC4258">
        <v>-6.7046999999999999</v>
      </c>
      <c r="AD4258">
        <v>-1.11686026724399</v>
      </c>
      <c r="AE4258">
        <v>-7.4802999999999997</v>
      </c>
      <c r="AF4258">
        <v>-4.1027310894416997</v>
      </c>
      <c r="AG4258">
        <v>-1.11686026724399</v>
      </c>
      <c r="AH4258">
        <v>9.0347242206308298</v>
      </c>
      <c r="AI4258">
        <v>96.422003046869307</v>
      </c>
      <c r="AJ4258">
        <v>114.42312917009301</v>
      </c>
      <c r="AK4258">
        <v>9.9852902307180393</v>
      </c>
    </row>
    <row r="4259" spans="1:37" x14ac:dyDescent="0.2">
      <c r="A4259" t="str">
        <f>"20200111153736323"</f>
        <v>20200111153736323</v>
      </c>
      <c r="B4259" t="str">
        <f>"1578728256317648"</f>
        <v>1578728256317648</v>
      </c>
      <c r="C4259" t="s">
        <v>37</v>
      </c>
      <c r="D4259">
        <v>5.4189809999999996</v>
      </c>
      <c r="E4259">
        <v>0.4298633</v>
      </c>
      <c r="F4259" t="s">
        <v>38</v>
      </c>
      <c r="G4259">
        <v>-400.49160000000001</v>
      </c>
      <c r="H4259">
        <v>0.99335429999999902</v>
      </c>
      <c r="I4259">
        <v>137.03809999999999</v>
      </c>
      <c r="J4259">
        <v>-400.10489999999999</v>
      </c>
      <c r="K4259">
        <v>1.1169340000000001</v>
      </c>
      <c r="L4259">
        <v>137.71870000000001</v>
      </c>
      <c r="M4259">
        <v>-0.91069909999999998</v>
      </c>
      <c r="N4259">
        <v>0</v>
      </c>
      <c r="O4259">
        <v>-0.41271619999999998</v>
      </c>
      <c r="P4259">
        <v>-0.77978040000000004</v>
      </c>
      <c r="Q4259">
        <v>5.5839809999999997E-2</v>
      </c>
      <c r="R4259">
        <v>-0.6235579</v>
      </c>
      <c r="S4259">
        <v>-2.0569459999999999</v>
      </c>
      <c r="T4259">
        <v>-0.3273491</v>
      </c>
      <c r="U4259">
        <v>-2.2792970000000001</v>
      </c>
      <c r="V4259">
        <v>-0.2481689</v>
      </c>
      <c r="W4259">
        <v>6.4863240000000003E-2</v>
      </c>
      <c r="X4259">
        <v>0.96654280000000004</v>
      </c>
      <c r="Y4259">
        <v>-0.39960409999999902</v>
      </c>
      <c r="Z4259">
        <v>2.3686820000000001E-2</v>
      </c>
      <c r="AA4259">
        <v>0.91638180000000002</v>
      </c>
      <c r="AB4259">
        <v>42</v>
      </c>
      <c r="AC4259">
        <v>-0.38670000000001797</v>
      </c>
      <c r="AD4259">
        <v>-0.1235797</v>
      </c>
      <c r="AE4259">
        <v>-0.68060000000002596</v>
      </c>
      <c r="AF4259">
        <v>-0.44909867169986201</v>
      </c>
      <c r="AG4259">
        <v>-0.1235797</v>
      </c>
      <c r="AH4259">
        <v>0.61775791349503995</v>
      </c>
      <c r="AI4259">
        <v>99.191165521459396</v>
      </c>
      <c r="AJ4259">
        <v>126.016464158555</v>
      </c>
      <c r="AK4259">
        <v>0.77368365554690099</v>
      </c>
    </row>
    <row r="4260" spans="1:37" x14ac:dyDescent="0.2">
      <c r="A4260" t="str">
        <f>"20200111153736347"</f>
        <v>20200111153736347</v>
      </c>
      <c r="B4260" t="str">
        <f>"1578728256337289"</f>
        <v>1578728256337289</v>
      </c>
      <c r="C4260" t="s">
        <v>37</v>
      </c>
      <c r="D4260">
        <v>5.4394119999999999</v>
      </c>
      <c r="E4260">
        <v>0.42994300000000002</v>
      </c>
      <c r="F4260" t="s">
        <v>38</v>
      </c>
      <c r="G4260">
        <v>-400.8322</v>
      </c>
      <c r="H4260">
        <v>0.99894539999999998</v>
      </c>
      <c r="I4260">
        <v>136.89099999999999</v>
      </c>
      <c r="J4260">
        <v>-400.48349999999999</v>
      </c>
      <c r="K4260">
        <v>1.117008</v>
      </c>
      <c r="L4260">
        <v>137.53919999999999</v>
      </c>
      <c r="M4260">
        <v>-0.90587479999999998</v>
      </c>
      <c r="N4260">
        <v>0</v>
      </c>
      <c r="O4260">
        <v>-0.42320259999999998</v>
      </c>
      <c r="P4260">
        <v>-0.77114439999999995</v>
      </c>
      <c r="Q4260">
        <v>5.5954879999999999E-2</v>
      </c>
      <c r="R4260">
        <v>-0.63419689999999995</v>
      </c>
      <c r="S4260">
        <v>-2.026764</v>
      </c>
      <c r="T4260">
        <v>-0.3287756</v>
      </c>
      <c r="U4260">
        <v>-2.305984</v>
      </c>
      <c r="V4260">
        <v>-0.25028850000000002</v>
      </c>
      <c r="W4260">
        <v>6.4802810000000002E-2</v>
      </c>
      <c r="X4260">
        <v>0.96600010000000003</v>
      </c>
      <c r="Y4260">
        <v>-0.40108690000000002</v>
      </c>
      <c r="Z4260">
        <v>2.4934870000000001E-2</v>
      </c>
      <c r="AA4260">
        <v>0.91570059999999998</v>
      </c>
      <c r="AB4260">
        <v>42</v>
      </c>
      <c r="AC4260">
        <v>-0.348700000000007</v>
      </c>
      <c r="AD4260">
        <v>-0.1180626</v>
      </c>
      <c r="AE4260">
        <v>-0.648200000000002</v>
      </c>
      <c r="AF4260">
        <v>-0.42865237715517601</v>
      </c>
      <c r="AG4260">
        <v>-0.1180626</v>
      </c>
      <c r="AH4260">
        <v>0.57547775544989199</v>
      </c>
      <c r="AI4260">
        <v>99.343134343416807</v>
      </c>
      <c r="AJ4260">
        <v>126.681081074411</v>
      </c>
      <c r="AK4260">
        <v>0.72722505799593395</v>
      </c>
    </row>
    <row r="4261" spans="1:37" x14ac:dyDescent="0.2">
      <c r="A4261" t="str">
        <f>"20200111153736368"</f>
        <v>20200111153736368</v>
      </c>
      <c r="B4261" t="str">
        <f>"1578728256357786"</f>
        <v>1578728256357786</v>
      </c>
      <c r="C4261" t="s">
        <v>37</v>
      </c>
      <c r="D4261">
        <v>5.3760820000000002</v>
      </c>
      <c r="E4261">
        <v>0.43005870000000002</v>
      </c>
      <c r="F4261" t="s">
        <v>38</v>
      </c>
      <c r="G4261">
        <v>-401.16969999999998</v>
      </c>
      <c r="H4261">
        <v>1.0035989999999999</v>
      </c>
      <c r="I4261">
        <v>136.7372</v>
      </c>
      <c r="J4261">
        <v>-400.84280000000001</v>
      </c>
      <c r="K4261">
        <v>1.117076</v>
      </c>
      <c r="L4261">
        <v>137.3638</v>
      </c>
      <c r="M4261">
        <v>-0.90113029999999905</v>
      </c>
      <c r="N4261">
        <v>0</v>
      </c>
      <c r="O4261">
        <v>-0.43321579999999899</v>
      </c>
      <c r="P4261">
        <v>-0.76321000000000006</v>
      </c>
      <c r="Q4261">
        <v>5.6889629999999997E-2</v>
      </c>
      <c r="R4261">
        <v>-0.64364189999999999</v>
      </c>
      <c r="S4261">
        <v>-1.9955750000000001</v>
      </c>
      <c r="T4261">
        <v>-0.32980479999999901</v>
      </c>
      <c r="U4261">
        <v>-2.3329930000000001</v>
      </c>
      <c r="V4261">
        <v>-0.25154330000000003</v>
      </c>
      <c r="W4261">
        <v>6.5595050000000002E-2</v>
      </c>
      <c r="X4261">
        <v>0.9656207</v>
      </c>
      <c r="Y4261">
        <v>-0.40327540000000001</v>
      </c>
      <c r="Z4261">
        <v>2.6070019999999999E-2</v>
      </c>
      <c r="AA4261">
        <v>0.91470720000000005</v>
      </c>
      <c r="AB4261">
        <v>42</v>
      </c>
      <c r="AC4261">
        <v>-0.326899999999966</v>
      </c>
      <c r="AD4261">
        <v>-0.11347699999999999</v>
      </c>
      <c r="AE4261">
        <v>-0.62659999999999605</v>
      </c>
      <c r="AF4261">
        <v>-0.41245770288485301</v>
      </c>
      <c r="AG4261">
        <v>-0.11347699999999999</v>
      </c>
      <c r="AH4261">
        <v>0.55188632132370297</v>
      </c>
      <c r="AI4261">
        <v>99.352750354881593</v>
      </c>
      <c r="AJ4261">
        <v>126.772964081702</v>
      </c>
      <c r="AK4261">
        <v>0.69826706771998004</v>
      </c>
    </row>
    <row r="4262" spans="1:37" x14ac:dyDescent="0.2">
      <c r="A4262" t="str">
        <f>"20200111153736390"</f>
        <v>20200111153736390</v>
      </c>
      <c r="B4262" t="str">
        <f>"1578728256387068"</f>
        <v>1578728256387068</v>
      </c>
      <c r="C4262" t="s">
        <v>37</v>
      </c>
      <c r="D4262">
        <v>5.5020889999999998</v>
      </c>
      <c r="E4262">
        <v>0.4303187</v>
      </c>
      <c r="F4262" t="s">
        <v>38</v>
      </c>
      <c r="G4262">
        <v>-401.51530000000002</v>
      </c>
      <c r="H4262">
        <v>1.0051319999999999</v>
      </c>
      <c r="I4262">
        <v>136.55799999999999</v>
      </c>
      <c r="J4262">
        <v>-401.2106</v>
      </c>
      <c r="K4262">
        <v>1.11714</v>
      </c>
      <c r="L4262">
        <v>137.17920000000001</v>
      </c>
      <c r="M4262">
        <v>-0.89609189999999905</v>
      </c>
      <c r="N4262">
        <v>0</v>
      </c>
      <c r="O4262">
        <v>-0.44354640000000001</v>
      </c>
      <c r="P4262">
        <v>-0.75523839999999998</v>
      </c>
      <c r="Q4262">
        <v>5.8110920000000003E-2</v>
      </c>
      <c r="R4262">
        <v>-0.65286889999999997</v>
      </c>
      <c r="S4262">
        <v>-1.967438</v>
      </c>
      <c r="T4262">
        <v>-0.3274997</v>
      </c>
      <c r="U4262">
        <v>-2.357056</v>
      </c>
      <c r="V4262">
        <v>-0.25226729999999897</v>
      </c>
      <c r="W4262">
        <v>6.6676529999999998E-2</v>
      </c>
      <c r="X4262">
        <v>0.96535769999999999</v>
      </c>
      <c r="Y4262">
        <v>-0.40382979999999902</v>
      </c>
      <c r="Z4262">
        <v>2.706737E-2</v>
      </c>
      <c r="AA4262">
        <v>0.91443369999999902</v>
      </c>
      <c r="AB4262">
        <v>42</v>
      </c>
      <c r="AC4262">
        <v>-0.30470000000002501</v>
      </c>
      <c r="AD4262">
        <v>-0.112008</v>
      </c>
      <c r="AE4262">
        <v>-0.62120000000001596</v>
      </c>
      <c r="AF4262">
        <v>-0.41079845062220199</v>
      </c>
      <c r="AG4262">
        <v>-0.112008</v>
      </c>
      <c r="AH4262">
        <v>0.53463777098787701</v>
      </c>
      <c r="AI4262">
        <v>99.432181105804105</v>
      </c>
      <c r="AJ4262">
        <v>127.53751561378201</v>
      </c>
      <c r="AK4262">
        <v>0.68347546061617104</v>
      </c>
    </row>
    <row r="4263" spans="1:37" x14ac:dyDescent="0.2">
      <c r="A4263" t="str">
        <f>"20200111153736414"</f>
        <v>20200111153736414</v>
      </c>
      <c r="B4263" t="str">
        <f>"1578728256407560"</f>
        <v>1578728256407560</v>
      </c>
      <c r="C4263" t="s">
        <v>37</v>
      </c>
      <c r="D4263">
        <v>5.4351120000000002</v>
      </c>
      <c r="E4263">
        <v>0.44176959999999998</v>
      </c>
      <c r="F4263" t="s">
        <v>38</v>
      </c>
      <c r="G4263">
        <v>-401.89609999999999</v>
      </c>
      <c r="H4263">
        <v>1.0023959999999901</v>
      </c>
      <c r="I4263">
        <v>136.33850000000001</v>
      </c>
      <c r="J4263">
        <v>-401.59519999999998</v>
      </c>
      <c r="K4263">
        <v>1.1172070000000001</v>
      </c>
      <c r="L4263">
        <v>136.98050000000001</v>
      </c>
      <c r="M4263">
        <v>-0.89060949999999905</v>
      </c>
      <c r="N4263">
        <v>0</v>
      </c>
      <c r="O4263">
        <v>-0.45445819999999998</v>
      </c>
      <c r="P4263">
        <v>-0.74677910000000003</v>
      </c>
      <c r="Q4263">
        <v>5.8354740000000002E-2</v>
      </c>
      <c r="R4263">
        <v>-0.66250739999999997</v>
      </c>
      <c r="S4263">
        <v>-1.940002</v>
      </c>
      <c r="T4263">
        <v>-0.3247429</v>
      </c>
      <c r="U4263">
        <v>-2.3798979999999998</v>
      </c>
      <c r="V4263">
        <v>-0.25289339999999999</v>
      </c>
      <c r="W4263">
        <v>6.6748849999999998E-2</v>
      </c>
      <c r="X4263">
        <v>0.96518890000000002</v>
      </c>
      <c r="Y4263">
        <v>-0.40333720000000001</v>
      </c>
      <c r="Z4263">
        <v>2.8137289999999999E-2</v>
      </c>
      <c r="AA4263">
        <v>0.91461870000000001</v>
      </c>
      <c r="AB4263">
        <v>42</v>
      </c>
      <c r="AC4263">
        <v>-0.30090000000001199</v>
      </c>
      <c r="AD4263">
        <v>-0.114811</v>
      </c>
      <c r="AE4263">
        <v>-0.64199999999999502</v>
      </c>
      <c r="AF4263">
        <v>-0.42396926034710303</v>
      </c>
      <c r="AG4263">
        <v>-0.114811</v>
      </c>
      <c r="AH4263">
        <v>0.54552136281420105</v>
      </c>
      <c r="AI4263">
        <v>99.4349602385401</v>
      </c>
      <c r="AJ4263">
        <v>127.853700351353</v>
      </c>
      <c r="AK4263">
        <v>0.70037494010489298</v>
      </c>
    </row>
    <row r="4264" spans="1:37" x14ac:dyDescent="0.2">
      <c r="A4264" t="str">
        <f>"20200111153736436"</f>
        <v>20200111153736436</v>
      </c>
      <c r="B4264" t="str">
        <f>"1578728256427081"</f>
        <v>1578728256427081</v>
      </c>
      <c r="C4264" t="s">
        <v>37</v>
      </c>
      <c r="D4264">
        <v>5.4798689999999999</v>
      </c>
      <c r="E4264">
        <v>0.44209899999999902</v>
      </c>
      <c r="F4264" t="s">
        <v>51</v>
      </c>
      <c r="G4264">
        <v>-407.21170000000001</v>
      </c>
      <c r="H4264" s="1">
        <v>-4.7699540000000001E-6</v>
      </c>
      <c r="I4264">
        <v>130.33789999999999</v>
      </c>
      <c r="J4264">
        <v>-401.9622</v>
      </c>
      <c r="K4264">
        <v>1.117278</v>
      </c>
      <c r="L4264">
        <v>136.7852</v>
      </c>
      <c r="M4264">
        <v>-0.88516149999999905</v>
      </c>
      <c r="N4264">
        <v>0</v>
      </c>
      <c r="O4264">
        <v>-0.46498390000000001</v>
      </c>
      <c r="P4264">
        <v>-0.73854109999999995</v>
      </c>
      <c r="Q4264">
        <v>5.7424250000000003E-2</v>
      </c>
      <c r="R4264">
        <v>-0.67175850000000004</v>
      </c>
      <c r="S4264">
        <v>-1.9753719999999999</v>
      </c>
      <c r="T4264">
        <v>-0.39293400000000001</v>
      </c>
      <c r="U4264">
        <v>-2.3362430000000001</v>
      </c>
      <c r="V4264">
        <v>-0.25342629999999999</v>
      </c>
      <c r="W4264">
        <v>6.5634070000000003E-2</v>
      </c>
      <c r="X4264">
        <v>0.96512559999999903</v>
      </c>
      <c r="Y4264">
        <v>-0.37617459999999903</v>
      </c>
      <c r="Z4264">
        <v>3.734113E-2</v>
      </c>
      <c r="AA4264">
        <v>0.92579599999999995</v>
      </c>
      <c r="AB4264">
        <v>42</v>
      </c>
      <c r="AC4264">
        <v>-5.24950000000001</v>
      </c>
      <c r="AD4264">
        <v>-1.117282769954</v>
      </c>
      <c r="AE4264">
        <v>-6.44730000000001</v>
      </c>
      <c r="AF4264">
        <v>-3.2084829023219101</v>
      </c>
      <c r="AG4264">
        <v>-1.117282769954</v>
      </c>
      <c r="AH4264">
        <v>7.5099907399134302</v>
      </c>
      <c r="AI4264">
        <v>97.790286965147402</v>
      </c>
      <c r="AJ4264">
        <v>113.133559700297</v>
      </c>
      <c r="AK4264">
        <v>8.2427328135827391</v>
      </c>
    </row>
    <row r="4265" spans="1:37" x14ac:dyDescent="0.2">
      <c r="A4265" t="str">
        <f>"20200111153736461"</f>
        <v>20200111153736461</v>
      </c>
      <c r="B4265" t="str">
        <f>"1578728256447577"</f>
        <v>1578728256447577</v>
      </c>
      <c r="C4265" t="s">
        <v>37</v>
      </c>
      <c r="D4265">
        <v>5.524858</v>
      </c>
      <c r="E4265">
        <v>0.4422991</v>
      </c>
      <c r="F4265" t="s">
        <v>51</v>
      </c>
      <c r="G4265">
        <v>-407.3612</v>
      </c>
      <c r="H4265" s="1">
        <v>-4.8305770000000004E-6</v>
      </c>
      <c r="I4265">
        <v>130.24940000000001</v>
      </c>
      <c r="J4265">
        <v>-402.35390000000001</v>
      </c>
      <c r="K4265">
        <v>1.1173709999999999</v>
      </c>
      <c r="L4265">
        <v>136.57060000000001</v>
      </c>
      <c r="M4265">
        <v>-0.87908909999999996</v>
      </c>
      <c r="N4265">
        <v>0</v>
      </c>
      <c r="O4265">
        <v>-0.47636899999999999</v>
      </c>
      <c r="P4265">
        <v>-0.72967459999999995</v>
      </c>
      <c r="Q4265">
        <v>5.6777569999999999E-2</v>
      </c>
      <c r="R4265">
        <v>-0.68143369999999903</v>
      </c>
      <c r="S4265">
        <v>-1.94824199999999</v>
      </c>
      <c r="T4265">
        <v>-0.40317359999999902</v>
      </c>
      <c r="U4265">
        <v>-2.3584749999999999</v>
      </c>
      <c r="V4265">
        <v>-0.25366250000000001</v>
      </c>
      <c r="W4265">
        <v>6.4790429999999996E-2</v>
      </c>
      <c r="X4265">
        <v>0.96512050000000005</v>
      </c>
      <c r="Y4265">
        <v>-0.37493589999999999</v>
      </c>
      <c r="Z4265">
        <v>4.0034300000000002E-2</v>
      </c>
      <c r="AA4265">
        <v>0.92618590000000001</v>
      </c>
      <c r="AB4265">
        <v>42</v>
      </c>
      <c r="AC4265">
        <v>-5.0072999999999803</v>
      </c>
      <c r="AD4265">
        <v>-1.1173758305769901</v>
      </c>
      <c r="AE4265">
        <v>-6.3212000000000002</v>
      </c>
      <c r="AF4265">
        <v>-3.1122590557343801</v>
      </c>
      <c r="AG4265">
        <v>-1.1173758305769901</v>
      </c>
      <c r="AH4265">
        <v>7.2744431387543704</v>
      </c>
      <c r="AI4265">
        <v>98.038213305010402</v>
      </c>
      <c r="AJ4265">
        <v>113.16291866933599</v>
      </c>
      <c r="AK4265">
        <v>7.99075767094266</v>
      </c>
    </row>
    <row r="4266" spans="1:37" x14ac:dyDescent="0.2">
      <c r="A4266" t="str">
        <f>"20200111153736483"</f>
        <v>20200111153736483</v>
      </c>
      <c r="B4266" t="str">
        <f>"1578728256477833"</f>
        <v>1578728256477833</v>
      </c>
      <c r="C4266" t="s">
        <v>37</v>
      </c>
      <c r="D4266">
        <v>5.6067589999999896</v>
      </c>
      <c r="E4266">
        <v>0.4517081</v>
      </c>
      <c r="F4266" t="s">
        <v>51</v>
      </c>
      <c r="G4266">
        <v>-407.6404</v>
      </c>
      <c r="H4266" s="1">
        <v>-4.9052110000000002E-6</v>
      </c>
      <c r="I4266">
        <v>130.00139999999999</v>
      </c>
      <c r="J4266">
        <v>-402.71019999999999</v>
      </c>
      <c r="K4266">
        <v>1.1174759999999999</v>
      </c>
      <c r="L4266">
        <v>136.369</v>
      </c>
      <c r="M4266">
        <v>-0.87330069999999904</v>
      </c>
      <c r="N4266">
        <v>0</v>
      </c>
      <c r="O4266">
        <v>-0.48690209999999901</v>
      </c>
      <c r="P4266">
        <v>-0.72201910000000002</v>
      </c>
      <c r="Q4266">
        <v>5.6082109999999998E-2</v>
      </c>
      <c r="R4266">
        <v>-0.6895964</v>
      </c>
      <c r="S4266">
        <v>-1.9176029999999999</v>
      </c>
      <c r="T4266">
        <v>-0.40531240000000002</v>
      </c>
      <c r="U4266">
        <v>-2.382889</v>
      </c>
      <c r="V4266">
        <v>-0.25288369999999999</v>
      </c>
      <c r="W4266">
        <v>6.3951980000000005E-2</v>
      </c>
      <c r="X4266">
        <v>0.96538069999999898</v>
      </c>
      <c r="Y4266">
        <v>-0.37572270000000002</v>
      </c>
      <c r="Z4266">
        <v>4.173408E-2</v>
      </c>
      <c r="AA4266">
        <v>0.9257919</v>
      </c>
      <c r="AB4266">
        <v>42</v>
      </c>
      <c r="AC4266">
        <v>-4.9302000000000099</v>
      </c>
      <c r="AD4266">
        <v>-1.117480905211</v>
      </c>
      <c r="AE4266">
        <v>-6.3676000000000004</v>
      </c>
      <c r="AF4266">
        <v>-3.1010241155711</v>
      </c>
      <c r="AG4266">
        <v>-1.117480905211</v>
      </c>
      <c r="AH4266">
        <v>7.2670249327796101</v>
      </c>
      <c r="AI4266">
        <v>98.050241706368695</v>
      </c>
      <c r="AJ4266">
        <v>113.109173668316</v>
      </c>
      <c r="AK4266">
        <v>7.9796469541268102</v>
      </c>
    </row>
    <row r="4267" spans="1:37" x14ac:dyDescent="0.2">
      <c r="A4267" t="str">
        <f>"20200111153736502"</f>
        <v>20200111153736502</v>
      </c>
      <c r="B4267" t="str">
        <f>"1578728256497352"</f>
        <v>1578728256497352</v>
      </c>
      <c r="C4267" t="s">
        <v>37</v>
      </c>
      <c r="D4267">
        <v>5.4323540000000001</v>
      </c>
      <c r="E4267">
        <v>0.45355099999999998</v>
      </c>
      <c r="F4267" t="s">
        <v>51</v>
      </c>
      <c r="G4267">
        <v>-408.34429999999998</v>
      </c>
      <c r="H4267" s="1">
        <v>-5.1832359999999999E-6</v>
      </c>
      <c r="I4267">
        <v>129.54570000000001</v>
      </c>
      <c r="J4267">
        <v>-403.02229999999997</v>
      </c>
      <c r="K4267">
        <v>1.11757</v>
      </c>
      <c r="L4267">
        <v>136.18790000000001</v>
      </c>
      <c r="M4267">
        <v>-0.86802699999999999</v>
      </c>
      <c r="N4267">
        <v>0</v>
      </c>
      <c r="O4267">
        <v>-0.49624570000000001</v>
      </c>
      <c r="P4267">
        <v>-0.7150415</v>
      </c>
      <c r="Q4267">
        <v>5.5042710000000002E-2</v>
      </c>
      <c r="R4267">
        <v>-0.69691190000000003</v>
      </c>
      <c r="S4267">
        <v>-1.9404599999999901</v>
      </c>
      <c r="T4267">
        <v>-0.38487080000000001</v>
      </c>
      <c r="U4267">
        <v>-2.350006</v>
      </c>
      <c r="V4267">
        <v>-0.25229459999999998</v>
      </c>
      <c r="W4267">
        <v>6.2791330000000006E-2</v>
      </c>
      <c r="X4267">
        <v>0.965611</v>
      </c>
      <c r="Y4267">
        <v>-0.3541376</v>
      </c>
      <c r="Z4267">
        <v>4.240327E-2</v>
      </c>
      <c r="AA4267">
        <v>0.93423149999999999</v>
      </c>
      <c r="AB4267">
        <v>42</v>
      </c>
      <c r="AC4267">
        <v>-5.3220000000000001</v>
      </c>
      <c r="AD4267">
        <v>-1.1175751832359999</v>
      </c>
      <c r="AE4267">
        <v>-6.6421999999999999</v>
      </c>
      <c r="AF4267">
        <v>-3.0720453460578501</v>
      </c>
      <c r="AG4267">
        <v>-1.1175751832359999</v>
      </c>
      <c r="AH4267">
        <v>7.7826885020805197</v>
      </c>
      <c r="AI4267">
        <v>97.607877967895504</v>
      </c>
      <c r="AJ4267">
        <v>111.540539376502</v>
      </c>
      <c r="AK4267">
        <v>8.4413670231092901</v>
      </c>
    </row>
    <row r="4268" spans="1:37" x14ac:dyDescent="0.2">
      <c r="A4268" t="str">
        <f>"20200111153736525"</f>
        <v>20200111153736525</v>
      </c>
      <c r="B4268" t="str">
        <f>"1578728256516873"</f>
        <v>1578728256516873</v>
      </c>
      <c r="C4268" t="s">
        <v>37</v>
      </c>
      <c r="D4268">
        <v>5.4026610000000002</v>
      </c>
      <c r="E4268">
        <v>0.45637799999999901</v>
      </c>
      <c r="F4268" t="s">
        <v>51</v>
      </c>
      <c r="G4268">
        <v>-408.66129999999998</v>
      </c>
      <c r="H4268" s="1">
        <v>-5.3152099999999901E-6</v>
      </c>
      <c r="I4268">
        <v>129.28030000000001</v>
      </c>
      <c r="J4268">
        <v>-403.38130000000001</v>
      </c>
      <c r="K4268">
        <v>1.117691</v>
      </c>
      <c r="L4268">
        <v>135.9736</v>
      </c>
      <c r="M4268">
        <v>-0.86169089999999904</v>
      </c>
      <c r="N4268">
        <v>0</v>
      </c>
      <c r="O4268">
        <v>-0.50717049999999997</v>
      </c>
      <c r="P4268">
        <v>-0.7062446</v>
      </c>
      <c r="Q4268">
        <v>5.4780669999999997E-2</v>
      </c>
      <c r="R4268">
        <v>-0.70584519999999995</v>
      </c>
      <c r="S4268">
        <v>-1.925781</v>
      </c>
      <c r="T4268">
        <v>-0.38166450000000002</v>
      </c>
      <c r="U4268">
        <v>-2.3590239999999998</v>
      </c>
      <c r="V4268">
        <v>-0.25223679999999998</v>
      </c>
      <c r="W4268">
        <v>6.2371580000000003E-2</v>
      </c>
      <c r="X4268">
        <v>0.9656534</v>
      </c>
      <c r="Y4268">
        <v>-0.34764010000000001</v>
      </c>
      <c r="Z4268">
        <v>4.3975489999999999E-2</v>
      </c>
      <c r="AA4268">
        <v>0.93659629999999905</v>
      </c>
      <c r="AB4268">
        <v>42</v>
      </c>
      <c r="AC4268">
        <v>-5.2799999999999701</v>
      </c>
      <c r="AD4268">
        <v>-1.1176963152099999</v>
      </c>
      <c r="AE4268">
        <v>-6.69329999999999</v>
      </c>
      <c r="AF4268">
        <v>-3.0378907160033499</v>
      </c>
      <c r="AG4268">
        <v>-1.1176963152099999</v>
      </c>
      <c r="AH4268">
        <v>7.81116942978203</v>
      </c>
      <c r="AI4268">
        <v>97.596079729612697</v>
      </c>
      <c r="AJ4268">
        <v>111.251867186403</v>
      </c>
      <c r="AK4268">
        <v>8.4553174343826196</v>
      </c>
    </row>
    <row r="4269" spans="1:37" x14ac:dyDescent="0.2">
      <c r="A4269" t="str">
        <f>"20200111153736547"</f>
        <v>20200111153736547</v>
      </c>
      <c r="B4269" t="str">
        <f>"1578728256537369"</f>
        <v>1578728256537369</v>
      </c>
      <c r="C4269" t="s">
        <v>37</v>
      </c>
      <c r="D4269">
        <v>5.4388860000000001</v>
      </c>
      <c r="E4269">
        <v>0.45806789999999997</v>
      </c>
      <c r="F4269" t="s">
        <v>51</v>
      </c>
      <c r="G4269">
        <v>-409.16030000000001</v>
      </c>
      <c r="H4269" s="1">
        <v>-5.5082159999999996E-6</v>
      </c>
      <c r="I4269">
        <v>128.81610000000001</v>
      </c>
      <c r="J4269">
        <v>-403.72500000000002</v>
      </c>
      <c r="K4269">
        <v>1.117826</v>
      </c>
      <c r="L4269">
        <v>135.76259999999999</v>
      </c>
      <c r="M4269">
        <v>-0.85534659999999996</v>
      </c>
      <c r="N4269">
        <v>0</v>
      </c>
      <c r="O4269">
        <v>-0.51780059999999895</v>
      </c>
      <c r="P4269">
        <v>-0.69757080000000005</v>
      </c>
      <c r="Q4269">
        <v>5.4495799999999997E-2</v>
      </c>
      <c r="R4269">
        <v>-0.71444069999999904</v>
      </c>
      <c r="S4269">
        <v>-1.9109799999999999</v>
      </c>
      <c r="T4269">
        <v>-0.36960019999999999</v>
      </c>
      <c r="U4269">
        <v>-2.3668520000000002</v>
      </c>
      <c r="V4269">
        <v>-0.25210460000000001</v>
      </c>
      <c r="W4269">
        <v>6.1942789999999998E-2</v>
      </c>
      <c r="X4269">
        <v>0.96571549999999995</v>
      </c>
      <c r="Y4269">
        <v>-0.34112039999999999</v>
      </c>
      <c r="Z4269">
        <v>4.4435189999999999E-2</v>
      </c>
      <c r="AA4269">
        <v>0.93896880000000005</v>
      </c>
      <c r="AB4269">
        <v>42</v>
      </c>
      <c r="AC4269">
        <v>-5.4352999999999803</v>
      </c>
      <c r="AD4269">
        <v>-1.117831508216</v>
      </c>
      <c r="AE4269">
        <v>-6.9464999999999799</v>
      </c>
      <c r="AF4269">
        <v>-3.0782356599357699</v>
      </c>
      <c r="AG4269">
        <v>-1.117831508216</v>
      </c>
      <c r="AH4269">
        <v>8.1166905076701799</v>
      </c>
      <c r="AI4269">
        <v>97.337634720637794</v>
      </c>
      <c r="AJ4269">
        <v>110.769113417505</v>
      </c>
      <c r="AK4269">
        <v>8.7524709000466796</v>
      </c>
    </row>
    <row r="4270" spans="1:37" x14ac:dyDescent="0.2">
      <c r="A4270" t="str">
        <f>"20200111153736569"</f>
        <v>20200111153736569</v>
      </c>
      <c r="B4270" t="str">
        <f>"1578728256556889"</f>
        <v>1578728256556889</v>
      </c>
      <c r="C4270" t="s">
        <v>37</v>
      </c>
      <c r="D4270">
        <v>5.4425400000000002</v>
      </c>
      <c r="E4270">
        <v>0.4595379</v>
      </c>
      <c r="F4270" t="s">
        <v>51</v>
      </c>
      <c r="G4270">
        <v>-409.49119999999999</v>
      </c>
      <c r="H4270" s="1">
        <v>-5.6161569999999902E-6</v>
      </c>
      <c r="I4270">
        <v>128.5052</v>
      </c>
      <c r="J4270">
        <v>-404.07159999999999</v>
      </c>
      <c r="K4270">
        <v>1.1179709999999901</v>
      </c>
      <c r="L4270">
        <v>135.54390000000001</v>
      </c>
      <c r="M4270">
        <v>-0.84864949999999995</v>
      </c>
      <c r="N4270">
        <v>0</v>
      </c>
      <c r="O4270">
        <v>-0.52870689999999998</v>
      </c>
      <c r="P4270">
        <v>-0.68813049999999998</v>
      </c>
      <c r="Q4270">
        <v>5.4948829999999997E-2</v>
      </c>
      <c r="R4270">
        <v>-0.72350349999999997</v>
      </c>
      <c r="S4270">
        <v>-1.8912959999999901</v>
      </c>
      <c r="T4270">
        <v>-0.36664940000000001</v>
      </c>
      <c r="U4270">
        <v>-2.3804319999999999</v>
      </c>
      <c r="V4270">
        <v>-0.2524305</v>
      </c>
      <c r="W4270">
        <v>6.2238330000000001E-2</v>
      </c>
      <c r="X4270">
        <v>0.96561129999999995</v>
      </c>
      <c r="Y4270">
        <v>-0.3365165</v>
      </c>
      <c r="Z4270">
        <v>4.5813420000000001E-2</v>
      </c>
      <c r="AA4270">
        <v>0.94056249999999997</v>
      </c>
      <c r="AB4270">
        <v>42</v>
      </c>
      <c r="AC4270">
        <v>-5.4196</v>
      </c>
      <c r="AD4270">
        <v>-1.11797661615699</v>
      </c>
      <c r="AE4270">
        <v>-7.0387000000000004</v>
      </c>
      <c r="AF4270">
        <v>-3.0599542156311901</v>
      </c>
      <c r="AG4270">
        <v>-1.11797661615699</v>
      </c>
      <c r="AH4270">
        <v>8.192097153452</v>
      </c>
      <c r="AI4270">
        <v>97.285337410621807</v>
      </c>
      <c r="AJ4270">
        <v>110.481924150833</v>
      </c>
      <c r="AK4270">
        <v>8.81610159240633</v>
      </c>
    </row>
    <row r="4271" spans="1:37" x14ac:dyDescent="0.2">
      <c r="A4271" t="str">
        <f>"20200111153736592"</f>
        <v>20200111153736592</v>
      </c>
      <c r="B4271" t="str">
        <f>"1578728256587144"</f>
        <v>1578728256587144</v>
      </c>
      <c r="C4271" t="s">
        <v>37</v>
      </c>
      <c r="D4271">
        <v>5.4787879999999998</v>
      </c>
      <c r="E4271">
        <v>0.4612348</v>
      </c>
      <c r="F4271" t="s">
        <v>51</v>
      </c>
      <c r="G4271">
        <v>-409.84859999999998</v>
      </c>
      <c r="H4271" s="1">
        <v>-5.7195309999999998E-6</v>
      </c>
      <c r="I4271">
        <v>128.13130000000001</v>
      </c>
      <c r="J4271">
        <v>-404.41879999999998</v>
      </c>
      <c r="K4271">
        <v>1.1181369999999999</v>
      </c>
      <c r="L4271">
        <v>135.3184</v>
      </c>
      <c r="M4271">
        <v>-0.84162099999999995</v>
      </c>
      <c r="N4271">
        <v>0</v>
      </c>
      <c r="O4271">
        <v>-0.53982619999999903</v>
      </c>
      <c r="P4271">
        <v>-0.67842389999999997</v>
      </c>
      <c r="Q4271">
        <v>5.4833670000000001E-2</v>
      </c>
      <c r="R4271">
        <v>-0.73262159999999998</v>
      </c>
      <c r="S4271">
        <v>-1.8681950000000001</v>
      </c>
      <c r="T4271">
        <v>-0.36153570000000002</v>
      </c>
      <c r="U4271">
        <v>-2.3970950000000002</v>
      </c>
      <c r="V4271">
        <v>-0.25262760000000001</v>
      </c>
      <c r="W4271">
        <v>6.1975620000000002E-2</v>
      </c>
      <c r="X4271">
        <v>0.96557669999999995</v>
      </c>
      <c r="Y4271">
        <v>-0.33297979999999999</v>
      </c>
      <c r="Z4271">
        <v>4.684924E-2</v>
      </c>
      <c r="AA4271">
        <v>0.94176939999999998</v>
      </c>
      <c r="AB4271">
        <v>41</v>
      </c>
      <c r="AC4271">
        <v>-5.4298000000000002</v>
      </c>
      <c r="AD4271">
        <v>-1.1181427195310001</v>
      </c>
      <c r="AE4271">
        <v>-7.1870999999999796</v>
      </c>
      <c r="AF4271">
        <v>-3.0707567876147701</v>
      </c>
      <c r="AG4271">
        <v>-1.1181427195310001</v>
      </c>
      <c r="AH4271">
        <v>8.32248346306001</v>
      </c>
      <c r="AI4271">
        <v>97.184007511385801</v>
      </c>
      <c r="AJ4271">
        <v>110.252608908856</v>
      </c>
      <c r="AK4271">
        <v>8.9411141018795792</v>
      </c>
    </row>
    <row r="4272" spans="1:37" x14ac:dyDescent="0.2">
      <c r="A4272" t="str">
        <f>"20200111153736615"</f>
        <v>20200111153736615</v>
      </c>
      <c r="B4272" t="str">
        <f>"1578728256607641"</f>
        <v>1578728256607641</v>
      </c>
      <c r="C4272" t="s">
        <v>37</v>
      </c>
      <c r="D4272">
        <v>5.4531289999999997</v>
      </c>
      <c r="E4272">
        <v>0.46207039999999999</v>
      </c>
      <c r="F4272" t="s">
        <v>51</v>
      </c>
      <c r="G4272">
        <v>-410.17720000000003</v>
      </c>
      <c r="H4272" s="1">
        <v>-5.6433970000000002E-6</v>
      </c>
      <c r="I4272">
        <v>127.795</v>
      </c>
      <c r="J4272">
        <v>-404.7647</v>
      </c>
      <c r="K4272">
        <v>1.1183080000000001</v>
      </c>
      <c r="L4272">
        <v>135.0872</v>
      </c>
      <c r="M4272">
        <v>-0.83427659999999904</v>
      </c>
      <c r="N4272">
        <v>0</v>
      </c>
      <c r="O4272">
        <v>-0.55110969999999904</v>
      </c>
      <c r="P4272">
        <v>-0.66833779999999998</v>
      </c>
      <c r="Q4272">
        <v>5.5688910000000001E-2</v>
      </c>
      <c r="R4272">
        <v>-0.74177079999999995</v>
      </c>
      <c r="S4272">
        <v>-1.846222</v>
      </c>
      <c r="T4272">
        <v>-0.35848779999999902</v>
      </c>
      <c r="U4272">
        <v>-2.4120789999999999</v>
      </c>
      <c r="V4272">
        <v>-0.25283719999999998</v>
      </c>
      <c r="W4272">
        <v>6.2688049999999995E-2</v>
      </c>
      <c r="X4272">
        <v>0.9654758</v>
      </c>
      <c r="Y4272">
        <v>-0.3285691</v>
      </c>
      <c r="Z4272">
        <v>4.8188580000000002E-2</v>
      </c>
      <c r="AA4272">
        <v>0.94324979999999903</v>
      </c>
      <c r="AB4272">
        <v>41</v>
      </c>
      <c r="AC4272">
        <v>-5.4125000000000201</v>
      </c>
      <c r="AD4272">
        <v>-1.118313643397</v>
      </c>
      <c r="AE4272">
        <v>-7.2921999999999896</v>
      </c>
      <c r="AF4272">
        <v>-3.05490901765</v>
      </c>
      <c r="AG4272">
        <v>-1.118313643397</v>
      </c>
      <c r="AH4272">
        <v>8.4079357182734498</v>
      </c>
      <c r="AI4272">
        <v>97.125640808829601</v>
      </c>
      <c r="AJ4272">
        <v>109.967925141927</v>
      </c>
      <c r="AK4272">
        <v>9.0153467794503506</v>
      </c>
    </row>
    <row r="4273" spans="1:37" x14ac:dyDescent="0.2">
      <c r="A4273" t="str">
        <f>"20200111153736638"</f>
        <v>20200111153736638</v>
      </c>
      <c r="B4273" t="str">
        <f>"1578728256627161"</f>
        <v>1578728256627161</v>
      </c>
      <c r="C4273" t="s">
        <v>37</v>
      </c>
      <c r="D4273">
        <v>5.4696150000000001</v>
      </c>
      <c r="E4273">
        <v>0.462705599999999</v>
      </c>
      <c r="F4273" t="s">
        <v>51</v>
      </c>
      <c r="G4273">
        <v>-410.50959999999998</v>
      </c>
      <c r="H4273" s="1">
        <v>-5.4600299999999998E-6</v>
      </c>
      <c r="I4273">
        <v>127.40009999999999</v>
      </c>
      <c r="J4273">
        <v>-405.11149999999998</v>
      </c>
      <c r="K4273">
        <v>1.1184889999999901</v>
      </c>
      <c r="L4273">
        <v>134.8486</v>
      </c>
      <c r="M4273">
        <v>-0.82655540000000005</v>
      </c>
      <c r="N4273">
        <v>0</v>
      </c>
      <c r="O4273">
        <v>-0.56262419999999902</v>
      </c>
      <c r="P4273">
        <v>-0.65744650000000004</v>
      </c>
      <c r="Q4273">
        <v>5.7410099999999999E-2</v>
      </c>
      <c r="R4273">
        <v>-0.75131110000000001</v>
      </c>
      <c r="S4273">
        <v>-1.81814599999999</v>
      </c>
      <c r="T4273">
        <v>-0.35392089999999998</v>
      </c>
      <c r="U4273">
        <v>-2.432785</v>
      </c>
      <c r="V4273">
        <v>-0.25351410000000002</v>
      </c>
      <c r="W4273">
        <v>6.4251790000000003E-2</v>
      </c>
      <c r="X4273">
        <v>0.96519549999999998</v>
      </c>
      <c r="Y4273">
        <v>-0.32634429999999998</v>
      </c>
      <c r="Z4273">
        <v>4.9187710000000003E-2</v>
      </c>
      <c r="AA4273">
        <v>0.94397030000000004</v>
      </c>
      <c r="AB4273">
        <v>41</v>
      </c>
      <c r="AC4273">
        <v>-5.3981000000000003</v>
      </c>
      <c r="AD4273">
        <v>-1.11849446002999</v>
      </c>
      <c r="AE4273">
        <v>-7.4485000000000099</v>
      </c>
      <c r="AF4273">
        <v>-3.0744489661505101</v>
      </c>
      <c r="AG4273">
        <v>-1.11849446002999</v>
      </c>
      <c r="AH4273">
        <v>8.5275877048487505</v>
      </c>
      <c r="AI4273">
        <v>97.034042711206695</v>
      </c>
      <c r="AJ4273">
        <v>109.825741316205</v>
      </c>
      <c r="AK4273">
        <v>9.1336202223690695</v>
      </c>
    </row>
    <row r="4274" spans="1:37" x14ac:dyDescent="0.2">
      <c r="A4274" t="str">
        <f>"20200111153736662"</f>
        <v>20200111153736662</v>
      </c>
      <c r="B4274" t="str">
        <f>"1578728256657417"</f>
        <v>1578728256657417</v>
      </c>
      <c r="C4274" t="s">
        <v>37</v>
      </c>
      <c r="D4274">
        <v>5.4444759999999999</v>
      </c>
      <c r="E4274">
        <v>0.4635553</v>
      </c>
      <c r="F4274" t="s">
        <v>51</v>
      </c>
      <c r="G4274">
        <v>-410.86880000000002</v>
      </c>
      <c r="H4274" s="1">
        <v>-5.2491030000000001E-6</v>
      </c>
      <c r="I4274">
        <v>126.9365</v>
      </c>
      <c r="J4274">
        <v>-405.4538</v>
      </c>
      <c r="K4274">
        <v>1.1186769999999999</v>
      </c>
      <c r="L4274">
        <v>134.60560000000001</v>
      </c>
      <c r="M4274">
        <v>-0.81854090000000002</v>
      </c>
      <c r="N4274">
        <v>0</v>
      </c>
      <c r="O4274">
        <v>-0.5742218</v>
      </c>
      <c r="P4274">
        <v>-0.64668890000000001</v>
      </c>
      <c r="Q4274">
        <v>5.8471620000000002E-2</v>
      </c>
      <c r="R4274">
        <v>-0.76050930000000005</v>
      </c>
      <c r="S4274">
        <v>-1.787018</v>
      </c>
      <c r="T4274">
        <v>-0.34716729999999901</v>
      </c>
      <c r="U4274">
        <v>-2.4558110000000002</v>
      </c>
      <c r="V4274">
        <v>-0.25363989999999997</v>
      </c>
      <c r="W4274">
        <v>6.5185839999999995E-2</v>
      </c>
      <c r="X4274">
        <v>0.96509979999999995</v>
      </c>
      <c r="Y4274">
        <v>-0.32506869999999999</v>
      </c>
      <c r="Z4274">
        <v>4.9791679999999998E-2</v>
      </c>
      <c r="AA4274">
        <v>0.94437870000000002</v>
      </c>
      <c r="AB4274">
        <v>41</v>
      </c>
      <c r="AC4274">
        <v>-5.4150000000000196</v>
      </c>
      <c r="AD4274">
        <v>-1.118682249103</v>
      </c>
      <c r="AE4274">
        <v>-7.66910000000001</v>
      </c>
      <c r="AF4274">
        <v>-3.1241142083659699</v>
      </c>
      <c r="AG4274">
        <v>-1.118682249103</v>
      </c>
      <c r="AH4274">
        <v>8.7135897417985202</v>
      </c>
      <c r="AI4274">
        <v>96.890830384864401</v>
      </c>
      <c r="AJ4274">
        <v>109.724459749856</v>
      </c>
      <c r="AK4274">
        <v>9.3240648726694708</v>
      </c>
    </row>
    <row r="4275" spans="1:37" x14ac:dyDescent="0.2">
      <c r="A4275" t="str">
        <f>"20200111153736683"</f>
        <v>20200111153736683</v>
      </c>
      <c r="B4275" t="str">
        <f>"1578728256677913"</f>
        <v>1578728256677913</v>
      </c>
      <c r="C4275" t="s">
        <v>37</v>
      </c>
      <c r="D4275">
        <v>5.7602760000000002</v>
      </c>
      <c r="E4275">
        <v>0.46405669999999999</v>
      </c>
      <c r="F4275" t="s">
        <v>51</v>
      </c>
      <c r="G4275">
        <v>-411.19699999999898</v>
      </c>
      <c r="H4275" s="1">
        <v>-5.0547979999999998E-6</v>
      </c>
      <c r="I4275">
        <v>126.5085</v>
      </c>
      <c r="J4275">
        <v>-405.78140000000002</v>
      </c>
      <c r="K4275">
        <v>1.118854</v>
      </c>
      <c r="L4275">
        <v>134.36590000000001</v>
      </c>
      <c r="M4275">
        <v>-0.8104922</v>
      </c>
      <c r="N4275">
        <v>0</v>
      </c>
      <c r="O4275">
        <v>-0.58552780000000004</v>
      </c>
      <c r="P4275">
        <v>-0.63639769999999996</v>
      </c>
      <c r="Q4275">
        <v>5.915012E-2</v>
      </c>
      <c r="R4275">
        <v>-0.76908999999999905</v>
      </c>
      <c r="S4275">
        <v>-1.756958</v>
      </c>
      <c r="T4275">
        <v>-0.34222279999999999</v>
      </c>
      <c r="U4275">
        <v>-2.4770509999999999</v>
      </c>
      <c r="V4275">
        <v>-0.2532413</v>
      </c>
      <c r="W4275">
        <v>6.5768240000000006E-2</v>
      </c>
      <c r="X4275">
        <v>0.96516499999999905</v>
      </c>
      <c r="Y4275">
        <v>-0.32341239999999999</v>
      </c>
      <c r="Z4275">
        <v>5.059234E-2</v>
      </c>
      <c r="AA4275">
        <v>0.94490469999999904</v>
      </c>
      <c r="AB4275">
        <v>41</v>
      </c>
      <c r="AC4275">
        <v>-5.4155999999999196</v>
      </c>
      <c r="AD4275">
        <v>-1.118859054798</v>
      </c>
      <c r="AE4275">
        <v>-7.8574000000000099</v>
      </c>
      <c r="AF4275">
        <v>-3.1544302247682898</v>
      </c>
      <c r="AG4275">
        <v>-1.118859054798</v>
      </c>
      <c r="AH4275">
        <v>8.8692745834612694</v>
      </c>
      <c r="AI4275">
        <v>96.778179233223597</v>
      </c>
      <c r="AJ4275">
        <v>109.578346659901</v>
      </c>
      <c r="AK4275">
        <v>9.4797841359530608</v>
      </c>
    </row>
    <row r="4276" spans="1:37" x14ac:dyDescent="0.2">
      <c r="A4276" t="str">
        <f>"20200111153736705"</f>
        <v>20200111153736705</v>
      </c>
      <c r="B4276" t="str">
        <f>"1578728256697434"</f>
        <v>1578728256697434</v>
      </c>
      <c r="C4276" t="s">
        <v>37</v>
      </c>
      <c r="D4276">
        <v>5.4360220000000004</v>
      </c>
      <c r="E4276">
        <v>0.46426200000000001</v>
      </c>
      <c r="F4276" t="s">
        <v>51</v>
      </c>
      <c r="G4276">
        <v>-411.46809999999999</v>
      </c>
      <c r="H4276" s="1">
        <v>-4.8880219999999998E-6</v>
      </c>
      <c r="I4276">
        <v>126.13679999999999</v>
      </c>
      <c r="J4276">
        <v>-406.09199999999998</v>
      </c>
      <c r="K4276">
        <v>1.1190149999999901</v>
      </c>
      <c r="L4276">
        <v>134.13210000000001</v>
      </c>
      <c r="M4276">
        <v>-0.80251989999999995</v>
      </c>
      <c r="N4276">
        <v>0</v>
      </c>
      <c r="O4276">
        <v>-0.59640740000000003</v>
      </c>
      <c r="P4276">
        <v>-0.626677699999999</v>
      </c>
      <c r="Q4276">
        <v>5.9149920000000002E-2</v>
      </c>
      <c r="R4276">
        <v>-0.77703069999999996</v>
      </c>
      <c r="S4276">
        <v>-1.72644</v>
      </c>
      <c r="T4276">
        <v>-0.33967829999999999</v>
      </c>
      <c r="U4276">
        <v>-2.4983059999999999</v>
      </c>
      <c r="V4276">
        <v>-0.25238349999999998</v>
      </c>
      <c r="W4276">
        <v>6.5704020000000002E-2</v>
      </c>
      <c r="X4276">
        <v>0.96539399999999997</v>
      </c>
      <c r="Y4276">
        <v>-0.3222526</v>
      </c>
      <c r="Z4276">
        <v>5.1634270000000003E-2</v>
      </c>
      <c r="AA4276">
        <v>0.94524449999999904</v>
      </c>
      <c r="AB4276">
        <v>41</v>
      </c>
      <c r="AC4276">
        <v>-5.3761000000000001</v>
      </c>
      <c r="AD4276">
        <v>-1.1190198880219999</v>
      </c>
      <c r="AE4276">
        <v>-7.9953000000000101</v>
      </c>
      <c r="AF4276">
        <v>-3.1677274879068098</v>
      </c>
      <c r="AG4276">
        <v>-1.1190198880219999</v>
      </c>
      <c r="AH4276">
        <v>8.9631547948015502</v>
      </c>
      <c r="AI4276">
        <v>96.7134850685147</v>
      </c>
      <c r="AJ4276">
        <v>109.46425248268901</v>
      </c>
      <c r="AK4276">
        <v>9.5720868583085501</v>
      </c>
    </row>
    <row r="4277" spans="1:37" x14ac:dyDescent="0.2">
      <c r="A4277" t="str">
        <f>"20200111153736727"</f>
        <v>20200111153736727</v>
      </c>
      <c r="B4277" t="str">
        <f>"1578728256716953"</f>
        <v>1578728256716953</v>
      </c>
      <c r="C4277" t="s">
        <v>37</v>
      </c>
      <c r="D4277">
        <v>5.4072120000000004</v>
      </c>
      <c r="E4277">
        <v>0.46474280000000001</v>
      </c>
      <c r="F4277" t="s">
        <v>51</v>
      </c>
      <c r="G4277">
        <v>-411.68880000000001</v>
      </c>
      <c r="H4277" s="1">
        <v>-4.7463900000000001E-6</v>
      </c>
      <c r="I4277">
        <v>125.8173</v>
      </c>
      <c r="J4277">
        <v>-406.41129999999998</v>
      </c>
      <c r="K4277">
        <v>1.119183</v>
      </c>
      <c r="L4277">
        <v>133.88489999999999</v>
      </c>
      <c r="M4277">
        <v>-0.79396089999999997</v>
      </c>
      <c r="N4277">
        <v>0</v>
      </c>
      <c r="O4277">
        <v>-0.60775480000000004</v>
      </c>
      <c r="P4277">
        <v>-0.61652790000000002</v>
      </c>
      <c r="Q4277">
        <v>5.9741969999999998E-2</v>
      </c>
      <c r="R4277">
        <v>-0.78506359999999997</v>
      </c>
      <c r="S4277">
        <v>-1.695648</v>
      </c>
      <c r="T4277">
        <v>-0.33903030000000001</v>
      </c>
      <c r="U4277">
        <v>-2.5191499999999998</v>
      </c>
      <c r="V4277">
        <v>-0.25121789999999999</v>
      </c>
      <c r="W4277">
        <v>6.6248319999999999E-2</v>
      </c>
      <c r="X4277">
        <v>0.96566079999999999</v>
      </c>
      <c r="Y4277">
        <v>-0.32041700000000001</v>
      </c>
      <c r="Z4277">
        <v>5.3043260000000002E-2</v>
      </c>
      <c r="AA4277">
        <v>0.94579040000000003</v>
      </c>
      <c r="AB4277">
        <v>41</v>
      </c>
      <c r="AC4277">
        <v>-5.2775000000000301</v>
      </c>
      <c r="AD4277">
        <v>-1.11918774639</v>
      </c>
      <c r="AE4277">
        <v>-8.0675999999999792</v>
      </c>
      <c r="AF4277">
        <v>-3.1558163689727299</v>
      </c>
      <c r="AG4277">
        <v>-1.11918774639</v>
      </c>
      <c r="AH4277">
        <v>8.9734935722021891</v>
      </c>
      <c r="AI4277">
        <v>96.7104330211845</v>
      </c>
      <c r="AJ4277">
        <v>109.375856646679</v>
      </c>
      <c r="AK4277">
        <v>9.5778570179711799</v>
      </c>
    </row>
    <row r="4278" spans="1:37" x14ac:dyDescent="0.2">
      <c r="A4278" t="str">
        <f>"20200111153736752"</f>
        <v>20200111153736752</v>
      </c>
      <c r="B4278" t="str">
        <f>"1578728256747209"</f>
        <v>1578728256747209</v>
      </c>
      <c r="C4278" t="s">
        <v>37</v>
      </c>
      <c r="D4278">
        <v>5.4009769999999904</v>
      </c>
      <c r="E4278">
        <v>0.46537619999999902</v>
      </c>
      <c r="F4278" t="s">
        <v>51</v>
      </c>
      <c r="G4278">
        <v>-411.94470000000001</v>
      </c>
      <c r="H4278" s="1">
        <v>-4.5824219999999997E-6</v>
      </c>
      <c r="I4278">
        <v>125.44759999999999</v>
      </c>
      <c r="J4278">
        <v>-406.75220000000002</v>
      </c>
      <c r="K4278">
        <v>1.1193690000000001</v>
      </c>
      <c r="L4278">
        <v>133.613</v>
      </c>
      <c r="M4278">
        <v>-0.784394699999999</v>
      </c>
      <c r="N4278">
        <v>0</v>
      </c>
      <c r="O4278">
        <v>-0.62005200000000005</v>
      </c>
      <c r="P4278">
        <v>-0.60537569999999996</v>
      </c>
      <c r="Q4278">
        <v>6.0065819999999999E-2</v>
      </c>
      <c r="R4278">
        <v>-0.79367049999999995</v>
      </c>
      <c r="S4278">
        <v>-1.6652830000000001</v>
      </c>
      <c r="T4278">
        <v>-0.33681749999999999</v>
      </c>
      <c r="U4278">
        <v>-2.5392000000000001</v>
      </c>
      <c r="V4278">
        <v>-0.24983520000000001</v>
      </c>
      <c r="W4278">
        <v>6.653096E-2</v>
      </c>
      <c r="X4278">
        <v>0.96599999999999997</v>
      </c>
      <c r="Y4278">
        <v>-0.31703330000000002</v>
      </c>
      <c r="Z4278">
        <v>5.4390029999999999E-2</v>
      </c>
      <c r="AA4278">
        <v>0.94685350000000001</v>
      </c>
      <c r="AB4278">
        <v>41</v>
      </c>
      <c r="AC4278">
        <v>-5.1924999999999901</v>
      </c>
      <c r="AD4278">
        <v>-1.1193735824219999</v>
      </c>
      <c r="AE4278">
        <v>-8.1654</v>
      </c>
      <c r="AF4278">
        <v>-3.1436246569862099</v>
      </c>
      <c r="AG4278">
        <v>-1.1193735824219999</v>
      </c>
      <c r="AH4278">
        <v>9.01647722865928</v>
      </c>
      <c r="AI4278">
        <v>96.686087834912499</v>
      </c>
      <c r="AJ4278">
        <v>109.221278415352</v>
      </c>
      <c r="AK4278">
        <v>9.6141684412104702</v>
      </c>
    </row>
    <row r="4279" spans="1:37" x14ac:dyDescent="0.2">
      <c r="A4279" t="str">
        <f>"20200111153736771"</f>
        <v>20200111153736771</v>
      </c>
      <c r="B4279" t="str">
        <f>"1578728256767705"</f>
        <v>1578728256767705</v>
      </c>
      <c r="C4279" t="s">
        <v>37</v>
      </c>
      <c r="D4279">
        <v>5.3744909999999999</v>
      </c>
      <c r="E4279">
        <v>0.46574159999999998</v>
      </c>
      <c r="F4279" t="s">
        <v>51</v>
      </c>
      <c r="G4279">
        <v>-412.19099999999997</v>
      </c>
      <c r="H4279" s="1">
        <v>-4.4221369999999999E-6</v>
      </c>
      <c r="I4279">
        <v>125.08459999999999</v>
      </c>
      <c r="J4279">
        <v>-407.02929999999998</v>
      </c>
      <c r="K4279">
        <v>1.119516</v>
      </c>
      <c r="L4279">
        <v>133.3853</v>
      </c>
      <c r="M4279">
        <v>-0.77627259999999998</v>
      </c>
      <c r="N4279">
        <v>0</v>
      </c>
      <c r="O4279">
        <v>-0.63019029999999998</v>
      </c>
      <c r="P4279">
        <v>-0.59557079999999996</v>
      </c>
      <c r="Q4279">
        <v>6.0115330000000002E-2</v>
      </c>
      <c r="R4279">
        <v>-0.8010507</v>
      </c>
      <c r="S4279">
        <v>-1.6326290000000001</v>
      </c>
      <c r="T4279">
        <v>-0.33601550000000002</v>
      </c>
      <c r="U4279">
        <v>-2.5600429999999998</v>
      </c>
      <c r="V4279">
        <v>-0.24918570000000001</v>
      </c>
      <c r="W4279">
        <v>6.6531889999999996E-2</v>
      </c>
      <c r="X4279">
        <v>0.96616769999999996</v>
      </c>
      <c r="Y4279">
        <v>-0.31682470000000001</v>
      </c>
      <c r="Z4279">
        <v>5.5535899999999999E-2</v>
      </c>
      <c r="AA4279">
        <v>0.9468569</v>
      </c>
      <c r="AB4279">
        <v>41</v>
      </c>
      <c r="AC4279">
        <v>-5.16169999999999</v>
      </c>
      <c r="AD4279">
        <v>-1.1195204221369901</v>
      </c>
      <c r="AE4279">
        <v>-8.3007000000000009</v>
      </c>
      <c r="AF4279">
        <v>-3.14985049155587</v>
      </c>
      <c r="AG4279">
        <v>-1.1195204221369901</v>
      </c>
      <c r="AH4279">
        <v>9.1194863219856792</v>
      </c>
      <c r="AI4279">
        <v>96.618708394509298</v>
      </c>
      <c r="AJ4279">
        <v>109.054799701512</v>
      </c>
      <c r="AK4279">
        <v>9.71287366702669</v>
      </c>
    </row>
    <row r="4280" spans="1:37" x14ac:dyDescent="0.2">
      <c r="A4280" t="str">
        <f>"20200111153736794"</f>
        <v>20200111153736794</v>
      </c>
      <c r="B4280" t="str">
        <f>"1578728256787225"</f>
        <v>1578728256787225</v>
      </c>
      <c r="C4280" t="s">
        <v>37</v>
      </c>
      <c r="D4280">
        <v>5.3919769999999998</v>
      </c>
      <c r="E4280">
        <v>0.46603850000000002</v>
      </c>
      <c r="F4280" t="s">
        <v>51</v>
      </c>
      <c r="G4280">
        <v>-412.36900000000003</v>
      </c>
      <c r="H4280" s="1">
        <v>-4.2982139999999997E-6</v>
      </c>
      <c r="I4280">
        <v>124.7991</v>
      </c>
      <c r="J4280">
        <v>-407.33819999999997</v>
      </c>
      <c r="K4280">
        <v>1.1196839999999999</v>
      </c>
      <c r="L4280">
        <v>133.12450000000001</v>
      </c>
      <c r="M4280">
        <v>-0.76684759999999996</v>
      </c>
      <c r="N4280">
        <v>0</v>
      </c>
      <c r="O4280">
        <v>-0.64162540000000001</v>
      </c>
      <c r="P4280">
        <v>-0.58396550000000003</v>
      </c>
      <c r="Q4280">
        <v>5.9831839999999997E-2</v>
      </c>
      <c r="R4280">
        <v>-0.80957060000000003</v>
      </c>
      <c r="S4280">
        <v>-1.6033629999999901</v>
      </c>
      <c r="T4280">
        <v>-0.33616489999999999</v>
      </c>
      <c r="U4280">
        <v>-2.5782319999999999</v>
      </c>
      <c r="V4280">
        <v>-0.2488224</v>
      </c>
      <c r="W4280">
        <v>6.6183629999999993E-2</v>
      </c>
      <c r="X4280">
        <v>0.96628519999999896</v>
      </c>
      <c r="Y4280">
        <v>-0.3135655</v>
      </c>
      <c r="Z4280">
        <v>5.7140009999999998E-2</v>
      </c>
      <c r="AA4280">
        <v>0.94784579999999996</v>
      </c>
      <c r="AB4280">
        <v>41</v>
      </c>
      <c r="AC4280">
        <v>-5.0308000000000499</v>
      </c>
      <c r="AD4280">
        <v>-1.119688298214</v>
      </c>
      <c r="AE4280">
        <v>-8.3254000000000108</v>
      </c>
      <c r="AF4280">
        <v>-3.1155567383410498</v>
      </c>
      <c r="AG4280">
        <v>-1.119688298214</v>
      </c>
      <c r="AH4280">
        <v>9.0805343290146396</v>
      </c>
      <c r="AI4280">
        <v>96.652489625887</v>
      </c>
      <c r="AJ4280">
        <v>108.937237987974</v>
      </c>
      <c r="AK4280">
        <v>9.6652211239781298</v>
      </c>
    </row>
    <row r="4281" spans="1:37" x14ac:dyDescent="0.2">
      <c r="A4281" t="str">
        <f>"20200111153736815"</f>
        <v>20200111153736815</v>
      </c>
      <c r="B4281" t="str">
        <f>"1578728256807721"</f>
        <v>1578728256807721</v>
      </c>
      <c r="C4281" t="s">
        <v>37</v>
      </c>
      <c r="D4281">
        <v>5.4115399999999996</v>
      </c>
      <c r="E4281">
        <v>0.4662771</v>
      </c>
      <c r="F4281" t="s">
        <v>51</v>
      </c>
      <c r="G4281">
        <v>-412.5317</v>
      </c>
      <c r="H4281" s="1">
        <v>-4.1477000000000001E-6</v>
      </c>
      <c r="I4281">
        <v>124.515</v>
      </c>
      <c r="J4281">
        <v>-407.63310000000001</v>
      </c>
      <c r="K4281">
        <v>1.119848</v>
      </c>
      <c r="L4281">
        <v>132.86799999999999</v>
      </c>
      <c r="M4281">
        <v>-0.75745390000000001</v>
      </c>
      <c r="N4281">
        <v>0</v>
      </c>
      <c r="O4281">
        <v>-0.65268749999999998</v>
      </c>
      <c r="P4281">
        <v>-0.5721794</v>
      </c>
      <c r="Q4281">
        <v>5.9895089999999998E-2</v>
      </c>
      <c r="R4281">
        <v>-0.81793859999999996</v>
      </c>
      <c r="S4281">
        <v>-1.5681149999999999</v>
      </c>
      <c r="T4281">
        <v>-0.338074599999999</v>
      </c>
      <c r="U4281">
        <v>-2.5995330000000001</v>
      </c>
      <c r="V4281">
        <v>-0.24881700000000001</v>
      </c>
      <c r="W4281">
        <v>6.6173159999999995E-2</v>
      </c>
      <c r="X4281">
        <v>0.96628729999999996</v>
      </c>
      <c r="Y4281">
        <v>-0.3126968</v>
      </c>
      <c r="Z4281">
        <v>5.8896959999999998E-2</v>
      </c>
      <c r="AA4281">
        <v>0.94802520000000001</v>
      </c>
      <c r="AB4281">
        <v>41</v>
      </c>
      <c r="AC4281">
        <v>-4.8985999999999796</v>
      </c>
      <c r="AD4281">
        <v>-1.1198521476999901</v>
      </c>
      <c r="AE4281">
        <v>-8.3529999999999909</v>
      </c>
      <c r="AF4281">
        <v>-3.0888579755231498</v>
      </c>
      <c r="AG4281">
        <v>-1.1198521476999901</v>
      </c>
      <c r="AH4281">
        <v>9.0426292153344701</v>
      </c>
      <c r="AI4281">
        <v>96.684165814602196</v>
      </c>
      <c r="AJ4281">
        <v>108.859576016132</v>
      </c>
      <c r="AK4281">
        <v>9.6210319379826306</v>
      </c>
    </row>
    <row r="4282" spans="1:37" x14ac:dyDescent="0.2">
      <c r="A4282" t="str">
        <f>"20200111153736837"</f>
        <v>20200111153736837</v>
      </c>
      <c r="B4282" t="str">
        <f>"1578728256827241"</f>
        <v>1578728256827241</v>
      </c>
      <c r="C4282" t="s">
        <v>37</v>
      </c>
      <c r="D4282">
        <v>5.6260830000000004</v>
      </c>
      <c r="E4282">
        <v>0.46648790000000001</v>
      </c>
      <c r="F4282" t="s">
        <v>51</v>
      </c>
      <c r="G4282">
        <v>-412.6925</v>
      </c>
      <c r="H4282" s="1">
        <v>-3.9328720000000001E-6</v>
      </c>
      <c r="I4282">
        <v>124.2122</v>
      </c>
      <c r="J4282">
        <v>-407.93150000000003</v>
      </c>
      <c r="K4282">
        <v>1.1200019999999999</v>
      </c>
      <c r="L4282">
        <v>132.60079999999999</v>
      </c>
      <c r="M4282">
        <v>-0.74754580000000004</v>
      </c>
      <c r="N4282">
        <v>0</v>
      </c>
      <c r="O4282">
        <v>-0.66401239999999995</v>
      </c>
      <c r="P4282">
        <v>-0.56037130000000002</v>
      </c>
      <c r="Q4282">
        <v>6.0359360000000001E-2</v>
      </c>
      <c r="R4282">
        <v>-0.82603950000000004</v>
      </c>
      <c r="S4282">
        <v>-1.531952</v>
      </c>
      <c r="T4282">
        <v>-0.33908129999999997</v>
      </c>
      <c r="U4282">
        <v>-2.620895</v>
      </c>
      <c r="V4282">
        <v>-0.2481737</v>
      </c>
      <c r="W4282">
        <v>6.6594219999999996E-2</v>
      </c>
      <c r="X4282">
        <v>0.96642380000000006</v>
      </c>
      <c r="Y4282">
        <v>-0.31156909999999999</v>
      </c>
      <c r="Z4282">
        <v>6.0556209999999999E-2</v>
      </c>
      <c r="AA4282">
        <v>0.94829200000000002</v>
      </c>
      <c r="AB4282">
        <v>41</v>
      </c>
      <c r="AC4282">
        <v>-4.7609999999999602</v>
      </c>
      <c r="AD4282">
        <v>-1.120005932872</v>
      </c>
      <c r="AE4282">
        <v>-8.3885999999999896</v>
      </c>
      <c r="AF4282">
        <v>-3.06853487616215</v>
      </c>
      <c r="AG4282">
        <v>-1.120005932872</v>
      </c>
      <c r="AH4282">
        <v>9.0089311968463708</v>
      </c>
      <c r="AI4282">
        <v>96.711840876854893</v>
      </c>
      <c r="AJ4282">
        <v>108.80937228796699</v>
      </c>
      <c r="AK4282">
        <v>9.5828576575781295</v>
      </c>
    </row>
    <row r="4283" spans="1:37" x14ac:dyDescent="0.2">
      <c r="A4283" t="str">
        <f>"20200111153736861"</f>
        <v>20200111153736861</v>
      </c>
      <c r="B4283" t="str">
        <f>"1578728256857497"</f>
        <v>1578728256857497</v>
      </c>
      <c r="C4283" t="s">
        <v>37</v>
      </c>
      <c r="D4283">
        <v>5.3852199999999897</v>
      </c>
      <c r="E4283">
        <v>0.46654409999999902</v>
      </c>
      <c r="F4283" t="s">
        <v>51</v>
      </c>
      <c r="G4283">
        <v>-412.86869999999999</v>
      </c>
      <c r="H4283" s="1">
        <v>-3.6997750000000001E-6</v>
      </c>
      <c r="I4283">
        <v>123.8841</v>
      </c>
      <c r="J4283">
        <v>-408.23840000000001</v>
      </c>
      <c r="K4283">
        <v>1.120163</v>
      </c>
      <c r="L4283">
        <v>132.31720000000001</v>
      </c>
      <c r="M4283">
        <v>-0.73690089999999997</v>
      </c>
      <c r="N4283">
        <v>0</v>
      </c>
      <c r="O4283">
        <v>-0.6758054</v>
      </c>
      <c r="P4283">
        <v>-0.54796999999999996</v>
      </c>
      <c r="Q4283">
        <v>6.1540900000000003E-2</v>
      </c>
      <c r="R4283">
        <v>-0.83423130000000001</v>
      </c>
      <c r="S4283">
        <v>-1.4961850000000001</v>
      </c>
      <c r="T4283">
        <v>-0.33941300000000002</v>
      </c>
      <c r="U4283">
        <v>-2.6415709999999999</v>
      </c>
      <c r="V4283">
        <v>-0.24726219999999999</v>
      </c>
      <c r="W4283">
        <v>6.7746529999999999E-2</v>
      </c>
      <c r="X4283">
        <v>0.96657739999999903</v>
      </c>
      <c r="Y4283">
        <v>-0.30942529999999902</v>
      </c>
      <c r="Z4283">
        <v>6.2206690000000002E-2</v>
      </c>
      <c r="AA4283">
        <v>0.94888689999999998</v>
      </c>
      <c r="AB4283">
        <v>41</v>
      </c>
      <c r="AC4283">
        <v>-4.6302999999999699</v>
      </c>
      <c r="AD4283">
        <v>-1.1201666997749999</v>
      </c>
      <c r="AE4283">
        <v>-8.4331000000000103</v>
      </c>
      <c r="AF4283">
        <v>-3.04431364513602</v>
      </c>
      <c r="AG4283">
        <v>-1.1201666997749999</v>
      </c>
      <c r="AH4283">
        <v>8.9905275864832497</v>
      </c>
      <c r="AI4283">
        <v>96.7304643864165</v>
      </c>
      <c r="AJ4283">
        <v>108.706792198926</v>
      </c>
      <c r="AK4283">
        <v>9.5578347594296904</v>
      </c>
    </row>
    <row r="4284" spans="1:37" x14ac:dyDescent="0.2">
      <c r="A4284" t="str">
        <f>"20200111153736882"</f>
        <v>20200111153736882</v>
      </c>
      <c r="B4284" t="str">
        <f>"1578728256877016"</f>
        <v>1578728256877016</v>
      </c>
      <c r="C4284" t="s">
        <v>37</v>
      </c>
      <c r="D4284">
        <v>5.3664139999999998</v>
      </c>
      <c r="E4284">
        <v>0.45108219999999999</v>
      </c>
      <c r="F4284" t="s">
        <v>51</v>
      </c>
      <c r="G4284">
        <v>-413.06689999999998</v>
      </c>
      <c r="H4284" s="1">
        <v>-3.4222820000000002E-6</v>
      </c>
      <c r="I4284">
        <v>123.491</v>
      </c>
      <c r="J4284">
        <v>-408.5154</v>
      </c>
      <c r="K4284">
        <v>1.1202920000000001</v>
      </c>
      <c r="L4284">
        <v>132.0532</v>
      </c>
      <c r="M4284">
        <v>-0.72687789999999997</v>
      </c>
      <c r="N4284">
        <v>0</v>
      </c>
      <c r="O4284">
        <v>-0.68657400000000002</v>
      </c>
      <c r="P4284">
        <v>-0.53642279999999998</v>
      </c>
      <c r="Q4284">
        <v>6.3307719999999998E-2</v>
      </c>
      <c r="R4284">
        <v>-0.84157190000000004</v>
      </c>
      <c r="S4284">
        <v>-1.457306</v>
      </c>
      <c r="T4284">
        <v>-0.33807749999999998</v>
      </c>
      <c r="U4284">
        <v>-2.6638639999999998</v>
      </c>
      <c r="V4284">
        <v>-0.24635760000000001</v>
      </c>
      <c r="W4284">
        <v>6.9494760000000003E-2</v>
      </c>
      <c r="X4284">
        <v>0.96668419999999899</v>
      </c>
      <c r="Y4284">
        <v>-0.30946590000000002</v>
      </c>
      <c r="Z4284">
        <v>6.3317659999999998E-2</v>
      </c>
      <c r="AA4284">
        <v>0.94880010000000004</v>
      </c>
      <c r="AB4284">
        <v>41</v>
      </c>
      <c r="AC4284">
        <v>-4.5514999999999697</v>
      </c>
      <c r="AD4284">
        <v>-1.1202954222820001</v>
      </c>
      <c r="AE4284">
        <v>-8.5622000000000007</v>
      </c>
      <c r="AF4284">
        <v>-3.0583205956950898</v>
      </c>
      <c r="AG4284">
        <v>-1.1202954222820001</v>
      </c>
      <c r="AH4284">
        <v>9.0671577610450491</v>
      </c>
      <c r="AI4284">
        <v>96.677500594711802</v>
      </c>
      <c r="AJ4284">
        <v>108.639070820561</v>
      </c>
      <c r="AK4284">
        <v>9.6344037990380205</v>
      </c>
    </row>
    <row r="4285" spans="1:37" x14ac:dyDescent="0.2">
      <c r="A4285" t="str">
        <f>"20200111153736906"</f>
        <v>20200111153736906</v>
      </c>
      <c r="B4285" t="str">
        <f>"1578728256897513"</f>
        <v>1578728256897513</v>
      </c>
      <c r="C4285" t="s">
        <v>37</v>
      </c>
      <c r="D4285">
        <v>5.391775</v>
      </c>
      <c r="E4285">
        <v>0.44931859999999901</v>
      </c>
      <c r="F4285" t="s">
        <v>51</v>
      </c>
      <c r="G4285">
        <v>-414.33679999999998</v>
      </c>
      <c r="H4285" s="1">
        <v>-1.587952E-6</v>
      </c>
      <c r="I4285">
        <v>119.85809999999999</v>
      </c>
      <c r="J4285">
        <v>-408.8066</v>
      </c>
      <c r="K4285">
        <v>1.1204229999999999</v>
      </c>
      <c r="L4285">
        <v>131.76689999999999</v>
      </c>
      <c r="M4285">
        <v>-0.71590699999999996</v>
      </c>
      <c r="N4285">
        <v>0</v>
      </c>
      <c r="O4285">
        <v>-0.6980054</v>
      </c>
      <c r="P4285">
        <v>-0.52336470000000002</v>
      </c>
      <c r="Q4285">
        <v>6.4444650000000006E-2</v>
      </c>
      <c r="R4285">
        <v>-0.84966869999999906</v>
      </c>
      <c r="S4285">
        <v>-1.3116459999999901</v>
      </c>
      <c r="T4285">
        <v>-0.25241789999999997</v>
      </c>
      <c r="U4285">
        <v>-2.7477109999999998</v>
      </c>
      <c r="V4285">
        <v>-0.24597359999999999</v>
      </c>
      <c r="W4285">
        <v>7.0592600000000005E-2</v>
      </c>
      <c r="X4285">
        <v>0.96670249999999902</v>
      </c>
      <c r="Y4285">
        <v>-0.3460028</v>
      </c>
      <c r="Z4285">
        <v>4.7154189999999999E-2</v>
      </c>
      <c r="AA4285">
        <v>0.93704779999999999</v>
      </c>
      <c r="AB4285">
        <v>41</v>
      </c>
      <c r="AC4285">
        <v>-5.5301999999999696</v>
      </c>
      <c r="AD4285">
        <v>-1.1204245879519901</v>
      </c>
      <c r="AE4285">
        <v>-11.908799999999999</v>
      </c>
      <c r="AF4285">
        <v>-4.6323729216902798</v>
      </c>
      <c r="AG4285">
        <v>-1.1204245879519901</v>
      </c>
      <c r="AH4285">
        <v>12.184424762739701</v>
      </c>
      <c r="AI4285">
        <v>94.912675489475106</v>
      </c>
      <c r="AJ4285">
        <v>110.81620632514</v>
      </c>
      <c r="AK4285">
        <v>13.083364893702299</v>
      </c>
    </row>
    <row r="4286" spans="1:37" x14ac:dyDescent="0.2">
      <c r="A4286" t="str">
        <f>"20200111153736928"</f>
        <v>20200111153736928</v>
      </c>
      <c r="B4286" t="str">
        <f>"1578728256917033"</f>
        <v>1578728256917033</v>
      </c>
      <c r="C4286" t="s">
        <v>37</v>
      </c>
      <c r="D4286">
        <v>5.3912519999999997</v>
      </c>
      <c r="E4286">
        <v>0.44899020000000001</v>
      </c>
      <c r="F4286" t="s">
        <v>39</v>
      </c>
      <c r="G4286">
        <v>-415.12580000000003</v>
      </c>
      <c r="H4286" s="1">
        <v>-4.3737670000000001E-6</v>
      </c>
      <c r="I4286">
        <v>117.81270000000001</v>
      </c>
      <c r="J4286">
        <v>-409.07960000000003</v>
      </c>
      <c r="K4286">
        <v>1.1205270000000001</v>
      </c>
      <c r="L4286">
        <v>131.49039999999999</v>
      </c>
      <c r="M4286">
        <v>-0.7052136</v>
      </c>
      <c r="N4286">
        <v>0</v>
      </c>
      <c r="O4286">
        <v>-0.70880669999999901</v>
      </c>
      <c r="P4286">
        <v>-0.51064830000000005</v>
      </c>
      <c r="Q4286">
        <v>6.4114829999999998E-2</v>
      </c>
      <c r="R4286">
        <v>-0.85739599999999905</v>
      </c>
      <c r="S4286">
        <v>-1.256165</v>
      </c>
      <c r="T4286">
        <v>-0.222723799999999</v>
      </c>
      <c r="U4286">
        <v>-2.7738800000000001</v>
      </c>
      <c r="V4286">
        <v>-0.24570700000000001</v>
      </c>
      <c r="W4286">
        <v>7.0227769999999995E-2</v>
      </c>
      <c r="X4286">
        <v>0.96679680000000001</v>
      </c>
      <c r="Y4286">
        <v>-0.35049979999999997</v>
      </c>
      <c r="Z4286">
        <v>4.2426159999999997E-2</v>
      </c>
      <c r="AA4286">
        <v>0.93560140000000003</v>
      </c>
      <c r="AB4286">
        <v>41</v>
      </c>
      <c r="AC4286">
        <v>-6.04619999999999</v>
      </c>
      <c r="AD4286">
        <v>-1.120531373767</v>
      </c>
      <c r="AE4286">
        <v>-13.6776999999999</v>
      </c>
      <c r="AF4286">
        <v>-5.3308982789509303</v>
      </c>
      <c r="AG4286">
        <v>-1.120531373767</v>
      </c>
      <c r="AH4286">
        <v>13.882627461907299</v>
      </c>
      <c r="AI4286">
        <v>94.309107949951297</v>
      </c>
      <c r="AJ4286">
        <v>111.00667913005201</v>
      </c>
      <c r="AK4286">
        <v>14.9131288556835</v>
      </c>
    </row>
    <row r="4287" spans="1:37" x14ac:dyDescent="0.2">
      <c r="A4287" t="str">
        <f>"20200111153736949"</f>
        <v>20200111153736949</v>
      </c>
      <c r="B4287" t="str">
        <f>"1578728256937063"</f>
        <v>1578728256937063</v>
      </c>
      <c r="C4287" t="s">
        <v>37</v>
      </c>
      <c r="D4287">
        <v>5.3586070000000001</v>
      </c>
      <c r="E4287">
        <v>0.44901269999999999</v>
      </c>
      <c r="F4287" t="s">
        <v>39</v>
      </c>
      <c r="G4287">
        <v>-415.28410000000002</v>
      </c>
      <c r="H4287" s="1">
        <v>-4.0767619999999999E-6</v>
      </c>
      <c r="I4287">
        <v>117.1859</v>
      </c>
      <c r="J4287">
        <v>-409.35230000000001</v>
      </c>
      <c r="K4287">
        <v>1.1206199999999999</v>
      </c>
      <c r="L4287">
        <v>131.20570000000001</v>
      </c>
      <c r="M4287">
        <v>-0.69411309999999904</v>
      </c>
      <c r="N4287">
        <v>0</v>
      </c>
      <c r="O4287">
        <v>-0.7196804</v>
      </c>
      <c r="P4287">
        <v>-0.49736669999999999</v>
      </c>
      <c r="Q4287">
        <v>6.248277E-2</v>
      </c>
      <c r="R4287">
        <v>-0.86528739999999904</v>
      </c>
      <c r="S4287">
        <v>-1.2117309999999999</v>
      </c>
      <c r="T4287">
        <v>-0.21883639999999999</v>
      </c>
      <c r="U4287">
        <v>-2.7936399999999999</v>
      </c>
      <c r="V4287">
        <v>-0.24562819999999999</v>
      </c>
      <c r="W4287">
        <v>6.8555720000000001E-2</v>
      </c>
      <c r="X4287">
        <v>0.96693689999999999</v>
      </c>
      <c r="Y4287">
        <v>-0.35088429999999998</v>
      </c>
      <c r="Z4287">
        <v>4.260042E-2</v>
      </c>
      <c r="AA4287">
        <v>0.93544930000000004</v>
      </c>
      <c r="AB4287">
        <v>41</v>
      </c>
      <c r="AC4287">
        <v>-5.9318000000000097</v>
      </c>
      <c r="AD4287">
        <v>-1.1206240767619999</v>
      </c>
      <c r="AE4287">
        <v>-14.0198</v>
      </c>
      <c r="AF4287">
        <v>-5.4336117620489697</v>
      </c>
      <c r="AG4287">
        <v>-1.1206240767619999</v>
      </c>
      <c r="AH4287">
        <v>14.132430037018</v>
      </c>
      <c r="AI4287">
        <v>94.232890687163604</v>
      </c>
      <c r="AJ4287">
        <v>111.03066527595701</v>
      </c>
      <c r="AK4287">
        <v>15.1824080386909</v>
      </c>
    </row>
    <row r="4288" spans="1:37" x14ac:dyDescent="0.2">
      <c r="A4288" t="str">
        <f>"20200111153736972"</f>
        <v>20200111153736972</v>
      </c>
      <c r="B4288" t="str">
        <f>"1578728256967318"</f>
        <v>1578728256967318</v>
      </c>
      <c r="C4288" t="s">
        <v>37</v>
      </c>
      <c r="D4288">
        <v>5.3341659999999997</v>
      </c>
      <c r="E4288">
        <v>0.44940429999999998</v>
      </c>
      <c r="F4288" t="s">
        <v>39</v>
      </c>
      <c r="G4288">
        <v>-415.24360000000001</v>
      </c>
      <c r="H4288" s="1">
        <v>-4.0180759999999999E-6</v>
      </c>
      <c r="I4288">
        <v>117.03230000000001</v>
      </c>
      <c r="J4288">
        <v>-409.62430000000001</v>
      </c>
      <c r="K4288">
        <v>1.1207100000000001</v>
      </c>
      <c r="L4288">
        <v>130.9128</v>
      </c>
      <c r="M4288">
        <v>-0.6826103</v>
      </c>
      <c r="N4288">
        <v>0</v>
      </c>
      <c r="O4288">
        <v>-0.730599199999999</v>
      </c>
      <c r="P4288">
        <v>-0.48390739999999999</v>
      </c>
      <c r="Q4288">
        <v>6.0939300000000002E-2</v>
      </c>
      <c r="R4288">
        <v>-0.87299519999999997</v>
      </c>
      <c r="S4288">
        <v>-1.1686099999999999</v>
      </c>
      <c r="T4288">
        <v>-0.2222866</v>
      </c>
      <c r="U4288">
        <v>-2.8114319999999999</v>
      </c>
      <c r="V4288">
        <v>-0.24529570000000001</v>
      </c>
      <c r="W4288">
        <v>6.6986740000000003E-2</v>
      </c>
      <c r="X4288">
        <v>0.96713119999999997</v>
      </c>
      <c r="Y4288">
        <v>-0.35038849999999999</v>
      </c>
      <c r="Z4288">
        <v>4.4236190000000002E-2</v>
      </c>
      <c r="AA4288">
        <v>0.93555919999999904</v>
      </c>
      <c r="AB4288">
        <v>40</v>
      </c>
      <c r="AC4288">
        <v>-5.6193000000000097</v>
      </c>
      <c r="AD4288">
        <v>-1.120714018076</v>
      </c>
      <c r="AE4288">
        <v>-13.8804999999999</v>
      </c>
      <c r="AF4288">
        <v>-5.3403245402690898</v>
      </c>
      <c r="AG4288">
        <v>-1.120714018076</v>
      </c>
      <c r="AH4288">
        <v>13.9008882757792</v>
      </c>
      <c r="AI4288">
        <v>94.303918171012995</v>
      </c>
      <c r="AJ4288">
        <v>111.015350416472</v>
      </c>
      <c r="AK4288">
        <v>14.933511340652901</v>
      </c>
    </row>
    <row r="4289" spans="1:37" x14ac:dyDescent="0.2">
      <c r="A4289" t="str">
        <f>"20200111153737018"</f>
        <v>20200111153737018</v>
      </c>
      <c r="B4289" t="str">
        <f>"1578728257007333"</f>
        <v>1578728257007333</v>
      </c>
      <c r="C4289" t="s">
        <v>37</v>
      </c>
      <c r="D4289">
        <v>5.3534269999999999</v>
      </c>
      <c r="E4289">
        <v>0.45030940000000003</v>
      </c>
      <c r="F4289" t="s">
        <v>39</v>
      </c>
      <c r="G4289">
        <v>-415.17430000000002</v>
      </c>
      <c r="H4289" s="1">
        <v>-4.0148619999999997E-6</v>
      </c>
      <c r="I4289">
        <v>116.9962</v>
      </c>
      <c r="J4289">
        <v>-410.15199999999999</v>
      </c>
      <c r="K4289">
        <v>1.1208929999999999</v>
      </c>
      <c r="L4289">
        <v>130.31739999999999</v>
      </c>
      <c r="M4289">
        <v>-0.65902340000000004</v>
      </c>
      <c r="N4289">
        <v>0</v>
      </c>
      <c r="O4289">
        <v>-0.75194349999999999</v>
      </c>
      <c r="P4289">
        <v>-0.45672229999999903</v>
      </c>
      <c r="Q4289">
        <v>6.3066079999999997E-2</v>
      </c>
      <c r="R4289">
        <v>-0.88737109999999997</v>
      </c>
      <c r="S4289">
        <v>-1.1275629999999901</v>
      </c>
      <c r="T4289">
        <v>-0.2276888</v>
      </c>
      <c r="U4289">
        <v>-2.8273470000000001</v>
      </c>
      <c r="V4289">
        <v>-0.24440879999999901</v>
      </c>
      <c r="W4289">
        <v>6.9082329999999997E-2</v>
      </c>
      <c r="X4289">
        <v>0.96720830000000002</v>
      </c>
      <c r="Y4289">
        <v>-0.3341307</v>
      </c>
      <c r="Z4289">
        <v>4.7666069999999998E-2</v>
      </c>
      <c r="AA4289">
        <v>0.94132070000000001</v>
      </c>
      <c r="AB4289">
        <v>40</v>
      </c>
      <c r="AC4289">
        <v>-5.0223000000000297</v>
      </c>
      <c r="AD4289">
        <v>-1.1208970148620001</v>
      </c>
      <c r="AE4289">
        <v>-13.3211999999999</v>
      </c>
      <c r="AF4289">
        <v>-4.9723461558603503</v>
      </c>
      <c r="AG4289">
        <v>-1.1208970148620001</v>
      </c>
      <c r="AH4289">
        <v>13.2462822786188</v>
      </c>
      <c r="AI4289">
        <v>94.529632645606597</v>
      </c>
      <c r="AJ4289">
        <v>110.574966856836</v>
      </c>
      <c r="AK4289">
        <v>14.1931191292287</v>
      </c>
    </row>
    <row r="4290" spans="1:37" x14ac:dyDescent="0.2">
      <c r="A4290" t="str">
        <f>"20200111153737038"</f>
        <v>20200111153737038</v>
      </c>
      <c r="B4290" t="str">
        <f>"1578728257027830"</f>
        <v>1578728257027830</v>
      </c>
      <c r="C4290" t="s">
        <v>37</v>
      </c>
      <c r="D4290">
        <v>5.3512820000000003</v>
      </c>
      <c r="E4290">
        <v>0.45077339999999999</v>
      </c>
      <c r="F4290" t="s">
        <v>39</v>
      </c>
      <c r="G4290">
        <v>-415.44499999999999</v>
      </c>
      <c r="H4290" s="1">
        <v>-3.4844649999999999E-6</v>
      </c>
      <c r="I4290">
        <v>115.8717</v>
      </c>
      <c r="J4290">
        <v>-410.40030000000002</v>
      </c>
      <c r="K4290">
        <v>1.1209739999999999</v>
      </c>
      <c r="L4290">
        <v>130.02359999999999</v>
      </c>
      <c r="M4290">
        <v>-0.64730049999999995</v>
      </c>
      <c r="N4290">
        <v>0</v>
      </c>
      <c r="O4290">
        <v>-0.76205780000000001</v>
      </c>
      <c r="P4290">
        <v>-0.44405459999999902</v>
      </c>
      <c r="Q4290">
        <v>6.3435510000000001E-2</v>
      </c>
      <c r="R4290">
        <v>-0.89375149999999903</v>
      </c>
      <c r="S4290">
        <v>-1.047058</v>
      </c>
      <c r="T4290">
        <v>-0.22173299999999899</v>
      </c>
      <c r="U4290">
        <v>-2.857605</v>
      </c>
      <c r="V4290">
        <v>-0.24319959999999999</v>
      </c>
      <c r="W4290">
        <v>6.9476679999999999E-2</v>
      </c>
      <c r="X4290">
        <v>0.96748489999999998</v>
      </c>
      <c r="Y4290">
        <v>-0.34608329999999998</v>
      </c>
      <c r="Z4290">
        <v>4.700493E-2</v>
      </c>
      <c r="AA4290">
        <v>0.93702549999999996</v>
      </c>
      <c r="AB4290">
        <v>40</v>
      </c>
      <c r="AC4290">
        <v>-5.0446999999999704</v>
      </c>
      <c r="AD4290">
        <v>-1.120977484465</v>
      </c>
      <c r="AE4290">
        <v>-14.1518999999999</v>
      </c>
      <c r="AF4290">
        <v>-5.2874619340941402</v>
      </c>
      <c r="AG4290">
        <v>-1.120977484465</v>
      </c>
      <c r="AH4290">
        <v>13.9741070631247</v>
      </c>
      <c r="AI4290">
        <v>94.290693493625</v>
      </c>
      <c r="AJ4290">
        <v>110.72542244497799</v>
      </c>
      <c r="AK4290">
        <v>14.9829740851689</v>
      </c>
    </row>
    <row r="4291" spans="1:37" x14ac:dyDescent="0.2">
      <c r="A4291" t="str">
        <f>"20200111153737061"</f>
        <v>20200111153737061</v>
      </c>
      <c r="B4291" t="str">
        <f>"1578728257057110"</f>
        <v>1578728257057110</v>
      </c>
      <c r="C4291" t="s">
        <v>37</v>
      </c>
      <c r="D4291">
        <v>5.3686069999999999</v>
      </c>
      <c r="E4291">
        <v>0.45160980000000001</v>
      </c>
      <c r="F4291" t="s">
        <v>39</v>
      </c>
      <c r="G4291">
        <v>-415.58179999999999</v>
      </c>
      <c r="H4291" s="1">
        <v>-3.2130969999999999E-6</v>
      </c>
      <c r="I4291">
        <v>115.2957</v>
      </c>
      <c r="J4291">
        <v>-410.65890000000002</v>
      </c>
      <c r="K4291">
        <v>1.121048</v>
      </c>
      <c r="L4291">
        <v>129.7073</v>
      </c>
      <c r="M4291">
        <v>-0.63463130000000001</v>
      </c>
      <c r="N4291">
        <v>0</v>
      </c>
      <c r="O4291">
        <v>-0.772640199999999</v>
      </c>
      <c r="P4291">
        <v>-0.42981199999999897</v>
      </c>
      <c r="Q4291">
        <v>6.3915079999999999E-2</v>
      </c>
      <c r="R4291">
        <v>-0.9006535</v>
      </c>
      <c r="S4291">
        <v>-1.009857</v>
      </c>
      <c r="T4291">
        <v>-0.21847520000000001</v>
      </c>
      <c r="U4291">
        <v>-2.870422</v>
      </c>
      <c r="V4291">
        <v>-0.24259439999999999</v>
      </c>
      <c r="W4291">
        <v>6.9955210000000004E-2</v>
      </c>
      <c r="X4291">
        <v>0.96760230000000003</v>
      </c>
      <c r="Y4291">
        <v>-0.34270830000000002</v>
      </c>
      <c r="Z4291">
        <v>4.7328660000000002E-2</v>
      </c>
      <c r="AA4291">
        <v>0.93824889999999905</v>
      </c>
      <c r="AB4291">
        <v>40</v>
      </c>
      <c r="AC4291">
        <v>-4.9228999999999603</v>
      </c>
      <c r="AD4291">
        <v>-1.1210512130970001</v>
      </c>
      <c r="AE4291">
        <v>-14.4116</v>
      </c>
      <c r="AF4291">
        <v>-5.3143471196830303</v>
      </c>
      <c r="AG4291">
        <v>-1.1210512130970001</v>
      </c>
      <c r="AH4291">
        <v>14.184274580465001</v>
      </c>
      <c r="AI4291">
        <v>94.232785719639395</v>
      </c>
      <c r="AJ4291">
        <v>110.539201094997</v>
      </c>
      <c r="AK4291">
        <v>15.188570917136801</v>
      </c>
    </row>
    <row r="4292" spans="1:37" x14ac:dyDescent="0.2">
      <c r="A4292" t="str">
        <f>"20200111153737084"</f>
        <v>20200111153737084</v>
      </c>
      <c r="B4292" t="str">
        <f>"1578728257077606"</f>
        <v>1578728257077606</v>
      </c>
      <c r="C4292" t="s">
        <v>37</v>
      </c>
      <c r="D4292">
        <v>5.3254089999999996</v>
      </c>
      <c r="E4292">
        <v>0.45231569999999999</v>
      </c>
      <c r="F4292" t="s">
        <v>39</v>
      </c>
      <c r="G4292">
        <v>-415.71019999999999</v>
      </c>
      <c r="H4292" s="1">
        <v>-2.9355489999999898E-6</v>
      </c>
      <c r="I4292">
        <v>114.70189999999999</v>
      </c>
      <c r="J4292">
        <v>-410.90179999999998</v>
      </c>
      <c r="K4292">
        <v>1.1211040000000001</v>
      </c>
      <c r="L4292">
        <v>129.3999</v>
      </c>
      <c r="M4292">
        <v>-0.62228079999999997</v>
      </c>
      <c r="N4292">
        <v>0</v>
      </c>
      <c r="O4292">
        <v>-0.78262159999999903</v>
      </c>
      <c r="P4292">
        <v>-0.41554249999999998</v>
      </c>
      <c r="Q4292">
        <v>6.5034110000000006E-2</v>
      </c>
      <c r="R4292">
        <v>-0.9072462</v>
      </c>
      <c r="S4292">
        <v>-0.97052000000000005</v>
      </c>
      <c r="T4292">
        <v>-0.215390099999999</v>
      </c>
      <c r="U4292">
        <v>-2.8830259999999899</v>
      </c>
      <c r="V4292">
        <v>-0.242506799999999</v>
      </c>
      <c r="W4292">
        <v>7.1053499999999895E-2</v>
      </c>
      <c r="X4292">
        <v>0.96754430000000002</v>
      </c>
      <c r="Y4292">
        <v>-0.34052369999999998</v>
      </c>
      <c r="Z4292">
        <v>4.7587949999999997E-2</v>
      </c>
      <c r="AA4292">
        <v>0.9390309</v>
      </c>
      <c r="AB4292">
        <v>40</v>
      </c>
      <c r="AC4292">
        <v>-4.8083999999999998</v>
      </c>
      <c r="AD4292">
        <v>-1.121106935549</v>
      </c>
      <c r="AE4292">
        <v>-14.698</v>
      </c>
      <c r="AF4292">
        <v>-5.3557051574335803</v>
      </c>
      <c r="AG4292">
        <v>-1.121106935549</v>
      </c>
      <c r="AH4292">
        <v>14.4213125005357</v>
      </c>
      <c r="AI4292">
        <v>94.168138621626198</v>
      </c>
      <c r="AJ4292">
        <v>110.373703747074</v>
      </c>
      <c r="AK4292">
        <v>15.424484196640201</v>
      </c>
    </row>
    <row r="4293" spans="1:37" x14ac:dyDescent="0.2">
      <c r="A4293" t="str">
        <f>"20200111153737106"</f>
        <v>20200111153737106</v>
      </c>
      <c r="B4293" t="str">
        <f>"1578728257097126"</f>
        <v>1578728257097126</v>
      </c>
      <c r="C4293" t="s">
        <v>37</v>
      </c>
      <c r="D4293">
        <v>5.3619129999999897</v>
      </c>
      <c r="E4293">
        <v>0.4526329</v>
      </c>
      <c r="F4293" t="s">
        <v>39</v>
      </c>
      <c r="G4293">
        <v>-415.80369999999999</v>
      </c>
      <c r="H4293" s="1">
        <v>-2.6832729999999899E-6</v>
      </c>
      <c r="I4293">
        <v>114.1524</v>
      </c>
      <c r="J4293">
        <v>-411.14550000000003</v>
      </c>
      <c r="K4293">
        <v>1.1211530000000001</v>
      </c>
      <c r="L4293">
        <v>129.0813</v>
      </c>
      <c r="M4293">
        <v>-0.60943630000000004</v>
      </c>
      <c r="N4293">
        <v>0</v>
      </c>
      <c r="O4293">
        <v>-0.79266429999999999</v>
      </c>
      <c r="P4293">
        <v>-0.40019879999999902</v>
      </c>
      <c r="Q4293">
        <v>6.577268E-2</v>
      </c>
      <c r="R4293">
        <v>-0.91406540000000003</v>
      </c>
      <c r="S4293">
        <v>-0.93090819999999996</v>
      </c>
      <c r="T4293">
        <v>-0.21290599999999901</v>
      </c>
      <c r="U4293">
        <v>-2.8955989999999998</v>
      </c>
      <c r="V4293">
        <v>-0.24303820000000001</v>
      </c>
      <c r="W4293">
        <v>7.1745039999999996E-2</v>
      </c>
      <c r="X4293">
        <v>0.96735979999999999</v>
      </c>
      <c r="Y4293">
        <v>-0.33802179999999998</v>
      </c>
      <c r="Z4293">
        <v>4.7964670000000001E-2</v>
      </c>
      <c r="AA4293">
        <v>0.93991519999999995</v>
      </c>
      <c r="AB4293">
        <v>40</v>
      </c>
      <c r="AC4293">
        <v>-4.6581999999999599</v>
      </c>
      <c r="AD4293">
        <v>-1.1211556832730001</v>
      </c>
      <c r="AE4293">
        <v>-14.928900000000001</v>
      </c>
      <c r="AF4293">
        <v>-5.3789112632415499</v>
      </c>
      <c r="AG4293">
        <v>-1.1211556832730001</v>
      </c>
      <c r="AH4293">
        <v>14.5994337271137</v>
      </c>
      <c r="AI4293">
        <v>94.121568677325698</v>
      </c>
      <c r="AJ4293">
        <v>110.225455576247</v>
      </c>
      <c r="AK4293">
        <v>15.599139129975899</v>
      </c>
    </row>
    <row r="4294" spans="1:37" x14ac:dyDescent="0.2">
      <c r="A4294" t="str">
        <f>"20200111153737129"</f>
        <v>20200111153737129</v>
      </c>
      <c r="B4294" t="str">
        <f>"1578728257117623"</f>
        <v>1578728257117623</v>
      </c>
      <c r="C4294" t="s">
        <v>37</v>
      </c>
      <c r="D4294">
        <v>5.3582859999999997</v>
      </c>
      <c r="E4294">
        <v>0.46161579999999902</v>
      </c>
      <c r="F4294" t="s">
        <v>39</v>
      </c>
      <c r="G4294">
        <v>-415.82940000000002</v>
      </c>
      <c r="H4294" s="1">
        <v>-2.48379799999999E-6</v>
      </c>
      <c r="I4294">
        <v>113.6859</v>
      </c>
      <c r="J4294">
        <v>-411.37430000000001</v>
      </c>
      <c r="K4294">
        <v>1.1211879999999901</v>
      </c>
      <c r="L4294">
        <v>128.7722</v>
      </c>
      <c r="M4294">
        <v>-0.59694119999999995</v>
      </c>
      <c r="N4294">
        <v>0</v>
      </c>
      <c r="O4294">
        <v>-0.80211599999999905</v>
      </c>
      <c r="P4294">
        <v>-0.38516859999999897</v>
      </c>
      <c r="Q4294">
        <v>6.6206799999999996E-2</v>
      </c>
      <c r="R4294">
        <v>-0.92046830000000002</v>
      </c>
      <c r="S4294">
        <v>-0.88525390000000004</v>
      </c>
      <c r="T4294">
        <v>-0.21189839999999999</v>
      </c>
      <c r="U4294">
        <v>-2.9097140000000001</v>
      </c>
      <c r="V4294">
        <v>-0.24373809999999901</v>
      </c>
      <c r="W4294">
        <v>7.2128849999999994E-2</v>
      </c>
      <c r="X4294">
        <v>0.96715519999999999</v>
      </c>
      <c r="Y4294">
        <v>-0.33804719999999999</v>
      </c>
      <c r="Z4294">
        <v>4.8548180000000003E-2</v>
      </c>
      <c r="AA4294">
        <v>0.93987609999999999</v>
      </c>
      <c r="AB4294">
        <v>40</v>
      </c>
      <c r="AC4294">
        <v>-4.4551000000000096</v>
      </c>
      <c r="AD4294">
        <v>-1.12119048379799</v>
      </c>
      <c r="AE4294">
        <v>-15.0862999999999</v>
      </c>
      <c r="AF4294">
        <v>-5.4054030243215596</v>
      </c>
      <c r="AG4294">
        <v>-1.12119048379799</v>
      </c>
      <c r="AH4294">
        <v>14.687779790724299</v>
      </c>
      <c r="AI4294">
        <v>94.097535197472496</v>
      </c>
      <c r="AJ4294">
        <v>110.204646066026</v>
      </c>
      <c r="AK4294">
        <v>15.6909631679229</v>
      </c>
    </row>
    <row r="4295" spans="1:37" x14ac:dyDescent="0.2">
      <c r="A4295" t="str">
        <f>"20200111153737150"</f>
        <v>20200111153737150</v>
      </c>
      <c r="B4295" t="str">
        <f>"1578728257137143"</f>
        <v>1578728257137143</v>
      </c>
      <c r="C4295" t="s">
        <v>37</v>
      </c>
      <c r="D4295">
        <v>5.3688510000000003</v>
      </c>
      <c r="E4295">
        <v>0.46242240000000001</v>
      </c>
      <c r="F4295" t="s">
        <v>39</v>
      </c>
      <c r="G4295">
        <v>-415.52350000000001</v>
      </c>
      <c r="H4295" s="1">
        <v>-3.31672399999999E-6</v>
      </c>
      <c r="I4295">
        <v>115.5132</v>
      </c>
      <c r="J4295">
        <v>-411.6</v>
      </c>
      <c r="K4295">
        <v>1.121224</v>
      </c>
      <c r="L4295">
        <v>128.4571</v>
      </c>
      <c r="M4295">
        <v>-0.58417479999999999</v>
      </c>
      <c r="N4295">
        <v>0</v>
      </c>
      <c r="O4295">
        <v>-0.81146079999999998</v>
      </c>
      <c r="P4295">
        <v>-0.37056209999999901</v>
      </c>
      <c r="Q4295">
        <v>6.5459619999999996E-2</v>
      </c>
      <c r="R4295">
        <v>-0.92649840000000006</v>
      </c>
      <c r="S4295">
        <v>-0.90670779999999995</v>
      </c>
      <c r="T4295">
        <v>-0.2450117</v>
      </c>
      <c r="U4295">
        <v>-2.8974609999999998</v>
      </c>
      <c r="V4295">
        <v>-0.2437386</v>
      </c>
      <c r="W4295">
        <v>7.1364070000000002E-2</v>
      </c>
      <c r="X4295">
        <v>0.96721179999999995</v>
      </c>
      <c r="Y4295">
        <v>-0.31576939999999998</v>
      </c>
      <c r="Z4295">
        <v>5.769469E-2</v>
      </c>
      <c r="AA4295">
        <v>0.94708029999999999</v>
      </c>
      <c r="AB4295">
        <v>40</v>
      </c>
      <c r="AC4295">
        <v>-3.92349999999999</v>
      </c>
      <c r="AD4295">
        <v>-1.1212273167239999</v>
      </c>
      <c r="AE4295">
        <v>-12.943899999999999</v>
      </c>
      <c r="AF4295">
        <v>-4.3484449609189397</v>
      </c>
      <c r="AG4295">
        <v>-1.1212273167239999</v>
      </c>
      <c r="AH4295">
        <v>12.7098704328333</v>
      </c>
      <c r="AI4295">
        <v>94.771254841572599</v>
      </c>
      <c r="AJ4295">
        <v>108.88742474290299</v>
      </c>
      <c r="AK4295">
        <v>13.4798713159035</v>
      </c>
    </row>
    <row r="4296" spans="1:37" x14ac:dyDescent="0.2">
      <c r="A4296" t="str">
        <f>"20200111153737173"</f>
        <v>20200111153737173</v>
      </c>
      <c r="B4296" t="str">
        <f>"1578728257167397"</f>
        <v>1578728257167397</v>
      </c>
      <c r="C4296" t="s">
        <v>37</v>
      </c>
      <c r="D4296">
        <v>5.3796980000000003</v>
      </c>
      <c r="E4296">
        <v>0.46360459999999898</v>
      </c>
      <c r="F4296" t="s">
        <v>39</v>
      </c>
      <c r="G4296">
        <v>-415.24099999999999</v>
      </c>
      <c r="H4296" s="1">
        <v>-3.6856299999999999E-6</v>
      </c>
      <c r="I4296">
        <v>116.2563</v>
      </c>
      <c r="J4296">
        <v>-411.82619999999997</v>
      </c>
      <c r="K4296">
        <v>1.1212599999999999</v>
      </c>
      <c r="L4296">
        <v>128.13059999999999</v>
      </c>
      <c r="M4296">
        <v>-0.57091369999999997</v>
      </c>
      <c r="N4296">
        <v>0</v>
      </c>
      <c r="O4296">
        <v>-0.82084489999999999</v>
      </c>
      <c r="P4296">
        <v>-0.35597800000000002</v>
      </c>
      <c r="Q4296">
        <v>6.4565549999999999E-2</v>
      </c>
      <c r="R4296">
        <v>-0.93226139999999902</v>
      </c>
      <c r="S4296">
        <v>-0.86828609999999995</v>
      </c>
      <c r="T4296">
        <v>-0.26738620000000002</v>
      </c>
      <c r="U4296">
        <v>-2.9096069999999998</v>
      </c>
      <c r="V4296">
        <v>-0.24320639999999999</v>
      </c>
      <c r="W4296">
        <v>7.047987E-2</v>
      </c>
      <c r="X4296">
        <v>0.96741060000000001</v>
      </c>
      <c r="Y4296">
        <v>-0.31303690000000001</v>
      </c>
      <c r="Z4296">
        <v>6.4006610000000005E-2</v>
      </c>
      <c r="AA4296">
        <v>0.94758159999999902</v>
      </c>
      <c r="AB4296">
        <v>40</v>
      </c>
      <c r="AC4296">
        <v>-3.4148000000000098</v>
      </c>
      <c r="AD4296">
        <v>-1.12126368563</v>
      </c>
      <c r="AE4296">
        <v>-11.8742999999999</v>
      </c>
      <c r="AF4296">
        <v>-3.9442358521235299</v>
      </c>
      <c r="AG4296">
        <v>-1.12126368563</v>
      </c>
      <c r="AH4296">
        <v>11.602548117605901</v>
      </c>
      <c r="AI4296">
        <v>95.227841286790806</v>
      </c>
      <c r="AJ4296">
        <v>108.77524223137</v>
      </c>
      <c r="AK4296">
        <v>12.305825918289701</v>
      </c>
    </row>
    <row r="4297" spans="1:37" x14ac:dyDescent="0.2">
      <c r="A4297" t="str">
        <f>"20200111153737196"</f>
        <v>20200111153737196</v>
      </c>
      <c r="B4297" t="str">
        <f>"1578728257187893"</f>
        <v>1578728257187893</v>
      </c>
      <c r="C4297" t="s">
        <v>37</v>
      </c>
      <c r="D4297">
        <v>5.3664879999999897</v>
      </c>
      <c r="E4297">
        <v>0.4647075</v>
      </c>
      <c r="F4297" t="s">
        <v>39</v>
      </c>
      <c r="G4297">
        <v>-415.01029999999997</v>
      </c>
      <c r="H4297" s="1">
        <v>-4.0290480000000004E-6</v>
      </c>
      <c r="I4297">
        <v>116.9614</v>
      </c>
      <c r="J4297">
        <v>-412.0496</v>
      </c>
      <c r="K4297">
        <v>1.1212879999999901</v>
      </c>
      <c r="L4297">
        <v>127.7966</v>
      </c>
      <c r="M4297">
        <v>-0.55732079999999995</v>
      </c>
      <c r="N4297">
        <v>0</v>
      </c>
      <c r="O4297">
        <v>-0.83013369999999997</v>
      </c>
      <c r="P4297">
        <v>-0.34184389999999998</v>
      </c>
      <c r="Q4297">
        <v>6.4339729999999998E-2</v>
      </c>
      <c r="R4297">
        <v>-0.93755159999999904</v>
      </c>
      <c r="S4297">
        <v>-0.83255000000000001</v>
      </c>
      <c r="T4297">
        <v>-0.29317519999999903</v>
      </c>
      <c r="U4297">
        <v>-2.9203950000000001</v>
      </c>
      <c r="V4297">
        <v>-0.24190509999999901</v>
      </c>
      <c r="W4297">
        <v>7.0301500000000003E-2</v>
      </c>
      <c r="X4297">
        <v>0.96774979999999999</v>
      </c>
      <c r="Y4297">
        <v>-0.30918839999999997</v>
      </c>
      <c r="Z4297">
        <v>7.1336830000000004E-2</v>
      </c>
      <c r="AA4297">
        <v>0.94832150000000004</v>
      </c>
      <c r="AB4297">
        <v>40</v>
      </c>
      <c r="AC4297">
        <v>-2.9606999999999699</v>
      </c>
      <c r="AD4297">
        <v>-1.12129202904799</v>
      </c>
      <c r="AE4297">
        <v>-10.8352</v>
      </c>
      <c r="AF4297">
        <v>-3.5460542948204701</v>
      </c>
      <c r="AG4297">
        <v>-1.12129202904799</v>
      </c>
      <c r="AH4297">
        <v>10.5411244924698</v>
      </c>
      <c r="AI4297">
        <v>95.757173691769395</v>
      </c>
      <c r="AJ4297">
        <v>108.593037155742</v>
      </c>
      <c r="AK4297">
        <v>11.1779739864596</v>
      </c>
    </row>
    <row r="4298" spans="1:37" x14ac:dyDescent="0.2">
      <c r="A4298" t="str">
        <f>"20200111153737218"</f>
        <v>20200111153737218</v>
      </c>
      <c r="B4298" t="str">
        <f>"1578728257207414"</f>
        <v>1578728257207414</v>
      </c>
      <c r="C4298" t="s">
        <v>37</v>
      </c>
      <c r="D4298">
        <v>5.355791</v>
      </c>
      <c r="E4298">
        <v>0.47367589999999998</v>
      </c>
      <c r="F4298" t="s">
        <v>39</v>
      </c>
      <c r="G4298">
        <v>-415.02539999999999</v>
      </c>
      <c r="H4298" s="1">
        <v>-3.981189E-6</v>
      </c>
      <c r="I4298">
        <v>116.8561</v>
      </c>
      <c r="J4298">
        <v>-412.2577</v>
      </c>
      <c r="K4298">
        <v>1.1213150000000001</v>
      </c>
      <c r="L4298">
        <v>127.4743</v>
      </c>
      <c r="M4298">
        <v>-0.54419150000000005</v>
      </c>
      <c r="N4298">
        <v>0</v>
      </c>
      <c r="O4298">
        <v>-0.83879939999999997</v>
      </c>
      <c r="P4298">
        <v>-0.32963330000000002</v>
      </c>
      <c r="Q4298">
        <v>6.5604410000000002E-2</v>
      </c>
      <c r="R4298">
        <v>-0.94182710000000003</v>
      </c>
      <c r="S4298">
        <v>-0.79690550000000004</v>
      </c>
      <c r="T4298">
        <v>-0.30027999999999999</v>
      </c>
      <c r="U4298">
        <v>-2.92984</v>
      </c>
      <c r="V4298">
        <v>-0.23926059999999999</v>
      </c>
      <c r="W4298">
        <v>7.1678930000000002E-2</v>
      </c>
      <c r="X4298">
        <v>0.968306</v>
      </c>
      <c r="Y4298">
        <v>-0.30579299999999998</v>
      </c>
      <c r="Z4298">
        <v>7.4216130000000005E-2</v>
      </c>
      <c r="AA4298">
        <v>0.94920099999999996</v>
      </c>
      <c r="AB4298">
        <v>40</v>
      </c>
      <c r="AC4298">
        <v>-2.7676999999999898</v>
      </c>
      <c r="AD4298">
        <v>-1.1213189811890001</v>
      </c>
      <c r="AE4298">
        <v>-10.6182</v>
      </c>
      <c r="AF4298">
        <v>-3.4215282028710599</v>
      </c>
      <c r="AG4298">
        <v>-1.1213189811890001</v>
      </c>
      <c r="AH4298">
        <v>10.3064841547409</v>
      </c>
      <c r="AI4298">
        <v>95.895252547511305</v>
      </c>
      <c r="AJ4298">
        <v>108.365042084129</v>
      </c>
      <c r="AK4298">
        <v>10.9173177627356</v>
      </c>
    </row>
    <row r="4299" spans="1:37" x14ac:dyDescent="0.2">
      <c r="A4299" t="str">
        <f>"20200111153737240"</f>
        <v>20200111153737240</v>
      </c>
      <c r="B4299" t="str">
        <f>"1578728257237669"</f>
        <v>1578728257237669</v>
      </c>
      <c r="C4299" t="s">
        <v>37</v>
      </c>
      <c r="D4299">
        <v>5.4390029999999996</v>
      </c>
      <c r="E4299">
        <v>0.47528120000000001</v>
      </c>
      <c r="F4299" t="s">
        <v>39</v>
      </c>
      <c r="G4299">
        <v>-415.32249999999999</v>
      </c>
      <c r="H4299" s="1">
        <v>-3.8457740000000002E-6</v>
      </c>
      <c r="I4299">
        <v>116.66330000000001</v>
      </c>
      <c r="J4299">
        <v>-412.45699999999999</v>
      </c>
      <c r="K4299">
        <v>1.1213249999999999</v>
      </c>
      <c r="L4299">
        <v>127.15479999999999</v>
      </c>
      <c r="M4299">
        <v>-0.53117130000000001</v>
      </c>
      <c r="N4299">
        <v>0</v>
      </c>
      <c r="O4299">
        <v>-0.84710419999999997</v>
      </c>
      <c r="P4299">
        <v>-0.31771519999999998</v>
      </c>
      <c r="Q4299">
        <v>6.7466440000000003E-2</v>
      </c>
      <c r="R4299">
        <v>-0.94578309999999999</v>
      </c>
      <c r="S4299">
        <v>-0.82693479999999997</v>
      </c>
      <c r="T4299">
        <v>-0.30254799999999998</v>
      </c>
      <c r="U4299">
        <v>-2.9169619999999998</v>
      </c>
      <c r="V4299">
        <v>-0.23653859999999999</v>
      </c>
      <c r="W4299">
        <v>7.3661130000000005E-2</v>
      </c>
      <c r="X4299">
        <v>0.96882579999999996</v>
      </c>
      <c r="Y4299">
        <v>-0.2809142</v>
      </c>
      <c r="Z4299">
        <v>7.660699E-2</v>
      </c>
      <c r="AA4299">
        <v>0.95667060000000004</v>
      </c>
      <c r="AB4299">
        <v>40</v>
      </c>
      <c r="AC4299">
        <v>-2.8654999999999902</v>
      </c>
      <c r="AD4299">
        <v>-1.1213288457739901</v>
      </c>
      <c r="AE4299">
        <v>-10.491499999999901</v>
      </c>
      <c r="AF4299">
        <v>-3.1127443642825701</v>
      </c>
      <c r="AG4299">
        <v>-1.1213288457739901</v>
      </c>
      <c r="AH4299">
        <v>10.301372056167001</v>
      </c>
      <c r="AI4299">
        <v>95.948712121646494</v>
      </c>
      <c r="AJ4299">
        <v>106.81313370773501</v>
      </c>
      <c r="AK4299">
        <v>10.819649813987301</v>
      </c>
    </row>
    <row r="4300" spans="1:37" x14ac:dyDescent="0.2">
      <c r="A4300" t="str">
        <f>"20200111153737262"</f>
        <v>20200111153737262</v>
      </c>
      <c r="B4300" t="str">
        <f>"1578728257257191"</f>
        <v>1578728257257191</v>
      </c>
      <c r="C4300" t="s">
        <v>37</v>
      </c>
      <c r="D4300">
        <v>5.5759319999999999</v>
      </c>
      <c r="E4300">
        <v>0.47376019999999902</v>
      </c>
      <c r="F4300" t="s">
        <v>39</v>
      </c>
      <c r="G4300">
        <v>-415.40089999999998</v>
      </c>
      <c r="H4300" s="1">
        <v>-3.7366590000000001E-6</v>
      </c>
      <c r="I4300">
        <v>116.4414</v>
      </c>
      <c r="J4300">
        <v>-412.65769999999998</v>
      </c>
      <c r="K4300">
        <v>1.1213139999999999</v>
      </c>
      <c r="L4300">
        <v>126.8207</v>
      </c>
      <c r="M4300">
        <v>-0.51758019999999905</v>
      </c>
      <c r="N4300">
        <v>0</v>
      </c>
      <c r="O4300">
        <v>-0.85547600000000001</v>
      </c>
      <c r="P4300">
        <v>-0.30364590000000002</v>
      </c>
      <c r="Q4300">
        <v>6.8228079999999997E-2</v>
      </c>
      <c r="R4300">
        <v>-0.95033899999999905</v>
      </c>
      <c r="S4300">
        <v>-0.80343629999999999</v>
      </c>
      <c r="T4300">
        <v>-0.30603190000000002</v>
      </c>
      <c r="U4300">
        <v>-2.9239039999999998</v>
      </c>
      <c r="V4300">
        <v>-0.2354492</v>
      </c>
      <c r="W4300">
        <v>7.4473330000000004E-2</v>
      </c>
      <c r="X4300">
        <v>0.96902909999999998</v>
      </c>
      <c r="Y4300">
        <v>-0.27335510000000002</v>
      </c>
      <c r="Z4300">
        <v>7.8715099999999996E-2</v>
      </c>
      <c r="AA4300">
        <v>0.95868709999999902</v>
      </c>
      <c r="AB4300">
        <v>40</v>
      </c>
      <c r="AC4300">
        <v>-2.7431999999999999</v>
      </c>
      <c r="AD4300">
        <v>-1.1213177366589999</v>
      </c>
      <c r="AE4300">
        <v>-10.379300000000001</v>
      </c>
      <c r="AF4300">
        <v>-2.9931361902042202</v>
      </c>
      <c r="AG4300">
        <v>-1.1213177366589999</v>
      </c>
      <c r="AH4300">
        <v>10.1893083001717</v>
      </c>
      <c r="AI4300">
        <v>96.027364015956906</v>
      </c>
      <c r="AJ4300">
        <v>106.370290027739</v>
      </c>
      <c r="AK4300">
        <v>10.678867980999</v>
      </c>
    </row>
    <row r="4301" spans="1:37" x14ac:dyDescent="0.2">
      <c r="A4301" t="str">
        <f>"20200111153737285"</f>
        <v>20200111153737285</v>
      </c>
      <c r="B4301" t="str">
        <f>"1578728257277685"</f>
        <v>1578728257277685</v>
      </c>
      <c r="C4301" t="s">
        <v>37</v>
      </c>
      <c r="D4301">
        <v>5.4635800000000003</v>
      </c>
      <c r="E4301">
        <v>0.47381640000000003</v>
      </c>
      <c r="F4301" t="s">
        <v>39</v>
      </c>
      <c r="G4301">
        <v>-415.34539999999998</v>
      </c>
      <c r="H4301" s="1">
        <v>-3.6804689999999999E-6</v>
      </c>
      <c r="I4301">
        <v>116.28740000000001</v>
      </c>
      <c r="J4301">
        <v>-412.8587</v>
      </c>
      <c r="K4301">
        <v>1.121278</v>
      </c>
      <c r="L4301">
        <v>126.47329999999999</v>
      </c>
      <c r="M4301">
        <v>-0.50346610000000003</v>
      </c>
      <c r="N4301">
        <v>0</v>
      </c>
      <c r="O4301">
        <v>-0.86385800000000001</v>
      </c>
      <c r="P4301">
        <v>-0.28676629999999997</v>
      </c>
      <c r="Q4301">
        <v>6.8687120000000004E-2</v>
      </c>
      <c r="R4301">
        <v>-0.95553489999999996</v>
      </c>
      <c r="S4301">
        <v>-0.75009159999999997</v>
      </c>
      <c r="T4301">
        <v>-0.31293389999999999</v>
      </c>
      <c r="U4301">
        <v>-2.9395899999999999</v>
      </c>
      <c r="V4301">
        <v>-0.23670279999999999</v>
      </c>
      <c r="W4301">
        <v>7.487895E-2</v>
      </c>
      <c r="X4301">
        <v>0.96869240000000001</v>
      </c>
      <c r="Y4301">
        <v>-0.27517950000000002</v>
      </c>
      <c r="Z4301">
        <v>8.1443920000000003E-2</v>
      </c>
      <c r="AA4301">
        <v>0.95793689999999998</v>
      </c>
      <c r="AB4301">
        <v>40</v>
      </c>
      <c r="AC4301">
        <v>-2.4866999999999799</v>
      </c>
      <c r="AD4301">
        <v>-1.121281680469</v>
      </c>
      <c r="AE4301">
        <v>-10.185899999999901</v>
      </c>
      <c r="AF4301">
        <v>-2.9468031440987099</v>
      </c>
      <c r="AG4301">
        <v>-1.121281680469</v>
      </c>
      <c r="AH4301">
        <v>9.9388394280299703</v>
      </c>
      <c r="AI4301">
        <v>96.173342238834707</v>
      </c>
      <c r="AJ4301">
        <v>106.51475770511099</v>
      </c>
      <c r="AK4301">
        <v>10.426957876254599</v>
      </c>
    </row>
    <row r="4302" spans="1:37" x14ac:dyDescent="0.2">
      <c r="A4302" t="str">
        <f>"20200111153737307"</f>
        <v>20200111153737307</v>
      </c>
      <c r="B4302" t="str">
        <f>"1578728257297206"</f>
        <v>1578728257297206</v>
      </c>
      <c r="C4302" t="s">
        <v>37</v>
      </c>
      <c r="D4302">
        <v>5.7360910000000001</v>
      </c>
      <c r="E4302">
        <v>0.47469529999999899</v>
      </c>
      <c r="F4302" t="s">
        <v>39</v>
      </c>
      <c r="G4302">
        <v>-415.31670000000003</v>
      </c>
      <c r="H4302" s="1">
        <v>-3.60694799999999E-6</v>
      </c>
      <c r="I4302">
        <v>116.10420000000001</v>
      </c>
      <c r="J4302">
        <v>-413.04989999999998</v>
      </c>
      <c r="K4302">
        <v>1.121218</v>
      </c>
      <c r="L4302">
        <v>126.1302</v>
      </c>
      <c r="M4302">
        <v>-0.48957600000000001</v>
      </c>
      <c r="N4302">
        <v>0</v>
      </c>
      <c r="O4302">
        <v>-0.87180550000000001</v>
      </c>
      <c r="P4302">
        <v>-0.27029520000000001</v>
      </c>
      <c r="Q4302">
        <v>6.7521399999999995E-2</v>
      </c>
      <c r="R4302">
        <v>-0.96040709999999996</v>
      </c>
      <c r="S4302">
        <v>-0.69989009999999996</v>
      </c>
      <c r="T4302">
        <v>-0.31927649999999902</v>
      </c>
      <c r="U4302">
        <v>-2.952515</v>
      </c>
      <c r="V4302">
        <v>-0.23783969999999999</v>
      </c>
      <c r="W4302">
        <v>7.3670180000000002E-2</v>
      </c>
      <c r="X4302">
        <v>0.968506599999999</v>
      </c>
      <c r="Y4302">
        <v>-0.27620240000000001</v>
      </c>
      <c r="Z4302">
        <v>8.4068859999999995E-2</v>
      </c>
      <c r="AA4302">
        <v>0.95741559999999903</v>
      </c>
      <c r="AB4302">
        <v>40</v>
      </c>
      <c r="AC4302">
        <v>-2.2668000000000399</v>
      </c>
      <c r="AD4302">
        <v>-1.1212216069480001</v>
      </c>
      <c r="AE4302">
        <v>-10.0259999999999</v>
      </c>
      <c r="AF4302">
        <v>-2.8981940662130699</v>
      </c>
      <c r="AG4302">
        <v>-1.1212216069480001</v>
      </c>
      <c r="AH4302">
        <v>9.7359860669968104</v>
      </c>
      <c r="AI4302">
        <v>96.298586196190996</v>
      </c>
      <c r="AJ4302">
        <v>106.577138727451</v>
      </c>
      <c r="AK4302">
        <v>10.2198870558375</v>
      </c>
    </row>
    <row r="4303" spans="1:37" x14ac:dyDescent="0.2">
      <c r="A4303" t="str">
        <f>"20200111153737330"</f>
        <v>20200111153737330</v>
      </c>
      <c r="B4303" t="str">
        <f>"1578728257317702"</f>
        <v>1578728257317702</v>
      </c>
      <c r="C4303" t="s">
        <v>37</v>
      </c>
      <c r="D4303">
        <v>5.7929909999999998</v>
      </c>
      <c r="E4303">
        <v>0.47573090000000001</v>
      </c>
      <c r="F4303" t="s">
        <v>39</v>
      </c>
      <c r="G4303">
        <v>-415.33150000000001</v>
      </c>
      <c r="H4303" s="1">
        <v>-3.4930770000000001E-6</v>
      </c>
      <c r="I4303">
        <v>115.8449</v>
      </c>
      <c r="J4303">
        <v>-413.22930000000002</v>
      </c>
      <c r="K4303">
        <v>1.1211329999999999</v>
      </c>
      <c r="L4303">
        <v>125.79640000000001</v>
      </c>
      <c r="M4303">
        <v>-0.47613640000000002</v>
      </c>
      <c r="N4303">
        <v>0</v>
      </c>
      <c r="O4303">
        <v>-0.8792179</v>
      </c>
      <c r="P4303">
        <v>-0.25494299999999998</v>
      </c>
      <c r="Q4303">
        <v>6.3988340000000005E-2</v>
      </c>
      <c r="R4303">
        <v>-0.96483669999999999</v>
      </c>
      <c r="S4303">
        <v>-0.65695190000000003</v>
      </c>
      <c r="T4303">
        <v>-0.32283649999999903</v>
      </c>
      <c r="U4303">
        <v>-2.9614720000000001</v>
      </c>
      <c r="V4303">
        <v>-0.2383776</v>
      </c>
      <c r="W4303">
        <v>7.013026E-2</v>
      </c>
      <c r="X4303">
        <v>0.96863709999999903</v>
      </c>
      <c r="Y4303">
        <v>-0.27531889999999998</v>
      </c>
      <c r="Z4303">
        <v>8.6026989999999998E-2</v>
      </c>
      <c r="AA4303">
        <v>0.95749609999999996</v>
      </c>
      <c r="AB4303">
        <v>39</v>
      </c>
      <c r="AC4303">
        <v>-2.1021999999999799</v>
      </c>
      <c r="AD4303">
        <v>-1.121136493077</v>
      </c>
      <c r="AE4303">
        <v>-9.95150000000001</v>
      </c>
      <c r="AF4303">
        <v>-2.8556730528851801</v>
      </c>
      <c r="AG4303">
        <v>-1.121136493077</v>
      </c>
      <c r="AH4303">
        <v>9.6347246668260809</v>
      </c>
      <c r="AI4303">
        <v>96.365978689058096</v>
      </c>
      <c r="AJ4303">
        <v>106.509499096745</v>
      </c>
      <c r="AK4303">
        <v>10.111366625072501</v>
      </c>
    </row>
    <row r="4304" spans="1:37" x14ac:dyDescent="0.2">
      <c r="A4304" t="str">
        <f>"20200111153737355"</f>
        <v>20200111153737355</v>
      </c>
      <c r="B4304" t="str">
        <f>"1578728257347957"</f>
        <v>1578728257347957</v>
      </c>
      <c r="C4304" t="s">
        <v>37</v>
      </c>
      <c r="D4304">
        <v>5.370692</v>
      </c>
      <c r="E4304">
        <v>0.47723749999999998</v>
      </c>
      <c r="F4304" t="s">
        <v>39</v>
      </c>
      <c r="G4304">
        <v>-415.31400000000002</v>
      </c>
      <c r="H4304" s="1">
        <v>-3.4659280000000001E-6</v>
      </c>
      <c r="I4304">
        <v>115.7743</v>
      </c>
      <c r="J4304">
        <v>-413.4357</v>
      </c>
      <c r="K4304">
        <v>1.120997</v>
      </c>
      <c r="L4304">
        <v>125.3968</v>
      </c>
      <c r="M4304">
        <v>-0.4601962</v>
      </c>
      <c r="N4304">
        <v>0</v>
      </c>
      <c r="O4304">
        <v>-0.88766559999999906</v>
      </c>
      <c r="P4304">
        <v>-0.23850279999999999</v>
      </c>
      <c r="Q4304">
        <v>5.9205849999999997E-2</v>
      </c>
      <c r="R4304">
        <v>-0.96933549999999902</v>
      </c>
      <c r="S4304">
        <v>-0.61740109999999904</v>
      </c>
      <c r="T4304">
        <v>-0.33204319999999998</v>
      </c>
      <c r="U4304">
        <v>-2.9682009999999899</v>
      </c>
      <c r="V4304">
        <v>-0.23729320000000001</v>
      </c>
      <c r="W4304">
        <v>6.5428509999999995E-2</v>
      </c>
      <c r="X4304">
        <v>0.96923219999999999</v>
      </c>
      <c r="Y4304">
        <v>-0.27068979999999998</v>
      </c>
      <c r="Z4304">
        <v>8.9787569999999997E-2</v>
      </c>
      <c r="AA4304">
        <v>0.95847019999999905</v>
      </c>
      <c r="AB4304">
        <v>39</v>
      </c>
      <c r="AC4304">
        <v>-1.8783000000000201</v>
      </c>
      <c r="AD4304">
        <v>-1.121000465928</v>
      </c>
      <c r="AE4304">
        <v>-9.6225000000000005</v>
      </c>
      <c r="AF4304">
        <v>-2.7256730075745299</v>
      </c>
      <c r="AG4304">
        <v>-1.121000465928</v>
      </c>
      <c r="AH4304">
        <v>9.2858161155649892</v>
      </c>
      <c r="AI4304">
        <v>96.607393495010896</v>
      </c>
      <c r="AJ4304">
        <v>106.35858847451399</v>
      </c>
      <c r="AK4304">
        <v>9.7422952285853892</v>
      </c>
    </row>
    <row r="4305" spans="1:37" x14ac:dyDescent="0.2">
      <c r="A4305" t="str">
        <f>"20200111153737374"</f>
        <v>20200111153737374</v>
      </c>
      <c r="B4305" t="str">
        <f>"1578728257367477"</f>
        <v>1578728257367477</v>
      </c>
      <c r="C4305" t="s">
        <v>37</v>
      </c>
      <c r="D4305">
        <v>5.8410070000000003</v>
      </c>
      <c r="E4305">
        <v>0.47818909999999998</v>
      </c>
      <c r="F4305" t="s">
        <v>39</v>
      </c>
      <c r="G4305">
        <v>-415.31900000000002</v>
      </c>
      <c r="H4305" s="1">
        <v>-3.432434E-6</v>
      </c>
      <c r="I4305">
        <v>115.6983</v>
      </c>
      <c r="J4305">
        <v>-413.58229999999998</v>
      </c>
      <c r="K4305">
        <v>1.1208559999999901</v>
      </c>
      <c r="L4305">
        <v>125.10120000000001</v>
      </c>
      <c r="M4305">
        <v>-0.448568999999999</v>
      </c>
      <c r="N4305">
        <v>0</v>
      </c>
      <c r="O4305">
        <v>-0.89359809999999995</v>
      </c>
      <c r="P4305">
        <v>-0.2277129</v>
      </c>
      <c r="Q4305">
        <v>5.5175349999999998E-2</v>
      </c>
      <c r="R4305">
        <v>-0.97216360000000002</v>
      </c>
      <c r="S4305">
        <v>-0.57748409999999994</v>
      </c>
      <c r="T4305">
        <v>-0.34372709999999901</v>
      </c>
      <c r="U4305">
        <v>-2.9738009999999999</v>
      </c>
      <c r="V4305">
        <v>-0.23533579999999901</v>
      </c>
      <c r="W4305">
        <v>6.1520159999999997E-2</v>
      </c>
      <c r="X4305">
        <v>0.96996510000000002</v>
      </c>
      <c r="Y4305">
        <v>-0.27091609999999899</v>
      </c>
      <c r="Z4305">
        <v>9.3824009999999999E-2</v>
      </c>
      <c r="AA4305">
        <v>0.95801959999999997</v>
      </c>
      <c r="AB4305">
        <v>39</v>
      </c>
      <c r="AC4305">
        <v>-1.7367000000000401</v>
      </c>
      <c r="AD4305">
        <v>-1.12085943243399</v>
      </c>
      <c r="AE4305">
        <v>-9.4029000000000007</v>
      </c>
      <c r="AF4305">
        <v>-2.63015501608976</v>
      </c>
      <c r="AG4305">
        <v>-1.12085943243399</v>
      </c>
      <c r="AH4305">
        <v>9.0582086503447492</v>
      </c>
      <c r="AI4305">
        <v>96.776773257645502</v>
      </c>
      <c r="AJ4305">
        <v>106.191262603859</v>
      </c>
      <c r="AK4305">
        <v>9.4986938696390695</v>
      </c>
    </row>
    <row r="4306" spans="1:37" x14ac:dyDescent="0.2">
      <c r="A4306" t="str">
        <f>"20200111153737398"</f>
        <v>20200111153737398</v>
      </c>
      <c r="B4306" t="str">
        <f>"1578728257387973"</f>
        <v>1578728257387973</v>
      </c>
      <c r="C4306" t="s">
        <v>37</v>
      </c>
      <c r="D4306">
        <v>5.8446470000000001</v>
      </c>
      <c r="E4306">
        <v>0.4790606</v>
      </c>
      <c r="F4306" t="s">
        <v>39</v>
      </c>
      <c r="G4306">
        <v>-415.32249999999999</v>
      </c>
      <c r="H4306" s="1">
        <v>-3.434297E-6</v>
      </c>
      <c r="I4306">
        <v>115.7041</v>
      </c>
      <c r="J4306">
        <v>-413.75279999999998</v>
      </c>
      <c r="K4306">
        <v>1.1206659999999999</v>
      </c>
      <c r="L4306">
        <v>124.7457</v>
      </c>
      <c r="M4306">
        <v>-0.43481149999999902</v>
      </c>
      <c r="N4306">
        <v>0</v>
      </c>
      <c r="O4306">
        <v>-0.900373599999999</v>
      </c>
      <c r="P4306">
        <v>-0.21506990000000001</v>
      </c>
      <c r="Q4306">
        <v>5.2784730000000002E-2</v>
      </c>
      <c r="R4306">
        <v>-0.97517099999999901</v>
      </c>
      <c r="S4306">
        <v>-0.55126949999999997</v>
      </c>
      <c r="T4306">
        <v>-0.35507670000000002</v>
      </c>
      <c r="U4306">
        <v>-2.9768979999999998</v>
      </c>
      <c r="V4306">
        <v>-0.2329851</v>
      </c>
      <c r="W4306">
        <v>5.9287390000000002E-2</v>
      </c>
      <c r="X4306">
        <v>0.97067139999999996</v>
      </c>
      <c r="Y4306">
        <v>-0.26455050000000002</v>
      </c>
      <c r="Z4306">
        <v>9.8120180000000001E-2</v>
      </c>
      <c r="AA4306">
        <v>0.95936719999999898</v>
      </c>
      <c r="AB4306">
        <v>39</v>
      </c>
      <c r="AC4306">
        <v>-1.5697000000000101</v>
      </c>
      <c r="AD4306">
        <v>-1.1206694342969901</v>
      </c>
      <c r="AE4306">
        <v>-9.0416000000000007</v>
      </c>
      <c r="AF4306">
        <v>-2.4814051480722901</v>
      </c>
      <c r="AG4306">
        <v>-1.1206694342969901</v>
      </c>
      <c r="AH4306">
        <v>8.6948495394033003</v>
      </c>
      <c r="AI4306">
        <v>97.065233396320806</v>
      </c>
      <c r="AJ4306">
        <v>105.928107058084</v>
      </c>
      <c r="AK4306">
        <v>9.1111843358977698</v>
      </c>
    </row>
    <row r="4307" spans="1:37" x14ac:dyDescent="0.2">
      <c r="A4307" t="str">
        <f>"20200111153737420"</f>
        <v>20200111153737420</v>
      </c>
      <c r="B4307" t="str">
        <f>"1578728257407493"</f>
        <v>1578728257407493</v>
      </c>
      <c r="C4307" t="s">
        <v>37</v>
      </c>
      <c r="D4307">
        <v>5.5943449999999997</v>
      </c>
      <c r="E4307">
        <v>0.4899347</v>
      </c>
      <c r="F4307" t="s">
        <v>39</v>
      </c>
      <c r="G4307">
        <v>-415.36189999999999</v>
      </c>
      <c r="H4307" s="1">
        <v>-3.34163299999999E-6</v>
      </c>
      <c r="I4307">
        <v>115.5044</v>
      </c>
      <c r="J4307">
        <v>-413.9119</v>
      </c>
      <c r="K4307">
        <v>1.1204379999999901</v>
      </c>
      <c r="L4307">
        <v>124.4008</v>
      </c>
      <c r="M4307">
        <v>-0.42176989999999998</v>
      </c>
      <c r="N4307">
        <v>0</v>
      </c>
      <c r="O4307">
        <v>-0.9065571</v>
      </c>
      <c r="P4307">
        <v>-0.203530399999999</v>
      </c>
      <c r="Q4307">
        <v>5.2304160000000002E-2</v>
      </c>
      <c r="R4307">
        <v>-0.97767059999999995</v>
      </c>
      <c r="S4307">
        <v>-0.51913450000000005</v>
      </c>
      <c r="T4307">
        <v>-0.36155159999999997</v>
      </c>
      <c r="U4307">
        <v>-2.98143</v>
      </c>
      <c r="V4307">
        <v>-0.2304002</v>
      </c>
      <c r="W4307">
        <v>5.8985139999999998E-2</v>
      </c>
      <c r="X4307">
        <v>0.97130659999999902</v>
      </c>
      <c r="Y4307">
        <v>-0.26095170000000001</v>
      </c>
      <c r="Z4307">
        <v>0.10095989999999901</v>
      </c>
      <c r="AA4307">
        <v>0.96005799999999997</v>
      </c>
      <c r="AB4307">
        <v>39</v>
      </c>
      <c r="AC4307">
        <v>-1.44999999999998</v>
      </c>
      <c r="AD4307">
        <v>-1.1204413416329999</v>
      </c>
      <c r="AE4307">
        <v>-8.8963999999999999</v>
      </c>
      <c r="AF4307">
        <v>-2.4009505884952298</v>
      </c>
      <c r="AG4307">
        <v>-1.1204413416329999</v>
      </c>
      <c r="AH4307">
        <v>8.5457654686187503</v>
      </c>
      <c r="AI4307">
        <v>97.194036740001096</v>
      </c>
      <c r="AJ4307">
        <v>105.69281832556</v>
      </c>
      <c r="AK4307">
        <v>8.9470699099242896</v>
      </c>
    </row>
    <row r="4308" spans="1:37" x14ac:dyDescent="0.2">
      <c r="A4308" t="str">
        <f>"20200111153737442"</f>
        <v>20200111153737442</v>
      </c>
      <c r="B4308" t="str">
        <f>"1578728257437749"</f>
        <v>1578728257437749</v>
      </c>
      <c r="C4308" t="s">
        <v>37</v>
      </c>
      <c r="D4308">
        <v>5.6354889999999997</v>
      </c>
      <c r="E4308">
        <v>0.49172149999999998</v>
      </c>
      <c r="F4308" t="s">
        <v>39</v>
      </c>
      <c r="G4308">
        <v>-415.61380000000003</v>
      </c>
      <c r="H4308" s="1">
        <v>-3.30794E-6</v>
      </c>
      <c r="I4308">
        <v>115.5301</v>
      </c>
      <c r="J4308">
        <v>-414.0702</v>
      </c>
      <c r="K4308">
        <v>1.120147</v>
      </c>
      <c r="L4308">
        <v>124.04340000000001</v>
      </c>
      <c r="M4308">
        <v>-0.40868549999999998</v>
      </c>
      <c r="N4308">
        <v>0</v>
      </c>
      <c r="O4308">
        <v>-0.91253189999999995</v>
      </c>
      <c r="P4308">
        <v>-0.1938917</v>
      </c>
      <c r="Q4308">
        <v>5.4445809999999997E-2</v>
      </c>
      <c r="R4308">
        <v>-0.97951100000000002</v>
      </c>
      <c r="S4308">
        <v>-0.569824199999999</v>
      </c>
      <c r="T4308">
        <v>-0.37513099999999999</v>
      </c>
      <c r="U4308">
        <v>-2.969986</v>
      </c>
      <c r="V4308">
        <v>-0.2259806</v>
      </c>
      <c r="W4308">
        <v>6.1403079999999999E-2</v>
      </c>
      <c r="X4308">
        <v>0.97219469999999997</v>
      </c>
      <c r="Y4308">
        <v>-0.23058219999999999</v>
      </c>
      <c r="Z4308">
        <v>0.106520699999999</v>
      </c>
      <c r="AA4308">
        <v>0.96720490000000003</v>
      </c>
      <c r="AB4308">
        <v>39</v>
      </c>
      <c r="AC4308">
        <v>-1.5436000000000201</v>
      </c>
      <c r="AD4308">
        <v>-1.1201503079399999</v>
      </c>
      <c r="AE4308">
        <v>-8.5132999999999992</v>
      </c>
      <c r="AF4308">
        <v>-2.03680936855684</v>
      </c>
      <c r="AG4308">
        <v>-1.1201503079399999</v>
      </c>
      <c r="AH4308">
        <v>8.26211983381571</v>
      </c>
      <c r="AI4308">
        <v>97.499048730257002</v>
      </c>
      <c r="AJ4308">
        <v>103.848636323615</v>
      </c>
      <c r="AK4308">
        <v>8.5828872335916202</v>
      </c>
    </row>
    <row r="4309" spans="1:37" x14ac:dyDescent="0.2">
      <c r="A4309" t="str">
        <f>"20200111153737465"</f>
        <v>20200111153737465</v>
      </c>
      <c r="B4309" t="str">
        <f>"1578728257457269"</f>
        <v>1578728257457269</v>
      </c>
      <c r="C4309" t="s">
        <v>37</v>
      </c>
      <c r="D4309">
        <v>5.6336769999999996</v>
      </c>
      <c r="E4309">
        <v>0.49134470000000002</v>
      </c>
      <c r="F4309" t="s">
        <v>39</v>
      </c>
      <c r="G4309">
        <v>-415.72559999999999</v>
      </c>
      <c r="H4309" s="1">
        <v>-3.1339499999999999E-6</v>
      </c>
      <c r="I4309">
        <v>115.1707</v>
      </c>
      <c r="J4309">
        <v>-414.22340000000003</v>
      </c>
      <c r="K4309">
        <v>1.1198059999999901</v>
      </c>
      <c r="L4309">
        <v>123.6836</v>
      </c>
      <c r="M4309">
        <v>-0.39596189999999998</v>
      </c>
      <c r="N4309">
        <v>0</v>
      </c>
      <c r="O4309">
        <v>-0.918126199999999</v>
      </c>
      <c r="P4309">
        <v>-0.1844199</v>
      </c>
      <c r="Q4309">
        <v>5.6222500000000002E-2</v>
      </c>
      <c r="R4309">
        <v>-0.98123839999999996</v>
      </c>
      <c r="S4309">
        <v>-0.55484009999999995</v>
      </c>
      <c r="T4309">
        <v>-0.37542950000000003</v>
      </c>
      <c r="U4309">
        <v>-2.9737849999999999</v>
      </c>
      <c r="V4309">
        <v>-0.22182739999999901</v>
      </c>
      <c r="W4309">
        <v>6.3454720000000006E-2</v>
      </c>
      <c r="X4309">
        <v>0.97301909999999903</v>
      </c>
      <c r="Y4309">
        <v>-0.22199940000000001</v>
      </c>
      <c r="Z4309">
        <v>0.1076583</v>
      </c>
      <c r="AA4309">
        <v>0.96908510000000003</v>
      </c>
      <c r="AB4309">
        <v>39</v>
      </c>
      <c r="AC4309">
        <v>-1.50219999999995</v>
      </c>
      <c r="AD4309">
        <v>-1.11980913394999</v>
      </c>
      <c r="AE4309">
        <v>-8.5129000000000001</v>
      </c>
      <c r="AF4309">
        <v>-1.9589591526567101</v>
      </c>
      <c r="AG4309">
        <v>-1.11980913394999</v>
      </c>
      <c r="AH4309">
        <v>8.2729892008206996</v>
      </c>
      <c r="AI4309">
        <v>97.503521521248302</v>
      </c>
      <c r="AJ4309">
        <v>103.32169153167899</v>
      </c>
      <c r="AK4309">
        <v>8.5751876816283907</v>
      </c>
    </row>
    <row r="4310" spans="1:37" x14ac:dyDescent="0.2">
      <c r="A4310" t="str">
        <f>"20200111153737487"</f>
        <v>20200111153737487</v>
      </c>
      <c r="B4310" t="str">
        <f>"1578728257477765"</f>
        <v>1578728257477765</v>
      </c>
      <c r="C4310" t="s">
        <v>37</v>
      </c>
      <c r="D4310">
        <v>5.6104320000000003</v>
      </c>
      <c r="E4310">
        <v>0.48872209999999899</v>
      </c>
      <c r="F4310" t="s">
        <v>39</v>
      </c>
      <c r="G4310">
        <v>-415.82229999999998</v>
      </c>
      <c r="H4310" s="1">
        <v>-2.8547119999999999E-6</v>
      </c>
      <c r="I4310">
        <v>114.5598</v>
      </c>
      <c r="J4310">
        <v>-414.36720000000003</v>
      </c>
      <c r="K4310">
        <v>1.119453</v>
      </c>
      <c r="L4310">
        <v>123.3338</v>
      </c>
      <c r="M4310">
        <v>-0.38401160000000001</v>
      </c>
      <c r="N4310">
        <v>0</v>
      </c>
      <c r="O4310">
        <v>-0.92318979999999995</v>
      </c>
      <c r="P4310">
        <v>-0.17470550000000001</v>
      </c>
      <c r="Q4310">
        <v>5.6858480000000003E-2</v>
      </c>
      <c r="R4310">
        <v>-0.98297760000000001</v>
      </c>
      <c r="S4310">
        <v>-0.52224729999999997</v>
      </c>
      <c r="T4310">
        <v>-0.36576900000000001</v>
      </c>
      <c r="U4310">
        <v>-2.9801790000000001</v>
      </c>
      <c r="V4310">
        <v>-0.2187701</v>
      </c>
      <c r="W4310">
        <v>6.4318399999999998E-2</v>
      </c>
      <c r="X4310">
        <v>0.97365429999999997</v>
      </c>
      <c r="Y4310">
        <v>-0.2199361</v>
      </c>
      <c r="Z4310">
        <v>0.1057247</v>
      </c>
      <c r="AA4310">
        <v>0.96976819999999897</v>
      </c>
      <c r="AB4310">
        <v>39</v>
      </c>
      <c r="AC4310">
        <v>-1.4550999999999501</v>
      </c>
      <c r="AD4310">
        <v>-1.1194558547119999</v>
      </c>
      <c r="AE4310">
        <v>-8.7739999999999991</v>
      </c>
      <c r="AF4310">
        <v>-1.9946423906531601</v>
      </c>
      <c r="AG4310">
        <v>-1.1194558547119999</v>
      </c>
      <c r="AH4310">
        <v>8.5248905774720996</v>
      </c>
      <c r="AI4310">
        <v>97.286461959687301</v>
      </c>
      <c r="AJ4310">
        <v>103.169082143792</v>
      </c>
      <c r="AK4310">
        <v>8.8264114471914397</v>
      </c>
    </row>
    <row r="4311" spans="1:37" x14ac:dyDescent="0.2">
      <c r="A4311" t="str">
        <f>"20200111153737508"</f>
        <v>20200111153737508</v>
      </c>
      <c r="B4311" t="str">
        <f>"1578728257497286"</f>
        <v>1578728257497286</v>
      </c>
      <c r="C4311" t="s">
        <v>37</v>
      </c>
      <c r="D4311">
        <v>5.6957259999999996</v>
      </c>
      <c r="E4311">
        <v>0.48802069999999997</v>
      </c>
      <c r="F4311" t="s">
        <v>39</v>
      </c>
      <c r="G4311">
        <v>-416.5471</v>
      </c>
      <c r="H4311" s="1">
        <v>-5.1778160000000002E-6</v>
      </c>
      <c r="I4311">
        <v>109.2891</v>
      </c>
      <c r="J4311">
        <v>-414.50720000000001</v>
      </c>
      <c r="K4311">
        <v>1.1190629999999999</v>
      </c>
      <c r="L4311">
        <v>122.9802</v>
      </c>
      <c r="M4311">
        <v>-0.37240570000000001</v>
      </c>
      <c r="N4311">
        <v>0</v>
      </c>
      <c r="O4311">
        <v>-0.92793379999999903</v>
      </c>
      <c r="P4311">
        <v>-0.1645501</v>
      </c>
      <c r="Q4311">
        <v>5.5781499999999998E-2</v>
      </c>
      <c r="R4311">
        <v>-0.98479039999999995</v>
      </c>
      <c r="S4311">
        <v>-0.46307369999999998</v>
      </c>
      <c r="T4311">
        <v>-0.23779699999999901</v>
      </c>
      <c r="U4311">
        <v>-2.98339799999999</v>
      </c>
      <c r="V4311">
        <v>-0.2165281</v>
      </c>
      <c r="W4311">
        <v>6.3447580000000003E-2</v>
      </c>
      <c r="X4311">
        <v>0.97421250000000004</v>
      </c>
      <c r="Y4311">
        <v>-0.22608519999999999</v>
      </c>
      <c r="Z4311">
        <v>6.9532739999999996E-2</v>
      </c>
      <c r="AA4311">
        <v>0.97162269999999995</v>
      </c>
      <c r="AB4311">
        <v>39</v>
      </c>
      <c r="AC4311">
        <v>-2.0398999999999798</v>
      </c>
      <c r="AD4311">
        <v>-1.1190681778159901</v>
      </c>
      <c r="AE4311">
        <v>-13.691099999999899</v>
      </c>
      <c r="AF4311">
        <v>-3.1853380664738</v>
      </c>
      <c r="AG4311">
        <v>-1.1190681778159901</v>
      </c>
      <c r="AH4311">
        <v>13.3783686573286</v>
      </c>
      <c r="AI4311">
        <v>94.652072122829594</v>
      </c>
      <c r="AJ4311">
        <v>103.392547182329</v>
      </c>
      <c r="AK4311">
        <v>13.797805626827801</v>
      </c>
    </row>
    <row r="4312" spans="1:37" x14ac:dyDescent="0.2">
      <c r="A4312" t="str">
        <f>"20200111153737531"</f>
        <v>20200111153737531</v>
      </c>
      <c r="B4312" t="str">
        <f>"1578728257527541"</f>
        <v>1578728257527541</v>
      </c>
      <c r="C4312" t="s">
        <v>37</v>
      </c>
      <c r="D4312">
        <v>5.6867549999999998</v>
      </c>
      <c r="E4312">
        <v>0.48753429999999998</v>
      </c>
      <c r="F4312" t="s">
        <v>39</v>
      </c>
      <c r="G4312">
        <v>-416.47340000000003</v>
      </c>
      <c r="H4312" s="1">
        <v>-5.1477089999999902E-6</v>
      </c>
      <c r="I4312">
        <v>109.1977</v>
      </c>
      <c r="J4312">
        <v>-414.64510000000001</v>
      </c>
      <c r="K4312">
        <v>1.118636</v>
      </c>
      <c r="L4312">
        <v>122.61920000000001</v>
      </c>
      <c r="M4312">
        <v>-0.36109159999999901</v>
      </c>
      <c r="N4312">
        <v>0</v>
      </c>
      <c r="O4312">
        <v>-0.93239640000000001</v>
      </c>
      <c r="P4312">
        <v>-0.15412629999999999</v>
      </c>
      <c r="Q4312">
        <v>5.4635209999999997E-2</v>
      </c>
      <c r="R4312">
        <v>-0.98653950000000001</v>
      </c>
      <c r="S4312">
        <v>-0.42639159999999998</v>
      </c>
      <c r="T4312">
        <v>-0.24267849999999999</v>
      </c>
      <c r="U4312">
        <v>-2.9888309999999998</v>
      </c>
      <c r="V4312">
        <v>-0.21489149999999901</v>
      </c>
      <c r="W4312">
        <v>6.2501970000000004E-2</v>
      </c>
      <c r="X4312">
        <v>0.9746359</v>
      </c>
      <c r="Y4312">
        <v>-0.22618730000000001</v>
      </c>
      <c r="Z4312">
        <v>7.1411210000000003E-2</v>
      </c>
      <c r="AA4312">
        <v>0.97146270000000001</v>
      </c>
      <c r="AB4312">
        <v>39</v>
      </c>
      <c r="AC4312">
        <v>-1.82830000000001</v>
      </c>
      <c r="AD4312">
        <v>-1.1186411477089999</v>
      </c>
      <c r="AE4312">
        <v>-13.4215</v>
      </c>
      <c r="AF4312">
        <v>-3.1207987183986199</v>
      </c>
      <c r="AG4312">
        <v>-1.1186411477089999</v>
      </c>
      <c r="AH4312">
        <v>13.0867343131961</v>
      </c>
      <c r="AI4312">
        <v>94.753066491469298</v>
      </c>
      <c r="AJ4312">
        <v>103.412837852941</v>
      </c>
      <c r="AK4312">
        <v>13.500124356549099</v>
      </c>
    </row>
    <row r="4313" spans="1:37" x14ac:dyDescent="0.2">
      <c r="A4313" t="str">
        <f>"20200111153737552"</f>
        <v>20200111153737552</v>
      </c>
      <c r="B4313" t="str">
        <f>"1578728257547061"</f>
        <v>1578728257547061</v>
      </c>
      <c r="C4313" t="s">
        <v>37</v>
      </c>
      <c r="D4313">
        <v>5.6817970000000004</v>
      </c>
      <c r="E4313">
        <v>0.48827179999999998</v>
      </c>
      <c r="F4313" t="s">
        <v>39</v>
      </c>
      <c r="G4313">
        <v>-416.45240000000001</v>
      </c>
      <c r="H4313" s="1">
        <v>-4.9497229999999998E-6</v>
      </c>
      <c r="I4313">
        <v>108.771</v>
      </c>
      <c r="J4313">
        <v>-414.77429999999998</v>
      </c>
      <c r="K4313">
        <v>1.118174</v>
      </c>
      <c r="L4313">
        <v>122.2687</v>
      </c>
      <c r="M4313">
        <v>-0.3506708</v>
      </c>
      <c r="N4313">
        <v>0</v>
      </c>
      <c r="O4313">
        <v>-0.93636719999999896</v>
      </c>
      <c r="P4313">
        <v>-0.14397260000000001</v>
      </c>
      <c r="Q4313">
        <v>5.4884620000000002E-2</v>
      </c>
      <c r="R4313">
        <v>-0.98805889999999996</v>
      </c>
      <c r="S4313">
        <v>-0.39065549999999999</v>
      </c>
      <c r="T4313">
        <v>-0.24179539999999899</v>
      </c>
      <c r="U4313">
        <v>-2.9932859999999999</v>
      </c>
      <c r="V4313">
        <v>-0.2139732</v>
      </c>
      <c r="W4313">
        <v>6.2936950000000005E-2</v>
      </c>
      <c r="X4313">
        <v>0.97480990000000001</v>
      </c>
      <c r="Y4313">
        <v>-0.22691069999999999</v>
      </c>
      <c r="Z4313">
        <v>7.1563849999999998E-2</v>
      </c>
      <c r="AA4313">
        <v>0.97128269999999906</v>
      </c>
      <c r="AB4313">
        <v>39</v>
      </c>
      <c r="AC4313">
        <v>-1.6781000000000199</v>
      </c>
      <c r="AD4313">
        <v>-1.1181789497229999</v>
      </c>
      <c r="AE4313">
        <v>-13.497699999999901</v>
      </c>
      <c r="AF4313">
        <v>-3.1410925189626102</v>
      </c>
      <c r="AG4313">
        <v>-1.1181789497229999</v>
      </c>
      <c r="AH4313">
        <v>13.1400889753887</v>
      </c>
      <c r="AI4313">
        <v>94.731294799231904</v>
      </c>
      <c r="AJ4313">
        <v>103.444066971382</v>
      </c>
      <c r="AK4313">
        <v>13.5565011952723</v>
      </c>
    </row>
    <row r="4314" spans="1:37" x14ac:dyDescent="0.2">
      <c r="A4314" t="str">
        <f>"20200111153737576"</f>
        <v>20200111153737576</v>
      </c>
      <c r="B4314" t="str">
        <f>"1578728257567557"</f>
        <v>1578728257567557</v>
      </c>
      <c r="C4314" t="s">
        <v>37</v>
      </c>
      <c r="D4314">
        <v>5.6289389999999999</v>
      </c>
      <c r="E4314">
        <v>0.48898439999999999</v>
      </c>
      <c r="F4314" t="s">
        <v>39</v>
      </c>
      <c r="G4314">
        <v>-416.44940000000003</v>
      </c>
      <c r="H4314" s="1">
        <v>-4.8457339999999997E-6</v>
      </c>
      <c r="I4314">
        <v>108.54989999999999</v>
      </c>
      <c r="J4314">
        <v>-414.90809999999999</v>
      </c>
      <c r="K4314">
        <v>1.117637</v>
      </c>
      <c r="L4314">
        <v>121.8931</v>
      </c>
      <c r="M4314">
        <v>-0.34014099999999903</v>
      </c>
      <c r="N4314">
        <v>0</v>
      </c>
      <c r="O4314">
        <v>-0.940245199999999</v>
      </c>
      <c r="P4314">
        <v>-0.13340109999999999</v>
      </c>
      <c r="Q4314">
        <v>5.6129399999999899E-2</v>
      </c>
      <c r="R4314">
        <v>-0.98947189999999996</v>
      </c>
      <c r="S4314">
        <v>-0.36587520000000001</v>
      </c>
      <c r="T4314">
        <v>-0.24423739999999999</v>
      </c>
      <c r="U4314">
        <v>-2.996521</v>
      </c>
      <c r="V4314">
        <v>-0.21338309999999999</v>
      </c>
      <c r="W4314">
        <v>6.4387410000000006E-2</v>
      </c>
      <c r="X4314">
        <v>0.97484459999999995</v>
      </c>
      <c r="Y4314">
        <v>-0.2240297</v>
      </c>
      <c r="Z4314">
        <v>7.2730349999999999E-2</v>
      </c>
      <c r="AA4314">
        <v>0.97186469999999903</v>
      </c>
      <c r="AB4314">
        <v>39</v>
      </c>
      <c r="AC4314">
        <v>-1.5413000000000301</v>
      </c>
      <c r="AD4314">
        <v>-1.1176418457340001</v>
      </c>
      <c r="AE4314">
        <v>-13.3432</v>
      </c>
      <c r="AF4314">
        <v>-3.0685000764335202</v>
      </c>
      <c r="AG4314">
        <v>-1.1176418457340001</v>
      </c>
      <c r="AH4314">
        <v>12.9818473365369</v>
      </c>
      <c r="AI4314">
        <v>94.789282023734799</v>
      </c>
      <c r="AJ4314">
        <v>103.298835481393</v>
      </c>
      <c r="AK4314">
        <v>13.3863055502091</v>
      </c>
    </row>
    <row r="4315" spans="1:37" x14ac:dyDescent="0.2">
      <c r="A4315" t="str">
        <f>"20200111153737621"</f>
        <v>20200111153737621</v>
      </c>
      <c r="B4315" t="str">
        <f>"1578728257617333"</f>
        <v>1578728257617333</v>
      </c>
      <c r="C4315" t="s">
        <v>37</v>
      </c>
      <c r="D4315">
        <v>5.7215220000000002</v>
      </c>
      <c r="E4315">
        <v>0.48989919999999998</v>
      </c>
      <c r="F4315" t="s">
        <v>39</v>
      </c>
      <c r="G4315">
        <v>-416.45830000000001</v>
      </c>
      <c r="H4315" s="1">
        <v>-4.6744859999999999E-6</v>
      </c>
      <c r="I4315">
        <v>108.191</v>
      </c>
      <c r="J4315">
        <v>-415.15390000000002</v>
      </c>
      <c r="K4315">
        <v>1.116466</v>
      </c>
      <c r="L4315">
        <v>121.1675</v>
      </c>
      <c r="M4315">
        <v>-0.32182459999999902</v>
      </c>
      <c r="N4315">
        <v>0</v>
      </c>
      <c r="O4315">
        <v>-0.94667409999999996</v>
      </c>
      <c r="P4315">
        <v>-0.115956399999999</v>
      </c>
      <c r="Q4315">
        <v>5.839478E-2</v>
      </c>
      <c r="R4315">
        <v>-0.99153639999999998</v>
      </c>
      <c r="S4315">
        <v>-0.33941650000000001</v>
      </c>
      <c r="T4315">
        <v>-0.2447038</v>
      </c>
      <c r="U4315">
        <v>-3.0000309999999999</v>
      </c>
      <c r="V4315">
        <v>-0.21144979999999999</v>
      </c>
      <c r="W4315">
        <v>6.7149920000000002E-2</v>
      </c>
      <c r="X4315">
        <v>0.97507940000000004</v>
      </c>
      <c r="Y4315">
        <v>-0.213694299999999</v>
      </c>
      <c r="Z4315">
        <v>7.3684390000000002E-2</v>
      </c>
      <c r="AA4315">
        <v>0.97411769999999998</v>
      </c>
      <c r="AB4315">
        <v>39</v>
      </c>
      <c r="AC4315">
        <v>-1.30439999999998</v>
      </c>
      <c r="AD4315">
        <v>-1.116470674486</v>
      </c>
      <c r="AE4315">
        <v>-12.9765</v>
      </c>
      <c r="AF4315">
        <v>-2.9202628872564098</v>
      </c>
      <c r="AG4315">
        <v>-1.116470674486</v>
      </c>
      <c r="AH4315">
        <v>12.613373948117699</v>
      </c>
      <c r="AI4315">
        <v>94.928642536628203</v>
      </c>
      <c r="AJ4315">
        <v>103.035513748426</v>
      </c>
      <c r="AK4315">
        <v>12.9950623104596</v>
      </c>
    </row>
    <row r="4316" spans="1:37" x14ac:dyDescent="0.2">
      <c r="A4316" t="str">
        <f>"20200111153737643"</f>
        <v>20200111153737643</v>
      </c>
      <c r="B4316" t="str">
        <f>"1578728257637830"</f>
        <v>1578728257637830</v>
      </c>
      <c r="C4316" t="s">
        <v>37</v>
      </c>
      <c r="D4316">
        <v>5.6515870000000001</v>
      </c>
      <c r="E4316">
        <v>0.49747089999999999</v>
      </c>
      <c r="F4316" t="s">
        <v>39</v>
      </c>
      <c r="G4316">
        <v>-416.50229999999999</v>
      </c>
      <c r="H4316" s="1">
        <v>-4.2556049999999999E-6</v>
      </c>
      <c r="I4316">
        <v>107.3214</v>
      </c>
      <c r="J4316">
        <v>-415.27210000000002</v>
      </c>
      <c r="K4316">
        <v>1.115823</v>
      </c>
      <c r="L4316">
        <v>120.8015</v>
      </c>
      <c r="M4316">
        <v>-0.313635099999999</v>
      </c>
      <c r="N4316">
        <v>0</v>
      </c>
      <c r="O4316">
        <v>-0.94942009999999899</v>
      </c>
      <c r="P4316">
        <v>-0.10780289999999999</v>
      </c>
      <c r="Q4316">
        <v>5.8817799999999899E-2</v>
      </c>
      <c r="R4316">
        <v>-0.99243060000000005</v>
      </c>
      <c r="S4316">
        <v>-0.292724599999999</v>
      </c>
      <c r="T4316">
        <v>-0.2423582</v>
      </c>
      <c r="U4316">
        <v>-3.005646</v>
      </c>
      <c r="V4316">
        <v>-0.21093229999999999</v>
      </c>
      <c r="W4316">
        <v>6.783691E-2</v>
      </c>
      <c r="X4316">
        <v>0.97514400000000001</v>
      </c>
      <c r="Y4316">
        <v>-0.22041469999999999</v>
      </c>
      <c r="Z4316">
        <v>7.3168140000000007E-2</v>
      </c>
      <c r="AA4316">
        <v>0.97265809999999997</v>
      </c>
      <c r="AB4316">
        <v>39</v>
      </c>
      <c r="AC4316">
        <v>-1.23019999999996</v>
      </c>
      <c r="AD4316">
        <v>-1.115827255605</v>
      </c>
      <c r="AE4316">
        <v>-13.4801</v>
      </c>
      <c r="AF4316">
        <v>-3.0395601500354199</v>
      </c>
      <c r="AG4316">
        <v>-1.115827255605</v>
      </c>
      <c r="AH4316">
        <v>13.096662738850799</v>
      </c>
      <c r="AI4316">
        <v>94.744303503185606</v>
      </c>
      <c r="AJ4316">
        <v>103.066260312005</v>
      </c>
      <c r="AK4316">
        <v>13.4909811083271</v>
      </c>
    </row>
    <row r="4317" spans="1:37" x14ac:dyDescent="0.2">
      <c r="A4317" t="str">
        <f>"20200111153737666"</f>
        <v>20200111153737666</v>
      </c>
      <c r="B4317" t="str">
        <f>"1578728257657349"</f>
        <v>1578728257657349</v>
      </c>
      <c r="C4317" t="s">
        <v>37</v>
      </c>
      <c r="D4317">
        <v>5.6228680000000004</v>
      </c>
      <c r="E4317">
        <v>0.49745699999999998</v>
      </c>
      <c r="F4317" t="s">
        <v>39</v>
      </c>
      <c r="G4317">
        <v>-416.71109999999999</v>
      </c>
      <c r="H4317" s="1">
        <v>-4.3792469999999997E-6</v>
      </c>
      <c r="I4317">
        <v>107.6613</v>
      </c>
      <c r="J4317">
        <v>-415.39260000000002</v>
      </c>
      <c r="K4317">
        <v>1.1151690000000001</v>
      </c>
      <c r="L4317">
        <v>120.4175</v>
      </c>
      <c r="M4317">
        <v>-0.30565619999999999</v>
      </c>
      <c r="N4317">
        <v>0</v>
      </c>
      <c r="O4317">
        <v>-0.95202050000000005</v>
      </c>
      <c r="P4317">
        <v>-0.10033400000000001</v>
      </c>
      <c r="Q4317">
        <v>6.0167569999999997E-2</v>
      </c>
      <c r="R4317">
        <v>-0.99313320000000005</v>
      </c>
      <c r="S4317">
        <v>-0.32879639999999999</v>
      </c>
      <c r="T4317">
        <v>-0.25494349999999999</v>
      </c>
      <c r="U4317">
        <v>-3.0022739999999999</v>
      </c>
      <c r="V4317">
        <v>-0.2099781</v>
      </c>
      <c r="W4317">
        <v>6.9470489999999996E-2</v>
      </c>
      <c r="X4317">
        <v>0.97523490000000002</v>
      </c>
      <c r="Y4317">
        <v>-0.2005536</v>
      </c>
      <c r="Z4317">
        <v>7.749077E-2</v>
      </c>
      <c r="AA4317">
        <v>0.97661330000000002</v>
      </c>
      <c r="AB4317">
        <v>39</v>
      </c>
      <c r="AC4317">
        <v>-1.31849999999997</v>
      </c>
      <c r="AD4317">
        <v>-1.115173379247</v>
      </c>
      <c r="AE4317">
        <v>-12.7562</v>
      </c>
      <c r="AF4317">
        <v>-2.62423432031202</v>
      </c>
      <c r="AG4317">
        <v>-1.115173379247</v>
      </c>
      <c r="AH4317">
        <v>12.4544442570136</v>
      </c>
      <c r="AI4317">
        <v>95.007260406072604</v>
      </c>
      <c r="AJ4317">
        <v>101.89855197013701</v>
      </c>
      <c r="AK4317">
        <v>12.7766740267076</v>
      </c>
    </row>
    <row r="4318" spans="1:37" x14ac:dyDescent="0.2">
      <c r="A4318" t="str">
        <f>"20200111153737688"</f>
        <v>20200111153737688</v>
      </c>
      <c r="B4318" t="str">
        <f>"1578728257677845"</f>
        <v>1578728257677845</v>
      </c>
      <c r="C4318" t="s">
        <v>37</v>
      </c>
      <c r="D4318">
        <v>5.6976120000000003</v>
      </c>
      <c r="E4318">
        <v>0.49805119999999897</v>
      </c>
      <c r="F4318" t="s">
        <v>39</v>
      </c>
      <c r="G4318">
        <v>-416.71449999999999</v>
      </c>
      <c r="H4318" s="1">
        <v>-4.2846469999999998E-6</v>
      </c>
      <c r="I4318">
        <v>107.4624</v>
      </c>
      <c r="J4318">
        <v>-415.5027</v>
      </c>
      <c r="K4318">
        <v>1.11459</v>
      </c>
      <c r="L4318">
        <v>120.05710000000001</v>
      </c>
      <c r="M4318">
        <v>-0.2986915</v>
      </c>
      <c r="N4318">
        <v>0</v>
      </c>
      <c r="O4318">
        <v>-0.95422980000000002</v>
      </c>
      <c r="P4318">
        <v>-9.5282409999999998E-2</v>
      </c>
      <c r="Q4318">
        <v>6.1898269999999998E-2</v>
      </c>
      <c r="R4318">
        <v>-0.99352419999999997</v>
      </c>
      <c r="S4318">
        <v>-0.30667109999999997</v>
      </c>
      <c r="T4318">
        <v>-0.25870749999999998</v>
      </c>
      <c r="U4318">
        <v>-3.0054319999999999</v>
      </c>
      <c r="V4318">
        <v>-0.2077136</v>
      </c>
      <c r="W4318">
        <v>7.1501529999999994E-2</v>
      </c>
      <c r="X4318">
        <v>0.97557289999999997</v>
      </c>
      <c r="Y4318">
        <v>-0.20062559999999999</v>
      </c>
      <c r="Z4318">
        <v>7.8853019999999996E-2</v>
      </c>
      <c r="AA4318">
        <v>0.97648939999999995</v>
      </c>
      <c r="AB4318">
        <v>39</v>
      </c>
      <c r="AC4318">
        <v>-1.21179999999998</v>
      </c>
      <c r="AD4318">
        <v>-1.1145942846470001</v>
      </c>
      <c r="AE4318">
        <v>-12.5947</v>
      </c>
      <c r="AF4318">
        <v>-2.58582664158773</v>
      </c>
      <c r="AG4318">
        <v>-1.1145942846470001</v>
      </c>
      <c r="AH4318">
        <v>12.2862692286173</v>
      </c>
      <c r="AI4318">
        <v>95.073068730006298</v>
      </c>
      <c r="AJ4318">
        <v>101.885280512061</v>
      </c>
      <c r="AK4318">
        <v>12.6048098517106</v>
      </c>
    </row>
    <row r="4319" spans="1:37" x14ac:dyDescent="0.2">
      <c r="A4319" t="str">
        <f>"20200111153737711"</f>
        <v>20200111153737711</v>
      </c>
      <c r="B4319" t="str">
        <f>"1578728257697366"</f>
        <v>1578728257697366</v>
      </c>
      <c r="C4319" t="s">
        <v>37</v>
      </c>
      <c r="D4319">
        <v>5.7653919999999896</v>
      </c>
      <c r="E4319">
        <v>0.4989383</v>
      </c>
      <c r="F4319" t="s">
        <v>39</v>
      </c>
      <c r="G4319">
        <v>-416.7869</v>
      </c>
      <c r="H4319" s="1">
        <v>-4.046319E-6</v>
      </c>
      <c r="I4319">
        <v>106.9854</v>
      </c>
      <c r="J4319">
        <v>-415.61259999999999</v>
      </c>
      <c r="K4319">
        <v>1.114017</v>
      </c>
      <c r="L4319">
        <v>119.6876</v>
      </c>
      <c r="M4319">
        <v>-0.29205100000000001</v>
      </c>
      <c r="N4319">
        <v>0</v>
      </c>
      <c r="O4319">
        <v>-0.95628419999999903</v>
      </c>
      <c r="P4319">
        <v>-9.1162759999999995E-2</v>
      </c>
      <c r="Q4319">
        <v>6.2658539999999999E-2</v>
      </c>
      <c r="R4319">
        <v>-0.99386299999999905</v>
      </c>
      <c r="S4319">
        <v>-0.2954407</v>
      </c>
      <c r="T4319">
        <v>-0.25641789999999998</v>
      </c>
      <c r="U4319">
        <v>-3.0072019999999999</v>
      </c>
      <c r="V4319">
        <v>-0.20486849999999901</v>
      </c>
      <c r="W4319">
        <v>7.2573059999999995E-2</v>
      </c>
      <c r="X4319">
        <v>0.9760953</v>
      </c>
      <c r="Y4319">
        <v>-0.19747879999999901</v>
      </c>
      <c r="Z4319">
        <v>7.8413739999999996E-2</v>
      </c>
      <c r="AA4319">
        <v>0.97716599999999998</v>
      </c>
      <c r="AB4319">
        <v>39</v>
      </c>
      <c r="AC4319">
        <v>-1.1743000000000099</v>
      </c>
      <c r="AD4319">
        <v>-1.1140210463189999</v>
      </c>
      <c r="AE4319">
        <v>-12.702199999999999</v>
      </c>
      <c r="AF4319">
        <v>-2.5674380770232599</v>
      </c>
      <c r="AG4319">
        <v>-1.1140210463189999</v>
      </c>
      <c r="AH4319">
        <v>12.396739498305401</v>
      </c>
      <c r="AI4319">
        <v>95.0288823604821</v>
      </c>
      <c r="AJ4319">
        <v>101.70087192142999</v>
      </c>
      <c r="AK4319">
        <v>12.708734451543</v>
      </c>
    </row>
    <row r="4320" spans="1:37" x14ac:dyDescent="0.2">
      <c r="A4320" t="str">
        <f>"20200111153737732"</f>
        <v>20200111153737732</v>
      </c>
      <c r="B4320" t="str">
        <f>"1578728257727622"</f>
        <v>1578728257727622</v>
      </c>
      <c r="C4320" t="s">
        <v>37</v>
      </c>
      <c r="D4320">
        <v>5.7033139999999998</v>
      </c>
      <c r="E4320">
        <v>0.499160099999999</v>
      </c>
      <c r="F4320" t="s">
        <v>39</v>
      </c>
      <c r="G4320">
        <v>-416.86509999999998</v>
      </c>
      <c r="H4320" s="1">
        <v>-3.8961470000000001E-6</v>
      </c>
      <c r="I4320">
        <v>106.69710000000001</v>
      </c>
      <c r="J4320">
        <v>-415.71559999999999</v>
      </c>
      <c r="K4320">
        <v>1.113475</v>
      </c>
      <c r="L4320">
        <v>119.3331</v>
      </c>
      <c r="M4320">
        <v>-0.28610479999999999</v>
      </c>
      <c r="N4320">
        <v>0</v>
      </c>
      <c r="O4320">
        <v>-0.95808110000000002</v>
      </c>
      <c r="P4320">
        <v>-8.818956E-2</v>
      </c>
      <c r="Q4320">
        <v>6.4179589999999995E-2</v>
      </c>
      <c r="R4320">
        <v>-0.99403430000000004</v>
      </c>
      <c r="S4320">
        <v>-0.29003909999999899</v>
      </c>
      <c r="T4320">
        <v>-0.25797059999999999</v>
      </c>
      <c r="U4320">
        <v>-3.0081790000000002</v>
      </c>
      <c r="V4320">
        <v>-0.2016232</v>
      </c>
      <c r="W4320">
        <v>7.43925E-2</v>
      </c>
      <c r="X4320">
        <v>0.97663389999999894</v>
      </c>
      <c r="Y4320">
        <v>-0.1931611</v>
      </c>
      <c r="Z4320">
        <v>7.9130569999999997E-2</v>
      </c>
      <c r="AA4320">
        <v>0.97797099999999904</v>
      </c>
      <c r="AB4320">
        <v>39</v>
      </c>
      <c r="AC4320">
        <v>-1.14949999999998</v>
      </c>
      <c r="AD4320">
        <v>-1.1134788961469999</v>
      </c>
      <c r="AE4320">
        <v>-12.6359999999999</v>
      </c>
      <c r="AF4320">
        <v>-2.4949738431125299</v>
      </c>
      <c r="AG4320">
        <v>-1.1134788961469999</v>
      </c>
      <c r="AH4320">
        <v>12.3415410325641</v>
      </c>
      <c r="AI4320">
        <v>95.053693613171106</v>
      </c>
      <c r="AJ4320">
        <v>101.428917091372</v>
      </c>
      <c r="AK4320">
        <v>12.640346703648801</v>
      </c>
    </row>
    <row r="4321" spans="1:37" x14ac:dyDescent="0.2">
      <c r="A4321" t="str">
        <f>"20200111153737754"</f>
        <v>20200111153737754</v>
      </c>
      <c r="B4321" t="str">
        <f>"1578728257747141"</f>
        <v>1578728257747141</v>
      </c>
      <c r="C4321" t="s">
        <v>37</v>
      </c>
      <c r="D4321">
        <v>5.7155250000000004</v>
      </c>
      <c r="E4321">
        <v>0.49927389999999999</v>
      </c>
      <c r="F4321" t="s">
        <v>39</v>
      </c>
      <c r="G4321">
        <v>-417.02140000000003</v>
      </c>
      <c r="H4321" s="1">
        <v>-3.25739199999999E-6</v>
      </c>
      <c r="I4321">
        <v>105.4045</v>
      </c>
      <c r="J4321">
        <v>-415.82279999999997</v>
      </c>
      <c r="K4321">
        <v>1.1129119999999999</v>
      </c>
      <c r="L4321">
        <v>118.95610000000001</v>
      </c>
      <c r="M4321">
        <v>-0.28016619999999998</v>
      </c>
      <c r="N4321">
        <v>0</v>
      </c>
      <c r="O4321">
        <v>-0.95983539999999901</v>
      </c>
      <c r="P4321">
        <v>-8.5116140000000007E-2</v>
      </c>
      <c r="Q4321">
        <v>6.4662049999999999E-2</v>
      </c>
      <c r="R4321">
        <v>-0.99427069999999995</v>
      </c>
      <c r="S4321">
        <v>-0.2820435</v>
      </c>
      <c r="T4321">
        <v>-0.24050489999999999</v>
      </c>
      <c r="U4321">
        <v>-3.008499</v>
      </c>
      <c r="V4321">
        <v>-0.19848389999999999</v>
      </c>
      <c r="W4321">
        <v>7.5170890000000004E-2</v>
      </c>
      <c r="X4321">
        <v>0.97721719999999901</v>
      </c>
      <c r="Y4321">
        <v>-0.189632299999999</v>
      </c>
      <c r="Z4321">
        <v>7.4042800000000006E-2</v>
      </c>
      <c r="AA4321">
        <v>0.97905940000000002</v>
      </c>
      <c r="AB4321">
        <v>39</v>
      </c>
      <c r="AC4321">
        <v>-1.1986000000000501</v>
      </c>
      <c r="AD4321">
        <v>-1.112915257392</v>
      </c>
      <c r="AE4321">
        <v>-13.551600000000001</v>
      </c>
      <c r="AF4321">
        <v>-2.6289435380700898</v>
      </c>
      <c r="AG4321">
        <v>-1.112915257392</v>
      </c>
      <c r="AH4321">
        <v>13.255890974507301</v>
      </c>
      <c r="AI4321">
        <v>94.707819166482906</v>
      </c>
      <c r="AJ4321">
        <v>101.217494475211</v>
      </c>
      <c r="AK4321">
        <v>13.559814527659301</v>
      </c>
    </row>
    <row r="4322" spans="1:37" x14ac:dyDescent="0.2">
      <c r="A4322" t="str">
        <f>"20200111153737777"</f>
        <v>20200111153737777</v>
      </c>
      <c r="B4322" t="str">
        <f>"1578728257767637"</f>
        <v>1578728257767637</v>
      </c>
      <c r="C4322" t="s">
        <v>37</v>
      </c>
      <c r="D4322">
        <v>5.9151809999999996</v>
      </c>
      <c r="E4322">
        <v>0.49941160000000001</v>
      </c>
      <c r="F4322" t="s">
        <v>39</v>
      </c>
      <c r="G4322">
        <v>-417.12349999999998</v>
      </c>
      <c r="H4322" s="1">
        <v>-2.8756250000000001E-6</v>
      </c>
      <c r="I4322">
        <v>104.6352</v>
      </c>
      <c r="J4322">
        <v>-415.9239</v>
      </c>
      <c r="K4322">
        <v>1.112393</v>
      </c>
      <c r="L4322">
        <v>118.59180000000001</v>
      </c>
      <c r="M4322">
        <v>-0.27474569999999998</v>
      </c>
      <c r="N4322">
        <v>0</v>
      </c>
      <c r="O4322">
        <v>-0.96140210000000004</v>
      </c>
      <c r="P4322">
        <v>-8.3403829999999998E-2</v>
      </c>
      <c r="Q4322">
        <v>6.4600450000000004E-2</v>
      </c>
      <c r="R4322">
        <v>-0.99441999999999997</v>
      </c>
      <c r="S4322">
        <v>-0.27331539999999999</v>
      </c>
      <c r="T4322">
        <v>-0.23384479999999999</v>
      </c>
      <c r="U4322">
        <v>-3.0090939999999899</v>
      </c>
      <c r="V4322">
        <v>-0.1945471</v>
      </c>
      <c r="W4322">
        <v>7.5398179999999995E-2</v>
      </c>
      <c r="X4322">
        <v>0.9779911</v>
      </c>
      <c r="Y4322">
        <v>-0.1869121</v>
      </c>
      <c r="Z4322">
        <v>7.2199639999999995E-2</v>
      </c>
      <c r="AA4322">
        <v>0.97971989999999998</v>
      </c>
      <c r="AB4322">
        <v>39</v>
      </c>
      <c r="AC4322">
        <v>-1.19959999999997</v>
      </c>
      <c r="AD4322">
        <v>-1.1123958756250001</v>
      </c>
      <c r="AE4322">
        <v>-13.9566</v>
      </c>
      <c r="AF4322">
        <v>-2.6647099335734299</v>
      </c>
      <c r="AG4322">
        <v>-1.1123958756250001</v>
      </c>
      <c r="AH4322">
        <v>13.6628478107673</v>
      </c>
      <c r="AI4322">
        <v>94.5689062064816</v>
      </c>
      <c r="AJ4322">
        <v>101.03604558519601</v>
      </c>
      <c r="AK4322">
        <v>13.9646523019508</v>
      </c>
    </row>
    <row r="4323" spans="1:37" x14ac:dyDescent="0.2">
      <c r="A4323" t="str">
        <f>"20200111153737799"</f>
        <v>20200111153737799</v>
      </c>
      <c r="B4323" t="str">
        <f>"1578728257787158"</f>
        <v>1578728257787158</v>
      </c>
      <c r="C4323" t="s">
        <v>37</v>
      </c>
      <c r="D4323">
        <v>5.7567079999999997</v>
      </c>
      <c r="E4323">
        <v>0.49946249999999998</v>
      </c>
      <c r="F4323" t="s">
        <v>39</v>
      </c>
      <c r="G4323">
        <v>-417.21870000000001</v>
      </c>
      <c r="H4323" s="1">
        <v>-2.607898E-6</v>
      </c>
      <c r="I4323">
        <v>104.1045</v>
      </c>
      <c r="J4323">
        <v>-416.024</v>
      </c>
      <c r="K4323">
        <v>1.111907</v>
      </c>
      <c r="L4323">
        <v>118.2238</v>
      </c>
      <c r="M4323">
        <v>-0.26952549999999997</v>
      </c>
      <c r="N4323">
        <v>0</v>
      </c>
      <c r="O4323">
        <v>-0.96287919999999905</v>
      </c>
      <c r="P4323">
        <v>-8.1722840000000005E-2</v>
      </c>
      <c r="Q4323">
        <v>6.3213859999999997E-2</v>
      </c>
      <c r="R4323">
        <v>-0.99464839999999999</v>
      </c>
      <c r="S4323">
        <v>-0.26895140000000001</v>
      </c>
      <c r="T4323">
        <v>-0.23106669999999899</v>
      </c>
      <c r="U4323">
        <v>-3.0093079999999999</v>
      </c>
      <c r="V4323">
        <v>-0.19079409999999999</v>
      </c>
      <c r="W4323">
        <v>7.4276010000000003E-2</v>
      </c>
      <c r="X4323">
        <v>0.97881600000000002</v>
      </c>
      <c r="Y4323">
        <v>-0.18299170000000001</v>
      </c>
      <c r="Z4323">
        <v>7.1542330000000001E-2</v>
      </c>
      <c r="AA4323">
        <v>0.98050789999999999</v>
      </c>
      <c r="AB4323">
        <v>39</v>
      </c>
      <c r="AC4323">
        <v>-1.1947000000000101</v>
      </c>
      <c r="AD4323">
        <v>-1.111909607898</v>
      </c>
      <c r="AE4323">
        <v>-14.1192999999999</v>
      </c>
      <c r="AF4323">
        <v>-2.6392000197673999</v>
      </c>
      <c r="AG4323">
        <v>-1.111909607898</v>
      </c>
      <c r="AH4323">
        <v>13.833529219648</v>
      </c>
      <c r="AI4323">
        <v>94.514356245254405</v>
      </c>
      <c r="AJ4323">
        <v>100.80125161441499</v>
      </c>
      <c r="AK4323">
        <v>14.126862722888299</v>
      </c>
    </row>
    <row r="4324" spans="1:37" x14ac:dyDescent="0.2">
      <c r="A4324" t="str">
        <f>"20200111153737822"</f>
        <v>20200111153737822</v>
      </c>
      <c r="B4324" t="str">
        <f>"1578728257817414"</f>
        <v>1578728257817414</v>
      </c>
      <c r="C4324" t="s">
        <v>37</v>
      </c>
      <c r="D4324">
        <v>5.6915839999999998</v>
      </c>
      <c r="E4324">
        <v>0.49971660000000001</v>
      </c>
      <c r="F4324" t="s">
        <v>39</v>
      </c>
      <c r="G4324">
        <v>-417.2799</v>
      </c>
      <c r="H4324" s="1">
        <v>-2.512291E-6</v>
      </c>
      <c r="I4324">
        <v>103.9252</v>
      </c>
      <c r="J4324">
        <v>-416.12279999999998</v>
      </c>
      <c r="K4324">
        <v>1.1114649999999999</v>
      </c>
      <c r="L4324">
        <v>117.85290000000001</v>
      </c>
      <c r="M4324">
        <v>-0.2644938</v>
      </c>
      <c r="N4324">
        <v>0</v>
      </c>
      <c r="O4324">
        <v>-0.96427430000000003</v>
      </c>
      <c r="P4324">
        <v>-7.9911889999999999E-2</v>
      </c>
      <c r="Q4324">
        <v>6.184398E-2</v>
      </c>
      <c r="R4324">
        <v>-0.99488169999999898</v>
      </c>
      <c r="S4324">
        <v>-0.26431270000000001</v>
      </c>
      <c r="T4324">
        <v>-0.23401630000000001</v>
      </c>
      <c r="U4324">
        <v>-3.00932299999999</v>
      </c>
      <c r="V4324">
        <v>-0.1873755</v>
      </c>
      <c r="W4324">
        <v>7.3137079999999993E-2</v>
      </c>
      <c r="X4324">
        <v>0.97956189999999999</v>
      </c>
      <c r="Y4324">
        <v>-0.17936350000000001</v>
      </c>
      <c r="Z4324">
        <v>7.2641070000000002E-2</v>
      </c>
      <c r="AA4324">
        <v>0.98109729999999995</v>
      </c>
      <c r="AB4324">
        <v>39</v>
      </c>
      <c r="AC4324">
        <v>-1.15710000000001</v>
      </c>
      <c r="AD4324">
        <v>-1.1114675122909901</v>
      </c>
      <c r="AE4324">
        <v>-13.9277</v>
      </c>
      <c r="AF4324">
        <v>-2.5521666314411902</v>
      </c>
      <c r="AG4324">
        <v>-1.1114675122909901</v>
      </c>
      <c r="AH4324">
        <v>13.6513251097966</v>
      </c>
      <c r="AI4324">
        <v>94.575724701110204</v>
      </c>
      <c r="AJ4324">
        <v>100.589418262769</v>
      </c>
      <c r="AK4324">
        <v>13.932250062315299</v>
      </c>
    </row>
    <row r="4325" spans="1:37" x14ac:dyDescent="0.2">
      <c r="A4325" t="str">
        <f>"20200111153737843"</f>
        <v>20200111153737843</v>
      </c>
      <c r="B4325" t="str">
        <f>"1578728257837910"</f>
        <v>1578728257837910</v>
      </c>
      <c r="C4325" t="s">
        <v>37</v>
      </c>
      <c r="D4325">
        <v>5.7287080000000001</v>
      </c>
      <c r="E4325">
        <v>0.49991720000000001</v>
      </c>
      <c r="F4325" t="s">
        <v>39</v>
      </c>
      <c r="G4325">
        <v>-417.34480000000002</v>
      </c>
      <c r="H4325" s="1">
        <v>-2.3998669999999998E-6</v>
      </c>
      <c r="I4325">
        <v>103.71169999999999</v>
      </c>
      <c r="J4325">
        <v>-416.21899999999999</v>
      </c>
      <c r="K4325">
        <v>1.111081</v>
      </c>
      <c r="L4325">
        <v>117.48439999999999</v>
      </c>
      <c r="M4325">
        <v>-0.25965850000000001</v>
      </c>
      <c r="N4325">
        <v>0</v>
      </c>
      <c r="O4325">
        <v>-0.96558849999999996</v>
      </c>
      <c r="P4325">
        <v>-7.8370190000000006E-2</v>
      </c>
      <c r="Q4325">
        <v>6.1817740000000003E-2</v>
      </c>
      <c r="R4325">
        <v>-0.9950061</v>
      </c>
      <c r="S4325">
        <v>-0.2600403</v>
      </c>
      <c r="T4325">
        <v>-0.2365217</v>
      </c>
      <c r="U4325">
        <v>-3.0092620000000001</v>
      </c>
      <c r="V4325">
        <v>-0.183908399999999</v>
      </c>
      <c r="W4325">
        <v>7.3311600000000005E-2</v>
      </c>
      <c r="X4325">
        <v>0.98020569999999896</v>
      </c>
      <c r="Y4325">
        <v>-0.175818899999999</v>
      </c>
      <c r="Z4325">
        <v>7.3597889999999999E-2</v>
      </c>
      <c r="AA4325">
        <v>0.98166749999999903</v>
      </c>
      <c r="AB4325">
        <v>39</v>
      </c>
      <c r="AC4325">
        <v>-1.1258000000000199</v>
      </c>
      <c r="AD4325">
        <v>-1.111083399867</v>
      </c>
      <c r="AE4325">
        <v>-13.7727</v>
      </c>
      <c r="AF4325">
        <v>-2.47341790603347</v>
      </c>
      <c r="AG4325">
        <v>-1.111083399867</v>
      </c>
      <c r="AH4325">
        <v>13.5052441800645</v>
      </c>
      <c r="AI4325">
        <v>94.626551637791195</v>
      </c>
      <c r="AJ4325">
        <v>100.37841749393399</v>
      </c>
      <c r="AK4325">
        <v>13.774756724621801</v>
      </c>
    </row>
    <row r="4326" spans="1:37" x14ac:dyDescent="0.2">
      <c r="A4326" t="str">
        <f>"20200111153737867"</f>
        <v>20200111153737867</v>
      </c>
      <c r="B4326" t="str">
        <f>"1578728257857429"</f>
        <v>1578728257857429</v>
      </c>
      <c r="C4326" t="s">
        <v>37</v>
      </c>
      <c r="D4326">
        <v>5.90571</v>
      </c>
      <c r="E4326">
        <v>0.51755269999999998</v>
      </c>
      <c r="F4326" t="s">
        <v>39</v>
      </c>
      <c r="G4326">
        <v>-417.42869999999999</v>
      </c>
      <c r="H4326" s="1">
        <v>-2.1890799999999998E-6</v>
      </c>
      <c r="I4326">
        <v>103.29730000000001</v>
      </c>
      <c r="J4326">
        <v>-416.3175</v>
      </c>
      <c r="K4326">
        <v>1.1107370000000001</v>
      </c>
      <c r="L4326">
        <v>117.0993</v>
      </c>
      <c r="M4326">
        <v>-0.25473279999999998</v>
      </c>
      <c r="N4326">
        <v>0</v>
      </c>
      <c r="O4326">
        <v>-0.96690019999999999</v>
      </c>
      <c r="P4326">
        <v>-7.7199030000000002E-2</v>
      </c>
      <c r="Q4326">
        <v>6.1707570000000003E-2</v>
      </c>
      <c r="R4326">
        <v>-0.99510419999999999</v>
      </c>
      <c r="S4326">
        <v>-0.25662229999999903</v>
      </c>
      <c r="T4326">
        <v>-0.2356935</v>
      </c>
      <c r="U4326">
        <v>-3.0094910000000001</v>
      </c>
      <c r="V4326">
        <v>-0.1799963</v>
      </c>
      <c r="W4326">
        <v>7.3386270000000003E-2</v>
      </c>
      <c r="X4326">
        <v>0.98092599999999996</v>
      </c>
      <c r="Y4326">
        <v>-0.1719117</v>
      </c>
      <c r="Z4326">
        <v>7.3518650000000005E-2</v>
      </c>
      <c r="AA4326">
        <v>0.98236520000000005</v>
      </c>
      <c r="AB4326">
        <v>39</v>
      </c>
      <c r="AC4326">
        <v>-1.11119999999999</v>
      </c>
      <c r="AD4326">
        <v>-1.11073918908</v>
      </c>
      <c r="AE4326">
        <v>-13.8019999999999</v>
      </c>
      <c r="AF4326">
        <v>-2.42605420293836</v>
      </c>
      <c r="AG4326">
        <v>-1.11073918908</v>
      </c>
      <c r="AH4326">
        <v>13.542538950886501</v>
      </c>
      <c r="AI4326">
        <v>94.615666927211805</v>
      </c>
      <c r="AJ4326">
        <v>100.156418037306</v>
      </c>
      <c r="AK4326">
        <v>13.8028925149054</v>
      </c>
    </row>
    <row r="4327" spans="1:37" x14ac:dyDescent="0.2">
      <c r="A4327" t="str">
        <f>"20200111153737888"</f>
        <v>20200111153737888</v>
      </c>
      <c r="B4327" t="str">
        <f>"1578728257877925"</f>
        <v>1578728257877925</v>
      </c>
      <c r="C4327" t="s">
        <v>37</v>
      </c>
      <c r="D4327">
        <v>5.887969</v>
      </c>
      <c r="E4327">
        <v>0.53568179999999999</v>
      </c>
      <c r="F4327" t="s">
        <v>39</v>
      </c>
      <c r="G4327">
        <v>-417.77929999999998</v>
      </c>
      <c r="H4327" s="1">
        <v>-3.3957559999999998E-6</v>
      </c>
      <c r="I4327">
        <v>105.9816</v>
      </c>
      <c r="J4327">
        <v>-416.40600000000001</v>
      </c>
      <c r="K4327">
        <v>1.110473</v>
      </c>
      <c r="L4327">
        <v>116.7466</v>
      </c>
      <c r="M4327">
        <v>-0.25030160000000001</v>
      </c>
      <c r="N4327">
        <v>0</v>
      </c>
      <c r="O4327">
        <v>-0.96805739999999996</v>
      </c>
      <c r="P4327">
        <v>-7.7624689999999996E-2</v>
      </c>
      <c r="Q4327">
        <v>5.9578449999999998E-2</v>
      </c>
      <c r="R4327">
        <v>-0.99520090000000005</v>
      </c>
      <c r="S4327">
        <v>-0.39480589999999999</v>
      </c>
      <c r="T4327">
        <v>-0.2999927</v>
      </c>
      <c r="U4327">
        <v>-3.0027309999999998</v>
      </c>
      <c r="V4327">
        <v>-0.1750295</v>
      </c>
      <c r="W4327">
        <v>7.1426390000000006E-2</v>
      </c>
      <c r="X4327">
        <v>0.98196890000000003</v>
      </c>
      <c r="Y4327">
        <v>-0.12257319999999999</v>
      </c>
      <c r="Z4327">
        <v>9.3926339999999997E-2</v>
      </c>
      <c r="AA4327">
        <v>0.98800489999999996</v>
      </c>
      <c r="AB4327">
        <v>39</v>
      </c>
      <c r="AC4327">
        <v>-1.37329999999997</v>
      </c>
      <c r="AD4327">
        <v>-1.110476395756</v>
      </c>
      <c r="AE4327">
        <v>-10.765000000000001</v>
      </c>
      <c r="AF4327">
        <v>-1.35106286581959</v>
      </c>
      <c r="AG4327">
        <v>-1.110476395756</v>
      </c>
      <c r="AH4327">
        <v>10.654468263956799</v>
      </c>
      <c r="AI4327">
        <v>95.903310570742406</v>
      </c>
      <c r="AJ4327">
        <v>97.226943268947196</v>
      </c>
      <c r="AK4327">
        <v>10.7970469425946</v>
      </c>
    </row>
    <row r="4328" spans="1:37" x14ac:dyDescent="0.2">
      <c r="A4328" t="str">
        <f>"20200111153737913"</f>
        <v>20200111153737913</v>
      </c>
      <c r="B4328" t="str">
        <f>"1578728257907205"</f>
        <v>1578728257907205</v>
      </c>
      <c r="C4328" t="s">
        <v>37</v>
      </c>
      <c r="D4328">
        <v>5.8667610000000003</v>
      </c>
      <c r="E4328">
        <v>0.54441110000000004</v>
      </c>
      <c r="F4328" t="s">
        <v>39</v>
      </c>
      <c r="G4328">
        <v>-418.47359999999998</v>
      </c>
      <c r="H4328" s="1">
        <v>-2.931115E-6</v>
      </c>
      <c r="I4328">
        <v>105.25920000000001</v>
      </c>
      <c r="J4328">
        <v>-416.50450000000001</v>
      </c>
      <c r="K4328">
        <v>1.1102190000000001</v>
      </c>
      <c r="L4328">
        <v>116.3462</v>
      </c>
      <c r="M4328">
        <v>-0.24534120000000001</v>
      </c>
      <c r="N4328">
        <v>0</v>
      </c>
      <c r="O4328">
        <v>-0.96932689999999999</v>
      </c>
      <c r="P4328">
        <v>-7.7103030000000003E-2</v>
      </c>
      <c r="Q4328">
        <v>5.6821910000000003E-2</v>
      </c>
      <c r="R4328">
        <v>-0.99540280000000003</v>
      </c>
      <c r="S4328">
        <v>-0.5381165</v>
      </c>
      <c r="T4328">
        <v>-0.28901859999999902</v>
      </c>
      <c r="U4328">
        <v>-2.989792</v>
      </c>
      <c r="V4328">
        <v>-0.170465899999999</v>
      </c>
      <c r="W4328">
        <v>6.8819279999999997E-2</v>
      </c>
      <c r="X4328">
        <v>0.98295739999999998</v>
      </c>
      <c r="Y4328">
        <v>-7.0520819999999998E-2</v>
      </c>
      <c r="Z4328">
        <v>9.1006950000000003E-2</v>
      </c>
      <c r="AA4328">
        <v>0.99335010000000001</v>
      </c>
      <c r="AB4328">
        <v>38</v>
      </c>
      <c r="AC4328">
        <v>-1.9690999999999601</v>
      </c>
      <c r="AD4328">
        <v>-1.1102219311149999</v>
      </c>
      <c r="AE4328">
        <v>-11.0869999999999</v>
      </c>
      <c r="AF4328">
        <v>-0.80367038052987705</v>
      </c>
      <c r="AG4328">
        <v>-1.1102219311149999</v>
      </c>
      <c r="AH4328">
        <v>11.123099275307601</v>
      </c>
      <c r="AI4328">
        <v>95.685221226914294</v>
      </c>
      <c r="AJ4328">
        <v>94.1325750995112</v>
      </c>
      <c r="AK4328">
        <v>11.207221613995999</v>
      </c>
    </row>
    <row r="4329" spans="1:37" x14ac:dyDescent="0.2">
      <c r="A4329" t="str">
        <f>"20200111153737933"</f>
        <v>20200111153737933</v>
      </c>
      <c r="B4329" t="str">
        <f>"1578728257927701"</f>
        <v>1578728257927701</v>
      </c>
      <c r="C4329" t="s">
        <v>37</v>
      </c>
      <c r="D4329">
        <v>5.8590809999999998</v>
      </c>
      <c r="E4329">
        <v>0.54648949999999996</v>
      </c>
      <c r="F4329" t="s">
        <v>39</v>
      </c>
      <c r="G4329">
        <v>-418.8279</v>
      </c>
      <c r="H4329" s="1">
        <v>-2.6960959999999998E-6</v>
      </c>
      <c r="I4329">
        <v>104.89490000000001</v>
      </c>
      <c r="J4329">
        <v>-416.58769999999998</v>
      </c>
      <c r="K4329">
        <v>1.110039</v>
      </c>
      <c r="L4329">
        <v>116.0013</v>
      </c>
      <c r="M4329">
        <v>-0.2411211</v>
      </c>
      <c r="N4329">
        <v>0</v>
      </c>
      <c r="O4329">
        <v>-0.97038579999999997</v>
      </c>
      <c r="P4329">
        <v>-7.6960940000000005E-2</v>
      </c>
      <c r="Q4329">
        <v>5.5604180000000003E-2</v>
      </c>
      <c r="R4329">
        <v>-0.99548269999999905</v>
      </c>
      <c r="S4329">
        <v>-0.60531619999999997</v>
      </c>
      <c r="T4329">
        <v>-0.289255599999999</v>
      </c>
      <c r="U4329">
        <v>-2.9834900000000002</v>
      </c>
      <c r="V4329">
        <v>-0.166292299999999</v>
      </c>
      <c r="W4329">
        <v>6.7717020000000003E-2</v>
      </c>
      <c r="X4329">
        <v>0.98374859999999897</v>
      </c>
      <c r="Y4329">
        <v>-4.4217439999999997E-2</v>
      </c>
      <c r="Z4329">
        <v>9.1305040000000004E-2</v>
      </c>
      <c r="AA4329">
        <v>0.99484079999999997</v>
      </c>
      <c r="AB4329">
        <v>38</v>
      </c>
      <c r="AC4329">
        <v>-2.24020000000001</v>
      </c>
      <c r="AD4329">
        <v>-1.110041696096</v>
      </c>
      <c r="AE4329">
        <v>-11.106399999999899</v>
      </c>
      <c r="AF4329">
        <v>-0.49938907383013298</v>
      </c>
      <c r="AG4329">
        <v>-1.110041696096</v>
      </c>
      <c r="AH4329">
        <v>11.211238828786801</v>
      </c>
      <c r="AI4329">
        <v>95.648947097787797</v>
      </c>
      <c r="AJ4329">
        <v>92.550475043050696</v>
      </c>
      <c r="AK4329">
        <v>11.2771210018439</v>
      </c>
    </row>
    <row r="4330" spans="1:37" x14ac:dyDescent="0.2">
      <c r="A4330" t="str">
        <f>"20200111153737956"</f>
        <v>20200111153737956</v>
      </c>
      <c r="B4330" t="str">
        <f>"1578728257947221"</f>
        <v>1578728257947221</v>
      </c>
      <c r="C4330" t="s">
        <v>37</v>
      </c>
      <c r="D4330">
        <v>5.8658400000000004</v>
      </c>
      <c r="E4330">
        <v>0.54768380000000005</v>
      </c>
      <c r="F4330" t="s">
        <v>38</v>
      </c>
      <c r="G4330">
        <v>-416.76010000000002</v>
      </c>
      <c r="H4330">
        <v>1.0298860000000001</v>
      </c>
      <c r="I4330">
        <v>115.173999999999</v>
      </c>
      <c r="J4330">
        <v>-416.67750000000001</v>
      </c>
      <c r="K4330">
        <v>1.1098669999999999</v>
      </c>
      <c r="L4330">
        <v>115.622</v>
      </c>
      <c r="M4330">
        <v>-0.23654330000000001</v>
      </c>
      <c r="N4330">
        <v>0</v>
      </c>
      <c r="O4330">
        <v>-0.9715123</v>
      </c>
      <c r="P4330">
        <v>-7.6091800000000001E-2</v>
      </c>
      <c r="Q4330">
        <v>5.5239820000000002E-2</v>
      </c>
      <c r="R4330">
        <v>-0.99556959999999906</v>
      </c>
      <c r="S4330">
        <v>-0.62091059999999998</v>
      </c>
      <c r="T4330">
        <v>-0.28908259999999902</v>
      </c>
      <c r="U4330">
        <v>-2.9817499999999999</v>
      </c>
      <c r="V4330">
        <v>-0.16247700000000001</v>
      </c>
      <c r="W4330">
        <v>6.7456790000000003E-2</v>
      </c>
      <c r="X4330">
        <v>0.98440380000000005</v>
      </c>
      <c r="Y4330">
        <v>-3.4401719999999997E-2</v>
      </c>
      <c r="Z4330">
        <v>9.1433879999999995E-2</v>
      </c>
      <c r="AA4330">
        <v>0.99521669999999995</v>
      </c>
      <c r="AB4330">
        <v>38</v>
      </c>
      <c r="AC4330">
        <v>-8.2600000000013496E-2</v>
      </c>
      <c r="AD4330">
        <v>-7.9980999999999802E-2</v>
      </c>
      <c r="AE4330">
        <v>-0.44800000000002099</v>
      </c>
      <c r="AF4330">
        <v>-2.4957877970097998E-2</v>
      </c>
      <c r="AG4330">
        <v>-7.9980999999999802E-2</v>
      </c>
      <c r="AH4330">
        <v>0.441223399618622</v>
      </c>
      <c r="AI4330">
        <v>100.258445290788</v>
      </c>
      <c r="AJ4330">
        <v>93.2374957092199</v>
      </c>
      <c r="AK4330">
        <v>0.44910794293219197</v>
      </c>
    </row>
    <row r="4331" spans="1:37" x14ac:dyDescent="0.2">
      <c r="A4331" t="str">
        <f>"20200111153737977"</f>
        <v>20200111153737977</v>
      </c>
      <c r="B4331" t="str">
        <f>"1578728257967717"</f>
        <v>1578728257967717</v>
      </c>
      <c r="C4331" t="s">
        <v>37</v>
      </c>
      <c r="D4331">
        <v>5.8855690000000003</v>
      </c>
      <c r="E4331">
        <v>0.54855540000000003</v>
      </c>
      <c r="F4331" t="s">
        <v>39</v>
      </c>
      <c r="G4331">
        <v>-419.1071</v>
      </c>
      <c r="H4331" s="1">
        <v>-2.2646969999999998E-6</v>
      </c>
      <c r="I4331">
        <v>104.08710000000001</v>
      </c>
      <c r="J4331">
        <v>-416.76139999999998</v>
      </c>
      <c r="K4331">
        <v>1.1097109999999999</v>
      </c>
      <c r="L4331">
        <v>115.26049999999999</v>
      </c>
      <c r="M4331">
        <v>-0.23225789999999899</v>
      </c>
      <c r="N4331">
        <v>0</v>
      </c>
      <c r="O4331">
        <v>-0.97254599999999902</v>
      </c>
      <c r="P4331">
        <v>-7.4576600000000007E-2</v>
      </c>
      <c r="Q4331">
        <v>5.5541529999999999E-2</v>
      </c>
      <c r="R4331">
        <v>-0.99566730000000003</v>
      </c>
      <c r="S4331">
        <v>-0.62796019999999997</v>
      </c>
      <c r="T4331">
        <v>-0.2868521</v>
      </c>
      <c r="U4331">
        <v>-2.9812620000000001</v>
      </c>
      <c r="V4331">
        <v>-0.1596032</v>
      </c>
      <c r="W4331">
        <v>6.7840230000000001E-2</v>
      </c>
      <c r="X4331">
        <v>0.98484749999999999</v>
      </c>
      <c r="Y4331">
        <v>-2.7696220000000001E-2</v>
      </c>
      <c r="Z4331">
        <v>9.0882550000000006E-2</v>
      </c>
      <c r="AA4331">
        <v>0.99547640000000004</v>
      </c>
      <c r="AB4331">
        <v>38</v>
      </c>
      <c r="AC4331">
        <v>-2.3457000000000199</v>
      </c>
      <c r="AD4331">
        <v>-1.109713264697</v>
      </c>
      <c r="AE4331">
        <v>-11.1733999999999</v>
      </c>
      <c r="AF4331">
        <v>-0.31090501290045403</v>
      </c>
      <c r="AG4331">
        <v>-1.109713264697</v>
      </c>
      <c r="AH4331">
        <v>11.3058416551414</v>
      </c>
      <c r="AI4331">
        <v>95.603746769504099</v>
      </c>
      <c r="AJ4331">
        <v>91.575208402264906</v>
      </c>
      <c r="AK4331">
        <v>11.364426117847801</v>
      </c>
    </row>
    <row r="4332" spans="1:37" x14ac:dyDescent="0.2">
      <c r="A4332" t="str">
        <f>"20200111153737999"</f>
        <v>20200111153737999</v>
      </c>
      <c r="B4332" t="str">
        <f>"1578728257987237"</f>
        <v>1578728257987237</v>
      </c>
      <c r="C4332" t="s">
        <v>37</v>
      </c>
      <c r="D4332">
        <v>5.8275629999999996</v>
      </c>
      <c r="E4332">
        <v>0.54913509999999999</v>
      </c>
      <c r="F4332" t="s">
        <v>39</v>
      </c>
      <c r="G4332">
        <v>-419.23349999999999</v>
      </c>
      <c r="H4332" s="1">
        <v>-1.9955779999999998E-6</v>
      </c>
      <c r="I4332">
        <v>103.5652</v>
      </c>
      <c r="J4332">
        <v>-416.84429999999998</v>
      </c>
      <c r="K4332">
        <v>1.10955</v>
      </c>
      <c r="L4332">
        <v>114.89619999999999</v>
      </c>
      <c r="M4332">
        <v>-0.22804279999999999</v>
      </c>
      <c r="N4332">
        <v>0</v>
      </c>
      <c r="O4332">
        <v>-0.97354359999999995</v>
      </c>
      <c r="P4332">
        <v>-7.2241979999999997E-2</v>
      </c>
      <c r="Q4332">
        <v>5.5606879999999997E-2</v>
      </c>
      <c r="R4332">
        <v>-0.99583619999999995</v>
      </c>
      <c r="S4332">
        <v>-0.63024899999999995</v>
      </c>
      <c r="T4332">
        <v>-0.28291139999999998</v>
      </c>
      <c r="U4332">
        <v>-2.9816129999999998</v>
      </c>
      <c r="V4332">
        <v>-0.15761449999999999</v>
      </c>
      <c r="W4332">
        <v>6.7974870000000007E-2</v>
      </c>
      <c r="X4332">
        <v>0.98515839999999999</v>
      </c>
      <c r="Y4332">
        <v>-2.2635260000000001E-2</v>
      </c>
      <c r="Z4332">
        <v>8.9771390000000006E-2</v>
      </c>
      <c r="AA4332">
        <v>0.99570509999999901</v>
      </c>
      <c r="AB4332">
        <v>38</v>
      </c>
      <c r="AC4332">
        <v>-2.38920000000001</v>
      </c>
      <c r="AD4332">
        <v>-1.109551995578</v>
      </c>
      <c r="AE4332">
        <v>-11.3309999999999</v>
      </c>
      <c r="AF4332">
        <v>-0.25564267140583102</v>
      </c>
      <c r="AG4332">
        <v>-1.109551995578</v>
      </c>
      <c r="AH4332">
        <v>11.4719557803794</v>
      </c>
      <c r="AI4332">
        <v>95.523024185526097</v>
      </c>
      <c r="AJ4332">
        <v>91.276575905057399</v>
      </c>
      <c r="AK4332">
        <v>11.528322871663301</v>
      </c>
    </row>
    <row r="4333" spans="1:37" x14ac:dyDescent="0.2">
      <c r="A4333" t="str">
        <f>"20200111153738023"</f>
        <v>20200111153738023</v>
      </c>
      <c r="B4333" t="str">
        <f>"1578728258017493"</f>
        <v>1578728258017493</v>
      </c>
      <c r="C4333" t="s">
        <v>37</v>
      </c>
      <c r="D4333">
        <v>5.9142380000000001</v>
      </c>
      <c r="E4333">
        <v>0.54966319999999902</v>
      </c>
      <c r="F4333" t="s">
        <v>39</v>
      </c>
      <c r="G4333">
        <v>-419.30560000000003</v>
      </c>
      <c r="H4333" s="1">
        <v>-1.8141970000000001E-6</v>
      </c>
      <c r="I4333">
        <v>103.2086</v>
      </c>
      <c r="J4333">
        <v>-416.92910000000001</v>
      </c>
      <c r="K4333">
        <v>1.1093629999999901</v>
      </c>
      <c r="L4333">
        <v>114.5164</v>
      </c>
      <c r="M4333">
        <v>-0.22381129999999999</v>
      </c>
      <c r="N4333">
        <v>0</v>
      </c>
      <c r="O4333">
        <v>-0.97452549999999905</v>
      </c>
      <c r="P4333">
        <v>-6.9421659999999996E-2</v>
      </c>
      <c r="Q4333">
        <v>5.6064429999999998E-2</v>
      </c>
      <c r="R4333">
        <v>-0.99601079999999997</v>
      </c>
      <c r="S4333">
        <v>-0.62814329999999996</v>
      </c>
      <c r="T4333">
        <v>-0.2831649</v>
      </c>
      <c r="U4333">
        <v>-2.9827729999999999</v>
      </c>
      <c r="V4333">
        <v>-0.15608949999999999</v>
      </c>
      <c r="W4333">
        <v>6.8500069999999996E-2</v>
      </c>
      <c r="X4333">
        <v>0.98536480000000004</v>
      </c>
      <c r="Y4333">
        <v>-1.9045929999999999E-2</v>
      </c>
      <c r="Z4333">
        <v>8.9962810000000004E-2</v>
      </c>
      <c r="AA4333">
        <v>0.99576299999999995</v>
      </c>
      <c r="AB4333">
        <v>38</v>
      </c>
      <c r="AC4333">
        <v>-2.37650000000002</v>
      </c>
      <c r="AD4333">
        <v>-1.1093648141969901</v>
      </c>
      <c r="AE4333">
        <v>-11.3078</v>
      </c>
      <c r="AF4333">
        <v>-0.21291340712586701</v>
      </c>
      <c r="AG4333">
        <v>-1.1093648141969901</v>
      </c>
      <c r="AH4333">
        <v>11.447314061424001</v>
      </c>
      <c r="AI4333">
        <v>95.534325560933297</v>
      </c>
      <c r="AJ4333">
        <v>91.065545432835805</v>
      </c>
      <c r="AK4333">
        <v>11.502913614853799</v>
      </c>
    </row>
    <row r="4334" spans="1:37" x14ac:dyDescent="0.2">
      <c r="A4334" t="str">
        <f>"20200111153738045"</f>
        <v>20200111153738045</v>
      </c>
      <c r="B4334" t="str">
        <f>"1578728258037013"</f>
        <v>1578728258037013</v>
      </c>
      <c r="C4334" t="s">
        <v>37</v>
      </c>
      <c r="D4334">
        <v>5.926545</v>
      </c>
      <c r="E4334">
        <v>0.54989290000000002</v>
      </c>
      <c r="F4334" t="s">
        <v>38</v>
      </c>
      <c r="G4334">
        <v>-417.13510000000002</v>
      </c>
      <c r="H4334">
        <v>1.0175989999999999</v>
      </c>
      <c r="I4334">
        <v>113.5312</v>
      </c>
      <c r="J4334">
        <v>-417.01400000000001</v>
      </c>
      <c r="K4334">
        <v>1.109162</v>
      </c>
      <c r="L4334">
        <v>114.12869999999999</v>
      </c>
      <c r="M4334">
        <v>-0.21967719999999999</v>
      </c>
      <c r="N4334">
        <v>0</v>
      </c>
      <c r="O4334">
        <v>-0.9754661</v>
      </c>
      <c r="P4334">
        <v>-6.6760589999999995E-2</v>
      </c>
      <c r="Q4334">
        <v>5.6040599999999899E-2</v>
      </c>
      <c r="R4334">
        <v>-0.99619409999999897</v>
      </c>
      <c r="S4334">
        <v>-0.62295529999999999</v>
      </c>
      <c r="T4334">
        <v>-0.2781807</v>
      </c>
      <c r="U4334">
        <v>-2.9842680000000001</v>
      </c>
      <c r="V4334">
        <v>-0.15450720000000001</v>
      </c>
      <c r="W4334">
        <v>6.8548109999999995E-2</v>
      </c>
      <c r="X4334">
        <v>0.98561080000000001</v>
      </c>
      <c r="Y4334">
        <v>-1.6536829999999999E-2</v>
      </c>
      <c r="Z4334">
        <v>8.8494539999999997E-2</v>
      </c>
      <c r="AA4334">
        <v>0.99593940000000003</v>
      </c>
      <c r="AB4334">
        <v>38</v>
      </c>
      <c r="AC4334">
        <v>-0.121100000000012</v>
      </c>
      <c r="AD4334">
        <v>-9.1563000000000005E-2</v>
      </c>
      <c r="AE4334">
        <v>-0.59749999999999603</v>
      </c>
      <c r="AF4334">
        <v>-1.28399169666311E-2</v>
      </c>
      <c r="AG4334">
        <v>-9.1563000000000005E-2</v>
      </c>
      <c r="AH4334">
        <v>0.59606188778402103</v>
      </c>
      <c r="AI4334">
        <v>98.731131309177201</v>
      </c>
      <c r="AJ4334">
        <v>91.234031747227206</v>
      </c>
      <c r="AK4334">
        <v>0.60319020259397604</v>
      </c>
    </row>
    <row r="4335" spans="1:37" x14ac:dyDescent="0.2">
      <c r="A4335" t="str">
        <f>"20200111153738067"</f>
        <v>20200111153738067</v>
      </c>
      <c r="B4335" t="str">
        <f>"1578728258057509"</f>
        <v>1578728258057509</v>
      </c>
      <c r="C4335" t="s">
        <v>37</v>
      </c>
      <c r="D4335">
        <v>5.9164599999999998</v>
      </c>
      <c r="E4335">
        <v>0.55019989999999996</v>
      </c>
      <c r="F4335" t="s">
        <v>38</v>
      </c>
      <c r="G4335">
        <v>-417.20670000000001</v>
      </c>
      <c r="H4335">
        <v>1.022653</v>
      </c>
      <c r="I4335">
        <v>113.19589999999999</v>
      </c>
      <c r="J4335">
        <v>-417.09100000000001</v>
      </c>
      <c r="K4335">
        <v>1.108981</v>
      </c>
      <c r="L4335">
        <v>113.7713</v>
      </c>
      <c r="M4335">
        <v>-0.21602299999999999</v>
      </c>
      <c r="N4335">
        <v>0</v>
      </c>
      <c r="O4335">
        <v>-0.97628219999999999</v>
      </c>
      <c r="P4335">
        <v>-6.3835080000000002E-2</v>
      </c>
      <c r="Q4335">
        <v>5.5415140000000002E-2</v>
      </c>
      <c r="R4335">
        <v>-0.99642109999999995</v>
      </c>
      <c r="S4335">
        <v>-0.61590579999999995</v>
      </c>
      <c r="T4335">
        <v>-0.27704829999999903</v>
      </c>
      <c r="U4335">
        <v>-2.985779</v>
      </c>
      <c r="V4335">
        <v>-0.15367890000000001</v>
      </c>
      <c r="W4335">
        <v>6.7980100000000002E-2</v>
      </c>
      <c r="X4335">
        <v>0.98577959999999998</v>
      </c>
      <c r="Y4335">
        <v>-1.5142340000000001E-2</v>
      </c>
      <c r="Z4335">
        <v>8.8225799999999993E-2</v>
      </c>
      <c r="AA4335">
        <v>0.99598539999999902</v>
      </c>
      <c r="AB4335">
        <v>38</v>
      </c>
      <c r="AC4335">
        <v>-0.11570000000000299</v>
      </c>
      <c r="AD4335">
        <v>-8.6327999999999905E-2</v>
      </c>
      <c r="AE4335">
        <v>-0.57540000000000102</v>
      </c>
      <c r="AF4335">
        <v>-1.11047120986302E-2</v>
      </c>
      <c r="AG4335">
        <v>-8.6327999999999905E-2</v>
      </c>
      <c r="AH4335">
        <v>0.57438088524986997</v>
      </c>
      <c r="AI4335">
        <v>98.545860814159894</v>
      </c>
      <c r="AJ4335">
        <v>91.107581915464394</v>
      </c>
      <c r="AK4335">
        <v>0.580938240740974</v>
      </c>
    </row>
    <row r="4336" spans="1:37" x14ac:dyDescent="0.2">
      <c r="A4336" t="str">
        <f>"20200111153738088"</f>
        <v>20200111153738088</v>
      </c>
      <c r="B4336" t="str">
        <f>"1578728258077029"</f>
        <v>1578728258077029</v>
      </c>
      <c r="C4336" t="s">
        <v>37</v>
      </c>
      <c r="D4336">
        <v>5.933376</v>
      </c>
      <c r="E4336">
        <v>0.55044069999999901</v>
      </c>
      <c r="F4336" t="s">
        <v>38</v>
      </c>
      <c r="G4336">
        <v>-417.27679999999998</v>
      </c>
      <c r="H4336">
        <v>1.024402</v>
      </c>
      <c r="I4336">
        <v>112.8622</v>
      </c>
      <c r="J4336">
        <v>-417.16730000000001</v>
      </c>
      <c r="K4336">
        <v>1.1087910000000001</v>
      </c>
      <c r="L4336">
        <v>113.4113</v>
      </c>
      <c r="M4336">
        <v>-0.2125243</v>
      </c>
      <c r="N4336">
        <v>0</v>
      </c>
      <c r="O4336">
        <v>-0.97705010000000003</v>
      </c>
      <c r="P4336">
        <v>-6.0716060000000002E-2</v>
      </c>
      <c r="Q4336">
        <v>5.497026E-2</v>
      </c>
      <c r="R4336">
        <v>-0.99664039999999998</v>
      </c>
      <c r="S4336">
        <v>-0.60964969999999996</v>
      </c>
      <c r="T4336">
        <v>-0.2780666</v>
      </c>
      <c r="U4336">
        <v>-2.9871669999999999</v>
      </c>
      <c r="V4336">
        <v>-0.15320120000000001</v>
      </c>
      <c r="W4336">
        <v>6.7589040000000003E-2</v>
      </c>
      <c r="X4336">
        <v>0.98588089999999995</v>
      </c>
      <c r="Y4336">
        <v>-1.366032E-2</v>
      </c>
      <c r="Z4336">
        <v>8.8630719999999996E-2</v>
      </c>
      <c r="AA4336">
        <v>0.99597089999999999</v>
      </c>
      <c r="AB4336">
        <v>38</v>
      </c>
      <c r="AC4336">
        <v>-0.109499999999968</v>
      </c>
      <c r="AD4336">
        <v>-8.4389000000000006E-2</v>
      </c>
      <c r="AE4336">
        <v>-0.54909999999999504</v>
      </c>
      <c r="AF4336">
        <v>-9.4954118439251594E-3</v>
      </c>
      <c r="AG4336">
        <v>-8.4389000000000006E-2</v>
      </c>
      <c r="AH4336">
        <v>0.54739283390872095</v>
      </c>
      <c r="AI4336">
        <v>98.762728529361993</v>
      </c>
      <c r="AJ4336">
        <v>90.9937880635715</v>
      </c>
      <c r="AK4336">
        <v>0.553940954237639</v>
      </c>
    </row>
    <row r="4337" spans="1:37" x14ac:dyDescent="0.2">
      <c r="A4337" t="str">
        <f>"20200111153738111"</f>
        <v>20200111153738111</v>
      </c>
      <c r="B4337" t="str">
        <f>"1578728258107286"</f>
        <v>1578728258107286</v>
      </c>
      <c r="C4337" t="s">
        <v>37</v>
      </c>
      <c r="D4337">
        <v>6.0183559999999998</v>
      </c>
      <c r="E4337">
        <v>0.55090890000000003</v>
      </c>
      <c r="F4337" t="s">
        <v>38</v>
      </c>
      <c r="G4337">
        <v>-417.34539999999998</v>
      </c>
      <c r="H4337">
        <v>1.026624</v>
      </c>
      <c r="I4337">
        <v>112.52809999999999</v>
      </c>
      <c r="J4337">
        <v>-417.24520000000001</v>
      </c>
      <c r="K4337">
        <v>1.1085849999999999</v>
      </c>
      <c r="L4337">
        <v>113.038</v>
      </c>
      <c r="M4337">
        <v>-0.20911439999999901</v>
      </c>
      <c r="N4337">
        <v>0</v>
      </c>
      <c r="O4337">
        <v>-0.97778600000000004</v>
      </c>
      <c r="P4337">
        <v>-5.7206960000000001E-2</v>
      </c>
      <c r="Q4337">
        <v>5.4482790000000003E-2</v>
      </c>
      <c r="R4337">
        <v>-0.99687490000000001</v>
      </c>
      <c r="S4337">
        <v>-0.60183719999999996</v>
      </c>
      <c r="T4337">
        <v>-0.27821709999999999</v>
      </c>
      <c r="U4337">
        <v>-2.9887999999999999</v>
      </c>
      <c r="V4337">
        <v>-0.15319959999999999</v>
      </c>
      <c r="W4337">
        <v>6.7155629999999994E-2</v>
      </c>
      <c r="X4337">
        <v>0.98591079999999998</v>
      </c>
      <c r="Y4337">
        <v>-1.27807999999999E-2</v>
      </c>
      <c r="Z4337">
        <v>8.8754E-2</v>
      </c>
      <c r="AA4337">
        <v>0.99597159999999996</v>
      </c>
      <c r="AB4337">
        <v>38</v>
      </c>
      <c r="AC4337">
        <v>-0.10019999999997201</v>
      </c>
      <c r="AD4337">
        <v>-8.1960999999999895E-2</v>
      </c>
      <c r="AE4337">
        <v>-0.50990000000000102</v>
      </c>
      <c r="AF4337">
        <v>-8.4441055953415993E-3</v>
      </c>
      <c r="AG4337">
        <v>-8.1960999999999895E-2</v>
      </c>
      <c r="AH4337">
        <v>0.50696818581863201</v>
      </c>
      <c r="AI4337">
        <v>99.182236017889196</v>
      </c>
      <c r="AJ4337">
        <v>90.954235182490606</v>
      </c>
      <c r="AK4337">
        <v>0.51362014161492997</v>
      </c>
    </row>
    <row r="4338" spans="1:37" x14ac:dyDescent="0.2">
      <c r="A4338" t="str">
        <f>"20200111153738135"</f>
        <v>20200111153738135</v>
      </c>
      <c r="B4338" t="str">
        <f>"1578728258127782"</f>
        <v>1578728258127782</v>
      </c>
      <c r="C4338" t="s">
        <v>37</v>
      </c>
      <c r="D4338">
        <v>5.9398599999999897</v>
      </c>
      <c r="E4338">
        <v>0.55132190000000003</v>
      </c>
      <c r="F4338" t="s">
        <v>38</v>
      </c>
      <c r="G4338">
        <v>-417.41370000000001</v>
      </c>
      <c r="H4338">
        <v>1.0302899999999999</v>
      </c>
      <c r="I4338">
        <v>112.1927</v>
      </c>
      <c r="J4338">
        <v>-417.32530000000003</v>
      </c>
      <c r="K4338">
        <v>1.1083540000000001</v>
      </c>
      <c r="L4338">
        <v>112.6484</v>
      </c>
      <c r="M4338">
        <v>-0.2058045</v>
      </c>
      <c r="N4338">
        <v>0</v>
      </c>
      <c r="O4338">
        <v>-0.97848840000000004</v>
      </c>
      <c r="P4338">
        <v>-5.3815670000000003E-2</v>
      </c>
      <c r="Q4338">
        <v>5.3775169999999997E-2</v>
      </c>
      <c r="R4338">
        <v>-0.99710200000000004</v>
      </c>
      <c r="S4338">
        <v>-0.59451290000000001</v>
      </c>
      <c r="T4338">
        <v>-0.2772405</v>
      </c>
      <c r="U4338">
        <v>-2.9904329999999999</v>
      </c>
      <c r="V4338">
        <v>-0.15318039999999999</v>
      </c>
      <c r="W4338">
        <v>6.6510009999999994E-2</v>
      </c>
      <c r="X4338">
        <v>0.98595750000000004</v>
      </c>
      <c r="Y4338">
        <v>-1.184294E-2</v>
      </c>
      <c r="Z4338">
        <v>8.8514270000000006E-2</v>
      </c>
      <c r="AA4338">
        <v>0.99600449999999996</v>
      </c>
      <c r="AB4338">
        <v>38</v>
      </c>
      <c r="AC4338">
        <v>-8.8399999999978704E-2</v>
      </c>
      <c r="AD4338">
        <v>-7.8064000000000106E-2</v>
      </c>
      <c r="AE4338">
        <v>-0.455699999999993</v>
      </c>
      <c r="AF4338">
        <v>-7.0870513605014096E-3</v>
      </c>
      <c r="AG4338">
        <v>-7.8064000000000106E-2</v>
      </c>
      <c r="AH4338">
        <v>0.45137241441756298</v>
      </c>
      <c r="AI4338">
        <v>99.810948212256505</v>
      </c>
      <c r="AJ4338">
        <v>90.899533857796996</v>
      </c>
      <c r="AK4338">
        <v>0.458128007100774</v>
      </c>
    </row>
    <row r="4339" spans="1:37" x14ac:dyDescent="0.2">
      <c r="A4339" t="str">
        <f>"20200111153738156"</f>
        <v>20200111153738156</v>
      </c>
      <c r="B4339" t="str">
        <f>"1578728258147808"</f>
        <v>1578728258147808</v>
      </c>
      <c r="C4339" t="s">
        <v>37</v>
      </c>
      <c r="D4339">
        <v>5.9812949999999896</v>
      </c>
      <c r="E4339">
        <v>0.55153469999999905</v>
      </c>
      <c r="F4339" t="s">
        <v>38</v>
      </c>
      <c r="G4339">
        <v>-417.48079999999999</v>
      </c>
      <c r="H4339">
        <v>1.0352030000000001</v>
      </c>
      <c r="I4339">
        <v>111.85550000000001</v>
      </c>
      <c r="J4339">
        <v>-417.39890000000003</v>
      </c>
      <c r="K4339">
        <v>1.108128</v>
      </c>
      <c r="L4339">
        <v>112.2852</v>
      </c>
      <c r="M4339">
        <v>-0.20296</v>
      </c>
      <c r="N4339">
        <v>0</v>
      </c>
      <c r="O4339">
        <v>-0.97908269999999997</v>
      </c>
      <c r="P4339">
        <v>-5.0862659999999997E-2</v>
      </c>
      <c r="Q4339">
        <v>5.2804080000000003E-2</v>
      </c>
      <c r="R4339">
        <v>-0.99730909999999995</v>
      </c>
      <c r="S4339">
        <v>-0.58694460000000004</v>
      </c>
      <c r="T4339">
        <v>-0.27600000000000002</v>
      </c>
      <c r="U4339">
        <v>-2.9919279999999899</v>
      </c>
      <c r="V4339">
        <v>-0.1531999</v>
      </c>
      <c r="W4339">
        <v>6.5603610000000007E-2</v>
      </c>
      <c r="X4339">
        <v>0.98601519999999998</v>
      </c>
      <c r="Y4339">
        <v>-1.1450739999999999E-2</v>
      </c>
      <c r="Z4339">
        <v>8.8179800000000003E-2</v>
      </c>
      <c r="AA4339">
        <v>0.99603869999999906</v>
      </c>
      <c r="AB4339">
        <v>38</v>
      </c>
      <c r="AC4339">
        <v>-8.1899999999961795E-2</v>
      </c>
      <c r="AD4339">
        <v>-7.2924999999999907E-2</v>
      </c>
      <c r="AE4339">
        <v>-0.42969999999999597</v>
      </c>
      <c r="AF4339">
        <v>-6.8357744481208202E-3</v>
      </c>
      <c r="AG4339">
        <v>-7.2924999999999907E-2</v>
      </c>
      <c r="AH4339">
        <v>0.42555186048087001</v>
      </c>
      <c r="AI4339">
        <v>99.722849707029098</v>
      </c>
      <c r="AJ4339">
        <v>90.920281122887303</v>
      </c>
      <c r="AK4339">
        <v>0.431809181694919</v>
      </c>
    </row>
    <row r="4340" spans="1:37" x14ac:dyDescent="0.2">
      <c r="A4340" t="str">
        <f>"20200111153738178"</f>
        <v>20200111153738178</v>
      </c>
      <c r="B4340" t="str">
        <f>"1578728258167328"</f>
        <v>1578728258167328</v>
      </c>
      <c r="C4340" t="s">
        <v>37</v>
      </c>
      <c r="D4340">
        <v>5.8921279999999996</v>
      </c>
      <c r="E4340">
        <v>0.55182609999999999</v>
      </c>
      <c r="F4340" t="s">
        <v>38</v>
      </c>
      <c r="G4340">
        <v>-417.54750000000001</v>
      </c>
      <c r="H4340">
        <v>1.0373129999999999</v>
      </c>
      <c r="I4340">
        <v>111.5209</v>
      </c>
      <c r="J4340">
        <v>-417.47089999999997</v>
      </c>
      <c r="K4340">
        <v>1.107893</v>
      </c>
      <c r="L4340">
        <v>111.9258</v>
      </c>
      <c r="M4340">
        <v>-0.20037820000000001</v>
      </c>
      <c r="N4340">
        <v>0</v>
      </c>
      <c r="O4340">
        <v>-0.97961469999999995</v>
      </c>
      <c r="P4340">
        <v>-4.7982259999999999E-2</v>
      </c>
      <c r="Q4340">
        <v>5.2541009999999999E-2</v>
      </c>
      <c r="R4340">
        <v>-0.99746579999999996</v>
      </c>
      <c r="S4340">
        <v>-0.58013919999999997</v>
      </c>
      <c r="T4340">
        <v>-0.27756740000000002</v>
      </c>
      <c r="U4340">
        <v>-2.9932249999999998</v>
      </c>
      <c r="V4340">
        <v>-0.15341060000000001</v>
      </c>
      <c r="W4340">
        <v>6.5407099999999996E-2</v>
      </c>
      <c r="X4340">
        <v>0.98599550000000002</v>
      </c>
      <c r="Y4340">
        <v>-1.108694E-2</v>
      </c>
      <c r="Z4340">
        <v>8.8730080000000003E-2</v>
      </c>
      <c r="AA4340">
        <v>0.99599400000000005</v>
      </c>
      <c r="AB4340">
        <v>38</v>
      </c>
      <c r="AC4340">
        <v>-7.6600000000041704E-2</v>
      </c>
      <c r="AD4340">
        <v>-7.0580000000000004E-2</v>
      </c>
      <c r="AE4340">
        <v>-0.40489999999999698</v>
      </c>
      <c r="AF4340">
        <v>-5.9215549505212597E-3</v>
      </c>
      <c r="AG4340">
        <v>-7.0580000000000004E-2</v>
      </c>
      <c r="AH4340">
        <v>0.40029401927276298</v>
      </c>
      <c r="AI4340">
        <v>99.998562229472398</v>
      </c>
      <c r="AJ4340">
        <v>90.847515439013193</v>
      </c>
      <c r="AK4340">
        <v>0.40651187323198201</v>
      </c>
    </row>
    <row r="4341" spans="1:37" x14ac:dyDescent="0.2">
      <c r="A4341" t="str">
        <f>"20200111153738200"</f>
        <v>20200111153738200</v>
      </c>
      <c r="B4341" t="str">
        <f>"1578728258197584"</f>
        <v>1578728258197584</v>
      </c>
      <c r="C4341" t="s">
        <v>37</v>
      </c>
      <c r="D4341">
        <v>5.9204869999999996</v>
      </c>
      <c r="E4341">
        <v>0.5521684</v>
      </c>
      <c r="F4341" t="s">
        <v>38</v>
      </c>
      <c r="G4341">
        <v>-417.61349999999999</v>
      </c>
      <c r="H4341">
        <v>1.038883</v>
      </c>
      <c r="I4341">
        <v>111.1816</v>
      </c>
      <c r="J4341">
        <v>-417.54430000000002</v>
      </c>
      <c r="K4341">
        <v>1.1076509999999999</v>
      </c>
      <c r="L4341">
        <v>111.5552</v>
      </c>
      <c r="M4341">
        <v>-0.1979602</v>
      </c>
      <c r="N4341">
        <v>0</v>
      </c>
      <c r="O4341">
        <v>-0.98010649999999999</v>
      </c>
      <c r="P4341">
        <v>-4.5965190000000003E-2</v>
      </c>
      <c r="Q4341">
        <v>5.2248839999999998E-2</v>
      </c>
      <c r="R4341">
        <v>-0.99757559999999901</v>
      </c>
      <c r="S4341">
        <v>-0.57400509999999905</v>
      </c>
      <c r="T4341">
        <v>-0.2777095</v>
      </c>
      <c r="U4341">
        <v>-2.9946440000000001</v>
      </c>
      <c r="V4341">
        <v>-0.15293229999999999</v>
      </c>
      <c r="W4341">
        <v>6.5193470000000003E-2</v>
      </c>
      <c r="X4341">
        <v>0.98608390000000001</v>
      </c>
      <c r="Y4341">
        <v>-1.067563E-2</v>
      </c>
      <c r="Z4341">
        <v>8.8817770000000004E-2</v>
      </c>
      <c r="AA4341">
        <v>0.99599069999999901</v>
      </c>
      <c r="AB4341">
        <v>38</v>
      </c>
      <c r="AC4341">
        <v>-6.9199999999966594E-2</v>
      </c>
      <c r="AD4341">
        <v>-6.8767999999999899E-2</v>
      </c>
      <c r="AE4341">
        <v>-0.37359999999999599</v>
      </c>
      <c r="AF4341">
        <v>-5.9405857141851103E-3</v>
      </c>
      <c r="AG4341">
        <v>-6.8767999999999899E-2</v>
      </c>
      <c r="AH4341">
        <v>0.36785522714311902</v>
      </c>
      <c r="AI4341">
        <v>100.587479053116</v>
      </c>
      <c r="AJ4341">
        <v>90.925203393705999</v>
      </c>
      <c r="AK4341">
        <v>0.37427502791282102</v>
      </c>
    </row>
    <row r="4342" spans="1:37" x14ac:dyDescent="0.2">
      <c r="A4342" t="str">
        <f>"20200111153738222"</f>
        <v>20200111153738222</v>
      </c>
      <c r="B4342" t="str">
        <f>"1578728258217104"</f>
        <v>1578728258217104</v>
      </c>
      <c r="C4342" t="s">
        <v>37</v>
      </c>
      <c r="D4342">
        <v>5.9277049999999996</v>
      </c>
      <c r="E4342">
        <v>0.55247609999999903</v>
      </c>
      <c r="F4342" t="s">
        <v>38</v>
      </c>
      <c r="G4342">
        <v>-417.73849999999999</v>
      </c>
      <c r="H4342">
        <v>1.0132369999999999</v>
      </c>
      <c r="I4342">
        <v>110.5369</v>
      </c>
      <c r="J4342">
        <v>-417.61799999999999</v>
      </c>
      <c r="K4342">
        <v>1.107413</v>
      </c>
      <c r="L4342">
        <v>111.1788</v>
      </c>
      <c r="M4342">
        <v>-0.1957525</v>
      </c>
      <c r="N4342">
        <v>0</v>
      </c>
      <c r="O4342">
        <v>-0.98055009999999998</v>
      </c>
      <c r="P4342">
        <v>-4.446311E-2</v>
      </c>
      <c r="Q4342">
        <v>5.235132E-2</v>
      </c>
      <c r="R4342">
        <v>-0.99763869999999899</v>
      </c>
      <c r="S4342">
        <v>-0.57040409999999997</v>
      </c>
      <c r="T4342">
        <v>-0.2778603</v>
      </c>
      <c r="U4342">
        <v>-2.9955599999999998</v>
      </c>
      <c r="V4342">
        <v>-0.1521555</v>
      </c>
      <c r="W4342">
        <v>6.5376180000000006E-2</v>
      </c>
      <c r="X4342">
        <v>0.98619199999999996</v>
      </c>
      <c r="Y4342">
        <v>-9.6363999999999998E-3</v>
      </c>
      <c r="Z4342">
        <v>8.8909539999999995E-2</v>
      </c>
      <c r="AA4342">
        <v>0.99599309999999996</v>
      </c>
      <c r="AB4342">
        <v>38</v>
      </c>
      <c r="AC4342">
        <v>-0.12049999999993501</v>
      </c>
      <c r="AD4342">
        <v>-9.4175999999999802E-2</v>
      </c>
      <c r="AE4342">
        <v>-0.64189999999999203</v>
      </c>
      <c r="AF4342">
        <v>-7.3452758665024298E-3</v>
      </c>
      <c r="AG4342">
        <v>-9.4175999999999802E-2</v>
      </c>
      <c r="AH4342">
        <v>0.63976710707921902</v>
      </c>
      <c r="AI4342">
        <v>98.373459531836104</v>
      </c>
      <c r="AJ4342">
        <v>90.657793768076303</v>
      </c>
      <c r="AK4342">
        <v>0.64670319571969603</v>
      </c>
    </row>
    <row r="4343" spans="1:37" x14ac:dyDescent="0.2">
      <c r="A4343" t="str">
        <f>"20200111153738245"</f>
        <v>20200111153738245</v>
      </c>
      <c r="B4343" t="str">
        <f>"1578728258237600"</f>
        <v>1578728258237600</v>
      </c>
      <c r="C4343" t="s">
        <v>37</v>
      </c>
      <c r="D4343">
        <v>5.8960039999999996</v>
      </c>
      <c r="E4343">
        <v>0.55282010000000004</v>
      </c>
      <c r="F4343" t="s">
        <v>38</v>
      </c>
      <c r="G4343">
        <v>-417.80340000000001</v>
      </c>
      <c r="H4343">
        <v>1.0172369999999999</v>
      </c>
      <c r="I4343">
        <v>110.2025</v>
      </c>
      <c r="J4343">
        <v>-417.69130000000001</v>
      </c>
      <c r="K4343">
        <v>1.107197</v>
      </c>
      <c r="L4343">
        <v>110.8018</v>
      </c>
      <c r="M4343">
        <v>-0.19373360000000001</v>
      </c>
      <c r="N4343">
        <v>0</v>
      </c>
      <c r="O4343">
        <v>-0.98095100000000002</v>
      </c>
      <c r="P4343">
        <v>-4.2708419999999997E-2</v>
      </c>
      <c r="Q4343">
        <v>5.196336E-2</v>
      </c>
      <c r="R4343">
        <v>-0.99773529999999999</v>
      </c>
      <c r="S4343">
        <v>-0.56823729999999995</v>
      </c>
      <c r="T4343">
        <v>-0.27689550000000002</v>
      </c>
      <c r="U4343">
        <v>-2.9963069999999998</v>
      </c>
      <c r="V4343">
        <v>-0.15182579999999901</v>
      </c>
      <c r="W4343">
        <v>6.5056439999999993E-2</v>
      </c>
      <c r="X4343">
        <v>0.98626399999999903</v>
      </c>
      <c r="Y4343">
        <v>-8.3138780000000002E-3</v>
      </c>
      <c r="Z4343">
        <v>8.8642380000000007E-2</v>
      </c>
      <c r="AA4343">
        <v>0.99602880000000005</v>
      </c>
      <c r="AB4343">
        <v>38</v>
      </c>
      <c r="AC4343">
        <v>-0.11209999999999801</v>
      </c>
      <c r="AD4343">
        <v>-8.9959999999999804E-2</v>
      </c>
      <c r="AE4343">
        <v>-0.59929999999999894</v>
      </c>
      <c r="AF4343">
        <v>-6.0097242614261604E-3</v>
      </c>
      <c r="AG4343">
        <v>-8.9959999999999804E-2</v>
      </c>
      <c r="AH4343">
        <v>0.59667311393347</v>
      </c>
      <c r="AI4343">
        <v>98.573441212013506</v>
      </c>
      <c r="AJ4343">
        <v>90.577066714012204</v>
      </c>
      <c r="AK4343">
        <v>0.60344653721498998</v>
      </c>
    </row>
    <row r="4344" spans="1:37" x14ac:dyDescent="0.2">
      <c r="A4344" t="str">
        <f>"20200111153738266"</f>
        <v>20200111153738266</v>
      </c>
      <c r="B4344" t="str">
        <f>"1578728258257123"</f>
        <v>1578728258257123</v>
      </c>
      <c r="C4344" t="s">
        <v>37</v>
      </c>
      <c r="D4344">
        <v>5.9251849999999999</v>
      </c>
      <c r="E4344">
        <v>0.55319130000000005</v>
      </c>
      <c r="F4344" t="s">
        <v>38</v>
      </c>
      <c r="G4344">
        <v>-417.86750000000001</v>
      </c>
      <c r="H4344">
        <v>1.0207489999999999</v>
      </c>
      <c r="I4344">
        <v>109.86839999999999</v>
      </c>
      <c r="J4344">
        <v>-417.760999999999</v>
      </c>
      <c r="K4344">
        <v>1.1070089999999999</v>
      </c>
      <c r="L4344">
        <v>110.4392</v>
      </c>
      <c r="M4344">
        <v>-0.19195319999999999</v>
      </c>
      <c r="N4344">
        <v>0</v>
      </c>
      <c r="O4344">
        <v>-0.98130119999999899</v>
      </c>
      <c r="P4344">
        <v>-4.1328620000000003E-2</v>
      </c>
      <c r="Q4344">
        <v>5.2362470000000001E-2</v>
      </c>
      <c r="R4344">
        <v>-0.99777289999999996</v>
      </c>
      <c r="S4344">
        <v>-0.56561280000000003</v>
      </c>
      <c r="T4344">
        <v>-0.27758649999999901</v>
      </c>
      <c r="U4344">
        <v>-2.997055</v>
      </c>
      <c r="V4344">
        <v>-0.1513678</v>
      </c>
      <c r="W4344">
        <v>6.5514639999999999E-2</v>
      </c>
      <c r="X4344">
        <v>0.98630399999999996</v>
      </c>
      <c r="Y4344">
        <v>-7.3907929999999997E-3</v>
      </c>
      <c r="Z4344">
        <v>8.8894989999999993E-2</v>
      </c>
      <c r="AA4344">
        <v>0.99601360000000005</v>
      </c>
      <c r="AB4344">
        <v>38</v>
      </c>
      <c r="AC4344">
        <v>-0.10650000000003899</v>
      </c>
      <c r="AD4344">
        <v>-8.6260000000000003E-2</v>
      </c>
      <c r="AE4344">
        <v>-0.57080000000000497</v>
      </c>
      <c r="AF4344">
        <v>-4.9495854254345602E-3</v>
      </c>
      <c r="AG4344">
        <v>-8.6260000000000003E-2</v>
      </c>
      <c r="AH4344">
        <v>0.56809096946773396</v>
      </c>
      <c r="AI4344">
        <v>98.633624522389198</v>
      </c>
      <c r="AJ4344">
        <v>90.499186213046798</v>
      </c>
      <c r="AK4344">
        <v>0.57462390794908103</v>
      </c>
    </row>
    <row r="4345" spans="1:37" x14ac:dyDescent="0.2">
      <c r="A4345" t="str">
        <f>"20200111153738290"</f>
        <v>20200111153738290</v>
      </c>
      <c r="B4345" t="str">
        <f>"1578728258277616"</f>
        <v>1578728258277616</v>
      </c>
      <c r="C4345" t="s">
        <v>37</v>
      </c>
      <c r="D4345">
        <v>6.3263590000000001</v>
      </c>
      <c r="E4345">
        <v>0.55336459999999998</v>
      </c>
      <c r="F4345" t="s">
        <v>38</v>
      </c>
      <c r="G4345">
        <v>-417.93169999999998</v>
      </c>
      <c r="H4345">
        <v>1.0238229999999999</v>
      </c>
      <c r="I4345">
        <v>109.5347</v>
      </c>
      <c r="J4345">
        <v>-417.83179999999999</v>
      </c>
      <c r="K4345">
        <v>1.106833</v>
      </c>
      <c r="L4345">
        <v>110.0684</v>
      </c>
      <c r="M4345">
        <v>-0.1902797</v>
      </c>
      <c r="N4345">
        <v>0</v>
      </c>
      <c r="O4345">
        <v>-0.98162700000000003</v>
      </c>
      <c r="P4345">
        <v>-3.959099E-2</v>
      </c>
      <c r="Q4345">
        <v>5.1996889999999997E-2</v>
      </c>
      <c r="R4345">
        <v>-0.99786189999999997</v>
      </c>
      <c r="S4345">
        <v>-0.56503300000000001</v>
      </c>
      <c r="T4345">
        <v>-0.27580739999999998</v>
      </c>
      <c r="U4345">
        <v>-2.99778699999999</v>
      </c>
      <c r="V4345">
        <v>-0.1513775</v>
      </c>
      <c r="W4345">
        <v>6.5200599999999997E-2</v>
      </c>
      <c r="X4345">
        <v>0.98632339999999996</v>
      </c>
      <c r="Y4345">
        <v>-5.9068549999999999E-3</v>
      </c>
      <c r="Z4345">
        <v>8.8354760000000004E-2</v>
      </c>
      <c r="AA4345">
        <v>0.99607159999999995</v>
      </c>
      <c r="AB4345">
        <v>38</v>
      </c>
      <c r="AC4345">
        <v>-9.9899999999990996E-2</v>
      </c>
      <c r="AD4345">
        <v>-8.301E-2</v>
      </c>
      <c r="AE4345">
        <v>-0.53369999999999596</v>
      </c>
      <c r="AF4345">
        <v>-3.4084266462744801E-3</v>
      </c>
      <c r="AG4345">
        <v>-8.301E-2</v>
      </c>
      <c r="AH4345">
        <v>0.53055753194837396</v>
      </c>
      <c r="AI4345">
        <v>98.892114851407896</v>
      </c>
      <c r="AJ4345">
        <v>90.368076529589899</v>
      </c>
      <c r="AK4345">
        <v>0.53702287863679798</v>
      </c>
    </row>
    <row r="4346" spans="1:37" x14ac:dyDescent="0.2">
      <c r="A4346" t="str">
        <f>"20200111153738313"</f>
        <v>20200111153738313</v>
      </c>
      <c r="B4346" t="str">
        <f>"1578728258307873"</f>
        <v>1578728258307873</v>
      </c>
      <c r="C4346" t="s">
        <v>37</v>
      </c>
      <c r="D4346">
        <v>5.7639629999999897</v>
      </c>
      <c r="E4346">
        <v>0.48620740000000001</v>
      </c>
      <c r="F4346" t="s">
        <v>38</v>
      </c>
      <c r="G4346">
        <v>-417.99400000000003</v>
      </c>
      <c r="H4346">
        <v>1.026831</v>
      </c>
      <c r="I4346">
        <v>109.2009</v>
      </c>
      <c r="J4346">
        <v>-417.90519999999998</v>
      </c>
      <c r="K4346">
        <v>1.1066689999999999</v>
      </c>
      <c r="L4346">
        <v>109.68089999999999</v>
      </c>
      <c r="M4346">
        <v>-0.18865580000000001</v>
      </c>
      <c r="N4346">
        <v>0</v>
      </c>
      <c r="O4346">
        <v>-0.98194099999999995</v>
      </c>
      <c r="P4346">
        <v>-3.7864149999999999E-2</v>
      </c>
      <c r="Q4346">
        <v>5.2322510000000003E-2</v>
      </c>
      <c r="R4346">
        <v>-0.99791229999999997</v>
      </c>
      <c r="S4346">
        <v>-0.56094359999999999</v>
      </c>
      <c r="T4346">
        <v>-0.276509</v>
      </c>
      <c r="U4346">
        <v>-2.998596</v>
      </c>
      <c r="V4346">
        <v>-0.15142459999999999</v>
      </c>
      <c r="W4346">
        <v>6.5573649999999997E-2</v>
      </c>
      <c r="X4346">
        <v>0.98629129999999998</v>
      </c>
      <c r="Y4346">
        <v>-5.6177090000000002E-3</v>
      </c>
      <c r="Z4346">
        <v>8.8607649999999996E-2</v>
      </c>
      <c r="AA4346">
        <v>0.99605080000000001</v>
      </c>
      <c r="AB4346">
        <v>38</v>
      </c>
      <c r="AC4346">
        <v>-8.8800000000048798E-2</v>
      </c>
      <c r="AD4346">
        <v>-7.9838000000000006E-2</v>
      </c>
      <c r="AE4346">
        <v>-0.47999999999998899</v>
      </c>
      <c r="AF4346">
        <v>-3.2712548740050302E-3</v>
      </c>
      <c r="AG4346">
        <v>-7.9838000000000006E-2</v>
      </c>
      <c r="AH4346">
        <v>0.47541602098381103</v>
      </c>
      <c r="AI4346">
        <v>99.532676220966394</v>
      </c>
      <c r="AJ4346">
        <v>90.394236062337299</v>
      </c>
      <c r="AK4346">
        <v>0.48208422538030699</v>
      </c>
    </row>
    <row r="4347" spans="1:37" x14ac:dyDescent="0.2">
      <c r="A4347" t="str">
        <f>"20200111153738335"</f>
        <v>20200111153738335</v>
      </c>
      <c r="B4347" t="str">
        <f>"1578728258327396"</f>
        <v>1578728258327396</v>
      </c>
      <c r="C4347" t="s">
        <v>37</v>
      </c>
      <c r="D4347">
        <v>5.8274809999999997</v>
      </c>
      <c r="E4347">
        <v>0.48662460000000002</v>
      </c>
      <c r="F4347" t="s">
        <v>39</v>
      </c>
      <c r="G4347">
        <v>-417.9991</v>
      </c>
      <c r="H4347" s="1">
        <v>-1.792057E-6</v>
      </c>
      <c r="I4347">
        <v>92.982749999999996</v>
      </c>
      <c r="J4347">
        <v>-417.97370000000001</v>
      </c>
      <c r="K4347">
        <v>1.106527</v>
      </c>
      <c r="L4347">
        <v>109.31610000000001</v>
      </c>
      <c r="M4347">
        <v>-0.18720899999999999</v>
      </c>
      <c r="N4347">
        <v>0</v>
      </c>
      <c r="O4347">
        <v>-0.98221809999999998</v>
      </c>
      <c r="P4347">
        <v>-3.5684390000000003E-2</v>
      </c>
      <c r="Q4347">
        <v>5.2681459999999999E-2</v>
      </c>
      <c r="R4347">
        <v>-0.99797380000000002</v>
      </c>
      <c r="S4347">
        <v>-1.696777E-2</v>
      </c>
      <c r="T4347">
        <v>-0.1998934</v>
      </c>
      <c r="U4347">
        <v>-3.0161129999999998</v>
      </c>
      <c r="V4347">
        <v>-0.1521026</v>
      </c>
      <c r="W4347">
        <v>6.5961899999999907E-2</v>
      </c>
      <c r="X4347">
        <v>0.98616119999999996</v>
      </c>
      <c r="Y4347">
        <v>-0.1817069</v>
      </c>
      <c r="Z4347">
        <v>6.3826640000000004E-2</v>
      </c>
      <c r="AA4347">
        <v>0.98127909999999996</v>
      </c>
      <c r="AB4347">
        <v>38</v>
      </c>
      <c r="AC4347">
        <v>-2.53999999999905E-2</v>
      </c>
      <c r="AD4347">
        <v>-1.1065287920569999</v>
      </c>
      <c r="AE4347">
        <v>-16.333349999999999</v>
      </c>
      <c r="AF4347">
        <v>-3.0192485923966901</v>
      </c>
      <c r="AG4347">
        <v>-1.1065287920569999</v>
      </c>
      <c r="AH4347">
        <v>15.975952221089701</v>
      </c>
      <c r="AI4347">
        <v>93.893400219888306</v>
      </c>
      <c r="AJ4347">
        <v>100.701942872443</v>
      </c>
      <c r="AK4347">
        <v>16.2963590228272</v>
      </c>
    </row>
    <row r="4348" spans="1:37" x14ac:dyDescent="0.2">
      <c r="A4348" t="str">
        <f>"20200111153738356"</f>
        <v>20200111153738356</v>
      </c>
      <c r="B4348" t="str">
        <f>"1578728258347888"</f>
        <v>1578728258347888</v>
      </c>
      <c r="C4348" t="s">
        <v>37</v>
      </c>
      <c r="D4348">
        <v>5.7214119999999999</v>
      </c>
      <c r="E4348">
        <v>0.48846729999999999</v>
      </c>
      <c r="F4348" t="s">
        <v>39</v>
      </c>
      <c r="G4348">
        <v>-418.05119999999999</v>
      </c>
      <c r="H4348" s="1">
        <v>-1.283013E-6</v>
      </c>
      <c r="I4348">
        <v>91.817719999999994</v>
      </c>
      <c r="J4348">
        <v>-418.041</v>
      </c>
      <c r="K4348">
        <v>1.106393</v>
      </c>
      <c r="L4348">
        <v>108.9552</v>
      </c>
      <c r="M4348">
        <v>-0.1858224</v>
      </c>
      <c r="N4348">
        <v>0</v>
      </c>
      <c r="O4348">
        <v>-0.98248199999999997</v>
      </c>
      <c r="P4348">
        <v>-3.3565890000000001E-2</v>
      </c>
      <c r="Q4348">
        <v>5.0751339999999999E-2</v>
      </c>
      <c r="R4348">
        <v>-0.99814740000000002</v>
      </c>
      <c r="S4348">
        <v>-1.33667E-2</v>
      </c>
      <c r="T4348">
        <v>-0.190699799999999</v>
      </c>
      <c r="U4348">
        <v>-3.0156860000000001</v>
      </c>
      <c r="V4348">
        <v>-0.1527963</v>
      </c>
      <c r="W4348">
        <v>6.4020510000000003E-2</v>
      </c>
      <c r="X4348">
        <v>0.98618189999999994</v>
      </c>
      <c r="Y4348">
        <v>-0.18148919999999999</v>
      </c>
      <c r="Z4348">
        <v>6.0937819999999997E-2</v>
      </c>
      <c r="AA4348">
        <v>0.98150309999999896</v>
      </c>
      <c r="AB4348">
        <v>38</v>
      </c>
      <c r="AC4348">
        <v>-1.0199999999997499E-2</v>
      </c>
      <c r="AD4348">
        <v>-1.106394283013</v>
      </c>
      <c r="AE4348">
        <v>-17.13748</v>
      </c>
      <c r="AF4348">
        <v>-3.16164482753751</v>
      </c>
      <c r="AG4348">
        <v>-1.106394283013</v>
      </c>
      <c r="AH4348">
        <v>16.770937115070499</v>
      </c>
      <c r="AI4348">
        <v>93.709236928544598</v>
      </c>
      <c r="AJ4348">
        <v>100.676061339282</v>
      </c>
      <c r="AK4348">
        <v>17.102176412452</v>
      </c>
    </row>
    <row r="4349" spans="1:37" x14ac:dyDescent="0.2">
      <c r="A4349" t="str">
        <f>"20200111153738379"</f>
        <v>20200111153738379</v>
      </c>
      <c r="B4349" t="str">
        <f>"1578728258367408"</f>
        <v>1578728258367408</v>
      </c>
      <c r="C4349" t="s">
        <v>37</v>
      </c>
      <c r="D4349">
        <v>5.9449750000000003</v>
      </c>
      <c r="E4349">
        <v>0.48985020000000001</v>
      </c>
      <c r="F4349" t="s">
        <v>39</v>
      </c>
      <c r="G4349">
        <v>-418.16699999999997</v>
      </c>
      <c r="H4349" s="1">
        <v>-1.2621120000000001E-6</v>
      </c>
      <c r="I4349">
        <v>91.816859999999906</v>
      </c>
      <c r="J4349">
        <v>-418.1096</v>
      </c>
      <c r="K4349">
        <v>1.1062540000000001</v>
      </c>
      <c r="L4349">
        <v>108.5852</v>
      </c>
      <c r="M4349">
        <v>-0.18442929999999999</v>
      </c>
      <c r="N4349">
        <v>0</v>
      </c>
      <c r="O4349">
        <v>-0.98274629999999996</v>
      </c>
      <c r="P4349">
        <v>-3.3154650000000001E-2</v>
      </c>
      <c r="Q4349">
        <v>4.7903019999999998E-2</v>
      </c>
      <c r="R4349">
        <v>-0.99830189999999996</v>
      </c>
      <c r="S4349">
        <v>-2.215576E-2</v>
      </c>
      <c r="T4349">
        <v>-0.1946204</v>
      </c>
      <c r="U4349">
        <v>-3.0147249999999999</v>
      </c>
      <c r="V4349">
        <v>-0.1518032</v>
      </c>
      <c r="W4349">
        <v>6.1088480000000001E-2</v>
      </c>
      <c r="X4349">
        <v>0.98652109999999904</v>
      </c>
      <c r="Y4349">
        <v>-0.1772309</v>
      </c>
      <c r="Z4349">
        <v>6.2255289999999998E-2</v>
      </c>
      <c r="AA4349">
        <v>0.98219829999999997</v>
      </c>
      <c r="AB4349">
        <v>38</v>
      </c>
      <c r="AC4349">
        <v>-5.7399999999972799E-2</v>
      </c>
      <c r="AD4349">
        <v>-1.1062552621120001</v>
      </c>
      <c r="AE4349">
        <v>-16.768339999999998</v>
      </c>
      <c r="AF4349">
        <v>-3.0233019463870701</v>
      </c>
      <c r="AG4349">
        <v>-1.1062552621120001</v>
      </c>
      <c r="AH4349">
        <v>16.419757979524</v>
      </c>
      <c r="AI4349">
        <v>93.790854478149498</v>
      </c>
      <c r="AJ4349">
        <v>100.432783087532</v>
      </c>
      <c r="AK4349">
        <v>16.7323820022769</v>
      </c>
    </row>
    <row r="4350" spans="1:37" x14ac:dyDescent="0.2">
      <c r="A4350" t="str">
        <f>"20200111153738401"</f>
        <v>20200111153738401</v>
      </c>
      <c r="B4350" t="str">
        <f>"1578728258397664"</f>
        <v>1578728258397664</v>
      </c>
      <c r="C4350" t="s">
        <v>37</v>
      </c>
      <c r="D4350">
        <v>5.7679799999999997</v>
      </c>
      <c r="E4350">
        <v>0.49151819999999902</v>
      </c>
      <c r="F4350" t="s">
        <v>39</v>
      </c>
      <c r="G4350">
        <v>-418.29149999999998</v>
      </c>
      <c r="H4350" s="1">
        <v>-9.0593869999999997E-7</v>
      </c>
      <c r="I4350">
        <v>90.974369999999993</v>
      </c>
      <c r="J4350">
        <v>-418.17779999999999</v>
      </c>
      <c r="K4350">
        <v>1.1061319999999999</v>
      </c>
      <c r="L4350">
        <v>108.2141</v>
      </c>
      <c r="M4350">
        <v>-0.18305679999999999</v>
      </c>
      <c r="N4350">
        <v>0</v>
      </c>
      <c r="O4350">
        <v>-0.98300589999999999</v>
      </c>
      <c r="P4350">
        <v>-3.3876829999999997E-2</v>
      </c>
      <c r="Q4350">
        <v>4.5338709999999997E-2</v>
      </c>
      <c r="R4350">
        <v>-0.9983976</v>
      </c>
      <c r="S4350">
        <v>-3.1127930000000002E-2</v>
      </c>
      <c r="T4350">
        <v>-0.18927649999999999</v>
      </c>
      <c r="U4350">
        <v>-3.013153</v>
      </c>
      <c r="V4350">
        <v>-0.14971010000000001</v>
      </c>
      <c r="W4350">
        <v>5.8358229999999997E-2</v>
      </c>
      <c r="X4350">
        <v>0.98700619999999994</v>
      </c>
      <c r="Y4350">
        <v>-0.17292550000000001</v>
      </c>
      <c r="Z4350">
        <v>6.0631570000000003E-2</v>
      </c>
      <c r="AA4350">
        <v>0.98306689999999997</v>
      </c>
      <c r="AB4350">
        <v>38</v>
      </c>
      <c r="AC4350">
        <v>-0.113699999999994</v>
      </c>
      <c r="AD4350">
        <v>-1.1061329059387</v>
      </c>
      <c r="AE4350">
        <v>-17.239730000000002</v>
      </c>
      <c r="AF4350">
        <v>-3.03188970249608</v>
      </c>
      <c r="AG4350">
        <v>-1.1061329059387</v>
      </c>
      <c r="AH4350">
        <v>16.899610370916101</v>
      </c>
      <c r="AI4350">
        <v>93.686161837402196</v>
      </c>
      <c r="AJ4350">
        <v>100.170998805341</v>
      </c>
      <c r="AK4350">
        <v>17.2050200773634</v>
      </c>
    </row>
    <row r="4351" spans="1:37" x14ac:dyDescent="0.2">
      <c r="A4351" t="str">
        <f>"20200111153738424"</f>
        <v>20200111153738424</v>
      </c>
      <c r="B4351" t="str">
        <f>"1578728258417187"</f>
        <v>1578728258417187</v>
      </c>
      <c r="C4351" t="s">
        <v>37</v>
      </c>
      <c r="D4351">
        <v>6.0672579999999998</v>
      </c>
      <c r="E4351">
        <v>0.4923999</v>
      </c>
      <c r="F4351" t="s">
        <v>39</v>
      </c>
      <c r="G4351">
        <v>-418.46080000000001</v>
      </c>
      <c r="H4351" s="1">
        <v>-4.4968489999999997E-6</v>
      </c>
      <c r="I4351">
        <v>89.478619999999907</v>
      </c>
      <c r="J4351">
        <v>-418.24669999999998</v>
      </c>
      <c r="K4351">
        <v>1.106028</v>
      </c>
      <c r="L4351">
        <v>107.83580000000001</v>
      </c>
      <c r="M4351">
        <v>-0.18167610000000001</v>
      </c>
      <c r="N4351">
        <v>0</v>
      </c>
      <c r="O4351">
        <v>-0.98326559999999896</v>
      </c>
      <c r="P4351">
        <v>-3.5448790000000001E-2</v>
      </c>
      <c r="Q4351">
        <v>4.596008E-2</v>
      </c>
      <c r="R4351">
        <v>-0.998314699999999</v>
      </c>
      <c r="S4351">
        <v>-4.5501710000000001E-2</v>
      </c>
      <c r="T4351">
        <v>-0.177789</v>
      </c>
      <c r="U4351">
        <v>-3.01135299999999</v>
      </c>
      <c r="V4351">
        <v>-0.14675350000000001</v>
      </c>
      <c r="W4351">
        <v>5.8765690000000002E-2</v>
      </c>
      <c r="X4351">
        <v>0.98742589999999997</v>
      </c>
      <c r="Y4351">
        <v>-0.16683789999999901</v>
      </c>
      <c r="Z4351">
        <v>5.7050799999999999E-2</v>
      </c>
      <c r="AA4351">
        <v>0.9843324</v>
      </c>
      <c r="AB4351">
        <v>38</v>
      </c>
      <c r="AC4351">
        <v>-0.21410000000002999</v>
      </c>
      <c r="AD4351">
        <v>-1.1060324968490001</v>
      </c>
      <c r="AE4351">
        <v>-18.35718</v>
      </c>
      <c r="AF4351">
        <v>-3.1135279261153799</v>
      </c>
      <c r="AG4351">
        <v>-1.1060324968490001</v>
      </c>
      <c r="AH4351">
        <v>18.0251069570363</v>
      </c>
      <c r="AI4351">
        <v>93.460190987342202</v>
      </c>
      <c r="AJ4351">
        <v>99.800158440043703</v>
      </c>
      <c r="AK4351">
        <v>18.325442555184999</v>
      </c>
    </row>
    <row r="4352" spans="1:37" x14ac:dyDescent="0.2">
      <c r="A4352" t="str">
        <f>"20200111153738446"</f>
        <v>20200111153738446</v>
      </c>
      <c r="B4352" t="str">
        <f>"1578728258437456"</f>
        <v>1578728258437456</v>
      </c>
      <c r="C4352" t="s">
        <v>37</v>
      </c>
      <c r="D4352">
        <v>5.6669039999999997</v>
      </c>
      <c r="E4352">
        <v>0.49284939999999999</v>
      </c>
      <c r="F4352" t="s">
        <v>39</v>
      </c>
      <c r="G4352">
        <v>-418.62040000000002</v>
      </c>
      <c r="H4352" s="1">
        <v>-3.8905469999999997E-6</v>
      </c>
      <c r="I4352">
        <v>88.131290000000007</v>
      </c>
      <c r="J4352">
        <v>-418.31380000000001</v>
      </c>
      <c r="K4352">
        <v>1.1059479999999999</v>
      </c>
      <c r="L4352">
        <v>107.4654</v>
      </c>
      <c r="M4352">
        <v>-0.18033460000000001</v>
      </c>
      <c r="N4352">
        <v>0</v>
      </c>
      <c r="O4352">
        <v>-0.98351599999999995</v>
      </c>
      <c r="P4352">
        <v>-3.5443889999999999E-2</v>
      </c>
      <c r="Q4352">
        <v>4.9200439999999998E-2</v>
      </c>
      <c r="R4352">
        <v>-0.99816000000000005</v>
      </c>
      <c r="S4352">
        <v>-5.7098389999999999E-2</v>
      </c>
      <c r="T4352">
        <v>-0.16899990000000001</v>
      </c>
      <c r="U4352">
        <v>-3.010818</v>
      </c>
      <c r="V4352">
        <v>-0.14538409999999999</v>
      </c>
      <c r="W4352">
        <v>6.1775730000000001E-2</v>
      </c>
      <c r="X4352">
        <v>0.98744480000000001</v>
      </c>
      <c r="Y4352">
        <v>-0.16169439999999999</v>
      </c>
      <c r="Z4352">
        <v>5.4292199999999999E-2</v>
      </c>
      <c r="AA4352">
        <v>0.98534630000000001</v>
      </c>
      <c r="AB4352">
        <v>38</v>
      </c>
      <c r="AC4352">
        <v>-0.30660000000000298</v>
      </c>
      <c r="AD4352">
        <v>-1.1059518905469901</v>
      </c>
      <c r="AE4352">
        <v>-19.3341099999999</v>
      </c>
      <c r="AF4352">
        <v>-3.1749567427746199</v>
      </c>
      <c r="AG4352">
        <v>-1.1059518905469901</v>
      </c>
      <c r="AH4352">
        <v>19.010185557828802</v>
      </c>
      <c r="AI4352">
        <v>93.284146071916695</v>
      </c>
      <c r="AJ4352">
        <v>99.481653533902104</v>
      </c>
      <c r="AK4352">
        <v>19.3051970941966</v>
      </c>
    </row>
    <row r="4353" spans="1:37" x14ac:dyDescent="0.2">
      <c r="A4353" t="str">
        <f>"20200111153738468"</f>
        <v>20200111153738468</v>
      </c>
      <c r="B4353" t="str">
        <f>"1578728258457953"</f>
        <v>1578728258457953</v>
      </c>
      <c r="C4353" t="s">
        <v>37</v>
      </c>
      <c r="D4353">
        <v>5.8048199999999897</v>
      </c>
      <c r="E4353">
        <v>0.49360500000000002</v>
      </c>
      <c r="F4353" t="s">
        <v>39</v>
      </c>
      <c r="G4353">
        <v>-418.7439</v>
      </c>
      <c r="H4353" s="1">
        <v>-3.105239E-6</v>
      </c>
      <c r="I4353">
        <v>86.351780000000005</v>
      </c>
      <c r="J4353">
        <v>-418.37979999999999</v>
      </c>
      <c r="K4353">
        <v>1.105866</v>
      </c>
      <c r="L4353">
        <v>107.09820000000001</v>
      </c>
      <c r="M4353">
        <v>-0.17902799999999999</v>
      </c>
      <c r="N4353">
        <v>0</v>
      </c>
      <c r="O4353">
        <v>-0.98375820000000003</v>
      </c>
      <c r="P4353">
        <v>-3.4548330000000002E-2</v>
      </c>
      <c r="Q4353">
        <v>5.201426E-2</v>
      </c>
      <c r="R4353">
        <v>-0.99804899999999996</v>
      </c>
      <c r="S4353">
        <v>-6.1340329999999998E-2</v>
      </c>
      <c r="T4353">
        <v>-0.15772629999999899</v>
      </c>
      <c r="U4353">
        <v>-3.011139</v>
      </c>
      <c r="V4353">
        <v>-0.14493210000000001</v>
      </c>
      <c r="W4353">
        <v>6.4339820000000006E-2</v>
      </c>
      <c r="X4353">
        <v>0.98734750000000004</v>
      </c>
      <c r="Y4353">
        <v>-0.1589932</v>
      </c>
      <c r="Z4353">
        <v>5.0704840000000001E-2</v>
      </c>
      <c r="AA4353">
        <v>0.98597679999999999</v>
      </c>
      <c r="AB4353">
        <v>38</v>
      </c>
      <c r="AC4353">
        <v>-0.36410000000000697</v>
      </c>
      <c r="AD4353">
        <v>-1.1058691052389999</v>
      </c>
      <c r="AE4353">
        <v>-20.746420000000001</v>
      </c>
      <c r="AF4353">
        <v>-3.3467805988018702</v>
      </c>
      <c r="AG4353">
        <v>-1.1058691052389999</v>
      </c>
      <c r="AH4353">
        <v>20.418375550625299</v>
      </c>
      <c r="AI4353">
        <v>93.059392081474996</v>
      </c>
      <c r="AJ4353">
        <v>99.308590017400604</v>
      </c>
      <c r="AK4353">
        <v>20.720375165059501</v>
      </c>
    </row>
    <row r="4354" spans="1:37" x14ac:dyDescent="0.2">
      <c r="A4354" t="str">
        <f>"20200111153738491"</f>
        <v>20200111153738491</v>
      </c>
      <c r="B4354" t="str">
        <f>"1578728258487232"</f>
        <v>1578728258487232</v>
      </c>
      <c r="C4354" t="s">
        <v>37</v>
      </c>
      <c r="D4354">
        <v>5.8301910000000001</v>
      </c>
      <c r="E4354">
        <v>0.49444849999999901</v>
      </c>
      <c r="F4354" t="s">
        <v>39</v>
      </c>
      <c r="G4354">
        <v>-418.87549999999999</v>
      </c>
      <c r="H4354" s="1">
        <v>-2.0980160000000001E-6</v>
      </c>
      <c r="I4354">
        <v>84.058340000000001</v>
      </c>
      <c r="J4354">
        <v>-418.44529999999997</v>
      </c>
      <c r="K4354">
        <v>1.105764</v>
      </c>
      <c r="L4354">
        <v>106.732</v>
      </c>
      <c r="M4354">
        <v>-0.1777715</v>
      </c>
      <c r="N4354">
        <v>0</v>
      </c>
      <c r="O4354">
        <v>-0.98399009999999998</v>
      </c>
      <c r="P4354">
        <v>-3.299113E-2</v>
      </c>
      <c r="Q4354">
        <v>5.329979E-2</v>
      </c>
      <c r="R4354">
        <v>-0.99803369999999902</v>
      </c>
      <c r="S4354">
        <v>-6.4788819999999997E-2</v>
      </c>
      <c r="T4354">
        <v>-0.1445285</v>
      </c>
      <c r="U4354">
        <v>-3.011139</v>
      </c>
      <c r="V4354">
        <v>-0.1451926</v>
      </c>
      <c r="W4354">
        <v>6.5360000000000001E-2</v>
      </c>
      <c r="X4354">
        <v>0.98724219999999896</v>
      </c>
      <c r="Y4354">
        <v>-0.1565983</v>
      </c>
      <c r="Z4354">
        <v>4.6497219999999999E-2</v>
      </c>
      <c r="AA4354">
        <v>0.98656730000000004</v>
      </c>
      <c r="AB4354">
        <v>38</v>
      </c>
      <c r="AC4354">
        <v>-0.43020000000001302</v>
      </c>
      <c r="AD4354">
        <v>-1.105766098016</v>
      </c>
      <c r="AE4354">
        <v>-22.673660000000002</v>
      </c>
      <c r="AF4354">
        <v>-3.5991509291487298</v>
      </c>
      <c r="AG4354">
        <v>-1.105766098016</v>
      </c>
      <c r="AH4354">
        <v>22.335829930928401</v>
      </c>
      <c r="AI4354">
        <v>92.7981563365135</v>
      </c>
      <c r="AJ4354">
        <v>99.153840599440301</v>
      </c>
      <c r="AK4354">
        <v>22.650958142596799</v>
      </c>
    </row>
    <row r="4355" spans="1:37" x14ac:dyDescent="0.2">
      <c r="A4355" t="str">
        <f>"20200111153738514"</f>
        <v>20200111153738514</v>
      </c>
      <c r="B4355" t="str">
        <f>"1578728258507731"</f>
        <v>1578728258507731</v>
      </c>
      <c r="C4355" t="s">
        <v>37</v>
      </c>
      <c r="D4355">
        <v>5.7559940000000003</v>
      </c>
      <c r="E4355">
        <v>0.49458770000000002</v>
      </c>
      <c r="F4355" t="s">
        <v>39</v>
      </c>
      <c r="G4355">
        <v>-418.97609999999997</v>
      </c>
      <c r="H4355" s="1">
        <v>-1.331496E-6</v>
      </c>
      <c r="I4355">
        <v>82.313159999999996</v>
      </c>
      <c r="J4355">
        <v>-418.51569999999998</v>
      </c>
      <c r="K4355">
        <v>1.105639</v>
      </c>
      <c r="L4355">
        <v>106.3356</v>
      </c>
      <c r="M4355">
        <v>-0.17649279999999901</v>
      </c>
      <c r="N4355">
        <v>0</v>
      </c>
      <c r="O4355">
        <v>-0.98422399999999999</v>
      </c>
      <c r="P4355">
        <v>-3.0476380000000001E-2</v>
      </c>
      <c r="Q4355">
        <v>5.2318139999999999E-2</v>
      </c>
      <c r="R4355">
        <v>-0.99816569999999905</v>
      </c>
      <c r="S4355">
        <v>-6.5460210000000005E-2</v>
      </c>
      <c r="T4355">
        <v>-0.13634930000000001</v>
      </c>
      <c r="U4355">
        <v>-3.0110320000000002</v>
      </c>
      <c r="V4355">
        <v>-0.1463904</v>
      </c>
      <c r="W4355">
        <v>6.4094750000000006E-2</v>
      </c>
      <c r="X4355">
        <v>0.98714829999999998</v>
      </c>
      <c r="Y4355">
        <v>-0.15509110000000001</v>
      </c>
      <c r="Z4355">
        <v>4.3893769999999999E-2</v>
      </c>
      <c r="AA4355">
        <v>0.98692459999999904</v>
      </c>
      <c r="AB4355">
        <v>38</v>
      </c>
      <c r="AC4355">
        <v>-0.46039999999999198</v>
      </c>
      <c r="AD4355">
        <v>-1.1056403314959999</v>
      </c>
      <c r="AE4355">
        <v>-24.02244</v>
      </c>
      <c r="AF4355">
        <v>-3.77893935675944</v>
      </c>
      <c r="AG4355">
        <v>-1.1056403314959999</v>
      </c>
      <c r="AH4355">
        <v>23.676403270797</v>
      </c>
      <c r="AI4355">
        <v>92.640284623976697</v>
      </c>
      <c r="AJ4355">
        <v>99.068366781412095</v>
      </c>
      <c r="AK4355">
        <v>24.0015602627434</v>
      </c>
    </row>
    <row r="4356" spans="1:37" x14ac:dyDescent="0.2">
      <c r="A4356" t="str">
        <f>"20200111153738536"</f>
        <v>20200111153738536</v>
      </c>
      <c r="B4356" t="str">
        <f>"1578728258527249"</f>
        <v>1578728258527249</v>
      </c>
      <c r="C4356" t="s">
        <v>37</v>
      </c>
      <c r="D4356">
        <v>5.7699730000000002</v>
      </c>
      <c r="E4356">
        <v>0.494838</v>
      </c>
      <c r="F4356" t="s">
        <v>39</v>
      </c>
      <c r="G4356">
        <v>-418.97210000000001</v>
      </c>
      <c r="H4356" s="1">
        <v>-1.669082E-6</v>
      </c>
      <c r="I4356">
        <v>83.098419999999905</v>
      </c>
      <c r="J4356">
        <v>-418.57979999999998</v>
      </c>
      <c r="K4356">
        <v>1.1055120000000001</v>
      </c>
      <c r="L4356">
        <v>105.9722</v>
      </c>
      <c r="M4356">
        <v>-0.17542160000000001</v>
      </c>
      <c r="N4356">
        <v>0</v>
      </c>
      <c r="O4356">
        <v>-0.98441869999999998</v>
      </c>
      <c r="P4356">
        <v>-2.7881030000000001E-2</v>
      </c>
      <c r="Q4356">
        <v>5.0426890000000002E-2</v>
      </c>
      <c r="R4356">
        <v>-0.99833879999999997</v>
      </c>
      <c r="S4356">
        <v>-5.9143069999999999E-2</v>
      </c>
      <c r="T4356">
        <v>-0.14327570000000001</v>
      </c>
      <c r="U4356">
        <v>-3.011215</v>
      </c>
      <c r="V4356">
        <v>-0.1478807</v>
      </c>
      <c r="W4356">
        <v>6.1960399999999999E-2</v>
      </c>
      <c r="X4356">
        <v>0.98706240000000001</v>
      </c>
      <c r="Y4356">
        <v>-0.15608810000000001</v>
      </c>
      <c r="Z4356">
        <v>4.6126680000000003E-2</v>
      </c>
      <c r="AA4356">
        <v>0.98666549999999997</v>
      </c>
      <c r="AB4356">
        <v>38</v>
      </c>
      <c r="AC4356">
        <v>-0.39230000000003401</v>
      </c>
      <c r="AD4356">
        <v>-1.105513669082</v>
      </c>
      <c r="AE4356">
        <v>-22.87378</v>
      </c>
      <c r="AF4356">
        <v>-3.6181851552389199</v>
      </c>
      <c r="AG4356">
        <v>-1.105513669082</v>
      </c>
      <c r="AH4356">
        <v>22.535231558892502</v>
      </c>
      <c r="AI4356">
        <v>92.773055990389295</v>
      </c>
      <c r="AJ4356">
        <v>99.121381404774496</v>
      </c>
      <c r="AK4356">
        <v>22.850603617913901</v>
      </c>
    </row>
    <row r="4357" spans="1:37" x14ac:dyDescent="0.2">
      <c r="A4357" t="str">
        <f>"20200111153738557"</f>
        <v>20200111153738557</v>
      </c>
      <c r="B4357" t="str">
        <f>"1578728258547744"</f>
        <v>1578728258547744</v>
      </c>
      <c r="C4357" t="s">
        <v>37</v>
      </c>
      <c r="D4357">
        <v>5.7446729999999997</v>
      </c>
      <c r="E4357">
        <v>0.49499409999999999</v>
      </c>
      <c r="F4357" t="s">
        <v>39</v>
      </c>
      <c r="G4357">
        <v>-418.96730000000002</v>
      </c>
      <c r="H4357" s="1">
        <v>-2.2106859999999999E-6</v>
      </c>
      <c r="I4357">
        <v>84.358919999999998</v>
      </c>
      <c r="J4357">
        <v>-418.64490000000001</v>
      </c>
      <c r="K4357">
        <v>1.1053729999999999</v>
      </c>
      <c r="L4357">
        <v>105.60209999999999</v>
      </c>
      <c r="M4357">
        <v>-0.17445150000000001</v>
      </c>
      <c r="N4357">
        <v>0</v>
      </c>
      <c r="O4357">
        <v>-0.98459430000000003</v>
      </c>
      <c r="P4357">
        <v>-2.5905460000000002E-2</v>
      </c>
      <c r="Q4357">
        <v>4.8703219999999998E-2</v>
      </c>
      <c r="R4357">
        <v>-0.99847759999999997</v>
      </c>
      <c r="S4357">
        <v>-5.3985600000000002E-2</v>
      </c>
      <c r="T4357">
        <v>-0.15402569999999999</v>
      </c>
      <c r="U4357">
        <v>-3.0112759999999898</v>
      </c>
      <c r="V4357">
        <v>-0.14885570000000001</v>
      </c>
      <c r="W4357">
        <v>6.0015649999999997E-2</v>
      </c>
      <c r="X4357">
        <v>0.98703600000000002</v>
      </c>
      <c r="Y4357">
        <v>-0.15680669999999999</v>
      </c>
      <c r="Z4357">
        <v>4.9588970000000003E-2</v>
      </c>
      <c r="AA4357">
        <v>0.98638359999999903</v>
      </c>
      <c r="AB4357">
        <v>38</v>
      </c>
      <c r="AC4357">
        <v>-0.32240000000001601</v>
      </c>
      <c r="AD4357">
        <v>-1.105375210686</v>
      </c>
      <c r="AE4357">
        <v>-21.243179999999899</v>
      </c>
      <c r="AF4357">
        <v>-3.3795615759632001</v>
      </c>
      <c r="AG4357">
        <v>-1.105375210686</v>
      </c>
      <c r="AH4357">
        <v>20.917011734963999</v>
      </c>
      <c r="AI4357">
        <v>92.986367895034803</v>
      </c>
      <c r="AJ4357">
        <v>99.177964371076797</v>
      </c>
      <c r="AK4357">
        <v>21.217084406740401</v>
      </c>
    </row>
    <row r="4358" spans="1:37" x14ac:dyDescent="0.2">
      <c r="A4358" t="str">
        <f>"20200111153738580"</f>
        <v>20200111153738580</v>
      </c>
      <c r="B4358" t="str">
        <f>"1578728258577025"</f>
        <v>1578728258577025</v>
      </c>
      <c r="C4358" t="s">
        <v>37</v>
      </c>
      <c r="D4358">
        <v>5.7959329999999998</v>
      </c>
      <c r="E4358">
        <v>0.495389999999999</v>
      </c>
      <c r="F4358" t="s">
        <v>39</v>
      </c>
      <c r="G4358">
        <v>-418.98129999999998</v>
      </c>
      <c r="H4358" s="1">
        <v>-2.558425E-6</v>
      </c>
      <c r="I4358">
        <v>85.175319999999999</v>
      </c>
      <c r="J4358">
        <v>-418.71039999999999</v>
      </c>
      <c r="K4358">
        <v>1.105237</v>
      </c>
      <c r="L4358">
        <v>105.2282</v>
      </c>
      <c r="M4358">
        <v>-0.1736115</v>
      </c>
      <c r="N4358">
        <v>0</v>
      </c>
      <c r="O4358">
        <v>-0.98474549999999905</v>
      </c>
      <c r="P4358">
        <v>-2.444561E-2</v>
      </c>
      <c r="Q4358">
        <v>4.6876439999999998E-2</v>
      </c>
      <c r="R4358">
        <v>-0.99860159999999998</v>
      </c>
      <c r="S4358">
        <v>-4.9591059999999999E-2</v>
      </c>
      <c r="T4358">
        <v>-0.16294979999999901</v>
      </c>
      <c r="U4358">
        <v>-3.0112299999999999</v>
      </c>
      <c r="V4358">
        <v>-0.14945059999999999</v>
      </c>
      <c r="W4358">
        <v>5.7995959999999999E-2</v>
      </c>
      <c r="X4358">
        <v>0.98706689999999997</v>
      </c>
      <c r="Y4358">
        <v>-0.15740479999999901</v>
      </c>
      <c r="Z4358">
        <v>5.246485E-2</v>
      </c>
      <c r="AA4358">
        <v>0.98613949999999995</v>
      </c>
      <c r="AB4358">
        <v>38</v>
      </c>
      <c r="AC4358">
        <v>-0.27089999999998299</v>
      </c>
      <c r="AD4358">
        <v>-1.1052395584250001</v>
      </c>
      <c r="AE4358">
        <v>-20.052879999999998</v>
      </c>
      <c r="AF4358">
        <v>-3.2051258307834298</v>
      </c>
      <c r="AG4358">
        <v>-1.1052395584250001</v>
      </c>
      <c r="AH4358">
        <v>19.735413046938</v>
      </c>
      <c r="AI4358">
        <v>93.164010790049502</v>
      </c>
      <c r="AJ4358">
        <v>99.224571996471497</v>
      </c>
      <c r="AK4358">
        <v>20.0245078392932</v>
      </c>
    </row>
    <row r="4359" spans="1:37" x14ac:dyDescent="0.2">
      <c r="A4359" t="str">
        <f>"20200111153738603"</f>
        <v>20200111153738603</v>
      </c>
      <c r="B4359" t="str">
        <f>"1578728258597520"</f>
        <v>1578728258597520</v>
      </c>
      <c r="C4359" t="s">
        <v>37</v>
      </c>
      <c r="D4359">
        <v>5.802937</v>
      </c>
      <c r="E4359">
        <v>0.49549729999999997</v>
      </c>
      <c r="F4359" t="s">
        <v>39</v>
      </c>
      <c r="G4359">
        <v>-419.0197</v>
      </c>
      <c r="H4359" s="1">
        <v>-2.9087199999999999E-6</v>
      </c>
      <c r="I4359">
        <v>86.007739999999998</v>
      </c>
      <c r="J4359">
        <v>-418.77659999999997</v>
      </c>
      <c r="K4359">
        <v>1.1051029999999999</v>
      </c>
      <c r="L4359">
        <v>104.84910000000001</v>
      </c>
      <c r="M4359">
        <v>-0.1729088</v>
      </c>
      <c r="N4359">
        <v>0</v>
      </c>
      <c r="O4359">
        <v>-0.98487179999999996</v>
      </c>
      <c r="P4359">
        <v>-2.3236900000000001E-2</v>
      </c>
      <c r="Q4359">
        <v>4.6435959999999998E-2</v>
      </c>
      <c r="R4359">
        <v>-0.99865139999999997</v>
      </c>
      <c r="S4359">
        <v>-4.8461909999999997E-2</v>
      </c>
      <c r="T4359">
        <v>-0.17315069999999999</v>
      </c>
      <c r="U4359">
        <v>-3.011139</v>
      </c>
      <c r="V4359">
        <v>-0.14992610000000001</v>
      </c>
      <c r="W4359">
        <v>5.7386630000000001E-2</v>
      </c>
      <c r="X4359">
        <v>0.98703039999999997</v>
      </c>
      <c r="Y4359">
        <v>-0.15707160000000001</v>
      </c>
      <c r="Z4359">
        <v>5.5752820000000002E-2</v>
      </c>
      <c r="AA4359">
        <v>0.98601219999999901</v>
      </c>
      <c r="AB4359">
        <v>38</v>
      </c>
      <c r="AC4359">
        <v>-0.24310000000002599</v>
      </c>
      <c r="AD4359">
        <v>-1.1051059087199999</v>
      </c>
      <c r="AE4359">
        <v>-18.841360000000002</v>
      </c>
      <c r="AF4359">
        <v>-3.0082636600232</v>
      </c>
      <c r="AG4359">
        <v>-1.1051059087199999</v>
      </c>
      <c r="AH4359">
        <v>18.5358118339126</v>
      </c>
      <c r="AI4359">
        <v>93.367974301148806</v>
      </c>
      <c r="AJ4359">
        <v>99.218424582121202</v>
      </c>
      <c r="AK4359">
        <v>18.8108274581401</v>
      </c>
    </row>
    <row r="4360" spans="1:37" x14ac:dyDescent="0.2">
      <c r="A4360" t="str">
        <f>"20200111153738626"</f>
        <v>20200111153738626</v>
      </c>
      <c r="B4360" t="str">
        <f>"1578728258617041"</f>
        <v>1578728258617041</v>
      </c>
      <c r="C4360" t="s">
        <v>37</v>
      </c>
      <c r="D4360">
        <v>5.7471439999999996</v>
      </c>
      <c r="E4360">
        <v>0.49567</v>
      </c>
      <c r="F4360" t="s">
        <v>39</v>
      </c>
      <c r="G4360">
        <v>-419.06509999999997</v>
      </c>
      <c r="H4360" s="1">
        <v>-2.9313089999999998E-6</v>
      </c>
      <c r="I4360">
        <v>86.079160000000002</v>
      </c>
      <c r="J4360">
        <v>-418.84500000000003</v>
      </c>
      <c r="K4360">
        <v>1.104986</v>
      </c>
      <c r="L4360">
        <v>104.4562</v>
      </c>
      <c r="M4360">
        <v>-0.17230290000000001</v>
      </c>
      <c r="N4360">
        <v>0</v>
      </c>
      <c r="O4360">
        <v>-0.98498019999999997</v>
      </c>
      <c r="P4360">
        <v>-2.2706690000000002E-2</v>
      </c>
      <c r="Q4360">
        <v>4.6186230000000002E-2</v>
      </c>
      <c r="R4360">
        <v>-0.99867490000000003</v>
      </c>
      <c r="S4360">
        <v>-4.6295169999999997E-2</v>
      </c>
      <c r="T4360">
        <v>-0.17729010000000001</v>
      </c>
      <c r="U4360">
        <v>-3.0112299999999999</v>
      </c>
      <c r="V4360">
        <v>-0.1498283</v>
      </c>
      <c r="W4360">
        <v>5.6984359999999998E-2</v>
      </c>
      <c r="X4360">
        <v>0.98706849999999902</v>
      </c>
      <c r="Y4360">
        <v>-0.15717449999999999</v>
      </c>
      <c r="Z4360">
        <v>5.7088599999999899E-2</v>
      </c>
      <c r="AA4360">
        <v>0.9859194</v>
      </c>
      <c r="AB4360">
        <v>38</v>
      </c>
      <c r="AC4360">
        <v>-0.22009999999994501</v>
      </c>
      <c r="AD4360">
        <v>-1.104988931309</v>
      </c>
      <c r="AE4360">
        <v>-18.377039999999901</v>
      </c>
      <c r="AF4360">
        <v>-2.9391835634792902</v>
      </c>
      <c r="AG4360">
        <v>-1.104988931309</v>
      </c>
      <c r="AH4360">
        <v>18.074745367803001</v>
      </c>
      <c r="AI4360">
        <v>93.453144061110606</v>
      </c>
      <c r="AJ4360">
        <v>99.236178530260204</v>
      </c>
      <c r="AK4360">
        <v>18.3454686685584</v>
      </c>
    </row>
    <row r="4361" spans="1:37" x14ac:dyDescent="0.2">
      <c r="A4361" t="str">
        <f>"20200111153738647"</f>
        <v>20200111153738647</v>
      </c>
      <c r="B4361" t="str">
        <f>"1578728258637537"</f>
        <v>1578728258637537</v>
      </c>
      <c r="C4361" t="s">
        <v>37</v>
      </c>
      <c r="D4361">
        <v>5.7486559999999898</v>
      </c>
      <c r="E4361">
        <v>0.49579790000000001</v>
      </c>
      <c r="F4361" t="s">
        <v>39</v>
      </c>
      <c r="G4361">
        <v>-419.12259999999998</v>
      </c>
      <c r="H4361" s="1">
        <v>-2.916709E-6</v>
      </c>
      <c r="I4361">
        <v>86.068910000000002</v>
      </c>
      <c r="J4361">
        <v>-418.90730000000002</v>
      </c>
      <c r="K4361">
        <v>1.1048959999999901</v>
      </c>
      <c r="L4361">
        <v>104.09690000000001</v>
      </c>
      <c r="M4361">
        <v>-0.17183950000000001</v>
      </c>
      <c r="N4361">
        <v>0</v>
      </c>
      <c r="O4361">
        <v>-0.98506269999999996</v>
      </c>
      <c r="P4361">
        <v>-2.237478E-2</v>
      </c>
      <c r="Q4361">
        <v>4.653732E-2</v>
      </c>
      <c r="R4361">
        <v>-0.99866580000000005</v>
      </c>
      <c r="S4361">
        <v>-4.5471190000000002E-2</v>
      </c>
      <c r="T4361">
        <v>-0.18096609999999999</v>
      </c>
      <c r="U4361">
        <v>-3.0113219999999998</v>
      </c>
      <c r="V4361">
        <v>-0.14967720000000001</v>
      </c>
      <c r="W4361">
        <v>5.7210959999999998E-2</v>
      </c>
      <c r="X4361">
        <v>0.98707839999999902</v>
      </c>
      <c r="Y4361">
        <v>-0.1569808</v>
      </c>
      <c r="Z4361">
        <v>5.8274649999999997E-2</v>
      </c>
      <c r="AA4361">
        <v>0.98588089999999995</v>
      </c>
      <c r="AB4361">
        <v>38</v>
      </c>
      <c r="AC4361">
        <v>-0.215299999999956</v>
      </c>
      <c r="AD4361">
        <v>-1.104898916709</v>
      </c>
      <c r="AE4361">
        <v>-18.027989999999999</v>
      </c>
      <c r="AF4361">
        <v>-2.8752154096932498</v>
      </c>
      <c r="AG4361">
        <v>-1.104898916709</v>
      </c>
      <c r="AH4361">
        <v>17.730200137299899</v>
      </c>
      <c r="AI4361">
        <v>93.520043524178405</v>
      </c>
      <c r="AJ4361">
        <v>99.211177112824302</v>
      </c>
      <c r="AK4361">
        <v>17.995767896285798</v>
      </c>
    </row>
    <row r="4362" spans="1:37" x14ac:dyDescent="0.2">
      <c r="A4362" t="str">
        <f>"20200111153738669"</f>
        <v>20200111153738669</v>
      </c>
      <c r="B4362" t="str">
        <f>"1578728258657057"</f>
        <v>1578728258657057</v>
      </c>
      <c r="C4362" t="s">
        <v>37</v>
      </c>
      <c r="D4362">
        <v>5.768662</v>
      </c>
      <c r="E4362">
        <v>0.49592249999999999</v>
      </c>
      <c r="F4362" t="s">
        <v>39</v>
      </c>
      <c r="G4362">
        <v>-419.18490000000003</v>
      </c>
      <c r="H4362" s="1">
        <v>-2.7581369999999999E-6</v>
      </c>
      <c r="I4362">
        <v>85.725040000000007</v>
      </c>
      <c r="J4362">
        <v>-418.9726</v>
      </c>
      <c r="K4362">
        <v>1.1048199999999999</v>
      </c>
      <c r="L4362">
        <v>103.7206</v>
      </c>
      <c r="M4362">
        <v>-0.17142639999999901</v>
      </c>
      <c r="N4362">
        <v>0</v>
      </c>
      <c r="O4362">
        <v>-0.98513660000000003</v>
      </c>
      <c r="P4362">
        <v>-2.217274E-2</v>
      </c>
      <c r="Q4362">
        <v>4.7648339999999997E-2</v>
      </c>
      <c r="R4362">
        <v>-0.99861809999999995</v>
      </c>
      <c r="S4362">
        <v>-4.5501710000000001E-2</v>
      </c>
      <c r="T4362">
        <v>-0.1811092</v>
      </c>
      <c r="U4362">
        <v>-3.0114139999999998</v>
      </c>
      <c r="V4362">
        <v>-0.14944449999999901</v>
      </c>
      <c r="W4362">
        <v>5.820446E-2</v>
      </c>
      <c r="X4362">
        <v>0.98705549999999997</v>
      </c>
      <c r="Y4362">
        <v>-0.1565569</v>
      </c>
      <c r="Z4362">
        <v>5.8327320000000002E-2</v>
      </c>
      <c r="AA4362">
        <v>0.98594519999999997</v>
      </c>
      <c r="AB4362">
        <v>38</v>
      </c>
      <c r="AC4362">
        <v>-0.21230000000002699</v>
      </c>
      <c r="AD4362">
        <v>-1.104822758137</v>
      </c>
      <c r="AE4362">
        <v>-17.995559999999902</v>
      </c>
      <c r="AF4362">
        <v>-2.8651425767838199</v>
      </c>
      <c r="AG4362">
        <v>-1.104822758137</v>
      </c>
      <c r="AH4362">
        <v>17.698832561025402</v>
      </c>
      <c r="AI4362">
        <v>93.5261803486231</v>
      </c>
      <c r="AJ4362">
        <v>99.195448648599395</v>
      </c>
      <c r="AK4362">
        <v>17.963249965844401</v>
      </c>
    </row>
    <row r="4363" spans="1:37" x14ac:dyDescent="0.2">
      <c r="A4363" t="str">
        <f>"20200111153738692"</f>
        <v>20200111153738692</v>
      </c>
      <c r="B4363" t="str">
        <f>"1578728258687313"</f>
        <v>1578728258687313</v>
      </c>
      <c r="C4363" t="s">
        <v>37</v>
      </c>
      <c r="D4363">
        <v>5.7536160000000001</v>
      </c>
      <c r="E4363">
        <v>0.49617109999999898</v>
      </c>
      <c r="F4363" t="s">
        <v>39</v>
      </c>
      <c r="G4363">
        <v>-419.2559</v>
      </c>
      <c r="H4363" s="1">
        <v>-2.5016809999999998E-6</v>
      </c>
      <c r="I4363">
        <v>85.156589999999994</v>
      </c>
      <c r="J4363">
        <v>-419.03739999999999</v>
      </c>
      <c r="K4363">
        <v>1.10476</v>
      </c>
      <c r="L4363">
        <v>103.3463</v>
      </c>
      <c r="M4363">
        <v>-0.171064299999999</v>
      </c>
      <c r="N4363">
        <v>0</v>
      </c>
      <c r="O4363">
        <v>-0.98520079999999999</v>
      </c>
      <c r="P4363">
        <v>-2.1541390000000001E-2</v>
      </c>
      <c r="Q4363">
        <v>4.8594079999999998E-2</v>
      </c>
      <c r="R4363">
        <v>-0.99858619999999898</v>
      </c>
      <c r="S4363">
        <v>-4.5959470000000002E-2</v>
      </c>
      <c r="T4363">
        <v>-0.17923829999999999</v>
      </c>
      <c r="U4363">
        <v>-3.0116879999999999</v>
      </c>
      <c r="V4363">
        <v>-0.149690299999999</v>
      </c>
      <c r="W4363">
        <v>5.9047019999999999E-2</v>
      </c>
      <c r="X4363">
        <v>0.98696819999999896</v>
      </c>
      <c r="Y4363">
        <v>-0.15604470000000001</v>
      </c>
      <c r="Z4363">
        <v>5.7729599999999902E-2</v>
      </c>
      <c r="AA4363">
        <v>0.98606149999999904</v>
      </c>
      <c r="AB4363">
        <v>38</v>
      </c>
      <c r="AC4363">
        <v>-0.218500000000005</v>
      </c>
      <c r="AD4363">
        <v>-1.1047625016810001</v>
      </c>
      <c r="AE4363">
        <v>-18.189709999999899</v>
      </c>
      <c r="AF4363">
        <v>-2.8858683151028601</v>
      </c>
      <c r="AG4363">
        <v>-1.1047625016810001</v>
      </c>
      <c r="AH4363">
        <v>17.8929453795737</v>
      </c>
      <c r="AI4363">
        <v>93.4881591233938</v>
      </c>
      <c r="AJ4363">
        <v>99.162064233802397</v>
      </c>
      <c r="AK4363">
        <v>18.157814584185001</v>
      </c>
    </row>
    <row r="4364" spans="1:37" x14ac:dyDescent="0.2">
      <c r="A4364" t="str">
        <f>"20200111153738715"</f>
        <v>20200111153738715</v>
      </c>
      <c r="B4364" t="str">
        <f>"1578728258707811"</f>
        <v>1578728258707811</v>
      </c>
      <c r="C4364" t="s">
        <v>37</v>
      </c>
      <c r="D4364">
        <v>5.7392909999999997</v>
      </c>
      <c r="E4364">
        <v>0.49627489999999902</v>
      </c>
      <c r="F4364" t="s">
        <v>39</v>
      </c>
      <c r="G4364">
        <v>-419.32330000000002</v>
      </c>
      <c r="H4364" s="1">
        <v>-2.283336E-6</v>
      </c>
      <c r="I4364">
        <v>84.675460000000001</v>
      </c>
      <c r="J4364">
        <v>-419.10480000000001</v>
      </c>
      <c r="K4364">
        <v>1.1047069999999899</v>
      </c>
      <c r="L4364">
        <v>102.9556</v>
      </c>
      <c r="M4364">
        <v>-0.17071649999999999</v>
      </c>
      <c r="N4364">
        <v>0</v>
      </c>
      <c r="O4364">
        <v>-0.98526219999999998</v>
      </c>
      <c r="P4364">
        <v>-2.0214650000000001E-2</v>
      </c>
      <c r="Q4364">
        <v>4.8567340000000001E-2</v>
      </c>
      <c r="R4364">
        <v>-0.99861509999999998</v>
      </c>
      <c r="S4364">
        <v>-4.6112060000000003E-2</v>
      </c>
      <c r="T4364">
        <v>-0.17821789999999901</v>
      </c>
      <c r="U4364">
        <v>-3.0119319999999998</v>
      </c>
      <c r="V4364">
        <v>-0.15064620000000001</v>
      </c>
      <c r="W4364">
        <v>5.892754E-2</v>
      </c>
      <c r="X4364">
        <v>0.98682990000000004</v>
      </c>
      <c r="Y4364">
        <v>-0.155646799999999</v>
      </c>
      <c r="Z4364">
        <v>5.7404610000000002E-2</v>
      </c>
      <c r="AA4364">
        <v>0.9861434</v>
      </c>
      <c r="AB4364">
        <v>38</v>
      </c>
      <c r="AC4364">
        <v>-0.218500000000005</v>
      </c>
      <c r="AD4364">
        <v>-1.1047092833359999</v>
      </c>
      <c r="AE4364">
        <v>-18.280139999999999</v>
      </c>
      <c r="AF4364">
        <v>-2.8950364381309401</v>
      </c>
      <c r="AG4364">
        <v>-1.1047092833359999</v>
      </c>
      <c r="AH4364">
        <v>17.983396884068199</v>
      </c>
      <c r="AI4364">
        <v>93.470654753422295</v>
      </c>
      <c r="AJ4364">
        <v>99.145231770980999</v>
      </c>
      <c r="AK4364">
        <v>18.2484021785117</v>
      </c>
    </row>
    <row r="4365" spans="1:37" x14ac:dyDescent="0.2">
      <c r="A4365" t="str">
        <f>"20200111153738736"</f>
        <v>20200111153738736</v>
      </c>
      <c r="B4365" t="str">
        <f>"1578728258727329"</f>
        <v>1578728258727329</v>
      </c>
      <c r="C4365" t="s">
        <v>37</v>
      </c>
      <c r="D4365">
        <v>5.6777059999999997</v>
      </c>
      <c r="E4365">
        <v>0.49630879999999999</v>
      </c>
      <c r="F4365" t="s">
        <v>39</v>
      </c>
      <c r="G4365">
        <v>-419.36840000000001</v>
      </c>
      <c r="H4365" s="1">
        <v>-2.1751519999999999E-6</v>
      </c>
      <c r="I4365">
        <v>84.441940000000002</v>
      </c>
      <c r="J4365">
        <v>-419.16820000000001</v>
      </c>
      <c r="K4365">
        <v>1.104665</v>
      </c>
      <c r="L4365">
        <v>102.58799999999999</v>
      </c>
      <c r="M4365">
        <v>-0.1704021</v>
      </c>
      <c r="N4365">
        <v>0</v>
      </c>
      <c r="O4365">
        <v>-0.98531759999999902</v>
      </c>
      <c r="P4365">
        <v>-1.903991E-2</v>
      </c>
      <c r="Q4365">
        <v>4.8305210000000001E-2</v>
      </c>
      <c r="R4365">
        <v>-0.99865099999999996</v>
      </c>
      <c r="S4365">
        <v>-4.2877199999999997E-2</v>
      </c>
      <c r="T4365">
        <v>-0.1797271</v>
      </c>
      <c r="U4365">
        <v>-3.0120239999999998</v>
      </c>
      <c r="V4365">
        <v>-0.15148909999999999</v>
      </c>
      <c r="W4365">
        <v>5.8594799999999898E-2</v>
      </c>
      <c r="X4365">
        <v>0.98672070000000001</v>
      </c>
      <c r="Y4365">
        <v>-0.156391</v>
      </c>
      <c r="Z4365">
        <v>5.7889040000000003E-2</v>
      </c>
      <c r="AA4365">
        <v>0.98599729999999997</v>
      </c>
      <c r="AB4365">
        <v>38</v>
      </c>
      <c r="AC4365">
        <v>-0.20019999999999499</v>
      </c>
      <c r="AD4365">
        <v>-1.1046671751520001</v>
      </c>
      <c r="AE4365">
        <v>-18.146059999999899</v>
      </c>
      <c r="AF4365">
        <v>-2.88434089294481</v>
      </c>
      <c r="AG4365">
        <v>-1.1046671751520001</v>
      </c>
      <c r="AH4365">
        <v>17.848615370164801</v>
      </c>
      <c r="AI4365">
        <v>93.496327234940907</v>
      </c>
      <c r="AJ4365">
        <v>99.179654078308204</v>
      </c>
      <c r="AK4365">
        <v>18.113883696950602</v>
      </c>
    </row>
    <row r="4366" spans="1:37" x14ac:dyDescent="0.2">
      <c r="A4366" t="str">
        <f>"20200111153738759"</f>
        <v>20200111153738759</v>
      </c>
      <c r="B4366" t="str">
        <f>"1578728258747396"</f>
        <v>1578728258747396</v>
      </c>
      <c r="C4366" t="s">
        <v>37</v>
      </c>
      <c r="D4366">
        <v>5.687792</v>
      </c>
      <c r="E4366">
        <v>0.49623019999999901</v>
      </c>
      <c r="F4366" t="s">
        <v>39</v>
      </c>
      <c r="G4366">
        <v>-419.40769999999998</v>
      </c>
      <c r="H4366" s="1">
        <v>-2.0653789999999998E-6</v>
      </c>
      <c r="I4366">
        <v>84.202330000000003</v>
      </c>
      <c r="J4366">
        <v>-419.2321</v>
      </c>
      <c r="K4366">
        <v>1.1046240000000001</v>
      </c>
      <c r="L4366">
        <v>102.2163</v>
      </c>
      <c r="M4366">
        <v>-0.17008709999999999</v>
      </c>
      <c r="N4366">
        <v>0</v>
      </c>
      <c r="O4366">
        <v>-0.98537299999999906</v>
      </c>
      <c r="P4366">
        <v>-1.806607E-2</v>
      </c>
      <c r="Q4366">
        <v>4.7775499999999999E-2</v>
      </c>
      <c r="R4366">
        <v>-0.998695</v>
      </c>
      <c r="S4366">
        <v>-3.924561E-2</v>
      </c>
      <c r="T4366">
        <v>-0.18097299999999999</v>
      </c>
      <c r="U4366">
        <v>-3.012054</v>
      </c>
      <c r="V4366">
        <v>-0.15213460000000001</v>
      </c>
      <c r="W4366">
        <v>5.8007389999999999E-2</v>
      </c>
      <c r="X4366">
        <v>0.98665609999999904</v>
      </c>
      <c r="Y4366">
        <v>-0.15726409999999999</v>
      </c>
      <c r="Z4366">
        <v>5.8289489999999999E-2</v>
      </c>
      <c r="AA4366">
        <v>0.98583480000000001</v>
      </c>
      <c r="AB4366">
        <v>38</v>
      </c>
      <c r="AC4366">
        <v>-0.175599999999974</v>
      </c>
      <c r="AD4366">
        <v>-1.1046260653790001</v>
      </c>
      <c r="AE4366">
        <v>-18.01397</v>
      </c>
      <c r="AF4366">
        <v>-2.88024277315004</v>
      </c>
      <c r="AG4366">
        <v>-1.1046260653790001</v>
      </c>
      <c r="AH4366">
        <v>17.714724079583199</v>
      </c>
      <c r="AI4366">
        <v>93.522006672523503</v>
      </c>
      <c r="AJ4366">
        <v>99.234928357477102</v>
      </c>
      <c r="AK4366">
        <v>17.981308250301499</v>
      </c>
    </row>
    <row r="4367" spans="1:37" x14ac:dyDescent="0.2">
      <c r="A4367" t="str">
        <f>"20200111153738781"</f>
        <v>20200111153738781</v>
      </c>
      <c r="B4367" t="str">
        <f>"1578728258777653"</f>
        <v>1578728258777653</v>
      </c>
      <c r="C4367" t="s">
        <v>37</v>
      </c>
      <c r="D4367">
        <v>5.7848600000000001</v>
      </c>
      <c r="E4367">
        <v>0.496239599999999</v>
      </c>
      <c r="F4367" t="s">
        <v>39</v>
      </c>
      <c r="G4367">
        <v>-419.44880000000001</v>
      </c>
      <c r="H4367" s="1">
        <v>-1.9592039999999999E-6</v>
      </c>
      <c r="I4367">
        <v>83.971789999999999</v>
      </c>
      <c r="J4367">
        <v>-419.29790000000003</v>
      </c>
      <c r="K4367">
        <v>1.104589</v>
      </c>
      <c r="L4367">
        <v>101.833</v>
      </c>
      <c r="M4367">
        <v>-0.16976079999999999</v>
      </c>
      <c r="N4367">
        <v>0</v>
      </c>
      <c r="O4367">
        <v>-0.98542980000000002</v>
      </c>
      <c r="P4367">
        <v>-1.753913E-2</v>
      </c>
      <c r="Q4367">
        <v>4.7121379999999997E-2</v>
      </c>
      <c r="R4367">
        <v>-0.9987355</v>
      </c>
      <c r="S4367">
        <v>-3.5766600000000003E-2</v>
      </c>
      <c r="T4367">
        <v>-0.1823632</v>
      </c>
      <c r="U4367">
        <v>-3.0119929999999999</v>
      </c>
      <c r="V4367">
        <v>-0.152329399999999</v>
      </c>
      <c r="W4367">
        <v>5.7310939999999998E-2</v>
      </c>
      <c r="X4367">
        <v>0.98666669999999901</v>
      </c>
      <c r="Y4367">
        <v>-0.15807550000000001</v>
      </c>
      <c r="Z4367">
        <v>5.8738369999999998E-2</v>
      </c>
      <c r="AA4367">
        <v>0.98567839999999995</v>
      </c>
      <c r="AB4367">
        <v>38</v>
      </c>
      <c r="AC4367">
        <v>-0.150899999999978</v>
      </c>
      <c r="AD4367">
        <v>-1.104590959204</v>
      </c>
      <c r="AE4367">
        <v>-17.86121</v>
      </c>
      <c r="AF4367">
        <v>-2.87260399410565</v>
      </c>
      <c r="AG4367">
        <v>-1.104590959204</v>
      </c>
      <c r="AH4367">
        <v>17.560393635311101</v>
      </c>
      <c r="AI4367">
        <v>93.552208951320793</v>
      </c>
      <c r="AJ4367">
        <v>99.290401096771703</v>
      </c>
      <c r="AK4367">
        <v>17.8280509176181</v>
      </c>
    </row>
    <row r="4368" spans="1:37" x14ac:dyDescent="0.2">
      <c r="A4368" t="str">
        <f>"20200111153738804"</f>
        <v>20200111153738804</v>
      </c>
      <c r="B4368" t="str">
        <f>"1578728258797175"</f>
        <v>1578728258797175</v>
      </c>
      <c r="C4368" t="s">
        <v>37</v>
      </c>
      <c r="D4368">
        <v>5.8278359999999996</v>
      </c>
      <c r="E4368">
        <v>0.49618190000000001</v>
      </c>
      <c r="F4368" t="s">
        <v>39</v>
      </c>
      <c r="G4368">
        <v>-419.50560000000002</v>
      </c>
      <c r="H4368" s="1">
        <v>-1.8716020000000001E-6</v>
      </c>
      <c r="I4368">
        <v>83.791079999999994</v>
      </c>
      <c r="J4368">
        <v>-419.3648</v>
      </c>
      <c r="K4368">
        <v>1.104562</v>
      </c>
      <c r="L4368">
        <v>101.4427</v>
      </c>
      <c r="M4368">
        <v>-0.16942089999999899</v>
      </c>
      <c r="N4368">
        <v>0</v>
      </c>
      <c r="O4368">
        <v>-0.985488699999999</v>
      </c>
      <c r="P4368">
        <v>-1.6839409999999999E-2</v>
      </c>
      <c r="Q4368">
        <v>4.5761990000000002E-2</v>
      </c>
      <c r="R4368">
        <v>-0.99881039999999999</v>
      </c>
      <c r="S4368">
        <v>-3.4667969999999999E-2</v>
      </c>
      <c r="T4368">
        <v>-0.18439729999999999</v>
      </c>
      <c r="U4368">
        <v>-3.01187099999999</v>
      </c>
      <c r="V4368">
        <v>-0.15268679999999901</v>
      </c>
      <c r="W4368">
        <v>5.5922230000000003E-2</v>
      </c>
      <c r="X4368">
        <v>0.98669119999999999</v>
      </c>
      <c r="Y4368">
        <v>-0.15809419999999999</v>
      </c>
      <c r="Z4368">
        <v>5.9398930000000003E-2</v>
      </c>
      <c r="AA4368">
        <v>0.98563579999999995</v>
      </c>
      <c r="AB4368">
        <v>39</v>
      </c>
      <c r="AC4368">
        <v>-0.140800000000012</v>
      </c>
      <c r="AD4368">
        <v>-1.1045638716020001</v>
      </c>
      <c r="AE4368">
        <v>-17.651619999999902</v>
      </c>
      <c r="AF4368">
        <v>-2.8408281726893199</v>
      </c>
      <c r="AG4368">
        <v>-1.1045638716020001</v>
      </c>
      <c r="AH4368">
        <v>17.3523296068281</v>
      </c>
      <c r="AI4368">
        <v>93.594528531164201</v>
      </c>
      <c r="AJ4368">
        <v>99.297669344812903</v>
      </c>
      <c r="AK4368">
        <v>17.617993893664401</v>
      </c>
    </row>
    <row r="4369" spans="1:37" x14ac:dyDescent="0.2">
      <c r="A4369" t="str">
        <f>"20200111153738826"</f>
        <v>20200111153738826</v>
      </c>
      <c r="B4369" t="str">
        <f>"1578728258817683"</f>
        <v>1578728258817683</v>
      </c>
      <c r="C4369" t="s">
        <v>37</v>
      </c>
      <c r="D4369">
        <v>5.1348859999999998</v>
      </c>
      <c r="E4369">
        <v>0.49608180000000002</v>
      </c>
      <c r="F4369" t="s">
        <v>39</v>
      </c>
      <c r="G4369">
        <v>-419.55360000000002</v>
      </c>
      <c r="H4369" s="1">
        <v>-1.854016E-6</v>
      </c>
      <c r="I4369">
        <v>83.769930000000002</v>
      </c>
      <c r="J4369">
        <v>-419.42860000000002</v>
      </c>
      <c r="K4369">
        <v>1.1045419999999999</v>
      </c>
      <c r="L4369">
        <v>101.0697</v>
      </c>
      <c r="M4369">
        <v>-0.16908719999999999</v>
      </c>
      <c r="N4369">
        <v>0</v>
      </c>
      <c r="O4369">
        <v>-0.98554609999999998</v>
      </c>
      <c r="P4369">
        <v>-1.5852720000000001E-2</v>
      </c>
      <c r="Q4369">
        <v>4.4755080000000003E-2</v>
      </c>
      <c r="R4369">
        <v>-0.9988726</v>
      </c>
      <c r="S4369">
        <v>-3.2165529999999998E-2</v>
      </c>
      <c r="T4369">
        <v>-0.1882307</v>
      </c>
      <c r="U4369">
        <v>-3.0116580000000002</v>
      </c>
      <c r="V4369">
        <v>-0.153333</v>
      </c>
      <c r="W4369">
        <v>5.489861E-2</v>
      </c>
      <c r="X4369">
        <v>0.98664839999999998</v>
      </c>
      <c r="Y4369">
        <v>-0.15857859999999999</v>
      </c>
      <c r="Z4369">
        <v>6.0636490000000001E-2</v>
      </c>
      <c r="AA4369">
        <v>0.98548259999999899</v>
      </c>
      <c r="AB4369">
        <v>39</v>
      </c>
      <c r="AC4369">
        <v>-0.125</v>
      </c>
      <c r="AD4369">
        <v>-1.104543854016</v>
      </c>
      <c r="AE4369">
        <v>-17.299769999999899</v>
      </c>
      <c r="AF4369">
        <v>-2.79075244056496</v>
      </c>
      <c r="AG4369">
        <v>-1.104543854016</v>
      </c>
      <c r="AH4369">
        <v>17.002475475275901</v>
      </c>
      <c r="AI4369">
        <v>93.667978386971498</v>
      </c>
      <c r="AJ4369">
        <v>99.3212988623835</v>
      </c>
      <c r="AK4369">
        <v>17.2653551541033</v>
      </c>
    </row>
    <row r="4370" spans="1:37" x14ac:dyDescent="0.2">
      <c r="A4370" t="str">
        <f>"20200111153738847"</f>
        <v>20200111153738847</v>
      </c>
      <c r="B4370" t="str">
        <f>"1578728258837751"</f>
        <v>1578728258837751</v>
      </c>
      <c r="C4370" t="s">
        <v>37</v>
      </c>
      <c r="D4370">
        <v>5.7761459999999998</v>
      </c>
      <c r="E4370">
        <v>0.45011279999999998</v>
      </c>
      <c r="F4370" t="s">
        <v>39</v>
      </c>
      <c r="G4370">
        <v>-419.59320000000002</v>
      </c>
      <c r="H4370" s="1">
        <v>-1.8553090000000001E-6</v>
      </c>
      <c r="I4370">
        <v>83.789330000000007</v>
      </c>
      <c r="J4370">
        <v>-419.49149999999997</v>
      </c>
      <c r="K4370">
        <v>1.104533</v>
      </c>
      <c r="L4370">
        <v>100.7012</v>
      </c>
      <c r="M4370">
        <v>-0.16874359999999999</v>
      </c>
      <c r="N4370">
        <v>0</v>
      </c>
      <c r="O4370">
        <v>-0.98560490000000001</v>
      </c>
      <c r="P4370">
        <v>-1.414779E-2</v>
      </c>
      <c r="Q4370">
        <v>4.4599260000000002E-2</v>
      </c>
      <c r="R4370">
        <v>-0.99890519999999905</v>
      </c>
      <c r="S4370">
        <v>-2.868652E-2</v>
      </c>
      <c r="T4370">
        <v>-0.192495899999999</v>
      </c>
      <c r="U4370">
        <v>-3.0115660000000002</v>
      </c>
      <c r="V4370">
        <v>-0.15467449999999999</v>
      </c>
      <c r="W4370">
        <v>5.474292E-2</v>
      </c>
      <c r="X4370">
        <v>0.98644769999999904</v>
      </c>
      <c r="Y4370">
        <v>-0.15937309999999999</v>
      </c>
      <c r="Z4370">
        <v>6.2008750000000001E-2</v>
      </c>
      <c r="AA4370">
        <v>0.98526909999999901</v>
      </c>
      <c r="AB4370">
        <v>39</v>
      </c>
      <c r="AC4370">
        <v>-0.10170000000005</v>
      </c>
      <c r="AD4370">
        <v>-1.104534855309</v>
      </c>
      <c r="AE4370">
        <v>-16.911869999999901</v>
      </c>
      <c r="AF4370">
        <v>-2.74198763052526</v>
      </c>
      <c r="AG4370">
        <v>-1.104534855309</v>
      </c>
      <c r="AH4370">
        <v>16.615616815121001</v>
      </c>
      <c r="AI4370">
        <v>93.752575797879501</v>
      </c>
      <c r="AJ4370">
        <v>99.370764300539804</v>
      </c>
      <c r="AK4370">
        <v>16.876528539942001</v>
      </c>
    </row>
    <row r="4371" spans="1:37" x14ac:dyDescent="0.2">
      <c r="A4371" t="str">
        <f>"20200111153738870"</f>
        <v>20200111153738870</v>
      </c>
      <c r="B4371" t="str">
        <f>"1578728258867032"</f>
        <v>1578728258867032</v>
      </c>
      <c r="C4371" t="s">
        <v>37</v>
      </c>
      <c r="D4371">
        <v>5.8093089999999998</v>
      </c>
      <c r="E4371">
        <v>0.43977529999999998</v>
      </c>
      <c r="F4371" t="s">
        <v>39</v>
      </c>
      <c r="G4371">
        <v>-417.85079999999999</v>
      </c>
      <c r="H4371" s="1">
        <v>-3.2024E-6</v>
      </c>
      <c r="I4371">
        <v>86.20899</v>
      </c>
      <c r="J4371">
        <v>-419.55630000000002</v>
      </c>
      <c r="K4371">
        <v>1.104554</v>
      </c>
      <c r="L4371">
        <v>100.3203</v>
      </c>
      <c r="M4371">
        <v>-0.16836809999999999</v>
      </c>
      <c r="N4371">
        <v>0</v>
      </c>
      <c r="O4371">
        <v>-0.98566909999999897</v>
      </c>
      <c r="P4371">
        <v>-1.282343E-2</v>
      </c>
      <c r="Q4371">
        <v>4.5528659999999999E-2</v>
      </c>
      <c r="R4371">
        <v>-0.99888109999999997</v>
      </c>
      <c r="S4371">
        <v>0.34170529999999999</v>
      </c>
      <c r="T4371">
        <v>-0.2300507</v>
      </c>
      <c r="U4371">
        <v>-3.018402</v>
      </c>
      <c r="V4371">
        <v>-0.1556014</v>
      </c>
      <c r="W4371">
        <v>5.5693230000000003E-2</v>
      </c>
      <c r="X4371">
        <v>0.98624869999999898</v>
      </c>
      <c r="Y4371">
        <v>-0.27788040000000003</v>
      </c>
      <c r="Z4371">
        <v>7.2636290000000006E-2</v>
      </c>
      <c r="AA4371">
        <v>0.95786559999999898</v>
      </c>
      <c r="AB4371">
        <v>39</v>
      </c>
      <c r="AC4371">
        <v>1.70550000000002</v>
      </c>
      <c r="AD4371">
        <v>-1.1045572024000001</v>
      </c>
      <c r="AE4371">
        <v>-14.11131</v>
      </c>
      <c r="AF4371">
        <v>-4.0328204187946897</v>
      </c>
      <c r="AG4371">
        <v>-1.1045572024000001</v>
      </c>
      <c r="AH4371">
        <v>13.5409007191453</v>
      </c>
      <c r="AI4371">
        <v>94.470198111681</v>
      </c>
      <c r="AJ4371">
        <v>106.584853630688</v>
      </c>
      <c r="AK4371">
        <v>14.1717916802841</v>
      </c>
    </row>
    <row r="4372" spans="1:37" x14ac:dyDescent="0.2">
      <c r="A4372" t="str">
        <f>"20200111153738893"</f>
        <v>20200111153738893</v>
      </c>
      <c r="B4372" t="str">
        <f>"1578728258887527"</f>
        <v>1578728258887527</v>
      </c>
      <c r="C4372" t="s">
        <v>37</v>
      </c>
      <c r="D4372">
        <v>5.7400070000000003</v>
      </c>
      <c r="E4372">
        <v>0.43944030000000001</v>
      </c>
      <c r="F4372" t="s">
        <v>39</v>
      </c>
      <c r="G4372">
        <v>-417.68110000000001</v>
      </c>
      <c r="H4372" s="1">
        <v>-3.59488099999999E-6</v>
      </c>
      <c r="I4372">
        <v>87.053700000000006</v>
      </c>
      <c r="J4372">
        <v>-419.62259999999998</v>
      </c>
      <c r="K4372">
        <v>1.104571</v>
      </c>
      <c r="L4372">
        <v>99.930239999999998</v>
      </c>
      <c r="M4372">
        <v>-0.167964</v>
      </c>
      <c r="N4372">
        <v>0</v>
      </c>
      <c r="O4372">
        <v>-0.98573739999999999</v>
      </c>
      <c r="P4372">
        <v>-1.1465990000000001E-2</v>
      </c>
      <c r="Q4372">
        <v>4.6608810000000001E-2</v>
      </c>
      <c r="R4372">
        <v>-0.99884779999999995</v>
      </c>
      <c r="S4372">
        <v>0.42691040000000002</v>
      </c>
      <c r="T4372">
        <v>-0.25146560000000001</v>
      </c>
      <c r="U4372">
        <v>-3.0202939999999998</v>
      </c>
      <c r="V4372">
        <v>-0.15653159999999999</v>
      </c>
      <c r="W4372">
        <v>5.6809650000000003E-2</v>
      </c>
      <c r="X4372">
        <v>0.98603779999999996</v>
      </c>
      <c r="Y4372">
        <v>-0.3038322</v>
      </c>
      <c r="Z4372">
        <v>7.8846150000000004E-2</v>
      </c>
      <c r="AA4372">
        <v>0.94945729999999995</v>
      </c>
      <c r="AB4372">
        <v>39</v>
      </c>
      <c r="AC4372">
        <v>1.94149999999996</v>
      </c>
      <c r="AD4372">
        <v>-1.104574594881</v>
      </c>
      <c r="AE4372">
        <v>-12.876539999999901</v>
      </c>
      <c r="AF4372">
        <v>-4.0477051791065497</v>
      </c>
      <c r="AG4372">
        <v>-1.104574594881</v>
      </c>
      <c r="AH4372">
        <v>12.2791165142651</v>
      </c>
      <c r="AI4372">
        <v>94.883120065154202</v>
      </c>
      <c r="AJ4372">
        <v>108.244359540332</v>
      </c>
      <c r="AK4372">
        <v>12.9761590859361</v>
      </c>
    </row>
    <row r="4373" spans="1:37" x14ac:dyDescent="0.2">
      <c r="A4373" t="str">
        <f>"20200111153738915"</f>
        <v>20200111153738915</v>
      </c>
      <c r="B4373" t="str">
        <f>"1578728258907051"</f>
        <v>1578728258907051</v>
      </c>
      <c r="C4373" t="s">
        <v>37</v>
      </c>
      <c r="D4373">
        <v>5.7708430000000002</v>
      </c>
      <c r="E4373">
        <v>0.43987169999999998</v>
      </c>
      <c r="F4373" t="s">
        <v>39</v>
      </c>
      <c r="G4373">
        <v>-417.72199999999998</v>
      </c>
      <c r="H4373" s="1">
        <v>-3.4324649999999998E-6</v>
      </c>
      <c r="I4373">
        <v>86.692019999999999</v>
      </c>
      <c r="J4373">
        <v>-419.68790000000001</v>
      </c>
      <c r="K4373">
        <v>1.1045929999999999</v>
      </c>
      <c r="L4373">
        <v>99.544370000000001</v>
      </c>
      <c r="M4373">
        <v>-0.1675489</v>
      </c>
      <c r="N4373">
        <v>0</v>
      </c>
      <c r="O4373">
        <v>-0.98580749999999995</v>
      </c>
      <c r="P4373">
        <v>-9.3129809999999997E-3</v>
      </c>
      <c r="Q4373">
        <v>4.6510599999999999E-2</v>
      </c>
      <c r="R4373">
        <v>-0.99887459999999995</v>
      </c>
      <c r="S4373">
        <v>0.43359379999999997</v>
      </c>
      <c r="T4373">
        <v>-0.25200070000000002</v>
      </c>
      <c r="U4373">
        <v>-3.020203</v>
      </c>
      <c r="V4373">
        <v>-0.1582451</v>
      </c>
      <c r="W4373">
        <v>5.6752990000000003E-2</v>
      </c>
      <c r="X4373">
        <v>0.98576749999999902</v>
      </c>
      <c r="Y4373">
        <v>-0.30549209999999999</v>
      </c>
      <c r="Z4373">
        <v>7.8989649999999995E-2</v>
      </c>
      <c r="AA4373">
        <v>0.94891259999999999</v>
      </c>
      <c r="AB4373">
        <v>39</v>
      </c>
      <c r="AC4373">
        <v>1.96590000000003</v>
      </c>
      <c r="AD4373">
        <v>-1.1045964324649999</v>
      </c>
      <c r="AE4373">
        <v>-12.852349999999999</v>
      </c>
      <c r="AF4373">
        <v>-4.0623026033977796</v>
      </c>
      <c r="AG4373">
        <v>-1.1045964324649999</v>
      </c>
      <c r="AH4373">
        <v>12.252806289994</v>
      </c>
      <c r="AI4373">
        <v>94.890895346052702</v>
      </c>
      <c r="AJ4373">
        <v>108.342454095913</v>
      </c>
      <c r="AK4373">
        <v>12.9558364338356</v>
      </c>
    </row>
    <row r="4374" spans="1:37" x14ac:dyDescent="0.2">
      <c r="A4374" t="str">
        <f>"20200111153738937"</f>
        <v>20200111153738937</v>
      </c>
      <c r="B4374" t="str">
        <f>"1578728258927544"</f>
        <v>1578728258927544</v>
      </c>
      <c r="C4374" t="s">
        <v>37</v>
      </c>
      <c r="D4374">
        <v>5.7679450000000001</v>
      </c>
      <c r="E4374">
        <v>0.44014929999999902</v>
      </c>
      <c r="F4374" t="s">
        <v>39</v>
      </c>
      <c r="G4374">
        <v>-417.80739999999997</v>
      </c>
      <c r="H4374" s="1">
        <v>-3.3466840000000001E-6</v>
      </c>
      <c r="I4374">
        <v>86.527369999999905</v>
      </c>
      <c r="J4374">
        <v>-419.7516</v>
      </c>
      <c r="K4374">
        <v>1.1046020000000001</v>
      </c>
      <c r="L4374">
        <v>99.167330000000007</v>
      </c>
      <c r="M4374">
        <v>-0.1671279</v>
      </c>
      <c r="N4374">
        <v>0</v>
      </c>
      <c r="O4374">
        <v>-0.98587839999999904</v>
      </c>
      <c r="P4374">
        <v>-6.58437E-3</v>
      </c>
      <c r="Q4374">
        <v>4.5625180000000001E-2</v>
      </c>
      <c r="R4374">
        <v>-0.99893709999999902</v>
      </c>
      <c r="S4374">
        <v>0.43618770000000001</v>
      </c>
      <c r="T4374">
        <v>-0.25621839999999901</v>
      </c>
      <c r="U4374">
        <v>-3.0193789999999998</v>
      </c>
      <c r="V4374">
        <v>-0.1605251</v>
      </c>
      <c r="W4374">
        <v>5.5906999999999998E-2</v>
      </c>
      <c r="X4374">
        <v>0.98544719999999997</v>
      </c>
      <c r="Y4374">
        <v>-0.30590479999999998</v>
      </c>
      <c r="Z4374">
        <v>8.0322550000000006E-2</v>
      </c>
      <c r="AA4374">
        <v>0.94866779999999995</v>
      </c>
      <c r="AB4374">
        <v>39</v>
      </c>
      <c r="AC4374">
        <v>1.9442000000000199</v>
      </c>
      <c r="AD4374">
        <v>-1.104605346684</v>
      </c>
      <c r="AE4374">
        <v>-12.63996</v>
      </c>
      <c r="AF4374">
        <v>-3.9996213442369499</v>
      </c>
      <c r="AG4374">
        <v>-1.104605346684</v>
      </c>
      <c r="AH4374">
        <v>12.047334364951301</v>
      </c>
      <c r="AI4374">
        <v>94.973268436444798</v>
      </c>
      <c r="AJ4374">
        <v>108.365765172332</v>
      </c>
      <c r="AK4374">
        <v>12.7418754180904</v>
      </c>
    </row>
    <row r="4375" spans="1:37" x14ac:dyDescent="0.2">
      <c r="A4375" t="str">
        <f>"20200111153738960"</f>
        <v>20200111153738960</v>
      </c>
      <c r="B4375" t="str">
        <f>"1578728258957362"</f>
        <v>1578728258957362</v>
      </c>
      <c r="C4375" t="s">
        <v>37</v>
      </c>
      <c r="D4375">
        <v>5.7675039999999997</v>
      </c>
      <c r="E4375">
        <v>0.44079489999999999</v>
      </c>
      <c r="F4375" t="s">
        <v>39</v>
      </c>
      <c r="G4375">
        <v>-417.87950000000001</v>
      </c>
      <c r="H4375" s="1">
        <v>-3.26214999999999E-6</v>
      </c>
      <c r="I4375">
        <v>86.360119999999995</v>
      </c>
      <c r="J4375">
        <v>-419.81439999999998</v>
      </c>
      <c r="K4375">
        <v>1.104609</v>
      </c>
      <c r="L4375">
        <v>98.794340000000005</v>
      </c>
      <c r="M4375">
        <v>-0.1666927</v>
      </c>
      <c r="N4375">
        <v>0</v>
      </c>
      <c r="O4375">
        <v>-0.98595140000000003</v>
      </c>
      <c r="P4375">
        <v>-3.6300729999999902E-3</v>
      </c>
      <c r="Q4375">
        <v>4.4579800000000003E-2</v>
      </c>
      <c r="R4375">
        <v>-0.99899939999999998</v>
      </c>
      <c r="S4375">
        <v>0.4411621</v>
      </c>
      <c r="T4375">
        <v>-0.26029910000000001</v>
      </c>
      <c r="U4375">
        <v>-3.018005</v>
      </c>
      <c r="V4375">
        <v>-0.163014299999999</v>
      </c>
      <c r="W4375">
        <v>5.4901949999999998E-2</v>
      </c>
      <c r="X4375">
        <v>0.98509500000000005</v>
      </c>
      <c r="Y4375">
        <v>-0.30706099999999997</v>
      </c>
      <c r="Z4375">
        <v>8.1612970000000007E-2</v>
      </c>
      <c r="AA4375">
        <v>0.94818400000000003</v>
      </c>
      <c r="AB4375">
        <v>39</v>
      </c>
      <c r="AC4375">
        <v>1.9348999999999701</v>
      </c>
      <c r="AD4375">
        <v>-1.1046122621500001</v>
      </c>
      <c r="AE4375">
        <v>-12.43422</v>
      </c>
      <c r="AF4375">
        <v>-3.9501991250810602</v>
      </c>
      <c r="AG4375">
        <v>-1.1046122621500001</v>
      </c>
      <c r="AH4375">
        <v>11.8463991913413</v>
      </c>
      <c r="AI4375">
        <v>95.055022528859993</v>
      </c>
      <c r="AJ4375">
        <v>108.44104003318</v>
      </c>
      <c r="AK4375">
        <v>12.5364035982451</v>
      </c>
    </row>
    <row r="4376" spans="1:37" x14ac:dyDescent="0.2">
      <c r="A4376" t="str">
        <f>"20200111153738982"</f>
        <v>20200111153738982</v>
      </c>
      <c r="B4376" t="str">
        <f>"1578728258977858"</f>
        <v>1578728258977858</v>
      </c>
      <c r="C4376" t="s">
        <v>37</v>
      </c>
      <c r="D4376">
        <v>5.6772039999999997</v>
      </c>
      <c r="E4376">
        <v>0.44103890000000001</v>
      </c>
      <c r="F4376" t="s">
        <v>39</v>
      </c>
      <c r="G4376">
        <v>-417.9665</v>
      </c>
      <c r="H4376" s="1">
        <v>-3.2075000000000002E-6</v>
      </c>
      <c r="I4376">
        <v>86.268690000000007</v>
      </c>
      <c r="J4376">
        <v>-419.87869999999998</v>
      </c>
      <c r="K4376">
        <v>1.1046260000000001</v>
      </c>
      <c r="L4376">
        <v>98.411680000000004</v>
      </c>
      <c r="M4376">
        <v>-0.1662158</v>
      </c>
      <c r="N4376">
        <v>0</v>
      </c>
      <c r="O4376">
        <v>-0.98603149999999995</v>
      </c>
      <c r="P4376">
        <v>-1.6696999999999899E-3</v>
      </c>
      <c r="Q4376">
        <v>4.329177E-2</v>
      </c>
      <c r="R4376">
        <v>-0.99906149999999905</v>
      </c>
      <c r="S4376">
        <v>0.44503779999999998</v>
      </c>
      <c r="T4376">
        <v>-0.26602009999999998</v>
      </c>
      <c r="U4376">
        <v>-3.0165099999999998</v>
      </c>
      <c r="V4376">
        <v>-0.16448189999999999</v>
      </c>
      <c r="W4376">
        <v>5.3656370000000002E-2</v>
      </c>
      <c r="X4376">
        <v>0.98491969999999995</v>
      </c>
      <c r="Y4376">
        <v>-0.30783769999999999</v>
      </c>
      <c r="Z4376">
        <v>8.3425620000000006E-2</v>
      </c>
      <c r="AA4376">
        <v>0.94777429999999996</v>
      </c>
      <c r="AB4376">
        <v>39</v>
      </c>
      <c r="AC4376">
        <v>1.9121999999999799</v>
      </c>
      <c r="AD4376">
        <v>-1.1046292074999999</v>
      </c>
      <c r="AE4376">
        <v>-12.1429899999999</v>
      </c>
      <c r="AF4376">
        <v>-3.8727962367683899</v>
      </c>
      <c r="AG4376">
        <v>-1.1046292074999999</v>
      </c>
      <c r="AH4376">
        <v>11.5628282608692</v>
      </c>
      <c r="AI4376">
        <v>95.176110272973503</v>
      </c>
      <c r="AJ4376">
        <v>108.51750253933</v>
      </c>
      <c r="AK4376">
        <v>12.2440905651642</v>
      </c>
    </row>
    <row r="4377" spans="1:37" x14ac:dyDescent="0.2">
      <c r="A4377" t="str">
        <f>"20200111153739005"</f>
        <v>20200111153739005</v>
      </c>
      <c r="B4377" t="str">
        <f>"1578728258997377"</f>
        <v>1578728258997377</v>
      </c>
      <c r="C4377" t="s">
        <v>37</v>
      </c>
      <c r="D4377">
        <v>5.6612580000000001</v>
      </c>
      <c r="E4377">
        <v>0.44135829999999998</v>
      </c>
      <c r="F4377" t="s">
        <v>39</v>
      </c>
      <c r="G4377">
        <v>-418.04320000000001</v>
      </c>
      <c r="H4377" s="1">
        <v>-3.1104669999999998E-6</v>
      </c>
      <c r="I4377">
        <v>86.074250000000006</v>
      </c>
      <c r="J4377">
        <v>-419.94479999999999</v>
      </c>
      <c r="K4377">
        <v>1.104651</v>
      </c>
      <c r="L4377">
        <v>98.016940000000005</v>
      </c>
      <c r="M4377">
        <v>-0.1656947</v>
      </c>
      <c r="N4377">
        <v>0</v>
      </c>
      <c r="O4377">
        <v>-0.98611859999999996</v>
      </c>
      <c r="P4377" s="1">
        <v>3.3509919999999997E-5</v>
      </c>
      <c r="Q4377">
        <v>4.2756420000000003E-2</v>
      </c>
      <c r="R4377">
        <v>-0.99908580000000002</v>
      </c>
      <c r="S4377">
        <v>0.44857789999999997</v>
      </c>
      <c r="T4377">
        <v>-0.2699705</v>
      </c>
      <c r="U4377">
        <v>-3.0152589999999999</v>
      </c>
      <c r="V4377">
        <v>-0.16564760000000001</v>
      </c>
      <c r="W4377">
        <v>5.3159270000000002E-2</v>
      </c>
      <c r="X4377">
        <v>0.98475119999999905</v>
      </c>
      <c r="Y4377">
        <v>-0.30846430000000002</v>
      </c>
      <c r="Z4377">
        <v>8.4684780000000001E-2</v>
      </c>
      <c r="AA4377">
        <v>0.94745889999999999</v>
      </c>
      <c r="AB4377">
        <v>39</v>
      </c>
      <c r="AC4377">
        <v>1.90159999999997</v>
      </c>
      <c r="AD4377">
        <v>-1.104654110467</v>
      </c>
      <c r="AE4377">
        <v>-11.942689999999899</v>
      </c>
      <c r="AF4377">
        <v>-3.82237200427751</v>
      </c>
      <c r="AG4377">
        <v>-1.104654110467</v>
      </c>
      <c r="AH4377">
        <v>11.367633312558601</v>
      </c>
      <c r="AI4377">
        <v>95.262535984009503</v>
      </c>
      <c r="AJ4377">
        <v>108.585242426503</v>
      </c>
      <c r="AK4377">
        <v>12.0438314323826</v>
      </c>
    </row>
    <row r="4378" spans="1:37" x14ac:dyDescent="0.2">
      <c r="A4378" t="str">
        <f>"20200111153739026"</f>
        <v>20200111153739026</v>
      </c>
      <c r="B4378" t="str">
        <f>"1578728259017873"</f>
        <v>1578728259017873</v>
      </c>
      <c r="C4378" t="s">
        <v>37</v>
      </c>
      <c r="D4378">
        <v>5.7085809999999997</v>
      </c>
      <c r="E4378">
        <v>0.44162289999999998</v>
      </c>
      <c r="F4378" t="s">
        <v>39</v>
      </c>
      <c r="G4378">
        <v>-418.1026</v>
      </c>
      <c r="H4378" s="1">
        <v>-2.9379880000000002E-6</v>
      </c>
      <c r="I4378">
        <v>85.696749999999994</v>
      </c>
      <c r="J4378">
        <v>-420.00670000000002</v>
      </c>
      <c r="K4378">
        <v>1.1046899999999999</v>
      </c>
      <c r="L4378">
        <v>97.645139999999998</v>
      </c>
      <c r="M4378">
        <v>-0.16515629999999901</v>
      </c>
      <c r="N4378">
        <v>0</v>
      </c>
      <c r="O4378">
        <v>-0.98620859999999899</v>
      </c>
      <c r="P4378">
        <v>1.775134E-3</v>
      </c>
      <c r="Q4378">
        <v>4.2530569999999997E-2</v>
      </c>
      <c r="R4378">
        <v>-0.99909389999999998</v>
      </c>
      <c r="S4378">
        <v>0.45071409999999901</v>
      </c>
      <c r="T4378">
        <v>-0.2702695</v>
      </c>
      <c r="U4378">
        <v>-3.014313</v>
      </c>
      <c r="V4378">
        <v>-0.16683299999999901</v>
      </c>
      <c r="W4378">
        <v>5.2960229999999997E-2</v>
      </c>
      <c r="X4378">
        <v>0.98456180000000004</v>
      </c>
      <c r="Y4378">
        <v>-0.30864369999999902</v>
      </c>
      <c r="Z4378">
        <v>8.4809040000000002E-2</v>
      </c>
      <c r="AA4378">
        <v>0.94738929999999999</v>
      </c>
      <c r="AB4378">
        <v>39</v>
      </c>
      <c r="AC4378">
        <v>1.9041000000000201</v>
      </c>
      <c r="AD4378">
        <v>-1.1046929379879999</v>
      </c>
      <c r="AE4378">
        <v>-11.94839</v>
      </c>
      <c r="AF4378">
        <v>-3.8195739748685602</v>
      </c>
      <c r="AG4378">
        <v>-1.1046929379879999</v>
      </c>
      <c r="AH4378">
        <v>11.374971026019001</v>
      </c>
      <c r="AI4378">
        <v>95.260075081158007</v>
      </c>
      <c r="AJ4378">
        <v>108.56141160051401</v>
      </c>
      <c r="AK4378">
        <v>12.049873761973799</v>
      </c>
    </row>
    <row r="4379" spans="1:37" x14ac:dyDescent="0.2">
      <c r="A4379" t="str">
        <f>"20200111153739049"</f>
        <v>20200111153739049</v>
      </c>
      <c r="B4379" t="str">
        <f>"1578728259037699"</f>
        <v>1578728259037699</v>
      </c>
      <c r="C4379" t="s">
        <v>37</v>
      </c>
      <c r="D4379">
        <v>5.7150069999999999</v>
      </c>
      <c r="E4379">
        <v>0.4419824</v>
      </c>
      <c r="F4379" t="s">
        <v>39</v>
      </c>
      <c r="G4379">
        <v>-418.15780000000001</v>
      </c>
      <c r="H4379" s="1">
        <v>-2.7866000000000001E-6</v>
      </c>
      <c r="I4379">
        <v>85.366690000000006</v>
      </c>
      <c r="J4379">
        <v>-420.06900000000002</v>
      </c>
      <c r="K4379">
        <v>1.104746</v>
      </c>
      <c r="L4379">
        <v>97.269649999999999</v>
      </c>
      <c r="M4379">
        <v>-0.16453870000000001</v>
      </c>
      <c r="N4379">
        <v>0</v>
      </c>
      <c r="O4379">
        <v>-0.98631100000000005</v>
      </c>
      <c r="P4379">
        <v>3.5399979999999999E-3</v>
      </c>
      <c r="Q4379">
        <v>4.3709369999999997E-2</v>
      </c>
      <c r="R4379">
        <v>-0.99903790000000003</v>
      </c>
      <c r="S4379">
        <v>0.4537659</v>
      </c>
      <c r="T4379">
        <v>-0.271121</v>
      </c>
      <c r="U4379">
        <v>-3.013458</v>
      </c>
      <c r="V4379">
        <v>-0.16795689999999999</v>
      </c>
      <c r="W4379">
        <v>5.4153949999999999E-2</v>
      </c>
      <c r="X4379">
        <v>0.98430569999999895</v>
      </c>
      <c r="Y4379">
        <v>-0.30902209999999902</v>
      </c>
      <c r="Z4379">
        <v>8.5099820000000007E-2</v>
      </c>
      <c r="AA4379">
        <v>0.94723989999999902</v>
      </c>
      <c r="AB4379">
        <v>39</v>
      </c>
      <c r="AC4379">
        <v>1.9112</v>
      </c>
      <c r="AD4379">
        <v>-1.1047487866000001</v>
      </c>
      <c r="AE4379">
        <v>-11.902959999999901</v>
      </c>
      <c r="AF4379">
        <v>-3.8117511270424602</v>
      </c>
      <c r="AG4379">
        <v>-1.1047487866000001</v>
      </c>
      <c r="AH4379">
        <v>11.3310706752125</v>
      </c>
      <c r="AI4379">
        <v>95.279636793747201</v>
      </c>
      <c r="AJ4379">
        <v>108.592843811794</v>
      </c>
      <c r="AK4379">
        <v>12.005960152468701</v>
      </c>
    </row>
    <row r="4380" spans="1:37" x14ac:dyDescent="0.2">
      <c r="A4380" t="str">
        <f>"20200111153739083"</f>
        <v>20200111153739083</v>
      </c>
      <c r="B4380" t="str">
        <f>"1578728259077712"</f>
        <v>1578728259077712</v>
      </c>
      <c r="C4380" t="s">
        <v>37</v>
      </c>
      <c r="D4380">
        <v>5.803166</v>
      </c>
      <c r="E4380">
        <v>0.4422297</v>
      </c>
      <c r="F4380" t="s">
        <v>39</v>
      </c>
      <c r="G4380">
        <v>-418.18520000000001</v>
      </c>
      <c r="H4380" s="1">
        <v>-2.5494979999999998E-6</v>
      </c>
      <c r="I4380">
        <v>84.825299999999999</v>
      </c>
      <c r="J4380">
        <v>-420.1653</v>
      </c>
      <c r="K4380">
        <v>1.1048819999999999</v>
      </c>
      <c r="L4380">
        <v>96.685699999999997</v>
      </c>
      <c r="M4380">
        <v>-0.16337939999999901</v>
      </c>
      <c r="N4380">
        <v>0</v>
      </c>
      <c r="O4380">
        <v>-0.98650309999999897</v>
      </c>
      <c r="P4380">
        <v>3.4659489999999999E-3</v>
      </c>
      <c r="Q4380">
        <v>4.533893E-2</v>
      </c>
      <c r="R4380">
        <v>-0.99896580000000001</v>
      </c>
      <c r="S4380">
        <v>0.45611570000000001</v>
      </c>
      <c r="T4380">
        <v>-0.26747680000000001</v>
      </c>
      <c r="U4380">
        <v>-3.0129700000000001</v>
      </c>
      <c r="V4380">
        <v>-0.1667341</v>
      </c>
      <c r="W4380">
        <v>5.5791309999999997E-2</v>
      </c>
      <c r="X4380">
        <v>0.98442220000000002</v>
      </c>
      <c r="Y4380">
        <v>-0.3086643</v>
      </c>
      <c r="Z4380">
        <v>8.4004010000000004E-2</v>
      </c>
      <c r="AA4380">
        <v>0.94745429999999997</v>
      </c>
      <c r="AB4380">
        <v>39</v>
      </c>
      <c r="AC4380">
        <v>1.98009999999999</v>
      </c>
      <c r="AD4380">
        <v>-1.104884549498</v>
      </c>
      <c r="AE4380">
        <v>-11.860399999999901</v>
      </c>
      <c r="AF4380">
        <v>-3.8587714476225901</v>
      </c>
      <c r="AG4380">
        <v>-1.104884549498</v>
      </c>
      <c r="AH4380">
        <v>11.282233986101399</v>
      </c>
      <c r="AI4380">
        <v>95.293995329978003</v>
      </c>
      <c r="AJ4380">
        <v>108.88181290162601</v>
      </c>
      <c r="AK4380">
        <v>11.974960988239101</v>
      </c>
    </row>
    <row r="4381" spans="1:37" x14ac:dyDescent="0.2">
      <c r="A4381" t="str">
        <f>"20200111153739105"</f>
        <v>20200111153739105</v>
      </c>
      <c r="B4381" t="str">
        <f>"1578728259097235"</f>
        <v>1578728259097235</v>
      </c>
      <c r="C4381" t="s">
        <v>37</v>
      </c>
      <c r="D4381">
        <v>5.659548</v>
      </c>
      <c r="E4381">
        <v>0.4970154</v>
      </c>
      <c r="F4381" t="s">
        <v>39</v>
      </c>
      <c r="G4381">
        <v>-418.22770000000003</v>
      </c>
      <c r="H4381" s="1">
        <v>-2.1285079999999998E-6</v>
      </c>
      <c r="I4381">
        <v>83.861540000000005</v>
      </c>
      <c r="J4381">
        <v>-420.22820000000002</v>
      </c>
      <c r="K4381">
        <v>1.104986</v>
      </c>
      <c r="L4381">
        <v>96.300869999999904</v>
      </c>
      <c r="M4381">
        <v>-0.16244229999999901</v>
      </c>
      <c r="N4381">
        <v>0</v>
      </c>
      <c r="O4381">
        <v>-0.98665749999999997</v>
      </c>
      <c r="P4381">
        <v>3.4199959999999998E-3</v>
      </c>
      <c r="Q4381">
        <v>4.4296420000000003E-2</v>
      </c>
      <c r="R4381">
        <v>-0.99901289999999998</v>
      </c>
      <c r="S4381">
        <v>0.45529170000000002</v>
      </c>
      <c r="T4381">
        <v>-0.25961580000000001</v>
      </c>
      <c r="U4381">
        <v>-3.013306</v>
      </c>
      <c r="V4381">
        <v>-0.165774799999999</v>
      </c>
      <c r="W4381">
        <v>5.4740539999999997E-2</v>
      </c>
      <c r="X4381">
        <v>0.98464319999999905</v>
      </c>
      <c r="Y4381">
        <v>-0.30752350000000001</v>
      </c>
      <c r="Z4381">
        <v>8.1581849999999997E-2</v>
      </c>
      <c r="AA4381">
        <v>0.94803669999999995</v>
      </c>
      <c r="AB4381">
        <v>39</v>
      </c>
      <c r="AC4381">
        <v>2.0004999999999802</v>
      </c>
      <c r="AD4381">
        <v>-1.1049881285080001</v>
      </c>
      <c r="AE4381">
        <v>-12.439329999999901</v>
      </c>
      <c r="AF4381">
        <v>-3.9642280346086398</v>
      </c>
      <c r="AG4381">
        <v>-1.1049881285080001</v>
      </c>
      <c r="AH4381">
        <v>11.8578968933436</v>
      </c>
      <c r="AI4381">
        <v>95.050558122622107</v>
      </c>
      <c r="AJ4381">
        <v>108.485360172131</v>
      </c>
      <c r="AK4381">
        <v>12.5517258338321</v>
      </c>
    </row>
    <row r="4382" spans="1:37" x14ac:dyDescent="0.2">
      <c r="A4382" t="str">
        <f>"20200111153739127"</f>
        <v>20200111153739127</v>
      </c>
      <c r="B4382" t="str">
        <f>"1578728259117728"</f>
        <v>1578728259117728</v>
      </c>
      <c r="C4382" t="s">
        <v>37</v>
      </c>
      <c r="D4382">
        <v>5.8512449999999996</v>
      </c>
      <c r="E4382">
        <v>0.5534424</v>
      </c>
      <c r="F4382" t="s">
        <v>39</v>
      </c>
      <c r="G4382">
        <v>-420.02050000000003</v>
      </c>
      <c r="H4382" s="1">
        <v>-8.5812960000000003E-8</v>
      </c>
      <c r="I4382">
        <v>69.776420000000002</v>
      </c>
      <c r="J4382">
        <v>-420.28969999999998</v>
      </c>
      <c r="K4382">
        <v>1.105097</v>
      </c>
      <c r="L4382">
        <v>95.921199999999999</v>
      </c>
      <c r="M4382">
        <v>-0.16138749999999999</v>
      </c>
      <c r="N4382">
        <v>0</v>
      </c>
      <c r="O4382">
        <v>-0.98683050000000005</v>
      </c>
      <c r="P4382">
        <v>3.5240029999999999E-3</v>
      </c>
      <c r="Q4382">
        <v>4.3143540000000001E-2</v>
      </c>
      <c r="R4382">
        <v>-0.99906299999999904</v>
      </c>
      <c r="S4382">
        <v>2.3559569999999998E-2</v>
      </c>
      <c r="T4382">
        <v>-0.12532969999999999</v>
      </c>
      <c r="U4382">
        <v>-3.0084529999999998</v>
      </c>
      <c r="V4382">
        <v>-0.1648452</v>
      </c>
      <c r="W4382">
        <v>5.3573519999999999E-2</v>
      </c>
      <c r="X4382">
        <v>0.98486340000000006</v>
      </c>
      <c r="Y4382">
        <v>-0.16911289999999901</v>
      </c>
      <c r="Z4382">
        <v>4.0504199999999997E-2</v>
      </c>
      <c r="AA4382">
        <v>0.98476399999999997</v>
      </c>
      <c r="AB4382">
        <v>39</v>
      </c>
      <c r="AC4382">
        <v>0.26919999999995498</v>
      </c>
      <c r="AD4382">
        <v>-1.1050970858129601</v>
      </c>
      <c r="AE4382">
        <v>-26.144779999999901</v>
      </c>
      <c r="AF4382">
        <v>-4.4773652950308902</v>
      </c>
      <c r="AG4382">
        <v>-1.1050970858129601</v>
      </c>
      <c r="AH4382">
        <v>25.7126280292375</v>
      </c>
      <c r="AI4382">
        <v>92.424548418993993</v>
      </c>
      <c r="AJ4382">
        <v>99.877927138511495</v>
      </c>
      <c r="AK4382">
        <v>26.122926323904601</v>
      </c>
    </row>
    <row r="4383" spans="1:37" x14ac:dyDescent="0.2">
      <c r="A4383" t="str">
        <f>"20200111153739149"</f>
        <v>20200111153739149</v>
      </c>
      <c r="B4383" t="str">
        <f>"1578728259137248"</f>
        <v>1578728259137248</v>
      </c>
      <c r="C4383" t="s">
        <v>37</v>
      </c>
      <c r="D4383">
        <v>5.7533389999999898</v>
      </c>
      <c r="E4383">
        <v>0.55194540000000003</v>
      </c>
      <c r="F4383" t="s">
        <v>38</v>
      </c>
      <c r="G4383">
        <v>-420.42129999999997</v>
      </c>
      <c r="H4383">
        <v>1.0289269999999999</v>
      </c>
      <c r="I4383">
        <v>95.003050000000002</v>
      </c>
      <c r="J4383">
        <v>-420.35019999999997</v>
      </c>
      <c r="K4383">
        <v>1.1052219999999999</v>
      </c>
      <c r="L4383">
        <v>95.545100000000005</v>
      </c>
      <c r="M4383">
        <v>-0.1601822</v>
      </c>
      <c r="N4383">
        <v>0</v>
      </c>
      <c r="O4383">
        <v>-0.98702630000000002</v>
      </c>
      <c r="P4383">
        <v>3.4989719999999999E-3</v>
      </c>
      <c r="Q4383">
        <v>4.3603379999999997E-2</v>
      </c>
      <c r="R4383">
        <v>-0.99904289999999996</v>
      </c>
      <c r="S4383">
        <v>-0.4319153</v>
      </c>
      <c r="T4383">
        <v>-0.25014350000000002</v>
      </c>
      <c r="U4383">
        <v>-3.01513699999999</v>
      </c>
      <c r="V4383">
        <v>-0.1636319</v>
      </c>
      <c r="W4383">
        <v>5.4012530000000003E-2</v>
      </c>
      <c r="X4383">
        <v>0.98504169999999902</v>
      </c>
      <c r="Y4383">
        <v>-1.9071089999999999E-2</v>
      </c>
      <c r="Z4383">
        <v>8.0669950000000004E-2</v>
      </c>
      <c r="AA4383">
        <v>0.99655839999999996</v>
      </c>
      <c r="AB4383">
        <v>39</v>
      </c>
      <c r="AC4383">
        <v>-7.1100000000001204E-2</v>
      </c>
      <c r="AD4383">
        <v>-7.6294999999999696E-2</v>
      </c>
      <c r="AE4383">
        <v>-0.54205000000000303</v>
      </c>
      <c r="AF4383">
        <v>-1.6332108938146999E-2</v>
      </c>
      <c r="AG4383">
        <v>-7.6294999999999696E-2</v>
      </c>
      <c r="AH4383">
        <v>0.53600028716288295</v>
      </c>
      <c r="AI4383">
        <v>98.097429851061307</v>
      </c>
      <c r="AJ4383">
        <v>91.745281666087294</v>
      </c>
      <c r="AK4383">
        <v>0.541649307805392</v>
      </c>
    </row>
    <row r="4384" spans="1:37" x14ac:dyDescent="0.2">
      <c r="A4384" t="str">
        <f>"20200111153739172"</f>
        <v>20200111153739172</v>
      </c>
      <c r="B4384" t="str">
        <f>"1578728259167504"</f>
        <v>1578728259167504</v>
      </c>
      <c r="C4384" t="s">
        <v>37</v>
      </c>
      <c r="D4384">
        <v>5.7396830000000003</v>
      </c>
      <c r="E4384">
        <v>0.55015970000000003</v>
      </c>
      <c r="F4384" t="s">
        <v>39</v>
      </c>
      <c r="G4384">
        <v>-422.34010000000001</v>
      </c>
      <c r="H4384" s="1">
        <v>-1.3305049999999999E-6</v>
      </c>
      <c r="I4384">
        <v>81.239149999999995</v>
      </c>
      <c r="J4384">
        <v>-420.41129999999998</v>
      </c>
      <c r="K4384">
        <v>1.1053709999999899</v>
      </c>
      <c r="L4384">
        <v>95.160309999999996</v>
      </c>
      <c r="M4384">
        <v>-0.15876489999999999</v>
      </c>
      <c r="N4384">
        <v>0</v>
      </c>
      <c r="O4384">
        <v>-0.98725509999999905</v>
      </c>
      <c r="P4384">
        <v>3.0699149999999999E-3</v>
      </c>
      <c r="Q4384">
        <v>4.415293E-2</v>
      </c>
      <c r="R4384">
        <v>-0.99902019999999903</v>
      </c>
      <c r="S4384">
        <v>-0.4193115</v>
      </c>
      <c r="T4384">
        <v>-0.23289079999999901</v>
      </c>
      <c r="U4384">
        <v>-3.014526</v>
      </c>
      <c r="V4384">
        <v>-0.16181119999999999</v>
      </c>
      <c r="W4384">
        <v>5.4534850000000003E-2</v>
      </c>
      <c r="X4384">
        <v>0.98531369999999896</v>
      </c>
      <c r="Y4384">
        <v>-2.1632599999999998E-2</v>
      </c>
      <c r="Z4384">
        <v>7.5200149999999993E-2</v>
      </c>
      <c r="AA4384">
        <v>0.99693379999999998</v>
      </c>
      <c r="AB4384">
        <v>39</v>
      </c>
      <c r="AC4384">
        <v>-1.9288000000000201</v>
      </c>
      <c r="AD4384">
        <v>-1.1053723305049901</v>
      </c>
      <c r="AE4384">
        <v>-13.92116</v>
      </c>
      <c r="AF4384">
        <v>-0.30411123738996299</v>
      </c>
      <c r="AG4384">
        <v>-1.1053723305049901</v>
      </c>
      <c r="AH4384">
        <v>13.9644289160135</v>
      </c>
      <c r="AI4384">
        <v>94.524815829546199</v>
      </c>
      <c r="AJ4384">
        <v>91.247565276897802</v>
      </c>
      <c r="AK4384">
        <v>14.0114098713922</v>
      </c>
    </row>
    <row r="4385" spans="1:37" x14ac:dyDescent="0.2">
      <c r="A4385" t="str">
        <f>"20200111153739194"</f>
        <v>20200111153739194</v>
      </c>
      <c r="B4385" t="str">
        <f>"1578728259187999"</f>
        <v>1578728259187999</v>
      </c>
      <c r="C4385" t="s">
        <v>37</v>
      </c>
      <c r="D4385">
        <v>5.7598609999999999</v>
      </c>
      <c r="E4385">
        <v>0.54962500000000003</v>
      </c>
      <c r="F4385" t="s">
        <v>39</v>
      </c>
      <c r="G4385">
        <v>-422.5093</v>
      </c>
      <c r="H4385" s="1">
        <v>-4.7288579999999998E-6</v>
      </c>
      <c r="I4385">
        <v>79.574759999999998</v>
      </c>
      <c r="J4385">
        <v>-420.47329999999999</v>
      </c>
      <c r="K4385">
        <v>1.1055429999999999</v>
      </c>
      <c r="L4385">
        <v>94.765630000000002</v>
      </c>
      <c r="M4385">
        <v>-0.15711169999999999</v>
      </c>
      <c r="N4385">
        <v>0</v>
      </c>
      <c r="O4385">
        <v>-0.98751909999999898</v>
      </c>
      <c r="P4385">
        <v>3.3786519999999998E-3</v>
      </c>
      <c r="Q4385">
        <v>4.3807390000000002E-2</v>
      </c>
      <c r="R4385">
        <v>-0.99903430000000004</v>
      </c>
      <c r="S4385">
        <v>-0.40567019999999998</v>
      </c>
      <c r="T4385">
        <v>-0.21373690000000001</v>
      </c>
      <c r="U4385">
        <v>-3.0136409999999998</v>
      </c>
      <c r="V4385">
        <v>-0.1604894</v>
      </c>
      <c r="W4385">
        <v>5.4152510000000001E-2</v>
      </c>
      <c r="X4385">
        <v>0.98555090000000001</v>
      </c>
      <c r="Y4385">
        <v>-2.4288770000000001E-2</v>
      </c>
      <c r="Z4385">
        <v>6.9113430000000003E-2</v>
      </c>
      <c r="AA4385">
        <v>0.99731309999999995</v>
      </c>
      <c r="AB4385">
        <v>39</v>
      </c>
      <c r="AC4385">
        <v>-2.036</v>
      </c>
      <c r="AD4385">
        <v>-1.105547728858</v>
      </c>
      <c r="AE4385">
        <v>-15.19087</v>
      </c>
      <c r="AF4385">
        <v>-0.37415073135298799</v>
      </c>
      <c r="AG4385">
        <v>-1.105547728858</v>
      </c>
      <c r="AH4385">
        <v>15.242779063185999</v>
      </c>
      <c r="AI4385">
        <v>94.147112648064905</v>
      </c>
      <c r="AJ4385">
        <v>91.406105401222703</v>
      </c>
      <c r="AK4385">
        <v>15.287398016655899</v>
      </c>
    </row>
    <row r="4386" spans="1:37" x14ac:dyDescent="0.2">
      <c r="A4386" t="str">
        <f>"20200111153739217"</f>
        <v>20200111153739217</v>
      </c>
      <c r="B4386" t="str">
        <f>"1578728259207520"</f>
        <v>1578728259207520</v>
      </c>
      <c r="C4386" t="s">
        <v>37</v>
      </c>
      <c r="D4386">
        <v>5.7320010000000003</v>
      </c>
      <c r="E4386">
        <v>0.54907439999999996</v>
      </c>
      <c r="F4386" t="s">
        <v>39</v>
      </c>
      <c r="G4386">
        <v>-422.57060000000001</v>
      </c>
      <c r="H4386" s="1">
        <v>-4.537556E-6</v>
      </c>
      <c r="I4386">
        <v>78.980680000000007</v>
      </c>
      <c r="J4386">
        <v>-420.53309999999999</v>
      </c>
      <c r="K4386">
        <v>1.105723</v>
      </c>
      <c r="L4386">
        <v>94.380279999999999</v>
      </c>
      <c r="M4386">
        <v>-0.15529509999999999</v>
      </c>
      <c r="N4386">
        <v>0</v>
      </c>
      <c r="O4386">
        <v>-0.98780630000000003</v>
      </c>
      <c r="P4386">
        <v>4.1490440000000002E-3</v>
      </c>
      <c r="Q4386">
        <v>4.4023109999999997E-2</v>
      </c>
      <c r="R4386">
        <v>-0.99902219999999997</v>
      </c>
      <c r="S4386">
        <v>-0.40039059999999999</v>
      </c>
      <c r="T4386">
        <v>-0.2110612</v>
      </c>
      <c r="U4386">
        <v>-3.0135190000000001</v>
      </c>
      <c r="V4386">
        <v>-0.1594592</v>
      </c>
      <c r="W4386">
        <v>5.4324879999999999E-2</v>
      </c>
      <c r="X4386">
        <v>0.98570869999999999</v>
      </c>
      <c r="Y4386">
        <v>-2.4153629999999999E-2</v>
      </c>
      <c r="Z4386">
        <v>6.8292800000000001E-2</v>
      </c>
      <c r="AA4386">
        <v>0.99737289999999901</v>
      </c>
      <c r="AB4386">
        <v>39</v>
      </c>
      <c r="AC4386">
        <v>-2.0375000000000201</v>
      </c>
      <c r="AD4386">
        <v>-1.1057275375560001</v>
      </c>
      <c r="AE4386">
        <v>-15.3995999999999</v>
      </c>
      <c r="AF4386">
        <v>-0.376940312727441</v>
      </c>
      <c r="AG4386">
        <v>-1.1057275375560001</v>
      </c>
      <c r="AH4386">
        <v>15.450896274277801</v>
      </c>
      <c r="AI4386">
        <v>94.092121888764197</v>
      </c>
      <c r="AJ4386">
        <v>91.397511547479397</v>
      </c>
      <c r="AK4386">
        <v>15.494996388033099</v>
      </c>
    </row>
    <row r="4387" spans="1:37" x14ac:dyDescent="0.2">
      <c r="A4387" t="str">
        <f>"20200111153739239"</f>
        <v>20200111153739239</v>
      </c>
      <c r="B4387" t="str">
        <f>"1578728259228016"</f>
        <v>1578728259228016</v>
      </c>
      <c r="C4387" t="s">
        <v>37</v>
      </c>
      <c r="D4387">
        <v>5.790978</v>
      </c>
      <c r="E4387">
        <v>0.54864480000000004</v>
      </c>
      <c r="F4387" t="s">
        <v>39</v>
      </c>
      <c r="G4387">
        <v>-422.63159999999999</v>
      </c>
      <c r="H4387" s="1">
        <v>-4.3227929999999902E-6</v>
      </c>
      <c r="I4387">
        <v>78.317759999999893</v>
      </c>
      <c r="J4387">
        <v>-420.59059999999999</v>
      </c>
      <c r="K4387">
        <v>1.1059139999999901</v>
      </c>
      <c r="L4387">
        <v>94.003879999999995</v>
      </c>
      <c r="M4387">
        <v>-0.15332479999999901</v>
      </c>
      <c r="N4387">
        <v>0</v>
      </c>
      <c r="O4387">
        <v>-0.98811389999999999</v>
      </c>
      <c r="P4387">
        <v>5.17246299999999E-3</v>
      </c>
      <c r="Q4387">
        <v>4.433496E-2</v>
      </c>
      <c r="R4387">
        <v>-0.99900359999999999</v>
      </c>
      <c r="S4387">
        <v>-0.39373779999999903</v>
      </c>
      <c r="T4387">
        <v>-0.20746029999999999</v>
      </c>
      <c r="U4387">
        <v>-3.0137019999999999</v>
      </c>
      <c r="V4387">
        <v>-0.1585261</v>
      </c>
      <c r="W4387">
        <v>5.4589599999999898E-2</v>
      </c>
      <c r="X4387">
        <v>0.98584459999999996</v>
      </c>
      <c r="Y4387">
        <v>-2.4321880000000001E-2</v>
      </c>
      <c r="Z4387">
        <v>6.7169820000000005E-2</v>
      </c>
      <c r="AA4387">
        <v>0.99744500000000003</v>
      </c>
      <c r="AB4387">
        <v>39</v>
      </c>
      <c r="AC4387">
        <v>-2.0409999999999902</v>
      </c>
      <c r="AD4387">
        <v>-1.1059183227929901</v>
      </c>
      <c r="AE4387">
        <v>-15.686120000000001</v>
      </c>
      <c r="AF4387">
        <v>-0.386465502875459</v>
      </c>
      <c r="AG4387">
        <v>-1.1059183227929901</v>
      </c>
      <c r="AH4387">
        <v>15.7366576441504</v>
      </c>
      <c r="AI4387">
        <v>94.018733948540898</v>
      </c>
      <c r="AJ4387">
        <v>91.406803962462305</v>
      </c>
      <c r="AK4387">
        <v>15.7802029369333</v>
      </c>
    </row>
    <row r="4388" spans="1:37" x14ac:dyDescent="0.2">
      <c r="A4388" t="str">
        <f>"20200111153739263"</f>
        <v>20200111153739263</v>
      </c>
      <c r="B4388" t="str">
        <f>"1578728259257296"</f>
        <v>1578728259257296</v>
      </c>
      <c r="C4388" t="s">
        <v>37</v>
      </c>
      <c r="D4388">
        <v>5.7963239999999896</v>
      </c>
      <c r="E4388">
        <v>0.54805839999999995</v>
      </c>
      <c r="F4388" t="s">
        <v>39</v>
      </c>
      <c r="G4388">
        <v>-422.67430000000002</v>
      </c>
      <c r="H4388" s="1">
        <v>-4.1351469999999998E-6</v>
      </c>
      <c r="I4388">
        <v>77.744129999999998</v>
      </c>
      <c r="J4388">
        <v>-420.65050000000002</v>
      </c>
      <c r="K4388">
        <v>1.106114</v>
      </c>
      <c r="L4388">
        <v>93.604339999999993</v>
      </c>
      <c r="M4388">
        <v>-0.15100749999999999</v>
      </c>
      <c r="N4388">
        <v>0</v>
      </c>
      <c r="O4388">
        <v>-0.98847030000000002</v>
      </c>
      <c r="P4388">
        <v>6.1935109999999996E-3</v>
      </c>
      <c r="Q4388">
        <v>4.3781609999999999E-2</v>
      </c>
      <c r="R4388">
        <v>-0.99902219999999997</v>
      </c>
      <c r="S4388">
        <v>-0.38626100000000002</v>
      </c>
      <c r="T4388">
        <v>-0.2050062</v>
      </c>
      <c r="U4388">
        <v>-3.0140989999999999</v>
      </c>
      <c r="V4388">
        <v>-0.15724969999999999</v>
      </c>
      <c r="W4388">
        <v>5.3986350000000002E-2</v>
      </c>
      <c r="X4388">
        <v>0.98608209999999996</v>
      </c>
      <c r="Y4388">
        <v>-2.4421680000000001E-2</v>
      </c>
      <c r="Z4388">
        <v>6.641648E-2</v>
      </c>
      <c r="AA4388">
        <v>0.99749310000000002</v>
      </c>
      <c r="AB4388">
        <v>39</v>
      </c>
      <c r="AC4388">
        <v>-2.0237999999999898</v>
      </c>
      <c r="AD4388">
        <v>-1.106118135147</v>
      </c>
      <c r="AE4388">
        <v>-15.86021</v>
      </c>
      <c r="AF4388">
        <v>-0.39268937179535401</v>
      </c>
      <c r="AG4388">
        <v>-1.106118135147</v>
      </c>
      <c r="AH4388">
        <v>15.907805742701999</v>
      </c>
      <c r="AI4388">
        <v>93.976340399890503</v>
      </c>
      <c r="AJ4388">
        <v>91.414077816301997</v>
      </c>
      <c r="AK4388">
        <v>15.951049677659601</v>
      </c>
    </row>
    <row r="4389" spans="1:37" x14ac:dyDescent="0.2">
      <c r="A4389" t="str">
        <f>"20200111153739284"</f>
        <v>20200111153739284</v>
      </c>
      <c r="B4389" t="str">
        <f>"1578728259277792"</f>
        <v>1578728259277792</v>
      </c>
      <c r="C4389" t="s">
        <v>37</v>
      </c>
      <c r="D4389">
        <v>5.7889400000000002</v>
      </c>
      <c r="E4389">
        <v>0.54784719999999998</v>
      </c>
      <c r="F4389" t="s">
        <v>39</v>
      </c>
      <c r="G4389">
        <v>-422.67259999999999</v>
      </c>
      <c r="H4389" s="1">
        <v>-4.0484769999999999E-6</v>
      </c>
      <c r="I4389">
        <v>77.49033</v>
      </c>
      <c r="J4389">
        <v>-420.7072</v>
      </c>
      <c r="K4389">
        <v>1.1062969999999901</v>
      </c>
      <c r="L4389">
        <v>93.219210000000004</v>
      </c>
      <c r="M4389">
        <v>-0.14858740000000001</v>
      </c>
      <c r="N4389">
        <v>0</v>
      </c>
      <c r="O4389">
        <v>-0.98883709999999903</v>
      </c>
      <c r="P4389">
        <v>7.1875359999999996E-3</v>
      </c>
      <c r="Q4389">
        <v>4.2503119999999998E-2</v>
      </c>
      <c r="R4389">
        <v>-0.99907089999999998</v>
      </c>
      <c r="S4389">
        <v>-0.37826539999999997</v>
      </c>
      <c r="T4389">
        <v>-0.2069165</v>
      </c>
      <c r="U4389">
        <v>-3.0143740000000001</v>
      </c>
      <c r="V4389">
        <v>-0.15584239999999999</v>
      </c>
      <c r="W4389">
        <v>5.2663099999999997E-2</v>
      </c>
      <c r="X4389">
        <v>0.98637710000000001</v>
      </c>
      <c r="Y4389">
        <v>-2.459534E-2</v>
      </c>
      <c r="Z4389">
        <v>6.7074640000000005E-2</v>
      </c>
      <c r="AA4389">
        <v>0.99744469999999996</v>
      </c>
      <c r="AB4389">
        <v>39</v>
      </c>
      <c r="AC4389">
        <v>-1.9653999999999801</v>
      </c>
      <c r="AD4389">
        <v>-1.1063010484769999</v>
      </c>
      <c r="AE4389">
        <v>-15.72888</v>
      </c>
      <c r="AF4389">
        <v>-0.39176882945117503</v>
      </c>
      <c r="AG4389">
        <v>-1.1063010484769999</v>
      </c>
      <c r="AH4389">
        <v>15.7694941574913</v>
      </c>
      <c r="AI4389">
        <v>94.0117483485908</v>
      </c>
      <c r="AJ4389">
        <v>91.423132786694794</v>
      </c>
      <c r="AK4389">
        <v>15.813106298534301</v>
      </c>
    </row>
    <row r="4390" spans="1:37" x14ac:dyDescent="0.2">
      <c r="A4390" t="str">
        <f>"20200111153739306"</f>
        <v>20200111153739306</v>
      </c>
      <c r="B4390" t="str">
        <f>"1578728259297312"</f>
        <v>1578728259297312</v>
      </c>
      <c r="C4390" t="s">
        <v>37</v>
      </c>
      <c r="D4390">
        <v>5.8132699999999904</v>
      </c>
      <c r="E4390">
        <v>0.547732199999999</v>
      </c>
      <c r="F4390" t="s">
        <v>39</v>
      </c>
      <c r="G4390">
        <v>-422.65660000000003</v>
      </c>
      <c r="H4390" s="1">
        <v>-4.0380259999999996E-6</v>
      </c>
      <c r="I4390">
        <v>77.467969999999994</v>
      </c>
      <c r="J4390">
        <v>-420.76139999999998</v>
      </c>
      <c r="K4390">
        <v>1.106455</v>
      </c>
      <c r="L4390">
        <v>92.844239999999999</v>
      </c>
      <c r="M4390">
        <v>-0.1460882</v>
      </c>
      <c r="N4390">
        <v>0</v>
      </c>
      <c r="O4390">
        <v>-0.98920909999999995</v>
      </c>
      <c r="P4390">
        <v>6.8885459999999997E-3</v>
      </c>
      <c r="Q4390">
        <v>4.2667099999999999E-2</v>
      </c>
      <c r="R4390">
        <v>-0.99906589999999995</v>
      </c>
      <c r="S4390">
        <v>-0.3730774</v>
      </c>
      <c r="T4390">
        <v>-0.21172340000000001</v>
      </c>
      <c r="U4390">
        <v>-3.014465</v>
      </c>
      <c r="V4390">
        <v>-0.15307319999999999</v>
      </c>
      <c r="W4390">
        <v>5.2799289999999999E-2</v>
      </c>
      <c r="X4390">
        <v>0.9868034</v>
      </c>
      <c r="Y4390">
        <v>-2.377665E-2</v>
      </c>
      <c r="Z4390">
        <v>6.8670030000000007E-2</v>
      </c>
      <c r="AA4390">
        <v>0.99735609999999997</v>
      </c>
      <c r="AB4390">
        <v>39</v>
      </c>
      <c r="AC4390">
        <v>-1.89520000000004</v>
      </c>
      <c r="AD4390">
        <v>-1.106459038026</v>
      </c>
      <c r="AE4390">
        <v>-15.37627</v>
      </c>
      <c r="AF4390">
        <v>-0.36967989668554901</v>
      </c>
      <c r="AG4390">
        <v>-1.106459038026</v>
      </c>
      <c r="AH4390">
        <v>15.4095717770627</v>
      </c>
      <c r="AI4390">
        <v>94.105803738014401</v>
      </c>
      <c r="AJ4390">
        <v>91.374278019112595</v>
      </c>
      <c r="AK4390">
        <v>15.4536667875714</v>
      </c>
    </row>
    <row r="4391" spans="1:37" x14ac:dyDescent="0.2">
      <c r="A4391" t="str">
        <f>"20200111153739328"</f>
        <v>20200111153739328</v>
      </c>
      <c r="B4391" t="str">
        <f>"1578728259317808"</f>
        <v>1578728259317808</v>
      </c>
      <c r="C4391" t="s">
        <v>37</v>
      </c>
      <c r="D4391">
        <v>5.9312820000000004</v>
      </c>
      <c r="E4391">
        <v>0.54754939999999996</v>
      </c>
      <c r="F4391" t="s">
        <v>39</v>
      </c>
      <c r="G4391">
        <v>-422.7165</v>
      </c>
      <c r="H4391" s="1">
        <v>-3.9134779999999997E-6</v>
      </c>
      <c r="I4391">
        <v>77.070759999999893</v>
      </c>
      <c r="J4391">
        <v>-420.81529999999998</v>
      </c>
      <c r="K4391">
        <v>1.106598</v>
      </c>
      <c r="L4391">
        <v>92.463319999999996</v>
      </c>
      <c r="M4391">
        <v>-0.14342659999999999</v>
      </c>
      <c r="N4391">
        <v>0</v>
      </c>
      <c r="O4391">
        <v>-0.98959819999999998</v>
      </c>
      <c r="P4391">
        <v>5.7471700000000002E-3</v>
      </c>
      <c r="Q4391">
        <v>4.305374E-2</v>
      </c>
      <c r="R4391">
        <v>-0.99905639999999996</v>
      </c>
      <c r="S4391">
        <v>-0.37362669999999998</v>
      </c>
      <c r="T4391">
        <v>-0.21145079999999999</v>
      </c>
      <c r="U4391">
        <v>-3.0144039999999999</v>
      </c>
      <c r="V4391">
        <v>-0.14930760000000001</v>
      </c>
      <c r="W4391">
        <v>5.3171650000000001E-2</v>
      </c>
      <c r="X4391">
        <v>0.98736009999999996</v>
      </c>
      <c r="Y4391">
        <v>-2.0905340000000001E-2</v>
      </c>
      <c r="Z4391">
        <v>6.8625389999999994E-2</v>
      </c>
      <c r="AA4391">
        <v>0.99742350000000002</v>
      </c>
      <c r="AB4391">
        <v>39</v>
      </c>
      <c r="AC4391">
        <v>-1.90120000000001</v>
      </c>
      <c r="AD4391">
        <v>-1.1066019134780001</v>
      </c>
      <c r="AE4391">
        <v>-15.39256</v>
      </c>
      <c r="AF4391">
        <v>-0.324646007682382</v>
      </c>
      <c r="AG4391">
        <v>-1.1066019134780001</v>
      </c>
      <c r="AH4391">
        <v>15.4275568417311</v>
      </c>
      <c r="AI4391">
        <v>94.101832498451799</v>
      </c>
      <c r="AJ4391">
        <v>91.205511760288005</v>
      </c>
      <c r="AK4391">
        <v>15.4706002769789</v>
      </c>
    </row>
    <row r="4392" spans="1:37" x14ac:dyDescent="0.2">
      <c r="A4392" t="str">
        <f>"20200111153739350"</f>
        <v>20200111153739350</v>
      </c>
      <c r="B4392" t="str">
        <f>"1578728259348064"</f>
        <v>1578728259348064</v>
      </c>
      <c r="C4392" t="s">
        <v>37</v>
      </c>
      <c r="D4392">
        <v>5.8281999999999998</v>
      </c>
      <c r="E4392">
        <v>0.54749110000000001</v>
      </c>
      <c r="F4392" t="s">
        <v>39</v>
      </c>
      <c r="G4392">
        <v>-422.78190000000001</v>
      </c>
      <c r="H4392" s="1">
        <v>-3.7678729999999998E-6</v>
      </c>
      <c r="I4392">
        <v>76.646730000000005</v>
      </c>
      <c r="J4392">
        <v>-420.86799999999999</v>
      </c>
      <c r="K4392">
        <v>1.106716</v>
      </c>
      <c r="L4392">
        <v>92.083529999999996</v>
      </c>
      <c r="M4392">
        <v>-0.1406763</v>
      </c>
      <c r="N4392">
        <v>0</v>
      </c>
      <c r="O4392">
        <v>-0.98999289999999995</v>
      </c>
      <c r="P4392">
        <v>6.3374140000000004E-3</v>
      </c>
      <c r="Q4392">
        <v>4.223528E-2</v>
      </c>
      <c r="R4392">
        <v>-0.99908790000000003</v>
      </c>
      <c r="S4392">
        <v>-0.37475589999999998</v>
      </c>
      <c r="T4392">
        <v>-0.2108804</v>
      </c>
      <c r="U4392">
        <v>-3.0140989999999999</v>
      </c>
      <c r="V4392">
        <v>-0.14716270000000001</v>
      </c>
      <c r="W4392">
        <v>5.2335489999999998E-2</v>
      </c>
      <c r="X4392">
        <v>0.98772669999999996</v>
      </c>
      <c r="Y4392">
        <v>-1.7745560000000001E-2</v>
      </c>
      <c r="Z4392">
        <v>6.8489510000000003E-2</v>
      </c>
      <c r="AA4392">
        <v>0.99749399999999999</v>
      </c>
      <c r="AB4392">
        <v>39</v>
      </c>
      <c r="AC4392">
        <v>-1.91389999999995</v>
      </c>
      <c r="AD4392">
        <v>-1.1067197678730001</v>
      </c>
      <c r="AE4392">
        <v>-15.4368</v>
      </c>
      <c r="AF4392">
        <v>-0.27546723656918298</v>
      </c>
      <c r="AG4392">
        <v>-1.1067197678730001</v>
      </c>
      <c r="AH4392">
        <v>15.474196070658</v>
      </c>
      <c r="AI4392">
        <v>94.090202177672694</v>
      </c>
      <c r="AJ4392">
        <v>91.019855446204403</v>
      </c>
      <c r="AK4392">
        <v>15.5161675318421</v>
      </c>
    </row>
    <row r="4393" spans="1:37" x14ac:dyDescent="0.2">
      <c r="A4393" t="str">
        <f>"20200111153739373"</f>
        <v>20200111153739373</v>
      </c>
      <c r="B4393" t="str">
        <f>"1578728259367583"</f>
        <v>1578728259367583</v>
      </c>
      <c r="C4393" t="s">
        <v>37</v>
      </c>
      <c r="D4393">
        <v>5.8289089999999897</v>
      </c>
      <c r="E4393">
        <v>0.54735690000000004</v>
      </c>
      <c r="F4393" t="s">
        <v>39</v>
      </c>
      <c r="G4393">
        <v>-422.79689999999999</v>
      </c>
      <c r="H4393" s="1">
        <v>-3.7085589999999999E-6</v>
      </c>
      <c r="I4393">
        <v>76.499110000000002</v>
      </c>
      <c r="J4393">
        <v>-420.92160000000001</v>
      </c>
      <c r="K4393">
        <v>1.10680499999999</v>
      </c>
      <c r="L4393">
        <v>91.688450000000003</v>
      </c>
      <c r="M4393">
        <v>-0.1377438</v>
      </c>
      <c r="N4393">
        <v>0</v>
      </c>
      <c r="O4393">
        <v>-0.99040499999999998</v>
      </c>
      <c r="P4393">
        <v>9.4825109999999904E-3</v>
      </c>
      <c r="Q4393">
        <v>4.0390200000000001E-2</v>
      </c>
      <c r="R4393">
        <v>-0.999138999999999</v>
      </c>
      <c r="S4393">
        <v>-0.3730774</v>
      </c>
      <c r="T4393">
        <v>-0.21404909999999999</v>
      </c>
      <c r="U4393">
        <v>-3.01416</v>
      </c>
      <c r="V4393">
        <v>-0.14735970000000001</v>
      </c>
      <c r="W4393">
        <v>5.0459709999999998E-2</v>
      </c>
      <c r="X4393">
        <v>0.98779499999999998</v>
      </c>
      <c r="Y4393">
        <v>-1.534306E-2</v>
      </c>
      <c r="Z4393">
        <v>6.9559380000000004E-2</v>
      </c>
      <c r="AA4393">
        <v>0.99745980000000001</v>
      </c>
      <c r="AB4393">
        <v>39</v>
      </c>
      <c r="AC4393">
        <v>-1.87529999999998</v>
      </c>
      <c r="AD4393">
        <v>-1.1068087085589899</v>
      </c>
      <c r="AE4393">
        <v>-15.18934</v>
      </c>
      <c r="AF4393">
        <v>-0.23372318970358</v>
      </c>
      <c r="AG4393">
        <v>-1.1068087085589899</v>
      </c>
      <c r="AH4393">
        <v>15.223245694153899</v>
      </c>
      <c r="AI4393">
        <v>94.157894427096906</v>
      </c>
      <c r="AJ4393">
        <v>90.879595624792501</v>
      </c>
      <c r="AK4393">
        <v>15.265217375174201</v>
      </c>
    </row>
    <row r="4394" spans="1:37" x14ac:dyDescent="0.2">
      <c r="A4394" t="str">
        <f>"20200111153739395"</f>
        <v>20200111153739395</v>
      </c>
      <c r="B4394" t="str">
        <f>"1578728259388079"</f>
        <v>1578728259388079</v>
      </c>
      <c r="C4394" t="s">
        <v>37</v>
      </c>
      <c r="D4394">
        <v>5.8318379999999896</v>
      </c>
      <c r="E4394">
        <v>0.54725869999999999</v>
      </c>
      <c r="F4394" t="s">
        <v>39</v>
      </c>
      <c r="G4394">
        <v>-422.76</v>
      </c>
      <c r="H4394" s="1">
        <v>-3.678146E-6</v>
      </c>
      <c r="I4394">
        <v>76.451130000000006</v>
      </c>
      <c r="J4394">
        <v>-420.9726</v>
      </c>
      <c r="K4394">
        <v>1.1068879999999901</v>
      </c>
      <c r="L4394">
        <v>91.304410000000004</v>
      </c>
      <c r="M4394">
        <v>-0.134849</v>
      </c>
      <c r="N4394">
        <v>0</v>
      </c>
      <c r="O4394">
        <v>-0.990803199999999</v>
      </c>
      <c r="P4394">
        <v>1.346174E-2</v>
      </c>
      <c r="Q4394">
        <v>3.9125069999999998E-2</v>
      </c>
      <c r="R4394">
        <v>-0.99914349999999996</v>
      </c>
      <c r="S4394">
        <v>-0.36373899999999998</v>
      </c>
      <c r="T4394">
        <v>-0.21899369999999899</v>
      </c>
      <c r="U4394">
        <v>-3.0148619999999999</v>
      </c>
      <c r="V4394">
        <v>-0.14841670000000001</v>
      </c>
      <c r="W4394">
        <v>4.9163369999999998E-2</v>
      </c>
      <c r="X4394">
        <v>0.98770210000000003</v>
      </c>
      <c r="Y4394">
        <v>-1.5507440000000001E-2</v>
      </c>
      <c r="Z4394">
        <v>7.1197609999999995E-2</v>
      </c>
      <c r="AA4394">
        <v>0.9973417</v>
      </c>
      <c r="AB4394">
        <v>39</v>
      </c>
      <c r="AC4394">
        <v>-1.7873999999999901</v>
      </c>
      <c r="AD4394">
        <v>-1.1068916781460001</v>
      </c>
      <c r="AE4394">
        <v>-14.8532799999999</v>
      </c>
      <c r="AF4394">
        <v>-0.230739670726237</v>
      </c>
      <c r="AG4394">
        <v>-1.1068916781460001</v>
      </c>
      <c r="AH4394">
        <v>14.8771987163872</v>
      </c>
      <c r="AI4394">
        <v>94.254564422915294</v>
      </c>
      <c r="AJ4394">
        <v>90.888564416933406</v>
      </c>
      <c r="AK4394">
        <v>14.920103606532599</v>
      </c>
    </row>
    <row r="4395" spans="1:37" x14ac:dyDescent="0.2">
      <c r="A4395" t="str">
        <f>"20200111153739417"</f>
        <v>20200111153739417</v>
      </c>
      <c r="B4395" t="str">
        <f>"1578728259407600"</f>
        <v>1578728259407600</v>
      </c>
      <c r="C4395" t="s">
        <v>37</v>
      </c>
      <c r="D4395">
        <v>5.8454119999999996</v>
      </c>
      <c r="E4395">
        <v>0.54709919999999901</v>
      </c>
      <c r="F4395" t="s">
        <v>39</v>
      </c>
      <c r="G4395">
        <v>-422.71589999999998</v>
      </c>
      <c r="H4395" s="1">
        <v>-3.617475E-6</v>
      </c>
      <c r="I4395">
        <v>76.337050000000005</v>
      </c>
      <c r="J4395">
        <v>-421.02260000000001</v>
      </c>
      <c r="K4395">
        <v>1.1069639999999901</v>
      </c>
      <c r="L4395">
        <v>90.918909999999997</v>
      </c>
      <c r="M4395">
        <v>-0.1319178</v>
      </c>
      <c r="N4395">
        <v>0</v>
      </c>
      <c r="O4395">
        <v>-0.99119760000000001</v>
      </c>
      <c r="P4395">
        <v>1.7823450000000001E-2</v>
      </c>
      <c r="Q4395">
        <v>3.9110069999999997E-2</v>
      </c>
      <c r="R4395">
        <v>-0.99907599999999996</v>
      </c>
      <c r="S4395">
        <v>-0.35128779999999998</v>
      </c>
      <c r="T4395">
        <v>-0.22304599999999999</v>
      </c>
      <c r="U4395">
        <v>-3.016022</v>
      </c>
      <c r="V4395">
        <v>-0.14981659999999999</v>
      </c>
      <c r="W4395">
        <v>4.9117649999999999E-2</v>
      </c>
      <c r="X4395">
        <v>0.98749299999999995</v>
      </c>
      <c r="Y4395">
        <v>-1.6667029999999999E-2</v>
      </c>
      <c r="Z4395">
        <v>7.2540469999999996E-2</v>
      </c>
      <c r="AA4395">
        <v>0.99722619999999895</v>
      </c>
      <c r="AB4395">
        <v>39</v>
      </c>
      <c r="AC4395">
        <v>-1.6932999999999601</v>
      </c>
      <c r="AD4395">
        <v>-1.1069676174749901</v>
      </c>
      <c r="AE4395">
        <v>-14.581859999999899</v>
      </c>
      <c r="AF4395">
        <v>-0.24384078137229701</v>
      </c>
      <c r="AG4395">
        <v>-1.1069676174749901</v>
      </c>
      <c r="AH4395">
        <v>14.594808634965201</v>
      </c>
      <c r="AI4395">
        <v>94.336786552871203</v>
      </c>
      <c r="AJ4395">
        <v>90.957172394104504</v>
      </c>
      <c r="AK4395">
        <v>14.638759330081699</v>
      </c>
    </row>
    <row r="4396" spans="1:37" x14ac:dyDescent="0.2">
      <c r="A4396" t="str">
        <f>"20200111153739440"</f>
        <v>20200111153739440</v>
      </c>
      <c r="B4396" t="str">
        <f>"1578728259428096"</f>
        <v>1578728259428096</v>
      </c>
      <c r="C4396" t="s">
        <v>37</v>
      </c>
      <c r="D4396">
        <v>5.8430660000000003</v>
      </c>
      <c r="E4396">
        <v>0.54701299999999997</v>
      </c>
      <c r="F4396" t="s">
        <v>39</v>
      </c>
      <c r="G4396">
        <v>-422.69009999999997</v>
      </c>
      <c r="H4396" s="1">
        <v>-3.4465170000000002E-6</v>
      </c>
      <c r="I4396">
        <v>75.954549999999998</v>
      </c>
      <c r="J4396">
        <v>-421.07119999999998</v>
      </c>
      <c r="K4396">
        <v>1.107035</v>
      </c>
      <c r="L4396">
        <v>90.535830000000004</v>
      </c>
      <c r="M4396">
        <v>-0.12899260000000001</v>
      </c>
      <c r="N4396">
        <v>0</v>
      </c>
      <c r="O4396">
        <v>-0.99158259999999898</v>
      </c>
      <c r="P4396">
        <v>2.2266790000000002E-2</v>
      </c>
      <c r="Q4396">
        <v>4.0524159999999997E-2</v>
      </c>
      <c r="R4396">
        <v>-0.99893089999999995</v>
      </c>
      <c r="S4396">
        <v>-0.33624270000000001</v>
      </c>
      <c r="T4396">
        <v>-0.22321649999999901</v>
      </c>
      <c r="U4396">
        <v>-3.0175169999999998</v>
      </c>
      <c r="V4396">
        <v>-0.1513052</v>
      </c>
      <c r="W4396">
        <v>5.0503050000000001E-2</v>
      </c>
      <c r="X4396">
        <v>0.98719609999999902</v>
      </c>
      <c r="Y4396">
        <v>-1.8682499999999901E-2</v>
      </c>
      <c r="Z4396">
        <v>7.2621190000000002E-2</v>
      </c>
      <c r="AA4396">
        <v>0.99718459999999998</v>
      </c>
      <c r="AB4396">
        <v>39</v>
      </c>
      <c r="AC4396">
        <v>-1.61889999999999</v>
      </c>
      <c r="AD4396">
        <v>-1.107038446517</v>
      </c>
      <c r="AE4396">
        <v>-14.58128</v>
      </c>
      <c r="AF4396">
        <v>-0.27406086653488698</v>
      </c>
      <c r="AG4396">
        <v>-1.107038446517</v>
      </c>
      <c r="AH4396">
        <v>14.5852378319526</v>
      </c>
      <c r="AI4396">
        <v>94.339738307001895</v>
      </c>
      <c r="AJ4396">
        <v>91.076477702809797</v>
      </c>
      <c r="AK4396">
        <v>14.6297575542199</v>
      </c>
    </row>
    <row r="4397" spans="1:37" x14ac:dyDescent="0.2">
      <c r="A4397" t="str">
        <f>"20200111153739462"</f>
        <v>20200111153739462</v>
      </c>
      <c r="B4397" t="str">
        <f>"1578728259457375"</f>
        <v>1578728259457375</v>
      </c>
      <c r="C4397" t="s">
        <v>37</v>
      </c>
      <c r="D4397">
        <v>5.8448919999999998</v>
      </c>
      <c r="E4397">
        <v>0.54703800000000002</v>
      </c>
      <c r="F4397" t="s">
        <v>38</v>
      </c>
      <c r="G4397">
        <v>-421.1841</v>
      </c>
      <c r="H4397">
        <v>1.030111</v>
      </c>
      <c r="I4397">
        <v>89.479320000000001</v>
      </c>
      <c r="J4397">
        <v>-421.11939999999998</v>
      </c>
      <c r="K4397">
        <v>1.1071029999999999</v>
      </c>
      <c r="L4397">
        <v>90.145200000000003</v>
      </c>
      <c r="M4397">
        <v>-0.12600529999999999</v>
      </c>
      <c r="N4397">
        <v>0</v>
      </c>
      <c r="O4397">
        <v>-0.99196649999999997</v>
      </c>
      <c r="P4397">
        <v>2.6153010000000001E-2</v>
      </c>
      <c r="Q4397">
        <v>4.2767630000000001E-2</v>
      </c>
      <c r="R4397">
        <v>-0.99874280000000004</v>
      </c>
      <c r="S4397">
        <v>-0.32217410000000002</v>
      </c>
      <c r="T4397">
        <v>-0.219958399999999</v>
      </c>
      <c r="U4397">
        <v>-3.0193180000000002</v>
      </c>
      <c r="V4397">
        <v>-0.1521835</v>
      </c>
      <c r="W4397">
        <v>5.2725479999999998E-2</v>
      </c>
      <c r="X4397">
        <v>0.98694490000000001</v>
      </c>
      <c r="Y4397">
        <v>-2.0320049999999999E-2</v>
      </c>
      <c r="Z4397">
        <v>7.1582750000000001E-2</v>
      </c>
      <c r="AA4397">
        <v>0.99722770000000005</v>
      </c>
      <c r="AB4397">
        <v>39</v>
      </c>
      <c r="AC4397">
        <v>-6.4700000000016106E-2</v>
      </c>
      <c r="AD4397">
        <v>-7.6992000000000102E-2</v>
      </c>
      <c r="AE4397">
        <v>-0.66588000000000103</v>
      </c>
      <c r="AF4397">
        <v>-1.9467582579931201E-2</v>
      </c>
      <c r="AG4397">
        <v>-7.6992000000000102E-2</v>
      </c>
      <c r="AH4397">
        <v>0.65998422095604103</v>
      </c>
      <c r="AI4397">
        <v>96.651030643097698</v>
      </c>
      <c r="AJ4397">
        <v>91.689566137268798</v>
      </c>
      <c r="AK4397">
        <v>0.664745008816507</v>
      </c>
    </row>
    <row r="4398" spans="1:37" x14ac:dyDescent="0.2">
      <c r="A4398" t="str">
        <f>"20200111153739485"</f>
        <v>20200111153739485</v>
      </c>
      <c r="B4398" t="str">
        <f>"1578728259477875"</f>
        <v>1578728259477875</v>
      </c>
      <c r="C4398" t="s">
        <v>37</v>
      </c>
      <c r="D4398">
        <v>5.9653640000000001</v>
      </c>
      <c r="E4398">
        <v>0.54693009999999997</v>
      </c>
      <c r="F4398" t="s">
        <v>38</v>
      </c>
      <c r="G4398">
        <v>-421.22480000000002</v>
      </c>
      <c r="H4398">
        <v>1.0346340000000001</v>
      </c>
      <c r="I4398">
        <v>89.121849999999995</v>
      </c>
      <c r="J4398">
        <v>-421.16669999999999</v>
      </c>
      <c r="K4398">
        <v>1.1071629999999999</v>
      </c>
      <c r="L4398">
        <v>89.752780000000001</v>
      </c>
      <c r="M4398">
        <v>-0.12300410000000001</v>
      </c>
      <c r="N4398">
        <v>0</v>
      </c>
      <c r="O4398">
        <v>-0.99234290000000003</v>
      </c>
      <c r="P4398">
        <v>2.9421449999999998E-2</v>
      </c>
      <c r="Q4398">
        <v>4.5439630000000002E-2</v>
      </c>
      <c r="R4398">
        <v>-0.99853409999999998</v>
      </c>
      <c r="S4398">
        <v>-0.31024170000000001</v>
      </c>
      <c r="T4398">
        <v>-0.2141631</v>
      </c>
      <c r="U4398">
        <v>-3.0210569999999999</v>
      </c>
      <c r="V4398">
        <v>-0.15243870000000001</v>
      </c>
      <c r="W4398">
        <v>5.5384240000000001E-2</v>
      </c>
      <c r="X4398">
        <v>0.98675979999999996</v>
      </c>
      <c r="Y4398">
        <v>-2.1238699999999999E-2</v>
      </c>
      <c r="Z4398">
        <v>6.9719619999999996E-2</v>
      </c>
      <c r="AA4398">
        <v>0.99734049999999996</v>
      </c>
      <c r="AB4398">
        <v>39</v>
      </c>
      <c r="AC4398">
        <v>-5.8100000000024403E-2</v>
      </c>
      <c r="AD4398">
        <v>-7.2528999999999802E-2</v>
      </c>
      <c r="AE4398">
        <v>-0.63093000000000599</v>
      </c>
      <c r="AF4398">
        <v>-1.9695029358315699E-2</v>
      </c>
      <c r="AG4398">
        <v>-7.2528999999999802E-2</v>
      </c>
      <c r="AH4398">
        <v>0.62509415971149995</v>
      </c>
      <c r="AI4398">
        <v>96.6151193458291</v>
      </c>
      <c r="AJ4398">
        <v>91.804638323870904</v>
      </c>
      <c r="AK4398">
        <v>0.62959594862725299</v>
      </c>
    </row>
    <row r="4399" spans="1:37" x14ac:dyDescent="0.2">
      <c r="A4399" t="str">
        <f>"20200111153739507"</f>
        <v>20200111153739507</v>
      </c>
      <c r="B4399" t="str">
        <f>"1578728259497391"</f>
        <v>1578728259497391</v>
      </c>
      <c r="C4399" t="s">
        <v>37</v>
      </c>
      <c r="D4399">
        <v>5.9156820000000003</v>
      </c>
      <c r="E4399">
        <v>0.54690890000000003</v>
      </c>
      <c r="F4399" t="s">
        <v>39</v>
      </c>
      <c r="G4399">
        <v>-422.7679</v>
      </c>
      <c r="H4399" s="1">
        <v>-2.4485610000000001E-6</v>
      </c>
      <c r="I4399">
        <v>73.580060000000003</v>
      </c>
      <c r="J4399">
        <v>-421.2115</v>
      </c>
      <c r="K4399">
        <v>1.1072090000000001</v>
      </c>
      <c r="L4399">
        <v>89.37115</v>
      </c>
      <c r="M4399">
        <v>-0.1200885</v>
      </c>
      <c r="N4399">
        <v>0</v>
      </c>
      <c r="O4399">
        <v>-0.99270009999999997</v>
      </c>
      <c r="P4399">
        <v>3.1654269999999998E-2</v>
      </c>
      <c r="Q4399">
        <v>4.7759999999999997E-2</v>
      </c>
      <c r="R4399">
        <v>-0.99835759999999996</v>
      </c>
      <c r="S4399">
        <v>-0.2992554</v>
      </c>
      <c r="T4399">
        <v>-0.20692669999999999</v>
      </c>
      <c r="U4399">
        <v>-3.0226439999999899</v>
      </c>
      <c r="V4399">
        <v>-0.151754799999999</v>
      </c>
      <c r="W4399">
        <v>5.7702730000000001E-2</v>
      </c>
      <c r="X4399">
        <v>0.98673239999999995</v>
      </c>
      <c r="Y4399">
        <v>-2.1927499999999999E-2</v>
      </c>
      <c r="Z4399">
        <v>6.7387799999999998E-2</v>
      </c>
      <c r="AA4399">
        <v>0.99748590000000004</v>
      </c>
      <c r="AB4399">
        <v>39</v>
      </c>
      <c r="AC4399">
        <v>-1.55639999999999</v>
      </c>
      <c r="AD4399">
        <v>-1.1072114485609901</v>
      </c>
      <c r="AE4399">
        <v>-15.791089999999899</v>
      </c>
      <c r="AF4399">
        <v>-0.34960963609407603</v>
      </c>
      <c r="AG4399">
        <v>-1.1072114485609901</v>
      </c>
      <c r="AH4399">
        <v>15.786850047823201</v>
      </c>
      <c r="AI4399">
        <v>94.010892487233093</v>
      </c>
      <c r="AJ4399">
        <v>91.268643390559603</v>
      </c>
      <c r="AK4399">
        <v>15.829490785300999</v>
      </c>
    </row>
    <row r="4400" spans="1:37" x14ac:dyDescent="0.2">
      <c r="A4400" t="str">
        <f>"20200111153739529"</f>
        <v>20200111153739529</v>
      </c>
      <c r="B4400" t="str">
        <f>"1578728259517888"</f>
        <v>1578728259517888</v>
      </c>
      <c r="C4400" t="s">
        <v>37</v>
      </c>
      <c r="D4400">
        <v>5.8516789999999999</v>
      </c>
      <c r="E4400">
        <v>0.54700799999999905</v>
      </c>
      <c r="F4400" t="s">
        <v>39</v>
      </c>
      <c r="G4400">
        <v>-422.82279999999997</v>
      </c>
      <c r="H4400" s="1">
        <v>-2.077153E-6</v>
      </c>
      <c r="I4400">
        <v>72.680239999999998</v>
      </c>
      <c r="J4400">
        <v>-421.25630000000001</v>
      </c>
      <c r="K4400">
        <v>1.1072249999999999</v>
      </c>
      <c r="L4400">
        <v>88.980350000000001</v>
      </c>
      <c r="M4400">
        <v>-0.1171143</v>
      </c>
      <c r="N4400">
        <v>0</v>
      </c>
      <c r="O4400">
        <v>-0.99305529999999997</v>
      </c>
      <c r="P4400">
        <v>3.3267169999999999E-2</v>
      </c>
      <c r="Q4400">
        <v>4.8327589999999997E-2</v>
      </c>
      <c r="R4400">
        <v>-0.99827759999999999</v>
      </c>
      <c r="S4400">
        <v>-0.29190060000000001</v>
      </c>
      <c r="T4400">
        <v>-0.2005876</v>
      </c>
      <c r="U4400">
        <v>-3.0238040000000002</v>
      </c>
      <c r="V4400">
        <v>-0.1503969</v>
      </c>
      <c r="W4400">
        <v>5.8278719999999999E-2</v>
      </c>
      <c r="X4400">
        <v>0.98690650000000002</v>
      </c>
      <c r="Y4400">
        <v>-2.1360279999999999E-2</v>
      </c>
      <c r="Z4400">
        <v>6.5350800000000001E-2</v>
      </c>
      <c r="AA4400">
        <v>0.99763369999999996</v>
      </c>
      <c r="AB4400">
        <v>39</v>
      </c>
      <c r="AC4400">
        <v>-1.56649999999996</v>
      </c>
      <c r="AD4400">
        <v>-1.107227077153</v>
      </c>
      <c r="AE4400">
        <v>-16.30011</v>
      </c>
      <c r="AF4400">
        <v>-0.35176874237455502</v>
      </c>
      <c r="AG4400">
        <v>-1.107227077153</v>
      </c>
      <c r="AH4400">
        <v>16.296888549457101</v>
      </c>
      <c r="AI4400">
        <v>93.885857744564902</v>
      </c>
      <c r="AJ4400">
        <v>91.236538801657403</v>
      </c>
      <c r="AK4400">
        <v>16.338245604773999</v>
      </c>
    </row>
    <row r="4401" spans="1:37" x14ac:dyDescent="0.2">
      <c r="A4401" t="str">
        <f>"20200111153739552"</f>
        <v>20200111153739552</v>
      </c>
      <c r="B4401" t="str">
        <f>"1578728259548144"</f>
        <v>1578728259548144</v>
      </c>
      <c r="C4401" t="s">
        <v>37</v>
      </c>
      <c r="D4401">
        <v>5.8709550000000004</v>
      </c>
      <c r="E4401">
        <v>0.54721679999999995</v>
      </c>
      <c r="F4401" t="s">
        <v>39</v>
      </c>
      <c r="G4401">
        <v>-422.8535</v>
      </c>
      <c r="H4401" s="1">
        <v>-1.880551E-6</v>
      </c>
      <c r="I4401">
        <v>72.202869999999905</v>
      </c>
      <c r="J4401">
        <v>-421.29969999999997</v>
      </c>
      <c r="K4401">
        <v>1.1072249999999999</v>
      </c>
      <c r="L4401">
        <v>88.591279999999998</v>
      </c>
      <c r="M4401">
        <v>-0.11417389999999999</v>
      </c>
      <c r="N4401">
        <v>0</v>
      </c>
      <c r="O4401">
        <v>-0.99339739999999999</v>
      </c>
      <c r="P4401">
        <v>3.4751560000000001E-2</v>
      </c>
      <c r="Q4401">
        <v>4.7467559999999999E-2</v>
      </c>
      <c r="R4401">
        <v>-0.99826819999999905</v>
      </c>
      <c r="S4401">
        <v>-0.2879333</v>
      </c>
      <c r="T4401">
        <v>-0.19959779999999999</v>
      </c>
      <c r="U4401">
        <v>-3.0244450000000001</v>
      </c>
      <c r="V4401">
        <v>-0.14894099999999999</v>
      </c>
      <c r="W4401">
        <v>5.7433280000000003E-2</v>
      </c>
      <c r="X4401">
        <v>0.98717679999999997</v>
      </c>
      <c r="Y4401">
        <v>-1.9715469999999999E-2</v>
      </c>
      <c r="Z4401">
        <v>6.5054799999999996E-2</v>
      </c>
      <c r="AA4401">
        <v>0.99768690000000004</v>
      </c>
      <c r="AB4401">
        <v>39</v>
      </c>
      <c r="AC4401">
        <v>-1.5538000000000201</v>
      </c>
      <c r="AD4401">
        <v>-1.1072268805509999</v>
      </c>
      <c r="AE4401">
        <v>-16.38841</v>
      </c>
      <c r="AF4401">
        <v>-0.32613303859398102</v>
      </c>
      <c r="AG4401">
        <v>-1.1072268805509999</v>
      </c>
      <c r="AH4401">
        <v>16.384521651025199</v>
      </c>
      <c r="AI4401">
        <v>93.865270848492798</v>
      </c>
      <c r="AJ4401">
        <v>91.140318881968795</v>
      </c>
      <c r="AK4401">
        <v>16.425129036229499</v>
      </c>
    </row>
    <row r="4402" spans="1:37" x14ac:dyDescent="0.2">
      <c r="A4402" t="str">
        <f>"20200111153739575"</f>
        <v>20200111153739575</v>
      </c>
      <c r="B4402" t="str">
        <f>"1578728259567667"</f>
        <v>1578728259567667</v>
      </c>
      <c r="C4402" t="s">
        <v>37</v>
      </c>
      <c r="D4402">
        <v>5.9160409999999999</v>
      </c>
      <c r="E4402">
        <v>0.54743090000000005</v>
      </c>
      <c r="F4402" t="s">
        <v>39</v>
      </c>
      <c r="G4402">
        <v>-422.8458</v>
      </c>
      <c r="H4402" s="1">
        <v>-1.873228E-6</v>
      </c>
      <c r="I4402">
        <v>72.190609999999893</v>
      </c>
      <c r="J4402">
        <v>-421.34390000000002</v>
      </c>
      <c r="K4402">
        <v>1.107202</v>
      </c>
      <c r="L4402">
        <v>88.18356</v>
      </c>
      <c r="M4402">
        <v>-0.1111258</v>
      </c>
      <c r="N4402">
        <v>0</v>
      </c>
      <c r="O4402">
        <v>-0.99374309999999999</v>
      </c>
      <c r="P4402">
        <v>3.7266489999999999E-2</v>
      </c>
      <c r="Q4402">
        <v>4.612687E-2</v>
      </c>
      <c r="R4402">
        <v>-0.99824049999999998</v>
      </c>
      <c r="S4402">
        <v>-0.28515629999999997</v>
      </c>
      <c r="T4402">
        <v>-0.20421020000000001</v>
      </c>
      <c r="U4402">
        <v>-3.0248409999999999</v>
      </c>
      <c r="V4402">
        <v>-0.14839620000000001</v>
      </c>
      <c r="W4402">
        <v>5.6103630000000002E-2</v>
      </c>
      <c r="X4402">
        <v>0.98733530000000003</v>
      </c>
      <c r="Y4402">
        <v>-1.7577820000000001E-2</v>
      </c>
      <c r="Z4402">
        <v>6.6581680000000004E-2</v>
      </c>
      <c r="AA4402">
        <v>0.99762609999999996</v>
      </c>
      <c r="AB4402">
        <v>39</v>
      </c>
      <c r="AC4402">
        <v>-1.50189999999997</v>
      </c>
      <c r="AD4402">
        <v>-1.1072038732279901</v>
      </c>
      <c r="AE4402">
        <v>-15.99295</v>
      </c>
      <c r="AF4402">
        <v>-0.283398075747825</v>
      </c>
      <c r="AG4402">
        <v>-1.1072038732279901</v>
      </c>
      <c r="AH4402">
        <v>15.984849099246301</v>
      </c>
      <c r="AI4402">
        <v>93.961690600844904</v>
      </c>
      <c r="AJ4402">
        <v>91.015700092357605</v>
      </c>
      <c r="AK4402">
        <v>16.0256549199059</v>
      </c>
    </row>
    <row r="4403" spans="1:37" x14ac:dyDescent="0.2">
      <c r="A4403" t="str">
        <f>"20200111153739596"</f>
        <v>20200111153739596</v>
      </c>
      <c r="B4403" t="str">
        <f>"1578728259587187"</f>
        <v>1578728259587187</v>
      </c>
      <c r="C4403" t="s">
        <v>37</v>
      </c>
      <c r="D4403">
        <v>5.9108859999999996</v>
      </c>
      <c r="E4403">
        <v>0.54766210000000004</v>
      </c>
      <c r="F4403" t="s">
        <v>39</v>
      </c>
      <c r="G4403">
        <v>-422.81630000000001</v>
      </c>
      <c r="H4403" s="1">
        <v>-1.874314E-6</v>
      </c>
      <c r="I4403">
        <v>72.211419999999904</v>
      </c>
      <c r="J4403">
        <v>-421.38389999999998</v>
      </c>
      <c r="K4403">
        <v>1.1071819999999899</v>
      </c>
      <c r="L4403">
        <v>87.805019999999999</v>
      </c>
      <c r="M4403">
        <v>-0.108332</v>
      </c>
      <c r="N4403">
        <v>0</v>
      </c>
      <c r="O4403">
        <v>-0.99405149999999998</v>
      </c>
      <c r="P4403">
        <v>3.9320130000000002E-2</v>
      </c>
      <c r="Q4403">
        <v>4.4668529999999998E-2</v>
      </c>
      <c r="R4403">
        <v>-0.99822770000000005</v>
      </c>
      <c r="S4403">
        <v>-0.27890009999999998</v>
      </c>
      <c r="T4403">
        <v>-0.20972299999999999</v>
      </c>
      <c r="U4403">
        <v>-3.0253909999999999</v>
      </c>
      <c r="V4403">
        <v>-0.14764579999999999</v>
      </c>
      <c r="W4403">
        <v>5.4661500000000002E-2</v>
      </c>
      <c r="X4403">
        <v>0.98752859999999998</v>
      </c>
      <c r="Y4403">
        <v>-1.6840669999999999E-2</v>
      </c>
      <c r="Z4403">
        <v>6.839713E-2</v>
      </c>
      <c r="AA4403">
        <v>0.99751599999999996</v>
      </c>
      <c r="AB4403">
        <v>39</v>
      </c>
      <c r="AC4403">
        <v>-1.4324000000000201</v>
      </c>
      <c r="AD4403">
        <v>-1.1071838743139999</v>
      </c>
      <c r="AE4403">
        <v>-15.5936</v>
      </c>
      <c r="AF4403">
        <v>-0.26410290707457401</v>
      </c>
      <c r="AG4403">
        <v>-1.1071838743139999</v>
      </c>
      <c r="AH4403">
        <v>15.579118431494599</v>
      </c>
      <c r="AI4403">
        <v>94.064505795609193</v>
      </c>
      <c r="AJ4403">
        <v>90.971205957023699</v>
      </c>
      <c r="AK4403">
        <v>15.6206445955217</v>
      </c>
    </row>
    <row r="4404" spans="1:37" x14ac:dyDescent="0.2">
      <c r="A4404" t="str">
        <f>"20200111153739619"</f>
        <v>20200111153739619</v>
      </c>
      <c r="B4404" t="str">
        <f>"1578728259607681"</f>
        <v>1578728259607681</v>
      </c>
      <c r="C4404" t="s">
        <v>37</v>
      </c>
      <c r="D4404">
        <v>5.9176399999999996</v>
      </c>
      <c r="E4404">
        <v>0.54791429999999997</v>
      </c>
      <c r="F4404" t="s">
        <v>39</v>
      </c>
      <c r="G4404">
        <v>-422.7989</v>
      </c>
      <c r="H4404" s="1">
        <v>-1.875672E-6</v>
      </c>
      <c r="I4404">
        <v>72.22542</v>
      </c>
      <c r="J4404">
        <v>-421.42399999999998</v>
      </c>
      <c r="K4404">
        <v>1.107148</v>
      </c>
      <c r="L4404">
        <v>87.415409999999994</v>
      </c>
      <c r="M4404">
        <v>-0.1054938</v>
      </c>
      <c r="N4404">
        <v>0</v>
      </c>
      <c r="O4404">
        <v>-0.99435680000000004</v>
      </c>
      <c r="P4404">
        <v>4.210059E-2</v>
      </c>
      <c r="Q4404">
        <v>4.310166E-2</v>
      </c>
      <c r="R4404">
        <v>-0.9981833</v>
      </c>
      <c r="S4404">
        <v>-0.27481079999999902</v>
      </c>
      <c r="T4404">
        <v>-0.2150291</v>
      </c>
      <c r="U4404">
        <v>-3.025757</v>
      </c>
      <c r="V4404">
        <v>-0.1475697</v>
      </c>
      <c r="W4404">
        <v>5.3106899999999999E-2</v>
      </c>
      <c r="X4404">
        <v>0.98762479999999997</v>
      </c>
      <c r="Y4404">
        <v>-1.5345299999999999E-2</v>
      </c>
      <c r="Z4404">
        <v>7.0148100000000005E-2</v>
      </c>
      <c r="AA4404">
        <v>0.99741849999999999</v>
      </c>
      <c r="AB4404">
        <v>39</v>
      </c>
      <c r="AC4404">
        <v>-1.37489999999996</v>
      </c>
      <c r="AD4404">
        <v>-1.107149875672</v>
      </c>
      <c r="AE4404">
        <v>-15.1899899999999</v>
      </c>
      <c r="AF4404">
        <v>-0.23408988920747101</v>
      </c>
      <c r="AG4404">
        <v>-1.107149875672</v>
      </c>
      <c r="AH4404">
        <v>15.170333822118399</v>
      </c>
      <c r="AI4404">
        <v>94.173622001649804</v>
      </c>
      <c r="AJ4404">
        <v>90.884047671905506</v>
      </c>
      <c r="AK4404">
        <v>15.2124819539067</v>
      </c>
    </row>
    <row r="4405" spans="1:37" x14ac:dyDescent="0.2">
      <c r="A4405" t="str">
        <f>"20200111153739641"</f>
        <v>20200111153739641</v>
      </c>
      <c r="B4405" t="str">
        <f>"1578728259637936"</f>
        <v>1578728259637936</v>
      </c>
      <c r="C4405" t="s">
        <v>37</v>
      </c>
      <c r="D4405">
        <v>5.8920059999999896</v>
      </c>
      <c r="E4405">
        <v>0.54824130000000004</v>
      </c>
      <c r="F4405" t="s">
        <v>39</v>
      </c>
      <c r="G4405">
        <v>-422.76780000000002</v>
      </c>
      <c r="H4405" s="1">
        <v>-1.8856389999999901E-6</v>
      </c>
      <c r="I4405">
        <v>72.267899999999997</v>
      </c>
      <c r="J4405">
        <v>-421.46230000000003</v>
      </c>
      <c r="K4405">
        <v>1.107116</v>
      </c>
      <c r="L4405">
        <v>87.031400000000005</v>
      </c>
      <c r="M4405">
        <v>-0.102733399999999</v>
      </c>
      <c r="N4405">
        <v>0</v>
      </c>
      <c r="O4405">
        <v>-0.99464569999999997</v>
      </c>
      <c r="P4405">
        <v>4.4639159999999997E-2</v>
      </c>
      <c r="Q4405">
        <v>4.206029E-2</v>
      </c>
      <c r="R4405">
        <v>-0.99811759999999905</v>
      </c>
      <c r="S4405">
        <v>-0.2684937</v>
      </c>
      <c r="T4405">
        <v>-0.2211987</v>
      </c>
      <c r="U4405">
        <v>-3.0263369999999998</v>
      </c>
      <c r="V4405">
        <v>-0.1473342</v>
      </c>
      <c r="W4405">
        <v>5.2078340000000001E-2</v>
      </c>
      <c r="X4405">
        <v>0.9877148</v>
      </c>
      <c r="Y4405">
        <v>-1.4665320000000001E-2</v>
      </c>
      <c r="Z4405">
        <v>7.2175069999999994E-2</v>
      </c>
      <c r="AA4405">
        <v>0.99728419999999895</v>
      </c>
      <c r="AB4405">
        <v>39</v>
      </c>
      <c r="AC4405">
        <v>-1.3054999999999899</v>
      </c>
      <c r="AD4405">
        <v>-1.107117885639</v>
      </c>
      <c r="AE4405">
        <v>-14.763500000000001</v>
      </c>
      <c r="AF4405">
        <v>-0.216997488996343</v>
      </c>
      <c r="AG4405">
        <v>-1.107117885639</v>
      </c>
      <c r="AH4405">
        <v>14.7372697941487</v>
      </c>
      <c r="AI4405">
        <v>94.295735851149999</v>
      </c>
      <c r="AJ4405">
        <v>90.843585144827998</v>
      </c>
      <c r="AK4405">
        <v>14.780389673769101</v>
      </c>
    </row>
    <row r="4406" spans="1:37" x14ac:dyDescent="0.2">
      <c r="A4406" t="str">
        <f>"20200111153739664"</f>
        <v>20200111153739664</v>
      </c>
      <c r="B4406" t="str">
        <f>"1578728259657456"</f>
        <v>1578728259657456</v>
      </c>
      <c r="C4406" t="s">
        <v>37</v>
      </c>
      <c r="D4406">
        <v>5.9201110000000003</v>
      </c>
      <c r="E4406">
        <v>0.54846930000000005</v>
      </c>
      <c r="F4406" t="s">
        <v>38</v>
      </c>
      <c r="G4406">
        <v>-421.55250000000001</v>
      </c>
      <c r="H4406">
        <v>1.029757</v>
      </c>
      <c r="I4406">
        <v>85.995379999999997</v>
      </c>
      <c r="J4406">
        <v>-421.50150000000002</v>
      </c>
      <c r="K4406">
        <v>1.107105</v>
      </c>
      <c r="L4406">
        <v>86.627870000000001</v>
      </c>
      <c r="M4406">
        <v>-9.9863779999999999E-2</v>
      </c>
      <c r="N4406">
        <v>0</v>
      </c>
      <c r="O4406">
        <v>-0.99493779999999998</v>
      </c>
      <c r="P4406">
        <v>4.7462600000000001E-2</v>
      </c>
      <c r="Q4406">
        <v>4.1701839999999997E-2</v>
      </c>
      <c r="R4406">
        <v>-0.99800239999999996</v>
      </c>
      <c r="S4406">
        <v>-0.26293949999999999</v>
      </c>
      <c r="T4406">
        <v>-0.22611729999999899</v>
      </c>
      <c r="U4406">
        <v>-3.0269469999999998</v>
      </c>
      <c r="V4406">
        <v>-0.14727609999999999</v>
      </c>
      <c r="W4406">
        <v>5.1730730000000003E-2</v>
      </c>
      <c r="X4406">
        <v>0.98774169999999994</v>
      </c>
      <c r="Y4406">
        <v>-1.3624860000000001E-2</v>
      </c>
      <c r="Z4406">
        <v>7.3795349999999996E-2</v>
      </c>
      <c r="AA4406">
        <v>0.99718030000000002</v>
      </c>
      <c r="AB4406">
        <v>39</v>
      </c>
      <c r="AC4406">
        <v>-5.0999999999987701E-2</v>
      </c>
      <c r="AD4406">
        <v>-7.7347999999999903E-2</v>
      </c>
      <c r="AE4406">
        <v>-0.63248999999999</v>
      </c>
      <c r="AF4406">
        <v>-1.2239929458866001E-2</v>
      </c>
      <c r="AG4406">
        <v>-7.7347999999999903E-2</v>
      </c>
      <c r="AH4406">
        <v>0.62513266936339196</v>
      </c>
      <c r="AI4406">
        <v>97.052051226684299</v>
      </c>
      <c r="AJ4406">
        <v>91.121692621129597</v>
      </c>
      <c r="AK4406">
        <v>0.630018557887431</v>
      </c>
    </row>
    <row r="4407" spans="1:37" x14ac:dyDescent="0.2">
      <c r="A4407" t="str">
        <f>"20200111153739686"</f>
        <v>20200111153739686</v>
      </c>
      <c r="B4407" t="str">
        <f>"1578728259677952"</f>
        <v>1578728259677952</v>
      </c>
      <c r="C4407" t="s">
        <v>37</v>
      </c>
      <c r="D4407">
        <v>5.9115979999999997</v>
      </c>
      <c r="E4407">
        <v>0.54863739999999905</v>
      </c>
      <c r="F4407" t="s">
        <v>38</v>
      </c>
      <c r="G4407">
        <v>-421.58510000000001</v>
      </c>
      <c r="H4407">
        <v>1.0329090000000001</v>
      </c>
      <c r="I4407">
        <v>85.642880000000005</v>
      </c>
      <c r="J4407">
        <v>-421.53789999999998</v>
      </c>
      <c r="K4407">
        <v>1.1071089999999999</v>
      </c>
      <c r="L4407">
        <v>86.241240000000005</v>
      </c>
      <c r="M4407">
        <v>-9.7136360000000005E-2</v>
      </c>
      <c r="N4407">
        <v>0</v>
      </c>
      <c r="O4407">
        <v>-0.99520769999999903</v>
      </c>
      <c r="P4407">
        <v>5.0058539999999999E-2</v>
      </c>
      <c r="Q4407">
        <v>4.3526349999999998E-2</v>
      </c>
      <c r="R4407">
        <v>-0.9977975</v>
      </c>
      <c r="S4407">
        <v>-0.25598139999999903</v>
      </c>
      <c r="T4407">
        <v>-0.22830419999999901</v>
      </c>
      <c r="U4407">
        <v>-3.0277400000000001</v>
      </c>
      <c r="V4407">
        <v>-0.14714179999999999</v>
      </c>
      <c r="W4407">
        <v>5.3563050000000001E-2</v>
      </c>
      <c r="X4407">
        <v>0.98766399999999999</v>
      </c>
      <c r="Y4407">
        <v>-1.3186140000000001E-2</v>
      </c>
      <c r="Z4407">
        <v>7.4523480000000003E-2</v>
      </c>
      <c r="AA4407">
        <v>0.99713209999999997</v>
      </c>
      <c r="AB4407">
        <v>39</v>
      </c>
      <c r="AC4407">
        <v>-4.7200000000032098E-2</v>
      </c>
      <c r="AD4407">
        <v>-7.4200000000000002E-2</v>
      </c>
      <c r="AE4407">
        <v>-0.598359999999999</v>
      </c>
      <c r="AF4407">
        <v>-1.0981588338870101E-2</v>
      </c>
      <c r="AG4407">
        <v>-7.4200000000000002E-2</v>
      </c>
      <c r="AH4407">
        <v>0.59108207888906505</v>
      </c>
      <c r="AI4407">
        <v>97.153832190675701</v>
      </c>
      <c r="AJ4407">
        <v>91.064363660891203</v>
      </c>
      <c r="AK4407">
        <v>0.59582233867677603</v>
      </c>
    </row>
    <row r="4408" spans="1:37" x14ac:dyDescent="0.2">
      <c r="A4408" t="str">
        <f>"20200111153739708"</f>
        <v>20200111153739708</v>
      </c>
      <c r="B4408" t="str">
        <f>"1578728259697472"</f>
        <v>1578728259697472</v>
      </c>
      <c r="C4408" t="s">
        <v>37</v>
      </c>
      <c r="D4408">
        <v>5.9391829999999999</v>
      </c>
      <c r="E4408">
        <v>0.55457539999999905</v>
      </c>
      <c r="F4408" t="s">
        <v>38</v>
      </c>
      <c r="G4408">
        <v>-421.61669999999998</v>
      </c>
      <c r="H4408">
        <v>1.036848</v>
      </c>
      <c r="I4408">
        <v>85.289369999999906</v>
      </c>
      <c r="J4408">
        <v>-421.5727</v>
      </c>
      <c r="K4408">
        <v>1.1071150000000001</v>
      </c>
      <c r="L4408">
        <v>85.862030000000004</v>
      </c>
      <c r="M4408">
        <v>-9.4478960000000001E-2</v>
      </c>
      <c r="N4408">
        <v>0</v>
      </c>
      <c r="O4408">
        <v>-0.9954634</v>
      </c>
      <c r="P4408">
        <v>5.3009290000000001E-2</v>
      </c>
      <c r="Q4408">
        <v>4.5709189999999997E-2</v>
      </c>
      <c r="R4408">
        <v>-0.99754739999999997</v>
      </c>
      <c r="S4408">
        <v>-0.25006099999999998</v>
      </c>
      <c r="T4408">
        <v>-0.22369459999999999</v>
      </c>
      <c r="U4408">
        <v>-3.028931</v>
      </c>
      <c r="V4408">
        <v>-0.14743120000000001</v>
      </c>
      <c r="W4408">
        <v>5.5748930000000002E-2</v>
      </c>
      <c r="X4408">
        <v>0.98750000000000004</v>
      </c>
      <c r="Y4408">
        <v>-1.2475740000000001E-2</v>
      </c>
      <c r="Z4408">
        <v>7.3032899999999998E-2</v>
      </c>
      <c r="AA4408">
        <v>0.99725149999999996</v>
      </c>
      <c r="AB4408">
        <v>39</v>
      </c>
      <c r="AC4408">
        <v>-4.3999999999982699E-2</v>
      </c>
      <c r="AD4408">
        <v>-7.0266999999999996E-2</v>
      </c>
      <c r="AE4408">
        <v>-0.57266000000001305</v>
      </c>
      <c r="AF4408">
        <v>-1.01526220179123E-2</v>
      </c>
      <c r="AG4408">
        <v>-7.0266999999999996E-2</v>
      </c>
      <c r="AH4408">
        <v>0.56578693849591899</v>
      </c>
      <c r="AI4408">
        <v>97.078379754003706</v>
      </c>
      <c r="AJ4408">
        <v>91.028019435946504</v>
      </c>
      <c r="AK4408">
        <v>0.57022397949877801</v>
      </c>
    </row>
    <row r="4409" spans="1:37" x14ac:dyDescent="0.2">
      <c r="A4409" t="str">
        <f>"20200111153739730"</f>
        <v>20200111153739730</v>
      </c>
      <c r="B4409" t="str">
        <f>"1578728259717968"</f>
        <v>1578728259717968</v>
      </c>
      <c r="C4409" t="s">
        <v>37</v>
      </c>
      <c r="D4409">
        <v>5.9205809999999897</v>
      </c>
      <c r="E4409">
        <v>0.55415709999999996</v>
      </c>
      <c r="F4409" t="s">
        <v>38</v>
      </c>
      <c r="G4409">
        <v>-421.66019999999997</v>
      </c>
      <c r="H4409">
        <v>1.0318659999999999</v>
      </c>
      <c r="I4409">
        <v>84.945869999999999</v>
      </c>
      <c r="J4409">
        <v>-421.60789999999997</v>
      </c>
      <c r="K4409">
        <v>1.107113</v>
      </c>
      <c r="L4409">
        <v>85.465760000000003</v>
      </c>
      <c r="M4409">
        <v>-9.1724910000000007E-2</v>
      </c>
      <c r="N4409">
        <v>0</v>
      </c>
      <c r="O4409">
        <v>-0.99572119999999997</v>
      </c>
      <c r="P4409">
        <v>5.5781200000000003E-2</v>
      </c>
      <c r="Q4409">
        <v>4.7183389999999999E-2</v>
      </c>
      <c r="R4409">
        <v>-0.99732779999999999</v>
      </c>
      <c r="S4409">
        <v>-0.28945920000000003</v>
      </c>
      <c r="T4409">
        <v>-0.249292299999999</v>
      </c>
      <c r="U4409">
        <v>-3.0341800000000001</v>
      </c>
      <c r="V4409">
        <v>-0.14744560000000001</v>
      </c>
      <c r="W4409">
        <v>5.7230009999999998E-2</v>
      </c>
      <c r="X4409">
        <v>0.98741299999999899</v>
      </c>
      <c r="Y4409">
        <v>2.9370059999999998E-3</v>
      </c>
      <c r="Z4409">
        <v>8.1186229999999998E-2</v>
      </c>
      <c r="AA4409">
        <v>0.99669459999999999</v>
      </c>
      <c r="AB4409">
        <v>39</v>
      </c>
      <c r="AC4409">
        <v>-5.23000000000024E-2</v>
      </c>
      <c r="AD4409">
        <v>-7.5246999999999994E-2</v>
      </c>
      <c r="AE4409">
        <v>-0.51989000000000296</v>
      </c>
      <c r="AF4409">
        <v>4.3004456407589597E-3</v>
      </c>
      <c r="AG4409">
        <v>-7.5246999999999994E-2</v>
      </c>
      <c r="AH4409">
        <v>0.51187983636401702</v>
      </c>
      <c r="AI4409">
        <v>98.362368922179897</v>
      </c>
      <c r="AJ4409">
        <v>89.518653459366007</v>
      </c>
      <c r="AK4409">
        <v>0.517398851678047</v>
      </c>
    </row>
    <row r="4410" spans="1:37" x14ac:dyDescent="0.2">
      <c r="A4410" t="str">
        <f>"20200111153739753"</f>
        <v>20200111153739753</v>
      </c>
      <c r="B4410" t="str">
        <f>"1578728259747252"</f>
        <v>1578728259747252</v>
      </c>
      <c r="C4410" t="s">
        <v>37</v>
      </c>
      <c r="D4410">
        <v>5.9116160000000004</v>
      </c>
      <c r="E4410">
        <v>0.55440339999999999</v>
      </c>
      <c r="F4410" t="s">
        <v>38</v>
      </c>
      <c r="G4410">
        <v>-421.68799999999999</v>
      </c>
      <c r="H4410">
        <v>1.036737</v>
      </c>
      <c r="I4410">
        <v>84.591560000000001</v>
      </c>
      <c r="J4410">
        <v>-421.642</v>
      </c>
      <c r="K4410">
        <v>1.1070949999999999</v>
      </c>
      <c r="L4410">
        <v>85.070369999999997</v>
      </c>
      <c r="M4410">
        <v>-8.9007009999999998E-2</v>
      </c>
      <c r="N4410">
        <v>0</v>
      </c>
      <c r="O4410">
        <v>-0.99596790000000002</v>
      </c>
      <c r="P4410">
        <v>5.8633280000000003E-2</v>
      </c>
      <c r="Q4410">
        <v>4.73453E-2</v>
      </c>
      <c r="R4410">
        <v>-0.99715679999999995</v>
      </c>
      <c r="S4410">
        <v>-0.27764889999999998</v>
      </c>
      <c r="T4410">
        <v>-0.244425</v>
      </c>
      <c r="U4410">
        <v>-3.035126</v>
      </c>
      <c r="V4410">
        <v>-0.14757219999999999</v>
      </c>
      <c r="W4410">
        <v>5.7400439999999997E-2</v>
      </c>
      <c r="X4410">
        <v>0.98738429999999999</v>
      </c>
      <c r="Y4410">
        <v>1.8036489999999901E-3</v>
      </c>
      <c r="Z4410">
        <v>7.9630670000000001E-2</v>
      </c>
      <c r="AA4410">
        <v>0.99682280000000001</v>
      </c>
      <c r="AB4410">
        <v>39</v>
      </c>
      <c r="AC4410">
        <v>-4.6000000000049099E-2</v>
      </c>
      <c r="AD4410">
        <v>-7.0358000000000101E-2</v>
      </c>
      <c r="AE4410">
        <v>-0.47880999999999502</v>
      </c>
      <c r="AF4410">
        <v>3.1303052813525202E-3</v>
      </c>
      <c r="AG4410">
        <v>-7.0358000000000101E-2</v>
      </c>
      <c r="AH4410">
        <v>0.47092847005747102</v>
      </c>
      <c r="AI4410">
        <v>98.497109797949093</v>
      </c>
      <c r="AJ4410">
        <v>89.6191552408132</v>
      </c>
      <c r="AK4410">
        <v>0.476165591875164</v>
      </c>
    </row>
    <row r="4411" spans="1:37" x14ac:dyDescent="0.2">
      <c r="A4411" t="str">
        <f>"20200111153739775"</f>
        <v>20200111153739775</v>
      </c>
      <c r="B4411" t="str">
        <f>"1578728259767746"</f>
        <v>1578728259767746</v>
      </c>
      <c r="C4411" t="s">
        <v>37</v>
      </c>
      <c r="D4411">
        <v>5.9362599999999999</v>
      </c>
      <c r="E4411">
        <v>0.55439289999999997</v>
      </c>
      <c r="F4411" t="s">
        <v>38</v>
      </c>
      <c r="G4411">
        <v>-421.7165</v>
      </c>
      <c r="H4411">
        <v>1.0409109999999999</v>
      </c>
      <c r="I4411">
        <v>84.236850000000004</v>
      </c>
      <c r="J4411">
        <v>-421.67500000000001</v>
      </c>
      <c r="K4411">
        <v>1.107056</v>
      </c>
      <c r="L4411">
        <v>84.675259999999994</v>
      </c>
      <c r="M4411">
        <v>-8.6331959999999999E-2</v>
      </c>
      <c r="N4411">
        <v>0</v>
      </c>
      <c r="O4411">
        <v>-0.99620319999999996</v>
      </c>
      <c r="P4411">
        <v>6.1909899999999997E-2</v>
      </c>
      <c r="Q4411">
        <v>4.6237439999999998E-2</v>
      </c>
      <c r="R4411">
        <v>-0.99701039999999996</v>
      </c>
      <c r="S4411">
        <v>-0.2702637</v>
      </c>
      <c r="T4411">
        <v>-0.24129529999999999</v>
      </c>
      <c r="U4411">
        <v>-3.0359189999999998</v>
      </c>
      <c r="V4411">
        <v>-0.14815780000000001</v>
      </c>
      <c r="W4411">
        <v>5.6301669999999998E-2</v>
      </c>
      <c r="X4411">
        <v>0.98735980000000001</v>
      </c>
      <c r="Y4411">
        <v>2.067359E-3</v>
      </c>
      <c r="Z4411">
        <v>7.8633419999999996E-2</v>
      </c>
      <c r="AA4411">
        <v>0.9969015</v>
      </c>
      <c r="AB4411">
        <v>39</v>
      </c>
      <c r="AC4411">
        <v>-4.1499999999984903E-2</v>
      </c>
      <c r="AD4411">
        <v>-6.6144999999999898E-2</v>
      </c>
      <c r="AE4411">
        <v>-0.43840999999998997</v>
      </c>
      <c r="AF4411">
        <v>3.41677238763304E-3</v>
      </c>
      <c r="AG4411">
        <v>-6.6144999999999898E-2</v>
      </c>
      <c r="AH4411">
        <v>0.43064027088235801</v>
      </c>
      <c r="AI4411">
        <v>98.7319387651943</v>
      </c>
      <c r="AJ4411">
        <v>89.545415180938207</v>
      </c>
      <c r="AK4411">
        <v>0.43570388828214401</v>
      </c>
    </row>
    <row r="4412" spans="1:37" x14ac:dyDescent="0.2">
      <c r="A4412" t="str">
        <f>"20200111153739797"</f>
        <v>20200111153739797</v>
      </c>
      <c r="B4412" t="str">
        <f>"1578728259787264"</f>
        <v>1578728259787264</v>
      </c>
      <c r="C4412" t="s">
        <v>37</v>
      </c>
      <c r="D4412">
        <v>5.9224889999999997</v>
      </c>
      <c r="E4412">
        <v>0.55491349999999995</v>
      </c>
      <c r="F4412" t="s">
        <v>38</v>
      </c>
      <c r="G4412">
        <v>-421.74299999999999</v>
      </c>
      <c r="H4412">
        <v>1.0437909999999999</v>
      </c>
      <c r="I4412">
        <v>83.88261</v>
      </c>
      <c r="J4412">
        <v>-421.70609999999999</v>
      </c>
      <c r="K4412">
        <v>1.1070149999999901</v>
      </c>
      <c r="L4412">
        <v>84.291110000000003</v>
      </c>
      <c r="M4412">
        <v>-8.37836E-2</v>
      </c>
      <c r="N4412">
        <v>0</v>
      </c>
      <c r="O4412">
        <v>-0.99642070000000005</v>
      </c>
      <c r="P4412">
        <v>6.5384310000000001E-2</v>
      </c>
      <c r="Q4412">
        <v>4.5797520000000001E-2</v>
      </c>
      <c r="R4412">
        <v>-0.9968091</v>
      </c>
      <c r="S4412">
        <v>-0.26071169999999999</v>
      </c>
      <c r="T4412">
        <v>-0.24230109999999999</v>
      </c>
      <c r="U4412">
        <v>-3.0364070000000001</v>
      </c>
      <c r="V4412">
        <v>-0.14906620000000001</v>
      </c>
      <c r="W4412">
        <v>5.5875109999999999E-2</v>
      </c>
      <c r="X4412">
        <v>0.98724730000000005</v>
      </c>
      <c r="Y4412">
        <v>1.4963820000000001E-3</v>
      </c>
      <c r="Z4412">
        <v>7.8983129999999999E-2</v>
      </c>
      <c r="AA4412">
        <v>0.99687479999999995</v>
      </c>
      <c r="AB4412">
        <v>40</v>
      </c>
      <c r="AC4412">
        <v>-3.69000000000596E-2</v>
      </c>
      <c r="AD4412">
        <v>-6.3223999999999905E-2</v>
      </c>
      <c r="AE4412">
        <v>-0.40850000000000303</v>
      </c>
      <c r="AF4412">
        <v>2.4834755986654698E-3</v>
      </c>
      <c r="AG4412">
        <v>-6.3223999999999905E-2</v>
      </c>
      <c r="AH4412">
        <v>0.40063612720750402</v>
      </c>
      <c r="AI4412">
        <v>98.967666060421706</v>
      </c>
      <c r="AJ4412">
        <v>89.644837701469399</v>
      </c>
      <c r="AK4412">
        <v>0.40560171135102102</v>
      </c>
    </row>
    <row r="4413" spans="1:37" x14ac:dyDescent="0.2">
      <c r="A4413" t="str">
        <f>"20200111153739820"</f>
        <v>20200111153739820</v>
      </c>
      <c r="B4413" t="str">
        <f>"1578728259807764"</f>
        <v>1578728259807764</v>
      </c>
      <c r="C4413" t="s">
        <v>37</v>
      </c>
      <c r="D4413">
        <v>5.9208540000000003</v>
      </c>
      <c r="E4413">
        <v>0.55533900000000003</v>
      </c>
      <c r="F4413" t="s">
        <v>39</v>
      </c>
      <c r="G4413">
        <v>-422.85629999999998</v>
      </c>
      <c r="H4413" s="1">
        <v>-1.164298E-6</v>
      </c>
      <c r="I4413">
        <v>70.531570000000002</v>
      </c>
      <c r="J4413">
        <v>-421.7371</v>
      </c>
      <c r="K4413">
        <v>1.1069610000000001</v>
      </c>
      <c r="L4413">
        <v>83.89658</v>
      </c>
      <c r="M4413">
        <v>-8.1238350000000001E-2</v>
      </c>
      <c r="N4413">
        <v>0</v>
      </c>
      <c r="O4413">
        <v>-0.99663109999999999</v>
      </c>
      <c r="P4413">
        <v>6.8931699999999999E-2</v>
      </c>
      <c r="Q4413">
        <v>4.5846199999999997E-2</v>
      </c>
      <c r="R4413">
        <v>-0.99656749999999905</v>
      </c>
      <c r="S4413">
        <v>-0.25390629999999997</v>
      </c>
      <c r="T4413">
        <v>-0.24438099999999999</v>
      </c>
      <c r="U4413">
        <v>-3.037506</v>
      </c>
      <c r="V4413">
        <v>-0.15005170000000001</v>
      </c>
      <c r="W4413">
        <v>5.5953660000000002E-2</v>
      </c>
      <c r="X4413">
        <v>0.98709360000000002</v>
      </c>
      <c r="Y4413">
        <v>1.797727E-3</v>
      </c>
      <c r="Z4413">
        <v>7.9660899999999896E-2</v>
      </c>
      <c r="AA4413">
        <v>0.99682039999999905</v>
      </c>
      <c r="AB4413">
        <v>40</v>
      </c>
      <c r="AC4413">
        <v>-1.11919999999997</v>
      </c>
      <c r="AD4413">
        <v>-1.1069621642980001</v>
      </c>
      <c r="AE4413">
        <v>-13.3650099999999</v>
      </c>
      <c r="AF4413">
        <v>2.9479227910025701E-2</v>
      </c>
      <c r="AG4413">
        <v>-1.1069621642980001</v>
      </c>
      <c r="AH4413">
        <v>13.321010415043</v>
      </c>
      <c r="AI4413">
        <v>94.750294086860904</v>
      </c>
      <c r="AJ4413">
        <v>89.873205370111805</v>
      </c>
      <c r="AK4413">
        <v>13.366957497342099</v>
      </c>
    </row>
    <row r="4414" spans="1:37" x14ac:dyDescent="0.2">
      <c r="A4414" t="str">
        <f>"20200111153739842"</f>
        <v>20200111153739842</v>
      </c>
      <c r="B4414" t="str">
        <f>"1578728259838016"</f>
        <v>1578728259838016</v>
      </c>
      <c r="C4414" t="s">
        <v>37</v>
      </c>
      <c r="D4414">
        <v>5.7874889999999999</v>
      </c>
      <c r="E4414">
        <v>0.55582519999999902</v>
      </c>
      <c r="F4414" t="s">
        <v>38</v>
      </c>
      <c r="G4414">
        <v>-421.82319999999999</v>
      </c>
      <c r="H4414">
        <v>1.0218529999999999</v>
      </c>
      <c r="I4414">
        <v>82.84196</v>
      </c>
      <c r="J4414">
        <v>-421.76749999999998</v>
      </c>
      <c r="K4414">
        <v>1.1069040000000001</v>
      </c>
      <c r="L4414">
        <v>83.496799999999993</v>
      </c>
      <c r="M4414">
        <v>-7.8751230000000005E-2</v>
      </c>
      <c r="N4414">
        <v>0</v>
      </c>
      <c r="O4414">
        <v>-0.99683040000000001</v>
      </c>
      <c r="P4414">
        <v>7.1870879999999998E-2</v>
      </c>
      <c r="Q4414">
        <v>4.55985E-2</v>
      </c>
      <c r="R4414">
        <v>-0.99637129999999996</v>
      </c>
      <c r="S4414">
        <v>-0.247039799999999</v>
      </c>
      <c r="T4414">
        <v>-0.2453871</v>
      </c>
      <c r="U4414">
        <v>-3.0387270000000002</v>
      </c>
      <c r="V4414">
        <v>-0.1504905</v>
      </c>
      <c r="W4414">
        <v>5.5767980000000002E-2</v>
      </c>
      <c r="X4414">
        <v>0.98703719999999995</v>
      </c>
      <c r="Y4414">
        <v>2.020418E-3</v>
      </c>
      <c r="Z4414">
        <v>7.9986269999999998E-2</v>
      </c>
      <c r="AA4414">
        <v>0.99679390000000001</v>
      </c>
      <c r="AB4414">
        <v>40</v>
      </c>
      <c r="AC4414">
        <v>-5.5700000000001602E-2</v>
      </c>
      <c r="AD4414">
        <v>-8.5050999999999904E-2</v>
      </c>
      <c r="AE4414">
        <v>-0.65483999999999198</v>
      </c>
      <c r="AF4414">
        <v>3.8891156054750402E-3</v>
      </c>
      <c r="AG4414">
        <v>-8.5050999999999904E-2</v>
      </c>
      <c r="AH4414">
        <v>0.646367496144723</v>
      </c>
      <c r="AI4414">
        <v>97.495953987614101</v>
      </c>
      <c r="AJ4414">
        <v>89.655262335135703</v>
      </c>
      <c r="AK4414">
        <v>0.65195071738099297</v>
      </c>
    </row>
    <row r="4415" spans="1:37" x14ac:dyDescent="0.2">
      <c r="A4415" t="str">
        <f>"20200111153739865"</f>
        <v>20200111153739865</v>
      </c>
      <c r="B4415" t="str">
        <f>"1578728259857535"</f>
        <v>1578728259857535</v>
      </c>
      <c r="C4415" t="s">
        <v>37</v>
      </c>
      <c r="D4415">
        <v>5.9943669999999996</v>
      </c>
      <c r="E4415">
        <v>0.55609180000000002</v>
      </c>
      <c r="F4415" t="s">
        <v>38</v>
      </c>
      <c r="G4415">
        <v>-421.84780000000001</v>
      </c>
      <c r="H4415">
        <v>1.0249729999999999</v>
      </c>
      <c r="I4415">
        <v>82.48827</v>
      </c>
      <c r="J4415">
        <v>-421.79680000000002</v>
      </c>
      <c r="K4415">
        <v>1.1068340000000001</v>
      </c>
      <c r="L4415">
        <v>83.098749999999995</v>
      </c>
      <c r="M4415">
        <v>-7.6352470000000006E-2</v>
      </c>
      <c r="N4415">
        <v>0</v>
      </c>
      <c r="O4415">
        <v>-0.99701609999999996</v>
      </c>
      <c r="P4415">
        <v>7.4838329999999995E-2</v>
      </c>
      <c r="Q4415">
        <v>4.5096730000000002E-2</v>
      </c>
      <c r="R4415">
        <v>-0.99617549999999899</v>
      </c>
      <c r="S4415">
        <v>-0.24215700000000001</v>
      </c>
      <c r="T4415">
        <v>-0.24693589999999899</v>
      </c>
      <c r="U4415">
        <v>-3.0397029999999998</v>
      </c>
      <c r="V4415">
        <v>-0.15104519999999999</v>
      </c>
      <c r="W4415">
        <v>5.53371E-2</v>
      </c>
      <c r="X4415">
        <v>0.98697669999999904</v>
      </c>
      <c r="Y4415">
        <v>2.80656E-3</v>
      </c>
      <c r="Z4415">
        <v>8.0489850000000002E-2</v>
      </c>
      <c r="AA4415">
        <v>0.99675149999999901</v>
      </c>
      <c r="AB4415">
        <v>40</v>
      </c>
      <c r="AC4415">
        <v>-5.0999999999987701E-2</v>
      </c>
      <c r="AD4415">
        <v>-8.18610000000001E-2</v>
      </c>
      <c r="AE4415">
        <v>-0.61047999999999503</v>
      </c>
      <c r="AF4415">
        <v>4.16211896620379E-3</v>
      </c>
      <c r="AG4415">
        <v>-8.18610000000001E-2</v>
      </c>
      <c r="AH4415">
        <v>0.60184522696213405</v>
      </c>
      <c r="AI4415">
        <v>97.745466885502594</v>
      </c>
      <c r="AJ4415">
        <v>89.603771803208105</v>
      </c>
      <c r="AK4415">
        <v>0.60740120494809002</v>
      </c>
    </row>
    <row r="4416" spans="1:37" x14ac:dyDescent="0.2">
      <c r="A4416" t="str">
        <f>"20200111153739886"</f>
        <v>20200111153739886</v>
      </c>
      <c r="B4416" t="str">
        <f>"1578728259878031"</f>
        <v>1578728259878031</v>
      </c>
      <c r="C4416" t="s">
        <v>37</v>
      </c>
      <c r="D4416">
        <v>5.8142290000000001</v>
      </c>
      <c r="E4416">
        <v>0.55215570000000003</v>
      </c>
      <c r="F4416" t="s">
        <v>38</v>
      </c>
      <c r="G4416">
        <v>-421.8716</v>
      </c>
      <c r="H4416">
        <v>1.0284359999999999</v>
      </c>
      <c r="I4416">
        <v>82.134299999999996</v>
      </c>
      <c r="J4416">
        <v>-421.82459999999998</v>
      </c>
      <c r="K4416">
        <v>1.106773</v>
      </c>
      <c r="L4416">
        <v>82.711179999999999</v>
      </c>
      <c r="M4416">
        <v>-7.4096129999999996E-2</v>
      </c>
      <c r="N4416">
        <v>0</v>
      </c>
      <c r="O4416">
        <v>-0.99718580000000001</v>
      </c>
      <c r="P4416">
        <v>7.7374620000000005E-2</v>
      </c>
      <c r="Q4416">
        <v>4.4048820000000002E-2</v>
      </c>
      <c r="R4416">
        <v>-0.99602869999999999</v>
      </c>
      <c r="S4416">
        <v>-0.2351685</v>
      </c>
      <c r="T4416">
        <v>-0.24716279999999899</v>
      </c>
      <c r="U4416">
        <v>-3.040375</v>
      </c>
      <c r="V4416">
        <v>-0.15131349999999999</v>
      </c>
      <c r="W4416">
        <v>5.4380110000000002E-2</v>
      </c>
      <c r="X4416">
        <v>0.98698889999999995</v>
      </c>
      <c r="Y4416">
        <v>2.7744340000000001E-3</v>
      </c>
      <c r="Z4416">
        <v>8.0573450000000005E-2</v>
      </c>
      <c r="AA4416">
        <v>0.99674479999999999</v>
      </c>
      <c r="AB4416">
        <v>40</v>
      </c>
      <c r="AC4416">
        <v>-4.7000000000025403E-2</v>
      </c>
      <c r="AD4416">
        <v>-7.8336999999999796E-2</v>
      </c>
      <c r="AE4416">
        <v>-0.57688000000000195</v>
      </c>
      <c r="AF4416">
        <v>4.0492495234027799E-3</v>
      </c>
      <c r="AG4416">
        <v>-7.8336999999999796E-2</v>
      </c>
      <c r="AH4416">
        <v>0.56836516321194996</v>
      </c>
      <c r="AI4416">
        <v>97.847359562647398</v>
      </c>
      <c r="AJ4416">
        <v>89.5918099881074</v>
      </c>
      <c r="AK4416">
        <v>0.57375259541343204</v>
      </c>
    </row>
    <row r="4417" spans="1:37" x14ac:dyDescent="0.2">
      <c r="A4417" t="str">
        <f>"20200111153739910"</f>
        <v>20200111153739910</v>
      </c>
      <c r="B4417" t="str">
        <f>"1578728259897552"</f>
        <v>1578728259897552</v>
      </c>
      <c r="C4417" t="s">
        <v>37</v>
      </c>
      <c r="D4417">
        <v>5.7945820000000001</v>
      </c>
      <c r="E4417">
        <v>0.4636536</v>
      </c>
      <c r="F4417" t="s">
        <v>38</v>
      </c>
      <c r="G4417">
        <v>-421.88490000000002</v>
      </c>
      <c r="H4417">
        <v>1.029444</v>
      </c>
      <c r="I4417">
        <v>81.780590000000004</v>
      </c>
      <c r="J4417">
        <v>-421.85149999999999</v>
      </c>
      <c r="K4417">
        <v>1.1067229999999999</v>
      </c>
      <c r="L4417">
        <v>82.322509999999994</v>
      </c>
      <c r="M4417">
        <v>-7.1915880000000001E-2</v>
      </c>
      <c r="N4417">
        <v>0</v>
      </c>
      <c r="O4417">
        <v>-0.99734409999999896</v>
      </c>
      <c r="P4417">
        <v>7.9813850000000006E-2</v>
      </c>
      <c r="Q4417">
        <v>4.287759E-2</v>
      </c>
      <c r="R4417">
        <v>-0.99588729999999903</v>
      </c>
      <c r="S4417">
        <v>-0.19622799999999899</v>
      </c>
      <c r="T4417">
        <v>-0.25256639999999903</v>
      </c>
      <c r="U4417">
        <v>-3.0383909999999998</v>
      </c>
      <c r="V4417">
        <v>-0.15156169999999999</v>
      </c>
      <c r="W4417">
        <v>5.332402E-2</v>
      </c>
      <c r="X4417">
        <v>0.98700840000000001</v>
      </c>
      <c r="Y4417">
        <v>-7.709324E-3</v>
      </c>
      <c r="Z4417">
        <v>8.2431980000000002E-2</v>
      </c>
      <c r="AA4417">
        <v>0.99656690000000003</v>
      </c>
      <c r="AB4417">
        <v>40</v>
      </c>
      <c r="AC4417">
        <v>-3.3400000000028698E-2</v>
      </c>
      <c r="AD4417">
        <v>-7.7278999999999806E-2</v>
      </c>
      <c r="AE4417">
        <v>-0.54191999999998997</v>
      </c>
      <c r="AF4417">
        <v>-5.5493163452706804E-3</v>
      </c>
      <c r="AG4417">
        <v>-7.7278999999999806E-2</v>
      </c>
      <c r="AH4417">
        <v>0.53213847377679402</v>
      </c>
      <c r="AI4417">
        <v>98.262484457913601</v>
      </c>
      <c r="AJ4417">
        <v>90.597477717552707</v>
      </c>
      <c r="AK4417">
        <v>0.53774919249255604</v>
      </c>
    </row>
    <row r="4418" spans="1:37" x14ac:dyDescent="0.2">
      <c r="A4418" t="str">
        <f>"20200111153739931"</f>
        <v>20200111153739931</v>
      </c>
      <c r="B4418" t="str">
        <f>"1578728259927808"</f>
        <v>1578728259927808</v>
      </c>
      <c r="C4418" t="s">
        <v>37</v>
      </c>
      <c r="D4418">
        <v>5.5879219999999998</v>
      </c>
      <c r="E4418">
        <v>0.4582233</v>
      </c>
      <c r="F4418" t="s">
        <v>39</v>
      </c>
      <c r="G4418">
        <v>-419.13209999999998</v>
      </c>
      <c r="H4418" s="1">
        <v>-3.1577050000000002E-6</v>
      </c>
      <c r="I4418">
        <v>66.634609999999995</v>
      </c>
      <c r="J4418">
        <v>-421.8777</v>
      </c>
      <c r="K4418">
        <v>1.1066830000000001</v>
      </c>
      <c r="L4418">
        <v>81.932829999999996</v>
      </c>
      <c r="M4418">
        <v>-6.9807969999999997E-2</v>
      </c>
      <c r="N4418">
        <v>0</v>
      </c>
      <c r="O4418">
        <v>-0.99749279999999996</v>
      </c>
      <c r="P4418">
        <v>8.1805139999999998E-2</v>
      </c>
      <c r="Q4418">
        <v>4.2344449999999999E-2</v>
      </c>
      <c r="R4418">
        <v>-0.99574859999999898</v>
      </c>
      <c r="S4418">
        <v>0.516571</v>
      </c>
      <c r="T4418">
        <v>-0.21023139999999901</v>
      </c>
      <c r="U4418">
        <v>-2.9800419999999899</v>
      </c>
      <c r="V4418">
        <v>-0.1514392</v>
      </c>
      <c r="W4418">
        <v>5.2924989999999998E-2</v>
      </c>
      <c r="X4418">
        <v>0.987048699999999</v>
      </c>
      <c r="Y4418">
        <v>-0.238761099999999</v>
      </c>
      <c r="Z4418">
        <v>6.8586679999999997E-2</v>
      </c>
      <c r="AA4418">
        <v>0.96865319999999899</v>
      </c>
      <c r="AB4418">
        <v>40</v>
      </c>
      <c r="AC4418">
        <v>2.74560000000002</v>
      </c>
      <c r="AD4418">
        <v>-1.106686157705</v>
      </c>
      <c r="AE4418">
        <v>-15.298220000000001</v>
      </c>
      <c r="AF4418">
        <v>-3.78770753370405</v>
      </c>
      <c r="AG4418">
        <v>-1.106686157705</v>
      </c>
      <c r="AH4418">
        <v>14.993202481887201</v>
      </c>
      <c r="AI4418">
        <v>94.093347806068806</v>
      </c>
      <c r="AJ4418">
        <v>104.177888818498</v>
      </c>
      <c r="AK4418">
        <v>15.503793189906901</v>
      </c>
    </row>
    <row r="4419" spans="1:37" x14ac:dyDescent="0.2">
      <c r="A4419" t="str">
        <f>"20200111153739955"</f>
        <v>20200111153739955</v>
      </c>
      <c r="B4419" t="str">
        <f>"1578728259947328"</f>
        <v>1578728259947328</v>
      </c>
      <c r="C4419" t="s">
        <v>37</v>
      </c>
      <c r="D4419">
        <v>5.5332689999999998</v>
      </c>
      <c r="E4419">
        <v>0.45799830000000002</v>
      </c>
      <c r="F4419" t="s">
        <v>39</v>
      </c>
      <c r="G4419">
        <v>-419.39780000000002</v>
      </c>
      <c r="H4419" s="1">
        <v>-4.0678149999999996E-6</v>
      </c>
      <c r="I4419">
        <v>68.865939999999995</v>
      </c>
      <c r="J4419">
        <v>-421.90449999999998</v>
      </c>
      <c r="K4419">
        <v>1.106638</v>
      </c>
      <c r="L4419">
        <v>81.52328</v>
      </c>
      <c r="M4419">
        <v>-6.7670330000000001E-2</v>
      </c>
      <c r="N4419">
        <v>0</v>
      </c>
      <c r="O4419">
        <v>-0.99763869999999899</v>
      </c>
      <c r="P4419">
        <v>8.4306140000000002E-2</v>
      </c>
      <c r="Q4419">
        <v>4.2287539999999998E-2</v>
      </c>
      <c r="R4419">
        <v>-0.9955427</v>
      </c>
      <c r="S4419">
        <v>0.56503300000000001</v>
      </c>
      <c r="T4419">
        <v>-0.25214609999999998</v>
      </c>
      <c r="U4419">
        <v>-2.97714199999999</v>
      </c>
      <c r="V4419">
        <v>-0.15179479999999901</v>
      </c>
      <c r="W4419">
        <v>5.3008329999999999E-2</v>
      </c>
      <c r="X4419">
        <v>0.98698960000000002</v>
      </c>
      <c r="Y4419">
        <v>-0.25188919999999998</v>
      </c>
      <c r="Z4419">
        <v>8.2013030000000001E-2</v>
      </c>
      <c r="AA4419">
        <v>0.96427469999999904</v>
      </c>
      <c r="AB4419">
        <v>40</v>
      </c>
      <c r="AC4419">
        <v>2.50669999999996</v>
      </c>
      <c r="AD4419">
        <v>-1.106642067815</v>
      </c>
      <c r="AE4419">
        <v>-12.6573399999999</v>
      </c>
      <c r="AF4419">
        <v>-3.33302199531725</v>
      </c>
      <c r="AG4419">
        <v>-1.106642067815</v>
      </c>
      <c r="AH4419">
        <v>12.3677085043627</v>
      </c>
      <c r="AI4419">
        <v>94.937864045147805</v>
      </c>
      <c r="AJ4419">
        <v>105.082544549011</v>
      </c>
      <c r="AK4419">
        <v>12.856667761765101</v>
      </c>
    </row>
    <row r="4420" spans="1:37" x14ac:dyDescent="0.2">
      <c r="A4420" t="str">
        <f>"20200111153739977"</f>
        <v>20200111153739977</v>
      </c>
      <c r="B4420" t="str">
        <f>"1578728259967824"</f>
        <v>1578728259967824</v>
      </c>
      <c r="C4420" t="s">
        <v>37</v>
      </c>
      <c r="D4420">
        <v>5.5424790000000002</v>
      </c>
      <c r="E4420">
        <v>0.458072599999999</v>
      </c>
      <c r="F4420" t="s">
        <v>39</v>
      </c>
      <c r="G4420">
        <v>-419.4579</v>
      </c>
      <c r="H4420" s="1">
        <v>-4.0455469999999999E-6</v>
      </c>
      <c r="I4420">
        <v>68.838880000000003</v>
      </c>
      <c r="J4420">
        <v>-421.92989999999998</v>
      </c>
      <c r="K4420">
        <v>1.1065909999999901</v>
      </c>
      <c r="L4420">
        <v>81.123440000000002</v>
      </c>
      <c r="M4420">
        <v>-6.5656430000000002E-2</v>
      </c>
      <c r="N4420">
        <v>0</v>
      </c>
      <c r="O4420">
        <v>-0.99777169999999904</v>
      </c>
      <c r="P4420">
        <v>8.6582309999999996E-2</v>
      </c>
      <c r="Q4420">
        <v>4.3061639999999998E-2</v>
      </c>
      <c r="R4420">
        <v>-0.99531380000000003</v>
      </c>
      <c r="S4420">
        <v>0.57400509999999905</v>
      </c>
      <c r="T4420">
        <v>-0.259627</v>
      </c>
      <c r="U4420">
        <v>-2.9758610000000001</v>
      </c>
      <c r="V4420">
        <v>-0.1520541</v>
      </c>
      <c r="W4420">
        <v>5.3941589999999998E-2</v>
      </c>
      <c r="X4420">
        <v>0.98689910000000003</v>
      </c>
      <c r="Y4420">
        <v>-0.25277810000000001</v>
      </c>
      <c r="Z4420">
        <v>8.4447809999999998E-2</v>
      </c>
      <c r="AA4420">
        <v>0.96383180000000002</v>
      </c>
      <c r="AB4420">
        <v>40</v>
      </c>
      <c r="AC4420">
        <v>2.47199999999998</v>
      </c>
      <c r="AD4420">
        <v>-1.1065950455469999</v>
      </c>
      <c r="AE4420">
        <v>-12.284560000000001</v>
      </c>
      <c r="AF4420">
        <v>-3.2479529223780599</v>
      </c>
      <c r="AG4420">
        <v>-1.1065950455469999</v>
      </c>
      <c r="AH4420">
        <v>12.002135207731</v>
      </c>
      <c r="AI4420">
        <v>95.085846518615298</v>
      </c>
      <c r="AJ4420">
        <v>105.142390928534</v>
      </c>
      <c r="AK4420">
        <v>12.4829884372881</v>
      </c>
    </row>
    <row r="4421" spans="1:37" x14ac:dyDescent="0.2">
      <c r="A4421" t="str">
        <f>"20200111153739999"</f>
        <v>20200111153739999</v>
      </c>
      <c r="B4421" t="str">
        <f>"1578728259987344"</f>
        <v>1578728259987344</v>
      </c>
      <c r="C4421" t="s">
        <v>37</v>
      </c>
      <c r="D4421">
        <v>5.5673120000000003</v>
      </c>
      <c r="E4421">
        <v>0.45834570000000002</v>
      </c>
      <c r="F4421" t="s">
        <v>39</v>
      </c>
      <c r="G4421">
        <v>-419.44670000000002</v>
      </c>
      <c r="H4421" s="1">
        <v>-3.8562539999999998E-6</v>
      </c>
      <c r="I4421">
        <v>68.393010000000004</v>
      </c>
      <c r="J4421">
        <v>-421.95269999999999</v>
      </c>
      <c r="K4421">
        <v>1.106565</v>
      </c>
      <c r="L4421">
        <v>80.751619999999903</v>
      </c>
      <c r="M4421">
        <v>-6.3844999999999999E-2</v>
      </c>
      <c r="N4421">
        <v>0</v>
      </c>
      <c r="O4421">
        <v>-0.99788729999999903</v>
      </c>
      <c r="P4421">
        <v>8.8712199999999894E-2</v>
      </c>
      <c r="Q4421">
        <v>4.339871E-2</v>
      </c>
      <c r="R4421">
        <v>-0.99511149999999904</v>
      </c>
      <c r="S4421">
        <v>0.58026119999999903</v>
      </c>
      <c r="T4421">
        <v>-0.25858700000000001</v>
      </c>
      <c r="U4421">
        <v>-2.97482299999999</v>
      </c>
      <c r="V4421">
        <v>-0.15236739999999999</v>
      </c>
      <c r="W4421">
        <v>5.4462480000000001E-2</v>
      </c>
      <c r="X4421">
        <v>0.98682219999999998</v>
      </c>
      <c r="Y4421">
        <v>-0.25304330000000003</v>
      </c>
      <c r="Z4421">
        <v>8.4136240000000001E-2</v>
      </c>
      <c r="AA4421">
        <v>0.96378949999999997</v>
      </c>
      <c r="AB4421">
        <v>40</v>
      </c>
      <c r="AC4421">
        <v>2.50599999999997</v>
      </c>
      <c r="AD4421">
        <v>-1.1065688562539999</v>
      </c>
      <c r="AE4421">
        <v>-12.358609999999899</v>
      </c>
      <c r="AF4421">
        <v>-3.2648383182004799</v>
      </c>
      <c r="AG4421">
        <v>-1.1065688562539999</v>
      </c>
      <c r="AH4421">
        <v>12.080360862079001</v>
      </c>
      <c r="AI4421">
        <v>95.053414721643506</v>
      </c>
      <c r="AJ4421">
        <v>105.123458884084</v>
      </c>
      <c r="AK4421">
        <v>12.5625945741981</v>
      </c>
    </row>
    <row r="4422" spans="1:37" x14ac:dyDescent="0.2">
      <c r="A4422" t="str">
        <f>"20200111153740022"</f>
        <v>20200111153740022</v>
      </c>
      <c r="B4422" t="str">
        <f>"1578728260017600"</f>
        <v>1578728260017600</v>
      </c>
      <c r="C4422" t="s">
        <v>37</v>
      </c>
      <c r="D4422">
        <v>5.7762029999999998</v>
      </c>
      <c r="E4422">
        <v>0.4591269</v>
      </c>
      <c r="F4422" t="s">
        <v>39</v>
      </c>
      <c r="G4422">
        <v>-419.45010000000002</v>
      </c>
      <c r="H4422" s="1">
        <v>-3.68885499999999E-6</v>
      </c>
      <c r="I4422">
        <v>68.004199999999997</v>
      </c>
      <c r="J4422">
        <v>-421.97669999999999</v>
      </c>
      <c r="K4422">
        <v>1.1065499999999999</v>
      </c>
      <c r="L4422">
        <v>80.348969999999994</v>
      </c>
      <c r="M4422">
        <v>-6.1940410000000001E-2</v>
      </c>
      <c r="N4422">
        <v>0</v>
      </c>
      <c r="O4422">
        <v>-0.99800469999999897</v>
      </c>
      <c r="P4422">
        <v>9.1188389999999994E-2</v>
      </c>
      <c r="Q4422">
        <v>4.41082E-2</v>
      </c>
      <c r="R4422">
        <v>-0.99485639999999997</v>
      </c>
      <c r="S4422">
        <v>0.58386229999999995</v>
      </c>
      <c r="T4422">
        <v>-0.25816210000000001</v>
      </c>
      <c r="U4422">
        <v>-2.9739689999999999</v>
      </c>
      <c r="V4422">
        <v>-0.15293399999999999</v>
      </c>
      <c r="W4422">
        <v>5.5403279999999999E-2</v>
      </c>
      <c r="X4422">
        <v>0.98668219999999995</v>
      </c>
      <c r="Y4422">
        <v>-0.25237520000000002</v>
      </c>
      <c r="Z4422">
        <v>8.4035890000000002E-2</v>
      </c>
      <c r="AA4422">
        <v>0.96397339999999998</v>
      </c>
      <c r="AB4422">
        <v>40</v>
      </c>
      <c r="AC4422">
        <v>2.52659999999997</v>
      </c>
      <c r="AD4422">
        <v>-1.1065536888549901</v>
      </c>
      <c r="AE4422">
        <v>-12.344769999999899</v>
      </c>
      <c r="AF4422">
        <v>-3.2612947512650101</v>
      </c>
      <c r="AG4422">
        <v>-1.1065536888549901</v>
      </c>
      <c r="AH4422">
        <v>12.071459245477399</v>
      </c>
      <c r="AI4422">
        <v>95.057172302010301</v>
      </c>
      <c r="AJ4422">
        <v>105.118425858712</v>
      </c>
      <c r="AK4422">
        <v>12.553112476042401</v>
      </c>
    </row>
    <row r="4423" spans="1:37" x14ac:dyDescent="0.2">
      <c r="A4423" t="str">
        <f>"20200111153740044"</f>
        <v>20200111153740044</v>
      </c>
      <c r="B4423" t="str">
        <f>"1578728260037123"</f>
        <v>1578728260037123</v>
      </c>
      <c r="C4423" t="s">
        <v>37</v>
      </c>
      <c r="D4423">
        <v>5.5647820000000001</v>
      </c>
      <c r="E4423">
        <v>0.45918149999999902</v>
      </c>
      <c r="F4423" t="s">
        <v>39</v>
      </c>
      <c r="G4423">
        <v>-419.40469999999999</v>
      </c>
      <c r="H4423" s="1">
        <v>-3.3853109999999899E-6</v>
      </c>
      <c r="I4423">
        <v>67.277879999999996</v>
      </c>
      <c r="J4423">
        <v>-421.99990000000003</v>
      </c>
      <c r="K4423">
        <v>1.1065449999999999</v>
      </c>
      <c r="L4423">
        <v>79.945830000000001</v>
      </c>
      <c r="M4423">
        <v>-6.0077699999999901E-2</v>
      </c>
      <c r="N4423">
        <v>0</v>
      </c>
      <c r="O4423">
        <v>-0.9981158</v>
      </c>
      <c r="P4423">
        <v>9.3794660000000002E-2</v>
      </c>
      <c r="Q4423">
        <v>4.4915459999999997E-2</v>
      </c>
      <c r="R4423">
        <v>-0.99457809999999902</v>
      </c>
      <c r="S4423">
        <v>0.5849915</v>
      </c>
      <c r="T4423">
        <v>-0.25168839999999998</v>
      </c>
      <c r="U4423">
        <v>-2.97305299999999</v>
      </c>
      <c r="V4423">
        <v>-0.15367310000000001</v>
      </c>
      <c r="W4423">
        <v>5.6443069999999998E-2</v>
      </c>
      <c r="X4423">
        <v>0.98650839999999995</v>
      </c>
      <c r="Y4423">
        <v>-0.2510114</v>
      </c>
      <c r="Z4423">
        <v>8.1994250000000005E-2</v>
      </c>
      <c r="AA4423">
        <v>0.964505099999999</v>
      </c>
      <c r="AB4423">
        <v>39</v>
      </c>
      <c r="AC4423">
        <v>2.5952000000000299</v>
      </c>
      <c r="AD4423">
        <v>-1.1065483853110001</v>
      </c>
      <c r="AE4423">
        <v>-12.6679499999999</v>
      </c>
      <c r="AF4423">
        <v>-3.3272673590412398</v>
      </c>
      <c r="AG4423">
        <v>-1.1065483853110001</v>
      </c>
      <c r="AH4423">
        <v>12.398348769544199</v>
      </c>
      <c r="AI4423">
        <v>94.926695503161298</v>
      </c>
      <c r="AJ4423">
        <v>105.022158946847</v>
      </c>
      <c r="AK4423">
        <v>12.8846501550812</v>
      </c>
    </row>
    <row r="4424" spans="1:37" x14ac:dyDescent="0.2">
      <c r="A4424" t="str">
        <f>"20200111153740066"</f>
        <v>20200111153740066</v>
      </c>
      <c r="B4424" t="str">
        <f>"1578728260057615"</f>
        <v>1578728260057615</v>
      </c>
      <c r="C4424" t="s">
        <v>37</v>
      </c>
      <c r="D4424">
        <v>5.8373809999999997</v>
      </c>
      <c r="E4424">
        <v>0.45954820000000002</v>
      </c>
      <c r="F4424" t="s">
        <v>39</v>
      </c>
      <c r="G4424">
        <v>-419.38080000000002</v>
      </c>
      <c r="H4424" s="1">
        <v>-3.1816350000000001E-6</v>
      </c>
      <c r="I4424">
        <v>66.793210000000002</v>
      </c>
      <c r="J4424">
        <v>-422.02140000000003</v>
      </c>
      <c r="K4424">
        <v>1.1065430000000001</v>
      </c>
      <c r="L4424">
        <v>79.561369999999997</v>
      </c>
      <c r="M4424">
        <v>-5.8331609999999999E-2</v>
      </c>
      <c r="N4424">
        <v>0</v>
      </c>
      <c r="O4424">
        <v>-0.99821700000000002</v>
      </c>
      <c r="P4424">
        <v>9.6351329999999999E-2</v>
      </c>
      <c r="Q4424">
        <v>4.5858080000000002E-2</v>
      </c>
      <c r="R4424">
        <v>-0.99429069999999997</v>
      </c>
      <c r="S4424">
        <v>0.59179689999999996</v>
      </c>
      <c r="T4424">
        <v>-0.25002419999999997</v>
      </c>
      <c r="U4424">
        <v>-2.971832</v>
      </c>
      <c r="V4424">
        <v>-0.15448049999999999</v>
      </c>
      <c r="W4424">
        <v>5.7588479999999997E-2</v>
      </c>
      <c r="X4424">
        <v>0.98631610000000003</v>
      </c>
      <c r="Y4424">
        <v>-0.25152750000000001</v>
      </c>
      <c r="Z4424">
        <v>8.1478019999999998E-2</v>
      </c>
      <c r="AA4424">
        <v>0.96441449999999995</v>
      </c>
      <c r="AB4424">
        <v>39</v>
      </c>
      <c r="AC4424">
        <v>2.6406000000000001</v>
      </c>
      <c r="AD4424">
        <v>-1.106546181635</v>
      </c>
      <c r="AE4424">
        <v>-12.7681599999999</v>
      </c>
      <c r="AF4424">
        <v>-3.3567723146949402</v>
      </c>
      <c r="AG4424">
        <v>-1.106546181635</v>
      </c>
      <c r="AH4424">
        <v>12.5023227784729</v>
      </c>
      <c r="AI4424">
        <v>94.8857567321039</v>
      </c>
      <c r="AJ4424">
        <v>105.029007602112</v>
      </c>
      <c r="AK4424">
        <v>12.992322335976599</v>
      </c>
    </row>
    <row r="4425" spans="1:37" x14ac:dyDescent="0.2">
      <c r="A4425" t="str">
        <f>"20200111153740087"</f>
        <v>20200111153740087</v>
      </c>
      <c r="B4425" t="str">
        <f>"1578728260077139"</f>
        <v>1578728260077139</v>
      </c>
      <c r="C4425" t="s">
        <v>37</v>
      </c>
      <c r="D4425">
        <v>5.5674449999999904</v>
      </c>
      <c r="E4425">
        <v>0.46021659999999998</v>
      </c>
      <c r="F4425" t="s">
        <v>39</v>
      </c>
      <c r="G4425">
        <v>-419.3458</v>
      </c>
      <c r="H4425" s="1">
        <v>-2.9489210000000002E-6</v>
      </c>
      <c r="I4425">
        <v>66.236269999999905</v>
      </c>
      <c r="J4425">
        <v>-422.0421</v>
      </c>
      <c r="K4425">
        <v>1.1065370000000001</v>
      </c>
      <c r="L4425">
        <v>79.180419999999998</v>
      </c>
      <c r="M4425">
        <v>-5.662739E-2</v>
      </c>
      <c r="N4425">
        <v>0</v>
      </c>
      <c r="O4425">
        <v>-0.9983128</v>
      </c>
      <c r="P4425">
        <v>9.9610539999999997E-2</v>
      </c>
      <c r="Q4425">
        <v>4.7698980000000002E-2</v>
      </c>
      <c r="R4425">
        <v>-0.99388269999999901</v>
      </c>
      <c r="S4425">
        <v>0.59652709999999998</v>
      </c>
      <c r="T4425">
        <v>-0.24670139999999999</v>
      </c>
      <c r="U4425">
        <v>-2.9707949999999999</v>
      </c>
      <c r="V4425">
        <v>-0.156029799999999</v>
      </c>
      <c r="W4425">
        <v>5.9606310000000003E-2</v>
      </c>
      <c r="X4425">
        <v>0.9859523</v>
      </c>
      <c r="Y4425">
        <v>-0.25143359999999998</v>
      </c>
      <c r="Z4425">
        <v>8.0430619999999994E-2</v>
      </c>
      <c r="AA4425">
        <v>0.96452689999999996</v>
      </c>
      <c r="AB4425">
        <v>39</v>
      </c>
      <c r="AC4425">
        <v>2.6962999999999999</v>
      </c>
      <c r="AD4425">
        <v>-1.1065399489209999</v>
      </c>
      <c r="AE4425">
        <v>-12.94415</v>
      </c>
      <c r="AF4425">
        <v>-3.4012048965077701</v>
      </c>
      <c r="AG4425">
        <v>-1.1065399489209999</v>
      </c>
      <c r="AH4425">
        <v>12.681856570614899</v>
      </c>
      <c r="AI4425">
        <v>94.817247932860795</v>
      </c>
      <c r="AJ4425">
        <v>105.01311578295901</v>
      </c>
      <c r="AK4425">
        <v>13.1765743455662</v>
      </c>
    </row>
    <row r="4426" spans="1:37" x14ac:dyDescent="0.2">
      <c r="A4426" t="str">
        <f>"20200111153740123"</f>
        <v>20200111153740123</v>
      </c>
      <c r="B4426" t="str">
        <f>"1578728260118127"</f>
        <v>1578728260118127</v>
      </c>
      <c r="C4426" t="s">
        <v>37</v>
      </c>
      <c r="D4426">
        <v>5.6332559999999896</v>
      </c>
      <c r="E4426">
        <v>0.46013660000000001</v>
      </c>
      <c r="F4426" t="s">
        <v>39</v>
      </c>
      <c r="G4426">
        <v>-419.24090000000001</v>
      </c>
      <c r="H4426" s="1">
        <v>-2.580765E-6</v>
      </c>
      <c r="I4426">
        <v>65.334719999999905</v>
      </c>
      <c r="J4426">
        <v>-422.07310000000001</v>
      </c>
      <c r="K4426">
        <v>1.1064929999999999</v>
      </c>
      <c r="L4426">
        <v>78.585169999999906</v>
      </c>
      <c r="M4426">
        <v>-5.3997099999999999E-2</v>
      </c>
      <c r="N4426">
        <v>0</v>
      </c>
      <c r="O4426">
        <v>-0.99845529999999905</v>
      </c>
      <c r="P4426">
        <v>0.1042362</v>
      </c>
      <c r="Q4426">
        <v>4.884322E-2</v>
      </c>
      <c r="R4426">
        <v>-0.99335249999999997</v>
      </c>
      <c r="S4426">
        <v>0.60079959999999999</v>
      </c>
      <c r="T4426">
        <v>-0.2373315</v>
      </c>
      <c r="U4426">
        <v>-2.9696349999999998</v>
      </c>
      <c r="V4426">
        <v>-0.15801889999999999</v>
      </c>
      <c r="W4426">
        <v>6.0998990000000003E-2</v>
      </c>
      <c r="X4426">
        <v>0.98555020000000004</v>
      </c>
      <c r="Y4426">
        <v>-0.2503377</v>
      </c>
      <c r="Z4426">
        <v>7.7442330000000004E-2</v>
      </c>
      <c r="AA4426">
        <v>0.96505629999999998</v>
      </c>
      <c r="AB4426">
        <v>39</v>
      </c>
      <c r="AC4426">
        <v>2.8321999999999998</v>
      </c>
      <c r="AD4426">
        <v>-1.1064955807649901</v>
      </c>
      <c r="AE4426">
        <v>-13.250450000000001</v>
      </c>
      <c r="AF4426">
        <v>-3.5201400320292602</v>
      </c>
      <c r="AG4426">
        <v>-1.1064955807649901</v>
      </c>
      <c r="AH4426">
        <v>12.991536057520999</v>
      </c>
      <c r="AI4426">
        <v>94.699504322334803</v>
      </c>
      <c r="AJ4426">
        <v>105.16063796802599</v>
      </c>
      <c r="AK4426">
        <v>13.505396234439701</v>
      </c>
    </row>
    <row r="4427" spans="1:37" x14ac:dyDescent="0.2">
      <c r="A4427" t="str">
        <f>"20200111153740144"</f>
        <v>20200111153740144</v>
      </c>
      <c r="B4427" t="str">
        <f>"1578728260137647"</f>
        <v>1578728260137647</v>
      </c>
      <c r="C4427" t="s">
        <v>37</v>
      </c>
      <c r="D4427">
        <v>5.6249390000000004</v>
      </c>
      <c r="E4427">
        <v>0.45926980000000001</v>
      </c>
      <c r="F4427" t="s">
        <v>39</v>
      </c>
      <c r="G4427">
        <v>-419.16390000000001</v>
      </c>
      <c r="H4427" s="1">
        <v>-2.2536209999999998E-6</v>
      </c>
      <c r="I4427">
        <v>64.540300000000002</v>
      </c>
      <c r="J4427">
        <v>-422.09320000000002</v>
      </c>
      <c r="K4427">
        <v>1.10644599999999</v>
      </c>
      <c r="L4427">
        <v>78.182919999999996</v>
      </c>
      <c r="M4427">
        <v>-5.2232149999999998E-2</v>
      </c>
      <c r="N4427">
        <v>0</v>
      </c>
      <c r="O4427">
        <v>-0.99854759999999998</v>
      </c>
      <c r="P4427">
        <v>0.10620350000000001</v>
      </c>
      <c r="Q4427">
        <v>4.7055720000000002E-2</v>
      </c>
      <c r="R4427">
        <v>-0.99323069999999902</v>
      </c>
      <c r="S4427">
        <v>0.61459350000000001</v>
      </c>
      <c r="T4427">
        <v>-0.233754299999999</v>
      </c>
      <c r="U4427">
        <v>-2.9670719999999999</v>
      </c>
      <c r="V4427">
        <v>-0.15822149999999999</v>
      </c>
      <c r="W4427">
        <v>5.9365469999999997E-2</v>
      </c>
      <c r="X4427">
        <v>0.98561739999999998</v>
      </c>
      <c r="Y4427">
        <v>-0.2531119</v>
      </c>
      <c r="Z4427">
        <v>7.6294269999999997E-2</v>
      </c>
      <c r="AA4427">
        <v>0.96442399999999995</v>
      </c>
      <c r="AB4427">
        <v>39</v>
      </c>
      <c r="AC4427">
        <v>2.9293000000000098</v>
      </c>
      <c r="AD4427">
        <v>-1.1064482536210001</v>
      </c>
      <c r="AE4427">
        <v>-13.6426199999999</v>
      </c>
      <c r="AF4427">
        <v>-3.61521487074838</v>
      </c>
      <c r="AG4427">
        <v>-1.1064482536210001</v>
      </c>
      <c r="AH4427">
        <v>13.3868049052305</v>
      </c>
      <c r="AI4427">
        <v>94.562171917353396</v>
      </c>
      <c r="AJ4427">
        <v>105.112676869433</v>
      </c>
      <c r="AK4427">
        <v>13.9104475797986</v>
      </c>
    </row>
    <row r="4428" spans="1:37" x14ac:dyDescent="0.2">
      <c r="A4428" t="str">
        <f>"20200111153740167"</f>
        <v>20200111153740167</v>
      </c>
      <c r="B4428" t="str">
        <f>"1578728260157168"</f>
        <v>1578728260157168</v>
      </c>
      <c r="C4428" t="s">
        <v>37</v>
      </c>
      <c r="D4428">
        <v>5.6245050000000001</v>
      </c>
      <c r="E4428">
        <v>0.458588099999999</v>
      </c>
      <c r="F4428" t="s">
        <v>39</v>
      </c>
      <c r="G4428">
        <v>-419.20909999999998</v>
      </c>
      <c r="H4428" s="1">
        <v>-2.24717299999999E-6</v>
      </c>
      <c r="I4428">
        <v>64.543970000000002</v>
      </c>
      <c r="J4428">
        <v>-422.11219999999997</v>
      </c>
      <c r="K4428">
        <v>1.1064179999999999</v>
      </c>
      <c r="L4428">
        <v>77.787480000000002</v>
      </c>
      <c r="M4428">
        <v>-5.0500070000000001E-2</v>
      </c>
      <c r="N4428">
        <v>0</v>
      </c>
      <c r="O4428">
        <v>-0.99863489999999999</v>
      </c>
      <c r="P4428">
        <v>0.108299299999999</v>
      </c>
      <c r="Q4428">
        <v>4.456247E-2</v>
      </c>
      <c r="R4428">
        <v>-0.99311939999999999</v>
      </c>
      <c r="S4428">
        <v>0.6269226</v>
      </c>
      <c r="T4428">
        <v>-0.24051549999999999</v>
      </c>
      <c r="U4428">
        <v>-2.9647830000000002</v>
      </c>
      <c r="V4428">
        <v>-0.15858320000000001</v>
      </c>
      <c r="W4428">
        <v>5.7005309999999997E-2</v>
      </c>
      <c r="X4428">
        <v>0.98569859999999898</v>
      </c>
      <c r="Y4428">
        <v>-0.255388</v>
      </c>
      <c r="Z4428">
        <v>7.8499949999999999E-2</v>
      </c>
      <c r="AA4428">
        <v>0.96364660000000002</v>
      </c>
      <c r="AB4428">
        <v>39</v>
      </c>
      <c r="AC4428">
        <v>2.90309999999999</v>
      </c>
      <c r="AD4428">
        <v>-1.106420247173</v>
      </c>
      <c r="AE4428">
        <v>-13.243510000000001</v>
      </c>
      <c r="AF4428">
        <v>-3.5446468108804998</v>
      </c>
      <c r="AG4428">
        <v>-1.106420247173</v>
      </c>
      <c r="AH4428">
        <v>12.993457443271399</v>
      </c>
      <c r="AI4428">
        <v>94.696308526438401</v>
      </c>
      <c r="AJ4428">
        <v>105.259126889787</v>
      </c>
      <c r="AK4428">
        <v>13.513645811080901</v>
      </c>
    </row>
    <row r="4429" spans="1:37" x14ac:dyDescent="0.2">
      <c r="A4429" t="str">
        <f>"20200111153740188"</f>
        <v>20200111153740188</v>
      </c>
      <c r="B4429" t="str">
        <f>"1578728260177664"</f>
        <v>1578728260177664</v>
      </c>
      <c r="C4429" t="s">
        <v>37</v>
      </c>
      <c r="D4429">
        <v>5.8306719999999999</v>
      </c>
      <c r="E4429">
        <v>0.45836139999999997</v>
      </c>
      <c r="F4429" t="s">
        <v>39</v>
      </c>
      <c r="G4429">
        <v>-419.28809999999999</v>
      </c>
      <c r="H4429" s="1">
        <v>-2.2906749999999999E-6</v>
      </c>
      <c r="I4429">
        <v>64.678049999999999</v>
      </c>
      <c r="J4429">
        <v>-422.12909999999999</v>
      </c>
      <c r="K4429">
        <v>1.106398</v>
      </c>
      <c r="L4429">
        <v>77.423000000000002</v>
      </c>
      <c r="M4429">
        <v>-4.8904199999999898E-2</v>
      </c>
      <c r="N4429">
        <v>0</v>
      </c>
      <c r="O4429">
        <v>-0.99871279999999996</v>
      </c>
      <c r="P4429">
        <v>0.1106568</v>
      </c>
      <c r="Q4429">
        <v>4.3559599999999997E-2</v>
      </c>
      <c r="R4429">
        <v>-0.9929036</v>
      </c>
      <c r="S4429">
        <v>0.63815310000000003</v>
      </c>
      <c r="T4429">
        <v>-0.250023299999999</v>
      </c>
      <c r="U4429">
        <v>-2.962402</v>
      </c>
      <c r="V4429">
        <v>-0.15934329999999999</v>
      </c>
      <c r="W4429">
        <v>5.6108390000000001E-2</v>
      </c>
      <c r="X4429">
        <v>0.98562749999999999</v>
      </c>
      <c r="Y4429">
        <v>-0.25744070000000002</v>
      </c>
      <c r="Z4429">
        <v>8.1601290000000007E-2</v>
      </c>
      <c r="AA4429">
        <v>0.96284239999999999</v>
      </c>
      <c r="AB4429">
        <v>39</v>
      </c>
      <c r="AC4429">
        <v>2.8410000000000002</v>
      </c>
      <c r="AD4429">
        <v>-1.1064002906749999</v>
      </c>
      <c r="AE4429">
        <v>-12.744949999999999</v>
      </c>
      <c r="AF4429">
        <v>-3.43626779312951</v>
      </c>
      <c r="AG4429">
        <v>-1.1064002906749999</v>
      </c>
      <c r="AH4429">
        <v>12.5009986457544</v>
      </c>
      <c r="AI4429">
        <v>94.877779404587301</v>
      </c>
      <c r="AJ4429">
        <v>105.369830348026</v>
      </c>
      <c r="AK4429">
        <v>13.0118032989458</v>
      </c>
    </row>
    <row r="4430" spans="1:37" x14ac:dyDescent="0.2">
      <c r="A4430" t="str">
        <f>"20200111153740211"</f>
        <v>20200111153740211</v>
      </c>
      <c r="B4430" t="str">
        <f>"1578728260207920"</f>
        <v>1578728260207920</v>
      </c>
      <c r="C4430" t="s">
        <v>37</v>
      </c>
      <c r="D4430">
        <v>5.6191899999999997</v>
      </c>
      <c r="E4430">
        <v>0.4584742</v>
      </c>
      <c r="F4430" t="s">
        <v>39</v>
      </c>
      <c r="G4430">
        <v>-419.3064</v>
      </c>
      <c r="H4430" s="1">
        <v>-2.20940799999999E-6</v>
      </c>
      <c r="I4430">
        <v>64.496160000000003</v>
      </c>
      <c r="J4430">
        <v>-422.14670000000001</v>
      </c>
      <c r="K4430">
        <v>1.1063909999999999</v>
      </c>
      <c r="L4430">
        <v>77.029939999999996</v>
      </c>
      <c r="M4430">
        <v>-4.7183709999999997E-2</v>
      </c>
      <c r="N4430">
        <v>0</v>
      </c>
      <c r="O4430">
        <v>-0.99879430000000002</v>
      </c>
      <c r="P4430">
        <v>0.113228</v>
      </c>
      <c r="Q4430">
        <v>4.2817180000000003E-2</v>
      </c>
      <c r="R4430">
        <v>-0.99264629999999998</v>
      </c>
      <c r="S4430">
        <v>0.64645390000000003</v>
      </c>
      <c r="T4430">
        <v>-0.25338820000000001</v>
      </c>
      <c r="U4430">
        <v>-2.96050999999999</v>
      </c>
      <c r="V4430">
        <v>-0.160195</v>
      </c>
      <c r="W4430">
        <v>5.546471E-2</v>
      </c>
      <c r="X4430">
        <v>0.98552580000000001</v>
      </c>
      <c r="Y4430">
        <v>-0.25846180000000002</v>
      </c>
      <c r="Z4430">
        <v>8.2717899999999997E-2</v>
      </c>
      <c r="AA4430">
        <v>0.96247349999999998</v>
      </c>
      <c r="AB4430">
        <v>39</v>
      </c>
      <c r="AC4430">
        <v>2.8403000000000098</v>
      </c>
      <c r="AD4430">
        <v>-1.106393209408</v>
      </c>
      <c r="AE4430">
        <v>-12.533779999999901</v>
      </c>
      <c r="AF4430">
        <v>-3.40335653153346</v>
      </c>
      <c r="AG4430">
        <v>-1.106393209408</v>
      </c>
      <c r="AH4430">
        <v>12.2946674838203</v>
      </c>
      <c r="AI4430">
        <v>94.956754113451197</v>
      </c>
      <c r="AJ4430">
        <v>105.47292198700499</v>
      </c>
      <c r="AK4430">
        <v>12.804912735050699</v>
      </c>
    </row>
    <row r="4431" spans="1:37" x14ac:dyDescent="0.2">
      <c r="A4431" t="str">
        <f>"20200111153740234"</f>
        <v>20200111153740234</v>
      </c>
      <c r="B4431" t="str">
        <f>"1578728260227439"</f>
        <v>1578728260227439</v>
      </c>
      <c r="C4431" t="s">
        <v>37</v>
      </c>
      <c r="D4431">
        <v>5.6398019999999898</v>
      </c>
      <c r="E4431">
        <v>0.45813809999999899</v>
      </c>
      <c r="F4431" t="s">
        <v>39</v>
      </c>
      <c r="G4431">
        <v>-419.28840000000002</v>
      </c>
      <c r="H4431" s="1">
        <v>-2.0334919999999999E-6</v>
      </c>
      <c r="I4431">
        <v>64.078649999999996</v>
      </c>
      <c r="J4431">
        <v>-422.16379999999998</v>
      </c>
      <c r="K4431">
        <v>1.1064000000000001</v>
      </c>
      <c r="L4431">
        <v>76.63449</v>
      </c>
      <c r="M4431">
        <v>-4.5454260000000003E-2</v>
      </c>
      <c r="N4431">
        <v>0</v>
      </c>
      <c r="O4431">
        <v>-0.99887340000000002</v>
      </c>
      <c r="P4431">
        <v>0.1162807</v>
      </c>
      <c r="Q4431">
        <v>4.3134850000000002E-2</v>
      </c>
      <c r="R4431">
        <v>-0.99227980000000005</v>
      </c>
      <c r="S4431">
        <v>0.65295409999999998</v>
      </c>
      <c r="T4431">
        <v>-0.25274930000000001</v>
      </c>
      <c r="U4431">
        <v>-2.9586489999999999</v>
      </c>
      <c r="V4431">
        <v>-0.1615193</v>
      </c>
      <c r="W4431">
        <v>5.5864629999999998E-2</v>
      </c>
      <c r="X4431">
        <v>0.98528709999999997</v>
      </c>
      <c r="Y4431">
        <v>-0.25893620000000001</v>
      </c>
      <c r="Z4431">
        <v>8.2546899999999895E-2</v>
      </c>
      <c r="AA4431">
        <v>0.96236069999999996</v>
      </c>
      <c r="AB4431">
        <v>39</v>
      </c>
      <c r="AC4431">
        <v>2.8753999999999502</v>
      </c>
      <c r="AD4431">
        <v>-1.1064020334919999</v>
      </c>
      <c r="AE4431">
        <v>-12.55584</v>
      </c>
      <c r="AF4431">
        <v>-3.4179793133543201</v>
      </c>
      <c r="AG4431">
        <v>-1.1064020334919999</v>
      </c>
      <c r="AH4431">
        <v>12.321243452715199</v>
      </c>
      <c r="AI4431">
        <v>94.945408251767404</v>
      </c>
      <c r="AJ4431">
        <v>105.504301093831</v>
      </c>
      <c r="AK4431">
        <v>12.8343191586975</v>
      </c>
    </row>
    <row r="4432" spans="1:37" x14ac:dyDescent="0.2">
      <c r="A4432" t="str">
        <f>"20200111153740255"</f>
        <v>20200111153740255</v>
      </c>
      <c r="B4432" t="str">
        <f>"1578728260247935"</f>
        <v>1578728260247935</v>
      </c>
      <c r="C4432" t="s">
        <v>37</v>
      </c>
      <c r="D4432">
        <v>5.7807539999999999</v>
      </c>
      <c r="E4432">
        <v>0.45815230000000001</v>
      </c>
      <c r="F4432" t="s">
        <v>39</v>
      </c>
      <c r="G4432">
        <v>-419.27080000000001</v>
      </c>
      <c r="H4432" s="1">
        <v>-1.8940469999999901E-6</v>
      </c>
      <c r="I4432">
        <v>63.746310000000001</v>
      </c>
      <c r="J4432">
        <v>-422.18</v>
      </c>
      <c r="K4432">
        <v>1.106425</v>
      </c>
      <c r="L4432">
        <v>76.243009999999998</v>
      </c>
      <c r="M4432">
        <v>-4.3744430000000001E-2</v>
      </c>
      <c r="N4432">
        <v>0</v>
      </c>
      <c r="O4432">
        <v>-0.99894869999999902</v>
      </c>
      <c r="P4432">
        <v>0.119448</v>
      </c>
      <c r="Q4432">
        <v>4.3402419999999997E-2</v>
      </c>
      <c r="R4432">
        <v>-0.99189159999999899</v>
      </c>
      <c r="S4432">
        <v>0.66366579999999997</v>
      </c>
      <c r="T4432">
        <v>-0.25381329999999902</v>
      </c>
      <c r="U4432">
        <v>-2.956604</v>
      </c>
      <c r="V4432">
        <v>-0.1629785</v>
      </c>
      <c r="W4432">
        <v>5.6200750000000001E-2</v>
      </c>
      <c r="X4432">
        <v>0.98502769999999995</v>
      </c>
      <c r="Y4432">
        <v>-0.26073829999999998</v>
      </c>
      <c r="Z4432">
        <v>8.2904649999999996E-2</v>
      </c>
      <c r="AA4432">
        <v>0.96184319999999901</v>
      </c>
      <c r="AB4432">
        <v>39</v>
      </c>
      <c r="AC4432">
        <v>2.90919999999999</v>
      </c>
      <c r="AD4432">
        <v>-1.1064268940469999</v>
      </c>
      <c r="AE4432">
        <v>-12.496699999999899</v>
      </c>
      <c r="AF4432">
        <v>-3.42763943877465</v>
      </c>
      <c r="AG4432">
        <v>-1.1064268940469999</v>
      </c>
      <c r="AH4432">
        <v>12.2662513785464</v>
      </c>
      <c r="AI4432">
        <v>94.964986395592604</v>
      </c>
      <c r="AJ4432">
        <v>105.61230782430501</v>
      </c>
      <c r="AK4432">
        <v>12.784123570890801</v>
      </c>
    </row>
    <row r="4433" spans="1:37" x14ac:dyDescent="0.2">
      <c r="A4433" t="str">
        <f>"20200111153740278"</f>
        <v>20200111153740278</v>
      </c>
      <c r="B4433" t="str">
        <f>"1578728260267455"</f>
        <v>1578728260267455</v>
      </c>
      <c r="C4433" t="s">
        <v>37</v>
      </c>
      <c r="D4433">
        <v>6.036403</v>
      </c>
      <c r="E4433">
        <v>0.49892399999999998</v>
      </c>
      <c r="F4433" t="s">
        <v>39</v>
      </c>
      <c r="G4433">
        <v>-419.24029999999999</v>
      </c>
      <c r="H4433" s="1">
        <v>-1.720997E-6</v>
      </c>
      <c r="I4433">
        <v>63.330319999999901</v>
      </c>
      <c r="J4433">
        <v>-422.19490000000002</v>
      </c>
      <c r="K4433">
        <v>1.1064499999999999</v>
      </c>
      <c r="L4433">
        <v>75.86627</v>
      </c>
      <c r="M4433">
        <v>-4.2102819999999999E-2</v>
      </c>
      <c r="N4433">
        <v>0</v>
      </c>
      <c r="O4433">
        <v>-0.99901839999999997</v>
      </c>
      <c r="P4433">
        <v>0.1218317</v>
      </c>
      <c r="Q4433">
        <v>4.4345580000000002E-2</v>
      </c>
      <c r="R4433">
        <v>-0.99155979999999999</v>
      </c>
      <c r="S4433">
        <v>0.67263790000000001</v>
      </c>
      <c r="T4433">
        <v>-0.25316479999999902</v>
      </c>
      <c r="U4433">
        <v>-2.95459</v>
      </c>
      <c r="V4433">
        <v>-0.16372909999999999</v>
      </c>
      <c r="W4433">
        <v>5.7203829999999997E-2</v>
      </c>
      <c r="X4433">
        <v>0.98484539999999998</v>
      </c>
      <c r="Y4433">
        <v>-0.26207449999999999</v>
      </c>
      <c r="Z4433">
        <v>8.2715490000000003E-2</v>
      </c>
      <c r="AA4433">
        <v>0.96149629999999997</v>
      </c>
      <c r="AB4433">
        <v>39</v>
      </c>
      <c r="AC4433">
        <v>2.9546000000000201</v>
      </c>
      <c r="AD4433">
        <v>-1.106451720997</v>
      </c>
      <c r="AE4433">
        <v>-12.53595</v>
      </c>
      <c r="AF4433">
        <v>-3.45433460629744</v>
      </c>
      <c r="AG4433">
        <v>-1.106451720997</v>
      </c>
      <c r="AH4433">
        <v>12.309575395119101</v>
      </c>
      <c r="AI4433">
        <v>94.946194437196098</v>
      </c>
      <c r="AJ4433">
        <v>105.675274996616</v>
      </c>
      <c r="AK4433">
        <v>12.832860530344901</v>
      </c>
    </row>
    <row r="4434" spans="1:37" x14ac:dyDescent="0.2">
      <c r="A4434" t="str">
        <f>"20200111153740300"</f>
        <v>20200111153740300</v>
      </c>
      <c r="B4434" t="str">
        <f>"1578728260297712"</f>
        <v>1578728260297712</v>
      </c>
      <c r="C4434" t="s">
        <v>37</v>
      </c>
      <c r="D4434">
        <v>5.738804</v>
      </c>
      <c r="E4434">
        <v>0.51304159999999999</v>
      </c>
      <c r="F4434" t="s">
        <v>39</v>
      </c>
      <c r="G4434">
        <v>-419.96769999999998</v>
      </c>
      <c r="H4434" s="1">
        <v>-3.330979E-6</v>
      </c>
      <c r="I4434">
        <v>57.373699999999999</v>
      </c>
      <c r="J4434">
        <v>-422.20979999999997</v>
      </c>
      <c r="K4434">
        <v>1.1064769999999999</v>
      </c>
      <c r="L4434">
        <v>75.475040000000007</v>
      </c>
      <c r="M4434">
        <v>-4.0404309999999999E-2</v>
      </c>
      <c r="N4434">
        <v>0</v>
      </c>
      <c r="O4434">
        <v>-0.99908779999999997</v>
      </c>
      <c r="P4434">
        <v>0.1234165</v>
      </c>
      <c r="Q4434">
        <v>4.6680529999999998E-2</v>
      </c>
      <c r="R4434">
        <v>-0.99125669999999899</v>
      </c>
      <c r="S4434">
        <v>0.3600159</v>
      </c>
      <c r="T4434">
        <v>-0.17885599999999999</v>
      </c>
      <c r="U4434">
        <v>-2.9892880000000002</v>
      </c>
      <c r="V4434">
        <v>-0.1636329</v>
      </c>
      <c r="W4434">
        <v>5.9597749999999998E-2</v>
      </c>
      <c r="X4434">
        <v>0.98471949999999997</v>
      </c>
      <c r="Y4434">
        <v>-0.15938260000000001</v>
      </c>
      <c r="Z4434">
        <v>5.9057819999999997E-2</v>
      </c>
      <c r="AA4434">
        <v>0.98544880000000001</v>
      </c>
      <c r="AB4434">
        <v>39</v>
      </c>
      <c r="AC4434">
        <v>2.24209999999999</v>
      </c>
      <c r="AD4434">
        <v>-1.1064803309789999</v>
      </c>
      <c r="AE4434">
        <v>-18.10134</v>
      </c>
      <c r="AF4434">
        <v>-2.9608148685701399</v>
      </c>
      <c r="AG4434">
        <v>-1.1064803309789999</v>
      </c>
      <c r="AH4434">
        <v>17.9299735217528</v>
      </c>
      <c r="AI4434">
        <v>93.484246409768801</v>
      </c>
      <c r="AJ4434">
        <v>99.376755254143902</v>
      </c>
      <c r="AK4434">
        <v>18.206445943663599</v>
      </c>
    </row>
    <row r="4435" spans="1:37" x14ac:dyDescent="0.2">
      <c r="A4435" t="str">
        <f>"20200111153740323"</f>
        <v>20200111153740323</v>
      </c>
      <c r="B4435" t="str">
        <f>"1578728260317235"</f>
        <v>1578728260317235</v>
      </c>
      <c r="C4435" t="s">
        <v>37</v>
      </c>
      <c r="D4435">
        <v>5.7288410000000001</v>
      </c>
      <c r="E4435">
        <v>0.51476719999999998</v>
      </c>
      <c r="F4435" t="s">
        <v>39</v>
      </c>
      <c r="G4435">
        <v>-420.72430000000003</v>
      </c>
      <c r="H4435" s="1">
        <v>-3.6961739999999898E-6</v>
      </c>
      <c r="I4435">
        <v>57.75573</v>
      </c>
      <c r="J4435">
        <v>-422.2242</v>
      </c>
      <c r="K4435">
        <v>1.1064940000000001</v>
      </c>
      <c r="L4435">
        <v>75.079160000000002</v>
      </c>
      <c r="M4435">
        <v>-3.8696109999999999E-2</v>
      </c>
      <c r="N4435">
        <v>0</v>
      </c>
      <c r="O4435">
        <v>-0.9991546</v>
      </c>
      <c r="P4435">
        <v>0.1253573</v>
      </c>
      <c r="Q4435">
        <v>4.8493269999999998E-2</v>
      </c>
      <c r="R4435">
        <v>-0.99092599999999997</v>
      </c>
      <c r="S4435">
        <v>0.25183109999999997</v>
      </c>
      <c r="T4435">
        <v>-0.18758050000000001</v>
      </c>
      <c r="U4435">
        <v>-3.0039370000000001</v>
      </c>
      <c r="V4435">
        <v>-0.16388059999999999</v>
      </c>
      <c r="W4435">
        <v>6.1460180000000003E-2</v>
      </c>
      <c r="X4435">
        <v>0.98456379999999999</v>
      </c>
      <c r="Y4435">
        <v>-0.1218819</v>
      </c>
      <c r="Z4435">
        <v>6.1912889999999998E-2</v>
      </c>
      <c r="AA4435">
        <v>0.99061169999999998</v>
      </c>
      <c r="AB4435">
        <v>39</v>
      </c>
      <c r="AC4435">
        <v>1.49989999999996</v>
      </c>
      <c r="AD4435">
        <v>-1.1064976961740001</v>
      </c>
      <c r="AE4435">
        <v>-17.323429999999899</v>
      </c>
      <c r="AF4435">
        <v>-2.1604418709426598</v>
      </c>
      <c r="AG4435">
        <v>-1.1064976961740001</v>
      </c>
      <c r="AH4435">
        <v>17.182826809162901</v>
      </c>
      <c r="AI4435">
        <v>93.655801843572206</v>
      </c>
      <c r="AJ4435">
        <v>97.1663429864074</v>
      </c>
      <c r="AK4435">
        <v>17.353425695897901</v>
      </c>
    </row>
    <row r="4436" spans="1:37" x14ac:dyDescent="0.2">
      <c r="A4436" t="str">
        <f>"20200111153740345"</f>
        <v>20200111153740345</v>
      </c>
      <c r="B4436" t="str">
        <f>"1578728260337729"</f>
        <v>1578728260337729</v>
      </c>
      <c r="C4436" t="s">
        <v>37</v>
      </c>
      <c r="D4436">
        <v>5.7521870000000002</v>
      </c>
      <c r="E4436">
        <v>0.51540109999999995</v>
      </c>
      <c r="F4436" t="s">
        <v>39</v>
      </c>
      <c r="G4436">
        <v>-420.72980000000001</v>
      </c>
      <c r="H4436" s="1">
        <v>-3.2237169999999898E-6</v>
      </c>
      <c r="I4436">
        <v>56.651000000000003</v>
      </c>
      <c r="J4436">
        <v>-422.23779999999999</v>
      </c>
      <c r="K4436">
        <v>1.1065049999999901</v>
      </c>
      <c r="L4436">
        <v>74.685940000000002</v>
      </c>
      <c r="M4436">
        <v>-3.700954E-2</v>
      </c>
      <c r="N4436">
        <v>0</v>
      </c>
      <c r="O4436">
        <v>-0.99921800000000005</v>
      </c>
      <c r="P4436">
        <v>0.12718869999999999</v>
      </c>
      <c r="Q4436">
        <v>4.8753459999999998E-2</v>
      </c>
      <c r="R4436">
        <v>-0.9906798</v>
      </c>
      <c r="S4436">
        <v>0.2437134</v>
      </c>
      <c r="T4436">
        <v>-0.18045949999999999</v>
      </c>
      <c r="U4436">
        <v>-3.0054630000000002</v>
      </c>
      <c r="V4436">
        <v>-0.16403709999999999</v>
      </c>
      <c r="W4436">
        <v>6.1764779999999998E-2</v>
      </c>
      <c r="X4436">
        <v>0.98451860000000002</v>
      </c>
      <c r="Y4436">
        <v>-0.1175176</v>
      </c>
      <c r="Z4436">
        <v>5.9569150000000001E-2</v>
      </c>
      <c r="AA4436">
        <v>0.99128259999999901</v>
      </c>
      <c r="AB4436">
        <v>39</v>
      </c>
      <c r="AC4436">
        <v>1.50799999999998</v>
      </c>
      <c r="AD4436">
        <v>-1.1065082237170001</v>
      </c>
      <c r="AE4436">
        <v>-18.034939999999999</v>
      </c>
      <c r="AF4436">
        <v>-2.16639789768525</v>
      </c>
      <c r="AG4436">
        <v>-1.1065082237170001</v>
      </c>
      <c r="AH4436">
        <v>17.899854367636401</v>
      </c>
      <c r="AI4436">
        <v>93.511767621936201</v>
      </c>
      <c r="AJ4436">
        <v>96.900875458745404</v>
      </c>
      <c r="AK4436">
        <v>18.064396659806899</v>
      </c>
    </row>
    <row r="4437" spans="1:37" x14ac:dyDescent="0.2">
      <c r="A4437" t="str">
        <f>"20200111153740368"</f>
        <v>20200111153740368</v>
      </c>
      <c r="B4437" t="str">
        <f>"1578728260357248"</f>
        <v>1578728260357248</v>
      </c>
      <c r="C4437" t="s">
        <v>37</v>
      </c>
      <c r="D4437">
        <v>5.7834180000000002</v>
      </c>
      <c r="E4437">
        <v>0.51575569999999904</v>
      </c>
      <c r="F4437" t="s">
        <v>39</v>
      </c>
      <c r="G4437">
        <v>-420.74459999999999</v>
      </c>
      <c r="H4437" s="1">
        <v>-3.0845630000000001E-6</v>
      </c>
      <c r="I4437">
        <v>56.317500000000003</v>
      </c>
      <c r="J4437">
        <v>-422.25080000000003</v>
      </c>
      <c r="K4437">
        <v>1.1064829999999899</v>
      </c>
      <c r="L4437">
        <v>74.293490000000006</v>
      </c>
      <c r="M4437">
        <v>-3.534035E-2</v>
      </c>
      <c r="N4437">
        <v>0</v>
      </c>
      <c r="O4437">
        <v>-0.99927790000000005</v>
      </c>
      <c r="P4437">
        <v>0.12898599999999999</v>
      </c>
      <c r="Q4437">
        <v>4.7259460000000003E-2</v>
      </c>
      <c r="R4437">
        <v>-0.99051979999999995</v>
      </c>
      <c r="S4437">
        <v>0.24435419999999999</v>
      </c>
      <c r="T4437">
        <v>-0.18106629999999899</v>
      </c>
      <c r="U4437">
        <v>-3.0057680000000002</v>
      </c>
      <c r="V4437">
        <v>-0.16417290000000001</v>
      </c>
      <c r="W4437">
        <v>6.0312190000000002E-2</v>
      </c>
      <c r="X4437">
        <v>0.98458609999999902</v>
      </c>
      <c r="Y4437">
        <v>-0.1160596</v>
      </c>
      <c r="Z4437">
        <v>5.9772789999999999E-2</v>
      </c>
      <c r="AA4437">
        <v>0.99144209999999999</v>
      </c>
      <c r="AB4437">
        <v>39</v>
      </c>
      <c r="AC4437">
        <v>1.50620000000003</v>
      </c>
      <c r="AD4437">
        <v>-1.10648608456299</v>
      </c>
      <c r="AE4437">
        <v>-17.975989999999999</v>
      </c>
      <c r="AF4437">
        <v>-2.1325749356500099</v>
      </c>
      <c r="AG4437">
        <v>-1.10648608456299</v>
      </c>
      <c r="AH4437">
        <v>17.844385848057001</v>
      </c>
      <c r="AI4437">
        <v>93.523218968155206</v>
      </c>
      <c r="AJ4437">
        <v>96.815071305630994</v>
      </c>
      <c r="AK4437">
        <v>18.0053962357354</v>
      </c>
    </row>
    <row r="4438" spans="1:37" x14ac:dyDescent="0.2">
      <c r="A4438" t="str">
        <f>"20200111153740389"</f>
        <v>20200111153740389</v>
      </c>
      <c r="B4438" t="str">
        <f>"1578728260377744"</f>
        <v>1578728260377744</v>
      </c>
      <c r="C4438" t="s">
        <v>37</v>
      </c>
      <c r="D4438">
        <v>5.7887329999999997</v>
      </c>
      <c r="E4438">
        <v>0.51586599999999905</v>
      </c>
      <c r="F4438" t="s">
        <v>39</v>
      </c>
      <c r="G4438">
        <v>-420.77940000000001</v>
      </c>
      <c r="H4438" s="1">
        <v>-3.117867E-6</v>
      </c>
      <c r="I4438">
        <v>56.373509999999897</v>
      </c>
      <c r="J4438">
        <v>-422.26240000000001</v>
      </c>
      <c r="K4438">
        <v>1.106452</v>
      </c>
      <c r="L4438">
        <v>73.922820000000002</v>
      </c>
      <c r="M4438">
        <v>-3.3783470000000003E-2</v>
      </c>
      <c r="N4438">
        <v>0</v>
      </c>
      <c r="O4438">
        <v>-0.99933139999999998</v>
      </c>
      <c r="P4438">
        <v>0.13130810000000001</v>
      </c>
      <c r="Q4438">
        <v>4.4598310000000002E-2</v>
      </c>
      <c r="R4438">
        <v>-0.990338099999999</v>
      </c>
      <c r="S4438">
        <v>0.24676509999999999</v>
      </c>
      <c r="T4438">
        <v>-0.1855733</v>
      </c>
      <c r="U4438">
        <v>-3.0054319999999999</v>
      </c>
      <c r="V4438">
        <v>-0.16493840000000001</v>
      </c>
      <c r="W4438">
        <v>5.7683209999999999E-2</v>
      </c>
      <c r="X4438">
        <v>0.98461559999999904</v>
      </c>
      <c r="Y4438">
        <v>-0.1153037</v>
      </c>
      <c r="Z4438">
        <v>6.1267540000000002E-2</v>
      </c>
      <c r="AA4438">
        <v>0.99143899999999996</v>
      </c>
      <c r="AB4438">
        <v>39</v>
      </c>
      <c r="AC4438">
        <v>1.4830000000000001</v>
      </c>
      <c r="AD4438">
        <v>-1.1064551178669999</v>
      </c>
      <c r="AE4438">
        <v>-17.549309999999998</v>
      </c>
      <c r="AF4438">
        <v>-2.06692984545694</v>
      </c>
      <c r="AG4438">
        <v>-1.1064551178669999</v>
      </c>
      <c r="AH4438">
        <v>17.420427826350299</v>
      </c>
      <c r="AI4438">
        <v>93.609001678874293</v>
      </c>
      <c r="AJ4438">
        <v>96.7664972931411</v>
      </c>
      <c r="AK4438">
        <v>17.577478418902299</v>
      </c>
    </row>
    <row r="4439" spans="1:37" x14ac:dyDescent="0.2">
      <c r="A4439" t="str">
        <f>"20200111153740412"</f>
        <v>20200111153740412</v>
      </c>
      <c r="B4439" t="str">
        <f>"1578728260408000"</f>
        <v>1578728260408000</v>
      </c>
      <c r="C4439" t="s">
        <v>37</v>
      </c>
      <c r="D4439">
        <v>5.7804229999999999</v>
      </c>
      <c r="E4439">
        <v>0.5154166</v>
      </c>
      <c r="F4439" t="s">
        <v>39</v>
      </c>
      <c r="G4439">
        <v>-420.83089999999999</v>
      </c>
      <c r="H4439" s="1">
        <v>-3.3572510000000002E-6</v>
      </c>
      <c r="I4439">
        <v>56.899569999999997</v>
      </c>
      <c r="J4439">
        <v>-422.27449999999999</v>
      </c>
      <c r="K4439">
        <v>1.1064129999999901</v>
      </c>
      <c r="L4439">
        <v>73.518919999999994</v>
      </c>
      <c r="M4439">
        <v>-3.2115100000000001E-2</v>
      </c>
      <c r="N4439">
        <v>0</v>
      </c>
      <c r="O4439">
        <v>-0.99938590000000005</v>
      </c>
      <c r="P4439">
        <v>0.1328674</v>
      </c>
      <c r="Q4439">
        <v>4.1528250000000003E-2</v>
      </c>
      <c r="R4439">
        <v>-0.99026349999999996</v>
      </c>
      <c r="S4439">
        <v>0.25265500000000002</v>
      </c>
      <c r="T4439">
        <v>-0.19528770000000001</v>
      </c>
      <c r="U4439">
        <v>-3.004578</v>
      </c>
      <c r="V4439">
        <v>-0.16483320000000001</v>
      </c>
      <c r="W4439">
        <v>5.4651020000000002E-2</v>
      </c>
      <c r="X4439">
        <v>0.98480619999999996</v>
      </c>
      <c r="Y4439">
        <v>-0.1155817</v>
      </c>
      <c r="Z4439">
        <v>6.4478960000000002E-2</v>
      </c>
      <c r="AA4439">
        <v>0.99120299999999995</v>
      </c>
      <c r="AB4439">
        <v>39</v>
      </c>
      <c r="AC4439">
        <v>1.4436</v>
      </c>
      <c r="AD4439">
        <v>-1.106416357251</v>
      </c>
      <c r="AE4439">
        <v>-16.619349999999901</v>
      </c>
      <c r="AF4439">
        <v>-1.96798276102275</v>
      </c>
      <c r="AG4439">
        <v>-1.106416357251</v>
      </c>
      <c r="AH4439">
        <v>16.4918636164725</v>
      </c>
      <c r="AI4439">
        <v>93.811184530730102</v>
      </c>
      <c r="AJ4439">
        <v>96.804956906432906</v>
      </c>
      <c r="AK4439">
        <v>16.645680486168299</v>
      </c>
    </row>
    <row r="4440" spans="1:37" x14ac:dyDescent="0.2">
      <c r="A4440" t="str">
        <f>"20200111153740436"</f>
        <v>20200111153740436</v>
      </c>
      <c r="B4440" t="str">
        <f>"1578728260427519"</f>
        <v>1578728260427519</v>
      </c>
      <c r="C4440" t="s">
        <v>37</v>
      </c>
      <c r="D4440">
        <v>5.7649010000000001</v>
      </c>
      <c r="E4440">
        <v>0.51551759999999902</v>
      </c>
      <c r="F4440" t="s">
        <v>39</v>
      </c>
      <c r="G4440">
        <v>-420.9624</v>
      </c>
      <c r="H4440" s="1">
        <v>-4.0219289999999997E-6</v>
      </c>
      <c r="I4440">
        <v>58.367429999999999</v>
      </c>
      <c r="J4440">
        <v>-422.28559999999999</v>
      </c>
      <c r="K4440">
        <v>1.106368</v>
      </c>
      <c r="L4440">
        <v>73.128749999999997</v>
      </c>
      <c r="M4440">
        <v>-3.0534639999999998E-2</v>
      </c>
      <c r="N4440">
        <v>0</v>
      </c>
      <c r="O4440">
        <v>-0.99943510000000002</v>
      </c>
      <c r="P4440">
        <v>0.13380039999999899</v>
      </c>
      <c r="Q4440">
        <v>3.8302879999999997E-2</v>
      </c>
      <c r="R4440">
        <v>-0.99026789999999998</v>
      </c>
      <c r="S4440">
        <v>0.26013179999999902</v>
      </c>
      <c r="T4440">
        <v>-0.2193494</v>
      </c>
      <c r="U4440">
        <v>-3.0038149999999999</v>
      </c>
      <c r="V4440">
        <v>-0.16419039999999999</v>
      </c>
      <c r="W4440">
        <v>5.1464530000000001E-2</v>
      </c>
      <c r="X4440">
        <v>0.98508519999999899</v>
      </c>
      <c r="Y4440">
        <v>-0.11643439999999999</v>
      </c>
      <c r="Z4440">
        <v>7.2396189999999999E-2</v>
      </c>
      <c r="AA4440">
        <v>0.99055629999999995</v>
      </c>
      <c r="AB4440">
        <v>39</v>
      </c>
      <c r="AC4440">
        <v>1.3231999999999799</v>
      </c>
      <c r="AD4440">
        <v>-1.1063720219290001</v>
      </c>
      <c r="AE4440">
        <v>-14.7613199999999</v>
      </c>
      <c r="AF4440">
        <v>-1.7635310353732101</v>
      </c>
      <c r="AG4440">
        <v>-1.1063720219290001</v>
      </c>
      <c r="AH4440">
        <v>14.6324837263052</v>
      </c>
      <c r="AI4440">
        <v>94.292996242373505</v>
      </c>
      <c r="AJ4440">
        <v>96.872235471753996</v>
      </c>
      <c r="AK4440">
        <v>14.779840349754</v>
      </c>
    </row>
    <row r="4441" spans="1:37" x14ac:dyDescent="0.2">
      <c r="A4441" t="str">
        <f>"20200111153740456"</f>
        <v>20200111153740456</v>
      </c>
      <c r="B4441" t="str">
        <f>"1578728260448045"</f>
        <v>1578728260448045</v>
      </c>
      <c r="C4441" t="s">
        <v>37</v>
      </c>
      <c r="D4441">
        <v>5.7708940000000002</v>
      </c>
      <c r="E4441">
        <v>0.51548490000000002</v>
      </c>
      <c r="F4441" t="s">
        <v>39</v>
      </c>
      <c r="G4441">
        <v>-421.05520000000001</v>
      </c>
      <c r="H4441" s="1">
        <v>-4.276997E-6</v>
      </c>
      <c r="I4441">
        <v>59.004919999999998</v>
      </c>
      <c r="J4441">
        <v>-422.29579999999999</v>
      </c>
      <c r="K4441">
        <v>1.1063240000000001</v>
      </c>
      <c r="L4441">
        <v>72.750789999999995</v>
      </c>
      <c r="M4441">
        <v>-2.9037299999999999E-2</v>
      </c>
      <c r="N4441">
        <v>0</v>
      </c>
      <c r="O4441">
        <v>-0.99947960000000002</v>
      </c>
      <c r="P4441">
        <v>0.1347594</v>
      </c>
      <c r="Q4441">
        <v>3.6059550000000003E-2</v>
      </c>
      <c r="R4441">
        <v>-0.9902223</v>
      </c>
      <c r="S4441">
        <v>0.2616272</v>
      </c>
      <c r="T4441">
        <v>-0.23525209999999999</v>
      </c>
      <c r="U4441">
        <v>-3.0032040000000002</v>
      </c>
      <c r="V4441">
        <v>-0.16365769999999999</v>
      </c>
      <c r="W4441">
        <v>4.925529E-2</v>
      </c>
      <c r="X4441">
        <v>0.98528680000000002</v>
      </c>
      <c r="Y4441">
        <v>-0.11541889999999901</v>
      </c>
      <c r="Z4441">
        <v>7.7637869999999998E-2</v>
      </c>
      <c r="AA4441">
        <v>0.990278199999999</v>
      </c>
      <c r="AB4441">
        <v>39</v>
      </c>
      <c r="AC4441">
        <v>1.2405999999999699</v>
      </c>
      <c r="AD4441">
        <v>-1.106328276997</v>
      </c>
      <c r="AE4441">
        <v>-13.74587</v>
      </c>
      <c r="AF4441">
        <v>-1.62879346288366</v>
      </c>
      <c r="AG4441">
        <v>-1.106328276997</v>
      </c>
      <c r="AH4441">
        <v>13.616553550419001</v>
      </c>
      <c r="AI4441">
        <v>94.612271584131804</v>
      </c>
      <c r="AJ4441">
        <v>96.821231661272606</v>
      </c>
      <c r="AK4441">
        <v>13.7581779677631</v>
      </c>
    </row>
    <row r="4442" spans="1:37" x14ac:dyDescent="0.2">
      <c r="A4442" t="str">
        <f>"20200111153740479"</f>
        <v>20200111153740479</v>
      </c>
      <c r="B4442" t="str">
        <f>"1578728260467565"</f>
        <v>1578728260467565</v>
      </c>
      <c r="C4442" t="s">
        <v>37</v>
      </c>
      <c r="D4442">
        <v>5.6626769999999897</v>
      </c>
      <c r="E4442">
        <v>0.51545790000000002</v>
      </c>
      <c r="F4442" t="s">
        <v>39</v>
      </c>
      <c r="G4442">
        <v>-421.1044</v>
      </c>
      <c r="H4442" s="1">
        <v>-4.3524829999999903E-6</v>
      </c>
      <c r="I4442">
        <v>59.201079999999997</v>
      </c>
      <c r="J4442">
        <v>-422.30549999999999</v>
      </c>
      <c r="K4442">
        <v>1.1062809999999901</v>
      </c>
      <c r="L4442">
        <v>72.369479999999996</v>
      </c>
      <c r="M4442">
        <v>-2.7559299999999998E-2</v>
      </c>
      <c r="N4442">
        <v>0</v>
      </c>
      <c r="O4442">
        <v>-0.9995212</v>
      </c>
      <c r="P4442">
        <v>0.1360246</v>
      </c>
      <c r="Q4442">
        <v>3.5641270000000003E-2</v>
      </c>
      <c r="R4442">
        <v>-0.99006430000000001</v>
      </c>
      <c r="S4442">
        <v>0.26400759999999901</v>
      </c>
      <c r="T4442">
        <v>-0.24516309999999999</v>
      </c>
      <c r="U4442">
        <v>-3.0026250000000001</v>
      </c>
      <c r="V4442">
        <v>-0.1634545</v>
      </c>
      <c r="W4442">
        <v>4.8866659999999999E-2</v>
      </c>
      <c r="X4442">
        <v>0.98533989999999905</v>
      </c>
      <c r="Y4442">
        <v>-0.11472300000000001</v>
      </c>
      <c r="Z4442">
        <v>8.0908599999999997E-2</v>
      </c>
      <c r="AA4442">
        <v>0.99009720000000001</v>
      </c>
      <c r="AB4442">
        <v>39</v>
      </c>
      <c r="AC4442">
        <v>1.2010999999999901</v>
      </c>
      <c r="AD4442">
        <v>-1.1062853524830001</v>
      </c>
      <c r="AE4442">
        <v>-13.1684</v>
      </c>
      <c r="AF4442">
        <v>-1.5527231252467699</v>
      </c>
      <c r="AG4442">
        <v>-1.1062853524830001</v>
      </c>
      <c r="AH4442">
        <v>13.039025189870101</v>
      </c>
      <c r="AI4442">
        <v>94.815735457340693</v>
      </c>
      <c r="AJ4442">
        <v>96.790959935958398</v>
      </c>
      <c r="AK4442">
        <v>13.1776702905658</v>
      </c>
    </row>
    <row r="4443" spans="1:37" x14ac:dyDescent="0.2">
      <c r="A4443" t="str">
        <f>"20200111153740501"</f>
        <v>20200111153740501</v>
      </c>
      <c r="B4443" t="str">
        <f>"1578728260497821"</f>
        <v>1578728260497821</v>
      </c>
      <c r="C4443" t="s">
        <v>37</v>
      </c>
      <c r="D4443">
        <v>5.7706480000000004</v>
      </c>
      <c r="E4443">
        <v>0.515926</v>
      </c>
      <c r="F4443" t="s">
        <v>39</v>
      </c>
      <c r="G4443">
        <v>-421.11959999999999</v>
      </c>
      <c r="H4443" s="1">
        <v>-4.3179069999999998E-6</v>
      </c>
      <c r="I4443">
        <v>59.091540000000002</v>
      </c>
      <c r="J4443">
        <v>-422.31479999999999</v>
      </c>
      <c r="K4443">
        <v>1.1062529999999999</v>
      </c>
      <c r="L4443">
        <v>71.981960000000001</v>
      </c>
      <c r="M4443">
        <v>-2.6088509999999999E-2</v>
      </c>
      <c r="N4443">
        <v>0</v>
      </c>
      <c r="O4443">
        <v>-0.99956069999999997</v>
      </c>
      <c r="P4443">
        <v>0.13871979999999901</v>
      </c>
      <c r="Q4443">
        <v>3.7055619999999997E-2</v>
      </c>
      <c r="R4443">
        <v>-0.98963869999999898</v>
      </c>
      <c r="S4443">
        <v>0.26812740000000002</v>
      </c>
      <c r="T4443">
        <v>-0.25014339999999902</v>
      </c>
      <c r="U4443">
        <v>-3.00228899999999</v>
      </c>
      <c r="V4443">
        <v>-0.16468869999999999</v>
      </c>
      <c r="W4443">
        <v>5.0297309999999998E-2</v>
      </c>
      <c r="X4443">
        <v>0.9850624</v>
      </c>
      <c r="Y4443">
        <v>-0.114607</v>
      </c>
      <c r="Z4443">
        <v>8.2550659999999998E-2</v>
      </c>
      <c r="AA4443">
        <v>0.98997500000000005</v>
      </c>
      <c r="AB4443">
        <v>39</v>
      </c>
      <c r="AC4443">
        <v>1.19519999999999</v>
      </c>
      <c r="AD4443">
        <v>-1.1062573179070001</v>
      </c>
      <c r="AE4443">
        <v>-12.890419999999899</v>
      </c>
      <c r="AF4443">
        <v>-1.5200185792712799</v>
      </c>
      <c r="AG4443">
        <v>-1.1062573179070001</v>
      </c>
      <c r="AH4443">
        <v>12.761658003143699</v>
      </c>
      <c r="AI4443">
        <v>94.919755626878597</v>
      </c>
      <c r="AJ4443">
        <v>96.792399138493295</v>
      </c>
      <c r="AK4443">
        <v>12.899386680147</v>
      </c>
    </row>
    <row r="4444" spans="1:37" x14ac:dyDescent="0.2">
      <c r="A4444" t="str">
        <f>"20200111153740525"</f>
        <v>20200111153740525</v>
      </c>
      <c r="B4444" t="str">
        <f>"1578728260517341"</f>
        <v>1578728260517341</v>
      </c>
      <c r="C4444" t="s">
        <v>37</v>
      </c>
      <c r="D4444">
        <v>5.7707540000000002</v>
      </c>
      <c r="E4444">
        <v>0.51588199999999995</v>
      </c>
      <c r="F4444" t="s">
        <v>39</v>
      </c>
      <c r="G4444">
        <v>-421.10930000000002</v>
      </c>
      <c r="H4444" s="1">
        <v>-4.1751929999999901E-6</v>
      </c>
      <c r="I4444">
        <v>58.677569999999903</v>
      </c>
      <c r="J4444">
        <v>-422.32369999999997</v>
      </c>
      <c r="K4444">
        <v>1.1062289999999999</v>
      </c>
      <c r="L4444">
        <v>71.58426</v>
      </c>
      <c r="M4444">
        <v>-2.4601890000000001E-2</v>
      </c>
      <c r="N4444">
        <v>0</v>
      </c>
      <c r="O4444">
        <v>-0.99959830000000005</v>
      </c>
      <c r="P4444">
        <v>0.14175789999999999</v>
      </c>
      <c r="Q4444">
        <v>3.8932960000000003E-2</v>
      </c>
      <c r="R4444">
        <v>-0.98913569999999995</v>
      </c>
      <c r="S4444">
        <v>0.27206419999999998</v>
      </c>
      <c r="T4444">
        <v>-0.24966759999999999</v>
      </c>
      <c r="U4444">
        <v>-3.0026250000000001</v>
      </c>
      <c r="V4444">
        <v>-0.16625109999999901</v>
      </c>
      <c r="W4444">
        <v>5.2185009999999997E-2</v>
      </c>
      <c r="X4444">
        <v>0.98470159999999995</v>
      </c>
      <c r="Y4444">
        <v>-0.1144086</v>
      </c>
      <c r="Z4444">
        <v>8.238645E-2</v>
      </c>
      <c r="AA4444">
        <v>0.99001170000000005</v>
      </c>
      <c r="AB4444">
        <v>39</v>
      </c>
      <c r="AC4444">
        <v>1.21439999999995</v>
      </c>
      <c r="AD4444">
        <v>-1.1062331751929999</v>
      </c>
      <c r="AE4444">
        <v>-12.906689999999999</v>
      </c>
      <c r="AF4444">
        <v>-1.5205207177714</v>
      </c>
      <c r="AG4444">
        <v>-1.1062331751929999</v>
      </c>
      <c r="AH4444">
        <v>12.7798436272362</v>
      </c>
      <c r="AI4444">
        <v>94.912757159161401</v>
      </c>
      <c r="AJ4444">
        <v>96.785043540256694</v>
      </c>
      <c r="AK4444">
        <v>12.917435435398099</v>
      </c>
    </row>
    <row r="4445" spans="1:37" x14ac:dyDescent="0.2">
      <c r="A4445" t="str">
        <f>"20200111153740546"</f>
        <v>20200111153740546</v>
      </c>
      <c r="B4445" t="str">
        <f>"1578728260537838"</f>
        <v>1578728260537838</v>
      </c>
      <c r="C4445" t="s">
        <v>37</v>
      </c>
      <c r="D4445">
        <v>5.6663379999999997</v>
      </c>
      <c r="E4445">
        <v>0.51590959999999997</v>
      </c>
      <c r="F4445" t="s">
        <v>39</v>
      </c>
      <c r="G4445">
        <v>-421.04379999999998</v>
      </c>
      <c r="H4445" s="1">
        <v>-3.8724329999999998E-6</v>
      </c>
      <c r="I4445">
        <v>57.968440000000001</v>
      </c>
      <c r="J4445">
        <v>-422.33170000000001</v>
      </c>
      <c r="K4445">
        <v>1.106209</v>
      </c>
      <c r="L4445">
        <v>71.203339999999997</v>
      </c>
      <c r="M4445">
        <v>-2.319303E-2</v>
      </c>
      <c r="N4445">
        <v>0</v>
      </c>
      <c r="O4445">
        <v>-0.99963189999999902</v>
      </c>
      <c r="P4445">
        <v>0.14528239999999901</v>
      </c>
      <c r="Q4445">
        <v>3.9316919999999998E-2</v>
      </c>
      <c r="R4445">
        <v>-0.98860910000000002</v>
      </c>
      <c r="S4445">
        <v>0.282196</v>
      </c>
      <c r="T4445">
        <v>-0.243909499999999</v>
      </c>
      <c r="U4445">
        <v>-3.0021059999999999</v>
      </c>
      <c r="V4445">
        <v>-0.16837199999999999</v>
      </c>
      <c r="W4445">
        <v>5.2572630000000002E-2</v>
      </c>
      <c r="X4445">
        <v>0.98432059999999999</v>
      </c>
      <c r="Y4445">
        <v>-0.1163511</v>
      </c>
      <c r="Z4445">
        <v>8.0495250000000004E-2</v>
      </c>
      <c r="AA4445">
        <v>0.98994090000000001</v>
      </c>
      <c r="AB4445">
        <v>39</v>
      </c>
      <c r="AC4445">
        <v>1.28790000000003</v>
      </c>
      <c r="AD4445">
        <v>-1.106212872433</v>
      </c>
      <c r="AE4445">
        <v>-13.2348999999999</v>
      </c>
      <c r="AF4445">
        <v>-1.58358202510738</v>
      </c>
      <c r="AG4445">
        <v>-1.106212872433</v>
      </c>
      <c r="AH4445">
        <v>13.110731956586401</v>
      </c>
      <c r="AI4445">
        <v>94.788247796370896</v>
      </c>
      <c r="AJ4445">
        <v>96.887117755442901</v>
      </c>
      <c r="AK4445">
        <v>13.252272687612299</v>
      </c>
    </row>
    <row r="4446" spans="1:37" x14ac:dyDescent="0.2">
      <c r="A4446" t="str">
        <f>"20200111153740590"</f>
        <v>20200111153740590</v>
      </c>
      <c r="B4446" t="str">
        <f>"1578728260577857"</f>
        <v>1578728260577857</v>
      </c>
      <c r="C4446" t="s">
        <v>37</v>
      </c>
      <c r="D4446">
        <v>5.7866220000000004</v>
      </c>
      <c r="E4446">
        <v>0.51645770000000002</v>
      </c>
      <c r="F4446" t="s">
        <v>39</v>
      </c>
      <c r="G4446">
        <v>-420.98829999999998</v>
      </c>
      <c r="H4446" s="1">
        <v>-3.6222350000000001E-6</v>
      </c>
      <c r="I4446">
        <v>57.41968</v>
      </c>
      <c r="J4446">
        <v>-422.34620000000001</v>
      </c>
      <c r="K4446">
        <v>1.1061799999999999</v>
      </c>
      <c r="L4446">
        <v>70.443730000000002</v>
      </c>
      <c r="M4446">
        <v>-2.041285E-2</v>
      </c>
      <c r="N4446">
        <v>0</v>
      </c>
      <c r="O4446">
        <v>-0.99969200000000003</v>
      </c>
      <c r="P4446">
        <v>0.1509846</v>
      </c>
      <c r="Q4446">
        <v>3.6602019999999999E-2</v>
      </c>
      <c r="R4446">
        <v>-0.98785829999999997</v>
      </c>
      <c r="S4446">
        <v>0.29251100000000002</v>
      </c>
      <c r="T4446">
        <v>-0.2408593</v>
      </c>
      <c r="U4446">
        <v>-3.00116</v>
      </c>
      <c r="V4446">
        <v>-0.1713036</v>
      </c>
      <c r="W4446">
        <v>4.9866800000000003E-2</v>
      </c>
      <c r="X4446">
        <v>0.98395540000000004</v>
      </c>
      <c r="Y4446">
        <v>-0.1169973</v>
      </c>
      <c r="Z4446">
        <v>7.9511199999999893E-2</v>
      </c>
      <c r="AA4446">
        <v>0.98994419999999905</v>
      </c>
      <c r="AB4446">
        <v>39</v>
      </c>
      <c r="AC4446">
        <v>1.3579000000000201</v>
      </c>
      <c r="AD4446">
        <v>-1.1061836222349899</v>
      </c>
      <c r="AE4446">
        <v>-13.0240499999999</v>
      </c>
      <c r="AF4446">
        <v>-1.61199793527506</v>
      </c>
      <c r="AG4446">
        <v>-1.1061836222349899</v>
      </c>
      <c r="AH4446">
        <v>12.901546359355599</v>
      </c>
      <c r="AI4446">
        <v>94.862948643447496</v>
      </c>
      <c r="AJ4446">
        <v>97.121975745020706</v>
      </c>
      <c r="AK4446">
        <v>13.048834354532699</v>
      </c>
    </row>
    <row r="4447" spans="1:37" x14ac:dyDescent="0.2">
      <c r="A4447" t="str">
        <f>"20200111153740613"</f>
        <v>20200111153740613</v>
      </c>
      <c r="B4447" t="str">
        <f>"1578728260608112"</f>
        <v>1578728260608112</v>
      </c>
      <c r="C4447" t="s">
        <v>37</v>
      </c>
      <c r="D4447">
        <v>5.8674390000000001</v>
      </c>
      <c r="E4447">
        <v>0.51731970000000005</v>
      </c>
      <c r="F4447" t="s">
        <v>39</v>
      </c>
      <c r="G4447">
        <v>-421.00400000000002</v>
      </c>
      <c r="H4447" s="1">
        <v>-3.5599959999999899E-6</v>
      </c>
      <c r="I4447">
        <v>57.264830000000003</v>
      </c>
      <c r="J4447">
        <v>-422.35289999999998</v>
      </c>
      <c r="K4447">
        <v>1.1061809999999901</v>
      </c>
      <c r="L4447">
        <v>70.046779999999998</v>
      </c>
      <c r="M4447">
        <v>-1.8970170000000001E-2</v>
      </c>
      <c r="N4447">
        <v>0</v>
      </c>
      <c r="O4447">
        <v>-0.99972050000000001</v>
      </c>
      <c r="P4447">
        <v>0.1530125</v>
      </c>
      <c r="Q4447">
        <v>3.7737930000000003E-2</v>
      </c>
      <c r="R4447">
        <v>-0.98750339999999903</v>
      </c>
      <c r="S4447">
        <v>0.305481</v>
      </c>
      <c r="T4447">
        <v>-0.25176700000000002</v>
      </c>
      <c r="U4447">
        <v>-2.99951199999999</v>
      </c>
      <c r="V4447">
        <v>-0.171906</v>
      </c>
      <c r="W4447">
        <v>5.1009739999999998E-2</v>
      </c>
      <c r="X4447">
        <v>0.98379179999999999</v>
      </c>
      <c r="Y4447">
        <v>-0.1198249</v>
      </c>
      <c r="Z4447">
        <v>8.3104419999999998E-2</v>
      </c>
      <c r="AA4447">
        <v>0.98931069999999999</v>
      </c>
      <c r="AB4447">
        <v>39</v>
      </c>
      <c r="AC4447">
        <v>1.34889999999995</v>
      </c>
      <c r="AD4447">
        <v>-1.1061845599959901</v>
      </c>
      <c r="AE4447">
        <v>-12.781949999999901</v>
      </c>
      <c r="AF4447">
        <v>-1.57945784127217</v>
      </c>
      <c r="AG4447">
        <v>-1.1061845599959901</v>
      </c>
      <c r="AH4447">
        <v>12.660281451794599</v>
      </c>
      <c r="AI4447">
        <v>94.955282780827204</v>
      </c>
      <c r="AJ4447">
        <v>97.111303288656103</v>
      </c>
      <c r="AK4447">
        <v>12.806289774629599</v>
      </c>
    </row>
    <row r="4448" spans="1:37" x14ac:dyDescent="0.2">
      <c r="A4448" t="str">
        <f>"20200111153740636"</f>
        <v>20200111153740636</v>
      </c>
      <c r="B4448" t="str">
        <f>"1578728260627633"</f>
        <v>1578728260627633</v>
      </c>
      <c r="C4448" t="s">
        <v>37</v>
      </c>
      <c r="D4448">
        <v>5.8765359999999998</v>
      </c>
      <c r="E4448">
        <v>0.51746389999999998</v>
      </c>
      <c r="F4448" t="s">
        <v>39</v>
      </c>
      <c r="G4448">
        <v>-420.9853</v>
      </c>
      <c r="H4448" s="1">
        <v>-3.2688299999999999E-6</v>
      </c>
      <c r="I4448">
        <v>56.597719999999903</v>
      </c>
      <c r="J4448">
        <v>-422.35890000000001</v>
      </c>
      <c r="K4448">
        <v>1.106187</v>
      </c>
      <c r="L4448">
        <v>69.664459999999906</v>
      </c>
      <c r="M4448">
        <v>-1.7584120000000002E-2</v>
      </c>
      <c r="N4448">
        <v>0</v>
      </c>
      <c r="O4448">
        <v>-0.99974580000000002</v>
      </c>
      <c r="P4448">
        <v>0.15535760000000001</v>
      </c>
      <c r="Q4448">
        <v>3.9586240000000002E-2</v>
      </c>
      <c r="R4448">
        <v>-0.98706510000000003</v>
      </c>
      <c r="S4448">
        <v>0.30508420000000003</v>
      </c>
      <c r="T4448">
        <v>-0.24676229999999999</v>
      </c>
      <c r="U4448">
        <v>-3.0001530000000001</v>
      </c>
      <c r="V4448">
        <v>-0.1728828</v>
      </c>
      <c r="W4448">
        <v>5.2860240000000003E-2</v>
      </c>
      <c r="X4448">
        <v>0.98352289999999998</v>
      </c>
      <c r="Y4448">
        <v>-0.1183114</v>
      </c>
      <c r="Z4448">
        <v>8.1457500000000002E-2</v>
      </c>
      <c r="AA4448">
        <v>0.98962969999999895</v>
      </c>
      <c r="AB4448">
        <v>39</v>
      </c>
      <c r="AC4448">
        <v>1.3736000000000099</v>
      </c>
      <c r="AD4448">
        <v>-1.1061902688299901</v>
      </c>
      <c r="AE4448">
        <v>-13.0667399999999</v>
      </c>
      <c r="AF4448">
        <v>-1.5918935033292001</v>
      </c>
      <c r="AG4448">
        <v>-1.1061902688299901</v>
      </c>
      <c r="AH4448">
        <v>12.9487763983929</v>
      </c>
      <c r="AI4448">
        <v>94.846507175059898</v>
      </c>
      <c r="AJ4448">
        <v>97.008646864836706</v>
      </c>
      <c r="AK4448">
        <v>13.093074201744001</v>
      </c>
    </row>
    <row r="4449" spans="1:37" x14ac:dyDescent="0.2">
      <c r="A4449" t="str">
        <f>"20200111153740657"</f>
        <v>20200111153740657</v>
      </c>
      <c r="B4449" t="str">
        <f>"1578728260647153"</f>
        <v>1578728260647153</v>
      </c>
      <c r="C4449" t="s">
        <v>37</v>
      </c>
      <c r="D4449">
        <v>6.0673709999999996</v>
      </c>
      <c r="E4449">
        <v>0.51764259999999995</v>
      </c>
      <c r="F4449" t="s">
        <v>39</v>
      </c>
      <c r="G4449">
        <v>-420.92410000000001</v>
      </c>
      <c r="H4449" s="1">
        <v>-2.924618E-6</v>
      </c>
      <c r="I4449">
        <v>55.833280000000002</v>
      </c>
      <c r="J4449">
        <v>-422.36419999999998</v>
      </c>
      <c r="K4449">
        <v>1.1061989999999999</v>
      </c>
      <c r="L4449">
        <v>69.285579999999996</v>
      </c>
      <c r="M4449">
        <v>-1.6212339999999999E-2</v>
      </c>
      <c r="N4449">
        <v>0</v>
      </c>
      <c r="O4449">
        <v>-0.99976900000000002</v>
      </c>
      <c r="P4449">
        <v>0.15734960000000001</v>
      </c>
      <c r="Q4449">
        <v>4.1750629999999997E-2</v>
      </c>
      <c r="R4449">
        <v>-0.9866606</v>
      </c>
      <c r="S4449">
        <v>0.31118770000000001</v>
      </c>
      <c r="T4449">
        <v>-0.23993159999999999</v>
      </c>
      <c r="U4449">
        <v>-2.9999689999999899</v>
      </c>
      <c r="V4449">
        <v>-0.17352319999999999</v>
      </c>
      <c r="W4449">
        <v>5.5027159999999999E-2</v>
      </c>
      <c r="X4449">
        <v>0.98329129999999998</v>
      </c>
      <c r="Y4449">
        <v>-0.11896610000000001</v>
      </c>
      <c r="Z4449">
        <v>7.921338E-2</v>
      </c>
      <c r="AA4449">
        <v>0.98973349999999904</v>
      </c>
      <c r="AB4449">
        <v>39</v>
      </c>
      <c r="AC4449">
        <v>1.44009999999997</v>
      </c>
      <c r="AD4449">
        <v>-1.1062019246179999</v>
      </c>
      <c r="AE4449">
        <v>-13.452299999999999</v>
      </c>
      <c r="AF4449">
        <v>-1.6470147279865299</v>
      </c>
      <c r="AG4449">
        <v>-1.1062019246179999</v>
      </c>
      <c r="AH4449">
        <v>13.338012064570799</v>
      </c>
      <c r="AI4449">
        <v>94.705458419948997</v>
      </c>
      <c r="AJ4449">
        <v>97.039407168626994</v>
      </c>
      <c r="AK4449">
        <v>13.484765702335</v>
      </c>
    </row>
    <row r="4450" spans="1:37" x14ac:dyDescent="0.2">
      <c r="A4450" t="str">
        <f>"20200111153740681"</f>
        <v>20200111153740681</v>
      </c>
      <c r="B4450" t="str">
        <f>"1578728260677410"</f>
        <v>1578728260677410</v>
      </c>
      <c r="C4450" t="s">
        <v>37</v>
      </c>
      <c r="D4450">
        <v>5.8602460000000001</v>
      </c>
      <c r="E4450">
        <v>0.51856190000000002</v>
      </c>
      <c r="F4450" t="s">
        <v>39</v>
      </c>
      <c r="G4450">
        <v>-420.85950000000003</v>
      </c>
      <c r="H4450" s="1">
        <v>-2.5572869999999999E-6</v>
      </c>
      <c r="I4450">
        <v>55.017139999999998</v>
      </c>
      <c r="J4450">
        <v>-422.36930000000001</v>
      </c>
      <c r="K4450">
        <v>1.106212</v>
      </c>
      <c r="L4450">
        <v>68.888490000000004</v>
      </c>
      <c r="M4450">
        <v>-1.4775659999999999E-2</v>
      </c>
      <c r="N4450">
        <v>0</v>
      </c>
      <c r="O4450">
        <v>-0.99979130000000005</v>
      </c>
      <c r="P4450">
        <v>0.15908549999999999</v>
      </c>
      <c r="Q4450">
        <v>4.2788300000000001E-2</v>
      </c>
      <c r="R4450">
        <v>-0.98633760000000004</v>
      </c>
      <c r="S4450">
        <v>0.31637569999999998</v>
      </c>
      <c r="T4450">
        <v>-0.2325788</v>
      </c>
      <c r="U4450">
        <v>-2.9999389999999999</v>
      </c>
      <c r="V4450">
        <v>-0.17384269999999999</v>
      </c>
      <c r="W4450">
        <v>5.606887E-2</v>
      </c>
      <c r="X4450">
        <v>0.98317600000000005</v>
      </c>
      <c r="Y4450">
        <v>-0.119253399999999</v>
      </c>
      <c r="Z4450">
        <v>7.679569E-2</v>
      </c>
      <c r="AA4450">
        <v>0.98988940000000003</v>
      </c>
      <c r="AB4450">
        <v>39</v>
      </c>
      <c r="AC4450">
        <v>1.50979999999998</v>
      </c>
      <c r="AD4450">
        <v>-1.1062145572869999</v>
      </c>
      <c r="AE4450">
        <v>-13.87135</v>
      </c>
      <c r="AF4450">
        <v>-1.70390433750755</v>
      </c>
      <c r="AG4450">
        <v>-1.1062145572869999</v>
      </c>
      <c r="AH4450">
        <v>13.761032588672</v>
      </c>
      <c r="AI4450">
        <v>94.561295264692703</v>
      </c>
      <c r="AJ4450">
        <v>97.058492296324104</v>
      </c>
      <c r="AK4450">
        <v>13.910176797748599</v>
      </c>
    </row>
    <row r="4451" spans="1:37" x14ac:dyDescent="0.2">
      <c r="A4451" t="str">
        <f>"20200111153740702"</f>
        <v>20200111153740702</v>
      </c>
      <c r="B4451" t="str">
        <f>"1578728260697905"</f>
        <v>1578728260697905</v>
      </c>
      <c r="C4451" t="s">
        <v>37</v>
      </c>
      <c r="D4451">
        <v>6.1772939999999998</v>
      </c>
      <c r="E4451">
        <v>0.51906430000000003</v>
      </c>
      <c r="F4451" t="s">
        <v>39</v>
      </c>
      <c r="G4451">
        <v>-420.83199999999999</v>
      </c>
      <c r="H4451" s="1">
        <v>-2.219997E-6</v>
      </c>
      <c r="I4451">
        <v>54.247950000000003</v>
      </c>
      <c r="J4451">
        <v>-422.37349999999998</v>
      </c>
      <c r="K4451">
        <v>1.1062129999999999</v>
      </c>
      <c r="L4451">
        <v>68.521509999999907</v>
      </c>
      <c r="M4451">
        <v>-1.3449620000000001E-2</v>
      </c>
      <c r="N4451">
        <v>0</v>
      </c>
      <c r="O4451">
        <v>-0.99980999999999998</v>
      </c>
      <c r="P4451">
        <v>0.16068379999999999</v>
      </c>
      <c r="Q4451">
        <v>4.3118910000000003E-2</v>
      </c>
      <c r="R4451">
        <v>-0.9860641</v>
      </c>
      <c r="S4451">
        <v>0.3150635</v>
      </c>
      <c r="T4451">
        <v>-0.2267187</v>
      </c>
      <c r="U4451">
        <v>-3.0005799999999998</v>
      </c>
      <c r="V4451">
        <v>-0.17413190000000001</v>
      </c>
      <c r="W4451">
        <v>5.6402599999999997E-2</v>
      </c>
      <c r="X4451">
        <v>0.98310569999999897</v>
      </c>
      <c r="Y4451">
        <v>-0.11750149999999999</v>
      </c>
      <c r="Z4451">
        <v>7.4867639999999999E-2</v>
      </c>
      <c r="AA4451">
        <v>0.99024650000000003</v>
      </c>
      <c r="AB4451">
        <v>38</v>
      </c>
      <c r="AC4451">
        <v>1.5414999999999801</v>
      </c>
      <c r="AD4451">
        <v>-1.1062152199969999</v>
      </c>
      <c r="AE4451">
        <v>-14.2735599999999</v>
      </c>
      <c r="AF4451">
        <v>-1.72312315711895</v>
      </c>
      <c r="AG4451">
        <v>-1.1062152199969999</v>
      </c>
      <c r="AH4451">
        <v>14.167419826141099</v>
      </c>
      <c r="AI4451">
        <v>94.432159004622207</v>
      </c>
      <c r="AJ4451">
        <v>96.934582371367895</v>
      </c>
      <c r="AK4451">
        <v>14.3146306294535</v>
      </c>
    </row>
    <row r="4452" spans="1:37" x14ac:dyDescent="0.2">
      <c r="A4452" t="str">
        <f>"20200111153740726"</f>
        <v>20200111153740726</v>
      </c>
      <c r="B4452" t="str">
        <f>"1578728260717424"</f>
        <v>1578728260717424</v>
      </c>
      <c r="C4452" t="s">
        <v>37</v>
      </c>
      <c r="D4452">
        <v>5.9955220000000002</v>
      </c>
      <c r="E4452">
        <v>0.51950429999999903</v>
      </c>
      <c r="F4452" t="s">
        <v>39</v>
      </c>
      <c r="G4452">
        <v>-420.81349999999998</v>
      </c>
      <c r="H4452" s="1">
        <v>-1.993737E-6</v>
      </c>
      <c r="I4452">
        <v>53.73198</v>
      </c>
      <c r="J4452">
        <v>-422.37740000000002</v>
      </c>
      <c r="K4452">
        <v>1.106212</v>
      </c>
      <c r="L4452">
        <v>68.125699999999995</v>
      </c>
      <c r="M4452">
        <v>-1.202042E-2</v>
      </c>
      <c r="N4452">
        <v>0</v>
      </c>
      <c r="O4452">
        <v>-0.999828099999999</v>
      </c>
      <c r="P4452">
        <v>0.16192699999999999</v>
      </c>
      <c r="Q4452">
        <v>4.3895780000000002E-2</v>
      </c>
      <c r="R4452">
        <v>-0.98582630000000004</v>
      </c>
      <c r="S4452">
        <v>0.3164978</v>
      </c>
      <c r="T4452">
        <v>-0.22444149999999999</v>
      </c>
      <c r="U4452">
        <v>-3.0006710000000001</v>
      </c>
      <c r="V4452">
        <v>-0.1739676</v>
      </c>
      <c r="W4452">
        <v>5.7184310000000002E-2</v>
      </c>
      <c r="X4452">
        <v>0.98308960000000001</v>
      </c>
      <c r="Y4452">
        <v>-0.1165529</v>
      </c>
      <c r="Z4452">
        <v>7.4121980000000004E-2</v>
      </c>
      <c r="AA4452">
        <v>0.99041469999999898</v>
      </c>
      <c r="AB4452">
        <v>38</v>
      </c>
      <c r="AC4452">
        <v>1.56390000000004</v>
      </c>
      <c r="AD4452">
        <v>-1.1062139937369999</v>
      </c>
      <c r="AE4452">
        <v>-14.393719999999901</v>
      </c>
      <c r="AF4452">
        <v>-1.7267427349865001</v>
      </c>
      <c r="AG4452">
        <v>-1.1062139937369999</v>
      </c>
      <c r="AH4452">
        <v>14.290457109744599</v>
      </c>
      <c r="AI4452">
        <v>94.394559624516901</v>
      </c>
      <c r="AJ4452">
        <v>96.889755133111706</v>
      </c>
      <c r="AK4452">
        <v>14.4368457177536</v>
      </c>
    </row>
    <row r="4453" spans="1:37" x14ac:dyDescent="0.2">
      <c r="A4453" t="str">
        <f>"20200111153740747"</f>
        <v>20200111153740747</v>
      </c>
      <c r="B4453" t="str">
        <f>"1578728260737920"</f>
        <v>1578728260737920</v>
      </c>
      <c r="C4453" t="s">
        <v>37</v>
      </c>
      <c r="D4453">
        <v>5.9982959999999999</v>
      </c>
      <c r="E4453">
        <v>0.51996989999999998</v>
      </c>
      <c r="F4453" t="s">
        <v>39</v>
      </c>
      <c r="G4453">
        <v>-420.8159</v>
      </c>
      <c r="H4453" s="1">
        <v>-1.8233899999999999E-6</v>
      </c>
      <c r="I4453">
        <v>53.33343</v>
      </c>
      <c r="J4453">
        <v>-422.38060000000002</v>
      </c>
      <c r="K4453">
        <v>1.1062080000000001</v>
      </c>
      <c r="L4453">
        <v>67.754149999999996</v>
      </c>
      <c r="M4453">
        <v>-1.068244E-2</v>
      </c>
      <c r="N4453">
        <v>0</v>
      </c>
      <c r="O4453">
        <v>-0.99984300000000004</v>
      </c>
      <c r="P4453">
        <v>0.16362260000000001</v>
      </c>
      <c r="Q4453">
        <v>4.560409E-2</v>
      </c>
      <c r="R4453">
        <v>-0.98546809999999996</v>
      </c>
      <c r="S4453">
        <v>0.316803</v>
      </c>
      <c r="T4453">
        <v>-0.22443170000000001</v>
      </c>
      <c r="U4453">
        <v>-3.001099</v>
      </c>
      <c r="V4453">
        <v>-0.1743478</v>
      </c>
      <c r="W4453">
        <v>5.8892310000000003E-2</v>
      </c>
      <c r="X4453">
        <v>0.98292139999999995</v>
      </c>
      <c r="Y4453">
        <v>-0.1153087</v>
      </c>
      <c r="Z4453">
        <v>7.4115020000000004E-2</v>
      </c>
      <c r="AA4453">
        <v>0.99056089999999997</v>
      </c>
      <c r="AB4453">
        <v>38</v>
      </c>
      <c r="AC4453">
        <v>1.56470000000001</v>
      </c>
      <c r="AD4453">
        <v>-1.10620982339</v>
      </c>
      <c r="AE4453">
        <v>-14.4207199999999</v>
      </c>
      <c r="AF4453">
        <v>-1.7087367076369799</v>
      </c>
      <c r="AG4453">
        <v>-1.10620982339</v>
      </c>
      <c r="AH4453">
        <v>14.319897219000101</v>
      </c>
      <c r="AI4453">
        <v>94.386322449324197</v>
      </c>
      <c r="AJ4453">
        <v>96.804703795611701</v>
      </c>
      <c r="AK4453">
        <v>14.463849337991499</v>
      </c>
    </row>
    <row r="4454" spans="1:37" x14ac:dyDescent="0.2">
      <c r="A4454" t="str">
        <f>"20200111153740769"</f>
        <v>20200111153740769</v>
      </c>
      <c r="B4454" t="str">
        <f>"1578728260757441"</f>
        <v>1578728260757441</v>
      </c>
      <c r="C4454" t="s">
        <v>37</v>
      </c>
      <c r="D4454">
        <v>5.9003839999999999</v>
      </c>
      <c r="E4454">
        <v>0.52030480000000001</v>
      </c>
      <c r="F4454" t="s">
        <v>39</v>
      </c>
      <c r="G4454">
        <v>-420.79430000000002</v>
      </c>
      <c r="H4454" s="1">
        <v>-1.5816399999999899E-6</v>
      </c>
      <c r="I4454">
        <v>52.78331</v>
      </c>
      <c r="J4454">
        <v>-422.38330000000002</v>
      </c>
      <c r="K4454">
        <v>1.1061989999999999</v>
      </c>
      <c r="L4454">
        <v>67.377080000000007</v>
      </c>
      <c r="M4454">
        <v>-9.333872E-3</v>
      </c>
      <c r="N4454">
        <v>0</v>
      </c>
      <c r="O4454">
        <v>-0.99985669999999904</v>
      </c>
      <c r="P4454">
        <v>0.16555300000000001</v>
      </c>
      <c r="Q4454">
        <v>4.6549439999999997E-2</v>
      </c>
      <c r="R4454">
        <v>-0.98510209999999998</v>
      </c>
      <c r="S4454">
        <v>0.31805420000000001</v>
      </c>
      <c r="T4454">
        <v>-0.22179670000000001</v>
      </c>
      <c r="U4454">
        <v>-3.0016780000000001</v>
      </c>
      <c r="V4454">
        <v>-0.17494960000000001</v>
      </c>
      <c r="W4454">
        <v>5.9837649999999999E-2</v>
      </c>
      <c r="X4454">
        <v>0.9827574</v>
      </c>
      <c r="Y4454">
        <v>-0.1143641</v>
      </c>
      <c r="Z4454">
        <v>7.3239509999999994E-2</v>
      </c>
      <c r="AA4454">
        <v>0.99073549999999999</v>
      </c>
      <c r="AB4454">
        <v>38</v>
      </c>
      <c r="AC4454">
        <v>1.58899999999999</v>
      </c>
      <c r="AD4454">
        <v>-1.10620058163999</v>
      </c>
      <c r="AE4454">
        <v>-14.593769999999999</v>
      </c>
      <c r="AF4454">
        <v>-1.7154201538179501</v>
      </c>
      <c r="AG4454">
        <v>-1.10620058163999</v>
      </c>
      <c r="AH4454">
        <v>14.495989321899</v>
      </c>
      <c r="AI4454">
        <v>94.333707112804404</v>
      </c>
      <c r="AJ4454">
        <v>96.748856947500599</v>
      </c>
      <c r="AK4454">
        <v>14.6389908276341</v>
      </c>
    </row>
    <row r="4455" spans="1:37" x14ac:dyDescent="0.2">
      <c r="A4455" t="str">
        <f>"20200111153740792"</f>
        <v>20200111153740792</v>
      </c>
      <c r="B4455" t="str">
        <f>"1578728260787698"</f>
        <v>1578728260787698</v>
      </c>
      <c r="C4455" t="s">
        <v>37</v>
      </c>
      <c r="D4455">
        <v>5.9884510000000004</v>
      </c>
      <c r="E4455">
        <v>0.52070260000000002</v>
      </c>
      <c r="F4455" t="s">
        <v>39</v>
      </c>
      <c r="G4455">
        <v>-420.78339999999997</v>
      </c>
      <c r="H4455" s="1">
        <v>-1.4228799999999901E-6</v>
      </c>
      <c r="I4455">
        <v>52.42</v>
      </c>
      <c r="J4455">
        <v>-422.38560000000001</v>
      </c>
      <c r="K4455">
        <v>1.106179</v>
      </c>
      <c r="L4455">
        <v>66.993440000000007</v>
      </c>
      <c r="M4455">
        <v>-7.9809819999999993E-3</v>
      </c>
      <c r="N4455">
        <v>0</v>
      </c>
      <c r="O4455">
        <v>-0.99986819999999899</v>
      </c>
      <c r="P4455">
        <v>0.16795060000000001</v>
      </c>
      <c r="Q4455">
        <v>4.6752920000000003E-2</v>
      </c>
      <c r="R4455">
        <v>-0.98468630000000001</v>
      </c>
      <c r="S4455">
        <v>0.321106</v>
      </c>
      <c r="T4455">
        <v>-0.22201499999999999</v>
      </c>
      <c r="U4455">
        <v>-3.0018919999999998</v>
      </c>
      <c r="V4455">
        <v>-0.17601149999999999</v>
      </c>
      <c r="W4455">
        <v>6.0040410000000002E-2</v>
      </c>
      <c r="X4455">
        <v>0.98255539999999997</v>
      </c>
      <c r="Y4455">
        <v>-0.114008</v>
      </c>
      <c r="Z4455">
        <v>7.3304919999999996E-2</v>
      </c>
      <c r="AA4455">
        <v>0.99077169999999903</v>
      </c>
      <c r="AB4455">
        <v>38</v>
      </c>
      <c r="AC4455">
        <v>1.60220000000003</v>
      </c>
      <c r="AD4455">
        <v>-1.1061804228799901</v>
      </c>
      <c r="AE4455">
        <v>-14.57344</v>
      </c>
      <c r="AF4455">
        <v>-1.7087437697357399</v>
      </c>
      <c r="AG4455">
        <v>-1.1061804228799901</v>
      </c>
      <c r="AH4455">
        <v>14.4777713141044</v>
      </c>
      <c r="AI4455">
        <v>94.339218127087307</v>
      </c>
      <c r="AJ4455">
        <v>96.731213456292096</v>
      </c>
      <c r="AK4455">
        <v>14.6201676673723</v>
      </c>
    </row>
    <row r="4456" spans="1:37" x14ac:dyDescent="0.2">
      <c r="A4456" t="str">
        <f>"20200111153740815"</f>
        <v>20200111153740815</v>
      </c>
      <c r="B4456" t="str">
        <f>"1578728260807216"</f>
        <v>1578728260807216</v>
      </c>
      <c r="C4456" t="s">
        <v>37</v>
      </c>
      <c r="D4456">
        <v>6.0598039999999997</v>
      </c>
      <c r="E4456">
        <v>0.52094700000000005</v>
      </c>
      <c r="F4456" t="s">
        <v>39</v>
      </c>
      <c r="G4456">
        <v>-420.78179999999998</v>
      </c>
      <c r="H4456" s="1">
        <v>-1.3142009999999899E-6</v>
      </c>
      <c r="I4456">
        <v>52.167639999999999</v>
      </c>
      <c r="J4456">
        <v>-422.38740000000001</v>
      </c>
      <c r="K4456">
        <v>1.1061540000000001</v>
      </c>
      <c r="L4456">
        <v>66.597470000000001</v>
      </c>
      <c r="M4456">
        <v>-6.6164240000000001E-3</v>
      </c>
      <c r="N4456">
        <v>0</v>
      </c>
      <c r="O4456">
        <v>-0.9998785</v>
      </c>
      <c r="P4456">
        <v>0.17068910000000001</v>
      </c>
      <c r="Q4456">
        <v>4.6467300000000003E-2</v>
      </c>
      <c r="R4456">
        <v>-0.98422880000000001</v>
      </c>
      <c r="S4456">
        <v>0.32473750000000001</v>
      </c>
      <c r="T4456">
        <v>-0.22397689999999901</v>
      </c>
      <c r="U4456">
        <v>-3.0018919999999998</v>
      </c>
      <c r="V4456">
        <v>-0.17740029999999901</v>
      </c>
      <c r="W4456">
        <v>5.9757209999999998E-2</v>
      </c>
      <c r="X4456">
        <v>0.982322899999999</v>
      </c>
      <c r="Y4456">
        <v>-0.113831999999999</v>
      </c>
      <c r="Z4456">
        <v>7.3946280000000003E-2</v>
      </c>
      <c r="AA4456">
        <v>0.99074430000000002</v>
      </c>
      <c r="AB4456">
        <v>38</v>
      </c>
      <c r="AC4456">
        <v>1.6056000000000299</v>
      </c>
      <c r="AD4456">
        <v>-1.1061553142010001</v>
      </c>
      <c r="AE4456">
        <v>-14.4298299999999</v>
      </c>
      <c r="AF4456">
        <v>-1.69123145661358</v>
      </c>
      <c r="AG4456">
        <v>-1.1061553142010001</v>
      </c>
      <c r="AH4456">
        <v>14.335678056211799</v>
      </c>
      <c r="AI4456">
        <v>94.3819883526495</v>
      </c>
      <c r="AJ4456">
        <v>96.728289757156006</v>
      </c>
      <c r="AK4456">
        <v>14.4774137452214</v>
      </c>
    </row>
    <row r="4457" spans="1:37" x14ac:dyDescent="0.2">
      <c r="A4457" t="str">
        <f>"20200111153740837"</f>
        <v>20200111153740837</v>
      </c>
      <c r="B4457" t="str">
        <f>"1578728260827713"</f>
        <v>1578728260827713</v>
      </c>
      <c r="C4457" t="s">
        <v>37</v>
      </c>
      <c r="D4457">
        <v>6.0850269999999904</v>
      </c>
      <c r="E4457">
        <v>0.52091889999999996</v>
      </c>
      <c r="F4457" t="s">
        <v>39</v>
      </c>
      <c r="G4457">
        <v>-420.75670000000002</v>
      </c>
      <c r="H4457" s="1">
        <v>-1.155286E-6</v>
      </c>
      <c r="I4457">
        <v>51.812750000000001</v>
      </c>
      <c r="J4457">
        <v>-422.38869999999997</v>
      </c>
      <c r="K4457">
        <v>1.1061209999999999</v>
      </c>
      <c r="L4457">
        <v>66.217010000000002</v>
      </c>
      <c r="M4457">
        <v>-5.3512769999999998E-3</v>
      </c>
      <c r="N4457">
        <v>0</v>
      </c>
      <c r="O4457">
        <v>-0.99988600000000005</v>
      </c>
      <c r="P4457">
        <v>0.1739588</v>
      </c>
      <c r="Q4457">
        <v>4.5647800000000002E-2</v>
      </c>
      <c r="R4457">
        <v>-0.98369459999999997</v>
      </c>
      <c r="S4457">
        <v>0.33102419999999999</v>
      </c>
      <c r="T4457">
        <v>-0.2245481</v>
      </c>
      <c r="U4457">
        <v>-3.0012819999999998</v>
      </c>
      <c r="V4457">
        <v>-0.1794144</v>
      </c>
      <c r="W4457">
        <v>5.8940869999999999E-2</v>
      </c>
      <c r="X4457">
        <v>0.98200639999999995</v>
      </c>
      <c r="Y4457">
        <v>-0.114645699999999</v>
      </c>
      <c r="Z4457">
        <v>7.4137739999999994E-2</v>
      </c>
      <c r="AA4457">
        <v>0.99063609999999902</v>
      </c>
      <c r="AB4457">
        <v>38</v>
      </c>
      <c r="AC4457">
        <v>1.6319999999999399</v>
      </c>
      <c r="AD4457">
        <v>-1.1061221552860001</v>
      </c>
      <c r="AE4457">
        <v>-14.404260000000001</v>
      </c>
      <c r="AF4457">
        <v>-1.6991726278525101</v>
      </c>
      <c r="AG4457">
        <v>-1.1061221552860001</v>
      </c>
      <c r="AH4457">
        <v>14.311992725175299</v>
      </c>
      <c r="AI4457">
        <v>94.3886981238537</v>
      </c>
      <c r="AJ4457">
        <v>96.770673630368705</v>
      </c>
      <c r="AK4457">
        <v>14.454889470595401</v>
      </c>
    </row>
    <row r="4458" spans="1:37" x14ac:dyDescent="0.2">
      <c r="A4458" t="str">
        <f>"20200111153740858"</f>
        <v>20200111153740858</v>
      </c>
      <c r="B4458" t="str">
        <f>"1578728260848100"</f>
        <v>1578728260848100</v>
      </c>
      <c r="C4458" t="s">
        <v>37</v>
      </c>
      <c r="D4458">
        <v>5.6505039999999997</v>
      </c>
      <c r="E4458">
        <v>0.47387219999999902</v>
      </c>
      <c r="F4458" t="s">
        <v>39</v>
      </c>
      <c r="G4458">
        <v>-420.72620000000001</v>
      </c>
      <c r="H4458" s="1">
        <v>-1.054421E-6</v>
      </c>
      <c r="I4458">
        <v>51.596559999999997</v>
      </c>
      <c r="J4458">
        <v>-422.38959999999997</v>
      </c>
      <c r="K4458">
        <v>1.1060760000000001</v>
      </c>
      <c r="L4458">
        <v>65.854519999999994</v>
      </c>
      <c r="M4458">
        <v>-4.2046119999999999E-3</v>
      </c>
      <c r="N4458">
        <v>0</v>
      </c>
      <c r="O4458">
        <v>-0.99989159999999899</v>
      </c>
      <c r="P4458">
        <v>0.17860379999999901</v>
      </c>
      <c r="Q4458">
        <v>4.5331459999999997E-2</v>
      </c>
      <c r="R4458">
        <v>-0.98287659999999999</v>
      </c>
      <c r="S4458">
        <v>0.34112550000000003</v>
      </c>
      <c r="T4458">
        <v>-0.22696279999999899</v>
      </c>
      <c r="U4458">
        <v>-2.9999389999999999</v>
      </c>
      <c r="V4458">
        <v>-0.1829211</v>
      </c>
      <c r="W4458">
        <v>5.8623840000000003E-2</v>
      </c>
      <c r="X4458">
        <v>0.98137819999999998</v>
      </c>
      <c r="Y4458">
        <v>-0.1168421</v>
      </c>
      <c r="Z4458">
        <v>7.4940729999999997E-2</v>
      </c>
      <c r="AA4458">
        <v>0.99031909999999901</v>
      </c>
      <c r="AB4458">
        <v>38</v>
      </c>
      <c r="AC4458">
        <v>1.66339999999996</v>
      </c>
      <c r="AD4458">
        <v>-1.1060770544209999</v>
      </c>
      <c r="AE4458">
        <v>-14.257959999999899</v>
      </c>
      <c r="AF4458">
        <v>-1.7131689521284099</v>
      </c>
      <c r="AG4458">
        <v>-1.1060770544209999</v>
      </c>
      <c r="AH4458">
        <v>14.1667279889569</v>
      </c>
      <c r="AI4458">
        <v>94.432190776156801</v>
      </c>
      <c r="AJ4458">
        <v>96.895242614650897</v>
      </c>
      <c r="AK4458">
        <v>14.312740346347001</v>
      </c>
    </row>
    <row r="4459" spans="1:37" x14ac:dyDescent="0.2">
      <c r="A4459" t="str">
        <f>"20200111153740882"</f>
        <v>20200111153740882</v>
      </c>
      <c r="B4459" t="str">
        <f>"1578728260877381"</f>
        <v>1578728260877381</v>
      </c>
      <c r="C4459" t="s">
        <v>37</v>
      </c>
      <c r="D4459">
        <v>5.9416580000000003</v>
      </c>
      <c r="E4459">
        <v>0.43107519999999999</v>
      </c>
      <c r="F4459" t="s">
        <v>39</v>
      </c>
      <c r="G4459">
        <v>-418.38249999999999</v>
      </c>
      <c r="H4459" s="1">
        <v>-4.3556509999999898E-7</v>
      </c>
      <c r="I4459">
        <v>49.663290000000003</v>
      </c>
      <c r="J4459">
        <v>-422.39</v>
      </c>
      <c r="K4459">
        <v>1.1060110000000001</v>
      </c>
      <c r="L4459">
        <v>65.469880000000003</v>
      </c>
      <c r="M4459">
        <v>-3.0656749999999999E-3</v>
      </c>
      <c r="N4459">
        <v>0</v>
      </c>
      <c r="O4459">
        <v>-0.99989539999999999</v>
      </c>
      <c r="P4459">
        <v>0.18417510000000001</v>
      </c>
      <c r="Q4459">
        <v>4.6153630000000001E-2</v>
      </c>
      <c r="R4459">
        <v>-0.98180900000000004</v>
      </c>
      <c r="S4459">
        <v>0.72506709999999996</v>
      </c>
      <c r="T4459">
        <v>-0.2001386</v>
      </c>
      <c r="U4459">
        <v>-2.9297179999999998</v>
      </c>
      <c r="V4459">
        <v>-0.187364</v>
      </c>
      <c r="W4459">
        <v>5.9451619999999997E-2</v>
      </c>
      <c r="X4459">
        <v>0.98048979999999997</v>
      </c>
      <c r="Y4459">
        <v>-0.24268789999999901</v>
      </c>
      <c r="Z4459">
        <v>6.6141989999999998E-2</v>
      </c>
      <c r="AA4459">
        <v>0.96784699999999901</v>
      </c>
      <c r="AB4459">
        <v>38</v>
      </c>
      <c r="AC4459">
        <v>4.0074999999999896</v>
      </c>
      <c r="AD4459">
        <v>-1.1060114355651001</v>
      </c>
      <c r="AE4459">
        <v>-15.80659</v>
      </c>
      <c r="AF4459">
        <v>-4.0373707092789299</v>
      </c>
      <c r="AG4459">
        <v>-1.1060114355651001</v>
      </c>
      <c r="AH4459">
        <v>15.7219031301636</v>
      </c>
      <c r="AI4459">
        <v>93.897972937359697</v>
      </c>
      <c r="AJ4459">
        <v>104.40229778887399</v>
      </c>
      <c r="AK4459">
        <v>16.269660770095701</v>
      </c>
    </row>
    <row r="4460" spans="1:37" x14ac:dyDescent="0.2">
      <c r="A4460" t="str">
        <f>"20200111153740903"</f>
        <v>20200111153740903</v>
      </c>
      <c r="B4460" t="str">
        <f>"1578728260897879"</f>
        <v>1578728260897879</v>
      </c>
      <c r="C4460" t="s">
        <v>37</v>
      </c>
      <c r="D4460">
        <v>5.8516379999999897</v>
      </c>
      <c r="E4460">
        <v>0.43334799999999901</v>
      </c>
      <c r="F4460" t="s">
        <v>39</v>
      </c>
      <c r="G4460">
        <v>-418.45260000000002</v>
      </c>
      <c r="H4460" s="1">
        <v>-2.5498959999999998E-6</v>
      </c>
      <c r="I4460">
        <v>54.936819999999997</v>
      </c>
      <c r="J4460">
        <v>-422.39010000000002</v>
      </c>
      <c r="K4460">
        <v>1.1059680000000001</v>
      </c>
      <c r="L4460">
        <v>65.076779999999999</v>
      </c>
      <c r="M4460">
        <v>-2.0025989999999999E-3</v>
      </c>
      <c r="N4460">
        <v>0</v>
      </c>
      <c r="O4460">
        <v>-0.99989680000000003</v>
      </c>
      <c r="P4460">
        <v>0.1902981</v>
      </c>
      <c r="Q4460">
        <v>4.6241409999999997E-2</v>
      </c>
      <c r="R4460">
        <v>-0.98063709999999904</v>
      </c>
      <c r="S4460">
        <v>1.072327</v>
      </c>
      <c r="T4460">
        <v>-0.30121359999999903</v>
      </c>
      <c r="U4460">
        <v>-2.8685909999999999</v>
      </c>
      <c r="V4460">
        <v>-0.1924313</v>
      </c>
      <c r="W4460">
        <v>5.966105E-2</v>
      </c>
      <c r="X4460">
        <v>0.97949519999999901</v>
      </c>
      <c r="Y4460">
        <v>-0.35034609999999999</v>
      </c>
      <c r="Z4460">
        <v>9.7848450000000003E-2</v>
      </c>
      <c r="AA4460">
        <v>0.93149519999999997</v>
      </c>
      <c r="AB4460">
        <v>38</v>
      </c>
      <c r="AC4460">
        <v>3.9375</v>
      </c>
      <c r="AD4460">
        <v>-1.105970549896</v>
      </c>
      <c r="AE4460">
        <v>-10.13996</v>
      </c>
      <c r="AF4460">
        <v>-3.9173049607557902</v>
      </c>
      <c r="AG4460">
        <v>-1.105970549896</v>
      </c>
      <c r="AH4460">
        <v>10.0283843609811</v>
      </c>
      <c r="AI4460">
        <v>95.865134808059693</v>
      </c>
      <c r="AJ4460">
        <v>111.336697296103</v>
      </c>
      <c r="AK4460">
        <v>10.822982116975499</v>
      </c>
    </row>
    <row r="4461" spans="1:37" x14ac:dyDescent="0.2">
      <c r="A4461" t="str">
        <f>"20200111153740926"</f>
        <v>20200111153740926</v>
      </c>
      <c r="B4461" t="str">
        <f>"1578728260917396"</f>
        <v>1578728260917396</v>
      </c>
      <c r="C4461" t="s">
        <v>37</v>
      </c>
      <c r="D4461">
        <v>5.8113460000000003</v>
      </c>
      <c r="E4461">
        <v>0.43573849999999997</v>
      </c>
      <c r="F4461" t="s">
        <v>39</v>
      </c>
      <c r="G4461">
        <v>-418.46289999999999</v>
      </c>
      <c r="H4461" s="1">
        <v>-2.39112599999999E-6</v>
      </c>
      <c r="I4461">
        <v>54.570969999999903</v>
      </c>
      <c r="J4461">
        <v>-422.38990000000001</v>
      </c>
      <c r="K4461">
        <v>1.105953</v>
      </c>
      <c r="L4461">
        <v>64.7012</v>
      </c>
      <c r="M4461">
        <v>-1.062686E-3</v>
      </c>
      <c r="N4461">
        <v>0</v>
      </c>
      <c r="O4461">
        <v>-0.99989430000000001</v>
      </c>
      <c r="P4461">
        <v>0.1974669</v>
      </c>
      <c r="Q4461">
        <v>4.6030260000000003E-2</v>
      </c>
      <c r="R4461">
        <v>-0.97922849999999995</v>
      </c>
      <c r="S4461">
        <v>1.0711979999999901</v>
      </c>
      <c r="T4461">
        <v>-0.30166509999999902</v>
      </c>
      <c r="U4461">
        <v>-2.86557</v>
      </c>
      <c r="V4461">
        <v>-0.19866679999999901</v>
      </c>
      <c r="W4461">
        <v>5.9702459999999999E-2</v>
      </c>
      <c r="X4461">
        <v>0.97824699999999998</v>
      </c>
      <c r="Y4461">
        <v>-0.34945720000000002</v>
      </c>
      <c r="Z4461">
        <v>9.8112980000000002E-2</v>
      </c>
      <c r="AA4461">
        <v>0.931801199999999</v>
      </c>
      <c r="AB4461">
        <v>38</v>
      </c>
      <c r="AC4461">
        <v>3.92700000000002</v>
      </c>
      <c r="AD4461">
        <v>-1.1059553911260001</v>
      </c>
      <c r="AE4461">
        <v>-10.130229999999999</v>
      </c>
      <c r="AF4461">
        <v>-3.89738027551912</v>
      </c>
      <c r="AG4461">
        <v>-1.1059553911260001</v>
      </c>
      <c r="AH4461">
        <v>10.0222025691843</v>
      </c>
      <c r="AI4461">
        <v>95.872093327516495</v>
      </c>
      <c r="AJ4461">
        <v>111.249795652831</v>
      </c>
      <c r="AK4461">
        <v>10.8100534076817</v>
      </c>
    </row>
    <row r="4462" spans="1:37" x14ac:dyDescent="0.2">
      <c r="A4462" t="str">
        <f>"20200111153740947"</f>
        <v>20200111153740947</v>
      </c>
      <c r="B4462" t="str">
        <f>"1578728260937895"</f>
        <v>1578728260937895</v>
      </c>
      <c r="C4462" t="s">
        <v>37</v>
      </c>
      <c r="D4462">
        <v>5.8589019999999996</v>
      </c>
      <c r="E4462">
        <v>0.4374536</v>
      </c>
      <c r="F4462" t="s">
        <v>39</v>
      </c>
      <c r="G4462">
        <v>-418.47199999999998</v>
      </c>
      <c r="H4462" s="1">
        <v>-2.250405E-6</v>
      </c>
      <c r="I4462">
        <v>54.24671</v>
      </c>
      <c r="J4462">
        <v>-422.38940000000002</v>
      </c>
      <c r="K4462">
        <v>1.105942</v>
      </c>
      <c r="L4462">
        <v>64.335449999999994</v>
      </c>
      <c r="M4462">
        <v>-2.16120999999999E-4</v>
      </c>
      <c r="N4462">
        <v>0</v>
      </c>
      <c r="O4462">
        <v>-0.99989059999999896</v>
      </c>
      <c r="P4462">
        <v>0.2046916</v>
      </c>
      <c r="Q4462">
        <v>4.4487150000000003E-2</v>
      </c>
      <c r="R4462">
        <v>-0.97781549999999995</v>
      </c>
      <c r="S4462">
        <v>1.0724180000000001</v>
      </c>
      <c r="T4462">
        <v>-0.30272179999999999</v>
      </c>
      <c r="U4462">
        <v>-2.8616029999999899</v>
      </c>
      <c r="V4462">
        <v>-0.20504919999999999</v>
      </c>
      <c r="W4462">
        <v>5.8447249999999999E-2</v>
      </c>
      <c r="X4462">
        <v>0.97700499999999901</v>
      </c>
      <c r="Y4462">
        <v>-0.34942089999999998</v>
      </c>
      <c r="Z4462">
        <v>9.8573380000000002E-2</v>
      </c>
      <c r="AA4462">
        <v>0.93176630000000005</v>
      </c>
      <c r="AB4462">
        <v>38</v>
      </c>
      <c r="AC4462">
        <v>3.9174000000000402</v>
      </c>
      <c r="AD4462">
        <v>-1.1059442504050001</v>
      </c>
      <c r="AE4462">
        <v>-10.0887399999999</v>
      </c>
      <c r="AF4462">
        <v>-3.87907343506693</v>
      </c>
      <c r="AG4462">
        <v>-1.1059442504050001</v>
      </c>
      <c r="AH4462">
        <v>9.98363920562341</v>
      </c>
      <c r="AI4462">
        <v>95.895212268572607</v>
      </c>
      <c r="AJ4462">
        <v>111.23329048779</v>
      </c>
      <c r="AK4462">
        <v>10.767700552472</v>
      </c>
    </row>
    <row r="4463" spans="1:37" x14ac:dyDescent="0.2">
      <c r="A4463" t="str">
        <f>"20200111153740970"</f>
        <v>20200111153740970</v>
      </c>
      <c r="B4463" t="str">
        <f>"1578728260957416"</f>
        <v>1578728260957416</v>
      </c>
      <c r="C4463" t="s">
        <v>37</v>
      </c>
      <c r="D4463">
        <v>5.8193320000000002</v>
      </c>
      <c r="E4463">
        <v>0.43890279999999998</v>
      </c>
      <c r="F4463" t="s">
        <v>39</v>
      </c>
      <c r="G4463">
        <v>-418.51639999999998</v>
      </c>
      <c r="H4463" s="1">
        <v>-2.171833E-6</v>
      </c>
      <c r="I4463">
        <v>54.081899999999997</v>
      </c>
      <c r="J4463">
        <v>-422.38869999999997</v>
      </c>
      <c r="K4463">
        <v>1.105912</v>
      </c>
      <c r="L4463">
        <v>63.959989999999998</v>
      </c>
      <c r="M4463">
        <v>5.7777049999999997E-4</v>
      </c>
      <c r="N4463">
        <v>0</v>
      </c>
      <c r="O4463">
        <v>-0.99988619999999995</v>
      </c>
      <c r="P4463">
        <v>0.2129992</v>
      </c>
      <c r="Q4463">
        <v>4.2868389999999999E-2</v>
      </c>
      <c r="R4463">
        <v>-0.97611159999999997</v>
      </c>
      <c r="S4463">
        <v>1.0788879999999901</v>
      </c>
      <c r="T4463">
        <v>-0.30807220000000002</v>
      </c>
      <c r="U4463">
        <v>-2.8562319999999999</v>
      </c>
      <c r="V4463">
        <v>-0.2125697</v>
      </c>
      <c r="W4463">
        <v>5.709148E-2</v>
      </c>
      <c r="X4463">
        <v>0.97547669999999997</v>
      </c>
      <c r="Y4463">
        <v>-0.35103640000000003</v>
      </c>
      <c r="Z4463">
        <v>0.10040199999999901</v>
      </c>
      <c r="AA4463">
        <v>0.9309634</v>
      </c>
      <c r="AB4463">
        <v>38</v>
      </c>
      <c r="AC4463">
        <v>3.8722999999999899</v>
      </c>
      <c r="AD4463">
        <v>-1.1059141718329999</v>
      </c>
      <c r="AE4463">
        <v>-9.8780900000000091</v>
      </c>
      <c r="AF4463">
        <v>-3.8250338623821598</v>
      </c>
      <c r="AG4463">
        <v>-1.1059141718329999</v>
      </c>
      <c r="AH4463">
        <v>9.7741335715265993</v>
      </c>
      <c r="AI4463">
        <v>96.014833135559897</v>
      </c>
      <c r="AJ4463">
        <v>111.37251791214899</v>
      </c>
      <c r="AK4463">
        <v>10.5540332232694</v>
      </c>
    </row>
    <row r="4464" spans="1:37" x14ac:dyDescent="0.2">
      <c r="A4464" t="str">
        <f>"20200111153740993"</f>
        <v>20200111153740993</v>
      </c>
      <c r="B4464" t="str">
        <f>"1578728260987672"</f>
        <v>1578728260987672</v>
      </c>
      <c r="C4464" t="s">
        <v>37</v>
      </c>
      <c r="D4464">
        <v>5.9494400000000001</v>
      </c>
      <c r="E4464">
        <v>0.43978289999999998</v>
      </c>
      <c r="F4464" t="s">
        <v>39</v>
      </c>
      <c r="G4464">
        <v>-418.52839999999998</v>
      </c>
      <c r="H4464" s="1">
        <v>-2.0818269999999998E-6</v>
      </c>
      <c r="I4464">
        <v>53.877079999999999</v>
      </c>
      <c r="J4464">
        <v>-422.38760000000002</v>
      </c>
      <c r="K4464">
        <v>1.1058889999999999</v>
      </c>
      <c r="L4464">
        <v>63.576479999999997</v>
      </c>
      <c r="M4464">
        <v>1.3182489999999901E-3</v>
      </c>
      <c r="N4464">
        <v>0</v>
      </c>
      <c r="O4464">
        <v>-0.99988099999999902</v>
      </c>
      <c r="P4464">
        <v>0.2210357</v>
      </c>
      <c r="Q4464">
        <v>4.1209929999999999E-2</v>
      </c>
      <c r="R4464">
        <v>-0.97439489999999995</v>
      </c>
      <c r="S4464">
        <v>1.0907899999999999</v>
      </c>
      <c r="T4464">
        <v>-0.31249749999999998</v>
      </c>
      <c r="U4464">
        <v>-2.8491209999999998</v>
      </c>
      <c r="V4464">
        <v>-0.2198734</v>
      </c>
      <c r="W4464">
        <v>5.5708470000000003E-2</v>
      </c>
      <c r="X4464">
        <v>0.97393649999999998</v>
      </c>
      <c r="Y4464">
        <v>-0.35445019999999999</v>
      </c>
      <c r="Z4464">
        <v>0.1019231</v>
      </c>
      <c r="AA4464">
        <v>0.92950350000000004</v>
      </c>
      <c r="AB4464">
        <v>38</v>
      </c>
      <c r="AC4464">
        <v>3.8592000000000399</v>
      </c>
      <c r="AD4464">
        <v>-1.10589108182699</v>
      </c>
      <c r="AE4464">
        <v>-9.69939999999999</v>
      </c>
      <c r="AF4464">
        <v>-3.8037196004155698</v>
      </c>
      <c r="AG4464">
        <v>-1.10589108182699</v>
      </c>
      <c r="AH4464">
        <v>9.5967745396277202</v>
      </c>
      <c r="AI4464">
        <v>96.114651969995606</v>
      </c>
      <c r="AJ4464">
        <v>111.621094884874</v>
      </c>
      <c r="AK4464">
        <v>10.382165450805299</v>
      </c>
    </row>
    <row r="4465" spans="1:37" x14ac:dyDescent="0.2">
      <c r="A4465" t="str">
        <f>"20200111153741015"</f>
        <v>20200111153741015</v>
      </c>
      <c r="B4465" t="str">
        <f>"1578728261007192"</f>
        <v>1578728261007192</v>
      </c>
      <c r="C4465" t="s">
        <v>37</v>
      </c>
      <c r="D4465">
        <v>5.7754690000000002</v>
      </c>
      <c r="E4465">
        <v>0.4503509</v>
      </c>
      <c r="F4465" t="s">
        <v>39</v>
      </c>
      <c r="G4465">
        <v>-418.53440000000001</v>
      </c>
      <c r="H4465" s="1">
        <v>-1.9953280000000001E-6</v>
      </c>
      <c r="I4465">
        <v>53.677930000000003</v>
      </c>
      <c r="J4465">
        <v>-422.38630000000001</v>
      </c>
      <c r="K4465">
        <v>1.1058779999999999</v>
      </c>
      <c r="L4465">
        <v>63.188200000000002</v>
      </c>
      <c r="M4465">
        <v>2.018583E-3</v>
      </c>
      <c r="N4465">
        <v>0</v>
      </c>
      <c r="O4465">
        <v>-0.99987469999999901</v>
      </c>
      <c r="P4465">
        <v>0.22786899999999999</v>
      </c>
      <c r="Q4465">
        <v>4.0823079999999998E-2</v>
      </c>
      <c r="R4465">
        <v>-0.97283600000000003</v>
      </c>
      <c r="S4465">
        <v>1.1060490000000001</v>
      </c>
      <c r="T4465">
        <v>-0.31744489999999997</v>
      </c>
      <c r="U4465">
        <v>-2.84137</v>
      </c>
      <c r="V4465">
        <v>-0.2260181</v>
      </c>
      <c r="W4465">
        <v>5.5646580000000001E-2</v>
      </c>
      <c r="X4465">
        <v>0.97253239999999996</v>
      </c>
      <c r="Y4465">
        <v>-0.35891820000000002</v>
      </c>
      <c r="Z4465">
        <v>0.10359160000000001</v>
      </c>
      <c r="AA4465">
        <v>0.92760259999999894</v>
      </c>
      <c r="AB4465">
        <v>38</v>
      </c>
      <c r="AC4465">
        <v>3.8519000000000001</v>
      </c>
      <c r="AD4465">
        <v>-1.1058799953280001</v>
      </c>
      <c r="AE4465">
        <v>-9.5102699999999896</v>
      </c>
      <c r="AF4465">
        <v>-3.7886827949611401</v>
      </c>
      <c r="AG4465">
        <v>-1.1058799953280001</v>
      </c>
      <c r="AH4465">
        <v>9.4087341578316206</v>
      </c>
      <c r="AI4465">
        <v>96.222378804085594</v>
      </c>
      <c r="AJ4465">
        <v>111.93352235726</v>
      </c>
      <c r="AK4465">
        <v>10.203007710359101</v>
      </c>
    </row>
    <row r="4466" spans="1:37" x14ac:dyDescent="0.2">
      <c r="A4466" t="str">
        <f>"20200111153741037"</f>
        <v>20200111153741037</v>
      </c>
      <c r="B4466" t="str">
        <f>"1578728261027688"</f>
        <v>1578728261027688</v>
      </c>
      <c r="C4466" t="s">
        <v>37</v>
      </c>
      <c r="D4466">
        <v>6.0180720000000001</v>
      </c>
      <c r="E4466">
        <v>0.44836290000000001</v>
      </c>
      <c r="F4466" t="s">
        <v>39</v>
      </c>
      <c r="G4466">
        <v>-418.44560000000001</v>
      </c>
      <c r="H4466" s="1">
        <v>-1.4778249999999999E-6</v>
      </c>
      <c r="I4466">
        <v>52.43488</v>
      </c>
      <c r="J4466">
        <v>-422.38490000000002</v>
      </c>
      <c r="K4466">
        <v>1.1058729999999899</v>
      </c>
      <c r="L4466">
        <v>62.825559999999903</v>
      </c>
      <c r="M4466">
        <v>2.64627E-3</v>
      </c>
      <c r="N4466">
        <v>0</v>
      </c>
      <c r="O4466">
        <v>-0.99986779999999997</v>
      </c>
      <c r="P4466">
        <v>0.23415949999999999</v>
      </c>
      <c r="Q4466">
        <v>4.1455279999999997E-2</v>
      </c>
      <c r="R4466">
        <v>-0.97131399999999901</v>
      </c>
      <c r="S4466">
        <v>1.0449219999999999</v>
      </c>
      <c r="T4466">
        <v>-0.29323490000000002</v>
      </c>
      <c r="U4466">
        <v>-2.8513489999999999</v>
      </c>
      <c r="V4466">
        <v>-0.2316955</v>
      </c>
      <c r="W4466">
        <v>5.660018E-2</v>
      </c>
      <c r="X4466">
        <v>0.97114040000000001</v>
      </c>
      <c r="Y4466">
        <v>-0.34000809999999998</v>
      </c>
      <c r="Z4466">
        <v>9.6158359999999998E-2</v>
      </c>
      <c r="AA4466">
        <v>0.93549349999999998</v>
      </c>
      <c r="AB4466">
        <v>38</v>
      </c>
      <c r="AC4466">
        <v>3.9392999999999998</v>
      </c>
      <c r="AD4466">
        <v>-1.10587447782499</v>
      </c>
      <c r="AE4466">
        <v>-10.3906799999999</v>
      </c>
      <c r="AF4466">
        <v>-3.8734246719404601</v>
      </c>
      <c r="AG4466">
        <v>-1.10587447782499</v>
      </c>
      <c r="AH4466">
        <v>10.2990699404465</v>
      </c>
      <c r="AI4466">
        <v>95.739137926459193</v>
      </c>
      <c r="AJ4466">
        <v>110.611009679643</v>
      </c>
      <c r="AK4466">
        <v>11.058807290486101</v>
      </c>
    </row>
    <row r="4467" spans="1:37" x14ac:dyDescent="0.2">
      <c r="A4467" t="str">
        <f>"20200111153741059"</f>
        <v>20200111153741059</v>
      </c>
      <c r="B4467" t="str">
        <f>"1578728261047208"</f>
        <v>1578728261047208</v>
      </c>
      <c r="C4467" t="s">
        <v>37</v>
      </c>
      <c r="D4467">
        <v>5.8488959999999999</v>
      </c>
      <c r="E4467">
        <v>0.45729229999999998</v>
      </c>
      <c r="F4467" t="s">
        <v>39</v>
      </c>
      <c r="G4467">
        <v>-418.39640000000003</v>
      </c>
      <c r="H4467" s="1">
        <v>-1.4339999999999999E-6</v>
      </c>
      <c r="I4467">
        <v>52.312399999999997</v>
      </c>
      <c r="J4467">
        <v>-422.38330000000002</v>
      </c>
      <c r="K4467">
        <v>1.105874</v>
      </c>
      <c r="L4467">
        <v>62.461359999999999</v>
      </c>
      <c r="M4467">
        <v>3.2564299999999998E-3</v>
      </c>
      <c r="N4467">
        <v>0</v>
      </c>
      <c r="O4467">
        <v>-0.99986090000000005</v>
      </c>
      <c r="P4467">
        <v>0.2404945</v>
      </c>
      <c r="Q4467">
        <v>4.2737030000000002E-2</v>
      </c>
      <c r="R4467">
        <v>-0.969709499999999</v>
      </c>
      <c r="S4467">
        <v>1.078003</v>
      </c>
      <c r="T4467">
        <v>-0.29889520000000003</v>
      </c>
      <c r="U4467">
        <v>-2.8414919999999899</v>
      </c>
      <c r="V4467">
        <v>-0.23743909999999999</v>
      </c>
      <c r="W4467">
        <v>5.8190659999999998E-2</v>
      </c>
      <c r="X4467">
        <v>0.96965800000000002</v>
      </c>
      <c r="Y4467">
        <v>-0.34995890000000002</v>
      </c>
      <c r="Z4467">
        <v>9.7934750000000001E-2</v>
      </c>
      <c r="AA4467">
        <v>0.931631599999999</v>
      </c>
      <c r="AB4467">
        <v>38</v>
      </c>
      <c r="AC4467">
        <v>3.9868999999999901</v>
      </c>
      <c r="AD4467">
        <v>-1.1058754340000001</v>
      </c>
      <c r="AE4467">
        <v>-10.148960000000001</v>
      </c>
      <c r="AF4467">
        <v>-3.9135704510812999</v>
      </c>
      <c r="AG4467">
        <v>-1.1058754340000001</v>
      </c>
      <c r="AH4467">
        <v>10.0584309332339</v>
      </c>
      <c r="AI4467">
        <v>95.850260007982996</v>
      </c>
      <c r="AJ4467">
        <v>111.260195114322</v>
      </c>
      <c r="AK4467">
        <v>10.8494712769673</v>
      </c>
    </row>
    <row r="4468" spans="1:37" x14ac:dyDescent="0.2">
      <c r="A4468" t="str">
        <f>"20200111153741082"</f>
        <v>20200111153741082</v>
      </c>
      <c r="B4468" t="str">
        <f>"1578728261077464"</f>
        <v>1578728261077464</v>
      </c>
      <c r="C4468" t="s">
        <v>37</v>
      </c>
      <c r="D4468">
        <v>5.7419199999999897</v>
      </c>
      <c r="E4468">
        <v>0.45851949999999903</v>
      </c>
      <c r="F4468" t="s">
        <v>39</v>
      </c>
      <c r="G4468">
        <v>-417.17349999999999</v>
      </c>
      <c r="H4468" s="1">
        <v>-4.1204340000000001E-6</v>
      </c>
      <c r="I4468">
        <v>48.06888</v>
      </c>
      <c r="J4468">
        <v>-422.38130000000001</v>
      </c>
      <c r="K4468">
        <v>1.105872</v>
      </c>
      <c r="L4468">
        <v>62.08276</v>
      </c>
      <c r="M4468">
        <v>3.8657629999999999E-3</v>
      </c>
      <c r="N4468">
        <v>0</v>
      </c>
      <c r="O4468">
        <v>-0.99985360000000001</v>
      </c>
      <c r="P4468">
        <v>0.24636920000000001</v>
      </c>
      <c r="Q4468">
        <v>4.4175510000000001E-2</v>
      </c>
      <c r="R4468">
        <v>-0.96816869999999999</v>
      </c>
      <c r="S4468">
        <v>1.030823</v>
      </c>
      <c r="T4468">
        <v>-0.21881059999999999</v>
      </c>
      <c r="U4468">
        <v>-2.8477169999999998</v>
      </c>
      <c r="V4468">
        <v>-0.24272550000000001</v>
      </c>
      <c r="W4468">
        <v>5.9925689999999997E-2</v>
      </c>
      <c r="X4468">
        <v>0.9682423</v>
      </c>
      <c r="Y4468">
        <v>-0.33584520000000001</v>
      </c>
      <c r="Z4468">
        <v>7.2109290000000006E-2</v>
      </c>
      <c r="AA4468">
        <v>0.93915300000000002</v>
      </c>
      <c r="AB4468">
        <v>37</v>
      </c>
      <c r="AC4468">
        <v>5.2078000000000104</v>
      </c>
      <c r="AD4468">
        <v>-1.105876120434</v>
      </c>
      <c r="AE4468">
        <v>-14.01388</v>
      </c>
      <c r="AF4468">
        <v>-5.1255342312525398</v>
      </c>
      <c r="AG4468">
        <v>-1.105876120434</v>
      </c>
      <c r="AH4468">
        <v>13.957539813419301</v>
      </c>
      <c r="AI4468">
        <v>94.253550178501399</v>
      </c>
      <c r="AJ4468">
        <v>110.16441291160599</v>
      </c>
      <c r="AK4468">
        <v>14.9099624678492</v>
      </c>
    </row>
    <row r="4469" spans="1:37" x14ac:dyDescent="0.2">
      <c r="A4469" t="str">
        <f>"20200111153741105"</f>
        <v>20200111153741105</v>
      </c>
      <c r="B4469" t="str">
        <f>"1578728261097960"</f>
        <v>1578728261097960</v>
      </c>
      <c r="C4469" t="s">
        <v>37</v>
      </c>
      <c r="D4469">
        <v>6.4531279999999898</v>
      </c>
      <c r="E4469">
        <v>0.4595147</v>
      </c>
      <c r="F4469" t="s">
        <v>39</v>
      </c>
      <c r="G4469">
        <v>-417.24990000000003</v>
      </c>
      <c r="H4469" s="1">
        <v>-4.0817689999999998E-6</v>
      </c>
      <c r="I4469">
        <v>48.010359999999999</v>
      </c>
      <c r="J4469">
        <v>-422.37920000000003</v>
      </c>
      <c r="K4469">
        <v>1.105866</v>
      </c>
      <c r="L4469">
        <v>61.702269999999999</v>
      </c>
      <c r="M4469">
        <v>4.45729099999999E-3</v>
      </c>
      <c r="N4469">
        <v>0</v>
      </c>
      <c r="O4469">
        <v>-0.99984629999999997</v>
      </c>
      <c r="P4469">
        <v>0.25158799999999998</v>
      </c>
      <c r="Q4469">
        <v>4.4580130000000003E-2</v>
      </c>
      <c r="R4469">
        <v>-0.96680769999999905</v>
      </c>
      <c r="S4469">
        <v>1.0373540000000001</v>
      </c>
      <c r="T4469">
        <v>-0.2235616</v>
      </c>
      <c r="U4469">
        <v>-2.844849</v>
      </c>
      <c r="V4469">
        <v>-0.24737329999999899</v>
      </c>
      <c r="W4469">
        <v>6.0605859999999998E-2</v>
      </c>
      <c r="X4469">
        <v>0.96702299999999997</v>
      </c>
      <c r="Y4469">
        <v>-0.33745559999999902</v>
      </c>
      <c r="Z4469">
        <v>7.3685520000000004E-2</v>
      </c>
      <c r="AA4469">
        <v>0.93845309999999904</v>
      </c>
      <c r="AB4469">
        <v>37</v>
      </c>
      <c r="AC4469">
        <v>5.1292999999999997</v>
      </c>
      <c r="AD4469">
        <v>-1.1058700817689999</v>
      </c>
      <c r="AE4469">
        <v>-13.69191</v>
      </c>
      <c r="AF4469">
        <v>-5.0393829111012503</v>
      </c>
      <c r="AG4469">
        <v>-1.1058700817689999</v>
      </c>
      <c r="AH4469">
        <v>13.636629706443999</v>
      </c>
      <c r="AI4469">
        <v>94.349976634718203</v>
      </c>
      <c r="AJ4469">
        <v>110.28166776530701</v>
      </c>
      <c r="AK4469">
        <v>14.579986231582099</v>
      </c>
    </row>
    <row r="4470" spans="1:37" x14ac:dyDescent="0.2">
      <c r="A4470" t="str">
        <f>"20200111153741128"</f>
        <v>20200111153741128</v>
      </c>
      <c r="B4470" t="str">
        <f>"1578728261117480"</f>
        <v>1578728261117480</v>
      </c>
      <c r="C4470" t="s">
        <v>37</v>
      </c>
      <c r="D4470">
        <v>5.6196060000000001</v>
      </c>
      <c r="E4470">
        <v>0.46019319999999903</v>
      </c>
      <c r="F4470" t="s">
        <v>39</v>
      </c>
      <c r="G4470">
        <v>-417.23149999999998</v>
      </c>
      <c r="H4470" s="1">
        <v>-3.9526339999999997E-6</v>
      </c>
      <c r="I4470">
        <v>47.701740000000001</v>
      </c>
      <c r="J4470">
        <v>-422.37689999999998</v>
      </c>
      <c r="K4470">
        <v>1.1058330000000001</v>
      </c>
      <c r="L4470">
        <v>61.330930000000002</v>
      </c>
      <c r="M4470">
        <v>5.0034950000000002E-3</v>
      </c>
      <c r="N4470">
        <v>0</v>
      </c>
      <c r="O4470">
        <v>-0.99983889999999997</v>
      </c>
      <c r="P4470">
        <v>0.2592411</v>
      </c>
      <c r="Q4470">
        <v>4.441138E-2</v>
      </c>
      <c r="R4470">
        <v>-0.96479110000000001</v>
      </c>
      <c r="S4470">
        <v>1.0447389999999901</v>
      </c>
      <c r="T4470">
        <v>-0.22444059999999999</v>
      </c>
      <c r="U4470">
        <v>-2.8414609999999998</v>
      </c>
      <c r="V4470">
        <v>-0.25450159999999999</v>
      </c>
      <c r="W4470">
        <v>6.0671549999999998E-2</v>
      </c>
      <c r="X4470">
        <v>0.96516729999999995</v>
      </c>
      <c r="Y4470">
        <v>-0.3394432</v>
      </c>
      <c r="Z4470">
        <v>7.3996480000000003E-2</v>
      </c>
      <c r="AA4470">
        <v>0.93771150000000003</v>
      </c>
      <c r="AB4470">
        <v>37</v>
      </c>
      <c r="AC4470">
        <v>5.1453999999999898</v>
      </c>
      <c r="AD4470">
        <v>-1.1058369526339999</v>
      </c>
      <c r="AE4470">
        <v>-13.629189999999999</v>
      </c>
      <c r="AF4470">
        <v>-5.0480448701502203</v>
      </c>
      <c r="AG4470">
        <v>-1.1058369526339999</v>
      </c>
      <c r="AH4470">
        <v>13.576539727243</v>
      </c>
      <c r="AI4470">
        <v>94.365801272123306</v>
      </c>
      <c r="AJ4470">
        <v>110.396199799325</v>
      </c>
      <c r="AK4470">
        <v>14.5268049942948</v>
      </c>
    </row>
    <row r="4471" spans="1:37" x14ac:dyDescent="0.2">
      <c r="A4471" t="str">
        <f>"20200111153741161"</f>
        <v>20200111153741161</v>
      </c>
      <c r="B4471" t="str">
        <f>"1578728261157498"</f>
        <v>1578728261157498</v>
      </c>
      <c r="C4471" t="s">
        <v>37</v>
      </c>
      <c r="D4471">
        <v>5.9207989999999997</v>
      </c>
      <c r="E4471">
        <v>0.46137849999999903</v>
      </c>
      <c r="F4471" t="s">
        <v>39</v>
      </c>
      <c r="G4471">
        <v>-417.16419999999999</v>
      </c>
      <c r="H4471" s="1">
        <v>-3.8399789999999997E-6</v>
      </c>
      <c r="I4471">
        <v>47.411299999999997</v>
      </c>
      <c r="J4471">
        <v>-422.3734</v>
      </c>
      <c r="K4471">
        <v>1.10575</v>
      </c>
      <c r="L4471">
        <v>60.796779999999998</v>
      </c>
      <c r="M4471">
        <v>5.7069919999999897E-3</v>
      </c>
      <c r="N4471">
        <v>0</v>
      </c>
      <c r="O4471">
        <v>-0.99982919999999997</v>
      </c>
      <c r="P4471">
        <v>0.2653238</v>
      </c>
      <c r="Q4471">
        <v>4.0754239999999997E-2</v>
      </c>
      <c r="R4471">
        <v>-0.96329779999999998</v>
      </c>
      <c r="S4471">
        <v>1.061523</v>
      </c>
      <c r="T4471">
        <v>-0.22519499999999901</v>
      </c>
      <c r="U4471">
        <v>-2.834625</v>
      </c>
      <c r="V4471">
        <v>-0.25989719999999999</v>
      </c>
      <c r="W4471">
        <v>5.7370930000000001E-2</v>
      </c>
      <c r="X4471">
        <v>0.96393050000000002</v>
      </c>
      <c r="Y4471">
        <v>-0.3443811</v>
      </c>
      <c r="Z4471">
        <v>7.4267760000000002E-2</v>
      </c>
      <c r="AA4471">
        <v>0.93588780000000005</v>
      </c>
      <c r="AB4471">
        <v>37</v>
      </c>
      <c r="AC4471">
        <v>5.2092000000000098</v>
      </c>
      <c r="AD4471">
        <v>-1.1057538399789999</v>
      </c>
      <c r="AE4471">
        <v>-13.385479999999999</v>
      </c>
      <c r="AF4471">
        <v>-5.1024723590273702</v>
      </c>
      <c r="AG4471">
        <v>-1.1057538399789999</v>
      </c>
      <c r="AH4471">
        <v>13.3359589366679</v>
      </c>
      <c r="AI4471">
        <v>94.428173656975602</v>
      </c>
      <c r="AJ4471">
        <v>110.93735462564599</v>
      </c>
      <c r="AK4471">
        <v>14.3215123674058</v>
      </c>
    </row>
    <row r="4472" spans="1:37" x14ac:dyDescent="0.2">
      <c r="A4472" t="str">
        <f>"20200111153741183"</f>
        <v>20200111153741183</v>
      </c>
      <c r="B4472" t="str">
        <f>"1578728261177992"</f>
        <v>1578728261177992</v>
      </c>
      <c r="C4472" t="s">
        <v>37</v>
      </c>
      <c r="D4472">
        <v>5.7307930000000002</v>
      </c>
      <c r="E4472">
        <v>0.46185660000000001</v>
      </c>
      <c r="F4472" t="s">
        <v>39</v>
      </c>
      <c r="G4472">
        <v>-417.42559999999997</v>
      </c>
      <c r="H4472" s="1">
        <v>-3.9258039999999999E-6</v>
      </c>
      <c r="I4472">
        <v>47.719429999999903</v>
      </c>
      <c r="J4472">
        <v>-422.3707</v>
      </c>
      <c r="K4472">
        <v>1.1056709999999901</v>
      </c>
      <c r="L4472">
        <v>60.424930000000003</v>
      </c>
      <c r="M4472">
        <v>6.1106839999999999E-3</v>
      </c>
      <c r="N4472">
        <v>0</v>
      </c>
      <c r="O4472">
        <v>-0.99982299999999902</v>
      </c>
      <c r="P4472">
        <v>0.26780779999999998</v>
      </c>
      <c r="Q4472">
        <v>3.7130339999999998E-2</v>
      </c>
      <c r="R4472">
        <v>-0.96275679999999997</v>
      </c>
      <c r="S4472">
        <v>1.070557</v>
      </c>
      <c r="T4472">
        <v>-0.23925289999999999</v>
      </c>
      <c r="U4472">
        <v>-2.8295590000000002</v>
      </c>
      <c r="V4472">
        <v>-0.26198129999999997</v>
      </c>
      <c r="W4472">
        <v>5.3999680000000001E-2</v>
      </c>
      <c r="X4472">
        <v>0.963561</v>
      </c>
      <c r="Y4472">
        <v>-0.34704079999999998</v>
      </c>
      <c r="Z4472">
        <v>7.8922610000000004E-2</v>
      </c>
      <c r="AA4472">
        <v>0.93452329999999995</v>
      </c>
      <c r="AB4472">
        <v>37</v>
      </c>
      <c r="AC4472">
        <v>4.9451000000000196</v>
      </c>
      <c r="AD4472">
        <v>-1.105674925804</v>
      </c>
      <c r="AE4472">
        <v>-12.705500000000001</v>
      </c>
      <c r="AF4472">
        <v>-4.8355536669136798</v>
      </c>
      <c r="AG4472">
        <v>-1.105674925804</v>
      </c>
      <c r="AH4472">
        <v>12.6522741753767</v>
      </c>
      <c r="AI4472">
        <v>94.666748742933706</v>
      </c>
      <c r="AJ4472">
        <v>110.916281144721</v>
      </c>
      <c r="AK4472">
        <v>13.589891026644001</v>
      </c>
    </row>
    <row r="4473" spans="1:37" x14ac:dyDescent="0.2">
      <c r="A4473" t="str">
        <f>"20200111153741205"</f>
        <v>20200111153741205</v>
      </c>
      <c r="B4473" t="str">
        <f>"1578728261197512"</f>
        <v>1578728261197512</v>
      </c>
      <c r="C4473" t="s">
        <v>37</v>
      </c>
      <c r="D4473">
        <v>5.5038460000000002</v>
      </c>
      <c r="E4473">
        <v>0.46198279999999903</v>
      </c>
      <c r="F4473" t="s">
        <v>39</v>
      </c>
      <c r="G4473">
        <v>-417.63420000000002</v>
      </c>
      <c r="H4473" s="1">
        <v>-3.993564E-6</v>
      </c>
      <c r="I4473">
        <v>47.963659999999997</v>
      </c>
      <c r="J4473">
        <v>-422.36810000000003</v>
      </c>
      <c r="K4473">
        <v>1.1055969999999999</v>
      </c>
      <c r="L4473">
        <v>60.061160000000001</v>
      </c>
      <c r="M4473">
        <v>6.4445190000000001E-3</v>
      </c>
      <c r="N4473">
        <v>0</v>
      </c>
      <c r="O4473">
        <v>-0.99981710000000001</v>
      </c>
      <c r="P4473">
        <v>0.26866790000000002</v>
      </c>
      <c r="Q4473">
        <v>3.4243929999999999E-2</v>
      </c>
      <c r="R4473">
        <v>-0.96262429999999999</v>
      </c>
      <c r="S4473">
        <v>1.0744629999999999</v>
      </c>
      <c r="T4473">
        <v>-0.25082019999999999</v>
      </c>
      <c r="U4473">
        <v>-2.826813</v>
      </c>
      <c r="V4473">
        <v>-0.26250869999999998</v>
      </c>
      <c r="W4473">
        <v>5.1353099999999902E-2</v>
      </c>
      <c r="X4473">
        <v>0.96356219999999904</v>
      </c>
      <c r="Y4473">
        <v>-0.34804669999999999</v>
      </c>
      <c r="Z4473">
        <v>8.2750080000000004E-2</v>
      </c>
      <c r="AA4473">
        <v>0.93381789999999998</v>
      </c>
      <c r="AB4473">
        <v>37</v>
      </c>
      <c r="AC4473">
        <v>4.7339000000000002</v>
      </c>
      <c r="AD4473">
        <v>-1.1056009935639901</v>
      </c>
      <c r="AE4473">
        <v>-12.0975</v>
      </c>
      <c r="AF4473">
        <v>-4.6223459834323304</v>
      </c>
      <c r="AG4473">
        <v>-1.1056009935639901</v>
      </c>
      <c r="AH4473">
        <v>12.0405495269278</v>
      </c>
      <c r="AI4473">
        <v>94.899605117663796</v>
      </c>
      <c r="AJ4473">
        <v>111.00170896495899</v>
      </c>
      <c r="AK4473">
        <v>12.944623163998401</v>
      </c>
    </row>
    <row r="4474" spans="1:37" x14ac:dyDescent="0.2">
      <c r="A4474" t="str">
        <f>"20200111153741227"</f>
        <v>20200111153741227</v>
      </c>
      <c r="B4474" t="str">
        <f>"1578728261218008"</f>
        <v>1578728261218008</v>
      </c>
      <c r="C4474" t="s">
        <v>37</v>
      </c>
      <c r="D4474">
        <v>5.700081</v>
      </c>
      <c r="E4474">
        <v>0.4568507</v>
      </c>
      <c r="F4474" t="s">
        <v>39</v>
      </c>
      <c r="G4474">
        <v>-417.77629999999999</v>
      </c>
      <c r="H4474" s="1">
        <v>-3.9895989999999996E-6</v>
      </c>
      <c r="I4474">
        <v>48.013150000000003</v>
      </c>
      <c r="J4474">
        <v>-422.3655</v>
      </c>
      <c r="K4474">
        <v>1.105537</v>
      </c>
      <c r="L4474">
        <v>59.703130000000002</v>
      </c>
      <c r="M4474">
        <v>6.7159409999999996E-3</v>
      </c>
      <c r="N4474">
        <v>0</v>
      </c>
      <c r="O4474">
        <v>-0.99981189999999998</v>
      </c>
      <c r="P4474">
        <v>0.2691964</v>
      </c>
      <c r="Q4474">
        <v>3.3696030000000002E-2</v>
      </c>
      <c r="R4474">
        <v>-0.96249599999999902</v>
      </c>
      <c r="S4474">
        <v>1.0767519999999999</v>
      </c>
      <c r="T4474">
        <v>-0.25925759999999998</v>
      </c>
      <c r="U4474">
        <v>-2.8251949999999999</v>
      </c>
      <c r="V4474">
        <v>-0.26276809999999901</v>
      </c>
      <c r="W4474">
        <v>5.1017840000000002E-2</v>
      </c>
      <c r="X4474">
        <v>0.96350930000000001</v>
      </c>
      <c r="Y4474">
        <v>-0.34854669999999999</v>
      </c>
      <c r="Z4474">
        <v>8.5537530000000001E-2</v>
      </c>
      <c r="AA4474">
        <v>0.93338019999999999</v>
      </c>
      <c r="AB4474">
        <v>36</v>
      </c>
      <c r="AC4474">
        <v>4.5891999999999999</v>
      </c>
      <c r="AD4474">
        <v>-1.105540989599</v>
      </c>
      <c r="AE4474">
        <v>-11.689979999999901</v>
      </c>
      <c r="AF4474">
        <v>-4.4758884216746502</v>
      </c>
      <c r="AG4474">
        <v>-1.105540989599</v>
      </c>
      <c r="AH4474">
        <v>11.6304124641043</v>
      </c>
      <c r="AI4474">
        <v>95.069629405694698</v>
      </c>
      <c r="AJ4474">
        <v>111.048894986191</v>
      </c>
      <c r="AK4474">
        <v>12.5108869441042</v>
      </c>
    </row>
    <row r="4475" spans="1:37" x14ac:dyDescent="0.2">
      <c r="A4475" t="str">
        <f>"20200111153741249"</f>
        <v>20200111153741249</v>
      </c>
      <c r="B4475" t="str">
        <f>"1578728261237528"</f>
        <v>1578728261237528</v>
      </c>
      <c r="C4475" t="s">
        <v>37</v>
      </c>
      <c r="D4475">
        <v>5.8739270000000001</v>
      </c>
      <c r="E4475">
        <v>0.4571249</v>
      </c>
      <c r="F4475" t="s">
        <v>39</v>
      </c>
      <c r="G4475">
        <v>-418.53289999999998</v>
      </c>
      <c r="H4475" s="1">
        <v>-5.1591879999999896E-7</v>
      </c>
      <c r="I4475">
        <v>50.017049999999998</v>
      </c>
      <c r="J4475">
        <v>-422.36279999999999</v>
      </c>
      <c r="K4475">
        <v>1.1055059999999901</v>
      </c>
      <c r="L4475">
        <v>59.34769</v>
      </c>
      <c r="M4475">
        <v>6.9382489999999996E-3</v>
      </c>
      <c r="N4475">
        <v>0</v>
      </c>
      <c r="O4475">
        <v>-0.99980759999999902</v>
      </c>
      <c r="P4475">
        <v>0.26978639999999998</v>
      </c>
      <c r="Q4475">
        <v>3.5291250000000003E-2</v>
      </c>
      <c r="R4475">
        <v>-0.96227369999999901</v>
      </c>
      <c r="S4475">
        <v>1.1144099999999999</v>
      </c>
      <c r="T4475">
        <v>-0.32146249999999998</v>
      </c>
      <c r="U4475">
        <v>-2.8164669999999998</v>
      </c>
      <c r="V4475">
        <v>-0.26314070000000001</v>
      </c>
      <c r="W4475">
        <v>5.2796429999999998E-2</v>
      </c>
      <c r="X4475">
        <v>0.96331169999999999</v>
      </c>
      <c r="Y4475">
        <v>-0.3594022</v>
      </c>
      <c r="Z4475">
        <v>0.10567219999999999</v>
      </c>
      <c r="AA4475">
        <v>0.92718029999999996</v>
      </c>
      <c r="AB4475">
        <v>36</v>
      </c>
      <c r="AC4475">
        <v>3.8298999999999999</v>
      </c>
      <c r="AD4475">
        <v>-1.10550651591879</v>
      </c>
      <c r="AE4475">
        <v>-9.3306400000000007</v>
      </c>
      <c r="AF4475">
        <v>-3.7203631354911399</v>
      </c>
      <c r="AG4475">
        <v>-1.10550651591879</v>
      </c>
      <c r="AH4475">
        <v>9.2459146696622092</v>
      </c>
      <c r="AI4475">
        <v>96.329599448429605</v>
      </c>
      <c r="AJ4475">
        <v>111.918825342087</v>
      </c>
      <c r="AK4475">
        <v>10.027471495613201</v>
      </c>
    </row>
    <row r="4476" spans="1:37" x14ac:dyDescent="0.2">
      <c r="A4476" t="str">
        <f>"20200111153741271"</f>
        <v>20200111153741271</v>
      </c>
      <c r="B4476" t="str">
        <f>"1578728261267784"</f>
        <v>1578728261267784</v>
      </c>
      <c r="C4476" t="s">
        <v>37</v>
      </c>
      <c r="D4476">
        <v>6.0012999999999996</v>
      </c>
      <c r="E4476">
        <v>0.46539629999999998</v>
      </c>
      <c r="F4476" t="s">
        <v>39</v>
      </c>
      <c r="G4476">
        <v>-418.5111</v>
      </c>
      <c r="H4476" s="1">
        <v>-4.5434210000000004E-6</v>
      </c>
      <c r="I4476">
        <v>49.607979999999998</v>
      </c>
      <c r="J4476">
        <v>-422.36</v>
      </c>
      <c r="K4476">
        <v>1.1054930000000001</v>
      </c>
      <c r="L4476">
        <v>58.985349999999997</v>
      </c>
      <c r="M4476">
        <v>7.1310649999999998E-3</v>
      </c>
      <c r="N4476">
        <v>0</v>
      </c>
      <c r="O4476">
        <v>-0.99980349999999996</v>
      </c>
      <c r="P4476">
        <v>0.27037539999999999</v>
      </c>
      <c r="Q4476">
        <v>3.8563739999999999E-2</v>
      </c>
      <c r="R4476">
        <v>-0.96198229999999996</v>
      </c>
      <c r="S4476">
        <v>1.1140139999999901</v>
      </c>
      <c r="T4476">
        <v>-0.3197469</v>
      </c>
      <c r="U4476">
        <v>-2.8170169999999999</v>
      </c>
      <c r="V4476">
        <v>-0.26354319999999998</v>
      </c>
      <c r="W4476">
        <v>5.6229309999999998E-2</v>
      </c>
      <c r="X4476">
        <v>0.96300739999999996</v>
      </c>
      <c r="Y4476">
        <v>-0.35906969999999999</v>
      </c>
      <c r="Z4476">
        <v>0.105105399999999</v>
      </c>
      <c r="AA4476">
        <v>0.92737359999999902</v>
      </c>
      <c r="AB4476">
        <v>36</v>
      </c>
      <c r="AC4476">
        <v>3.8489000000000102</v>
      </c>
      <c r="AD4476">
        <v>-1.1054975434209999</v>
      </c>
      <c r="AE4476">
        <v>-9.3773699999999902</v>
      </c>
      <c r="AF4476">
        <v>-3.7374656270786</v>
      </c>
      <c r="AG4476">
        <v>-1.1054975434209999</v>
      </c>
      <c r="AH4476">
        <v>9.2940372144330201</v>
      </c>
      <c r="AI4476">
        <v>96.297565549139804</v>
      </c>
      <c r="AJ4476">
        <v>111.90682796257001</v>
      </c>
      <c r="AK4476">
        <v>10.0781894145411</v>
      </c>
    </row>
    <row r="4477" spans="1:37" x14ac:dyDescent="0.2">
      <c r="A4477" t="str">
        <f>"20200111153741295"</f>
        <v>20200111153741295</v>
      </c>
      <c r="B4477" t="str">
        <f>"1578728261287306"</f>
        <v>1578728261287306</v>
      </c>
      <c r="C4477" t="s">
        <v>37</v>
      </c>
      <c r="D4477">
        <v>5.7279540000000004</v>
      </c>
      <c r="E4477">
        <v>0.46571639999999997</v>
      </c>
      <c r="F4477" t="s">
        <v>39</v>
      </c>
      <c r="G4477">
        <v>-417.6617</v>
      </c>
      <c r="H4477" s="1">
        <v>-3.308538E-6</v>
      </c>
      <c r="I4477">
        <v>46.378209999999903</v>
      </c>
      <c r="J4477">
        <v>-422.35719999999998</v>
      </c>
      <c r="K4477">
        <v>1.1054930000000001</v>
      </c>
      <c r="L4477">
        <v>58.621949999999998</v>
      </c>
      <c r="M4477">
        <v>7.3101390000000002E-3</v>
      </c>
      <c r="N4477">
        <v>0</v>
      </c>
      <c r="O4477">
        <v>-0.99979979999999902</v>
      </c>
      <c r="P4477">
        <v>0.27007829999999999</v>
      </c>
      <c r="Q4477">
        <v>4.080168E-2</v>
      </c>
      <c r="R4477">
        <v>-0.96197369999999904</v>
      </c>
      <c r="S4477">
        <v>1.0553589999999999</v>
      </c>
      <c r="T4477">
        <v>-0.24832209999999999</v>
      </c>
      <c r="U4477">
        <v>-2.8318789999999998</v>
      </c>
      <c r="V4477">
        <v>-0.2630709</v>
      </c>
      <c r="W4477">
        <v>5.8608140000000003E-2</v>
      </c>
      <c r="X4477">
        <v>0.96299469999999998</v>
      </c>
      <c r="Y4477">
        <v>-0.34117359999999902</v>
      </c>
      <c r="Z4477">
        <v>8.1994999999999998E-2</v>
      </c>
      <c r="AA4477">
        <v>0.93641730000000001</v>
      </c>
      <c r="AB4477">
        <v>36</v>
      </c>
      <c r="AC4477">
        <v>4.6954999999999796</v>
      </c>
      <c r="AD4477">
        <v>-1.1054963085380001</v>
      </c>
      <c r="AE4477">
        <v>-12.243740000000001</v>
      </c>
      <c r="AF4477">
        <v>-4.5733520607110503</v>
      </c>
      <c r="AG4477">
        <v>-1.1054963085380001</v>
      </c>
      <c r="AH4477">
        <v>12.1910995741669</v>
      </c>
      <c r="AI4477">
        <v>94.8529466774757</v>
      </c>
      <c r="AJ4477">
        <v>110.563007185985</v>
      </c>
      <c r="AK4477">
        <v>13.0675391710396</v>
      </c>
    </row>
    <row r="4478" spans="1:37" x14ac:dyDescent="0.2">
      <c r="A4478" t="str">
        <f>"20200111153741316"</f>
        <v>20200111153741316</v>
      </c>
      <c r="B4478" t="str">
        <f>"1578728261307803"</f>
        <v>1578728261307803</v>
      </c>
      <c r="C4478" t="s">
        <v>37</v>
      </c>
      <c r="D4478">
        <v>5.7099640000000003</v>
      </c>
      <c r="E4478">
        <v>0.46536480000000002</v>
      </c>
      <c r="F4478" t="s">
        <v>39</v>
      </c>
      <c r="G4478">
        <v>-417.5496</v>
      </c>
      <c r="H4478" s="1">
        <v>-3.024079E-6</v>
      </c>
      <c r="I4478">
        <v>45.668759999999999</v>
      </c>
      <c r="J4478">
        <v>-422.35430000000002</v>
      </c>
      <c r="K4478">
        <v>1.1054930000000001</v>
      </c>
      <c r="L4478">
        <v>58.264309999999902</v>
      </c>
      <c r="M4478">
        <v>7.4963490000000002E-3</v>
      </c>
      <c r="N4478">
        <v>0</v>
      </c>
      <c r="O4478">
        <v>-0.99979629999999997</v>
      </c>
      <c r="P4478">
        <v>0.26913480000000001</v>
      </c>
      <c r="Q4478">
        <v>4.0607890000000001E-2</v>
      </c>
      <c r="R4478">
        <v>-0.96224619999999905</v>
      </c>
      <c r="S4478">
        <v>1.0516969999999899</v>
      </c>
      <c r="T4478">
        <v>-0.24183389999999999</v>
      </c>
      <c r="U4478">
        <v>-2.8335880000000002</v>
      </c>
      <c r="V4478">
        <v>-0.26194410000000001</v>
      </c>
      <c r="W4478">
        <v>5.8535780000000003E-2</v>
      </c>
      <c r="X4478">
        <v>0.9633062</v>
      </c>
      <c r="Y4478">
        <v>-0.33981059999999902</v>
      </c>
      <c r="Z4478">
        <v>7.9859949999999999E-2</v>
      </c>
      <c r="AA4478">
        <v>0.93709719999999996</v>
      </c>
      <c r="AB4478">
        <v>36</v>
      </c>
      <c r="AC4478">
        <v>4.80470000000002</v>
      </c>
      <c r="AD4478">
        <v>-1.1054960240789999</v>
      </c>
      <c r="AE4478">
        <v>-12.5955499999999</v>
      </c>
      <c r="AF4478">
        <v>-4.6786645617851699</v>
      </c>
      <c r="AG4478">
        <v>-1.1054960240789999</v>
      </c>
      <c r="AH4478">
        <v>12.546844754571</v>
      </c>
      <c r="AI4478">
        <v>94.719433984937098</v>
      </c>
      <c r="AJ4478">
        <v>110.450269557629</v>
      </c>
      <c r="AK4478">
        <v>13.4363438790567</v>
      </c>
    </row>
    <row r="4479" spans="1:37" x14ac:dyDescent="0.2">
      <c r="A4479" t="str">
        <f>"20200111153741339"</f>
        <v>20200111153741339</v>
      </c>
      <c r="B4479" t="str">
        <f>"1578728261327321"</f>
        <v>1578728261327321</v>
      </c>
      <c r="C4479" t="s">
        <v>37</v>
      </c>
      <c r="D4479">
        <v>5.8360240000000001</v>
      </c>
      <c r="E4479">
        <v>0.46533389999999902</v>
      </c>
      <c r="F4479" t="s">
        <v>39</v>
      </c>
      <c r="G4479">
        <v>-417.61380000000003</v>
      </c>
      <c r="H4479" s="1">
        <v>-2.9325549999999999E-6</v>
      </c>
      <c r="I4479">
        <v>45.481990000000003</v>
      </c>
      <c r="J4479">
        <v>-422.35149999999999</v>
      </c>
      <c r="K4479">
        <v>1.105507</v>
      </c>
      <c r="L4479">
        <v>57.917999999999999</v>
      </c>
      <c r="M4479">
        <v>7.7120299999999999E-3</v>
      </c>
      <c r="N4479">
        <v>0</v>
      </c>
      <c r="O4479">
        <v>-0.99979289999999998</v>
      </c>
      <c r="P4479">
        <v>0.26904270000000002</v>
      </c>
      <c r="Q4479">
        <v>4.0661780000000002E-2</v>
      </c>
      <c r="R4479">
        <v>-0.96226990000000001</v>
      </c>
      <c r="S4479">
        <v>1.051056</v>
      </c>
      <c r="T4479">
        <v>-0.24510860000000001</v>
      </c>
      <c r="U4479">
        <v>-2.834076</v>
      </c>
      <c r="V4479">
        <v>-0.26164419999999999</v>
      </c>
      <c r="W4479">
        <v>5.8677640000000003E-2</v>
      </c>
      <c r="X4479">
        <v>0.96337909999999904</v>
      </c>
      <c r="Y4479">
        <v>-0.33933869999999999</v>
      </c>
      <c r="Z4479">
        <v>8.0930849999999999E-2</v>
      </c>
      <c r="AA4479">
        <v>0.93717629999999996</v>
      </c>
      <c r="AB4479">
        <v>36</v>
      </c>
      <c r="AC4479">
        <v>4.7376999999999603</v>
      </c>
      <c r="AD4479">
        <v>-1.105509932555</v>
      </c>
      <c r="AE4479">
        <v>-12.4360099999999</v>
      </c>
      <c r="AF4479">
        <v>-4.6098231886203598</v>
      </c>
      <c r="AG4479">
        <v>-1.105509932555</v>
      </c>
      <c r="AH4479">
        <v>12.386704276343201</v>
      </c>
      <c r="AI4479">
        <v>94.781374576513102</v>
      </c>
      <c r="AJ4479">
        <v>110.413202051986</v>
      </c>
      <c r="AK4479">
        <v>13.262845278103001</v>
      </c>
    </row>
    <row r="4480" spans="1:37" x14ac:dyDescent="0.2">
      <c r="A4480" t="str">
        <f>"20200111153741361"</f>
        <v>20200111153741361</v>
      </c>
      <c r="B4480" t="str">
        <f>"1578728261357576"</f>
        <v>1578728261357576</v>
      </c>
      <c r="C4480" t="s">
        <v>37</v>
      </c>
      <c r="D4480">
        <v>6.0605839999999898</v>
      </c>
      <c r="E4480">
        <v>0.52420270000000002</v>
      </c>
      <c r="F4480" t="s">
        <v>39</v>
      </c>
      <c r="G4480">
        <v>-417.66269999999997</v>
      </c>
      <c r="H4480" s="1">
        <v>-2.83084799999999E-6</v>
      </c>
      <c r="I4480">
        <v>45.265099999999997</v>
      </c>
      <c r="J4480">
        <v>-422.34840000000003</v>
      </c>
      <c r="K4480">
        <v>1.1055429999999999</v>
      </c>
      <c r="L4480">
        <v>57.559780000000003</v>
      </c>
      <c r="M4480">
        <v>8.0073119999999904E-3</v>
      </c>
      <c r="N4480">
        <v>0</v>
      </c>
      <c r="O4480">
        <v>-0.99978919999999905</v>
      </c>
      <c r="P4480">
        <v>0.26950239999999998</v>
      </c>
      <c r="Q4480">
        <v>4.1592369999999997E-2</v>
      </c>
      <c r="R4480">
        <v>-0.96210130000000005</v>
      </c>
      <c r="S4480">
        <v>1.050354</v>
      </c>
      <c r="T4480">
        <v>-0.24764849999999999</v>
      </c>
      <c r="U4480">
        <v>-2.8344119999999999</v>
      </c>
      <c r="V4480">
        <v>-0.2618259</v>
      </c>
      <c r="W4480">
        <v>5.9666289999999997E-2</v>
      </c>
      <c r="X4480">
        <v>0.96326900000000004</v>
      </c>
      <c r="Y4480">
        <v>-0.33879709999999902</v>
      </c>
      <c r="Z4480">
        <v>8.1765879999999999E-2</v>
      </c>
      <c r="AA4480">
        <v>0.93729979999999902</v>
      </c>
      <c r="AB4480">
        <v>36</v>
      </c>
      <c r="AC4480">
        <v>4.6857000000000504</v>
      </c>
      <c r="AD4480">
        <v>-1.105545830848</v>
      </c>
      <c r="AE4480">
        <v>-12.29468</v>
      </c>
      <c r="AF4480">
        <v>-4.5549259569984102</v>
      </c>
      <c r="AG4480">
        <v>-1.105545830848</v>
      </c>
      <c r="AH4480">
        <v>12.2453572140523</v>
      </c>
      <c r="AI4480">
        <v>94.836756231404394</v>
      </c>
      <c r="AJ4480">
        <v>110.403775091898</v>
      </c>
      <c r="AK4480">
        <v>13.111764006326</v>
      </c>
    </row>
    <row r="4481" spans="1:37" x14ac:dyDescent="0.2">
      <c r="A4481" t="str">
        <f>"20200111153741384"</f>
        <v>20200111153741384</v>
      </c>
      <c r="B4481" t="str">
        <f>"1578728261378072"</f>
        <v>1578728261378072</v>
      </c>
      <c r="C4481" t="s">
        <v>37</v>
      </c>
      <c r="D4481">
        <v>5.9530469999999998</v>
      </c>
      <c r="E4481">
        <v>0.53365779999999996</v>
      </c>
      <c r="F4481" t="s">
        <v>39</v>
      </c>
      <c r="G4481">
        <v>-420.44189999999998</v>
      </c>
      <c r="H4481" s="1">
        <v>-3.7330979999999998E-6</v>
      </c>
      <c r="I4481">
        <v>48.016959999999997</v>
      </c>
      <c r="J4481">
        <v>-422.34500000000003</v>
      </c>
      <c r="K4481">
        <v>1.105615</v>
      </c>
      <c r="L4481">
        <v>57.190669999999997</v>
      </c>
      <c r="M4481">
        <v>8.4225589999999996E-3</v>
      </c>
      <c r="N4481">
        <v>0</v>
      </c>
      <c r="O4481">
        <v>-0.99978449999999996</v>
      </c>
      <c r="P4481">
        <v>0.26862750000000002</v>
      </c>
      <c r="Q4481">
        <v>4.3398720000000002E-2</v>
      </c>
      <c r="R4481">
        <v>-0.96226639999999997</v>
      </c>
      <c r="S4481">
        <v>0.59277340000000001</v>
      </c>
      <c r="T4481">
        <v>-0.34373179999999998</v>
      </c>
      <c r="U4481">
        <v>-2.9670099999999899</v>
      </c>
      <c r="V4481">
        <v>-0.2605596</v>
      </c>
      <c r="W4481">
        <v>6.1505879999999999E-2</v>
      </c>
      <c r="X4481">
        <v>0.96349660000000004</v>
      </c>
      <c r="Y4481">
        <v>-0.186394899999999</v>
      </c>
      <c r="Z4481">
        <v>0.112965699999999</v>
      </c>
      <c r="AA4481">
        <v>0.97595880000000002</v>
      </c>
      <c r="AB4481">
        <v>36</v>
      </c>
      <c r="AC4481">
        <v>1.90310000000005</v>
      </c>
      <c r="AD4481">
        <v>-1.1056187330980001</v>
      </c>
      <c r="AE4481">
        <v>-9.1737099999999998</v>
      </c>
      <c r="AF4481">
        <v>-1.80067651250967</v>
      </c>
      <c r="AG4481">
        <v>-1.1056187330980001</v>
      </c>
      <c r="AH4481">
        <v>9.0632036196072701</v>
      </c>
      <c r="AI4481">
        <v>96.823069011179001</v>
      </c>
      <c r="AJ4481">
        <v>101.237187722247</v>
      </c>
      <c r="AK4481">
        <v>9.3062607171808498</v>
      </c>
    </row>
    <row r="4482" spans="1:37" x14ac:dyDescent="0.2">
      <c r="A4482" t="str">
        <f>"20200111153741406"</f>
        <v>20200111153741406</v>
      </c>
      <c r="B4482" t="str">
        <f>"1578728261397592"</f>
        <v>1578728261397592</v>
      </c>
      <c r="C4482" t="s">
        <v>37</v>
      </c>
      <c r="D4482">
        <v>5.9582079999999999</v>
      </c>
      <c r="E4482">
        <v>0.53515409999999997</v>
      </c>
      <c r="F4482" t="s">
        <v>39</v>
      </c>
      <c r="G4482">
        <v>-420.72919999999999</v>
      </c>
      <c r="H4482" s="1">
        <v>-3.7451130000000001E-6</v>
      </c>
      <c r="I4482">
        <v>47.866799999999998</v>
      </c>
      <c r="J4482">
        <v>-422.34160000000003</v>
      </c>
      <c r="K4482">
        <v>1.105696</v>
      </c>
      <c r="L4482">
        <v>56.847230000000003</v>
      </c>
      <c r="M4482">
        <v>8.9069379999999997E-3</v>
      </c>
      <c r="N4482">
        <v>0</v>
      </c>
      <c r="O4482">
        <v>-0.99977909999999903</v>
      </c>
      <c r="P4482">
        <v>0.26724829999999999</v>
      </c>
      <c r="Q4482">
        <v>4.5332799999999999E-2</v>
      </c>
      <c r="R4482">
        <v>-0.962561</v>
      </c>
      <c r="S4482">
        <v>0.51800539999999995</v>
      </c>
      <c r="T4482">
        <v>-0.35443540000000001</v>
      </c>
      <c r="U4482">
        <v>-2.9890140000000001</v>
      </c>
      <c r="V4482">
        <v>-0.25872390000000001</v>
      </c>
      <c r="W4482">
        <v>6.3445680000000004E-2</v>
      </c>
      <c r="X4482">
        <v>0.96386550000000004</v>
      </c>
      <c r="Y4482">
        <v>-0.1608184</v>
      </c>
      <c r="Z4482">
        <v>0.1161278</v>
      </c>
      <c r="AA4482">
        <v>0.98012849999999996</v>
      </c>
      <c r="AB4482">
        <v>35</v>
      </c>
      <c r="AC4482">
        <v>1.61240000000003</v>
      </c>
      <c r="AD4482">
        <v>-1.105699745113</v>
      </c>
      <c r="AE4482">
        <v>-8.9804300000000001</v>
      </c>
      <c r="AF4482">
        <v>-1.5101553804591501</v>
      </c>
      <c r="AG4482">
        <v>-1.105699745113</v>
      </c>
      <c r="AH4482">
        <v>8.8642581002987999</v>
      </c>
      <c r="AI4482">
        <v>97.010193151645794</v>
      </c>
      <c r="AJ4482">
        <v>99.668344824197305</v>
      </c>
      <c r="AK4482">
        <v>9.0597026920415793</v>
      </c>
    </row>
    <row r="4483" spans="1:37" x14ac:dyDescent="0.2">
      <c r="A4483" t="str">
        <f>"20200111153741428"</f>
        <v>20200111153741428</v>
      </c>
      <c r="B4483" t="str">
        <f>"1578728261418088"</f>
        <v>1578728261418088</v>
      </c>
      <c r="C4483" t="s">
        <v>37</v>
      </c>
      <c r="D4483">
        <v>5.994726</v>
      </c>
      <c r="E4483">
        <v>0.53550390000000003</v>
      </c>
      <c r="F4483" t="s">
        <v>39</v>
      </c>
      <c r="G4483">
        <v>-420.75319999999999</v>
      </c>
      <c r="H4483" s="1">
        <v>-3.5544459999999998E-6</v>
      </c>
      <c r="I4483">
        <v>47.407449999999997</v>
      </c>
      <c r="J4483">
        <v>-422.33800000000002</v>
      </c>
      <c r="K4483">
        <v>1.105788</v>
      </c>
      <c r="L4483">
        <v>56.500950000000003</v>
      </c>
      <c r="M4483">
        <v>9.5298309999999904E-3</v>
      </c>
      <c r="N4483">
        <v>0</v>
      </c>
      <c r="O4483">
        <v>-0.99977289999999996</v>
      </c>
      <c r="P4483">
        <v>0.26759929999999998</v>
      </c>
      <c r="Q4483">
        <v>4.5517170000000003E-2</v>
      </c>
      <c r="R4483">
        <v>-0.96245460000000005</v>
      </c>
      <c r="S4483">
        <v>0.50369259999999905</v>
      </c>
      <c r="T4483">
        <v>-0.350616599999999</v>
      </c>
      <c r="U4483">
        <v>-2.993347</v>
      </c>
      <c r="V4483">
        <v>-0.25848919999999997</v>
      </c>
      <c r="W4483">
        <v>6.3602699999999998E-2</v>
      </c>
      <c r="X4483">
        <v>0.96391800000000005</v>
      </c>
      <c r="Y4483">
        <v>-0.15543370000000001</v>
      </c>
      <c r="Z4483">
        <v>0.11482580000000001</v>
      </c>
      <c r="AA4483">
        <v>0.98114999999999997</v>
      </c>
      <c r="AB4483">
        <v>35</v>
      </c>
      <c r="AC4483">
        <v>1.58480000000002</v>
      </c>
      <c r="AD4483">
        <v>-1.105791554446</v>
      </c>
      <c r="AE4483">
        <v>-9.0935000000000006</v>
      </c>
      <c r="AF4483">
        <v>-1.4768579739247001</v>
      </c>
      <c r="AG4483">
        <v>-1.105791554446</v>
      </c>
      <c r="AH4483">
        <v>8.9793278905821197</v>
      </c>
      <c r="AI4483">
        <v>96.928383508794496</v>
      </c>
      <c r="AJ4483">
        <v>99.339994077702599</v>
      </c>
      <c r="AK4483">
        <v>9.1669086285189394</v>
      </c>
    </row>
    <row r="4484" spans="1:37" x14ac:dyDescent="0.2">
      <c r="A4484" t="str">
        <f>"20200111153741450"</f>
        <v>20200111153741450</v>
      </c>
      <c r="B4484" t="str">
        <f>"1578728261437608"</f>
        <v>1578728261437608</v>
      </c>
      <c r="C4484" t="s">
        <v>37</v>
      </c>
      <c r="D4484">
        <v>6.0103989999999996</v>
      </c>
      <c r="E4484">
        <v>0.53458450000000002</v>
      </c>
      <c r="F4484" t="s">
        <v>39</v>
      </c>
      <c r="G4484">
        <v>-420.73340000000002</v>
      </c>
      <c r="H4484" s="1">
        <v>-3.3533639999999998E-6</v>
      </c>
      <c r="I4484">
        <v>46.950989999999997</v>
      </c>
      <c r="J4484">
        <v>-422.3338</v>
      </c>
      <c r="K4484">
        <v>1.105898</v>
      </c>
      <c r="L4484">
        <v>56.153019999999998</v>
      </c>
      <c r="M4484">
        <v>1.033768E-2</v>
      </c>
      <c r="N4484">
        <v>0</v>
      </c>
      <c r="O4484">
        <v>-0.9997644</v>
      </c>
      <c r="P4484">
        <v>0.26854939999999999</v>
      </c>
      <c r="Q4484">
        <v>4.2849279999999997E-2</v>
      </c>
      <c r="R4484">
        <v>-0.96231259999999996</v>
      </c>
      <c r="S4484">
        <v>0.50296019999999997</v>
      </c>
      <c r="T4484">
        <v>-0.34662509999999902</v>
      </c>
      <c r="U4484">
        <v>-2.9935610000000001</v>
      </c>
      <c r="V4484">
        <v>-0.25867610000000002</v>
      </c>
      <c r="W4484">
        <v>6.0882869999999999E-2</v>
      </c>
      <c r="X4484">
        <v>0.9640436</v>
      </c>
      <c r="Y4484">
        <v>-0.1544151</v>
      </c>
      <c r="Z4484">
        <v>0.11353779999999999</v>
      </c>
      <c r="AA4484">
        <v>0.98146069999999996</v>
      </c>
      <c r="AB4484">
        <v>35</v>
      </c>
      <c r="AC4484">
        <v>1.6003999999999701</v>
      </c>
      <c r="AD4484">
        <v>-1.1059013533640001</v>
      </c>
      <c r="AE4484">
        <v>-9.2020299999999899</v>
      </c>
      <c r="AF4484">
        <v>-1.48435990747497</v>
      </c>
      <c r="AG4484">
        <v>-1.1059013533640001</v>
      </c>
      <c r="AH4484">
        <v>9.0906418201722108</v>
      </c>
      <c r="AI4484">
        <v>96.846315420469296</v>
      </c>
      <c r="AJ4484">
        <v>99.273666829861298</v>
      </c>
      <c r="AK4484">
        <v>9.2771822683913694</v>
      </c>
    </row>
    <row r="4485" spans="1:37" x14ac:dyDescent="0.2">
      <c r="A4485" t="str">
        <f>"20200111153741474"</f>
        <v>20200111153741474</v>
      </c>
      <c r="B4485" t="str">
        <f>"1578728261467864"</f>
        <v>1578728261467864</v>
      </c>
      <c r="C4485" t="s">
        <v>37</v>
      </c>
      <c r="D4485">
        <v>6.1853879999999997</v>
      </c>
      <c r="E4485">
        <v>0.53354569999999901</v>
      </c>
      <c r="F4485" t="s">
        <v>39</v>
      </c>
      <c r="G4485">
        <v>-420.73129999999998</v>
      </c>
      <c r="H4485" s="1">
        <v>-3.295965E-6</v>
      </c>
      <c r="I4485">
        <v>46.818489999999997</v>
      </c>
      <c r="J4485">
        <v>-422.32900000000001</v>
      </c>
      <c r="K4485">
        <v>1.1060540000000001</v>
      </c>
      <c r="L4485">
        <v>55.791019999999897</v>
      </c>
      <c r="M4485">
        <v>1.1408730000000001E-2</v>
      </c>
      <c r="N4485">
        <v>0</v>
      </c>
      <c r="O4485">
        <v>-0.99975249999999904</v>
      </c>
      <c r="P4485">
        <v>0.2700729</v>
      </c>
      <c r="Q4485">
        <v>3.9566839999999999E-2</v>
      </c>
      <c r="R4485">
        <v>-0.96202679999999996</v>
      </c>
      <c r="S4485">
        <v>0.51330569999999998</v>
      </c>
      <c r="T4485">
        <v>-0.35423709999999897</v>
      </c>
      <c r="U4485">
        <v>-2.9899900000000001</v>
      </c>
      <c r="V4485">
        <v>-0.25918720000000001</v>
      </c>
      <c r="W4485">
        <v>5.7515169999999997E-2</v>
      </c>
      <c r="X4485">
        <v>0.96411309999999995</v>
      </c>
      <c r="Y4485">
        <v>-0.15679889999999999</v>
      </c>
      <c r="Z4485">
        <v>0.1160755</v>
      </c>
      <c r="AA4485">
        <v>0.98078569999999998</v>
      </c>
      <c r="AB4485">
        <v>35</v>
      </c>
      <c r="AC4485">
        <v>1.5977000000000301</v>
      </c>
      <c r="AD4485">
        <v>-1.1060572959649999</v>
      </c>
      <c r="AE4485">
        <v>-8.9725299999999901</v>
      </c>
      <c r="AF4485">
        <v>-1.47350903846284</v>
      </c>
      <c r="AG4485">
        <v>-1.1060572959649999</v>
      </c>
      <c r="AH4485">
        <v>8.8596839293204201</v>
      </c>
      <c r="AI4485">
        <v>97.020626634072798</v>
      </c>
      <c r="AJ4485">
        <v>99.442784013788199</v>
      </c>
      <c r="AK4485">
        <v>9.04923151189357</v>
      </c>
    </row>
    <row r="4486" spans="1:37" x14ac:dyDescent="0.2">
      <c r="A4486" t="str">
        <f>"20200111153741495"</f>
        <v>20200111153741495</v>
      </c>
      <c r="B4486" t="str">
        <f>"1578728261487384"</f>
        <v>1578728261487384</v>
      </c>
      <c r="C4486" t="s">
        <v>37</v>
      </c>
      <c r="D4486">
        <v>6.1220129999999999</v>
      </c>
      <c r="E4486">
        <v>0.53273499999999996</v>
      </c>
      <c r="F4486" t="s">
        <v>39</v>
      </c>
      <c r="G4486">
        <v>-420.71289999999999</v>
      </c>
      <c r="H4486" s="1">
        <v>-3.2053189999999999E-6</v>
      </c>
      <c r="I4486">
        <v>46.618609999999997</v>
      </c>
      <c r="J4486">
        <v>-422.32400000000001</v>
      </c>
      <c r="K4486">
        <v>1.106233</v>
      </c>
      <c r="L4486">
        <v>55.452939999999998</v>
      </c>
      <c r="M4486">
        <v>1.265234E-2</v>
      </c>
      <c r="N4486">
        <v>0</v>
      </c>
      <c r="O4486">
        <v>-0.99973709999999905</v>
      </c>
      <c r="P4486">
        <v>0.27287440000000002</v>
      </c>
      <c r="Q4486">
        <v>3.6773479999999997E-2</v>
      </c>
      <c r="R4486">
        <v>-0.9613469</v>
      </c>
      <c r="S4486">
        <v>0.52603149999999999</v>
      </c>
      <c r="T4486">
        <v>-0.36001169999999999</v>
      </c>
      <c r="U4486">
        <v>-2.985535</v>
      </c>
      <c r="V4486">
        <v>-0.26081650000000001</v>
      </c>
      <c r="W4486">
        <v>5.4607219999999998E-2</v>
      </c>
      <c r="X4486">
        <v>0.96384269999999905</v>
      </c>
      <c r="Y4486">
        <v>-0.15983139999999901</v>
      </c>
      <c r="Z4486">
        <v>0.1180385</v>
      </c>
      <c r="AA4486">
        <v>0.98006170000000004</v>
      </c>
      <c r="AB4486">
        <v>35</v>
      </c>
      <c r="AC4486">
        <v>1.61110000000002</v>
      </c>
      <c r="AD4486">
        <v>-1.106236205319</v>
      </c>
      <c r="AE4486">
        <v>-8.8343299999999996</v>
      </c>
      <c r="AF4486">
        <v>-1.47676512921628</v>
      </c>
      <c r="AG4486">
        <v>-1.106236205319</v>
      </c>
      <c r="AH4486">
        <v>8.7216560443457301</v>
      </c>
      <c r="AI4486">
        <v>97.128279175513399</v>
      </c>
      <c r="AJ4486">
        <v>99.610265787795896</v>
      </c>
      <c r="AK4486">
        <v>8.9147001040248206</v>
      </c>
    </row>
    <row r="4487" spans="1:37" x14ac:dyDescent="0.2">
      <c r="A4487" t="str">
        <f>"20200111153741517"</f>
        <v>20200111153741517</v>
      </c>
      <c r="B4487" t="str">
        <f>"1578728261507880"</f>
        <v>1578728261507880</v>
      </c>
      <c r="C4487" t="s">
        <v>37</v>
      </c>
      <c r="D4487">
        <v>5.8727559999999999</v>
      </c>
      <c r="E4487">
        <v>0.53199879999999999</v>
      </c>
      <c r="F4487" t="s">
        <v>39</v>
      </c>
      <c r="G4487">
        <v>-420.6712</v>
      </c>
      <c r="H4487" s="1">
        <v>-3.0771449999999999E-6</v>
      </c>
      <c r="I4487">
        <v>46.345729999999897</v>
      </c>
      <c r="J4487">
        <v>-422.31819999999999</v>
      </c>
      <c r="K4487">
        <v>1.1064449999999999</v>
      </c>
      <c r="L4487">
        <v>55.113430000000001</v>
      </c>
      <c r="M4487">
        <v>1.4162930000000001E-2</v>
      </c>
      <c r="N4487">
        <v>0</v>
      </c>
      <c r="O4487">
        <v>-0.99971669999999901</v>
      </c>
      <c r="P4487">
        <v>0.27707500000000002</v>
      </c>
      <c r="Q4487">
        <v>3.4446860000000003E-2</v>
      </c>
      <c r="R4487">
        <v>-0.96023049999999999</v>
      </c>
      <c r="S4487">
        <v>0.5409851</v>
      </c>
      <c r="T4487">
        <v>-0.36208400000000002</v>
      </c>
      <c r="U4487">
        <v>-2.980896</v>
      </c>
      <c r="V4487">
        <v>-0.26359650000000001</v>
      </c>
      <c r="W4487">
        <v>5.2125489999999997E-2</v>
      </c>
      <c r="X4487">
        <v>0.96322359999999896</v>
      </c>
      <c r="Y4487">
        <v>-0.16334749999999901</v>
      </c>
      <c r="Z4487">
        <v>0.1187983</v>
      </c>
      <c r="AA4487">
        <v>0.97938989999999904</v>
      </c>
      <c r="AB4487">
        <v>35</v>
      </c>
      <c r="AC4487">
        <v>1.64699999999999</v>
      </c>
      <c r="AD4487">
        <v>-1.106448077145</v>
      </c>
      <c r="AE4487">
        <v>-8.7677000000000103</v>
      </c>
      <c r="AF4487">
        <v>-1.49956842866718</v>
      </c>
      <c r="AG4487">
        <v>-1.106448077145</v>
      </c>
      <c r="AH4487">
        <v>8.6569839257631092</v>
      </c>
      <c r="AI4487">
        <v>97.177728707621696</v>
      </c>
      <c r="AJ4487">
        <v>99.827296179014695</v>
      </c>
      <c r="AK4487">
        <v>8.8552980475303098</v>
      </c>
    </row>
    <row r="4488" spans="1:37" x14ac:dyDescent="0.2">
      <c r="A4488" t="str">
        <f>"20200111153741540"</f>
        <v>20200111153741540</v>
      </c>
      <c r="B4488" t="str">
        <f>"1578728261538136"</f>
        <v>1578728261538136</v>
      </c>
      <c r="C4488" t="s">
        <v>37</v>
      </c>
      <c r="D4488">
        <v>5.8415099999999898</v>
      </c>
      <c r="E4488">
        <v>0.49216480000000001</v>
      </c>
      <c r="F4488" t="s">
        <v>39</v>
      </c>
      <c r="G4488">
        <v>-420.62729999999999</v>
      </c>
      <c r="H4488" s="1">
        <v>-2.965485E-6</v>
      </c>
      <c r="I4488">
        <v>46.112629999999903</v>
      </c>
      <c r="J4488">
        <v>-422.3116</v>
      </c>
      <c r="K4488">
        <v>1.106668</v>
      </c>
      <c r="L4488">
        <v>54.771729999999998</v>
      </c>
      <c r="M4488">
        <v>1.5968679999999999E-2</v>
      </c>
      <c r="N4488">
        <v>0</v>
      </c>
      <c r="O4488">
        <v>-0.99968999999999997</v>
      </c>
      <c r="P4488">
        <v>0.28273019999999999</v>
      </c>
      <c r="Q4488">
        <v>3.3341330000000002E-2</v>
      </c>
      <c r="R4488">
        <v>-0.95862009999999898</v>
      </c>
      <c r="S4488">
        <v>0.55908199999999997</v>
      </c>
      <c r="T4488">
        <v>-0.3658382</v>
      </c>
      <c r="U4488">
        <v>-2.9760439999999999</v>
      </c>
      <c r="V4488">
        <v>-0.26755999999999902</v>
      </c>
      <c r="W4488">
        <v>5.0818780000000001E-2</v>
      </c>
      <c r="X4488">
        <v>0.9622001</v>
      </c>
      <c r="Y4488">
        <v>-0.1675751</v>
      </c>
      <c r="Z4488">
        <v>0.12008919999999999</v>
      </c>
      <c r="AA4488">
        <v>0.97851779999999999</v>
      </c>
      <c r="AB4488">
        <v>35</v>
      </c>
      <c r="AC4488">
        <v>1.6842999999999999</v>
      </c>
      <c r="AD4488">
        <v>-1.106670965485</v>
      </c>
      <c r="AE4488">
        <v>-8.6591000000000093</v>
      </c>
      <c r="AF4488">
        <v>-1.5218341479986699</v>
      </c>
      <c r="AG4488">
        <v>-1.106670965485</v>
      </c>
      <c r="AH4488">
        <v>8.5503271651297297</v>
      </c>
      <c r="AI4488">
        <v>97.261926873709697</v>
      </c>
      <c r="AJ4488">
        <v>100.09213385626499</v>
      </c>
      <c r="AK4488">
        <v>8.7549297216264197</v>
      </c>
    </row>
    <row r="4489" spans="1:37" x14ac:dyDescent="0.2">
      <c r="A4489" t="str">
        <f>"20200111153741562"</f>
        <v>20200111153741562</v>
      </c>
      <c r="B4489" t="str">
        <f>"1578728261557657"</f>
        <v>1578728261557657</v>
      </c>
      <c r="C4489" t="s">
        <v>37</v>
      </c>
      <c r="D4489">
        <v>5.8597019999999898</v>
      </c>
      <c r="E4489">
        <v>0.42703989999999997</v>
      </c>
      <c r="F4489" t="s">
        <v>39</v>
      </c>
      <c r="G4489">
        <v>-419.37849999999997</v>
      </c>
      <c r="H4489" s="1">
        <v>-2.505077E-6</v>
      </c>
      <c r="I4489">
        <v>45.215179999999997</v>
      </c>
      <c r="J4489">
        <v>-422.30380000000002</v>
      </c>
      <c r="K4489">
        <v>1.106897</v>
      </c>
      <c r="L4489">
        <v>54.424590000000002</v>
      </c>
      <c r="M4489">
        <v>1.8114180000000001E-2</v>
      </c>
      <c r="N4489">
        <v>0</v>
      </c>
      <c r="O4489">
        <v>-0.99965389999999998</v>
      </c>
      <c r="P4489">
        <v>0.28993759999999902</v>
      </c>
      <c r="Q4489">
        <v>3.2843829999999997E-2</v>
      </c>
      <c r="R4489">
        <v>-0.9564821</v>
      </c>
      <c r="S4489">
        <v>0.88403319999999996</v>
      </c>
      <c r="T4489">
        <v>-0.3335535</v>
      </c>
      <c r="U4489">
        <v>-2.8803709999999998</v>
      </c>
      <c r="V4489">
        <v>-0.27276499999999998</v>
      </c>
      <c r="W4489">
        <v>5.0088239999999999E-2</v>
      </c>
      <c r="X4489">
        <v>0.96077599999999996</v>
      </c>
      <c r="Y4489">
        <v>-0.27425159999999998</v>
      </c>
      <c r="Z4489">
        <v>0.110294899999999</v>
      </c>
      <c r="AA4489">
        <v>0.95531200000000005</v>
      </c>
      <c r="AB4489">
        <v>34</v>
      </c>
      <c r="AC4489">
        <v>2.92530000000004</v>
      </c>
      <c r="AD4489">
        <v>-1.1068995050770001</v>
      </c>
      <c r="AE4489">
        <v>-9.2094100000000001</v>
      </c>
      <c r="AF4489">
        <v>-2.7222467521816598</v>
      </c>
      <c r="AG4489">
        <v>-1.1068995050770001</v>
      </c>
      <c r="AH4489">
        <v>9.14094825009653</v>
      </c>
      <c r="AI4489">
        <v>96.619863303571094</v>
      </c>
      <c r="AJ4489">
        <v>106.58394809514</v>
      </c>
      <c r="AK4489">
        <v>9.6017075983934408</v>
      </c>
    </row>
    <row r="4490" spans="1:37" x14ac:dyDescent="0.2">
      <c r="A4490" t="str">
        <f>"20200111153741584"</f>
        <v>20200111153741584</v>
      </c>
      <c r="B4490" t="str">
        <f>"1578728261578152"</f>
        <v>1578728261578152</v>
      </c>
      <c r="C4490" t="s">
        <v>37</v>
      </c>
      <c r="D4490">
        <v>5.8532440000000001</v>
      </c>
      <c r="E4490">
        <v>0.40866439999999998</v>
      </c>
      <c r="F4490" t="s">
        <v>38</v>
      </c>
      <c r="G4490">
        <v>-421.80529999999999</v>
      </c>
      <c r="H4490">
        <v>1.013566</v>
      </c>
      <c r="I4490">
        <v>53.461649999999999</v>
      </c>
      <c r="J4490">
        <v>-422.29509999999999</v>
      </c>
      <c r="K4490">
        <v>1.107105</v>
      </c>
      <c r="L4490">
        <v>54.077240000000003</v>
      </c>
      <c r="M4490">
        <v>2.050629E-2</v>
      </c>
      <c r="N4490">
        <v>0</v>
      </c>
      <c r="O4490">
        <v>-0.99960849999999901</v>
      </c>
      <c r="P4490">
        <v>0.29888179999999998</v>
      </c>
      <c r="Q4490">
        <v>3.1791390000000003E-2</v>
      </c>
      <c r="R4490">
        <v>-0.95376059999999996</v>
      </c>
      <c r="S4490">
        <v>1.4075930000000001</v>
      </c>
      <c r="T4490">
        <v>-0.263524599999999</v>
      </c>
      <c r="U4490">
        <v>-2.7188720000000002</v>
      </c>
      <c r="V4490">
        <v>-0.27948249999999902</v>
      </c>
      <c r="W4490">
        <v>4.8783779999999999E-2</v>
      </c>
      <c r="X4490">
        <v>0.9589107</v>
      </c>
      <c r="Y4490">
        <v>-0.43973620000000002</v>
      </c>
      <c r="Z4490">
        <v>8.6146600000000004E-2</v>
      </c>
      <c r="AA4490">
        <v>0.8939859</v>
      </c>
      <c r="AB4490">
        <v>34</v>
      </c>
      <c r="AC4490">
        <v>0.48980000000000201</v>
      </c>
      <c r="AD4490">
        <v>-9.3538999999999997E-2</v>
      </c>
      <c r="AE4490">
        <v>-0.61559000000000397</v>
      </c>
      <c r="AF4490">
        <v>-0.470420282617321</v>
      </c>
      <c r="AG4490">
        <v>-9.3538999999999997E-2</v>
      </c>
      <c r="AH4490">
        <v>0.61678601878022699</v>
      </c>
      <c r="AI4490">
        <v>96.875846692492004</v>
      </c>
      <c r="AJ4490">
        <v>127.33262419606901</v>
      </c>
      <c r="AK4490">
        <v>0.78132565539698096</v>
      </c>
    </row>
    <row r="4491" spans="1:37" x14ac:dyDescent="0.2">
      <c r="A4491" t="str">
        <f>"20200111153741607"</f>
        <v>20200111153741607</v>
      </c>
      <c r="B4491" t="str">
        <f>"1578728261597672"</f>
        <v>1578728261597672</v>
      </c>
      <c r="C4491" t="s">
        <v>37</v>
      </c>
      <c r="D4491">
        <v>5.8020709999999998</v>
      </c>
      <c r="E4491">
        <v>0.4057018</v>
      </c>
      <c r="F4491" t="s">
        <v>38</v>
      </c>
      <c r="G4491">
        <v>-421.75810000000001</v>
      </c>
      <c r="H4491">
        <v>1.0103759999999999</v>
      </c>
      <c r="I4491">
        <v>53.16713</v>
      </c>
      <c r="J4491">
        <v>-422.28579999999999</v>
      </c>
      <c r="K4491">
        <v>1.107283</v>
      </c>
      <c r="L4491">
        <v>53.748350000000002</v>
      </c>
      <c r="M4491">
        <v>2.2981919999999999E-2</v>
      </c>
      <c r="N4491">
        <v>0</v>
      </c>
      <c r="O4491">
        <v>-0.99955559999999999</v>
      </c>
      <c r="P4491">
        <v>0.3079498</v>
      </c>
      <c r="Q4491">
        <v>3.0588440000000001E-2</v>
      </c>
      <c r="R4491">
        <v>-0.9509109</v>
      </c>
      <c r="S4491">
        <v>1.5718379999999901</v>
      </c>
      <c r="T4491">
        <v>-0.28296379999999999</v>
      </c>
      <c r="U4491">
        <v>-2.66232299999999</v>
      </c>
      <c r="V4491">
        <v>-0.28625119999999998</v>
      </c>
      <c r="W4491">
        <v>4.7338730000000002E-2</v>
      </c>
      <c r="X4491">
        <v>0.95698449999999902</v>
      </c>
      <c r="Y4491">
        <v>-0.48634189999999999</v>
      </c>
      <c r="Z4491">
        <v>9.1663819999999993E-2</v>
      </c>
      <c r="AA4491">
        <v>0.86894729999999998</v>
      </c>
      <c r="AB4491">
        <v>34</v>
      </c>
      <c r="AC4491">
        <v>0.52769999999998096</v>
      </c>
      <c r="AD4491">
        <v>-9.6906999999999993E-2</v>
      </c>
      <c r="AE4491">
        <v>-0.58121999999999396</v>
      </c>
      <c r="AF4491">
        <v>-0.50648280382694599</v>
      </c>
      <c r="AG4491">
        <v>-9.6906999999999993E-2</v>
      </c>
      <c r="AH4491">
        <v>0.58429269677506201</v>
      </c>
      <c r="AI4491">
        <v>97.143266981082206</v>
      </c>
      <c r="AJ4491">
        <v>130.91974746416199</v>
      </c>
      <c r="AK4491">
        <v>0.77930337656530102</v>
      </c>
    </row>
    <row r="4492" spans="1:37" x14ac:dyDescent="0.2">
      <c r="A4492" t="str">
        <f>"20200111153741629"</f>
        <v>20200111153741629</v>
      </c>
      <c r="B4492" t="str">
        <f>"1578728261618169"</f>
        <v>1578728261618169</v>
      </c>
      <c r="C4492" t="s">
        <v>37</v>
      </c>
      <c r="D4492">
        <v>5.7045430000000001</v>
      </c>
      <c r="E4492">
        <v>0.40468999999999999</v>
      </c>
      <c r="F4492" t="s">
        <v>38</v>
      </c>
      <c r="G4492">
        <v>-421.74380000000002</v>
      </c>
      <c r="H4492">
        <v>1.0136069999999999</v>
      </c>
      <c r="I4492">
        <v>52.865699999999997</v>
      </c>
      <c r="J4492">
        <v>-422.27499999999998</v>
      </c>
      <c r="K4492">
        <v>1.107461</v>
      </c>
      <c r="L4492">
        <v>53.404240000000001</v>
      </c>
      <c r="M4492">
        <v>2.578312E-2</v>
      </c>
      <c r="N4492">
        <v>0</v>
      </c>
      <c r="O4492">
        <v>-0.99948840000000005</v>
      </c>
      <c r="P4492">
        <v>0.31690439999999998</v>
      </c>
      <c r="Q4492">
        <v>3.0719929999999999E-2</v>
      </c>
      <c r="R4492">
        <v>-0.94796000000000002</v>
      </c>
      <c r="S4492">
        <v>1.61972</v>
      </c>
      <c r="T4492">
        <v>-0.2801092</v>
      </c>
      <c r="U4492">
        <v>-2.6393430000000002</v>
      </c>
      <c r="V4492">
        <v>-0.29261399999999999</v>
      </c>
      <c r="W4492">
        <v>4.722204E-2</v>
      </c>
      <c r="X4492">
        <v>0.95506389999999997</v>
      </c>
      <c r="Y4492">
        <v>-0.4987433</v>
      </c>
      <c r="Z4492">
        <v>9.0678389999999998E-2</v>
      </c>
      <c r="AA4492">
        <v>0.86199340000000002</v>
      </c>
      <c r="AB4492">
        <v>34</v>
      </c>
      <c r="AC4492">
        <v>0.53119999999995504</v>
      </c>
      <c r="AD4492">
        <v>-9.3854000000000104E-2</v>
      </c>
      <c r="AE4492">
        <v>-0.53854000000000402</v>
      </c>
      <c r="AF4492">
        <v>-0.50929539317797401</v>
      </c>
      <c r="AG4492">
        <v>-9.3854000000000104E-2</v>
      </c>
      <c r="AH4492">
        <v>0.54368965369448397</v>
      </c>
      <c r="AI4492">
        <v>97.180498946409301</v>
      </c>
      <c r="AJ4492">
        <v>133.12917990845099</v>
      </c>
      <c r="AK4492">
        <v>0.75085871531382997</v>
      </c>
    </row>
    <row r="4493" spans="1:37" x14ac:dyDescent="0.2">
      <c r="A4493" t="str">
        <f>"20200111153741652"</f>
        <v>20200111153741652</v>
      </c>
      <c r="B4493" t="str">
        <f>"1578728261647449"</f>
        <v>1578728261647449</v>
      </c>
      <c r="C4493" t="s">
        <v>37</v>
      </c>
      <c r="D4493">
        <v>5.6825390000000002</v>
      </c>
      <c r="E4493">
        <v>0.40518779999999999</v>
      </c>
      <c r="F4493" t="s">
        <v>38</v>
      </c>
      <c r="G4493">
        <v>-421.74439999999998</v>
      </c>
      <c r="H4493">
        <v>1.015144</v>
      </c>
      <c r="I4493">
        <v>52.561579999999999</v>
      </c>
      <c r="J4493">
        <v>-422.26339999999999</v>
      </c>
      <c r="K4493">
        <v>1.1076239999999999</v>
      </c>
      <c r="L4493">
        <v>53.0672</v>
      </c>
      <c r="M4493">
        <v>2.8715790000000001E-2</v>
      </c>
      <c r="N4493">
        <v>0</v>
      </c>
      <c r="O4493">
        <v>-0.99940960000000001</v>
      </c>
      <c r="P4493">
        <v>0.32304260000000001</v>
      </c>
      <c r="Q4493">
        <v>3.2009599999999999E-2</v>
      </c>
      <c r="R4493">
        <v>-0.94584299999999999</v>
      </c>
      <c r="S4493">
        <v>1.6515200000000001</v>
      </c>
      <c r="T4493">
        <v>-0.2872364</v>
      </c>
      <c r="U4493">
        <v>-2.6218870000000001</v>
      </c>
      <c r="V4493">
        <v>-0.29603079999999998</v>
      </c>
      <c r="W4493">
        <v>4.8291319999999999E-2</v>
      </c>
      <c r="X4493">
        <v>0.9539569</v>
      </c>
      <c r="Y4493">
        <v>-0.50615189999999999</v>
      </c>
      <c r="Z4493">
        <v>9.2985209999999999E-2</v>
      </c>
      <c r="AA4493">
        <v>0.85741710000000004</v>
      </c>
      <c r="AB4493">
        <v>34</v>
      </c>
      <c r="AC4493">
        <v>0.51900000000000501</v>
      </c>
      <c r="AD4493">
        <v>-9.2479999999999896E-2</v>
      </c>
      <c r="AE4493">
        <v>-0.50561999999999296</v>
      </c>
      <c r="AF4493">
        <v>-0.49618115388262202</v>
      </c>
      <c r="AG4493">
        <v>-9.2479999999999896E-2</v>
      </c>
      <c r="AH4493">
        <v>0.51197735973777803</v>
      </c>
      <c r="AI4493">
        <v>97.390693646792002</v>
      </c>
      <c r="AJ4493">
        <v>134.10234168202001</v>
      </c>
      <c r="AK4493">
        <v>0.71893609225880195</v>
      </c>
    </row>
    <row r="4494" spans="1:37" x14ac:dyDescent="0.2">
      <c r="A4494" t="str">
        <f>"20200111153741674"</f>
        <v>20200111153741674</v>
      </c>
      <c r="B4494" t="str">
        <f>"1578728261667944"</f>
        <v>1578728261667944</v>
      </c>
      <c r="C4494" t="s">
        <v>37</v>
      </c>
      <c r="D4494">
        <v>5.7020339999999896</v>
      </c>
      <c r="E4494">
        <v>0.4057848</v>
      </c>
      <c r="F4494" t="s">
        <v>38</v>
      </c>
      <c r="G4494">
        <v>-421.74740000000003</v>
      </c>
      <c r="H4494">
        <v>1.018451</v>
      </c>
      <c r="I4494">
        <v>52.257559999999998</v>
      </c>
      <c r="J4494">
        <v>-422.25029999999998</v>
      </c>
      <c r="K4494">
        <v>1.1077779999999999</v>
      </c>
      <c r="L4494">
        <v>52.724909999999902</v>
      </c>
      <c r="M4494">
        <v>3.18692E-2</v>
      </c>
      <c r="N4494">
        <v>0</v>
      </c>
      <c r="O4494">
        <v>-0.99931530000000002</v>
      </c>
      <c r="P4494">
        <v>0.3313507</v>
      </c>
      <c r="Q4494">
        <v>3.2297090000000001E-2</v>
      </c>
      <c r="R4494">
        <v>-0.94295469999999904</v>
      </c>
      <c r="S4494">
        <v>1.6648559999999999</v>
      </c>
      <c r="T4494">
        <v>-0.28777350000000002</v>
      </c>
      <c r="U4494">
        <v>-2.6128849999999999</v>
      </c>
      <c r="V4494">
        <v>-0.30143300000000001</v>
      </c>
      <c r="W4494">
        <v>4.8331800000000001E-2</v>
      </c>
      <c r="X4494">
        <v>0.95226160000000004</v>
      </c>
      <c r="Y4494">
        <v>-0.5078722</v>
      </c>
      <c r="Z4494">
        <v>9.3245449999999994E-2</v>
      </c>
      <c r="AA4494">
        <v>0.85637090000000005</v>
      </c>
      <c r="AB4494">
        <v>34</v>
      </c>
      <c r="AC4494">
        <v>0.50289999999995405</v>
      </c>
      <c r="AD4494">
        <v>-8.9327000000000101E-2</v>
      </c>
      <c r="AE4494">
        <v>-0.46734999999999599</v>
      </c>
      <c r="AF4494">
        <v>-0.47962787194755901</v>
      </c>
      <c r="AG4494">
        <v>-8.9327000000000101E-2</v>
      </c>
      <c r="AH4494">
        <v>0.47509915983508899</v>
      </c>
      <c r="AI4494">
        <v>97.537386920888906</v>
      </c>
      <c r="AJ4494">
        <v>135.271778357534</v>
      </c>
      <c r="AK4494">
        <v>0.68098562404352703</v>
      </c>
    </row>
    <row r="4495" spans="1:37" x14ac:dyDescent="0.2">
      <c r="A4495" t="str">
        <f>"20200111153741696"</f>
        <v>20200111153741696</v>
      </c>
      <c r="B4495" t="str">
        <f>"1578728261687464"</f>
        <v>1578728261687464</v>
      </c>
      <c r="C4495" t="s">
        <v>37</v>
      </c>
      <c r="D4495">
        <v>5.7106769999999996</v>
      </c>
      <c r="E4495">
        <v>0.40653020000000001</v>
      </c>
      <c r="F4495" t="s">
        <v>38</v>
      </c>
      <c r="G4495">
        <v>-421.75150000000002</v>
      </c>
      <c r="H4495">
        <v>1.022214</v>
      </c>
      <c r="I4495">
        <v>51.954009999999997</v>
      </c>
      <c r="J4495">
        <v>-422.23660000000001</v>
      </c>
      <c r="K4495">
        <v>1.1079159999999999</v>
      </c>
      <c r="L4495">
        <v>52.39517</v>
      </c>
      <c r="M4495">
        <v>3.5077120000000003E-2</v>
      </c>
      <c r="N4495">
        <v>0</v>
      </c>
      <c r="O4495">
        <v>-0.99920949999999997</v>
      </c>
      <c r="P4495">
        <v>0.33947870000000002</v>
      </c>
      <c r="Q4495">
        <v>3.1045110000000001E-2</v>
      </c>
      <c r="R4495">
        <v>-0.94010159999999998</v>
      </c>
      <c r="S4495">
        <v>1.6831970000000001</v>
      </c>
      <c r="T4495">
        <v>-0.28856779999999999</v>
      </c>
      <c r="U4495">
        <v>-2.5999150000000002</v>
      </c>
      <c r="V4495">
        <v>-0.306604299999999</v>
      </c>
      <c r="W4495">
        <v>4.6828120000000001E-2</v>
      </c>
      <c r="X4495">
        <v>0.95068449999999904</v>
      </c>
      <c r="Y4495">
        <v>-0.51129349999999996</v>
      </c>
      <c r="Z4495">
        <v>9.3609070000000003E-2</v>
      </c>
      <c r="AA4495">
        <v>0.85429290000000002</v>
      </c>
      <c r="AB4495">
        <v>34</v>
      </c>
      <c r="AC4495">
        <v>0.48509999999998799</v>
      </c>
      <c r="AD4495">
        <v>-8.5701999999999903E-2</v>
      </c>
      <c r="AE4495">
        <v>-0.44116000000000299</v>
      </c>
      <c r="AF4495">
        <v>-0.46144113542181803</v>
      </c>
      <c r="AG4495">
        <v>-8.5701999999999903E-2</v>
      </c>
      <c r="AH4495">
        <v>0.45021616394220698</v>
      </c>
      <c r="AI4495">
        <v>97.572253942427494</v>
      </c>
      <c r="AJ4495">
        <v>135.70543064104501</v>
      </c>
      <c r="AK4495">
        <v>0.65035939951553901</v>
      </c>
    </row>
    <row r="4496" spans="1:37" x14ac:dyDescent="0.2">
      <c r="A4496" t="str">
        <f>"20200111153741719"</f>
        <v>20200111153741719</v>
      </c>
      <c r="B4496" t="str">
        <f>"1578728261707960"</f>
        <v>1578728261707960</v>
      </c>
      <c r="C4496" t="s">
        <v>37</v>
      </c>
      <c r="D4496">
        <v>5.7113149999999999</v>
      </c>
      <c r="E4496">
        <v>0.40736279999999903</v>
      </c>
      <c r="F4496" t="s">
        <v>38</v>
      </c>
      <c r="G4496">
        <v>-421.74880000000002</v>
      </c>
      <c r="H4496">
        <v>1.0238700000000001</v>
      </c>
      <c r="I4496">
        <v>51.652790000000003</v>
      </c>
      <c r="J4496">
        <v>-422.22140000000002</v>
      </c>
      <c r="K4496">
        <v>1.1080459999999901</v>
      </c>
      <c r="L4496">
        <v>52.060389999999998</v>
      </c>
      <c r="M4496">
        <v>3.8505249999999998E-2</v>
      </c>
      <c r="N4496">
        <v>0</v>
      </c>
      <c r="O4496">
        <v>-0.99908529999999995</v>
      </c>
      <c r="P4496">
        <v>0.34742820000000002</v>
      </c>
      <c r="Q4496">
        <v>2.9899180000000001E-2</v>
      </c>
      <c r="R4496">
        <v>-0.9372298</v>
      </c>
      <c r="S4496">
        <v>1.699738</v>
      </c>
      <c r="T4496">
        <v>-0.292877099999999</v>
      </c>
      <c r="U4496">
        <v>-2.5870060000000001</v>
      </c>
      <c r="V4496">
        <v>-0.31140059999999897</v>
      </c>
      <c r="W4496">
        <v>4.5387709999999998E-2</v>
      </c>
      <c r="X4496">
        <v>0.94919419999999899</v>
      </c>
      <c r="Y4496">
        <v>-0.51403690000000002</v>
      </c>
      <c r="Z4496">
        <v>9.5132289999999994E-2</v>
      </c>
      <c r="AA4496">
        <v>0.85247640000000002</v>
      </c>
      <c r="AB4496">
        <v>34</v>
      </c>
      <c r="AC4496">
        <v>0.47259999999999902</v>
      </c>
      <c r="AD4496">
        <v>-8.4175999999999807E-2</v>
      </c>
      <c r="AE4496">
        <v>-0.40760000000000202</v>
      </c>
      <c r="AF4496">
        <v>-0.44839471829522298</v>
      </c>
      <c r="AG4496">
        <v>-8.4175999999999807E-2</v>
      </c>
      <c r="AH4496">
        <v>0.417895958818638</v>
      </c>
      <c r="AI4496">
        <v>97.819609926040002</v>
      </c>
      <c r="AJ4496">
        <v>137.01633101745099</v>
      </c>
      <c r="AK4496">
        <v>0.61869253653814404</v>
      </c>
    </row>
    <row r="4497" spans="1:37" x14ac:dyDescent="0.2">
      <c r="A4497" t="str">
        <f>"20200111153741742"</f>
        <v>20200111153741742</v>
      </c>
      <c r="B4497" t="str">
        <f>"1578728261738216"</f>
        <v>1578728261738216</v>
      </c>
      <c r="C4497" t="s">
        <v>37</v>
      </c>
      <c r="D4497">
        <v>5.6875830000000001</v>
      </c>
      <c r="E4497">
        <v>0.4083447</v>
      </c>
      <c r="F4497" t="s">
        <v>38</v>
      </c>
      <c r="G4497">
        <v>-421.74919999999997</v>
      </c>
      <c r="H4497">
        <v>1.0260180000000001</v>
      </c>
      <c r="I4497">
        <v>51.351300000000002</v>
      </c>
      <c r="J4497">
        <v>-422.20510000000002</v>
      </c>
      <c r="K4497">
        <v>1.1081639999999999</v>
      </c>
      <c r="L4497">
        <v>51.733460000000001</v>
      </c>
      <c r="M4497">
        <v>4.2027849999999999E-2</v>
      </c>
      <c r="N4497">
        <v>0</v>
      </c>
      <c r="O4497">
        <v>-0.99894620000000001</v>
      </c>
      <c r="P4497">
        <v>0.35432350000000001</v>
      </c>
      <c r="Q4497">
        <v>2.9158509999999999E-2</v>
      </c>
      <c r="R4497">
        <v>-0.93466839999999995</v>
      </c>
      <c r="S4497">
        <v>1.7147520000000001</v>
      </c>
      <c r="T4497">
        <v>-0.29785029999999901</v>
      </c>
      <c r="U4497">
        <v>-2.5747680000000002</v>
      </c>
      <c r="V4497">
        <v>-0.31505559999999899</v>
      </c>
      <c r="W4497">
        <v>4.4342579999999999E-2</v>
      </c>
      <c r="X4497">
        <v>0.94803669999999995</v>
      </c>
      <c r="Y4497">
        <v>-0.51623339999999995</v>
      </c>
      <c r="Z4497">
        <v>9.6878420000000007E-2</v>
      </c>
      <c r="AA4497">
        <v>0.85095100000000001</v>
      </c>
      <c r="AB4497">
        <v>34</v>
      </c>
      <c r="AC4497">
        <v>0.45590000000004199</v>
      </c>
      <c r="AD4497">
        <v>-8.2145999999999803E-2</v>
      </c>
      <c r="AE4497">
        <v>-0.382159999999998</v>
      </c>
      <c r="AF4497">
        <v>-0.43121066346711701</v>
      </c>
      <c r="AG4497">
        <v>-8.2145999999999803E-2</v>
      </c>
      <c r="AH4497">
        <v>0.39348307767617602</v>
      </c>
      <c r="AI4497">
        <v>98.010046630637106</v>
      </c>
      <c r="AJ4497">
        <v>137.61930611191499</v>
      </c>
      <c r="AK4497">
        <v>0.58950787443533503</v>
      </c>
    </row>
    <row r="4498" spans="1:37" x14ac:dyDescent="0.2">
      <c r="A4498" t="str">
        <f>"20200111153741764"</f>
        <v>20200111153741764</v>
      </c>
      <c r="B4498" t="str">
        <f>"1578728261757736"</f>
        <v>1578728261757736</v>
      </c>
      <c r="C4498" t="s">
        <v>37</v>
      </c>
      <c r="D4498">
        <v>5.6677349999999898</v>
      </c>
      <c r="E4498">
        <v>0.40893970000000002</v>
      </c>
      <c r="F4498" t="s">
        <v>38</v>
      </c>
      <c r="G4498">
        <v>-421.57420000000002</v>
      </c>
      <c r="H4498">
        <v>0.9976564</v>
      </c>
      <c r="I4498">
        <v>50.795999999999999</v>
      </c>
      <c r="J4498">
        <v>-422.18630000000002</v>
      </c>
      <c r="K4498">
        <v>1.1082829999999999</v>
      </c>
      <c r="L4498">
        <v>51.385680000000001</v>
      </c>
      <c r="M4498">
        <v>4.59554E-2</v>
      </c>
      <c r="N4498">
        <v>0</v>
      </c>
      <c r="O4498">
        <v>-0.99877640000000001</v>
      </c>
      <c r="P4498">
        <v>0.36083159999999997</v>
      </c>
      <c r="Q4498">
        <v>2.878739E-2</v>
      </c>
      <c r="R4498">
        <v>-0.93218679999999998</v>
      </c>
      <c r="S4498">
        <v>1.7263489999999999</v>
      </c>
      <c r="T4498">
        <v>-0.30232729999999902</v>
      </c>
      <c r="U4498">
        <v>-2.564667</v>
      </c>
      <c r="V4498">
        <v>-0.3179498</v>
      </c>
      <c r="W4498">
        <v>4.365136E-2</v>
      </c>
      <c r="X4498">
        <v>0.94710209999999995</v>
      </c>
      <c r="Y4498">
        <v>-0.51698359999999999</v>
      </c>
      <c r="Z4498">
        <v>9.8474249999999999E-2</v>
      </c>
      <c r="AA4498">
        <v>0.85031209999999902</v>
      </c>
      <c r="AB4498">
        <v>34</v>
      </c>
      <c r="AC4498">
        <v>0.61209999999999798</v>
      </c>
      <c r="AD4498">
        <v>-0.11062659999999901</v>
      </c>
      <c r="AE4498">
        <v>-0.58967999999999399</v>
      </c>
      <c r="AF4498">
        <v>-0.57461483934372604</v>
      </c>
      <c r="AG4498">
        <v>-0.11062659999999901</v>
      </c>
      <c r="AH4498">
        <v>0.60690892925175199</v>
      </c>
      <c r="AI4498">
        <v>97.540068773895001</v>
      </c>
      <c r="AJ4498">
        <v>133.434348475207</v>
      </c>
      <c r="AK4498">
        <v>0.84306518527755903</v>
      </c>
    </row>
    <row r="4499" spans="1:37" x14ac:dyDescent="0.2">
      <c r="A4499" t="str">
        <f>"20200111153741787"</f>
        <v>20200111153741787</v>
      </c>
      <c r="B4499" t="str">
        <f>"1578728261777259"</f>
        <v>1578728261777259</v>
      </c>
      <c r="C4499" t="s">
        <v>37</v>
      </c>
      <c r="D4499">
        <v>5.7041379999999897</v>
      </c>
      <c r="E4499">
        <v>0.40943740000000001</v>
      </c>
      <c r="F4499" t="s">
        <v>38</v>
      </c>
      <c r="G4499">
        <v>-421.57960000000003</v>
      </c>
      <c r="H4499">
        <v>1.0029349999999999</v>
      </c>
      <c r="I4499">
        <v>50.495040000000003</v>
      </c>
      <c r="J4499">
        <v>-422.16640000000001</v>
      </c>
      <c r="K4499">
        <v>1.108385</v>
      </c>
      <c r="L4499">
        <v>51.043149999999997</v>
      </c>
      <c r="M4499">
        <v>4.9972530000000001E-2</v>
      </c>
      <c r="N4499">
        <v>0</v>
      </c>
      <c r="O4499">
        <v>-0.9985868</v>
      </c>
      <c r="P4499">
        <v>0.3669984</v>
      </c>
      <c r="Q4499">
        <v>2.8762719999999999E-2</v>
      </c>
      <c r="R4499">
        <v>-0.92977699999999996</v>
      </c>
      <c r="S4499">
        <v>1.7402040000000001</v>
      </c>
      <c r="T4499">
        <v>-0.3020948</v>
      </c>
      <c r="U4499">
        <v>-2.5539860000000001</v>
      </c>
      <c r="V4499">
        <v>-0.32042619999999999</v>
      </c>
      <c r="W4499">
        <v>4.3328850000000002E-2</v>
      </c>
      <c r="X4499">
        <v>0.94628199999999996</v>
      </c>
      <c r="Y4499">
        <v>-0.51834789999999997</v>
      </c>
      <c r="Z4499">
        <v>9.8527890000000007E-2</v>
      </c>
      <c r="AA4499">
        <v>0.84947499999999998</v>
      </c>
      <c r="AB4499">
        <v>33</v>
      </c>
      <c r="AC4499">
        <v>0.586799999999982</v>
      </c>
      <c r="AD4499">
        <v>-0.105449999999999</v>
      </c>
      <c r="AE4499">
        <v>-0.54810999999999399</v>
      </c>
      <c r="AF4499">
        <v>-0.54920001573137001</v>
      </c>
      <c r="AG4499">
        <v>-0.105449999999999</v>
      </c>
      <c r="AH4499">
        <v>0.56697541462861401</v>
      </c>
      <c r="AI4499">
        <v>97.609093813637898</v>
      </c>
      <c r="AJ4499">
        <v>134.087626171403</v>
      </c>
      <c r="AK4499">
        <v>0.79636767926167495</v>
      </c>
    </row>
    <row r="4500" spans="1:37" x14ac:dyDescent="0.2">
      <c r="A4500" t="str">
        <f>"20200111153741808"</f>
        <v>20200111153741808</v>
      </c>
      <c r="B4500" t="str">
        <f>"1578728261797752"</f>
        <v>1578728261797752</v>
      </c>
      <c r="C4500" t="s">
        <v>37</v>
      </c>
      <c r="D4500">
        <v>5.8594349999999897</v>
      </c>
      <c r="E4500">
        <v>0.410141799999999</v>
      </c>
      <c r="F4500" t="s">
        <v>38</v>
      </c>
      <c r="G4500">
        <v>-421.58210000000003</v>
      </c>
      <c r="H4500">
        <v>1.007827</v>
      </c>
      <c r="I4500">
        <v>50.195169999999997</v>
      </c>
      <c r="J4500">
        <v>-422.1472</v>
      </c>
      <c r="K4500">
        <v>1.1084689999999999</v>
      </c>
      <c r="L4500">
        <v>50.736240000000002</v>
      </c>
      <c r="M4500">
        <v>5.3700419999999999E-2</v>
      </c>
      <c r="N4500">
        <v>0</v>
      </c>
      <c r="O4500">
        <v>-0.9983959</v>
      </c>
      <c r="P4500">
        <v>0.3719459</v>
      </c>
      <c r="Q4500">
        <v>2.9222209999999998E-2</v>
      </c>
      <c r="R4500">
        <v>-0.92779409999999896</v>
      </c>
      <c r="S4500">
        <v>1.75338699999999</v>
      </c>
      <c r="T4500">
        <v>-0.30165609999999998</v>
      </c>
      <c r="U4500">
        <v>-2.5438230000000002</v>
      </c>
      <c r="V4500">
        <v>-0.32194840000000002</v>
      </c>
      <c r="W4500">
        <v>4.3542270000000001E-2</v>
      </c>
      <c r="X4500">
        <v>0.94575540000000002</v>
      </c>
      <c r="Y4500">
        <v>-0.51973170000000002</v>
      </c>
      <c r="Z4500">
        <v>9.8502889999999996E-2</v>
      </c>
      <c r="AA4500">
        <v>0.84863189999999999</v>
      </c>
      <c r="AB4500">
        <v>33</v>
      </c>
      <c r="AC4500">
        <v>0.56509999999997196</v>
      </c>
      <c r="AD4500">
        <v>-0.100642</v>
      </c>
      <c r="AE4500">
        <v>-0.54106999999999705</v>
      </c>
      <c r="AF4500">
        <v>-0.52651138881194803</v>
      </c>
      <c r="AG4500">
        <v>-0.100642</v>
      </c>
      <c r="AH4500">
        <v>0.56135091251675895</v>
      </c>
      <c r="AI4500">
        <v>97.450116066864396</v>
      </c>
      <c r="AJ4500">
        <v>133.165690973171</v>
      </c>
      <c r="AK4500">
        <v>0.77618161643785699</v>
      </c>
    </row>
    <row r="4501" spans="1:37" x14ac:dyDescent="0.2">
      <c r="A4501" t="str">
        <f>"20200111153741830"</f>
        <v>20200111153741830</v>
      </c>
      <c r="B4501" t="str">
        <f>"1578728261828008"</f>
        <v>1578728261828008</v>
      </c>
      <c r="C4501" t="s">
        <v>37</v>
      </c>
      <c r="D4501">
        <v>5.6644230000000002</v>
      </c>
      <c r="E4501">
        <v>0.41112149999999997</v>
      </c>
      <c r="F4501" t="s">
        <v>38</v>
      </c>
      <c r="G4501">
        <v>-421.56670000000003</v>
      </c>
      <c r="H4501">
        <v>1.0100519999999999</v>
      </c>
      <c r="I4501">
        <v>49.900570000000002</v>
      </c>
      <c r="J4501">
        <v>-422.12509999999997</v>
      </c>
      <c r="K4501">
        <v>1.1085719999999999</v>
      </c>
      <c r="L4501">
        <v>50.40314</v>
      </c>
      <c r="M4501">
        <v>5.7896080000000003E-2</v>
      </c>
      <c r="N4501">
        <v>0</v>
      </c>
      <c r="O4501">
        <v>-0.99816439999999995</v>
      </c>
      <c r="P4501">
        <v>0.37685029999999903</v>
      </c>
      <c r="Q4501">
        <v>2.9325400000000001E-2</v>
      </c>
      <c r="R4501">
        <v>-0.92580989999999996</v>
      </c>
      <c r="S4501">
        <v>1.7621150000000001</v>
      </c>
      <c r="T4501">
        <v>-0.29870859999999999</v>
      </c>
      <c r="U4501">
        <v>-2.5364689999999999</v>
      </c>
      <c r="V4501">
        <v>-0.32299029999999901</v>
      </c>
      <c r="W4501">
        <v>4.3387920000000003E-2</v>
      </c>
      <c r="X4501">
        <v>0.9454072</v>
      </c>
      <c r="Y4501">
        <v>-0.51931689999999997</v>
      </c>
      <c r="Z4501">
        <v>9.7672770000000006E-2</v>
      </c>
      <c r="AA4501">
        <v>0.84898180000000001</v>
      </c>
      <c r="AB4501">
        <v>33</v>
      </c>
      <c r="AC4501">
        <v>0.55839999999994905</v>
      </c>
      <c r="AD4501">
        <v>-9.8519999999999899E-2</v>
      </c>
      <c r="AE4501">
        <v>-0.50256999999999796</v>
      </c>
      <c r="AF4501">
        <v>-0.51942861813512398</v>
      </c>
      <c r="AG4501">
        <v>-9.8519999999999899E-2</v>
      </c>
      <c r="AH4501">
        <v>0.52503164444122996</v>
      </c>
      <c r="AI4501">
        <v>97.598143898089205</v>
      </c>
      <c r="AJ4501">
        <v>134.692638684439</v>
      </c>
      <c r="AK4501">
        <v>0.745097649575159</v>
      </c>
    </row>
    <row r="4502" spans="1:37" x14ac:dyDescent="0.2">
      <c r="A4502" t="str">
        <f>"20200111153741853"</f>
        <v>20200111153741853</v>
      </c>
      <c r="B4502" t="str">
        <f>"1578728261847528"</f>
        <v>1578728261847528</v>
      </c>
      <c r="C4502" t="s">
        <v>37</v>
      </c>
      <c r="D4502">
        <v>5.7262500000000003</v>
      </c>
      <c r="E4502">
        <v>0.41152040000000001</v>
      </c>
      <c r="F4502" t="s">
        <v>38</v>
      </c>
      <c r="G4502">
        <v>-421.56560000000002</v>
      </c>
      <c r="H4502">
        <v>1.0156499999999999</v>
      </c>
      <c r="I4502">
        <v>49.602379999999997</v>
      </c>
      <c r="J4502">
        <v>-422.10210000000001</v>
      </c>
      <c r="K4502">
        <v>1.1086819999999999</v>
      </c>
      <c r="L4502">
        <v>50.079900000000002</v>
      </c>
      <c r="M4502">
        <v>6.2118710000000001E-2</v>
      </c>
      <c r="N4502">
        <v>0</v>
      </c>
      <c r="O4502">
        <v>-0.99791339999999995</v>
      </c>
      <c r="P4502">
        <v>0.38136129999999901</v>
      </c>
      <c r="Q4502">
        <v>2.9204219999999999E-2</v>
      </c>
      <c r="R4502">
        <v>-0.92396499999999904</v>
      </c>
      <c r="S4502">
        <v>1.76849399999999</v>
      </c>
      <c r="T4502">
        <v>-0.29357640000000002</v>
      </c>
      <c r="U4502">
        <v>-2.529846</v>
      </c>
      <c r="V4502">
        <v>-0.32361269999999998</v>
      </c>
      <c r="W4502">
        <v>4.3011569999999999E-2</v>
      </c>
      <c r="X4502">
        <v>0.94521149999999998</v>
      </c>
      <c r="Y4502">
        <v>-0.51827290000000004</v>
      </c>
      <c r="Z4502">
        <v>9.6149180000000001E-2</v>
      </c>
      <c r="AA4502">
        <v>0.84979319999999903</v>
      </c>
      <c r="AB4502">
        <v>33</v>
      </c>
      <c r="AC4502">
        <v>0.53649999999998899</v>
      </c>
      <c r="AD4502">
        <v>-9.3032000000000004E-2</v>
      </c>
      <c r="AE4502">
        <v>-0.477520000000005</v>
      </c>
      <c r="AF4502">
        <v>-0.49744993253785202</v>
      </c>
      <c r="AG4502">
        <v>-9.3032000000000004E-2</v>
      </c>
      <c r="AH4502">
        <v>0.50151505173011102</v>
      </c>
      <c r="AI4502">
        <v>97.5028071331717</v>
      </c>
      <c r="AJ4502">
        <v>134.76684579442599</v>
      </c>
      <c r="AK4502">
        <v>0.71248069132978598</v>
      </c>
    </row>
    <row r="4503" spans="1:37" x14ac:dyDescent="0.2">
      <c r="A4503" t="str">
        <f>"20200111153741875"</f>
        <v>20200111153741875</v>
      </c>
      <c r="B4503" t="str">
        <f>"1578728261868028"</f>
        <v>1578728261868028</v>
      </c>
      <c r="C4503" t="s">
        <v>37</v>
      </c>
      <c r="D4503">
        <v>5.7387839999999999</v>
      </c>
      <c r="E4503">
        <v>0.41195090000000001</v>
      </c>
      <c r="F4503" t="s">
        <v>38</v>
      </c>
      <c r="G4503">
        <v>-421.55699999999899</v>
      </c>
      <c r="H4503">
        <v>1.0183229999999901</v>
      </c>
      <c r="I4503">
        <v>49.306600000000003</v>
      </c>
      <c r="J4503">
        <v>-422.07679999999999</v>
      </c>
      <c r="K4503">
        <v>1.1088009999999999</v>
      </c>
      <c r="L4503">
        <v>49.748539999999998</v>
      </c>
      <c r="M4503">
        <v>6.6603499999999996E-2</v>
      </c>
      <c r="N4503">
        <v>0</v>
      </c>
      <c r="O4503">
        <v>-0.99762700000000004</v>
      </c>
      <c r="P4503">
        <v>0.38680749999999903</v>
      </c>
      <c r="Q4503">
        <v>2.9347020000000001E-2</v>
      </c>
      <c r="R4503">
        <v>-0.9216936</v>
      </c>
      <c r="S4503">
        <v>1.7779849999999999</v>
      </c>
      <c r="T4503">
        <v>-0.29474470000000003</v>
      </c>
      <c r="U4503">
        <v>-2.5223689999999999</v>
      </c>
      <c r="V4503">
        <v>-0.324957</v>
      </c>
      <c r="W4503">
        <v>4.2868169999999997E-2</v>
      </c>
      <c r="X4503">
        <v>0.94475669999999901</v>
      </c>
      <c r="Y4503">
        <v>-0.51773119999999995</v>
      </c>
      <c r="Z4503">
        <v>9.6639039999999996E-2</v>
      </c>
      <c r="AA4503">
        <v>0.85006780000000004</v>
      </c>
      <c r="AB4503">
        <v>33</v>
      </c>
      <c r="AC4503">
        <v>0.51980000000003201</v>
      </c>
      <c r="AD4503">
        <v>-9.0478000000000003E-2</v>
      </c>
      <c r="AE4503">
        <v>-0.441940000000002</v>
      </c>
      <c r="AF4503">
        <v>-0.48075178135094898</v>
      </c>
      <c r="AG4503">
        <v>-9.0478000000000003E-2</v>
      </c>
      <c r="AH4503">
        <v>0.46736513578844102</v>
      </c>
      <c r="AI4503">
        <v>97.685283157416606</v>
      </c>
      <c r="AJ4503">
        <v>135.80891640825399</v>
      </c>
      <c r="AK4503">
        <v>0.67656390230831798</v>
      </c>
    </row>
    <row r="4504" spans="1:37" x14ac:dyDescent="0.2">
      <c r="A4504" t="str">
        <f>"20200111153741897"</f>
        <v>20200111153741897</v>
      </c>
      <c r="B4504" t="str">
        <f>"1578728261887544"</f>
        <v>1578728261887544</v>
      </c>
      <c r="C4504" t="s">
        <v>37</v>
      </c>
      <c r="D4504">
        <v>5.7294650000000003</v>
      </c>
      <c r="E4504">
        <v>0.41232799999999997</v>
      </c>
      <c r="F4504" t="s">
        <v>38</v>
      </c>
      <c r="G4504">
        <v>-421.5514</v>
      </c>
      <c r="H4504">
        <v>1.022332</v>
      </c>
      <c r="I4504">
        <v>49.010179999999998</v>
      </c>
      <c r="J4504">
        <v>-422.05110000000002</v>
      </c>
      <c r="K4504">
        <v>1.1089199999999999</v>
      </c>
      <c r="L4504">
        <v>49.429720000000003</v>
      </c>
      <c r="M4504">
        <v>7.1073609999999995E-2</v>
      </c>
      <c r="N4504">
        <v>0</v>
      </c>
      <c r="O4504">
        <v>-0.99732119999999902</v>
      </c>
      <c r="P4504">
        <v>0.3920959</v>
      </c>
      <c r="Q4504">
        <v>3.0137400000000002E-2</v>
      </c>
      <c r="R4504">
        <v>-0.91943069999999905</v>
      </c>
      <c r="S4504">
        <v>1.7894289999999999</v>
      </c>
      <c r="T4504">
        <v>-0.29433759999999998</v>
      </c>
      <c r="U4504">
        <v>-2.513306</v>
      </c>
      <c r="V4504">
        <v>-0.32617259999999998</v>
      </c>
      <c r="W4504">
        <v>4.3381719999999999E-2</v>
      </c>
      <c r="X4504">
        <v>0.94431430000000005</v>
      </c>
      <c r="Y4504">
        <v>-0.51792229999999995</v>
      </c>
      <c r="Z4504">
        <v>9.6621449999999998E-2</v>
      </c>
      <c r="AA4504">
        <v>0.84995339999999997</v>
      </c>
      <c r="AB4504">
        <v>33</v>
      </c>
      <c r="AC4504">
        <v>0.49970000000001802</v>
      </c>
      <c r="AD4504">
        <v>-8.6588000000000095E-2</v>
      </c>
      <c r="AE4504">
        <v>-0.41954000000000402</v>
      </c>
      <c r="AF4504">
        <v>-0.46050306343391401</v>
      </c>
      <c r="AG4504">
        <v>-8.6588000000000095E-2</v>
      </c>
      <c r="AH4504">
        <v>0.446142233112307</v>
      </c>
      <c r="AI4504">
        <v>97.691020350062701</v>
      </c>
      <c r="AJ4504">
        <v>135.90746201304901</v>
      </c>
      <c r="AK4504">
        <v>0.646995707360146</v>
      </c>
    </row>
    <row r="4505" spans="1:37" x14ac:dyDescent="0.2">
      <c r="A4505" t="str">
        <f>"20200111153741919"</f>
        <v>20200111153741919</v>
      </c>
      <c r="B4505" t="str">
        <f>"1578728261908040"</f>
        <v>1578728261908040</v>
      </c>
      <c r="C4505" t="s">
        <v>37</v>
      </c>
      <c r="D4505">
        <v>5.6994400000000001</v>
      </c>
      <c r="E4505">
        <v>0.41274629999999901</v>
      </c>
      <c r="F4505" t="s">
        <v>38</v>
      </c>
      <c r="G4505">
        <v>-421.53809999999999</v>
      </c>
      <c r="H4505">
        <v>1.025547</v>
      </c>
      <c r="I4505">
        <v>48.716200000000001</v>
      </c>
      <c r="J4505">
        <v>-422.02319999999997</v>
      </c>
      <c r="K4505">
        <v>1.1090409999999999</v>
      </c>
      <c r="L4505">
        <v>49.105620000000002</v>
      </c>
      <c r="M4505">
        <v>7.5784539999999997E-2</v>
      </c>
      <c r="N4505">
        <v>0</v>
      </c>
      <c r="O4505">
        <v>-0.996977</v>
      </c>
      <c r="P4505">
        <v>0.39746870000000001</v>
      </c>
      <c r="Q4505">
        <v>3.0501690000000001E-2</v>
      </c>
      <c r="R4505">
        <v>-0.91710879999999995</v>
      </c>
      <c r="S4505">
        <v>1.80075099999999</v>
      </c>
      <c r="T4505">
        <v>-0.29266409999999998</v>
      </c>
      <c r="U4505">
        <v>-2.5045470000000001</v>
      </c>
      <c r="V4505">
        <v>-0.3272544</v>
      </c>
      <c r="W4505">
        <v>4.3476519999999998E-2</v>
      </c>
      <c r="X4505">
        <v>0.94393559999999999</v>
      </c>
      <c r="Y4505">
        <v>-0.51785490000000001</v>
      </c>
      <c r="Z4505">
        <v>9.6185099999999996E-2</v>
      </c>
      <c r="AA4505">
        <v>0.85004400000000002</v>
      </c>
      <c r="AB4505">
        <v>33</v>
      </c>
      <c r="AC4505">
        <v>0.48509999999998799</v>
      </c>
      <c r="AD4505">
        <v>-8.3493999999999902E-2</v>
      </c>
      <c r="AE4505">
        <v>-0.38942000000000099</v>
      </c>
      <c r="AF4505">
        <v>-0.446150809983134</v>
      </c>
      <c r="AG4505">
        <v>-8.3493999999999902E-2</v>
      </c>
      <c r="AH4505">
        <v>0.41754618313667202</v>
      </c>
      <c r="AI4505">
        <v>97.780586186862806</v>
      </c>
      <c r="AJ4505">
        <v>136.896875383842</v>
      </c>
      <c r="AK4505">
        <v>0.61673868723845304</v>
      </c>
    </row>
    <row r="4506" spans="1:37" x14ac:dyDescent="0.2">
      <c r="A4506" t="str">
        <f>"20200111153741944"</f>
        <v>20200111153741944</v>
      </c>
      <c r="B4506" t="str">
        <f>"1578728261937321"</f>
        <v>1578728261937321</v>
      </c>
      <c r="C4506" t="s">
        <v>37</v>
      </c>
      <c r="D4506">
        <v>5.7112439999999998</v>
      </c>
      <c r="E4506">
        <v>0.413305599999999</v>
      </c>
      <c r="F4506" t="s">
        <v>38</v>
      </c>
      <c r="G4506">
        <v>-421.3492</v>
      </c>
      <c r="H4506">
        <v>1.0008549999999901</v>
      </c>
      <c r="I4506">
        <v>48.177970000000002</v>
      </c>
      <c r="J4506">
        <v>-421.99160000000001</v>
      </c>
      <c r="K4506">
        <v>1.109156</v>
      </c>
      <c r="L4506">
        <v>48.761470000000003</v>
      </c>
      <c r="M4506">
        <v>8.1000160000000002E-2</v>
      </c>
      <c r="N4506">
        <v>0</v>
      </c>
      <c r="O4506">
        <v>-0.9965697</v>
      </c>
      <c r="P4506">
        <v>0.40353020000000001</v>
      </c>
      <c r="Q4506">
        <v>3.1002410000000001E-2</v>
      </c>
      <c r="R4506">
        <v>-0.91444099999999995</v>
      </c>
      <c r="S4506">
        <v>1.812775</v>
      </c>
      <c r="T4506">
        <v>-0.29099520000000001</v>
      </c>
      <c r="U4506">
        <v>-2.495209</v>
      </c>
      <c r="V4506">
        <v>-0.3285843</v>
      </c>
      <c r="W4506">
        <v>4.3689470000000001E-2</v>
      </c>
      <c r="X4506">
        <v>0.94346359999999996</v>
      </c>
      <c r="Y4506">
        <v>-0.51760529999999905</v>
      </c>
      <c r="Z4506">
        <v>9.5755179999999995E-2</v>
      </c>
      <c r="AA4506">
        <v>0.85024449999999996</v>
      </c>
      <c r="AB4506">
        <v>33</v>
      </c>
      <c r="AC4506">
        <v>0.64240000000000896</v>
      </c>
      <c r="AD4506">
        <v>-0.10830099999999999</v>
      </c>
      <c r="AE4506">
        <v>-0.58350000000000002</v>
      </c>
      <c r="AF4506">
        <v>-0.58392443647955705</v>
      </c>
      <c r="AG4506">
        <v>-0.10830099999999999</v>
      </c>
      <c r="AH4506">
        <v>0.623907744990571</v>
      </c>
      <c r="AI4506">
        <v>97.222980677353107</v>
      </c>
      <c r="AJ4506">
        <v>133.104009308282</v>
      </c>
      <c r="AK4506">
        <v>0.86136968159912997</v>
      </c>
    </row>
    <row r="4507" spans="1:37" x14ac:dyDescent="0.2">
      <c r="A4507" t="str">
        <f>"20200111153741965"</f>
        <v>20200111153741965</v>
      </c>
      <c r="B4507" t="str">
        <f>"1578728261957816"</f>
        <v>1578728261957816</v>
      </c>
      <c r="C4507" t="s">
        <v>37</v>
      </c>
      <c r="D4507">
        <v>5.741536</v>
      </c>
      <c r="E4507">
        <v>0.41356749999999998</v>
      </c>
      <c r="F4507" t="s">
        <v>38</v>
      </c>
      <c r="G4507">
        <v>-421.346</v>
      </c>
      <c r="H4507">
        <v>1.00685</v>
      </c>
      <c r="I4507">
        <v>47.88232</v>
      </c>
      <c r="J4507">
        <v>-421.9606</v>
      </c>
      <c r="K4507">
        <v>1.109253</v>
      </c>
      <c r="L4507">
        <v>48.442900000000002</v>
      </c>
      <c r="M4507">
        <v>8.5971049999999993E-2</v>
      </c>
      <c r="N4507">
        <v>0</v>
      </c>
      <c r="O4507">
        <v>-0.99615560000000003</v>
      </c>
      <c r="P4507">
        <v>0.4095163</v>
      </c>
      <c r="Q4507">
        <v>3.11312999999999E-2</v>
      </c>
      <c r="R4507">
        <v>-0.91177169999999896</v>
      </c>
      <c r="S4507">
        <v>1.825439</v>
      </c>
      <c r="T4507">
        <v>-0.28916649999999999</v>
      </c>
      <c r="U4507">
        <v>-2.4849239999999999</v>
      </c>
      <c r="V4507">
        <v>-0.33007609999999998</v>
      </c>
      <c r="W4507">
        <v>4.3564650000000003E-2</v>
      </c>
      <c r="X4507">
        <v>0.94294849999999997</v>
      </c>
      <c r="Y4507">
        <v>-0.51786460000000001</v>
      </c>
      <c r="Z4507">
        <v>9.5276550000000002E-2</v>
      </c>
      <c r="AA4507">
        <v>0.85014029999999996</v>
      </c>
      <c r="AB4507">
        <v>33</v>
      </c>
      <c r="AC4507">
        <v>0.61459999999999504</v>
      </c>
      <c r="AD4507">
        <v>-0.10240299999999999</v>
      </c>
      <c r="AE4507">
        <v>-0.56058000000000097</v>
      </c>
      <c r="AF4507">
        <v>-0.55570224732196305</v>
      </c>
      <c r="AG4507">
        <v>-0.10240299999999999</v>
      </c>
      <c r="AH4507">
        <v>0.60222308231501298</v>
      </c>
      <c r="AI4507">
        <v>97.123180022489706</v>
      </c>
      <c r="AJ4507">
        <v>132.699320748399</v>
      </c>
      <c r="AK4507">
        <v>0.82581111821086295</v>
      </c>
    </row>
    <row r="4508" spans="1:37" x14ac:dyDescent="0.2">
      <c r="A4508" t="str">
        <f>"20200111153741987"</f>
        <v>20200111153741987</v>
      </c>
      <c r="B4508" t="str">
        <f>"1578728261977336"</f>
        <v>1578728261977336</v>
      </c>
      <c r="C4508" t="s">
        <v>37</v>
      </c>
      <c r="D4508">
        <v>5.7249910000000002</v>
      </c>
      <c r="E4508">
        <v>0.41380620000000001</v>
      </c>
      <c r="F4508" t="s">
        <v>38</v>
      </c>
      <c r="G4508">
        <v>-421.32749999999999</v>
      </c>
      <c r="H4508">
        <v>1.0098309999999999</v>
      </c>
      <c r="I4508">
        <v>47.591500000000003</v>
      </c>
      <c r="J4508">
        <v>-421.9282</v>
      </c>
      <c r="K4508">
        <v>1.1093469999999901</v>
      </c>
      <c r="L4508">
        <v>48.12753</v>
      </c>
      <c r="M4508">
        <v>9.1027849999999993E-2</v>
      </c>
      <c r="N4508">
        <v>0</v>
      </c>
      <c r="O4508">
        <v>-0.99570840000000005</v>
      </c>
      <c r="P4508">
        <v>0.41542410000000002</v>
      </c>
      <c r="Q4508">
        <v>3.0677309999999999E-2</v>
      </c>
      <c r="R4508">
        <v>-0.90911070000000005</v>
      </c>
      <c r="S4508">
        <v>1.83984399999999</v>
      </c>
      <c r="T4508">
        <v>-0.28887869999999999</v>
      </c>
      <c r="U4508">
        <v>-2.4738159999999998</v>
      </c>
      <c r="V4508">
        <v>-0.33141199999999998</v>
      </c>
      <c r="W4508">
        <v>4.2878180000000002E-2</v>
      </c>
      <c r="X4508">
        <v>0.94251130000000005</v>
      </c>
      <c r="Y4508">
        <v>-0.5185438</v>
      </c>
      <c r="Z4508">
        <v>9.5287960000000005E-2</v>
      </c>
      <c r="AA4508">
        <v>0.84972499999999995</v>
      </c>
      <c r="AB4508">
        <v>33</v>
      </c>
      <c r="AC4508">
        <v>0.600700000000017</v>
      </c>
      <c r="AD4508">
        <v>-9.9515999999999896E-2</v>
      </c>
      <c r="AE4508">
        <v>-0.53602999999999601</v>
      </c>
      <c r="AF4508">
        <v>-0.54113686111232295</v>
      </c>
      <c r="AG4508">
        <v>-9.9515999999999896E-2</v>
      </c>
      <c r="AH4508">
        <v>0.57963570648089902</v>
      </c>
      <c r="AI4508">
        <v>97.153068885292001</v>
      </c>
      <c r="AJ4508">
        <v>133.032647788453</v>
      </c>
      <c r="AK4508">
        <v>0.79919339895804298</v>
      </c>
    </row>
    <row r="4509" spans="1:37" x14ac:dyDescent="0.2">
      <c r="A4509" t="str">
        <f>"20200111153742009"</f>
        <v>20200111153742009</v>
      </c>
      <c r="B4509" t="str">
        <f>"1578728261997833"</f>
        <v>1578728261997833</v>
      </c>
      <c r="C4509" t="s">
        <v>37</v>
      </c>
      <c r="D4509">
        <v>5.7671989999999997</v>
      </c>
      <c r="E4509">
        <v>0.41400500000000001</v>
      </c>
      <c r="F4509" t="s">
        <v>38</v>
      </c>
      <c r="G4509">
        <v>-421.3066</v>
      </c>
      <c r="H4509">
        <v>1.011989</v>
      </c>
      <c r="I4509">
        <v>47.301600000000001</v>
      </c>
      <c r="J4509">
        <v>-421.89420000000001</v>
      </c>
      <c r="K4509">
        <v>1.109437</v>
      </c>
      <c r="L4509">
        <v>47.812959999999997</v>
      </c>
      <c r="M4509">
        <v>9.6216300000000005E-2</v>
      </c>
      <c r="N4509">
        <v>0</v>
      </c>
      <c r="O4509">
        <v>-0.99522239999999995</v>
      </c>
      <c r="P4509">
        <v>0.42077629999999999</v>
      </c>
      <c r="Q4509">
        <v>3.0548229999999999E-2</v>
      </c>
      <c r="R4509">
        <v>-0.90665010000000001</v>
      </c>
      <c r="S4509">
        <v>1.854095</v>
      </c>
      <c r="T4509">
        <v>-0.2902748</v>
      </c>
      <c r="U4509">
        <v>-2.462494</v>
      </c>
      <c r="V4509">
        <v>-0.332065</v>
      </c>
      <c r="W4509">
        <v>4.2531840000000001E-2</v>
      </c>
      <c r="X4509">
        <v>0.94229719999999995</v>
      </c>
      <c r="Y4509">
        <v>-0.5190787</v>
      </c>
      <c r="Z4509">
        <v>9.5854640000000005E-2</v>
      </c>
      <c r="AA4509">
        <v>0.84933459999999905</v>
      </c>
      <c r="AB4509">
        <v>33</v>
      </c>
      <c r="AC4509">
        <v>0.587600000000009</v>
      </c>
      <c r="AD4509">
        <v>-9.7447999999999896E-2</v>
      </c>
      <c r="AE4509">
        <v>-0.51135999999999604</v>
      </c>
      <c r="AF4509">
        <v>-0.52741090062260298</v>
      </c>
      <c r="AG4509">
        <v>-9.7447999999999896E-2</v>
      </c>
      <c r="AH4509">
        <v>0.55681689661473899</v>
      </c>
      <c r="AI4509">
        <v>97.241181542450903</v>
      </c>
      <c r="AJ4509">
        <v>133.446427460091</v>
      </c>
      <c r="AK4509">
        <v>0.77311281657673703</v>
      </c>
    </row>
    <row r="4510" spans="1:37" x14ac:dyDescent="0.2">
      <c r="A4510" t="str">
        <f>"20200111153742031"</f>
        <v>20200111153742031</v>
      </c>
      <c r="B4510" t="str">
        <f>"1578728262028088"</f>
        <v>1578728262028088</v>
      </c>
      <c r="C4510" t="s">
        <v>37</v>
      </c>
      <c r="D4510">
        <v>5.7581290000000003</v>
      </c>
      <c r="E4510">
        <v>0.4142537</v>
      </c>
      <c r="F4510" t="s">
        <v>38</v>
      </c>
      <c r="G4510">
        <v>-421.28449999999998</v>
      </c>
      <c r="H4510">
        <v>1.014478</v>
      </c>
      <c r="I4510">
        <v>47.012209999999897</v>
      </c>
      <c r="J4510">
        <v>-421.856999999999</v>
      </c>
      <c r="K4510">
        <v>1.1095360000000001</v>
      </c>
      <c r="L4510">
        <v>47.486109999999996</v>
      </c>
      <c r="M4510">
        <v>0.1017681</v>
      </c>
      <c r="N4510">
        <v>0</v>
      </c>
      <c r="O4510">
        <v>-0.99467240000000001</v>
      </c>
      <c r="P4510">
        <v>0.4259522</v>
      </c>
      <c r="Q4510">
        <v>2.9988480000000001E-2</v>
      </c>
      <c r="R4510">
        <v>-0.90424879999999996</v>
      </c>
      <c r="S4510">
        <v>1.8671880000000001</v>
      </c>
      <c r="T4510">
        <v>-0.29078939999999998</v>
      </c>
      <c r="U4510">
        <v>-2.452118</v>
      </c>
      <c r="V4510">
        <v>-0.33219650000000001</v>
      </c>
      <c r="W4510">
        <v>4.1736699999999897E-2</v>
      </c>
      <c r="X4510">
        <v>0.94228630000000002</v>
      </c>
      <c r="Y4510">
        <v>-0.51890530000000001</v>
      </c>
      <c r="Z4510">
        <v>9.6128249999999998E-2</v>
      </c>
      <c r="AA4510">
        <v>0.84940959999999999</v>
      </c>
      <c r="AB4510">
        <v>33</v>
      </c>
      <c r="AC4510">
        <v>0.57249999999999002</v>
      </c>
      <c r="AD4510">
        <v>-9.5058000000000004E-2</v>
      </c>
      <c r="AE4510">
        <v>-0.47389999999999999</v>
      </c>
      <c r="AF4510">
        <v>-0.51290157618645704</v>
      </c>
      <c r="AG4510">
        <v>-9.5058000000000004E-2</v>
      </c>
      <c r="AH4510">
        <v>0.52118267842593102</v>
      </c>
      <c r="AI4510">
        <v>97.406751356153293</v>
      </c>
      <c r="AJ4510">
        <v>134.541176588268</v>
      </c>
      <c r="AK4510">
        <v>0.73738418379416004</v>
      </c>
    </row>
    <row r="4511" spans="1:37" x14ac:dyDescent="0.2">
      <c r="A4511" t="str">
        <f>"20200111153742054"</f>
        <v>20200111153742054</v>
      </c>
      <c r="B4511" t="str">
        <f>"1578728262047608"</f>
        <v>1578728262047608</v>
      </c>
      <c r="C4511" t="s">
        <v>37</v>
      </c>
      <c r="D4511">
        <v>5.756462</v>
      </c>
      <c r="E4511">
        <v>0.41440659999999901</v>
      </c>
      <c r="F4511" t="s">
        <v>38</v>
      </c>
      <c r="G4511">
        <v>-421.26839999999999</v>
      </c>
      <c r="H4511">
        <v>1.0174479999999999</v>
      </c>
      <c r="I4511">
        <v>46.720950000000002</v>
      </c>
      <c r="J4511">
        <v>-421.8175</v>
      </c>
      <c r="K4511">
        <v>1.109648</v>
      </c>
      <c r="L4511">
        <v>47.157170000000001</v>
      </c>
      <c r="M4511">
        <v>0.10751960000000001</v>
      </c>
      <c r="N4511">
        <v>0</v>
      </c>
      <c r="O4511">
        <v>-0.99406969999999995</v>
      </c>
      <c r="P4511">
        <v>0.43111379999999999</v>
      </c>
      <c r="Q4511">
        <v>2.9868990000000002E-2</v>
      </c>
      <c r="R4511">
        <v>-0.90180309999999897</v>
      </c>
      <c r="S4511">
        <v>1.8792419999999901</v>
      </c>
      <c r="T4511">
        <v>-0.29391430000000002</v>
      </c>
      <c r="U4511">
        <v>-2.4421689999999998</v>
      </c>
      <c r="V4511">
        <v>-0.3321424</v>
      </c>
      <c r="W4511">
        <v>4.1366519999999997E-2</v>
      </c>
      <c r="X4511">
        <v>0.94232179999999999</v>
      </c>
      <c r="Y4511">
        <v>-0.51820889999999997</v>
      </c>
      <c r="Z4511">
        <v>9.7261730000000005E-2</v>
      </c>
      <c r="AA4511">
        <v>0.84970559999999995</v>
      </c>
      <c r="AB4511">
        <v>33</v>
      </c>
      <c r="AC4511">
        <v>0.54910000000000903</v>
      </c>
      <c r="AD4511">
        <v>-9.2200000000000004E-2</v>
      </c>
      <c r="AE4511">
        <v>-0.436219999999998</v>
      </c>
      <c r="AF4511">
        <v>-0.49052869924127102</v>
      </c>
      <c r="AG4511">
        <v>-9.2200000000000004E-2</v>
      </c>
      <c r="AH4511">
        <v>0.484365033236756</v>
      </c>
      <c r="AI4511">
        <v>97.617858585786294</v>
      </c>
      <c r="AJ4511">
        <v>135.36224188468199</v>
      </c>
      <c r="AK4511">
        <v>0.69550609645191297</v>
      </c>
    </row>
    <row r="4512" spans="1:37" x14ac:dyDescent="0.2">
      <c r="A4512" t="str">
        <f>"20200111153742076"</f>
        <v>20200111153742076</v>
      </c>
      <c r="B4512" t="str">
        <f>"1578728262068104"</f>
        <v>1578728262068104</v>
      </c>
      <c r="C4512" t="s">
        <v>37</v>
      </c>
      <c r="D4512">
        <v>5.7612209999999999</v>
      </c>
      <c r="E4512">
        <v>0.4145354</v>
      </c>
      <c r="F4512" t="s">
        <v>38</v>
      </c>
      <c r="G4512">
        <v>-421.25170000000003</v>
      </c>
      <c r="H4512">
        <v>1.021498</v>
      </c>
      <c r="I4512">
        <v>46.429789999999997</v>
      </c>
      <c r="J4512">
        <v>-421.77769999999998</v>
      </c>
      <c r="K4512">
        <v>1.1097709999999901</v>
      </c>
      <c r="L4512">
        <v>46.84225</v>
      </c>
      <c r="M4512">
        <v>0.113191899999999</v>
      </c>
      <c r="N4512">
        <v>0</v>
      </c>
      <c r="O4512">
        <v>-0.99344219999999905</v>
      </c>
      <c r="P4512">
        <v>0.43510140000000003</v>
      </c>
      <c r="Q4512">
        <v>3.0729960000000001E-2</v>
      </c>
      <c r="R4512">
        <v>-0.89985700000000002</v>
      </c>
      <c r="S4512">
        <v>1.8919680000000001</v>
      </c>
      <c r="T4512">
        <v>-0.2947302</v>
      </c>
      <c r="U4512">
        <v>-2.4319759999999899</v>
      </c>
      <c r="V4512">
        <v>-0.33095910000000001</v>
      </c>
      <c r="W4512">
        <v>4.2000639999999999E-2</v>
      </c>
      <c r="X4512">
        <v>0.94270989999999999</v>
      </c>
      <c r="Y4512">
        <v>-0.51781080000000002</v>
      </c>
      <c r="Z4512">
        <v>9.7626920000000006E-2</v>
      </c>
      <c r="AA4512">
        <v>0.84990639999999995</v>
      </c>
      <c r="AB4512">
        <v>33</v>
      </c>
      <c r="AC4512">
        <v>0.52599999999995295</v>
      </c>
      <c r="AD4512">
        <v>-8.8272999999999796E-2</v>
      </c>
      <c r="AE4512">
        <v>-0.412459999999995</v>
      </c>
      <c r="AF4512">
        <v>-0.46776757794423601</v>
      </c>
      <c r="AG4512">
        <v>-8.8272999999999796E-2</v>
      </c>
      <c r="AH4512">
        <v>0.461309985817417</v>
      </c>
      <c r="AI4512">
        <v>97.652613301879398</v>
      </c>
      <c r="AJ4512">
        <v>135.39823027825301</v>
      </c>
      <c r="AK4512">
        <v>0.66287670989383995</v>
      </c>
    </row>
    <row r="4513" spans="1:37" x14ac:dyDescent="0.2">
      <c r="A4513" t="str">
        <f>"20200111153742098"</f>
        <v>20200111153742098</v>
      </c>
      <c r="B4513" t="str">
        <f>"1578728262087624"</f>
        <v>1578728262087624</v>
      </c>
      <c r="C4513" t="s">
        <v>37</v>
      </c>
      <c r="D4513">
        <v>5.8022879999999999</v>
      </c>
      <c r="E4513">
        <v>0.4145856</v>
      </c>
      <c r="F4513" t="s">
        <v>38</v>
      </c>
      <c r="G4513">
        <v>-421.2276</v>
      </c>
      <c r="H4513">
        <v>1.0253049999999999</v>
      </c>
      <c r="I4513">
        <v>46.141059999999896</v>
      </c>
      <c r="J4513">
        <v>-421.73610000000002</v>
      </c>
      <c r="K4513">
        <v>1.1099019999999999</v>
      </c>
      <c r="L4513">
        <v>46.528410000000001</v>
      </c>
      <c r="M4513">
        <v>0.11902459999999999</v>
      </c>
      <c r="N4513">
        <v>0</v>
      </c>
      <c r="O4513">
        <v>-0.99276260000000005</v>
      </c>
      <c r="P4513">
        <v>0.43856990000000001</v>
      </c>
      <c r="Q4513">
        <v>3.2312340000000002E-2</v>
      </c>
      <c r="R4513">
        <v>-0.89811589999999997</v>
      </c>
      <c r="S4513">
        <v>1.9022520000000001</v>
      </c>
      <c r="T4513">
        <v>-0.29200529999999902</v>
      </c>
      <c r="U4513">
        <v>-2.4240719999999998</v>
      </c>
      <c r="V4513">
        <v>-0.32909679999999902</v>
      </c>
      <c r="W4513">
        <v>4.3363150000000003E-2</v>
      </c>
      <c r="X4513">
        <v>0.94330000000000003</v>
      </c>
      <c r="Y4513">
        <v>-0.51642270000000001</v>
      </c>
      <c r="Z4513">
        <v>9.6809160000000005E-2</v>
      </c>
      <c r="AA4513">
        <v>0.85084400000000004</v>
      </c>
      <c r="AB4513">
        <v>33</v>
      </c>
      <c r="AC4513">
        <v>0.50850000000002604</v>
      </c>
      <c r="AD4513">
        <v>-8.4597000000000006E-2</v>
      </c>
      <c r="AE4513">
        <v>-0.38735000000000402</v>
      </c>
      <c r="AF4513">
        <v>-0.45087732527471303</v>
      </c>
      <c r="AG4513">
        <v>-8.4597000000000006E-2</v>
      </c>
      <c r="AH4513">
        <v>0.43746548241128402</v>
      </c>
      <c r="AI4513">
        <v>97.669337166281196</v>
      </c>
      <c r="AJ4513">
        <v>135.86496294822999</v>
      </c>
      <c r="AK4513">
        <v>0.63389515154891096</v>
      </c>
    </row>
    <row r="4514" spans="1:37" x14ac:dyDescent="0.2">
      <c r="A4514" t="str">
        <f>"20200111153742121"</f>
        <v>20200111153742121</v>
      </c>
      <c r="B4514" t="str">
        <f>"1578728262117880"</f>
        <v>1578728262117880</v>
      </c>
      <c r="C4514" t="s">
        <v>37</v>
      </c>
      <c r="D4514">
        <v>5.7564650000000004</v>
      </c>
      <c r="E4514">
        <v>0.44372279999999997</v>
      </c>
      <c r="F4514" t="s">
        <v>38</v>
      </c>
      <c r="G4514">
        <v>-421.20159999999998</v>
      </c>
      <c r="H4514">
        <v>1.0298389999999999</v>
      </c>
      <c r="I4514">
        <v>45.852909999999902</v>
      </c>
      <c r="J4514">
        <v>-421.69069999999999</v>
      </c>
      <c r="K4514">
        <v>1.110034</v>
      </c>
      <c r="L4514">
        <v>46.202669999999998</v>
      </c>
      <c r="M4514">
        <v>0.1252923</v>
      </c>
      <c r="N4514">
        <v>0</v>
      </c>
      <c r="O4514">
        <v>-0.99199369999999998</v>
      </c>
      <c r="P4514">
        <v>0.44285249999999998</v>
      </c>
      <c r="Q4514">
        <v>3.3525979999999997E-2</v>
      </c>
      <c r="R4514">
        <v>-0.89596759999999998</v>
      </c>
      <c r="S4514">
        <v>1.9125369999999999</v>
      </c>
      <c r="T4514">
        <v>-0.28643689999999999</v>
      </c>
      <c r="U4514">
        <v>-2.4167179999999999</v>
      </c>
      <c r="V4514">
        <v>-0.32767600000000002</v>
      </c>
      <c r="W4514">
        <v>4.4328289999999999E-2</v>
      </c>
      <c r="X4514">
        <v>0.94374969999999903</v>
      </c>
      <c r="Y4514">
        <v>-0.51461619999999997</v>
      </c>
      <c r="Z4514">
        <v>9.5038090000000006E-2</v>
      </c>
      <c r="AA4514">
        <v>0.85213729999999999</v>
      </c>
      <c r="AB4514">
        <v>33</v>
      </c>
      <c r="AC4514">
        <v>0.48910000000000697</v>
      </c>
      <c r="AD4514">
        <v>-8.0195000000000002E-2</v>
      </c>
      <c r="AE4514">
        <v>-0.34976000000000301</v>
      </c>
      <c r="AF4514">
        <v>-0.43370247412840401</v>
      </c>
      <c r="AG4514">
        <v>-8.0195000000000002E-2</v>
      </c>
      <c r="AH4514">
        <v>0.40115556595667901</v>
      </c>
      <c r="AI4514">
        <v>97.730295291051206</v>
      </c>
      <c r="AJ4514">
        <v>137.23254316384899</v>
      </c>
      <c r="AK4514">
        <v>0.59620035406574801</v>
      </c>
    </row>
    <row r="4515" spans="1:37" x14ac:dyDescent="0.2">
      <c r="A4515" t="str">
        <f>"20200111153742143"</f>
        <v>20200111153742143</v>
      </c>
      <c r="B4515" t="str">
        <f>"1578728262137400"</f>
        <v>1578728262137400</v>
      </c>
      <c r="C4515" t="s">
        <v>37</v>
      </c>
      <c r="D4515">
        <v>5.6361999999999997</v>
      </c>
      <c r="E4515">
        <v>0.4527622</v>
      </c>
      <c r="F4515" t="s">
        <v>38</v>
      </c>
      <c r="G4515">
        <v>-421.07729999999998</v>
      </c>
      <c r="H4515">
        <v>0.98655559999999998</v>
      </c>
      <c r="I4515">
        <v>45.302619999999997</v>
      </c>
      <c r="J4515">
        <v>-421.64440000000002</v>
      </c>
      <c r="K4515">
        <v>1.110169</v>
      </c>
      <c r="L4515">
        <v>45.887419999999999</v>
      </c>
      <c r="M4515">
        <v>0.13156019999999999</v>
      </c>
      <c r="N4515">
        <v>0</v>
      </c>
      <c r="O4515">
        <v>-0.99118439999999997</v>
      </c>
      <c r="P4515">
        <v>0.44728899999999999</v>
      </c>
      <c r="Q4515">
        <v>3.458692E-2</v>
      </c>
      <c r="R4515">
        <v>-0.89372050000000003</v>
      </c>
      <c r="S4515">
        <v>1.71386699999999</v>
      </c>
      <c r="T4515">
        <v>-0.34492640000000002</v>
      </c>
      <c r="U4515">
        <v>-2.51416</v>
      </c>
      <c r="V4515">
        <v>-0.3264222</v>
      </c>
      <c r="W4515">
        <v>4.5147159999999999E-2</v>
      </c>
      <c r="X4515">
        <v>0.94414529999999997</v>
      </c>
      <c r="Y4515">
        <v>-0.44590819999999998</v>
      </c>
      <c r="Z4515">
        <v>0.1151674</v>
      </c>
      <c r="AA4515">
        <v>0.88763860000000006</v>
      </c>
      <c r="AB4515">
        <v>32</v>
      </c>
      <c r="AC4515">
        <v>0.56710000000003902</v>
      </c>
      <c r="AD4515">
        <v>-0.123613399999999</v>
      </c>
      <c r="AE4515">
        <v>-0.58479999999999399</v>
      </c>
      <c r="AF4515">
        <v>-0.474302260425567</v>
      </c>
      <c r="AG4515">
        <v>-0.123613399999999</v>
      </c>
      <c r="AH4515">
        <v>0.63960482064544699</v>
      </c>
      <c r="AI4515">
        <v>98.8241164813343</v>
      </c>
      <c r="AJ4515">
        <v>126.558974294487</v>
      </c>
      <c r="AK4515">
        <v>0.80581463966427003</v>
      </c>
    </row>
    <row r="4516" spans="1:37" x14ac:dyDescent="0.2">
      <c r="A4516" t="str">
        <f>"20200111153742166"</f>
        <v>20200111153742166</v>
      </c>
      <c r="B4516" t="str">
        <f>"1578728262157899"</f>
        <v>1578728262157899</v>
      </c>
      <c r="C4516" t="s">
        <v>37</v>
      </c>
      <c r="D4516">
        <v>5.6508050000000001</v>
      </c>
      <c r="E4516">
        <v>0.45477499999999998</v>
      </c>
      <c r="F4516" t="s">
        <v>38</v>
      </c>
      <c r="G4516">
        <v>-421.06889999999999</v>
      </c>
      <c r="H4516">
        <v>0.99159830000000004</v>
      </c>
      <c r="I4516">
        <v>45.008139999999997</v>
      </c>
      <c r="J4516">
        <v>-421.59469999999999</v>
      </c>
      <c r="K4516">
        <v>1.110304</v>
      </c>
      <c r="L4516">
        <v>45.563839999999999</v>
      </c>
      <c r="M4516">
        <v>0.13817570000000001</v>
      </c>
      <c r="N4516">
        <v>0</v>
      </c>
      <c r="O4516">
        <v>-0.99028649999999996</v>
      </c>
      <c r="P4516">
        <v>0.45162819999999998</v>
      </c>
      <c r="Q4516">
        <v>3.6024790000000001E-2</v>
      </c>
      <c r="R4516">
        <v>-0.89147900000000002</v>
      </c>
      <c r="S4516">
        <v>1.662323</v>
      </c>
      <c r="T4516">
        <v>-0.34227570000000002</v>
      </c>
      <c r="U4516">
        <v>-2.5380549999999999</v>
      </c>
      <c r="V4516">
        <v>-0.32474789999999998</v>
      </c>
      <c r="W4516">
        <v>4.6352289999999997E-2</v>
      </c>
      <c r="X4516">
        <v>0.94466410000000001</v>
      </c>
      <c r="Y4516">
        <v>-0.42344300000000001</v>
      </c>
      <c r="Z4516">
        <v>0.11448999999999999</v>
      </c>
      <c r="AA4516">
        <v>0.89865910000000004</v>
      </c>
      <c r="AB4516">
        <v>32</v>
      </c>
      <c r="AC4516">
        <v>0.52580000000000304</v>
      </c>
      <c r="AD4516">
        <v>-0.1187057</v>
      </c>
      <c r="AE4516">
        <v>-0.55569999999999398</v>
      </c>
      <c r="AF4516">
        <v>-0.43352409069794601</v>
      </c>
      <c r="AG4516">
        <v>-0.1187057</v>
      </c>
      <c r="AH4516">
        <v>0.60838225385469902</v>
      </c>
      <c r="AI4516">
        <v>99.028865722437104</v>
      </c>
      <c r="AJ4516">
        <v>125.473103705688</v>
      </c>
      <c r="AK4516">
        <v>0.75641466619394404</v>
      </c>
    </row>
    <row r="4517" spans="1:37" x14ac:dyDescent="0.2">
      <c r="A4517" t="str">
        <f>"20200111153742198"</f>
        <v>20200111153742198</v>
      </c>
      <c r="B4517" t="str">
        <f>"1578728262188152"</f>
        <v>1578728262188152</v>
      </c>
      <c r="C4517" t="s">
        <v>37</v>
      </c>
      <c r="D4517">
        <v>5.7347279999999996</v>
      </c>
      <c r="E4517">
        <v>0.4559627</v>
      </c>
      <c r="F4517" t="s">
        <v>38</v>
      </c>
      <c r="G4517">
        <v>-421.04160000000002</v>
      </c>
      <c r="H4517">
        <v>0.99869519999999901</v>
      </c>
      <c r="I4517">
        <v>44.719050000000003</v>
      </c>
      <c r="J4517">
        <v>-421.51960000000003</v>
      </c>
      <c r="K4517">
        <v>1.1104810000000001</v>
      </c>
      <c r="L4517">
        <v>45.100679999999997</v>
      </c>
      <c r="M4517">
        <v>0.14796309999999999</v>
      </c>
      <c r="N4517">
        <v>0</v>
      </c>
      <c r="O4517">
        <v>-0.988874699999999</v>
      </c>
      <c r="P4517">
        <v>0.45837739999999999</v>
      </c>
      <c r="Q4517">
        <v>3.6109750000000003E-2</v>
      </c>
      <c r="R4517">
        <v>-0.88802399999999904</v>
      </c>
      <c r="S4517">
        <v>1.6611939999999901</v>
      </c>
      <c r="T4517">
        <v>-0.33520689999999997</v>
      </c>
      <c r="U4517">
        <v>-2.537201</v>
      </c>
      <c r="V4517">
        <v>-0.32259120000000002</v>
      </c>
      <c r="W4517">
        <v>4.6112220000000002E-2</v>
      </c>
      <c r="X4517">
        <v>0.94541450000000005</v>
      </c>
      <c r="Y4517">
        <v>-0.41447650000000003</v>
      </c>
      <c r="Z4517">
        <v>0.112203</v>
      </c>
      <c r="AA4517">
        <v>0.90311669999999999</v>
      </c>
      <c r="AB4517">
        <v>32</v>
      </c>
      <c r="AC4517">
        <v>0.47800000000000797</v>
      </c>
      <c r="AD4517">
        <v>-0.1117858</v>
      </c>
      <c r="AE4517">
        <v>-0.38162999999999397</v>
      </c>
      <c r="AF4517">
        <v>-0.40280946994838301</v>
      </c>
      <c r="AG4517">
        <v>-0.1117858</v>
      </c>
      <c r="AH4517">
        <v>0.43367783706506302</v>
      </c>
      <c r="AI4517">
        <v>100.695075883984</v>
      </c>
      <c r="AJ4517">
        <v>132.88660871877599</v>
      </c>
      <c r="AK4517">
        <v>0.60235205695935701</v>
      </c>
    </row>
    <row r="4518" spans="1:37" x14ac:dyDescent="0.2">
      <c r="A4518" t="str">
        <f>"20200111153742222"</f>
        <v>20200111153742222</v>
      </c>
      <c r="B4518" t="str">
        <f>"1578728262217432"</f>
        <v>1578728262217432</v>
      </c>
      <c r="C4518" t="s">
        <v>37</v>
      </c>
      <c r="D4518">
        <v>5.88185</v>
      </c>
      <c r="E4518">
        <v>0.456941299999999</v>
      </c>
      <c r="F4518" t="s">
        <v>53</v>
      </c>
      <c r="G4518">
        <v>-415.79419999999999</v>
      </c>
      <c r="H4518" s="1">
        <v>-3.0968449999999999E-6</v>
      </c>
      <c r="I4518">
        <v>36.44999</v>
      </c>
      <c r="J4518">
        <v>-421.46440000000001</v>
      </c>
      <c r="K4518">
        <v>1.110616</v>
      </c>
      <c r="L4518">
        <v>44.780180000000001</v>
      </c>
      <c r="M4518">
        <v>0.15501389999999901</v>
      </c>
      <c r="N4518">
        <v>0</v>
      </c>
      <c r="O4518">
        <v>-0.98779589999999995</v>
      </c>
      <c r="P4518">
        <v>0.46415839999999903</v>
      </c>
      <c r="Q4518">
        <v>3.5302670000000001E-2</v>
      </c>
      <c r="R4518">
        <v>-0.88504859999999896</v>
      </c>
      <c r="S4518">
        <v>1.673065</v>
      </c>
      <c r="T4518">
        <v>-0.32450409999999902</v>
      </c>
      <c r="U4518">
        <v>-2.5278930000000002</v>
      </c>
      <c r="V4518">
        <v>-0.32201049999999998</v>
      </c>
      <c r="W4518">
        <v>4.506951E-2</v>
      </c>
      <c r="X4518">
        <v>0.94566269999999997</v>
      </c>
      <c r="Y4518">
        <v>-0.41268310000000002</v>
      </c>
      <c r="Z4518">
        <v>0.10873669999999901</v>
      </c>
      <c r="AA4518">
        <v>0.90436109999999903</v>
      </c>
      <c r="AB4518">
        <v>32</v>
      </c>
      <c r="AC4518">
        <v>5.6702000000000199</v>
      </c>
      <c r="AD4518">
        <v>-1.110619096845</v>
      </c>
      <c r="AE4518">
        <v>-8.33019</v>
      </c>
      <c r="AF4518">
        <v>-4.2584717898650704</v>
      </c>
      <c r="AG4518">
        <v>-1.110619096845</v>
      </c>
      <c r="AH4518">
        <v>8.9992185725442795</v>
      </c>
      <c r="AI4518">
        <v>96.365230715021198</v>
      </c>
      <c r="AJ4518">
        <v>115.32372884196</v>
      </c>
      <c r="AK4518">
        <v>10.017683947888299</v>
      </c>
    </row>
    <row r="4519" spans="1:37" x14ac:dyDescent="0.2">
      <c r="A4519" t="str">
        <f>"20200111153742244"</f>
        <v>20200111153742244</v>
      </c>
      <c r="B4519" t="str">
        <f>"1578728262237931"</f>
        <v>1578728262237931</v>
      </c>
      <c r="C4519" t="s">
        <v>37</v>
      </c>
      <c r="D4519">
        <v>5.9290330000000004</v>
      </c>
      <c r="E4519">
        <v>0.45709929999999899</v>
      </c>
      <c r="F4519" t="s">
        <v>38</v>
      </c>
      <c r="G4519">
        <v>-420.8698</v>
      </c>
      <c r="H4519">
        <v>0.99755349999999998</v>
      </c>
      <c r="I4519">
        <v>43.88944</v>
      </c>
      <c r="J4519">
        <v>-421.40730000000002</v>
      </c>
      <c r="K4519">
        <v>1.1107719999999901</v>
      </c>
      <c r="L4519">
        <v>44.463070000000002</v>
      </c>
      <c r="M4519">
        <v>0.16221659999999999</v>
      </c>
      <c r="N4519">
        <v>0</v>
      </c>
      <c r="O4519">
        <v>-0.98664050000000003</v>
      </c>
      <c r="P4519">
        <v>0.4708929</v>
      </c>
      <c r="Q4519">
        <v>3.4666460000000003E-2</v>
      </c>
      <c r="R4519">
        <v>-0.88150919999999899</v>
      </c>
      <c r="S4519">
        <v>1.68252599999999</v>
      </c>
      <c r="T4519">
        <v>-0.31986750000000003</v>
      </c>
      <c r="U4519">
        <v>-2.5200200000000001</v>
      </c>
      <c r="V4519">
        <v>-0.3223258</v>
      </c>
      <c r="W4519">
        <v>4.4183E-2</v>
      </c>
      <c r="X4519">
        <v>0.94559709999999997</v>
      </c>
      <c r="Y4519">
        <v>-0.409784599999999</v>
      </c>
      <c r="Z4519">
        <v>0.10726049999999999</v>
      </c>
      <c r="AA4519">
        <v>0.90585419999999905</v>
      </c>
      <c r="AB4519">
        <v>32</v>
      </c>
      <c r="AC4519">
        <v>0.53750000000002196</v>
      </c>
      <c r="AD4519">
        <v>-0.113218499999999</v>
      </c>
      <c r="AE4519">
        <v>-0.57363000000000097</v>
      </c>
      <c r="AF4519">
        <v>-0.428429440732846</v>
      </c>
      <c r="AG4519">
        <v>-0.113218499999999</v>
      </c>
      <c r="AH4519">
        <v>0.63995715957388599</v>
      </c>
      <c r="AI4519">
        <v>98.363293611464698</v>
      </c>
      <c r="AJ4519">
        <v>123.800955970128</v>
      </c>
      <c r="AK4519">
        <v>0.77840566578024495</v>
      </c>
    </row>
    <row r="4520" spans="1:37" x14ac:dyDescent="0.2">
      <c r="A4520" t="str">
        <f>"20200111153742266"</f>
        <v>20200111153742266</v>
      </c>
      <c r="B4520" t="str">
        <f>"1578728262257448"</f>
        <v>1578728262257448</v>
      </c>
      <c r="C4520" t="s">
        <v>37</v>
      </c>
      <c r="D4520">
        <v>5.9456059999999997</v>
      </c>
      <c r="E4520">
        <v>0.45714099999999902</v>
      </c>
      <c r="F4520" t="s">
        <v>38</v>
      </c>
      <c r="G4520">
        <v>-420.825999999999</v>
      </c>
      <c r="H4520">
        <v>1.0023690000000001</v>
      </c>
      <c r="I4520">
        <v>43.606229999999996</v>
      </c>
      <c r="J4520">
        <v>-421.34879999999998</v>
      </c>
      <c r="K4520">
        <v>1.110922</v>
      </c>
      <c r="L4520">
        <v>44.152369999999998</v>
      </c>
      <c r="M4520">
        <v>0.16946439999999999</v>
      </c>
      <c r="N4520">
        <v>0</v>
      </c>
      <c r="O4520">
        <v>-0.9854231</v>
      </c>
      <c r="P4520">
        <v>0.47863299999999998</v>
      </c>
      <c r="Q4520">
        <v>3.4505620000000001E-2</v>
      </c>
      <c r="R4520">
        <v>-0.87733700000000003</v>
      </c>
      <c r="S4520">
        <v>1.7005919999999899</v>
      </c>
      <c r="T4520">
        <v>-0.31720769999999998</v>
      </c>
      <c r="U4520">
        <v>-2.5073240000000001</v>
      </c>
      <c r="V4520">
        <v>-0.32371149999999999</v>
      </c>
      <c r="W4520">
        <v>4.3769019999999999E-2</v>
      </c>
      <c r="X4520">
        <v>0.94514290000000001</v>
      </c>
      <c r="Y4520">
        <v>-0.40973900000000002</v>
      </c>
      <c r="Z4520">
        <v>0.1064291</v>
      </c>
      <c r="AA4520">
        <v>0.90597280000000002</v>
      </c>
      <c r="AB4520">
        <v>32</v>
      </c>
      <c r="AC4520">
        <v>0.52280000000001703</v>
      </c>
      <c r="AD4520">
        <v>-0.108552999999999</v>
      </c>
      <c r="AE4520">
        <v>-0.54614000000000096</v>
      </c>
      <c r="AF4520">
        <v>-0.41413729998711601</v>
      </c>
      <c r="AG4520">
        <v>-0.108552999999999</v>
      </c>
      <c r="AH4520">
        <v>0.61418302958207205</v>
      </c>
      <c r="AI4520">
        <v>98.336902158006396</v>
      </c>
      <c r="AJ4520">
        <v>123.99138280252301</v>
      </c>
      <c r="AK4520">
        <v>0.74867499682855099</v>
      </c>
    </row>
    <row r="4521" spans="1:37" x14ac:dyDescent="0.2">
      <c r="A4521" t="str">
        <f>"20200111153742288"</f>
        <v>20200111153742288</v>
      </c>
      <c r="B4521" t="str">
        <f>"1578728262277944"</f>
        <v>1578728262277944</v>
      </c>
      <c r="C4521" t="s">
        <v>37</v>
      </c>
      <c r="D4521">
        <v>5.8092680000000003</v>
      </c>
      <c r="E4521">
        <v>0.45714259999999901</v>
      </c>
      <c r="F4521" t="s">
        <v>38</v>
      </c>
      <c r="G4521">
        <v>-420.76299999999998</v>
      </c>
      <c r="H4521">
        <v>1.0036879999999999</v>
      </c>
      <c r="I4521">
        <v>43.304920000000003</v>
      </c>
      <c r="J4521">
        <v>-421.28809999999999</v>
      </c>
      <c r="K4521">
        <v>1.111073</v>
      </c>
      <c r="L4521">
        <v>43.843350000000001</v>
      </c>
      <c r="M4521">
        <v>0.17685899999999999</v>
      </c>
      <c r="N4521">
        <v>0</v>
      </c>
      <c r="O4521">
        <v>-0.98412389999999905</v>
      </c>
      <c r="P4521">
        <v>0.486027499999999</v>
      </c>
      <c r="Q4521">
        <v>3.4792440000000001E-2</v>
      </c>
      <c r="R4521">
        <v>-0.87325049999999904</v>
      </c>
      <c r="S4521">
        <v>1.722504</v>
      </c>
      <c r="T4521">
        <v>-0.31533870000000003</v>
      </c>
      <c r="U4521">
        <v>-2.4921259999999998</v>
      </c>
      <c r="V4521">
        <v>-0.32462179999999902</v>
      </c>
      <c r="W4521">
        <v>4.3827150000000002E-2</v>
      </c>
      <c r="X4521">
        <v>0.944828</v>
      </c>
      <c r="Y4521">
        <v>-0.41090699999999902</v>
      </c>
      <c r="Z4521">
        <v>0.105857199999999</v>
      </c>
      <c r="AA4521">
        <v>0.9055107</v>
      </c>
      <c r="AB4521">
        <v>32</v>
      </c>
      <c r="AC4521">
        <v>0.52509999999995205</v>
      </c>
      <c r="AD4521">
        <v>-0.10738499999999999</v>
      </c>
      <c r="AE4521">
        <v>-0.53842999999999797</v>
      </c>
      <c r="AF4521">
        <v>-0.41316082906048801</v>
      </c>
      <c r="AG4521">
        <v>-0.10738499999999999</v>
      </c>
      <c r="AH4521">
        <v>0.61037571038899796</v>
      </c>
      <c r="AI4521">
        <v>98.289289049763894</v>
      </c>
      <c r="AJ4521">
        <v>124.09391097260399</v>
      </c>
      <c r="AK4521">
        <v>0.74484355184684503</v>
      </c>
    </row>
    <row r="4522" spans="1:37" x14ac:dyDescent="0.2">
      <c r="A4522" t="str">
        <f>"20200111153742311"</f>
        <v>20200111153742311</v>
      </c>
      <c r="B4522" t="str">
        <f>"1578728262297464"</f>
        <v>1578728262297464</v>
      </c>
      <c r="C4522" t="s">
        <v>37</v>
      </c>
      <c r="D4522">
        <v>5.6322710000000002</v>
      </c>
      <c r="E4522">
        <v>0.4571635</v>
      </c>
      <c r="F4522" t="s">
        <v>38</v>
      </c>
      <c r="G4522">
        <v>-420.68389999999999</v>
      </c>
      <c r="H4522">
        <v>1.003031</v>
      </c>
      <c r="I4522">
        <v>42.984809999999896</v>
      </c>
      <c r="J4522">
        <v>-421.22460000000001</v>
      </c>
      <c r="K4522">
        <v>1.1112169999999999</v>
      </c>
      <c r="L4522">
        <v>43.533200000000001</v>
      </c>
      <c r="M4522">
        <v>0.18446609999999999</v>
      </c>
      <c r="N4522">
        <v>0</v>
      </c>
      <c r="O4522">
        <v>-0.98272760000000003</v>
      </c>
      <c r="P4522">
        <v>0.49214940000000001</v>
      </c>
      <c r="Q4522">
        <v>3.5479080000000003E-2</v>
      </c>
      <c r="R4522">
        <v>-0.86978759999999999</v>
      </c>
      <c r="S4522">
        <v>1.7439579999999999</v>
      </c>
      <c r="T4522">
        <v>-0.31175570000000002</v>
      </c>
      <c r="U4522">
        <v>-2.4772340000000002</v>
      </c>
      <c r="V4522">
        <v>-0.32398100000000002</v>
      </c>
      <c r="W4522">
        <v>4.4333530000000003E-2</v>
      </c>
      <c r="X4522">
        <v>0.94502430000000004</v>
      </c>
      <c r="Y4522">
        <v>-0.41174079999999902</v>
      </c>
      <c r="Z4522">
        <v>0.1046993</v>
      </c>
      <c r="AA4522">
        <v>0.90526659999999903</v>
      </c>
      <c r="AB4522">
        <v>32</v>
      </c>
      <c r="AC4522">
        <v>0.54070000000001495</v>
      </c>
      <c r="AD4522">
        <v>-0.10818599999999901</v>
      </c>
      <c r="AE4522">
        <v>-0.54839000000000404</v>
      </c>
      <c r="AF4522">
        <v>-0.42192214252542198</v>
      </c>
      <c r="AG4522">
        <v>-0.10818599999999901</v>
      </c>
      <c r="AH4522">
        <v>0.62636770228126104</v>
      </c>
      <c r="AI4522">
        <v>98.152231968727904</v>
      </c>
      <c r="AJ4522">
        <v>123.96426192427801</v>
      </c>
      <c r="AK4522">
        <v>0.76292791495025902</v>
      </c>
    </row>
    <row r="4523" spans="1:37" x14ac:dyDescent="0.2">
      <c r="A4523" t="str">
        <f>"20200111153742333"</f>
        <v>20200111153742333</v>
      </c>
      <c r="B4523" t="str">
        <f>"1578728262327723"</f>
        <v>1578728262327723</v>
      </c>
      <c r="C4523" t="s">
        <v>37</v>
      </c>
      <c r="D4523">
        <v>5.7338779999999998</v>
      </c>
      <c r="E4523">
        <v>0.45712770000000003</v>
      </c>
      <c r="F4523" t="s">
        <v>53</v>
      </c>
      <c r="G4523">
        <v>-414.85629999999998</v>
      </c>
      <c r="H4523" s="1">
        <v>-4.3047879999999902E-6</v>
      </c>
      <c r="I4523">
        <v>34.621659999999999</v>
      </c>
      <c r="J4523">
        <v>-421.15750000000003</v>
      </c>
      <c r="K4523">
        <v>1.1113580000000001</v>
      </c>
      <c r="L4523">
        <v>43.218809999999998</v>
      </c>
      <c r="M4523">
        <v>0.1923569</v>
      </c>
      <c r="N4523">
        <v>0</v>
      </c>
      <c r="O4523">
        <v>-0.98121460000000005</v>
      </c>
      <c r="P4523">
        <v>0.49777650000000001</v>
      </c>
      <c r="Q4523">
        <v>3.5849819999999998E-2</v>
      </c>
      <c r="R4523">
        <v>-0.86656429999999995</v>
      </c>
      <c r="S4523">
        <v>1.7615049999999901</v>
      </c>
      <c r="T4523">
        <v>-0.30736790000000003</v>
      </c>
      <c r="U4523">
        <v>-2.464966</v>
      </c>
      <c r="V4523">
        <v>-0.32253549999999997</v>
      </c>
      <c r="W4523">
        <v>4.4556470000000001E-2</v>
      </c>
      <c r="X4523">
        <v>0.94550809999999996</v>
      </c>
      <c r="Y4523">
        <v>-0.41091270000000002</v>
      </c>
      <c r="Z4523">
        <v>0.1032462</v>
      </c>
      <c r="AA4523">
        <v>0.90580959999999999</v>
      </c>
      <c r="AB4523">
        <v>32</v>
      </c>
      <c r="AC4523">
        <v>6.3012000000000503</v>
      </c>
      <c r="AD4523">
        <v>-1.1113623047879999</v>
      </c>
      <c r="AE4523">
        <v>-8.5971499999999992</v>
      </c>
      <c r="AF4523">
        <v>-4.4808872551941699</v>
      </c>
      <c r="AG4523">
        <v>-1.1113623047879999</v>
      </c>
      <c r="AH4523">
        <v>9.5450097923347599</v>
      </c>
      <c r="AI4523">
        <v>96.016634600637602</v>
      </c>
      <c r="AJ4523">
        <v>115.147621507694</v>
      </c>
      <c r="AK4523">
        <v>10.602862288176301</v>
      </c>
    </row>
    <row r="4524" spans="1:37" x14ac:dyDescent="0.2">
      <c r="A4524" t="str">
        <f>"20200111153742356"</f>
        <v>20200111153742356</v>
      </c>
      <c r="B4524" t="str">
        <f>"1578728262348216"</f>
        <v>1578728262348216</v>
      </c>
      <c r="C4524" t="s">
        <v>37</v>
      </c>
      <c r="D4524">
        <v>5.6821199999999896</v>
      </c>
      <c r="E4524">
        <v>0.457118999999999</v>
      </c>
      <c r="F4524" t="s">
        <v>53</v>
      </c>
      <c r="G4524">
        <v>-414.68990000000002</v>
      </c>
      <c r="H4524" s="1">
        <v>-4.5082850000000003E-6</v>
      </c>
      <c r="I4524">
        <v>34.295050000000003</v>
      </c>
      <c r="J4524">
        <v>-421.08800000000002</v>
      </c>
      <c r="K4524">
        <v>1.1114869999999999</v>
      </c>
      <c r="L4524">
        <v>42.905819999999999</v>
      </c>
      <c r="M4524">
        <v>0.200381</v>
      </c>
      <c r="N4524">
        <v>0</v>
      </c>
      <c r="O4524">
        <v>-0.97960829999999999</v>
      </c>
      <c r="P4524">
        <v>0.50396059999999998</v>
      </c>
      <c r="Q4524">
        <v>3.5792579999999997E-2</v>
      </c>
      <c r="R4524">
        <v>-0.86298490000000005</v>
      </c>
      <c r="S4524">
        <v>1.7780149999999999</v>
      </c>
      <c r="T4524">
        <v>-0.30552669999999998</v>
      </c>
      <c r="U4524">
        <v>-2.4532470000000002</v>
      </c>
      <c r="V4524">
        <v>-0.32157059999999998</v>
      </c>
      <c r="W4524">
        <v>4.4359259999999998E-2</v>
      </c>
      <c r="X4524">
        <v>0.94584599999999996</v>
      </c>
      <c r="Y4524">
        <v>-0.40954970000000002</v>
      </c>
      <c r="Z4524">
        <v>0.1026267</v>
      </c>
      <c r="AA4524">
        <v>0.906496999999999</v>
      </c>
      <c r="AB4524">
        <v>32</v>
      </c>
      <c r="AC4524">
        <v>6.3981000000000003</v>
      </c>
      <c r="AD4524">
        <v>-1.1114915082850001</v>
      </c>
      <c r="AE4524">
        <v>-8.6107699999999898</v>
      </c>
      <c r="AF4524">
        <v>-4.4944371019888596</v>
      </c>
      <c r="AG4524">
        <v>-1.1114915082850001</v>
      </c>
      <c r="AH4524">
        <v>9.6150651127834301</v>
      </c>
      <c r="AI4524">
        <v>95.978388509782604</v>
      </c>
      <c r="AJ4524">
        <v>115.053126104049</v>
      </c>
      <c r="AK4524">
        <v>10.671684747957499</v>
      </c>
    </row>
    <row r="4525" spans="1:37" x14ac:dyDescent="0.2">
      <c r="A4525" t="str">
        <f>"20200111153742378"</f>
        <v>20200111153742378</v>
      </c>
      <c r="B4525" t="str">
        <f>"1578728262367739"</f>
        <v>1578728262367739</v>
      </c>
      <c r="C4525" t="s">
        <v>37</v>
      </c>
      <c r="D4525">
        <v>5.9961310000000001</v>
      </c>
      <c r="E4525">
        <v>0.457271599999999</v>
      </c>
      <c r="F4525" t="s">
        <v>53</v>
      </c>
      <c r="G4525">
        <v>-414.57510000000002</v>
      </c>
      <c r="H4525" s="1">
        <v>-4.6566789999999999E-6</v>
      </c>
      <c r="I4525">
        <v>34.053789999999999</v>
      </c>
      <c r="J4525">
        <v>-421.01749999999998</v>
      </c>
      <c r="K4525">
        <v>1.1116059999999901</v>
      </c>
      <c r="L4525">
        <v>42.60098</v>
      </c>
      <c r="M4525">
        <v>0.2083535</v>
      </c>
      <c r="N4525">
        <v>0</v>
      </c>
      <c r="O4525">
        <v>-0.97794439999999905</v>
      </c>
      <c r="P4525">
        <v>0.51081929999999998</v>
      </c>
      <c r="Q4525">
        <v>3.437896E-2</v>
      </c>
      <c r="R4525">
        <v>-0.85900069999999995</v>
      </c>
      <c r="S4525">
        <v>1.795563</v>
      </c>
      <c r="T4525">
        <v>-0.3064287</v>
      </c>
      <c r="U4525">
        <v>-2.4404300000000001</v>
      </c>
      <c r="V4525">
        <v>-0.3213782</v>
      </c>
      <c r="W4525">
        <v>4.2805759999999998E-2</v>
      </c>
      <c r="X4525">
        <v>0.94598289999999996</v>
      </c>
      <c r="Y4525">
        <v>-0.40860999999999997</v>
      </c>
      <c r="Z4525">
        <v>0.1029212</v>
      </c>
      <c r="AA4525">
        <v>0.90688760000000002</v>
      </c>
      <c r="AB4525">
        <v>32</v>
      </c>
      <c r="AC4525">
        <v>6.4423999999999602</v>
      </c>
      <c r="AD4525">
        <v>-1.1116106566789901</v>
      </c>
      <c r="AE4525">
        <v>-8.5471899999999899</v>
      </c>
      <c r="AF4525">
        <v>-4.4717209939193996</v>
      </c>
      <c r="AG4525">
        <v>-1.1116106566789901</v>
      </c>
      <c r="AH4525">
        <v>9.5984763181787205</v>
      </c>
      <c r="AI4525">
        <v>95.992835712353198</v>
      </c>
      <c r="AJ4525">
        <v>114.97978595342801</v>
      </c>
      <c r="AK4525">
        <v>10.647192800458701</v>
      </c>
    </row>
    <row r="4526" spans="1:37" x14ac:dyDescent="0.2">
      <c r="A4526" t="str">
        <f>"20200111153742400"</f>
        <v>20200111153742400</v>
      </c>
      <c r="B4526" t="str">
        <f>"1578728262397992"</f>
        <v>1578728262397992</v>
      </c>
      <c r="C4526" t="s">
        <v>37</v>
      </c>
      <c r="D4526">
        <v>5.7696809999999896</v>
      </c>
      <c r="E4526">
        <v>0.45730890000000002</v>
      </c>
      <c r="F4526" t="s">
        <v>53</v>
      </c>
      <c r="G4526">
        <v>-414.53949999999998</v>
      </c>
      <c r="H4526" s="1">
        <v>-4.7266230000000002E-6</v>
      </c>
      <c r="I4526">
        <v>33.932040000000001</v>
      </c>
      <c r="J4526">
        <v>-420.9443</v>
      </c>
      <c r="K4526">
        <v>1.1117250000000001</v>
      </c>
      <c r="L4526">
        <v>42.296509999999998</v>
      </c>
      <c r="M4526">
        <v>0.2164692</v>
      </c>
      <c r="N4526">
        <v>0</v>
      </c>
      <c r="O4526">
        <v>-0.97618069999999901</v>
      </c>
      <c r="P4526">
        <v>0.51809119999999997</v>
      </c>
      <c r="Q4526">
        <v>3.425081E-2</v>
      </c>
      <c r="R4526">
        <v>-0.85463960000000005</v>
      </c>
      <c r="S4526">
        <v>1.8133239999999999</v>
      </c>
      <c r="T4526">
        <v>-0.31115739999999997</v>
      </c>
      <c r="U4526">
        <v>-2.4265750000000001</v>
      </c>
      <c r="V4526">
        <v>-0.32155869999999998</v>
      </c>
      <c r="W4526">
        <v>4.2540410000000001E-2</v>
      </c>
      <c r="X4526">
        <v>0.94593359999999904</v>
      </c>
      <c r="Y4526">
        <v>-0.4076784</v>
      </c>
      <c r="Z4526">
        <v>0.104499299999999</v>
      </c>
      <c r="AA4526">
        <v>0.9071264</v>
      </c>
      <c r="AB4526">
        <v>32</v>
      </c>
      <c r="AC4526">
        <v>6.4048000000000203</v>
      </c>
      <c r="AD4526">
        <v>-1.111729726623</v>
      </c>
      <c r="AE4526">
        <v>-8.3644699999999901</v>
      </c>
      <c r="AF4526">
        <v>-4.3931414109315696</v>
      </c>
      <c r="AG4526">
        <v>-1.111729726623</v>
      </c>
      <c r="AH4526">
        <v>9.4474827270380608</v>
      </c>
      <c r="AI4526">
        <v>96.090564622881203</v>
      </c>
      <c r="AJ4526">
        <v>114.938736530455</v>
      </c>
      <c r="AK4526">
        <v>10.4780992703439</v>
      </c>
    </row>
    <row r="4527" spans="1:37" x14ac:dyDescent="0.2">
      <c r="A4527" t="str">
        <f>"20200111153742423"</f>
        <v>20200111153742423</v>
      </c>
      <c r="B4527" t="str">
        <f>"1578728262417512"</f>
        <v>1578728262417512</v>
      </c>
      <c r="C4527" t="s">
        <v>37</v>
      </c>
      <c r="D4527">
        <v>5.6284109999999998</v>
      </c>
      <c r="E4527">
        <v>0.45728920000000001</v>
      </c>
      <c r="F4527" t="s">
        <v>38</v>
      </c>
      <c r="G4527">
        <v>-420.2842</v>
      </c>
      <c r="H4527">
        <v>0.9994634</v>
      </c>
      <c r="I4527">
        <v>41.428019999999997</v>
      </c>
      <c r="J4527">
        <v>-420.86559999999997</v>
      </c>
      <c r="K4527">
        <v>1.1118509999999999</v>
      </c>
      <c r="L4527">
        <v>41.982059999999997</v>
      </c>
      <c r="M4527">
        <v>0.2250045</v>
      </c>
      <c r="N4527">
        <v>0</v>
      </c>
      <c r="O4527">
        <v>-0.97424920000000004</v>
      </c>
      <c r="P4527">
        <v>0.52674370000000004</v>
      </c>
      <c r="Q4527">
        <v>3.5547219999999997E-2</v>
      </c>
      <c r="R4527">
        <v>-0.84928079999999995</v>
      </c>
      <c r="S4527">
        <v>1.8332820000000001</v>
      </c>
      <c r="T4527">
        <v>-0.31170890000000001</v>
      </c>
      <c r="U4527">
        <v>-2.4114070000000001</v>
      </c>
      <c r="V4527">
        <v>-0.32293349999999998</v>
      </c>
      <c r="W4527">
        <v>4.3679460000000003E-2</v>
      </c>
      <c r="X4527">
        <v>0.94541319999999995</v>
      </c>
      <c r="Y4527">
        <v>-0.40719090000000002</v>
      </c>
      <c r="Z4527">
        <v>0.10466969999999901</v>
      </c>
      <c r="AA4527">
        <v>0.90732559999999995</v>
      </c>
      <c r="AB4527">
        <v>32</v>
      </c>
      <c r="AC4527">
        <v>0.58139999999997305</v>
      </c>
      <c r="AD4527">
        <v>-0.112387599999999</v>
      </c>
      <c r="AE4527">
        <v>-0.55403999999999298</v>
      </c>
      <c r="AF4527">
        <v>-0.43332771440592599</v>
      </c>
      <c r="AG4527">
        <v>-0.112387599999999</v>
      </c>
      <c r="AH4527">
        <v>0.65778004269726198</v>
      </c>
      <c r="AI4527">
        <v>98.120206836942899</v>
      </c>
      <c r="AJ4527">
        <v>123.37581207137001</v>
      </c>
      <c r="AK4527">
        <v>0.79566228091875502</v>
      </c>
    </row>
    <row r="4528" spans="1:37" x14ac:dyDescent="0.2">
      <c r="A4528" t="str">
        <f>"20200111153742445"</f>
        <v>20200111153742445</v>
      </c>
      <c r="B4528" t="str">
        <f>"1578728262438008"</f>
        <v>1578728262438008</v>
      </c>
      <c r="C4528" t="s">
        <v>37</v>
      </c>
      <c r="D4528">
        <v>5.6424029999999998</v>
      </c>
      <c r="E4528">
        <v>0.4573564</v>
      </c>
      <c r="F4528" t="s">
        <v>38</v>
      </c>
      <c r="G4528">
        <v>-420.22190000000001</v>
      </c>
      <c r="H4528">
        <v>1.0051000000000001</v>
      </c>
      <c r="I4528">
        <v>41.152709999999999</v>
      </c>
      <c r="J4528">
        <v>-420.78449999999998</v>
      </c>
      <c r="K4528">
        <v>1.11195</v>
      </c>
      <c r="L4528">
        <v>41.670470000000002</v>
      </c>
      <c r="M4528">
        <v>0.23358110000000001</v>
      </c>
      <c r="N4528">
        <v>0</v>
      </c>
      <c r="O4528">
        <v>-0.97222889999999995</v>
      </c>
      <c r="P4528">
        <v>0.53582640000000004</v>
      </c>
      <c r="Q4528">
        <v>3.6510479999999998E-2</v>
      </c>
      <c r="R4528">
        <v>-0.84353860000000003</v>
      </c>
      <c r="S4528">
        <v>1.85791</v>
      </c>
      <c r="T4528">
        <v>-0.30803029999999998</v>
      </c>
      <c r="U4528">
        <v>-2.3929749999999999</v>
      </c>
      <c r="V4528">
        <v>-0.32478479999999998</v>
      </c>
      <c r="W4528">
        <v>4.449264E-2</v>
      </c>
      <c r="X4528">
        <v>0.94474080000000005</v>
      </c>
      <c r="Y4528">
        <v>-0.40844390000000003</v>
      </c>
      <c r="Z4528">
        <v>0.1034323</v>
      </c>
      <c r="AA4528">
        <v>0.9069043</v>
      </c>
      <c r="AB4528">
        <v>32</v>
      </c>
      <c r="AC4528">
        <v>0.56259999999997401</v>
      </c>
      <c r="AD4528">
        <v>-0.106849999999999</v>
      </c>
      <c r="AE4528">
        <v>-0.517760000000002</v>
      </c>
      <c r="AF4528">
        <v>-0.41792011228401998</v>
      </c>
      <c r="AG4528">
        <v>-0.106849999999999</v>
      </c>
      <c r="AH4528">
        <v>0.62269977957747802</v>
      </c>
      <c r="AI4528">
        <v>98.108800173008902</v>
      </c>
      <c r="AJ4528">
        <v>123.867229676836</v>
      </c>
      <c r="AK4528">
        <v>0.75751512079781502</v>
      </c>
    </row>
    <row r="4529" spans="1:37" x14ac:dyDescent="0.2">
      <c r="A4529" t="str">
        <f>"20200111153742467"</f>
        <v>20200111153742467</v>
      </c>
      <c r="B4529" t="str">
        <f>"1578728262458195"</f>
        <v>1578728262458195</v>
      </c>
      <c r="C4529" t="s">
        <v>37</v>
      </c>
      <c r="D4529">
        <v>5.6786599999999998</v>
      </c>
      <c r="E4529">
        <v>0.45728239999999998</v>
      </c>
      <c r="F4529" t="s">
        <v>38</v>
      </c>
      <c r="G4529">
        <v>-420.14479999999998</v>
      </c>
      <c r="H4529">
        <v>1.0079530000000001</v>
      </c>
      <c r="I4529">
        <v>40.8645</v>
      </c>
      <c r="J4529">
        <v>-420.70479999999998</v>
      </c>
      <c r="K4529">
        <v>1.112034</v>
      </c>
      <c r="L4529">
        <v>41.374540000000003</v>
      </c>
      <c r="M4529">
        <v>0.2418284</v>
      </c>
      <c r="N4529">
        <v>0</v>
      </c>
      <c r="O4529">
        <v>-0.97021069999999998</v>
      </c>
      <c r="P4529">
        <v>0.54456300000000002</v>
      </c>
      <c r="Q4529">
        <v>3.6203859999999997E-2</v>
      </c>
      <c r="R4529">
        <v>-0.83793809999999902</v>
      </c>
      <c r="S4529">
        <v>1.8834229999999901</v>
      </c>
      <c r="T4529">
        <v>-0.30623620000000001</v>
      </c>
      <c r="U4529">
        <v>-2.3733520000000001</v>
      </c>
      <c r="V4529">
        <v>-0.32658130000000002</v>
      </c>
      <c r="W4529">
        <v>4.4054379999999997E-2</v>
      </c>
      <c r="X4529">
        <v>0.94414189999999998</v>
      </c>
      <c r="Y4529">
        <v>-0.41037410000000002</v>
      </c>
      <c r="Z4529">
        <v>0.1028278</v>
      </c>
      <c r="AA4529">
        <v>0.9061013</v>
      </c>
      <c r="AB4529">
        <v>32</v>
      </c>
      <c r="AC4529">
        <v>0.56000000000000205</v>
      </c>
      <c r="AD4529">
        <v>-0.10408099999999899</v>
      </c>
      <c r="AE4529">
        <v>-0.51004000000000305</v>
      </c>
      <c r="AF4529">
        <v>-0.41223650934124001</v>
      </c>
      <c r="AG4529">
        <v>-0.10408099999999899</v>
      </c>
      <c r="AH4529">
        <v>0.61865553448104604</v>
      </c>
      <c r="AI4529">
        <v>97.969774458131695</v>
      </c>
      <c r="AJ4529">
        <v>123.67720927835801</v>
      </c>
      <c r="AK4529">
        <v>0.75067067648795105</v>
      </c>
    </row>
    <row r="4530" spans="1:37" x14ac:dyDescent="0.2">
      <c r="A4530" t="str">
        <f>"20200111153742489"</f>
        <v>20200111153742489</v>
      </c>
      <c r="B4530" t="str">
        <f>"1578728262477712"</f>
        <v>1578728262477712</v>
      </c>
      <c r="C4530" t="s">
        <v>37</v>
      </c>
      <c r="D4530">
        <v>5.7621399999999996</v>
      </c>
      <c r="E4530">
        <v>0.45721830000000002</v>
      </c>
      <c r="F4530" t="s">
        <v>38</v>
      </c>
      <c r="G4530">
        <v>-420.05029999999999</v>
      </c>
      <c r="H4530">
        <v>1.006707</v>
      </c>
      <c r="I4530">
        <v>40.567009999999897</v>
      </c>
      <c r="J4530">
        <v>-420.6223</v>
      </c>
      <c r="K4530">
        <v>1.112114</v>
      </c>
      <c r="L4530">
        <v>41.078339999999997</v>
      </c>
      <c r="M4530">
        <v>0.25018649999999998</v>
      </c>
      <c r="N4530">
        <v>0</v>
      </c>
      <c r="O4530">
        <v>-0.96808909999999904</v>
      </c>
      <c r="P4530">
        <v>0.55316279999999995</v>
      </c>
      <c r="Q4530">
        <v>3.6376360000000003E-2</v>
      </c>
      <c r="R4530">
        <v>-0.83227839999999997</v>
      </c>
      <c r="S4530">
        <v>1.9080509999999999</v>
      </c>
      <c r="T4530">
        <v>-0.30696889999999999</v>
      </c>
      <c r="U4530">
        <v>-2.3534549999999999</v>
      </c>
      <c r="V4530">
        <v>-0.3281751</v>
      </c>
      <c r="W4530">
        <v>4.4107729999999998E-2</v>
      </c>
      <c r="X4530">
        <v>0.94358660000000005</v>
      </c>
      <c r="Y4530">
        <v>-0.41197</v>
      </c>
      <c r="Z4530">
        <v>0.10306709999999999</v>
      </c>
      <c r="AA4530">
        <v>0.90534959999999898</v>
      </c>
      <c r="AB4530">
        <v>32</v>
      </c>
      <c r="AC4530">
        <v>0.57200000000000195</v>
      </c>
      <c r="AD4530">
        <v>-0.105407</v>
      </c>
      <c r="AE4530">
        <v>-0.51133000000000794</v>
      </c>
      <c r="AF4530">
        <v>-0.41797458677009502</v>
      </c>
      <c r="AG4530">
        <v>-0.105407</v>
      </c>
      <c r="AH4530">
        <v>0.62636412308506395</v>
      </c>
      <c r="AI4530">
        <v>97.968461486477906</v>
      </c>
      <c r="AJ4530">
        <v>123.715296572781</v>
      </c>
      <c r="AK4530">
        <v>0.76035873475797799</v>
      </c>
    </row>
    <row r="4531" spans="1:37" x14ac:dyDescent="0.2">
      <c r="A4531" t="str">
        <f>"20200111153742511"</f>
        <v>20200111153742511</v>
      </c>
      <c r="B4531" t="str">
        <f>"1578728262507968"</f>
        <v>1578728262507968</v>
      </c>
      <c r="C4531" t="s">
        <v>37</v>
      </c>
      <c r="D4531">
        <v>5.6865230000000002</v>
      </c>
      <c r="E4531">
        <v>0.38344299999999998</v>
      </c>
      <c r="F4531" t="s">
        <v>38</v>
      </c>
      <c r="G4531">
        <v>-419.95260000000002</v>
      </c>
      <c r="H4531">
        <v>1.005827</v>
      </c>
      <c r="I4531">
        <v>40.269820000000003</v>
      </c>
      <c r="J4531">
        <v>-420.53500000000003</v>
      </c>
      <c r="K4531">
        <v>1.112198</v>
      </c>
      <c r="L4531">
        <v>40.776060000000001</v>
      </c>
      <c r="M4531">
        <v>0.25882699999999997</v>
      </c>
      <c r="N4531">
        <v>0</v>
      </c>
      <c r="O4531">
        <v>-0.96581550000000005</v>
      </c>
      <c r="P4531">
        <v>0.56115349999999997</v>
      </c>
      <c r="Q4531">
        <v>3.7240929999999998E-2</v>
      </c>
      <c r="R4531">
        <v>-0.82687389999999905</v>
      </c>
      <c r="S4531">
        <v>1.9328000000000001</v>
      </c>
      <c r="T4531">
        <v>-0.30673979999999901</v>
      </c>
      <c r="U4531">
        <v>-2.3333439999999999</v>
      </c>
      <c r="V4531">
        <v>-0.32886659999999901</v>
      </c>
      <c r="W4531">
        <v>4.487563E-2</v>
      </c>
      <c r="X4531">
        <v>0.94330959999999997</v>
      </c>
      <c r="Y4531">
        <v>-0.41337190000000001</v>
      </c>
      <c r="Z4531">
        <v>0.102967899999999</v>
      </c>
      <c r="AA4531">
        <v>0.90472169999999896</v>
      </c>
      <c r="AB4531">
        <v>32</v>
      </c>
      <c r="AC4531">
        <v>0.58240000000000602</v>
      </c>
      <c r="AD4531">
        <v>-0.10637099999999999</v>
      </c>
      <c r="AE4531">
        <v>-0.50623999999999802</v>
      </c>
      <c r="AF4531">
        <v>-0.42346107316390202</v>
      </c>
      <c r="AG4531">
        <v>-0.10637099999999999</v>
      </c>
      <c r="AH4531">
        <v>0.62781276637177996</v>
      </c>
      <c r="AI4531">
        <v>97.995747597761905</v>
      </c>
      <c r="AJ4531">
        <v>123.99975005653999</v>
      </c>
      <c r="AK4531">
        <v>0.76471101714668099</v>
      </c>
    </row>
    <row r="4532" spans="1:37" x14ac:dyDescent="0.2">
      <c r="A4532" t="str">
        <f>"20200111153742535"</f>
        <v>20200111153742535</v>
      </c>
      <c r="B4532" t="str">
        <f>"1578728262527488"</f>
        <v>1578728262527488</v>
      </c>
      <c r="C4532" t="s">
        <v>37</v>
      </c>
      <c r="D4532">
        <v>5.6005279999999997</v>
      </c>
      <c r="E4532">
        <v>0.38377820000000001</v>
      </c>
      <c r="F4532" t="s">
        <v>38</v>
      </c>
      <c r="G4532">
        <v>-419.76710000000003</v>
      </c>
      <c r="H4532">
        <v>1.0252939999999999</v>
      </c>
      <c r="I4532">
        <v>40.153199999999998</v>
      </c>
      <c r="J4532">
        <v>-420.44119999999998</v>
      </c>
      <c r="K4532">
        <v>1.11229</v>
      </c>
      <c r="L4532">
        <v>40.462069999999997</v>
      </c>
      <c r="M4532">
        <v>0.26792830000000001</v>
      </c>
      <c r="N4532">
        <v>0</v>
      </c>
      <c r="O4532">
        <v>-0.96333029999999997</v>
      </c>
      <c r="P4532">
        <v>0.56939469999999903</v>
      </c>
      <c r="Q4532">
        <v>3.7962780000000002E-2</v>
      </c>
      <c r="R4532">
        <v>-0.82118740000000001</v>
      </c>
      <c r="S4532">
        <v>2.4442140000000001</v>
      </c>
      <c r="T4532">
        <v>-0.27653620000000001</v>
      </c>
      <c r="U4532">
        <v>-1.981873</v>
      </c>
      <c r="V4532">
        <v>-0.32943289999999997</v>
      </c>
      <c r="W4532">
        <v>4.550013E-2</v>
      </c>
      <c r="X4532">
        <v>0.94308199999999998</v>
      </c>
      <c r="Y4532">
        <v>-0.57625869999999901</v>
      </c>
      <c r="Z4532">
        <v>9.1816430000000004E-2</v>
      </c>
      <c r="AA4532">
        <v>0.81209339999999997</v>
      </c>
      <c r="AB4532">
        <v>32</v>
      </c>
      <c r="AC4532">
        <v>0.67409999999995296</v>
      </c>
      <c r="AD4532">
        <v>-8.6995999999999796E-2</v>
      </c>
      <c r="AE4532">
        <v>-0.30887000000000597</v>
      </c>
      <c r="AF4532">
        <v>-0.55899055168093204</v>
      </c>
      <c r="AG4532">
        <v>-8.6995999999999796E-2</v>
      </c>
      <c r="AH4532">
        <v>0.47171107906130999</v>
      </c>
      <c r="AI4532">
        <v>96.782923251671903</v>
      </c>
      <c r="AJ4532">
        <v>139.840240449286</v>
      </c>
      <c r="AK4532">
        <v>0.73657999089965698</v>
      </c>
    </row>
    <row r="4533" spans="1:37" x14ac:dyDescent="0.2">
      <c r="A4533" t="str">
        <f>"20200111153742556"</f>
        <v>20200111153742556</v>
      </c>
      <c r="B4533" t="str">
        <f>"1578728262547993"</f>
        <v>1578728262547993</v>
      </c>
      <c r="C4533" t="s">
        <v>37</v>
      </c>
      <c r="D4533">
        <v>5.5367119999999996</v>
      </c>
      <c r="E4533">
        <v>0.38535720000000001</v>
      </c>
      <c r="F4533" t="s">
        <v>38</v>
      </c>
      <c r="G4533">
        <v>-419.70659999999998</v>
      </c>
      <c r="H4533">
        <v>1.023954</v>
      </c>
      <c r="I4533">
        <v>39.876979999999897</v>
      </c>
      <c r="J4533">
        <v>-420.35250000000002</v>
      </c>
      <c r="K4533">
        <v>1.112384</v>
      </c>
      <c r="L4533">
        <v>40.175170000000001</v>
      </c>
      <c r="M4533">
        <v>0.2763717</v>
      </c>
      <c r="N4533">
        <v>0</v>
      </c>
      <c r="O4533">
        <v>-0.96094199999999996</v>
      </c>
      <c r="P4533">
        <v>0.57692460000000001</v>
      </c>
      <c r="Q4533">
        <v>3.9095480000000002E-2</v>
      </c>
      <c r="R4533">
        <v>-0.81586110000000001</v>
      </c>
      <c r="S4533">
        <v>2.4614259999999999</v>
      </c>
      <c r="T4533">
        <v>-0.29595169999999998</v>
      </c>
      <c r="U4533">
        <v>-1.9602360000000001</v>
      </c>
      <c r="V4533">
        <v>-0.32987929999999999</v>
      </c>
      <c r="W4533">
        <v>4.6540440000000002E-2</v>
      </c>
      <c r="X4533">
        <v>0.94287520000000002</v>
      </c>
      <c r="Y4533">
        <v>-0.57575180000000004</v>
      </c>
      <c r="Z4533">
        <v>9.8238320000000004E-2</v>
      </c>
      <c r="AA4533">
        <v>0.81170140000000002</v>
      </c>
      <c r="AB4533">
        <v>32</v>
      </c>
      <c r="AC4533">
        <v>0.64590000000004</v>
      </c>
      <c r="AD4533">
        <v>-8.8429999999999995E-2</v>
      </c>
      <c r="AE4533">
        <v>-0.29819000000000501</v>
      </c>
      <c r="AF4533">
        <v>-0.530126423268094</v>
      </c>
      <c r="AG4533">
        <v>-8.8429999999999995E-2</v>
      </c>
      <c r="AH4533">
        <v>0.458023451638919</v>
      </c>
      <c r="AI4533">
        <v>97.194004227263605</v>
      </c>
      <c r="AJ4533">
        <v>139.17334204546501</v>
      </c>
      <c r="AK4533">
        <v>0.70614401632970802</v>
      </c>
    </row>
    <row r="4534" spans="1:37" x14ac:dyDescent="0.2">
      <c r="A4534" t="str">
        <f>"20200111153742578"</f>
        <v>20200111153742578</v>
      </c>
      <c r="B4534" t="str">
        <f>"1578728262568053"</f>
        <v>1578728262568053</v>
      </c>
      <c r="C4534" t="s">
        <v>37</v>
      </c>
      <c r="D4534">
        <v>5.5224599999999997</v>
      </c>
      <c r="E4534">
        <v>0.38628010000000002</v>
      </c>
      <c r="F4534" t="s">
        <v>38</v>
      </c>
      <c r="G4534">
        <v>-419.63240000000002</v>
      </c>
      <c r="H4534">
        <v>1.023865</v>
      </c>
      <c r="I4534">
        <v>39.607430000000001</v>
      </c>
      <c r="J4534">
        <v>-420.25670000000002</v>
      </c>
      <c r="K4534">
        <v>1.112493</v>
      </c>
      <c r="L4534">
        <v>39.874940000000002</v>
      </c>
      <c r="M4534">
        <v>0.28535379999999999</v>
      </c>
      <c r="N4534">
        <v>0</v>
      </c>
      <c r="O4534">
        <v>-0.95831299999999997</v>
      </c>
      <c r="P4534">
        <v>0.58496559999999997</v>
      </c>
      <c r="Q4534">
        <v>4.042345E-2</v>
      </c>
      <c r="R4534">
        <v>-0.81005050000000001</v>
      </c>
      <c r="S4534">
        <v>2.4689939999999999</v>
      </c>
      <c r="T4534">
        <v>-0.30338989999999999</v>
      </c>
      <c r="U4534">
        <v>-1.9457089999999999</v>
      </c>
      <c r="V4534">
        <v>-0.33043660000000002</v>
      </c>
      <c r="W4534">
        <v>4.7764069999999999E-2</v>
      </c>
      <c r="X4534">
        <v>0.94261879999999998</v>
      </c>
      <c r="Y4534">
        <v>-0.57206309999999905</v>
      </c>
      <c r="Z4534">
        <v>0.100740199999999</v>
      </c>
      <c r="AA4534">
        <v>0.81399949999999999</v>
      </c>
      <c r="AB4534">
        <v>32</v>
      </c>
      <c r="AC4534">
        <v>0.62430000000000496</v>
      </c>
      <c r="AD4534">
        <v>-8.8627999999999901E-2</v>
      </c>
      <c r="AE4534">
        <v>-0.26751000000000102</v>
      </c>
      <c r="AF4534">
        <v>-0.51325509321539597</v>
      </c>
      <c r="AG4534">
        <v>-8.8627999999999901E-2</v>
      </c>
      <c r="AH4534">
        <v>0.42727483032623598</v>
      </c>
      <c r="AI4534">
        <v>97.559593216964998</v>
      </c>
      <c r="AJ4534">
        <v>140.22328036316301</v>
      </c>
      <c r="AK4534">
        <v>0.67368352638747098</v>
      </c>
    </row>
    <row r="4535" spans="1:37" x14ac:dyDescent="0.2">
      <c r="A4535" t="str">
        <f>"20200111153742601"</f>
        <v>20200111153742601</v>
      </c>
      <c r="B4535" t="str">
        <f>"1578728262598310"</f>
        <v>1578728262598310</v>
      </c>
      <c r="C4535" t="s">
        <v>37</v>
      </c>
      <c r="D4535">
        <v>5.4918579999999997</v>
      </c>
      <c r="E4535">
        <v>0.38708589999999998</v>
      </c>
      <c r="F4535" t="s">
        <v>38</v>
      </c>
      <c r="G4535">
        <v>-419.56139999999999</v>
      </c>
      <c r="H4535">
        <v>1.0266489999999999</v>
      </c>
      <c r="I4535">
        <v>39.33569</v>
      </c>
      <c r="J4535">
        <v>-420.1592</v>
      </c>
      <c r="K4535">
        <v>1.1126149999999999</v>
      </c>
      <c r="L4535">
        <v>39.580440000000003</v>
      </c>
      <c r="M4535">
        <v>0.29434060000000001</v>
      </c>
      <c r="N4535">
        <v>0</v>
      </c>
      <c r="O4535">
        <v>-0.95559099999999997</v>
      </c>
      <c r="P4535">
        <v>0.59240919999999997</v>
      </c>
      <c r="Q4535">
        <v>4.055077E-2</v>
      </c>
      <c r="R4535">
        <v>-0.80461629999999995</v>
      </c>
      <c r="S4535">
        <v>2.482666</v>
      </c>
      <c r="T4535">
        <v>-0.306589099999999</v>
      </c>
      <c r="U4535">
        <v>-1.9259029999999999</v>
      </c>
      <c r="V4535">
        <v>-0.33029399999999998</v>
      </c>
      <c r="W4535">
        <v>4.7801219999999998E-2</v>
      </c>
      <c r="X4535">
        <v>0.94266689999999997</v>
      </c>
      <c r="Y4535">
        <v>-0.57051229999999997</v>
      </c>
      <c r="Z4535">
        <v>0.1018221</v>
      </c>
      <c r="AA4535">
        <v>0.81495269999999898</v>
      </c>
      <c r="AB4535">
        <v>32</v>
      </c>
      <c r="AC4535">
        <v>0.59780000000000599</v>
      </c>
      <c r="AD4535">
        <v>-8.5965999999999904E-2</v>
      </c>
      <c r="AE4535">
        <v>-0.24475000000000299</v>
      </c>
      <c r="AF4535">
        <v>-0.49057621342206997</v>
      </c>
      <c r="AG4535">
        <v>-8.5965999999999904E-2</v>
      </c>
      <c r="AH4535">
        <v>0.402747639260577</v>
      </c>
      <c r="AI4535">
        <v>97.713151586702807</v>
      </c>
      <c r="AJ4535">
        <v>140.615081210998</v>
      </c>
      <c r="AK4535">
        <v>0.64051606947952899</v>
      </c>
    </row>
    <row r="4536" spans="1:37" x14ac:dyDescent="0.2">
      <c r="A4536" t="str">
        <f>"20200111153742624"</f>
        <v>20200111153742624</v>
      </c>
      <c r="B4536" t="str">
        <f>"1578728262617829"</f>
        <v>1578728262617829</v>
      </c>
      <c r="C4536" t="s">
        <v>37</v>
      </c>
      <c r="D4536">
        <v>5.5160429999999998</v>
      </c>
      <c r="E4536">
        <v>0.38742859999999901</v>
      </c>
      <c r="F4536" t="s">
        <v>53</v>
      </c>
      <c r="G4536">
        <v>-411.21730000000002</v>
      </c>
      <c r="H4536" s="1">
        <v>-5.9035709999999902E-6</v>
      </c>
      <c r="I4536">
        <v>32.749679999999998</v>
      </c>
      <c r="J4536">
        <v>-420.05130000000003</v>
      </c>
      <c r="K4536">
        <v>1.1127469999999999</v>
      </c>
      <c r="L4536">
        <v>39.265590000000003</v>
      </c>
      <c r="M4536">
        <v>0.30415029999999998</v>
      </c>
      <c r="N4536">
        <v>0</v>
      </c>
      <c r="O4536">
        <v>-0.95251399999999997</v>
      </c>
      <c r="P4536">
        <v>0.60082369999999996</v>
      </c>
      <c r="Q4536">
        <v>3.9310650000000003E-2</v>
      </c>
      <c r="R4536">
        <v>-0.79841439999999997</v>
      </c>
      <c r="S4536">
        <v>2.495819</v>
      </c>
      <c r="T4536">
        <v>-0.31054680000000001</v>
      </c>
      <c r="U4536">
        <v>-1.906555</v>
      </c>
      <c r="V4536">
        <v>-0.33047140000000003</v>
      </c>
      <c r="W4536">
        <v>4.6455169999999997E-2</v>
      </c>
      <c r="X4536">
        <v>0.94267209999999901</v>
      </c>
      <c r="Y4536">
        <v>-0.56803579999999998</v>
      </c>
      <c r="Z4536">
        <v>0.1031229</v>
      </c>
      <c r="AA4536">
        <v>0.81651770000000001</v>
      </c>
      <c r="AB4536">
        <v>32</v>
      </c>
      <c r="AC4536">
        <v>8.8339999999999996</v>
      </c>
      <c r="AD4536">
        <v>-1.112752903571</v>
      </c>
      <c r="AE4536">
        <v>-6.5159099999999999</v>
      </c>
      <c r="AF4536">
        <v>-6.3679305677090499</v>
      </c>
      <c r="AG4536">
        <v>-1.112752903571</v>
      </c>
      <c r="AH4536">
        <v>8.8038239804301099</v>
      </c>
      <c r="AI4536">
        <v>95.8473952472484</v>
      </c>
      <c r="AJ4536">
        <v>125.878748470264</v>
      </c>
      <c r="AK4536">
        <v>10.922274278645601</v>
      </c>
    </row>
    <row r="4537" spans="1:37" x14ac:dyDescent="0.2">
      <c r="A4537" t="str">
        <f>"20200111153742646"</f>
        <v>20200111153742646</v>
      </c>
      <c r="B4537" t="str">
        <f>"1578728262637349"</f>
        <v>1578728262637349</v>
      </c>
      <c r="C4537" t="s">
        <v>37</v>
      </c>
      <c r="D4537">
        <v>5.6928679999999998</v>
      </c>
      <c r="E4537">
        <v>0.38855809999999902</v>
      </c>
      <c r="F4537" t="s">
        <v>53</v>
      </c>
      <c r="G4537">
        <v>-411.14870000000002</v>
      </c>
      <c r="H4537" s="1">
        <v>-5.9693099999999996E-6</v>
      </c>
      <c r="I4537">
        <v>32.604289999999999</v>
      </c>
      <c r="J4537">
        <v>-419.95010000000002</v>
      </c>
      <c r="K4537">
        <v>1.1128559999999901</v>
      </c>
      <c r="L4537">
        <v>38.979709999999997</v>
      </c>
      <c r="M4537">
        <v>0.31321189999999999</v>
      </c>
      <c r="N4537">
        <v>0</v>
      </c>
      <c r="O4537">
        <v>-0.94957279999999999</v>
      </c>
      <c r="P4537">
        <v>0.60838760000000003</v>
      </c>
      <c r="Q4537">
        <v>3.8312329999999999E-2</v>
      </c>
      <c r="R4537">
        <v>-0.79271510000000001</v>
      </c>
      <c r="S4537">
        <v>2.514008</v>
      </c>
      <c r="T4537">
        <v>-0.31422820000000001</v>
      </c>
      <c r="U4537">
        <v>-1.881073</v>
      </c>
      <c r="V4537">
        <v>-0.33043119999999998</v>
      </c>
      <c r="W4537">
        <v>4.537103E-2</v>
      </c>
      <c r="X4537">
        <v>0.94273899999999999</v>
      </c>
      <c r="Y4537">
        <v>-0.56824609999999998</v>
      </c>
      <c r="Z4537">
        <v>0.1043586</v>
      </c>
      <c r="AA4537">
        <v>0.81621429999999995</v>
      </c>
      <c r="AB4537">
        <v>32</v>
      </c>
      <c r="AC4537">
        <v>8.8013999999999992</v>
      </c>
      <c r="AD4537">
        <v>-1.1128619693099999</v>
      </c>
      <c r="AE4537">
        <v>-6.3754199999999903</v>
      </c>
      <c r="AF4537">
        <v>-6.2953692064691298</v>
      </c>
      <c r="AG4537">
        <v>-1.1128619693099999</v>
      </c>
      <c r="AH4537">
        <v>8.7201172942803797</v>
      </c>
      <c r="AI4537">
        <v>95.907541544988703</v>
      </c>
      <c r="AJ4537">
        <v>125.82688510277799</v>
      </c>
      <c r="AK4537">
        <v>10.8125196339476</v>
      </c>
    </row>
    <row r="4538" spans="1:37" x14ac:dyDescent="0.2">
      <c r="A4538" t="str">
        <f>"20200111153742668"</f>
        <v>20200111153742668</v>
      </c>
      <c r="B4538" t="str">
        <f>"1578728262657845"</f>
        <v>1578728262657845</v>
      </c>
      <c r="C4538" t="s">
        <v>37</v>
      </c>
      <c r="D4538">
        <v>5.6397979999999999</v>
      </c>
      <c r="E4538">
        <v>0.3893046</v>
      </c>
      <c r="F4538" t="s">
        <v>38</v>
      </c>
      <c r="G4538">
        <v>-419.09649999999999</v>
      </c>
      <c r="H4538">
        <v>1.0055459999999901</v>
      </c>
      <c r="I4538">
        <v>38.349759999999897</v>
      </c>
      <c r="J4538">
        <v>-419.84460000000001</v>
      </c>
      <c r="K4538">
        <v>1.11297</v>
      </c>
      <c r="L4538">
        <v>38.690860000000001</v>
      </c>
      <c r="M4538">
        <v>0.32253660000000001</v>
      </c>
      <c r="N4538">
        <v>0</v>
      </c>
      <c r="O4538">
        <v>-0.94644589999999995</v>
      </c>
      <c r="P4538">
        <v>0.61673100000000003</v>
      </c>
      <c r="Q4538">
        <v>3.7025530000000001E-2</v>
      </c>
      <c r="R4538">
        <v>-0.78630299999999997</v>
      </c>
      <c r="S4538">
        <v>2.5245060000000001</v>
      </c>
      <c r="T4538">
        <v>-0.31728079999999997</v>
      </c>
      <c r="U4538">
        <v>-1.8623349999999901</v>
      </c>
      <c r="V4538">
        <v>-0.33108870000000001</v>
      </c>
      <c r="W4538">
        <v>4.398196E-2</v>
      </c>
      <c r="X4538">
        <v>0.94257409999999997</v>
      </c>
      <c r="Y4538">
        <v>-0.56562009999999996</v>
      </c>
      <c r="Z4538">
        <v>0.10537870000000001</v>
      </c>
      <c r="AA4538">
        <v>0.8179054</v>
      </c>
      <c r="AB4538">
        <v>32</v>
      </c>
      <c r="AC4538">
        <v>0.74810000000002197</v>
      </c>
      <c r="AD4538">
        <v>-0.10742400000000001</v>
      </c>
      <c r="AE4538">
        <v>-0.34110000000000401</v>
      </c>
      <c r="AF4538">
        <v>-0.58804345695985305</v>
      </c>
      <c r="AG4538">
        <v>-0.10742400000000001</v>
      </c>
      <c r="AH4538">
        <v>0.55471226601916002</v>
      </c>
      <c r="AI4538">
        <v>97.569442512680496</v>
      </c>
      <c r="AJ4538">
        <v>136.670694133768</v>
      </c>
      <c r="AK4538">
        <v>0.81550028885427495</v>
      </c>
    </row>
    <row r="4539" spans="1:37" x14ac:dyDescent="0.2">
      <c r="A4539" t="str">
        <f>"20200111153742691"</f>
        <v>20200111153742691</v>
      </c>
      <c r="B4539" t="str">
        <f>"1578728262688102"</f>
        <v>1578728262688102</v>
      </c>
      <c r="C4539" t="s">
        <v>37</v>
      </c>
      <c r="D4539">
        <v>5.5970510000000004</v>
      </c>
      <c r="E4539">
        <v>0.39026620000000001</v>
      </c>
      <c r="F4539" t="s">
        <v>38</v>
      </c>
      <c r="G4539">
        <v>-419.0111</v>
      </c>
      <c r="H4539">
        <v>1.008761</v>
      </c>
      <c r="I4539">
        <v>38.087020000000003</v>
      </c>
      <c r="J4539">
        <v>-419.73750000000001</v>
      </c>
      <c r="K4539">
        <v>1.1130949999999999</v>
      </c>
      <c r="L4539">
        <v>38.406709999999997</v>
      </c>
      <c r="M4539">
        <v>0.33189039999999997</v>
      </c>
      <c r="N4539">
        <v>0</v>
      </c>
      <c r="O4539">
        <v>-0.94320609999999905</v>
      </c>
      <c r="P4539">
        <v>0.62443210000000005</v>
      </c>
      <c r="Q4539">
        <v>3.7246670000000003E-2</v>
      </c>
      <c r="R4539">
        <v>-0.78019059999999996</v>
      </c>
      <c r="S4539">
        <v>2.53891</v>
      </c>
      <c r="T4539">
        <v>-0.31736700000000001</v>
      </c>
      <c r="U4539">
        <v>-1.8388369999999901</v>
      </c>
      <c r="V4539">
        <v>-0.33104670000000003</v>
      </c>
      <c r="W4539">
        <v>4.4116299999999997E-2</v>
      </c>
      <c r="X4539">
        <v>0.94258249999999999</v>
      </c>
      <c r="Y4539">
        <v>-0.56463609999999997</v>
      </c>
      <c r="Z4539">
        <v>0.10542839999999901</v>
      </c>
      <c r="AA4539">
        <v>0.81857869999999899</v>
      </c>
      <c r="AB4539">
        <v>32</v>
      </c>
      <c r="AC4539">
        <v>0.72640000000001204</v>
      </c>
      <c r="AD4539">
        <v>-0.104334</v>
      </c>
      <c r="AE4539">
        <v>-0.31968999999999398</v>
      </c>
      <c r="AF4539">
        <v>-0.56926559318196501</v>
      </c>
      <c r="AG4539">
        <v>-0.104334</v>
      </c>
      <c r="AH4539">
        <v>0.53345649874759504</v>
      </c>
      <c r="AI4539">
        <v>97.617268433979504</v>
      </c>
      <c r="AJ4539">
        <v>136.85993303389799</v>
      </c>
      <c r="AK4539">
        <v>0.78709893608926795</v>
      </c>
    </row>
    <row r="4540" spans="1:37" x14ac:dyDescent="0.2">
      <c r="A4540" t="str">
        <f>"20200111153742714"</f>
        <v>20200111153742714</v>
      </c>
      <c r="B4540" t="str">
        <f>"1578728262707621"</f>
        <v>1578728262707621</v>
      </c>
      <c r="C4540" t="s">
        <v>37</v>
      </c>
      <c r="D4540">
        <v>5.4970369999999997</v>
      </c>
      <c r="E4540">
        <v>0.39096320000000001</v>
      </c>
      <c r="F4540" t="s">
        <v>38</v>
      </c>
      <c r="G4540">
        <v>-418.92180000000002</v>
      </c>
      <c r="H4540">
        <v>1.013072</v>
      </c>
      <c r="I4540">
        <v>37.825069999999997</v>
      </c>
      <c r="J4540">
        <v>-419.61739999999998</v>
      </c>
      <c r="K4540">
        <v>1.1132379999999999</v>
      </c>
      <c r="L4540">
        <v>38.098269999999999</v>
      </c>
      <c r="M4540">
        <v>0.34225919999999999</v>
      </c>
      <c r="N4540">
        <v>0</v>
      </c>
      <c r="O4540">
        <v>-0.93949289999999996</v>
      </c>
      <c r="P4540">
        <v>0.63313019999999998</v>
      </c>
      <c r="Q4540">
        <v>3.7854390000000002E-2</v>
      </c>
      <c r="R4540">
        <v>-0.77311929999999995</v>
      </c>
      <c r="S4540">
        <v>2.5508730000000002</v>
      </c>
      <c r="T4540">
        <v>-0.31273959999999901</v>
      </c>
      <c r="U4540">
        <v>-1.8185119999999999</v>
      </c>
      <c r="V4540">
        <v>-0.33125959999999899</v>
      </c>
      <c r="W4540">
        <v>4.4616969999999999E-2</v>
      </c>
      <c r="X4540">
        <v>0.94248410000000005</v>
      </c>
      <c r="Y4540">
        <v>-0.56183559999999999</v>
      </c>
      <c r="Z4540">
        <v>0.10386430000000001</v>
      </c>
      <c r="AA4540">
        <v>0.82070270000000001</v>
      </c>
      <c r="AB4540">
        <v>32</v>
      </c>
      <c r="AC4540">
        <v>0.69559999999995603</v>
      </c>
      <c r="AD4540">
        <v>-0.10016599999999901</v>
      </c>
      <c r="AE4540">
        <v>-0.273199999999995</v>
      </c>
      <c r="AF4540">
        <v>-0.55018151077788902</v>
      </c>
      <c r="AG4540">
        <v>-0.10016599999999901</v>
      </c>
      <c r="AH4540">
        <v>0.48606533894028903</v>
      </c>
      <c r="AI4540">
        <v>97.769473291789396</v>
      </c>
      <c r="AJ4540">
        <v>138.540574228628</v>
      </c>
      <c r="AK4540">
        <v>0.74094023785793905</v>
      </c>
    </row>
    <row r="4541" spans="1:37" x14ac:dyDescent="0.2">
      <c r="A4541" t="str">
        <f>"20200111153742727"</f>
        <v>20200111153742727</v>
      </c>
      <c r="B4541" t="str">
        <f>"1578728262717382"</f>
        <v>1578728262717382</v>
      </c>
      <c r="C4541" t="s">
        <v>37</v>
      </c>
      <c r="D4541">
        <v>5.5324400000000002</v>
      </c>
      <c r="E4541">
        <v>0.39128269999999998</v>
      </c>
      <c r="F4541" t="s">
        <v>38</v>
      </c>
      <c r="G4541">
        <v>-418.8424</v>
      </c>
      <c r="H4541">
        <v>1.019234</v>
      </c>
      <c r="I4541">
        <v>37.556469999999997</v>
      </c>
      <c r="J4541">
        <v>-419.55090000000001</v>
      </c>
      <c r="K4541">
        <v>1.1133249999999999</v>
      </c>
      <c r="L4541">
        <v>37.932009999999998</v>
      </c>
      <c r="M4541">
        <v>0.34795229999999999</v>
      </c>
      <c r="N4541">
        <v>0</v>
      </c>
      <c r="O4541">
        <v>-0.93739919999999999</v>
      </c>
      <c r="P4541">
        <v>0.63792230000000005</v>
      </c>
      <c r="Q4541">
        <v>3.8174060000000003E-2</v>
      </c>
      <c r="R4541">
        <v>-0.769154</v>
      </c>
      <c r="S4541">
        <v>2.5667110000000002</v>
      </c>
      <c r="T4541">
        <v>-0.31123499999999998</v>
      </c>
      <c r="U4541">
        <v>-1.79370099999999</v>
      </c>
      <c r="V4541">
        <v>-0.33142109999999902</v>
      </c>
      <c r="W4541">
        <v>4.487468E-2</v>
      </c>
      <c r="X4541">
        <v>0.94241520000000001</v>
      </c>
      <c r="Y4541">
        <v>-0.56456919999999899</v>
      </c>
      <c r="Z4541">
        <v>0.1034443</v>
      </c>
      <c r="AA4541">
        <v>0.81887779999999999</v>
      </c>
      <c r="AB4541">
        <v>32</v>
      </c>
      <c r="AC4541">
        <v>0.70850000000001501</v>
      </c>
      <c r="AD4541">
        <v>-9.4090999999999897E-2</v>
      </c>
      <c r="AE4541">
        <v>-0.37553999999999299</v>
      </c>
      <c r="AF4541">
        <v>-0.52628772716056704</v>
      </c>
      <c r="AG4541">
        <v>-9.4090999999999897E-2</v>
      </c>
      <c r="AH4541">
        <v>0.59048845676904005</v>
      </c>
      <c r="AI4541">
        <v>96.783707763982903</v>
      </c>
      <c r="AJ4541">
        <v>131.709827148122</v>
      </c>
      <c r="AK4541">
        <v>0.79656042182518605</v>
      </c>
    </row>
    <row r="4542" spans="1:37" x14ac:dyDescent="0.2">
      <c r="A4542" t="str">
        <f>"20200111153742746"</f>
        <v>20200111153742746</v>
      </c>
      <c r="B4542" t="str">
        <f>"1578728262737880"</f>
        <v>1578728262737880</v>
      </c>
      <c r="C4542" t="s">
        <v>37</v>
      </c>
      <c r="D4542">
        <v>5.4695749999999999</v>
      </c>
      <c r="E4542">
        <v>0.39194829999999897</v>
      </c>
      <c r="F4542" t="s">
        <v>38</v>
      </c>
      <c r="G4542">
        <v>-418.68770000000001</v>
      </c>
      <c r="H4542">
        <v>1.009261</v>
      </c>
      <c r="I4542">
        <v>37.335709999999999</v>
      </c>
      <c r="J4542">
        <v>-419.445999999999</v>
      </c>
      <c r="K4542">
        <v>1.113467</v>
      </c>
      <c r="L4542">
        <v>37.675840000000001</v>
      </c>
      <c r="M4542">
        <v>0.35686309999999999</v>
      </c>
      <c r="N4542">
        <v>0</v>
      </c>
      <c r="O4542">
        <v>-0.93404299999999996</v>
      </c>
      <c r="P4542">
        <v>0.64539950000000001</v>
      </c>
      <c r="Q4542">
        <v>3.8783749999999999E-2</v>
      </c>
      <c r="R4542">
        <v>-0.76286009999999904</v>
      </c>
      <c r="S4542">
        <v>2.575958</v>
      </c>
      <c r="T4542">
        <v>-0.31052239999999998</v>
      </c>
      <c r="U4542">
        <v>-1.779358</v>
      </c>
      <c r="V4542">
        <v>-0.33168540000000002</v>
      </c>
      <c r="W4542">
        <v>4.5383420000000001E-2</v>
      </c>
      <c r="X4542">
        <v>0.94229779999999996</v>
      </c>
      <c r="Y4542">
        <v>-0.5612125</v>
      </c>
      <c r="Z4542">
        <v>0.1030934</v>
      </c>
      <c r="AA4542">
        <v>0.82122609999999996</v>
      </c>
      <c r="AB4542">
        <v>32</v>
      </c>
      <c r="AC4542">
        <v>0.758299999999962</v>
      </c>
      <c r="AD4542">
        <v>-0.10420599999999999</v>
      </c>
      <c r="AE4542">
        <v>-0.34013000000000199</v>
      </c>
      <c r="AF4542">
        <v>-0.577882179790142</v>
      </c>
      <c r="AG4542">
        <v>-0.10420599999999999</v>
      </c>
      <c r="AH4542">
        <v>0.57926102477525299</v>
      </c>
      <c r="AI4542">
        <v>97.257904493514104</v>
      </c>
      <c r="AJ4542">
        <v>134.93172672099101</v>
      </c>
      <c r="AK4542">
        <v>0.82483334012313203</v>
      </c>
    </row>
    <row r="4543" spans="1:37" x14ac:dyDescent="0.2">
      <c r="A4543" t="str">
        <f>"20200111153742768"</f>
        <v>20200111153742768</v>
      </c>
      <c r="B4543" t="str">
        <f>"1578728262757397"</f>
        <v>1578728262757397</v>
      </c>
      <c r="C4543" t="s">
        <v>37</v>
      </c>
      <c r="D4543">
        <v>5.4584769999999896</v>
      </c>
      <c r="E4543">
        <v>0.39242129999999997</v>
      </c>
      <c r="F4543" t="s">
        <v>38</v>
      </c>
      <c r="G4543">
        <v>-418.57799999999997</v>
      </c>
      <c r="H4543">
        <v>1.010354</v>
      </c>
      <c r="I4543">
        <v>37.08643</v>
      </c>
      <c r="J4543">
        <v>-419.32940000000002</v>
      </c>
      <c r="K4543">
        <v>1.1136189999999999</v>
      </c>
      <c r="L4543">
        <v>37.399569999999997</v>
      </c>
      <c r="M4543">
        <v>0.36667040000000001</v>
      </c>
      <c r="N4543">
        <v>0</v>
      </c>
      <c r="O4543">
        <v>-0.93023639999999996</v>
      </c>
      <c r="P4543">
        <v>0.65358939999999999</v>
      </c>
      <c r="Q4543">
        <v>3.8968199999999897E-2</v>
      </c>
      <c r="R4543">
        <v>-0.75584600000000002</v>
      </c>
      <c r="S4543">
        <v>2.5892029999999999</v>
      </c>
      <c r="T4543">
        <v>-0.30752560000000001</v>
      </c>
      <c r="U4543">
        <v>-1.75769</v>
      </c>
      <c r="V4543">
        <v>-0.33195970000000002</v>
      </c>
      <c r="W4543">
        <v>4.5457259999999999E-2</v>
      </c>
      <c r="X4543">
        <v>0.94219759999999997</v>
      </c>
      <c r="Y4543">
        <v>-0.55926919999999902</v>
      </c>
      <c r="Z4543">
        <v>0.10202799999999999</v>
      </c>
      <c r="AA4543">
        <v>0.82268359999999996</v>
      </c>
      <c r="AB4543">
        <v>31</v>
      </c>
      <c r="AC4543">
        <v>0.75139999999998897</v>
      </c>
      <c r="AD4543">
        <v>-0.103264999999999</v>
      </c>
      <c r="AE4543">
        <v>-0.31314000000000403</v>
      </c>
      <c r="AF4543">
        <v>-0.57497014541633396</v>
      </c>
      <c r="AG4543">
        <v>-0.103264999999999</v>
      </c>
      <c r="AH4543">
        <v>0.55789300912717998</v>
      </c>
      <c r="AI4543">
        <v>97.344732137461804</v>
      </c>
      <c r="AJ4543">
        <v>135.86362922934899</v>
      </c>
      <c r="AK4543">
        <v>0.80777406369482996</v>
      </c>
    </row>
    <row r="4544" spans="1:37" x14ac:dyDescent="0.2">
      <c r="A4544" t="str">
        <f>"20200111153742784"</f>
        <v>20200111153742784</v>
      </c>
      <c r="B4544" t="str">
        <f>"1578728262777893"</f>
        <v>1578728262777893</v>
      </c>
      <c r="C4544" t="s">
        <v>37</v>
      </c>
      <c r="D4544">
        <v>5.4498150000000001</v>
      </c>
      <c r="E4544">
        <v>0.39285979999999998</v>
      </c>
      <c r="F4544" t="s">
        <v>38</v>
      </c>
      <c r="G4544">
        <v>-418.47559999999999</v>
      </c>
      <c r="H4544">
        <v>1.0133969999999899</v>
      </c>
      <c r="I4544">
        <v>36.83222</v>
      </c>
      <c r="J4544">
        <v>-419.24650000000003</v>
      </c>
      <c r="K4544">
        <v>1.1137219999999901</v>
      </c>
      <c r="L4544">
        <v>37.207859999999997</v>
      </c>
      <c r="M4544">
        <v>0.37358429999999998</v>
      </c>
      <c r="N4544">
        <v>0</v>
      </c>
      <c r="O4544">
        <v>-0.92748109999999995</v>
      </c>
      <c r="P4544">
        <v>0.65924969999999905</v>
      </c>
      <c r="Q4544">
        <v>3.9409529999999998E-2</v>
      </c>
      <c r="R4544">
        <v>-0.75089059999999996</v>
      </c>
      <c r="S4544">
        <v>2.605286</v>
      </c>
      <c r="T4544">
        <v>-0.3059248</v>
      </c>
      <c r="U4544">
        <v>-1.731995</v>
      </c>
      <c r="V4544">
        <v>-0.33205659999999998</v>
      </c>
      <c r="W4544">
        <v>4.5824509999999999E-2</v>
      </c>
      <c r="X4544">
        <v>0.94214569999999997</v>
      </c>
      <c r="Y4544">
        <v>-0.56112299999999904</v>
      </c>
      <c r="Z4544">
        <v>0.1015172</v>
      </c>
      <c r="AA4544">
        <v>0.82148359999999998</v>
      </c>
      <c r="AB4544">
        <v>31</v>
      </c>
      <c r="AC4544">
        <v>0.77090000000004</v>
      </c>
      <c r="AD4544">
        <v>-0.100325</v>
      </c>
      <c r="AE4544">
        <v>-0.37563999999999698</v>
      </c>
      <c r="AF4544">
        <v>-0.56696348243788597</v>
      </c>
      <c r="AG4544">
        <v>-0.100325</v>
      </c>
      <c r="AH4544">
        <v>0.62786963441131005</v>
      </c>
      <c r="AI4544">
        <v>96.763202334848202</v>
      </c>
      <c r="AJ4544">
        <v>132.08189572197699</v>
      </c>
      <c r="AK4544">
        <v>0.851899626633847</v>
      </c>
    </row>
    <row r="4545" spans="1:37" x14ac:dyDescent="0.2">
      <c r="A4545" t="str">
        <f>"20200111153742802"</f>
        <v>20200111153742802</v>
      </c>
      <c r="B4545" t="str">
        <f>"1578728262797413"</f>
        <v>1578728262797413</v>
      </c>
      <c r="C4545" t="s">
        <v>37</v>
      </c>
      <c r="D4545">
        <v>5.445862</v>
      </c>
      <c r="E4545">
        <v>0.39335619999999999</v>
      </c>
      <c r="F4545" t="s">
        <v>53</v>
      </c>
      <c r="G4545">
        <v>-409.67770000000002</v>
      </c>
      <c r="H4545" s="1">
        <v>-6.6874419999999996E-6</v>
      </c>
      <c r="I4545">
        <v>30.935679999999898</v>
      </c>
      <c r="J4545">
        <v>-419.142</v>
      </c>
      <c r="K4545">
        <v>1.113853</v>
      </c>
      <c r="L4545">
        <v>36.972229999999897</v>
      </c>
      <c r="M4545">
        <v>0.38222070000000002</v>
      </c>
      <c r="N4545">
        <v>0</v>
      </c>
      <c r="O4545">
        <v>-0.92395499999999997</v>
      </c>
      <c r="P4545">
        <v>0.66629700000000003</v>
      </c>
      <c r="Q4545">
        <v>3.983776E-2</v>
      </c>
      <c r="R4545">
        <v>-0.74462200000000001</v>
      </c>
      <c r="S4545">
        <v>2.615875</v>
      </c>
      <c r="T4545">
        <v>-0.30446620000000002</v>
      </c>
      <c r="U4545">
        <v>-1.714661</v>
      </c>
      <c r="V4545">
        <v>-0.33217979999999903</v>
      </c>
      <c r="W4545">
        <v>4.6164139999999999E-2</v>
      </c>
      <c r="X4545">
        <v>0.94208570000000003</v>
      </c>
      <c r="Y4545">
        <v>-0.5587974</v>
      </c>
      <c r="Z4545">
        <v>0.1009205</v>
      </c>
      <c r="AA4545">
        <v>0.823140599999999</v>
      </c>
      <c r="AB4545">
        <v>31</v>
      </c>
      <c r="AC4545">
        <v>9.4642999999999802</v>
      </c>
      <c r="AD4545">
        <v>-1.1138596874419999</v>
      </c>
      <c r="AE4545">
        <v>-6.0365499999999903</v>
      </c>
      <c r="AF4545">
        <v>-6.3752150743535996</v>
      </c>
      <c r="AG4545">
        <v>-1.1138596874419999</v>
      </c>
      <c r="AH4545">
        <v>9.1062806486205297</v>
      </c>
      <c r="AI4545">
        <v>95.722072865231993</v>
      </c>
      <c r="AJ4545">
        <v>124.995476881223</v>
      </c>
      <c r="AK4545">
        <v>11.1717678949669</v>
      </c>
    </row>
    <row r="4546" spans="1:37" x14ac:dyDescent="0.2">
      <c r="A4546" t="str">
        <f>"20200111153742814"</f>
        <v>20200111153742814</v>
      </c>
      <c r="B4546" t="str">
        <f>"1578728262808149"</f>
        <v>1578728262808149</v>
      </c>
      <c r="C4546" t="s">
        <v>37</v>
      </c>
      <c r="D4546">
        <v>5.4264169999999998</v>
      </c>
      <c r="E4546">
        <v>0.39358029999999999</v>
      </c>
      <c r="F4546" t="s">
        <v>53</v>
      </c>
      <c r="G4546">
        <v>-409.49340000000001</v>
      </c>
      <c r="H4546" s="1">
        <v>-6.688615E-6</v>
      </c>
      <c r="I4546">
        <v>30.759820000000001</v>
      </c>
      <c r="J4546">
        <v>-419.06439999999998</v>
      </c>
      <c r="K4546">
        <v>1.1139479999999999</v>
      </c>
      <c r="L4546">
        <v>36.80142</v>
      </c>
      <c r="M4546">
        <v>0.38858169999999997</v>
      </c>
      <c r="N4546">
        <v>0</v>
      </c>
      <c r="O4546">
        <v>-0.92129760000000005</v>
      </c>
      <c r="P4546">
        <v>0.67173859999999996</v>
      </c>
      <c r="Q4546">
        <v>4.016662E-2</v>
      </c>
      <c r="R4546">
        <v>-0.73969849999999904</v>
      </c>
      <c r="S4546">
        <v>2.6289980000000002</v>
      </c>
      <c r="T4546">
        <v>-0.30349769999999998</v>
      </c>
      <c r="U4546">
        <v>-1.6927189999999901</v>
      </c>
      <c r="V4546">
        <v>-0.33261750000000001</v>
      </c>
      <c r="W4546">
        <v>4.6419929999999998E-2</v>
      </c>
      <c r="X4546">
        <v>0.9419187</v>
      </c>
      <c r="Y4546">
        <v>-0.559845699999999</v>
      </c>
      <c r="Z4546">
        <v>0.1005914</v>
      </c>
      <c r="AA4546">
        <v>0.82246830000000004</v>
      </c>
      <c r="AB4546">
        <v>31</v>
      </c>
      <c r="AC4546">
        <v>9.5709999999999695</v>
      </c>
      <c r="AD4546">
        <v>-1.113954688615</v>
      </c>
      <c r="AE4546">
        <v>-6.0415999999999901</v>
      </c>
      <c r="AF4546">
        <v>-6.4087015599241903</v>
      </c>
      <c r="AG4546">
        <v>-1.113954688615</v>
      </c>
      <c r="AH4546">
        <v>9.1971368151018904</v>
      </c>
      <c r="AI4546">
        <v>95.675057258608305</v>
      </c>
      <c r="AJ4546">
        <v>124.86935673922299</v>
      </c>
      <c r="AK4546">
        <v>11.264975647029299</v>
      </c>
    </row>
    <row r="4547" spans="1:37" x14ac:dyDescent="0.2">
      <c r="A4547" t="str">
        <f>"20200111153742836"</f>
        <v>20200111153742836</v>
      </c>
      <c r="B4547" t="str">
        <f>"1578728262827669"</f>
        <v>1578728262827669</v>
      </c>
      <c r="C4547" t="s">
        <v>37</v>
      </c>
      <c r="D4547">
        <v>5.4309219999999998</v>
      </c>
      <c r="E4547">
        <v>0.39373190000000002</v>
      </c>
      <c r="F4547" t="s">
        <v>38</v>
      </c>
      <c r="G4547">
        <v>-418.28910000000002</v>
      </c>
      <c r="H4547">
        <v>1.0249250000000001</v>
      </c>
      <c r="I4547">
        <v>36.309620000000002</v>
      </c>
      <c r="J4547">
        <v>-418.94409999999999</v>
      </c>
      <c r="K4547">
        <v>1.114096</v>
      </c>
      <c r="L4547">
        <v>36.542540000000002</v>
      </c>
      <c r="M4547">
        <v>0.39835890000000002</v>
      </c>
      <c r="N4547">
        <v>0</v>
      </c>
      <c r="O4547">
        <v>-0.91711189999999998</v>
      </c>
      <c r="P4547">
        <v>0.68034589999999995</v>
      </c>
      <c r="Q4547">
        <v>4.1116069999999998E-2</v>
      </c>
      <c r="R4547">
        <v>-0.73173710000000003</v>
      </c>
      <c r="S4547">
        <v>2.6400759999999899</v>
      </c>
      <c r="T4547">
        <v>-0.30314179999999902</v>
      </c>
      <c r="U4547">
        <v>-1.6746220000000001</v>
      </c>
      <c r="V4547">
        <v>-0.33367720000000001</v>
      </c>
      <c r="W4547">
        <v>4.7250140000000003E-2</v>
      </c>
      <c r="X4547">
        <v>0.94150249999999902</v>
      </c>
      <c r="Y4547">
        <v>-0.5566506</v>
      </c>
      <c r="Z4547">
        <v>0.1002938</v>
      </c>
      <c r="AA4547">
        <v>0.82467040000000003</v>
      </c>
      <c r="AB4547">
        <v>31</v>
      </c>
      <c r="AC4547">
        <v>0.65499999999997205</v>
      </c>
      <c r="AD4547">
        <v>-8.9170999999999806E-2</v>
      </c>
      <c r="AE4547">
        <v>-0.23291999999999999</v>
      </c>
      <c r="AF4547">
        <v>-0.49975480622976998</v>
      </c>
      <c r="AG4547">
        <v>-8.9170999999999806E-2</v>
      </c>
      <c r="AH4547">
        <v>0.46690788303758402</v>
      </c>
      <c r="AI4547">
        <v>97.428357565116201</v>
      </c>
      <c r="AJ4547">
        <v>136.946145499056</v>
      </c>
      <c r="AK4547">
        <v>0.68971682945495405</v>
      </c>
    </row>
    <row r="4548" spans="1:37" x14ac:dyDescent="0.2">
      <c r="A4548" t="str">
        <f>"20200111153742849"</f>
        <v>20200111153742849</v>
      </c>
      <c r="B4548" t="str">
        <f>"1578728262848167"</f>
        <v>1578728262848167</v>
      </c>
      <c r="C4548" t="s">
        <v>37</v>
      </c>
      <c r="D4548">
        <v>5.5206379999999999</v>
      </c>
      <c r="E4548">
        <v>0.39388449999999903</v>
      </c>
      <c r="F4548" t="s">
        <v>38</v>
      </c>
      <c r="G4548">
        <v>-418.17160000000001</v>
      </c>
      <c r="H4548">
        <v>1.026654</v>
      </c>
      <c r="I4548">
        <v>36.064520000000002</v>
      </c>
      <c r="J4548">
        <v>-418.863</v>
      </c>
      <c r="K4548">
        <v>1.114188</v>
      </c>
      <c r="L4548">
        <v>36.372799999999998</v>
      </c>
      <c r="M4548">
        <v>0.4048833</v>
      </c>
      <c r="N4548">
        <v>0</v>
      </c>
      <c r="O4548">
        <v>-0.91425020000000001</v>
      </c>
      <c r="P4548">
        <v>0.68593839999999995</v>
      </c>
      <c r="Q4548">
        <v>4.1537209999999998E-2</v>
      </c>
      <c r="R4548">
        <v>-0.72647320000000004</v>
      </c>
      <c r="S4548">
        <v>2.6587830000000001</v>
      </c>
      <c r="T4548">
        <v>-0.30089929999999998</v>
      </c>
      <c r="U4548">
        <v>-1.6447449999999999</v>
      </c>
      <c r="V4548">
        <v>-0.33422109999999999</v>
      </c>
      <c r="W4548">
        <v>4.7597840000000002E-2</v>
      </c>
      <c r="X4548">
        <v>0.94129200000000002</v>
      </c>
      <c r="Y4548">
        <v>-0.56010389999999999</v>
      </c>
      <c r="Z4548">
        <v>9.9564520000000004E-2</v>
      </c>
      <c r="AA4548">
        <v>0.82241749999999902</v>
      </c>
      <c r="AB4548">
        <v>31</v>
      </c>
      <c r="AC4548">
        <v>0.69140000000004398</v>
      </c>
      <c r="AD4548">
        <v>-8.7533999999999695E-2</v>
      </c>
      <c r="AE4548">
        <v>-0.308279999999996</v>
      </c>
      <c r="AF4548">
        <v>-0.50065599532052096</v>
      </c>
      <c r="AG4548">
        <v>-8.7533999999999695E-2</v>
      </c>
      <c r="AH4548">
        <v>0.55442911392803695</v>
      </c>
      <c r="AI4548">
        <v>96.683249230836907</v>
      </c>
      <c r="AJ4548">
        <v>132.08240665901599</v>
      </c>
      <c r="AK4548">
        <v>0.75213713455553399</v>
      </c>
    </row>
    <row r="4549" spans="1:37" x14ac:dyDescent="0.2">
      <c r="A4549" t="str">
        <f>"20200111153742869"</f>
        <v>20200111153742869</v>
      </c>
      <c r="B4549" t="str">
        <f>"1578728262857732"</f>
        <v>1578728262857732</v>
      </c>
      <c r="C4549" t="s">
        <v>37</v>
      </c>
      <c r="D4549">
        <v>5.4313640000000003</v>
      </c>
      <c r="E4549">
        <v>0.40502470000000002</v>
      </c>
      <c r="F4549" t="s">
        <v>38</v>
      </c>
      <c r="G4549">
        <v>-418.00850000000003</v>
      </c>
      <c r="H4549">
        <v>1.0181899999999999</v>
      </c>
      <c r="I4549">
        <v>35.852800000000002</v>
      </c>
      <c r="J4549">
        <v>-418.7484</v>
      </c>
      <c r="K4549">
        <v>1.1143259999999999</v>
      </c>
      <c r="L4549">
        <v>36.137659999999997</v>
      </c>
      <c r="M4549">
        <v>0.41403390000000001</v>
      </c>
      <c r="N4549">
        <v>0</v>
      </c>
      <c r="O4549">
        <v>-0.91014209999999995</v>
      </c>
      <c r="P4549">
        <v>0.69359419999999905</v>
      </c>
      <c r="Q4549">
        <v>4.1875889999999999E-2</v>
      </c>
      <c r="R4549">
        <v>-0.71914820000000002</v>
      </c>
      <c r="S4549">
        <v>2.6704409999999998</v>
      </c>
      <c r="T4549">
        <v>-0.30003669999999999</v>
      </c>
      <c r="U4549">
        <v>-1.625305</v>
      </c>
      <c r="V4549">
        <v>-0.33478049999999998</v>
      </c>
      <c r="W4549">
        <v>4.783979E-2</v>
      </c>
      <c r="X4549">
        <v>0.94108099999999995</v>
      </c>
      <c r="Y4549">
        <v>-0.55780940000000001</v>
      </c>
      <c r="Z4549">
        <v>9.9106330000000006E-2</v>
      </c>
      <c r="AA4549">
        <v>0.82403069999999901</v>
      </c>
      <c r="AB4549">
        <v>31</v>
      </c>
      <c r="AC4549">
        <v>0.73989999999997702</v>
      </c>
      <c r="AD4549">
        <v>-9.6135999999999999E-2</v>
      </c>
      <c r="AE4549">
        <v>-0.28485999999999401</v>
      </c>
      <c r="AF4549">
        <v>-0.54748327212595305</v>
      </c>
      <c r="AG4549">
        <v>-9.6135999999999999E-2</v>
      </c>
      <c r="AH4549">
        <v>0.55747183186013105</v>
      </c>
      <c r="AI4549">
        <v>97.014295395607306</v>
      </c>
      <c r="AJ4549">
        <v>134.48207241561701</v>
      </c>
      <c r="AK4549">
        <v>0.78724513785175598</v>
      </c>
    </row>
    <row r="4550" spans="1:37" x14ac:dyDescent="0.2">
      <c r="A4550" t="str">
        <f>"20200111153742883"</f>
        <v>20200111153742883</v>
      </c>
      <c r="B4550" t="str">
        <f>"1578728262878225"</f>
        <v>1578728262878225</v>
      </c>
      <c r="C4550" t="s">
        <v>37</v>
      </c>
      <c r="D4550">
        <v>5.4679510000000002</v>
      </c>
      <c r="E4550">
        <v>0.40494479999999999</v>
      </c>
      <c r="F4550" t="s">
        <v>38</v>
      </c>
      <c r="G4550">
        <v>-417.89960000000002</v>
      </c>
      <c r="H4550">
        <v>1.0238069999999999</v>
      </c>
      <c r="I4550">
        <v>35.601469999999999</v>
      </c>
      <c r="J4550">
        <v>-418.66300000000001</v>
      </c>
      <c r="K4550">
        <v>1.1144209999999899</v>
      </c>
      <c r="L4550">
        <v>35.966059999999999</v>
      </c>
      <c r="M4550">
        <v>0.42079430000000001</v>
      </c>
      <c r="N4550">
        <v>0</v>
      </c>
      <c r="O4550">
        <v>-0.90703599999999995</v>
      </c>
      <c r="P4550">
        <v>0.69905850000000003</v>
      </c>
      <c r="Q4550">
        <v>4.2586699999999998E-2</v>
      </c>
      <c r="R4550">
        <v>-0.71379519999999996</v>
      </c>
      <c r="S4550">
        <v>2.6241150000000002</v>
      </c>
      <c r="T4550">
        <v>-0.27976430000000002</v>
      </c>
      <c r="U4550">
        <v>-1.6570130000000001</v>
      </c>
      <c r="V4550">
        <v>-0.33500159999999901</v>
      </c>
      <c r="W4550">
        <v>4.8485170000000001E-2</v>
      </c>
      <c r="X4550">
        <v>0.94096919999999995</v>
      </c>
      <c r="Y4550">
        <v>-0.53845520000000002</v>
      </c>
      <c r="Z4550">
        <v>9.2554129999999998E-2</v>
      </c>
      <c r="AA4550">
        <v>0.83755579999999996</v>
      </c>
      <c r="AB4550">
        <v>31</v>
      </c>
      <c r="AC4550">
        <v>0.76339999999998998</v>
      </c>
      <c r="AD4550">
        <v>-9.0613999999999903E-2</v>
      </c>
      <c r="AE4550">
        <v>-0.36458999999999903</v>
      </c>
      <c r="AF4550">
        <v>-0.53295827192065703</v>
      </c>
      <c r="AG4550">
        <v>-9.0613999999999903E-2</v>
      </c>
      <c r="AH4550">
        <v>0.64460643051496203</v>
      </c>
      <c r="AI4550">
        <v>96.183214110685896</v>
      </c>
      <c r="AJ4550">
        <v>129.583819840199</v>
      </c>
      <c r="AK4550">
        <v>0.84129237894200204</v>
      </c>
    </row>
    <row r="4551" spans="1:37" x14ac:dyDescent="0.2">
      <c r="A4551" t="str">
        <f>"20200111153742896"</f>
        <v>20200111153742896</v>
      </c>
      <c r="B4551" t="str">
        <f>"1578728262887985"</f>
        <v>1578728262887985</v>
      </c>
      <c r="C4551" t="s">
        <v>37</v>
      </c>
      <c r="D4551">
        <v>5.4699960000000001</v>
      </c>
      <c r="E4551">
        <v>0.40498979999999901</v>
      </c>
      <c r="F4551" t="s">
        <v>38</v>
      </c>
      <c r="G4551">
        <v>-417.73649999999998</v>
      </c>
      <c r="H4551">
        <v>1.0154209999999999</v>
      </c>
      <c r="I4551">
        <v>35.391120000000001</v>
      </c>
      <c r="J4551">
        <v>-418.57429999999999</v>
      </c>
      <c r="K4551">
        <v>1.1145160000000001</v>
      </c>
      <c r="L4551">
        <v>35.791469999999997</v>
      </c>
      <c r="M4551">
        <v>0.42775479999999999</v>
      </c>
      <c r="N4551">
        <v>0</v>
      </c>
      <c r="O4551">
        <v>-0.90377399999999997</v>
      </c>
      <c r="P4551">
        <v>0.70459269999999996</v>
      </c>
      <c r="Q4551">
        <v>4.3274609999999998E-2</v>
      </c>
      <c r="R4551">
        <v>-0.70829149999999996</v>
      </c>
      <c r="S4551">
        <v>2.6372990000000001</v>
      </c>
      <c r="T4551">
        <v>-0.2818136</v>
      </c>
      <c r="U4551">
        <v>-1.636841</v>
      </c>
      <c r="V4551">
        <v>-0.33513709999999902</v>
      </c>
      <c r="W4551">
        <v>4.9111460000000003E-2</v>
      </c>
      <c r="X4551">
        <v>0.94088850000000002</v>
      </c>
      <c r="Y4551">
        <v>-0.5384409</v>
      </c>
      <c r="Z4551">
        <v>9.3103930000000001E-2</v>
      </c>
      <c r="AA4551">
        <v>0.83750409999999997</v>
      </c>
      <c r="AB4551">
        <v>31</v>
      </c>
      <c r="AC4551">
        <v>0.83780000000001498</v>
      </c>
      <c r="AD4551">
        <v>-9.90950000000001E-2</v>
      </c>
      <c r="AE4551">
        <v>-0.40035000000000298</v>
      </c>
      <c r="AF4551">
        <v>-0.57939524661917097</v>
      </c>
      <c r="AG4551">
        <v>-9.90950000000001E-2</v>
      </c>
      <c r="AH4551">
        <v>0.712166395328511</v>
      </c>
      <c r="AI4551">
        <v>96.160464261110704</v>
      </c>
      <c r="AJ4551">
        <v>129.13067244056899</v>
      </c>
      <c r="AK4551">
        <v>0.92341737338274898</v>
      </c>
    </row>
    <row r="4552" spans="1:37" x14ac:dyDescent="0.2">
      <c r="A4552" t="str">
        <f>"20200111153742915"</f>
        <v>20200111153742915</v>
      </c>
      <c r="B4552" t="str">
        <f>"1578728262907505"</f>
        <v>1578728262907505</v>
      </c>
      <c r="C4552" t="s">
        <v>37</v>
      </c>
      <c r="D4552">
        <v>5.4884230000000001</v>
      </c>
      <c r="E4552">
        <v>0.40543990000000002</v>
      </c>
      <c r="F4552" t="s">
        <v>38</v>
      </c>
      <c r="G4552">
        <v>-417.81670000000003</v>
      </c>
      <c r="H4552">
        <v>1.0334369999999999</v>
      </c>
      <c r="I4552">
        <v>35.329459999999997</v>
      </c>
      <c r="J4552">
        <v>-418.46080000000001</v>
      </c>
      <c r="K4552">
        <v>1.1146290000000001</v>
      </c>
      <c r="L4552">
        <v>35.573520000000002</v>
      </c>
      <c r="M4552">
        <v>0.43656210000000001</v>
      </c>
      <c r="N4552">
        <v>0</v>
      </c>
      <c r="O4552">
        <v>-0.89955239999999903</v>
      </c>
      <c r="P4552">
        <v>0.71181510000000003</v>
      </c>
      <c r="Q4552">
        <v>4.4173999999999998E-2</v>
      </c>
      <c r="R4552">
        <v>-0.70097670000000001</v>
      </c>
      <c r="S4552">
        <v>2.6501160000000001</v>
      </c>
      <c r="T4552">
        <v>-0.28367329999999902</v>
      </c>
      <c r="U4552">
        <v>-1.6166689999999999</v>
      </c>
      <c r="V4552">
        <v>-0.33565109999999998</v>
      </c>
      <c r="W4552">
        <v>4.9926320000000003E-2</v>
      </c>
      <c r="X4552">
        <v>0.94066240000000001</v>
      </c>
      <c r="Y4552">
        <v>-0.53663059999999996</v>
      </c>
      <c r="Z4552">
        <v>9.3509579999999995E-2</v>
      </c>
      <c r="AA4552">
        <v>0.83862000000000003</v>
      </c>
      <c r="AB4552">
        <v>31</v>
      </c>
      <c r="AC4552">
        <v>0.64409999999998002</v>
      </c>
      <c r="AD4552">
        <v>-8.1191999999999903E-2</v>
      </c>
      <c r="AE4552">
        <v>-0.244060000000004</v>
      </c>
      <c r="AF4552">
        <v>-0.46642522935082198</v>
      </c>
      <c r="AG4552">
        <v>-8.1191999999999903E-2</v>
      </c>
      <c r="AH4552">
        <v>0.49392621314698099</v>
      </c>
      <c r="AI4552">
        <v>96.815341045513193</v>
      </c>
      <c r="AJ4552">
        <v>133.35970485871701</v>
      </c>
      <c r="AK4552">
        <v>0.684183995335089</v>
      </c>
    </row>
    <row r="4553" spans="1:37" x14ac:dyDescent="0.2">
      <c r="A4553" t="str">
        <f>"20200111153742928"</f>
        <v>20200111153742928</v>
      </c>
      <c r="B4553" t="str">
        <f>"1578728262918242"</f>
        <v>1578728262918242</v>
      </c>
      <c r="C4553" t="s">
        <v>37</v>
      </c>
      <c r="D4553">
        <v>5.5152150000000004</v>
      </c>
      <c r="E4553">
        <v>0.40567329999999902</v>
      </c>
      <c r="F4553" t="s">
        <v>38</v>
      </c>
      <c r="G4553">
        <v>-417.6739</v>
      </c>
      <c r="H4553">
        <v>1.02919</v>
      </c>
      <c r="I4553">
        <v>35.10284</v>
      </c>
      <c r="J4553">
        <v>-418.36959999999999</v>
      </c>
      <c r="K4553">
        <v>1.114717</v>
      </c>
      <c r="L4553">
        <v>35.40231</v>
      </c>
      <c r="M4553">
        <v>0.44356629999999903</v>
      </c>
      <c r="N4553">
        <v>0</v>
      </c>
      <c r="O4553">
        <v>-0.89611909999999895</v>
      </c>
      <c r="P4553">
        <v>0.71727869999999905</v>
      </c>
      <c r="Q4553">
        <v>4.4363369999999999E-2</v>
      </c>
      <c r="R4553">
        <v>-0.69537309999999997</v>
      </c>
      <c r="S4553">
        <v>2.6641240000000002</v>
      </c>
      <c r="T4553">
        <v>-0.28916709999999901</v>
      </c>
      <c r="U4553">
        <v>-1.5927119999999999</v>
      </c>
      <c r="V4553">
        <v>-0.33569499999999902</v>
      </c>
      <c r="W4553">
        <v>5.0061580000000001E-2</v>
      </c>
      <c r="X4553">
        <v>0.94063949999999996</v>
      </c>
      <c r="Y4553">
        <v>-0.53740359999999998</v>
      </c>
      <c r="Z4553">
        <v>9.5213279999999997E-2</v>
      </c>
      <c r="AA4553">
        <v>0.83793309999999999</v>
      </c>
      <c r="AB4553">
        <v>31</v>
      </c>
      <c r="AC4553">
        <v>0.695699999999987</v>
      </c>
      <c r="AD4553">
        <v>-8.5526999999999895E-2</v>
      </c>
      <c r="AE4553">
        <v>-0.29946999999999901</v>
      </c>
      <c r="AF4553">
        <v>-0.48447172445971698</v>
      </c>
      <c r="AG4553">
        <v>-8.5526999999999895E-2</v>
      </c>
      <c r="AH4553">
        <v>0.56974846353206798</v>
      </c>
      <c r="AI4553">
        <v>96.523951342612193</v>
      </c>
      <c r="AJ4553">
        <v>130.37536650355099</v>
      </c>
      <c r="AK4553">
        <v>0.75275562517135997</v>
      </c>
    </row>
    <row r="4554" spans="1:37" x14ac:dyDescent="0.2">
      <c r="A4554" t="str">
        <f>"20200111153742947"</f>
        <v>20200111153742947</v>
      </c>
      <c r="B4554" t="str">
        <f>"1578728262937765"</f>
        <v>1578728262937765</v>
      </c>
      <c r="C4554" t="s">
        <v>37</v>
      </c>
      <c r="D4554">
        <v>5.5552320000000002</v>
      </c>
      <c r="E4554">
        <v>0.40600989999999998</v>
      </c>
      <c r="F4554" t="s">
        <v>38</v>
      </c>
      <c r="G4554">
        <v>-417.5077</v>
      </c>
      <c r="H4554">
        <v>1.020723</v>
      </c>
      <c r="I4554">
        <v>34.895350000000001</v>
      </c>
      <c r="J4554">
        <v>-418.24900000000002</v>
      </c>
      <c r="K4554">
        <v>1.114827</v>
      </c>
      <c r="L4554">
        <v>35.180540000000001</v>
      </c>
      <c r="M4554">
        <v>0.45273149999999901</v>
      </c>
      <c r="N4554">
        <v>0</v>
      </c>
      <c r="O4554">
        <v>-0.89152319999999996</v>
      </c>
      <c r="P4554">
        <v>0.72462360000000003</v>
      </c>
      <c r="Q4554">
        <v>4.4690290000000001E-2</v>
      </c>
      <c r="R4554">
        <v>-0.68769469999999899</v>
      </c>
      <c r="S4554">
        <v>2.6752009999999999</v>
      </c>
      <c r="T4554">
        <v>-0.29173090000000002</v>
      </c>
      <c r="U4554">
        <v>-1.573334</v>
      </c>
      <c r="V4554">
        <v>-0.33607199999999998</v>
      </c>
      <c r="W4554">
        <v>5.031161E-2</v>
      </c>
      <c r="X4554">
        <v>0.94049159999999898</v>
      </c>
      <c r="Y4554">
        <v>-0.5347345</v>
      </c>
      <c r="Z4554">
        <v>9.5811899999999894E-2</v>
      </c>
      <c r="AA4554">
        <v>0.83957079999999995</v>
      </c>
      <c r="AB4554">
        <v>31</v>
      </c>
      <c r="AC4554">
        <v>0.74130000000002305</v>
      </c>
      <c r="AD4554">
        <v>-9.4103999999999896E-2</v>
      </c>
      <c r="AE4554">
        <v>-0.28519</v>
      </c>
      <c r="AF4554">
        <v>-0.52446818677677698</v>
      </c>
      <c r="AG4554">
        <v>-9.4103999999999896E-2</v>
      </c>
      <c r="AH4554">
        <v>0.58176205355719002</v>
      </c>
      <c r="AI4554">
        <v>96.850809407478394</v>
      </c>
      <c r="AJ4554">
        <v>132.035186551598</v>
      </c>
      <c r="AK4554">
        <v>0.78890400475343003</v>
      </c>
    </row>
    <row r="4555" spans="1:37" x14ac:dyDescent="0.2">
      <c r="A4555" t="str">
        <f>"20200111153742970"</f>
        <v>20200111153742970</v>
      </c>
      <c r="B4555" t="str">
        <f>"1578728262967907"</f>
        <v>1578728262967907</v>
      </c>
      <c r="C4555" t="s">
        <v>37</v>
      </c>
      <c r="D4555">
        <v>5.6032580000000003</v>
      </c>
      <c r="E4555">
        <v>0.4138327</v>
      </c>
      <c r="F4555" t="s">
        <v>38</v>
      </c>
      <c r="G4555">
        <v>-417.36309999999997</v>
      </c>
      <c r="H4555">
        <v>1.018297</v>
      </c>
      <c r="I4555">
        <v>34.67107</v>
      </c>
      <c r="J4555">
        <v>-418.09879999999998</v>
      </c>
      <c r="K4555">
        <v>1.1149549999999999</v>
      </c>
      <c r="L4555">
        <v>34.912050000000001</v>
      </c>
      <c r="M4555">
        <v>0.46398040000000002</v>
      </c>
      <c r="N4555">
        <v>0</v>
      </c>
      <c r="O4555">
        <v>-0.88572039999999996</v>
      </c>
      <c r="P4555">
        <v>0.73286759999999995</v>
      </c>
      <c r="Q4555">
        <v>4.535264E-2</v>
      </c>
      <c r="R4555">
        <v>-0.67885799999999996</v>
      </c>
      <c r="S4555">
        <v>2.69009399999999</v>
      </c>
      <c r="T4555">
        <v>-0.29308919999999999</v>
      </c>
      <c r="U4555">
        <v>-1.546875</v>
      </c>
      <c r="V4555">
        <v>-0.33556659999999999</v>
      </c>
      <c r="W4555">
        <v>5.0915450000000001E-2</v>
      </c>
      <c r="X4555">
        <v>0.94063949999999996</v>
      </c>
      <c r="Y4555">
        <v>-0.53224579999999999</v>
      </c>
      <c r="Z4555">
        <v>9.5962110000000003E-2</v>
      </c>
      <c r="AA4555">
        <v>0.84113359999999904</v>
      </c>
      <c r="AB4555">
        <v>31</v>
      </c>
      <c r="AC4555">
        <v>0.73570000000000801</v>
      </c>
      <c r="AD4555">
        <v>-9.6657999999999897E-2</v>
      </c>
      <c r="AE4555">
        <v>-0.24098</v>
      </c>
      <c r="AF4555">
        <v>-0.53158750284506295</v>
      </c>
      <c r="AG4555">
        <v>-9.6657999999999897E-2</v>
      </c>
      <c r="AH4555">
        <v>0.546336031229678</v>
      </c>
      <c r="AI4555">
        <v>97.226620956706299</v>
      </c>
      <c r="AJ4555">
        <v>134.21610793529601</v>
      </c>
      <c r="AK4555">
        <v>0.76838213225246599</v>
      </c>
    </row>
    <row r="4556" spans="1:37" x14ac:dyDescent="0.2">
      <c r="A4556" t="str">
        <f>"20200111153742985"</f>
        <v>20200111153742985</v>
      </c>
      <c r="B4556" t="str">
        <f>"1578728262977667"</f>
        <v>1578728262977667</v>
      </c>
      <c r="C4556" t="s">
        <v>37</v>
      </c>
      <c r="D4556">
        <v>5.6363519999999996</v>
      </c>
      <c r="E4556">
        <v>0.4138327</v>
      </c>
      <c r="F4556" t="s">
        <v>38</v>
      </c>
      <c r="G4556">
        <v>-417.25409999999999</v>
      </c>
      <c r="H4556">
        <v>1.0111349999999999</v>
      </c>
      <c r="I4556">
        <v>34.417200000000001</v>
      </c>
      <c r="J4556">
        <v>-417.9982</v>
      </c>
      <c r="K4556">
        <v>1.1150340000000001</v>
      </c>
      <c r="L4556">
        <v>34.736759999999997</v>
      </c>
      <c r="M4556">
        <v>0.47140369999999998</v>
      </c>
      <c r="N4556">
        <v>0</v>
      </c>
      <c r="O4556">
        <v>-0.88179149999999995</v>
      </c>
      <c r="P4556">
        <v>0.73848290000000005</v>
      </c>
      <c r="Q4556">
        <v>4.5652980000000003E-2</v>
      </c>
      <c r="R4556">
        <v>-0.67272469999999995</v>
      </c>
      <c r="S4556">
        <v>2.666534</v>
      </c>
      <c r="T4556">
        <v>-0.32777610000000001</v>
      </c>
      <c r="U4556">
        <v>-1.5624389999999999</v>
      </c>
      <c r="V4556">
        <v>-0.3355088</v>
      </c>
      <c r="W4556">
        <v>5.1172620000000002E-2</v>
      </c>
      <c r="X4556">
        <v>0.94064619999999999</v>
      </c>
      <c r="Y4556">
        <v>-0.51712999999999998</v>
      </c>
      <c r="Z4556">
        <v>0.10699110000000001</v>
      </c>
      <c r="AA4556">
        <v>0.84919349999999905</v>
      </c>
      <c r="AB4556">
        <v>31</v>
      </c>
      <c r="AC4556">
        <v>0.74410000000000298</v>
      </c>
      <c r="AD4556">
        <v>-0.10389899999999901</v>
      </c>
      <c r="AE4556">
        <v>-0.31955999999999501</v>
      </c>
      <c r="AF4556">
        <v>-0.49736843779662199</v>
      </c>
      <c r="AG4556">
        <v>-0.10389899999999901</v>
      </c>
      <c r="AH4556">
        <v>0.62238224051489299</v>
      </c>
      <c r="AI4556">
        <v>97.430083576523501</v>
      </c>
      <c r="AJ4556">
        <v>128.62963198922199</v>
      </c>
      <c r="AK4556">
        <v>0.80344882750900204</v>
      </c>
    </row>
    <row r="4557" spans="1:37" x14ac:dyDescent="0.2">
      <c r="A4557" t="str">
        <f>"20200111153743004"</f>
        <v>20200111153743004</v>
      </c>
      <c r="B4557" t="str">
        <f>"1578728262998161"</f>
        <v>1578728262998161</v>
      </c>
      <c r="C4557" t="s">
        <v>37</v>
      </c>
      <c r="D4557">
        <v>5.5407869999999999</v>
      </c>
      <c r="E4557">
        <v>0.41400699999999901</v>
      </c>
      <c r="F4557" t="s">
        <v>38</v>
      </c>
      <c r="G4557">
        <v>-417.0865</v>
      </c>
      <c r="H4557">
        <v>1.0037419999999999</v>
      </c>
      <c r="I4557">
        <v>34.212330000000001</v>
      </c>
      <c r="J4557">
        <v>-417.86360000000002</v>
      </c>
      <c r="K4557">
        <v>1.1151279999999999</v>
      </c>
      <c r="L4557">
        <v>34.507570000000001</v>
      </c>
      <c r="M4557">
        <v>0.48120569999999901</v>
      </c>
      <c r="N4557">
        <v>0</v>
      </c>
      <c r="O4557">
        <v>-0.87648060000000005</v>
      </c>
      <c r="P4557">
        <v>0.74576799999999999</v>
      </c>
      <c r="Q4557">
        <v>4.6211759999999998E-2</v>
      </c>
      <c r="R4557">
        <v>-0.66460140000000001</v>
      </c>
      <c r="S4557">
        <v>2.679443</v>
      </c>
      <c r="T4557">
        <v>-0.32692709999999903</v>
      </c>
      <c r="U4557">
        <v>-1.540314</v>
      </c>
      <c r="V4557">
        <v>-0.3353138</v>
      </c>
      <c r="W4557">
        <v>5.1684529999999999E-2</v>
      </c>
      <c r="X4557">
        <v>0.94068770000000002</v>
      </c>
      <c r="Y4557">
        <v>-0.51469520000000002</v>
      </c>
      <c r="Z4557">
        <v>0.1063687</v>
      </c>
      <c r="AA4557">
        <v>0.85074939999999999</v>
      </c>
      <c r="AB4557">
        <v>31</v>
      </c>
      <c r="AC4557">
        <v>0.777100000000018</v>
      </c>
      <c r="AD4557">
        <v>-0.111386</v>
      </c>
      <c r="AE4557">
        <v>-0.295239999999999</v>
      </c>
      <c r="AF4557">
        <v>-0.529593865243152</v>
      </c>
      <c r="AG4557">
        <v>-0.111386</v>
      </c>
      <c r="AH4557">
        <v>0.62162715524466405</v>
      </c>
      <c r="AI4557">
        <v>97.767019620533404</v>
      </c>
      <c r="AJ4557">
        <v>130.42926311867501</v>
      </c>
      <c r="AK4557">
        <v>0.82419465130317104</v>
      </c>
    </row>
    <row r="4558" spans="1:37" x14ac:dyDescent="0.2">
      <c r="A4558" t="str">
        <f>"20200111153743027"</f>
        <v>20200111153743027</v>
      </c>
      <c r="B4558" t="str">
        <f>"1578728263017682"</f>
        <v>1578728263017682</v>
      </c>
      <c r="C4558" t="s">
        <v>37</v>
      </c>
      <c r="D4558">
        <v>5.7184900000000001</v>
      </c>
      <c r="E4558">
        <v>0.414157</v>
      </c>
      <c r="F4558" t="s">
        <v>38</v>
      </c>
      <c r="G4558">
        <v>-416.93979999999999</v>
      </c>
      <c r="H4558">
        <v>1.005331</v>
      </c>
      <c r="I4558">
        <v>33.989750000000001</v>
      </c>
      <c r="J4558">
        <v>-417.70519999999999</v>
      </c>
      <c r="K4558">
        <v>1.1152249999999999</v>
      </c>
      <c r="L4558">
        <v>34.245420000000003</v>
      </c>
      <c r="M4558">
        <v>0.49254300000000001</v>
      </c>
      <c r="N4558">
        <v>0</v>
      </c>
      <c r="O4558">
        <v>-0.87015969999999998</v>
      </c>
      <c r="P4558">
        <v>0.75439219999999996</v>
      </c>
      <c r="Q4558">
        <v>4.6173060000000002E-2</v>
      </c>
      <c r="R4558">
        <v>-0.65479830000000006</v>
      </c>
      <c r="S4558">
        <v>2.69558699999999</v>
      </c>
      <c r="T4558">
        <v>-0.32044669999999997</v>
      </c>
      <c r="U4558">
        <v>-1.5115049999999901</v>
      </c>
      <c r="V4558">
        <v>-0.3354105</v>
      </c>
      <c r="W4558">
        <v>5.1589280000000001E-2</v>
      </c>
      <c r="X4558">
        <v>0.94065849999999995</v>
      </c>
      <c r="Y4558">
        <v>-0.51291520000000002</v>
      </c>
      <c r="Z4558">
        <v>0.103903199999999</v>
      </c>
      <c r="AA4558">
        <v>0.852128</v>
      </c>
      <c r="AB4558">
        <v>31</v>
      </c>
      <c r="AC4558">
        <v>0.76539999999999897</v>
      </c>
      <c r="AD4558">
        <v>-0.10989399999999901</v>
      </c>
      <c r="AE4558">
        <v>-0.25567000000000201</v>
      </c>
      <c r="AF4558">
        <v>-0.53031730629808504</v>
      </c>
      <c r="AG4558">
        <v>-0.10989399999999901</v>
      </c>
      <c r="AH4558">
        <v>0.58861713930692405</v>
      </c>
      <c r="AI4558">
        <v>97.896889041283799</v>
      </c>
      <c r="AJ4558">
        <v>132.01741544208599</v>
      </c>
      <c r="AK4558">
        <v>0.79986453433136095</v>
      </c>
    </row>
    <row r="4559" spans="1:37" x14ac:dyDescent="0.2">
      <c r="A4559" t="str">
        <f>"20200111153743048"</f>
        <v>20200111153743048</v>
      </c>
      <c r="B4559" t="str">
        <f>"1578728263038178"</f>
        <v>1578728263038178</v>
      </c>
      <c r="C4559" t="s">
        <v>37</v>
      </c>
      <c r="D4559">
        <v>5.6073319999999898</v>
      </c>
      <c r="E4559">
        <v>0.41398839999999998</v>
      </c>
      <c r="F4559" t="s">
        <v>38</v>
      </c>
      <c r="G4559">
        <v>-416.80450000000002</v>
      </c>
      <c r="H4559">
        <v>1.0333019999999999</v>
      </c>
      <c r="I4559">
        <v>33.756609999999903</v>
      </c>
      <c r="J4559">
        <v>-417.54750000000001</v>
      </c>
      <c r="K4559">
        <v>1.1153029999999999</v>
      </c>
      <c r="L4559">
        <v>33.991909999999997</v>
      </c>
      <c r="M4559">
        <v>0.50361179999999905</v>
      </c>
      <c r="N4559">
        <v>0</v>
      </c>
      <c r="O4559">
        <v>-0.86380040000000002</v>
      </c>
      <c r="P4559">
        <v>0.76245030000000003</v>
      </c>
      <c r="Q4559">
        <v>4.6505270000000001E-2</v>
      </c>
      <c r="R4559">
        <v>-0.64537419999999901</v>
      </c>
      <c r="S4559">
        <v>2.7140499999999999</v>
      </c>
      <c r="T4559">
        <v>-0.24679409999999999</v>
      </c>
      <c r="U4559">
        <v>-1.472137</v>
      </c>
      <c r="V4559">
        <v>-0.335091799999999</v>
      </c>
      <c r="W4559">
        <v>5.1886920000000003E-2</v>
      </c>
      <c r="X4559">
        <v>0.94075569999999897</v>
      </c>
      <c r="Y4559">
        <v>-0.51609359999999904</v>
      </c>
      <c r="Z4559">
        <v>8.0048419999999995E-2</v>
      </c>
      <c r="AA4559">
        <v>0.85278349999999903</v>
      </c>
      <c r="AB4559">
        <v>31</v>
      </c>
      <c r="AC4559">
        <v>0.742999999999994</v>
      </c>
      <c r="AD4559">
        <v>-8.2001000000000199E-2</v>
      </c>
      <c r="AE4559">
        <v>-0.23530000000000201</v>
      </c>
      <c r="AF4559">
        <v>-0.51763221092451195</v>
      </c>
      <c r="AG4559">
        <v>-8.2001000000000199E-2</v>
      </c>
      <c r="AH4559">
        <v>0.57117748310578298</v>
      </c>
      <c r="AI4559">
        <v>96.072255098186204</v>
      </c>
      <c r="AJ4559">
        <v>132.18458744504801</v>
      </c>
      <c r="AK4559">
        <v>0.77518448578042098</v>
      </c>
    </row>
    <row r="4560" spans="1:37" x14ac:dyDescent="0.2">
      <c r="A4560" t="str">
        <f>"20200111153743070"</f>
        <v>20200111153743070</v>
      </c>
      <c r="B4560" t="str">
        <f>"1578728263067458"</f>
        <v>1578728263067458</v>
      </c>
      <c r="C4560" t="s">
        <v>37</v>
      </c>
      <c r="D4560">
        <v>5.6915500000000003</v>
      </c>
      <c r="E4560">
        <v>0.41529499999999903</v>
      </c>
      <c r="F4560" t="s">
        <v>38</v>
      </c>
      <c r="G4560">
        <v>-416.6644</v>
      </c>
      <c r="H4560">
        <v>1.0348010000000001</v>
      </c>
      <c r="I4560">
        <v>33.527520000000003</v>
      </c>
      <c r="J4560">
        <v>-417.3888</v>
      </c>
      <c r="K4560">
        <v>1.1153679999999999</v>
      </c>
      <c r="L4560">
        <v>33.744169999999997</v>
      </c>
      <c r="M4560">
        <v>0.51452050000000005</v>
      </c>
      <c r="N4560">
        <v>0</v>
      </c>
      <c r="O4560">
        <v>-0.85734690000000002</v>
      </c>
      <c r="P4560">
        <v>0.77027100000000004</v>
      </c>
      <c r="Q4560">
        <v>4.6407049999999998E-2</v>
      </c>
      <c r="R4560">
        <v>-0.63602630000000004</v>
      </c>
      <c r="S4560">
        <v>2.7330019999999999</v>
      </c>
      <c r="T4560">
        <v>-0.24917489999999901</v>
      </c>
      <c r="U4560">
        <v>-1.4375309999999999</v>
      </c>
      <c r="V4560">
        <v>-0.3346538</v>
      </c>
      <c r="W4560">
        <v>5.1766439999999997E-2</v>
      </c>
      <c r="X4560">
        <v>0.94091819999999904</v>
      </c>
      <c r="Y4560">
        <v>-0.51609879999999997</v>
      </c>
      <c r="Z4560">
        <v>8.053304E-2</v>
      </c>
      <c r="AA4560">
        <v>0.85273469999999996</v>
      </c>
      <c r="AB4560">
        <v>31</v>
      </c>
      <c r="AC4560">
        <v>0.72440000000000204</v>
      </c>
      <c r="AD4560">
        <v>-8.0567E-2</v>
      </c>
      <c r="AE4560">
        <v>-0.21665000000000101</v>
      </c>
      <c r="AF4560">
        <v>-0.50392692845766895</v>
      </c>
      <c r="AG4560">
        <v>-8.0567E-2</v>
      </c>
      <c r="AH4560">
        <v>0.55225532984504699</v>
      </c>
      <c r="AI4560">
        <v>96.150762656561497</v>
      </c>
      <c r="AJ4560">
        <v>132.38010813790899</v>
      </c>
      <c r="AK4560">
        <v>0.75194370803674004</v>
      </c>
    </row>
    <row r="4561" spans="1:37" x14ac:dyDescent="0.2">
      <c r="A4561" t="str">
        <f>"20200111153743093"</f>
        <v>20200111153743093</v>
      </c>
      <c r="B4561" t="str">
        <f>"1578728263087954"</f>
        <v>1578728263087954</v>
      </c>
      <c r="C4561" t="s">
        <v>37</v>
      </c>
      <c r="D4561">
        <v>5.6770959999999997</v>
      </c>
      <c r="E4561">
        <v>0.41634460000000001</v>
      </c>
      <c r="F4561" t="s">
        <v>38</v>
      </c>
      <c r="G4561">
        <v>-416.52350000000001</v>
      </c>
      <c r="H4561">
        <v>1.0314099999999999</v>
      </c>
      <c r="I4561">
        <v>33.298589999999997</v>
      </c>
      <c r="J4561">
        <v>-417.2165</v>
      </c>
      <c r="K4561">
        <v>1.115429</v>
      </c>
      <c r="L4561">
        <v>33.482759999999999</v>
      </c>
      <c r="M4561">
        <v>0.52611319999999995</v>
      </c>
      <c r="N4561">
        <v>0</v>
      </c>
      <c r="O4561">
        <v>-0.85028179999999998</v>
      </c>
      <c r="P4561">
        <v>0.77844460000000004</v>
      </c>
      <c r="Q4561">
        <v>4.6237790000000001E-2</v>
      </c>
      <c r="R4561">
        <v>-0.62600800000000001</v>
      </c>
      <c r="S4561">
        <v>2.7440799999999999</v>
      </c>
      <c r="T4561">
        <v>-0.26624920000000002</v>
      </c>
      <c r="U4561">
        <v>-1.412933</v>
      </c>
      <c r="V4561">
        <v>-0.33406340000000001</v>
      </c>
      <c r="W4561">
        <v>5.1585010000000001E-2</v>
      </c>
      <c r="X4561">
        <v>0.94113799999999903</v>
      </c>
      <c r="Y4561">
        <v>-0.51147989999999999</v>
      </c>
      <c r="Z4561">
        <v>8.5604459999999993E-2</v>
      </c>
      <c r="AA4561">
        <v>0.85502060000000002</v>
      </c>
      <c r="AB4561">
        <v>31</v>
      </c>
      <c r="AC4561">
        <v>0.69299999999998296</v>
      </c>
      <c r="AD4561">
        <v>-8.4018999999999996E-2</v>
      </c>
      <c r="AE4561">
        <v>-0.18416999999999401</v>
      </c>
      <c r="AF4561">
        <v>-0.485737737023619</v>
      </c>
      <c r="AG4561">
        <v>-8.4018999999999996E-2</v>
      </c>
      <c r="AH4561">
        <v>0.514192159575519</v>
      </c>
      <c r="AI4561">
        <v>96.773914640960399</v>
      </c>
      <c r="AJ4561">
        <v>133.370007257277</v>
      </c>
      <c r="AK4561">
        <v>0.71231588392985001</v>
      </c>
    </row>
    <row r="4562" spans="1:37" x14ac:dyDescent="0.2">
      <c r="A4562" t="str">
        <f>"20200111153743116"</f>
        <v>20200111153743116</v>
      </c>
      <c r="B4562" t="str">
        <f>"1578728263107473"</f>
        <v>1578728263107473</v>
      </c>
      <c r="C4562" t="s">
        <v>37</v>
      </c>
      <c r="D4562">
        <v>5.7285269999999997</v>
      </c>
      <c r="E4562">
        <v>0.417431</v>
      </c>
      <c r="F4562" t="s">
        <v>38</v>
      </c>
      <c r="G4562">
        <v>-416.38589999999999</v>
      </c>
      <c r="H4562">
        <v>1.033865</v>
      </c>
      <c r="I4562">
        <v>33.0657</v>
      </c>
      <c r="J4562">
        <v>-417.04399999999998</v>
      </c>
      <c r="K4562">
        <v>1.115469</v>
      </c>
      <c r="L4562">
        <v>33.228639999999999</v>
      </c>
      <c r="M4562">
        <v>0.53745039999999999</v>
      </c>
      <c r="N4562">
        <v>0</v>
      </c>
      <c r="O4562">
        <v>-0.84316100000000005</v>
      </c>
      <c r="P4562">
        <v>0.78625239999999996</v>
      </c>
      <c r="Q4562">
        <v>4.5439019999999997E-2</v>
      </c>
      <c r="R4562">
        <v>-0.61623269999999997</v>
      </c>
      <c r="S4562">
        <v>2.7568049999999999</v>
      </c>
      <c r="T4562">
        <v>-0.27071250000000002</v>
      </c>
      <c r="U4562">
        <v>-1.384125</v>
      </c>
      <c r="V4562">
        <v>-0.33324609999999999</v>
      </c>
      <c r="W4562">
        <v>5.0791169999999997E-2</v>
      </c>
      <c r="X4562">
        <v>0.94147080000000005</v>
      </c>
      <c r="Y4562">
        <v>-0.5085963</v>
      </c>
      <c r="Z4562">
        <v>8.6646879999999996E-2</v>
      </c>
      <c r="AA4562">
        <v>0.85663419999999901</v>
      </c>
      <c r="AB4562">
        <v>31</v>
      </c>
      <c r="AC4562">
        <v>0.65810000000004698</v>
      </c>
      <c r="AD4562">
        <v>-8.1603999999999996E-2</v>
      </c>
      <c r="AE4562">
        <v>-0.162940000000006</v>
      </c>
      <c r="AF4562">
        <v>-0.46069067880898301</v>
      </c>
      <c r="AG4562">
        <v>-8.1603999999999996E-2</v>
      </c>
      <c r="AH4562">
        <v>0.48412257293750399</v>
      </c>
      <c r="AI4562">
        <v>96.961853475030296</v>
      </c>
      <c r="AJ4562">
        <v>133.57932402419399</v>
      </c>
      <c r="AK4562">
        <v>0.67325313217623495</v>
      </c>
    </row>
    <row r="4563" spans="1:37" x14ac:dyDescent="0.2">
      <c r="A4563" t="str">
        <f>"20200111153743137"</f>
        <v>20200111153743137</v>
      </c>
      <c r="B4563" t="str">
        <f>"1578728263127969"</f>
        <v>1578728263127969</v>
      </c>
      <c r="C4563" t="s">
        <v>37</v>
      </c>
      <c r="D4563">
        <v>5.769749</v>
      </c>
      <c r="E4563">
        <v>0.41845599999999999</v>
      </c>
      <c r="F4563" t="s">
        <v>38</v>
      </c>
      <c r="G4563">
        <v>-416.24380000000002</v>
      </c>
      <c r="H4563">
        <v>1.0353250000000001</v>
      </c>
      <c r="I4563">
        <v>32.836280000000002</v>
      </c>
      <c r="J4563">
        <v>-416.87479999999999</v>
      </c>
      <c r="K4563">
        <v>1.1154979999999901</v>
      </c>
      <c r="L4563">
        <v>32.98639</v>
      </c>
      <c r="M4563">
        <v>0.54831189999999996</v>
      </c>
      <c r="N4563">
        <v>0</v>
      </c>
      <c r="O4563">
        <v>-0.8361381</v>
      </c>
      <c r="P4563">
        <v>0.79423959999999905</v>
      </c>
      <c r="Q4563">
        <v>4.3661949999999998E-2</v>
      </c>
      <c r="R4563">
        <v>-0.60603419999999997</v>
      </c>
      <c r="S4563">
        <v>2.7682500000000001</v>
      </c>
      <c r="T4563">
        <v>-0.27718589999999999</v>
      </c>
      <c r="U4563">
        <v>-1.356689</v>
      </c>
      <c r="V4563">
        <v>-0.33325890000000002</v>
      </c>
      <c r="W4563">
        <v>4.9001450000000002E-2</v>
      </c>
      <c r="X4563">
        <v>0.94156119999999899</v>
      </c>
      <c r="Y4563">
        <v>-0.50554650000000001</v>
      </c>
      <c r="Z4563">
        <v>8.8307720000000006E-2</v>
      </c>
      <c r="AA4563">
        <v>0.85826829999999998</v>
      </c>
      <c r="AB4563">
        <v>31</v>
      </c>
      <c r="AC4563">
        <v>0.63099999999997103</v>
      </c>
      <c r="AD4563">
        <v>-8.01729999999998E-2</v>
      </c>
      <c r="AE4563">
        <v>-0.150109999999997</v>
      </c>
      <c r="AF4563">
        <v>-0.43864464770632799</v>
      </c>
      <c r="AG4563">
        <v>-8.01729999999998E-2</v>
      </c>
      <c r="AH4563">
        <v>0.46445473342038102</v>
      </c>
      <c r="AI4563">
        <v>97.153002885613304</v>
      </c>
      <c r="AJ4563">
        <v>133.36296360584799</v>
      </c>
      <c r="AK4563">
        <v>0.64385948489325395</v>
      </c>
    </row>
    <row r="4564" spans="1:37" x14ac:dyDescent="0.2">
      <c r="A4564" t="str">
        <f>"20200111153743152"</f>
        <v>20200111153743152</v>
      </c>
      <c r="B4564" t="str">
        <f>"1578728263147490"</f>
        <v>1578728263147490</v>
      </c>
      <c r="C4564" t="s">
        <v>37</v>
      </c>
      <c r="D4564">
        <v>5.8367459999999998</v>
      </c>
      <c r="E4564">
        <v>0.4189349</v>
      </c>
      <c r="F4564" t="s">
        <v>38</v>
      </c>
      <c r="G4564">
        <v>-416.09410000000003</v>
      </c>
      <c r="H4564">
        <v>1.034786</v>
      </c>
      <c r="I4564">
        <v>32.613609999999902</v>
      </c>
      <c r="J4564">
        <v>-416.76350000000002</v>
      </c>
      <c r="K4564">
        <v>1.1155109999999999</v>
      </c>
      <c r="L4564">
        <v>32.831270000000004</v>
      </c>
      <c r="M4564">
        <v>0.55529709999999999</v>
      </c>
      <c r="N4564">
        <v>0</v>
      </c>
      <c r="O4564">
        <v>-0.83151549999999996</v>
      </c>
      <c r="P4564">
        <v>0.79945149999999998</v>
      </c>
      <c r="Q4564">
        <v>4.3117879999999997E-2</v>
      </c>
      <c r="R4564">
        <v>-0.59918119999999997</v>
      </c>
      <c r="S4564">
        <v>2.7802119999999899</v>
      </c>
      <c r="T4564">
        <v>-0.2873926</v>
      </c>
      <c r="U4564">
        <v>-1.3272709999999901</v>
      </c>
      <c r="V4564">
        <v>-0.33348119999999998</v>
      </c>
      <c r="W4564">
        <v>4.8445630000000003E-2</v>
      </c>
      <c r="X4564">
        <v>0.94151119999999899</v>
      </c>
      <c r="Y4564">
        <v>-0.5068568</v>
      </c>
      <c r="Z4564">
        <v>9.1390390000000002E-2</v>
      </c>
      <c r="AA4564">
        <v>0.85717209999999999</v>
      </c>
      <c r="AB4564">
        <v>31</v>
      </c>
      <c r="AC4564">
        <v>0.669399999999996</v>
      </c>
      <c r="AD4564">
        <v>-8.0725000000000102E-2</v>
      </c>
      <c r="AE4564">
        <v>-0.21766000000000901</v>
      </c>
      <c r="AF4564">
        <v>-0.43014269602317701</v>
      </c>
      <c r="AG4564">
        <v>-8.0725000000000102E-2</v>
      </c>
      <c r="AH4564">
        <v>0.54559062352474297</v>
      </c>
      <c r="AI4564">
        <v>96.627544526790203</v>
      </c>
      <c r="AJ4564">
        <v>128.252184428074</v>
      </c>
      <c r="AK4564">
        <v>0.69943433790828902</v>
      </c>
    </row>
    <row r="4565" spans="1:37" x14ac:dyDescent="0.2">
      <c r="A4565" t="str">
        <f>"20200111153743166"</f>
        <v>20200111153743166</v>
      </c>
      <c r="B4565" t="str">
        <f>"1578728263157250"</f>
        <v>1578728263157250</v>
      </c>
      <c r="C4565" t="s">
        <v>37</v>
      </c>
      <c r="D4565">
        <v>5.7665899999999999</v>
      </c>
      <c r="E4565">
        <v>0.42994009999999999</v>
      </c>
      <c r="F4565" t="s">
        <v>38</v>
      </c>
      <c r="G4565">
        <v>-415.90640000000002</v>
      </c>
      <c r="H4565">
        <v>1.0260229999999999</v>
      </c>
      <c r="I4565">
        <v>32.42962</v>
      </c>
      <c r="J4565">
        <v>-416.65120000000002</v>
      </c>
      <c r="K4565">
        <v>1.11551</v>
      </c>
      <c r="L4565">
        <v>32.676940000000002</v>
      </c>
      <c r="M4565">
        <v>0.56225239999999999</v>
      </c>
      <c r="N4565">
        <v>0</v>
      </c>
      <c r="O4565">
        <v>-0.82682800000000001</v>
      </c>
      <c r="P4565">
        <v>0.80423180000000005</v>
      </c>
      <c r="Q4565">
        <v>4.2379390000000003E-2</v>
      </c>
      <c r="R4565">
        <v>-0.59280319999999997</v>
      </c>
      <c r="S4565">
        <v>2.7890929999999998</v>
      </c>
      <c r="T4565">
        <v>-0.29112949999999999</v>
      </c>
      <c r="U4565">
        <v>-1.3064579999999999</v>
      </c>
      <c r="V4565">
        <v>-0.33308699999999902</v>
      </c>
      <c r="W4565">
        <v>4.7717379999999997E-2</v>
      </c>
      <c r="X4565">
        <v>0.94168790000000002</v>
      </c>
      <c r="Y4565">
        <v>-0.50582989999999906</v>
      </c>
      <c r="Z4565">
        <v>9.2301919999999996E-2</v>
      </c>
      <c r="AA4565">
        <v>0.85768089999999997</v>
      </c>
      <c r="AB4565">
        <v>31</v>
      </c>
      <c r="AC4565">
        <v>0.74479999999999702</v>
      </c>
      <c r="AD4565">
        <v>-8.9487000000000094E-2</v>
      </c>
      <c r="AE4565">
        <v>-0.24732000000000101</v>
      </c>
      <c r="AF4565">
        <v>-0.47069943427660199</v>
      </c>
      <c r="AG4565">
        <v>-8.9487000000000094E-2</v>
      </c>
      <c r="AH4565">
        <v>0.61532710798707801</v>
      </c>
      <c r="AI4565">
        <v>96.588998820342297</v>
      </c>
      <c r="AJ4565">
        <v>127.414472928959</v>
      </c>
      <c r="AK4565">
        <v>0.77986750824807105</v>
      </c>
    </row>
    <row r="4566" spans="1:37" x14ac:dyDescent="0.2">
      <c r="A4566" t="str">
        <f>"20200111153743177"</f>
        <v>20200111153743177</v>
      </c>
      <c r="B4566" t="str">
        <f>"1578728263167986"</f>
        <v>1578728263167986</v>
      </c>
      <c r="C4566" t="s">
        <v>37</v>
      </c>
      <c r="D4566">
        <v>5.7620490000000002</v>
      </c>
      <c r="E4566">
        <v>0.4298825</v>
      </c>
      <c r="F4566" t="s">
        <v>38</v>
      </c>
      <c r="G4566">
        <v>-415.73759999999999</v>
      </c>
      <c r="H4566">
        <v>1.0196510000000001</v>
      </c>
      <c r="I4566">
        <v>32.226520000000001</v>
      </c>
      <c r="J4566">
        <v>-416.5505</v>
      </c>
      <c r="K4566">
        <v>1.1155170000000001</v>
      </c>
      <c r="L4566">
        <v>32.54034</v>
      </c>
      <c r="M4566">
        <v>0.56840900000000005</v>
      </c>
      <c r="N4566">
        <v>0</v>
      </c>
      <c r="O4566">
        <v>-0.82260789999999995</v>
      </c>
      <c r="P4566">
        <v>0.80849589999999905</v>
      </c>
      <c r="Q4566">
        <v>4.2428899999999999E-2</v>
      </c>
      <c r="R4566">
        <v>-0.5869704</v>
      </c>
      <c r="S4566">
        <v>2.746918</v>
      </c>
      <c r="T4566">
        <v>-0.28827399999999997</v>
      </c>
      <c r="U4566">
        <v>-1.3546750000000001</v>
      </c>
      <c r="V4566">
        <v>-0.33286919999999998</v>
      </c>
      <c r="W4566">
        <v>4.7773120000000002E-2</v>
      </c>
      <c r="X4566">
        <v>0.94176209999999905</v>
      </c>
      <c r="Y4566">
        <v>-0.48208089999999998</v>
      </c>
      <c r="Z4566">
        <v>9.0889310000000001E-2</v>
      </c>
      <c r="AA4566">
        <v>0.87139949999999999</v>
      </c>
      <c r="AB4566">
        <v>31</v>
      </c>
      <c r="AC4566">
        <v>0.81290000000001295</v>
      </c>
      <c r="AD4566">
        <v>-9.5866000000000007E-2</v>
      </c>
      <c r="AE4566">
        <v>-0.31381999999999899</v>
      </c>
      <c r="AF4566">
        <v>-0.48451119263973902</v>
      </c>
      <c r="AG4566">
        <v>-9.5866000000000007E-2</v>
      </c>
      <c r="AH4566">
        <v>0.71167839212953699</v>
      </c>
      <c r="AI4566">
        <v>96.353650468344995</v>
      </c>
      <c r="AJ4566">
        <v>124.24706378466099</v>
      </c>
      <c r="AK4566">
        <v>0.86627219716049197</v>
      </c>
    </row>
    <row r="4567" spans="1:37" x14ac:dyDescent="0.2">
      <c r="A4567" t="str">
        <f>"20200111153743195"</f>
        <v>20200111153743195</v>
      </c>
      <c r="B4567" t="str">
        <f>"1578728263187505"</f>
        <v>1578728263187505</v>
      </c>
      <c r="C4567" t="s">
        <v>37</v>
      </c>
      <c r="D4567">
        <v>5.7698980000000004</v>
      </c>
      <c r="E4567">
        <v>0.43008760000000001</v>
      </c>
      <c r="F4567" t="s">
        <v>38</v>
      </c>
      <c r="G4567">
        <v>-415.77330000000001</v>
      </c>
      <c r="H4567">
        <v>1.0346629999999899</v>
      </c>
      <c r="I4567">
        <v>32.164479999999998</v>
      </c>
      <c r="J4567">
        <v>-416.41910000000001</v>
      </c>
      <c r="K4567">
        <v>1.1155299999999999</v>
      </c>
      <c r="L4567">
        <v>32.366329999999998</v>
      </c>
      <c r="M4567">
        <v>0.57628210000000002</v>
      </c>
      <c r="N4567">
        <v>0</v>
      </c>
      <c r="O4567">
        <v>-0.81711160000000005</v>
      </c>
      <c r="P4567">
        <v>0.81387339999999997</v>
      </c>
      <c r="Q4567">
        <v>4.2813400000000001E-2</v>
      </c>
      <c r="R4567">
        <v>-0.57946350000000002</v>
      </c>
      <c r="S4567">
        <v>2.757263</v>
      </c>
      <c r="T4567">
        <v>-0.28691489999999997</v>
      </c>
      <c r="U4567">
        <v>-1.333893</v>
      </c>
      <c r="V4567">
        <v>-0.33253509999999997</v>
      </c>
      <c r="W4567">
        <v>4.8170350000000001E-2</v>
      </c>
      <c r="X4567">
        <v>0.94185989999999997</v>
      </c>
      <c r="Y4567">
        <v>-0.480346299999999</v>
      </c>
      <c r="Z4567">
        <v>9.0079389999999995E-2</v>
      </c>
      <c r="AA4567">
        <v>0.87244089999999996</v>
      </c>
      <c r="AB4567">
        <v>31</v>
      </c>
      <c r="AC4567">
        <v>0.64580000000000803</v>
      </c>
      <c r="AD4567">
        <v>-8.0866999999999994E-2</v>
      </c>
      <c r="AE4567">
        <v>-0.20185</v>
      </c>
      <c r="AF4567">
        <v>-0.40562084386502001</v>
      </c>
      <c r="AG4567">
        <v>-8.0866999999999994E-2</v>
      </c>
      <c r="AH4567">
        <v>0.52959309490031004</v>
      </c>
      <c r="AI4567">
        <v>96.911962867232106</v>
      </c>
      <c r="AJ4567">
        <v>127.44887827938599</v>
      </c>
      <c r="AK4567">
        <v>0.67196472141985297</v>
      </c>
    </row>
    <row r="4568" spans="1:37" x14ac:dyDescent="0.2">
      <c r="A4568" t="str">
        <f>"20200111153743216"</f>
        <v>20200111153743216</v>
      </c>
      <c r="B4568" t="str">
        <f>"1578728263208004"</f>
        <v>1578728263208004</v>
      </c>
      <c r="C4568" t="s">
        <v>37</v>
      </c>
      <c r="D4568">
        <v>5.7689000000000004</v>
      </c>
      <c r="E4568">
        <v>0.43048999999999998</v>
      </c>
      <c r="F4568" t="s">
        <v>38</v>
      </c>
      <c r="G4568">
        <v>-415.60680000000002</v>
      </c>
      <c r="H4568">
        <v>1.030152</v>
      </c>
      <c r="I4568">
        <v>31.981909999999999</v>
      </c>
      <c r="J4568">
        <v>-416.23739999999998</v>
      </c>
      <c r="K4568">
        <v>1.1155360000000001</v>
      </c>
      <c r="L4568">
        <v>32.130740000000003</v>
      </c>
      <c r="M4568">
        <v>0.58694679999999999</v>
      </c>
      <c r="N4568">
        <v>0</v>
      </c>
      <c r="O4568">
        <v>-0.80948450000000005</v>
      </c>
      <c r="P4568">
        <v>0.82110030000000001</v>
      </c>
      <c r="Q4568">
        <v>4.3506099999999999E-2</v>
      </c>
      <c r="R4568">
        <v>-0.56912359999999995</v>
      </c>
      <c r="S4568">
        <v>2.7686769999999998</v>
      </c>
      <c r="T4568">
        <v>-0.29097119999999999</v>
      </c>
      <c r="U4568">
        <v>-1.3099670000000001</v>
      </c>
      <c r="V4568">
        <v>-0.33208649999999901</v>
      </c>
      <c r="W4568">
        <v>4.8881899999999999E-2</v>
      </c>
      <c r="X4568">
        <v>0.94198150000000003</v>
      </c>
      <c r="Y4568">
        <v>-0.47631970000000001</v>
      </c>
      <c r="Z4568">
        <v>9.0748709999999996E-2</v>
      </c>
      <c r="AA4568">
        <v>0.87457659999999904</v>
      </c>
      <c r="AB4568">
        <v>31</v>
      </c>
      <c r="AC4568">
        <v>0.63059999999995797</v>
      </c>
      <c r="AD4568">
        <v>-8.5384000000000099E-2</v>
      </c>
      <c r="AE4568">
        <v>-0.14883000000000299</v>
      </c>
      <c r="AF4568">
        <v>-0.41593082101012901</v>
      </c>
      <c r="AG4568">
        <v>-8.5384000000000099E-2</v>
      </c>
      <c r="AH4568">
        <v>0.48228481052733702</v>
      </c>
      <c r="AI4568">
        <v>97.636066100956995</v>
      </c>
      <c r="AJ4568">
        <v>130.77505646201999</v>
      </c>
      <c r="AK4568">
        <v>0.64256323718957797</v>
      </c>
    </row>
    <row r="4569" spans="1:37" x14ac:dyDescent="0.2">
      <c r="A4569" t="str">
        <f>"20200111153743238"</f>
        <v>20200111153743238</v>
      </c>
      <c r="B4569" t="str">
        <f>"1578728263227522"</f>
        <v>1578728263227522</v>
      </c>
      <c r="C4569" t="s">
        <v>37</v>
      </c>
      <c r="D4569">
        <v>5.7557640000000001</v>
      </c>
      <c r="E4569">
        <v>0.43095850000000002</v>
      </c>
      <c r="F4569" t="s">
        <v>38</v>
      </c>
      <c r="G4569">
        <v>-415.44580000000002</v>
      </c>
      <c r="H4569">
        <v>1.031649</v>
      </c>
      <c r="I4569">
        <v>31.767409999999899</v>
      </c>
      <c r="J4569">
        <v>-416.06040000000002</v>
      </c>
      <c r="K4569">
        <v>1.1155360000000001</v>
      </c>
      <c r="L4569">
        <v>31.907229999999998</v>
      </c>
      <c r="M4569">
        <v>0.59708079999999997</v>
      </c>
      <c r="N4569">
        <v>0</v>
      </c>
      <c r="O4569">
        <v>-0.80203880000000005</v>
      </c>
      <c r="P4569">
        <v>0.82800609999999997</v>
      </c>
      <c r="Q4569">
        <v>4.3645440000000001E-2</v>
      </c>
      <c r="R4569">
        <v>-0.55901800000000001</v>
      </c>
      <c r="S4569">
        <v>2.78363</v>
      </c>
      <c r="T4569">
        <v>-0.29497570000000001</v>
      </c>
      <c r="U4569">
        <v>-1.2777399999999901</v>
      </c>
      <c r="V4569">
        <v>-0.33178209999999903</v>
      </c>
      <c r="W4569">
        <v>4.9038119999999998E-2</v>
      </c>
      <c r="X4569">
        <v>0.94208060000000005</v>
      </c>
      <c r="Y4569">
        <v>-0.47532639999999998</v>
      </c>
      <c r="Z4569">
        <v>9.1491749999999997E-2</v>
      </c>
      <c r="AA4569">
        <v>0.87503949999999997</v>
      </c>
      <c r="AB4569">
        <v>31</v>
      </c>
      <c r="AC4569">
        <v>0.61459999999999504</v>
      </c>
      <c r="AD4569">
        <v>-8.3887000000000003E-2</v>
      </c>
      <c r="AE4569">
        <v>-0.13982</v>
      </c>
      <c r="AF4569">
        <v>-0.40236883457543898</v>
      </c>
      <c r="AG4569">
        <v>-8.3887000000000003E-2</v>
      </c>
      <c r="AH4569">
        <v>0.47082199862218699</v>
      </c>
      <c r="AI4569">
        <v>97.713610895306601</v>
      </c>
      <c r="AJ4569">
        <v>130.51750642074001</v>
      </c>
      <c r="AK4569">
        <v>0.62498884965508605</v>
      </c>
    </row>
    <row r="4570" spans="1:37" x14ac:dyDescent="0.2">
      <c r="A4570" t="str">
        <f>"20200111153743260"</f>
        <v>20200111153743260</v>
      </c>
      <c r="B4570" t="str">
        <f>"1578728263248018"</f>
        <v>1578728263248018</v>
      </c>
      <c r="C4570" t="s">
        <v>37</v>
      </c>
      <c r="D4570">
        <v>5.9567809999999897</v>
      </c>
      <c r="E4570">
        <v>0.43160670000000001</v>
      </c>
      <c r="F4570" t="s">
        <v>38</v>
      </c>
      <c r="G4570">
        <v>-415.26350000000002</v>
      </c>
      <c r="H4570">
        <v>1.030769</v>
      </c>
      <c r="I4570">
        <v>31.551559999999998</v>
      </c>
      <c r="J4570">
        <v>-415.87040000000002</v>
      </c>
      <c r="K4570">
        <v>1.1155280000000001</v>
      </c>
      <c r="L4570">
        <v>31.673770000000001</v>
      </c>
      <c r="M4570">
        <v>0.6076838</v>
      </c>
      <c r="N4570">
        <v>0</v>
      </c>
      <c r="O4570">
        <v>-0.79403509999999999</v>
      </c>
      <c r="P4570">
        <v>0.83511840000000004</v>
      </c>
      <c r="Q4570">
        <v>4.4074960000000003E-2</v>
      </c>
      <c r="R4570">
        <v>-0.5483017</v>
      </c>
      <c r="S4570">
        <v>2.796967</v>
      </c>
      <c r="T4570">
        <v>-0.29738680000000001</v>
      </c>
      <c r="U4570">
        <v>-1.246918</v>
      </c>
      <c r="V4570">
        <v>-0.33139829999999998</v>
      </c>
      <c r="W4570">
        <v>4.9489129999999999E-2</v>
      </c>
      <c r="X4570">
        <v>0.94219209999999998</v>
      </c>
      <c r="Y4570">
        <v>-0.47320489999999998</v>
      </c>
      <c r="Z4570">
        <v>9.1663800000000004E-2</v>
      </c>
      <c r="AA4570">
        <v>0.87617060000000002</v>
      </c>
      <c r="AB4570">
        <v>31</v>
      </c>
      <c r="AC4570">
        <v>0.606899999999996</v>
      </c>
      <c r="AD4570">
        <v>-8.4759000000000001E-2</v>
      </c>
      <c r="AE4570">
        <v>-0.122210000000002</v>
      </c>
      <c r="AF4570">
        <v>-0.40018028093563601</v>
      </c>
      <c r="AG4570">
        <v>-8.4759000000000001E-2</v>
      </c>
      <c r="AH4570">
        <v>0.457323280261549</v>
      </c>
      <c r="AI4570">
        <v>97.940221066822104</v>
      </c>
      <c r="AJ4570">
        <v>131.187515344144</v>
      </c>
      <c r="AK4570">
        <v>0.61357389774982196</v>
      </c>
    </row>
    <row r="4571" spans="1:37" x14ac:dyDescent="0.2">
      <c r="A4571" t="str">
        <f>"20200111153743284"</f>
        <v>20200111153743284</v>
      </c>
      <c r="B4571" t="str">
        <f>"1578728263277300"</f>
        <v>1578728263277300</v>
      </c>
      <c r="C4571" t="s">
        <v>37</v>
      </c>
      <c r="D4571">
        <v>5.7767400000000002</v>
      </c>
      <c r="E4571">
        <v>0.43279390000000001</v>
      </c>
      <c r="F4571" t="s">
        <v>38</v>
      </c>
      <c r="G4571">
        <v>-414.86689999999999</v>
      </c>
      <c r="H4571">
        <v>1.0094650000000001</v>
      </c>
      <c r="I4571">
        <v>31.23959</v>
      </c>
      <c r="J4571">
        <v>-415.6696</v>
      </c>
      <c r="K4571">
        <v>1.1155200000000001</v>
      </c>
      <c r="L4571">
        <v>31.434170000000002</v>
      </c>
      <c r="M4571">
        <v>0.61858669999999905</v>
      </c>
      <c r="N4571">
        <v>0</v>
      </c>
      <c r="O4571">
        <v>-0.78557119999999903</v>
      </c>
      <c r="P4571">
        <v>0.84213199999999999</v>
      </c>
      <c r="Q4571">
        <v>4.447976E-2</v>
      </c>
      <c r="R4571">
        <v>-0.53743459999999998</v>
      </c>
      <c r="S4571">
        <v>2.8099059999999998</v>
      </c>
      <c r="T4571">
        <v>-0.29698340000000001</v>
      </c>
      <c r="U4571">
        <v>-1.215576</v>
      </c>
      <c r="V4571">
        <v>-0.3305939</v>
      </c>
      <c r="W4571">
        <v>4.9931089999999997E-2</v>
      </c>
      <c r="X4571">
        <v>0.94245140000000005</v>
      </c>
      <c r="Y4571">
        <v>-0.47080839999999902</v>
      </c>
      <c r="Z4571">
        <v>9.0926290000000007E-2</v>
      </c>
      <c r="AA4571">
        <v>0.87753740000000002</v>
      </c>
      <c r="AB4571">
        <v>31</v>
      </c>
      <c r="AC4571">
        <v>0.80270000000001496</v>
      </c>
      <c r="AD4571">
        <v>-0.106055</v>
      </c>
      <c r="AE4571">
        <v>-0.194579999999998</v>
      </c>
      <c r="AF4571">
        <v>-0.50199497540099303</v>
      </c>
      <c r="AG4571">
        <v>-0.106055</v>
      </c>
      <c r="AH4571">
        <v>0.638935633087377</v>
      </c>
      <c r="AI4571">
        <v>97.436275274464293</v>
      </c>
      <c r="AJ4571">
        <v>128.155791688867</v>
      </c>
      <c r="AK4571">
        <v>0.81944210386189698</v>
      </c>
    </row>
    <row r="4572" spans="1:37" x14ac:dyDescent="0.2">
      <c r="A4572" t="str">
        <f>"20200111153743305"</f>
        <v>20200111153743305</v>
      </c>
      <c r="B4572" t="str">
        <f>"1578728263297796"</f>
        <v>1578728263297796</v>
      </c>
      <c r="C4572" t="s">
        <v>37</v>
      </c>
      <c r="D4572">
        <v>5.779655</v>
      </c>
      <c r="E4572">
        <v>0.43338090000000001</v>
      </c>
      <c r="F4572" t="s">
        <v>38</v>
      </c>
      <c r="G4572">
        <v>-414.70400000000001</v>
      </c>
      <c r="H4572">
        <v>1.013585</v>
      </c>
      <c r="I4572">
        <v>31.027699999999999</v>
      </c>
      <c r="J4572">
        <v>-415.47539999999998</v>
      </c>
      <c r="K4572">
        <v>1.1155109999999999</v>
      </c>
      <c r="L4572">
        <v>31.20853</v>
      </c>
      <c r="M4572">
        <v>0.62886249999999999</v>
      </c>
      <c r="N4572">
        <v>0</v>
      </c>
      <c r="O4572">
        <v>-0.77736930000000004</v>
      </c>
      <c r="P4572">
        <v>0.84845079999999995</v>
      </c>
      <c r="Q4572">
        <v>4.4239489999999999E-2</v>
      </c>
      <c r="R4572">
        <v>-0.52742239999999996</v>
      </c>
      <c r="S4572">
        <v>2.8204959999999999</v>
      </c>
      <c r="T4572">
        <v>-0.29773249999999901</v>
      </c>
      <c r="U4572">
        <v>-1.187103</v>
      </c>
      <c r="V4572">
        <v>-0.32936579999999999</v>
      </c>
      <c r="W4572">
        <v>4.974249E-2</v>
      </c>
      <c r="X4572">
        <v>0.94289120000000004</v>
      </c>
      <c r="Y4572">
        <v>-0.46793259999999998</v>
      </c>
      <c r="Z4572">
        <v>9.0547939999999993E-2</v>
      </c>
      <c r="AA4572">
        <v>0.87911329999999999</v>
      </c>
      <c r="AB4572">
        <v>31</v>
      </c>
      <c r="AC4572">
        <v>0.771399999999971</v>
      </c>
      <c r="AD4572">
        <v>-0.101926</v>
      </c>
      <c r="AE4572">
        <v>-0.18082999999999999</v>
      </c>
      <c r="AF4572">
        <v>-0.47808909309436998</v>
      </c>
      <c r="AG4572">
        <v>-0.101926</v>
      </c>
      <c r="AH4572">
        <v>0.61556078856644503</v>
      </c>
      <c r="AI4572">
        <v>97.450450838148697</v>
      </c>
      <c r="AJ4572">
        <v>127.83550192676</v>
      </c>
      <c r="AK4572">
        <v>0.78604909187171101</v>
      </c>
    </row>
    <row r="4573" spans="1:37" x14ac:dyDescent="0.2">
      <c r="A4573" t="str">
        <f>"20200111153743328"</f>
        <v>20200111153743328</v>
      </c>
      <c r="B4573" t="str">
        <f>"1578728263317313"</f>
        <v>1578728263317313</v>
      </c>
      <c r="C4573" t="s">
        <v>37</v>
      </c>
      <c r="D4573">
        <v>5.7777079999999996</v>
      </c>
      <c r="E4573">
        <v>0.43369780000000002</v>
      </c>
      <c r="F4573" t="s">
        <v>38</v>
      </c>
      <c r="G4573">
        <v>-414.53399999999999</v>
      </c>
      <c r="H4573">
        <v>1.015415</v>
      </c>
      <c r="I4573">
        <v>30.82357</v>
      </c>
      <c r="J4573">
        <v>-415.2826</v>
      </c>
      <c r="K4573">
        <v>1.1154959999999901</v>
      </c>
      <c r="L4573">
        <v>30.990359999999999</v>
      </c>
      <c r="M4573">
        <v>0.63881140000000003</v>
      </c>
      <c r="N4573">
        <v>0</v>
      </c>
      <c r="O4573">
        <v>-0.76921470000000003</v>
      </c>
      <c r="P4573">
        <v>0.85473080000000001</v>
      </c>
      <c r="Q4573">
        <v>4.3905899999999998E-2</v>
      </c>
      <c r="R4573">
        <v>-0.51721110000000003</v>
      </c>
      <c r="S4573">
        <v>2.8318789999999998</v>
      </c>
      <c r="T4573">
        <v>-0.30106490000000002</v>
      </c>
      <c r="U4573">
        <v>-1.157654</v>
      </c>
      <c r="V4573">
        <v>-0.32854369999999999</v>
      </c>
      <c r="W4573">
        <v>4.944722E-2</v>
      </c>
      <c r="X4573">
        <v>0.94319359999999997</v>
      </c>
      <c r="Y4573">
        <v>-0.46557709999999902</v>
      </c>
      <c r="Z4573">
        <v>9.0934570000000006E-2</v>
      </c>
      <c r="AA4573">
        <v>0.88032319999999997</v>
      </c>
      <c r="AB4573">
        <v>31</v>
      </c>
      <c r="AC4573">
        <v>0.74860000000001004</v>
      </c>
      <c r="AD4573">
        <v>-0.100080999999999</v>
      </c>
      <c r="AE4573">
        <v>-0.166789999999998</v>
      </c>
      <c r="AF4573">
        <v>-0.461482345662102</v>
      </c>
      <c r="AG4573">
        <v>-0.100080999999999</v>
      </c>
      <c r="AH4573">
        <v>0.59642500620425398</v>
      </c>
      <c r="AI4573">
        <v>97.559733568780999</v>
      </c>
      <c r="AJ4573">
        <v>127.730822059552</v>
      </c>
      <c r="AK4573">
        <v>0.76072659342535198</v>
      </c>
    </row>
    <row r="4574" spans="1:37" x14ac:dyDescent="0.2">
      <c r="A4574" t="str">
        <f>"20200111153743350"</f>
        <v>20200111153743350</v>
      </c>
      <c r="B4574" t="str">
        <f>"1578728263337809"</f>
        <v>1578728263337809</v>
      </c>
      <c r="C4574" t="s">
        <v>37</v>
      </c>
      <c r="D4574">
        <v>5.6900930000000001</v>
      </c>
      <c r="E4574">
        <v>0.43399969999999999</v>
      </c>
      <c r="F4574" t="s">
        <v>38</v>
      </c>
      <c r="G4574">
        <v>-414.35899999999998</v>
      </c>
      <c r="H4574">
        <v>1.0170319999999999</v>
      </c>
      <c r="I4574">
        <v>30.624959999999898</v>
      </c>
      <c r="J4574">
        <v>-415.0806</v>
      </c>
      <c r="K4574">
        <v>1.11548</v>
      </c>
      <c r="L4574">
        <v>30.767579999999999</v>
      </c>
      <c r="M4574">
        <v>0.64897950000000004</v>
      </c>
      <c r="N4574">
        <v>0</v>
      </c>
      <c r="O4574">
        <v>-0.76065550000000004</v>
      </c>
      <c r="P4574">
        <v>0.86090900000000004</v>
      </c>
      <c r="Q4574">
        <v>4.3420229999999997E-2</v>
      </c>
      <c r="R4574">
        <v>-0.50690329999999995</v>
      </c>
      <c r="S4574">
        <v>2.8442379999999998</v>
      </c>
      <c r="T4574">
        <v>-0.30327349999999997</v>
      </c>
      <c r="U4574">
        <v>-1.1257629999999901</v>
      </c>
      <c r="V4574">
        <v>-0.32734370000000002</v>
      </c>
      <c r="W4574">
        <v>4.9013349999999997E-2</v>
      </c>
      <c r="X4574">
        <v>0.94363330000000001</v>
      </c>
      <c r="Y4574">
        <v>-0.46363880000000002</v>
      </c>
      <c r="Z4574">
        <v>9.0941339999999996E-2</v>
      </c>
      <c r="AA4574">
        <v>0.88134489999999999</v>
      </c>
      <c r="AB4574">
        <v>31</v>
      </c>
      <c r="AC4574">
        <v>0.72159999999996605</v>
      </c>
      <c r="AD4574">
        <v>-9.8447999999999994E-2</v>
      </c>
      <c r="AE4574">
        <v>-0.14262</v>
      </c>
      <c r="AF4574">
        <v>-0.44835224300798598</v>
      </c>
      <c r="AG4574">
        <v>-9.8447999999999994E-2</v>
      </c>
      <c r="AH4574">
        <v>0.56670270597491301</v>
      </c>
      <c r="AI4574">
        <v>97.758133759246604</v>
      </c>
      <c r="AJ4574">
        <v>128.349618739687</v>
      </c>
      <c r="AK4574">
        <v>0.72928985970845694</v>
      </c>
    </row>
    <row r="4575" spans="1:37" x14ac:dyDescent="0.2">
      <c r="A4575" t="str">
        <f>"20200111153743373"</f>
        <v>20200111153743373</v>
      </c>
      <c r="B4575" t="str">
        <f>"1578728263368066"</f>
        <v>1578728263368066</v>
      </c>
      <c r="C4575" t="s">
        <v>37</v>
      </c>
      <c r="D4575">
        <v>5.78451</v>
      </c>
      <c r="E4575">
        <v>0.4435057</v>
      </c>
      <c r="F4575" t="s">
        <v>38</v>
      </c>
      <c r="G4575">
        <v>-414.18490000000003</v>
      </c>
      <c r="H4575">
        <v>1.0195730000000001</v>
      </c>
      <c r="I4575">
        <v>30.4244599999999</v>
      </c>
      <c r="J4575">
        <v>-414.86649999999997</v>
      </c>
      <c r="K4575">
        <v>1.1154569999999999</v>
      </c>
      <c r="L4575">
        <v>30.537809999999901</v>
      </c>
      <c r="M4575">
        <v>0.65947849999999997</v>
      </c>
      <c r="N4575">
        <v>0</v>
      </c>
      <c r="O4575">
        <v>-0.75157109999999905</v>
      </c>
      <c r="P4575">
        <v>0.86732450000000005</v>
      </c>
      <c r="Q4575">
        <v>4.329678E-2</v>
      </c>
      <c r="R4575">
        <v>-0.49585659999999998</v>
      </c>
      <c r="S4575">
        <v>2.856201</v>
      </c>
      <c r="T4575">
        <v>-0.30577490000000002</v>
      </c>
      <c r="U4575">
        <v>-1.0935360000000001</v>
      </c>
      <c r="V4575">
        <v>-0.3263026</v>
      </c>
      <c r="W4575">
        <v>4.8938099999999998E-2</v>
      </c>
      <c r="X4575">
        <v>0.94399769999999905</v>
      </c>
      <c r="Y4575">
        <v>-0.4612192</v>
      </c>
      <c r="Z4575">
        <v>9.0962829999999995E-2</v>
      </c>
      <c r="AA4575">
        <v>0.88261119999999904</v>
      </c>
      <c r="AB4575">
        <v>30</v>
      </c>
      <c r="AC4575">
        <v>0.68159999999994603</v>
      </c>
      <c r="AD4575">
        <v>-9.5883999999999803E-2</v>
      </c>
      <c r="AE4575">
        <v>-0.11335000000000001</v>
      </c>
      <c r="AF4575">
        <v>-0.42930206561005502</v>
      </c>
      <c r="AG4575">
        <v>-9.5883999999999803E-2</v>
      </c>
      <c r="AH4575">
        <v>0.52464926148067004</v>
      </c>
      <c r="AI4575">
        <v>98.050590160850902</v>
      </c>
      <c r="AJ4575">
        <v>129.29225753017101</v>
      </c>
      <c r="AK4575">
        <v>0.68465381950681703</v>
      </c>
    </row>
    <row r="4576" spans="1:37" x14ac:dyDescent="0.2">
      <c r="A4576" t="str">
        <f>"20200111153743396"</f>
        <v>20200111153743396</v>
      </c>
      <c r="B4576" t="str">
        <f>"1578728263387585"</f>
        <v>1578728263387585</v>
      </c>
      <c r="C4576" t="s">
        <v>37</v>
      </c>
      <c r="D4576">
        <v>5.7797049999999999</v>
      </c>
      <c r="E4576">
        <v>0.44339770000000001</v>
      </c>
      <c r="F4576" t="s">
        <v>38</v>
      </c>
      <c r="G4576">
        <v>-413.97019999999998</v>
      </c>
      <c r="H4576">
        <v>1.0200849999999999</v>
      </c>
      <c r="I4576">
        <v>30.18243</v>
      </c>
      <c r="J4576">
        <v>-414.65730000000002</v>
      </c>
      <c r="K4576">
        <v>1.11544</v>
      </c>
      <c r="L4576">
        <v>30.31934</v>
      </c>
      <c r="M4576">
        <v>0.66947309999999904</v>
      </c>
      <c r="N4576">
        <v>0</v>
      </c>
      <c r="O4576">
        <v>-0.74268230000000002</v>
      </c>
      <c r="P4576">
        <v>0.87325419999999998</v>
      </c>
      <c r="Q4576">
        <v>4.3573010000000002E-2</v>
      </c>
      <c r="R4576">
        <v>-0.485313099999999</v>
      </c>
      <c r="S4576">
        <v>2.8320919999999998</v>
      </c>
      <c r="T4576">
        <v>-0.30129029999999901</v>
      </c>
      <c r="U4576">
        <v>-1.1226499999999999</v>
      </c>
      <c r="V4576">
        <v>-0.32510509999999998</v>
      </c>
      <c r="W4576">
        <v>4.9267199999999997E-2</v>
      </c>
      <c r="X4576">
        <v>0.9443937</v>
      </c>
      <c r="Y4576">
        <v>-0.43906139999999999</v>
      </c>
      <c r="Z4576">
        <v>8.8483439999999997E-2</v>
      </c>
      <c r="AA4576">
        <v>0.89408940000000003</v>
      </c>
      <c r="AB4576">
        <v>30</v>
      </c>
      <c r="AC4576">
        <v>0.68710000000004301</v>
      </c>
      <c r="AD4576">
        <v>-9.5354999999999801E-2</v>
      </c>
      <c r="AE4576">
        <v>-0.136910000000003</v>
      </c>
      <c r="AF4576">
        <v>-0.41107258448443501</v>
      </c>
      <c r="AG4576">
        <v>-9.5354999999999801E-2</v>
      </c>
      <c r="AH4576">
        <v>0.55152337629349502</v>
      </c>
      <c r="AI4576">
        <v>97.892301575758296</v>
      </c>
      <c r="AJ4576">
        <v>126.698646241975</v>
      </c>
      <c r="AK4576">
        <v>0.69444314406428598</v>
      </c>
    </row>
    <row r="4577" spans="1:37" x14ac:dyDescent="0.2">
      <c r="A4577" t="str">
        <f>"20200111153743417"</f>
        <v>20200111153743417</v>
      </c>
      <c r="B4577" t="str">
        <f>"1578728263408081"</f>
        <v>1578728263408081</v>
      </c>
      <c r="C4577" t="s">
        <v>37</v>
      </c>
      <c r="D4577">
        <v>5.7347489999999999</v>
      </c>
      <c r="E4577">
        <v>0.44364369999999997</v>
      </c>
      <c r="F4577" t="s">
        <v>53</v>
      </c>
      <c r="G4577">
        <v>-404.34890000000001</v>
      </c>
      <c r="H4577" s="1">
        <v>-5.3203099999999902E-6</v>
      </c>
      <c r="I4577">
        <v>26.379339999999999</v>
      </c>
      <c r="J4577">
        <v>-414.4581</v>
      </c>
      <c r="K4577">
        <v>1.1154219999999999</v>
      </c>
      <c r="L4577">
        <v>30.11664</v>
      </c>
      <c r="M4577">
        <v>0.67876000000000003</v>
      </c>
      <c r="N4577">
        <v>0</v>
      </c>
      <c r="O4577">
        <v>-0.73420419999999997</v>
      </c>
      <c r="P4577">
        <v>0.87835160000000001</v>
      </c>
      <c r="Q4577">
        <v>4.4410579999999998E-2</v>
      </c>
      <c r="R4577">
        <v>-0.47594740000000002</v>
      </c>
      <c r="S4577">
        <v>2.846222</v>
      </c>
      <c r="T4577">
        <v>-0.30798199999999998</v>
      </c>
      <c r="U4577">
        <v>-1.08786</v>
      </c>
      <c r="V4577">
        <v>-0.32331479999999901</v>
      </c>
      <c r="W4577">
        <v>5.0175400000000002E-2</v>
      </c>
      <c r="X4577">
        <v>0.94496029999999998</v>
      </c>
      <c r="Y4577">
        <v>-0.43862200000000001</v>
      </c>
      <c r="Z4577">
        <v>8.9767399999999997E-2</v>
      </c>
      <c r="AA4577">
        <v>0.894177</v>
      </c>
      <c r="AB4577">
        <v>30</v>
      </c>
      <c r="AC4577">
        <v>10.1091999999999</v>
      </c>
      <c r="AD4577">
        <v>-1.11542732030999</v>
      </c>
      <c r="AE4577">
        <v>-3.7372999999999998</v>
      </c>
      <c r="AF4577">
        <v>-4.8342690854572199</v>
      </c>
      <c r="AG4577">
        <v>-1.11542732030999</v>
      </c>
      <c r="AH4577">
        <v>9.5049585171224997</v>
      </c>
      <c r="AI4577">
        <v>95.971449173946993</v>
      </c>
      <c r="AJ4577">
        <v>116.958114571962</v>
      </c>
      <c r="AK4577">
        <v>10.721873535428401</v>
      </c>
    </row>
    <row r="4578" spans="1:37" x14ac:dyDescent="0.2">
      <c r="A4578" t="str">
        <f>"20200111153743440"</f>
        <v>20200111153743440</v>
      </c>
      <c r="B4578" t="str">
        <f>"1578728263437361"</f>
        <v>1578728263437361</v>
      </c>
      <c r="C4578" t="s">
        <v>37</v>
      </c>
      <c r="D4578">
        <v>5.9968779999999997</v>
      </c>
      <c r="E4578">
        <v>0.44416650000000002</v>
      </c>
      <c r="F4578" t="s">
        <v>53</v>
      </c>
      <c r="G4578">
        <v>-404.08789999999999</v>
      </c>
      <c r="H4578" s="1">
        <v>-5.422722E-6</v>
      </c>
      <c r="I4578">
        <v>26.271459999999902</v>
      </c>
      <c r="J4578">
        <v>-414.24619999999999</v>
      </c>
      <c r="K4578">
        <v>1.1154109999999999</v>
      </c>
      <c r="L4578">
        <v>29.90652</v>
      </c>
      <c r="M4578">
        <v>0.68839669999999997</v>
      </c>
      <c r="N4578">
        <v>0</v>
      </c>
      <c r="O4578">
        <v>-0.72517670000000001</v>
      </c>
      <c r="P4578">
        <v>0.88321249999999996</v>
      </c>
      <c r="Q4578">
        <v>4.4759449999999999E-2</v>
      </c>
      <c r="R4578">
        <v>-0.46683279999999899</v>
      </c>
      <c r="S4578">
        <v>2.8570250000000001</v>
      </c>
      <c r="T4578">
        <v>-0.30730299999999999</v>
      </c>
      <c r="U4578">
        <v>-1.0593569999999899</v>
      </c>
      <c r="V4578">
        <v>-0.32060620000000001</v>
      </c>
      <c r="W4578">
        <v>5.0624959999999997E-2</v>
      </c>
      <c r="X4578">
        <v>0.9458588</v>
      </c>
      <c r="Y4578">
        <v>-0.43578309999999998</v>
      </c>
      <c r="Z4578">
        <v>8.8773069999999996E-2</v>
      </c>
      <c r="AA4578">
        <v>0.89566309999999905</v>
      </c>
      <c r="AB4578">
        <v>30</v>
      </c>
      <c r="AC4578">
        <v>10.158299999999899</v>
      </c>
      <c r="AD4578">
        <v>-1.115416422722</v>
      </c>
      <c r="AE4578">
        <v>-3.6350600000000002</v>
      </c>
      <c r="AF4578">
        <v>-4.8133100791964001</v>
      </c>
      <c r="AG4578">
        <v>-1.115416422722</v>
      </c>
      <c r="AH4578">
        <v>9.5282627357633807</v>
      </c>
      <c r="AI4578">
        <v>95.965110041969794</v>
      </c>
      <c r="AJ4578">
        <v>116.801141337552</v>
      </c>
      <c r="AK4578">
        <v>10.7331215625422</v>
      </c>
    </row>
    <row r="4579" spans="1:37" x14ac:dyDescent="0.2">
      <c r="A4579" t="str">
        <f>"20200111153743462"</f>
        <v>20200111153743462</v>
      </c>
      <c r="B4579" t="str">
        <f>"1578728263457858"</f>
        <v>1578728263457858</v>
      </c>
      <c r="C4579" t="s">
        <v>37</v>
      </c>
      <c r="D4579">
        <v>5.7604430000000004</v>
      </c>
      <c r="E4579">
        <v>0.45559449999999901</v>
      </c>
      <c r="F4579" t="s">
        <v>38</v>
      </c>
      <c r="G4579">
        <v>-413.22430000000003</v>
      </c>
      <c r="H4579">
        <v>1.0048600000000001</v>
      </c>
      <c r="I4579">
        <v>29.538219999999999</v>
      </c>
      <c r="J4579">
        <v>-414.0265</v>
      </c>
      <c r="K4579">
        <v>1.1153979999999999</v>
      </c>
      <c r="L4579">
        <v>29.694949999999999</v>
      </c>
      <c r="M4579">
        <v>0.69812600000000002</v>
      </c>
      <c r="N4579">
        <v>0</v>
      </c>
      <c r="O4579">
        <v>-0.71581490000000003</v>
      </c>
      <c r="P4579">
        <v>0.88819190000000003</v>
      </c>
      <c r="Q4579">
        <v>4.4594599999999998E-2</v>
      </c>
      <c r="R4579">
        <v>-0.45730359999999998</v>
      </c>
      <c r="S4579">
        <v>2.8661189999999999</v>
      </c>
      <c r="T4579">
        <v>-0.3101064</v>
      </c>
      <c r="U4579">
        <v>-1.033569</v>
      </c>
      <c r="V4579">
        <v>-0.31800640000000002</v>
      </c>
      <c r="W4579">
        <v>5.0557339999999999E-2</v>
      </c>
      <c r="X4579">
        <v>0.94673960000000001</v>
      </c>
      <c r="Y4579">
        <v>-0.43164340000000001</v>
      </c>
      <c r="Z4579">
        <v>8.8694999999999996E-2</v>
      </c>
      <c r="AA4579">
        <v>0.89767319999999995</v>
      </c>
      <c r="AB4579">
        <v>30</v>
      </c>
      <c r="AC4579">
        <v>0.80219999999997005</v>
      </c>
      <c r="AD4579">
        <v>-0.110537999999999</v>
      </c>
      <c r="AE4579">
        <v>-0.15672999999999601</v>
      </c>
      <c r="AF4579">
        <v>-0.45651352826764902</v>
      </c>
      <c r="AG4579">
        <v>-0.110537999999999</v>
      </c>
      <c r="AH4579">
        <v>0.66022848258021805</v>
      </c>
      <c r="AI4579">
        <v>97.840884169686603</v>
      </c>
      <c r="AJ4579">
        <v>124.661834617243</v>
      </c>
      <c r="AK4579">
        <v>0.81026224158944704</v>
      </c>
    </row>
    <row r="4580" spans="1:37" x14ac:dyDescent="0.2">
      <c r="A4580" t="str">
        <f>"20200111153743486"</f>
        <v>20200111153743486</v>
      </c>
      <c r="B4580" t="str">
        <f>"1578728263477380"</f>
        <v>1578728263477380</v>
      </c>
      <c r="C4580" t="s">
        <v>37</v>
      </c>
      <c r="D4580">
        <v>5.9281620000000004</v>
      </c>
      <c r="E4580">
        <v>0.45595000000000002</v>
      </c>
      <c r="F4580" t="s">
        <v>38</v>
      </c>
      <c r="G4580">
        <v>-413.0446</v>
      </c>
      <c r="H4580">
        <v>1.0166139999999999</v>
      </c>
      <c r="I4580">
        <v>29.319709999999901</v>
      </c>
      <c r="J4580">
        <v>-413.80189999999999</v>
      </c>
      <c r="K4580">
        <v>1.115378</v>
      </c>
      <c r="L4580">
        <v>29.48434</v>
      </c>
      <c r="M4580">
        <v>0.7078217</v>
      </c>
      <c r="N4580">
        <v>0</v>
      </c>
      <c r="O4580">
        <v>-0.706229</v>
      </c>
      <c r="P4580">
        <v>0.89335750000000003</v>
      </c>
      <c r="Q4580">
        <v>4.4233979999999999E-2</v>
      </c>
      <c r="R4580">
        <v>-0.44716440000000002</v>
      </c>
      <c r="S4580">
        <v>2.8347169999999999</v>
      </c>
      <c r="T4580">
        <v>-0.28511120000000001</v>
      </c>
      <c r="U4580">
        <v>-1.0822449999999999</v>
      </c>
      <c r="V4580">
        <v>-0.31587199999999999</v>
      </c>
      <c r="W4580">
        <v>5.0279219999999999E-2</v>
      </c>
      <c r="X4580">
        <v>0.94746869999999905</v>
      </c>
      <c r="Y4580">
        <v>-0.40328779999999997</v>
      </c>
      <c r="Z4580">
        <v>8.0144229999999997E-2</v>
      </c>
      <c r="AA4580">
        <v>0.91155679999999994</v>
      </c>
      <c r="AB4580">
        <v>30</v>
      </c>
      <c r="AC4580">
        <v>0.75729999999998598</v>
      </c>
      <c r="AD4580">
        <v>-9.8764000000000005E-2</v>
      </c>
      <c r="AE4580">
        <v>-0.16463000000000599</v>
      </c>
      <c r="AF4580">
        <v>-0.41166074695075</v>
      </c>
      <c r="AG4580">
        <v>-9.8764000000000005E-2</v>
      </c>
      <c r="AH4580">
        <v>0.64194880542618704</v>
      </c>
      <c r="AI4580">
        <v>97.379252365487503</v>
      </c>
      <c r="AJ4580">
        <v>122.670723257037</v>
      </c>
      <c r="AK4580">
        <v>0.76897149951357702</v>
      </c>
    </row>
    <row r="4581" spans="1:37" x14ac:dyDescent="0.2">
      <c r="A4581" t="str">
        <f>"20200111153743507"</f>
        <v>20200111153743507</v>
      </c>
      <c r="B4581" t="str">
        <f>"1578728263497876"</f>
        <v>1578728263497876</v>
      </c>
      <c r="C4581" t="s">
        <v>37</v>
      </c>
      <c r="D4581">
        <v>5.9314359999999997</v>
      </c>
      <c r="E4581">
        <v>0.456762</v>
      </c>
      <c r="F4581" t="s">
        <v>38</v>
      </c>
      <c r="G4581">
        <v>-412.77760000000001</v>
      </c>
      <c r="H4581">
        <v>1.0115080000000001</v>
      </c>
      <c r="I4581">
        <v>29.105419999999999</v>
      </c>
      <c r="J4581">
        <v>-413.59550000000002</v>
      </c>
      <c r="K4581">
        <v>1.1153569999999999</v>
      </c>
      <c r="L4581">
        <v>29.29562</v>
      </c>
      <c r="M4581">
        <v>0.71651390000000004</v>
      </c>
      <c r="N4581">
        <v>0</v>
      </c>
      <c r="O4581">
        <v>-0.6974089</v>
      </c>
      <c r="P4581">
        <v>0.89812510000000001</v>
      </c>
      <c r="Q4581">
        <v>4.3692109999999999E-2</v>
      </c>
      <c r="R4581">
        <v>-0.43756459999999903</v>
      </c>
      <c r="S4581">
        <v>2.8453979999999999</v>
      </c>
      <c r="T4581">
        <v>-0.28853839999999997</v>
      </c>
      <c r="U4581">
        <v>-1.0528869999999999</v>
      </c>
      <c r="V4581">
        <v>-0.31429240000000003</v>
      </c>
      <c r="W4581">
        <v>4.9801539999999998E-2</v>
      </c>
      <c r="X4581">
        <v>0.94801899999999995</v>
      </c>
      <c r="Y4581">
        <v>-0.4012906</v>
      </c>
      <c r="Z4581">
        <v>8.0372769999999996E-2</v>
      </c>
      <c r="AA4581">
        <v>0.9124177</v>
      </c>
      <c r="AB4581">
        <v>30</v>
      </c>
      <c r="AC4581">
        <v>0.81790000000000795</v>
      </c>
      <c r="AD4581">
        <v>-0.103848999999999</v>
      </c>
      <c r="AE4581">
        <v>-0.19019999999999701</v>
      </c>
      <c r="AF4581">
        <v>-0.42763897067325901</v>
      </c>
      <c r="AG4581">
        <v>-0.103848999999999</v>
      </c>
      <c r="AH4581">
        <v>0.70793859993827002</v>
      </c>
      <c r="AI4581">
        <v>97.156710641961297</v>
      </c>
      <c r="AJ4581">
        <v>121.134588644902</v>
      </c>
      <c r="AK4581">
        <v>0.83356869262349498</v>
      </c>
    </row>
    <row r="4582" spans="1:37" x14ac:dyDescent="0.2">
      <c r="A4582" t="str">
        <f>"20200111153743529"</f>
        <v>20200111153743529</v>
      </c>
      <c r="B4582" t="str">
        <f>"1578728263517393"</f>
        <v>1578728263517393</v>
      </c>
      <c r="C4582" t="s">
        <v>37</v>
      </c>
      <c r="D4582">
        <v>5.7432780000000001</v>
      </c>
      <c r="E4582">
        <v>0.45748469999999902</v>
      </c>
      <c r="F4582" t="s">
        <v>53</v>
      </c>
      <c r="G4582">
        <v>-402.67579999999998</v>
      </c>
      <c r="H4582" s="1">
        <v>-5.8980850000000001E-6</v>
      </c>
      <c r="I4582">
        <v>25.360119999999998</v>
      </c>
      <c r="J4582">
        <v>-413.37450000000001</v>
      </c>
      <c r="K4582">
        <v>1.115337</v>
      </c>
      <c r="L4582">
        <v>29.098749999999999</v>
      </c>
      <c r="M4582">
        <v>0.72558529999999999</v>
      </c>
      <c r="N4582">
        <v>0</v>
      </c>
      <c r="O4582">
        <v>-0.68796599999999997</v>
      </c>
      <c r="P4582">
        <v>0.90279259999999995</v>
      </c>
      <c r="Q4582">
        <v>4.422711E-2</v>
      </c>
      <c r="R4582">
        <v>-0.42779609999999901</v>
      </c>
      <c r="S4582">
        <v>2.853424</v>
      </c>
      <c r="T4582">
        <v>-0.29145399999999999</v>
      </c>
      <c r="U4582">
        <v>-1.028381</v>
      </c>
      <c r="V4582">
        <v>-0.31215270000000001</v>
      </c>
      <c r="W4582">
        <v>5.0422080000000001E-2</v>
      </c>
      <c r="X4582">
        <v>0.94869289999999995</v>
      </c>
      <c r="Y4582">
        <v>-0.39701900000000001</v>
      </c>
      <c r="Z4582">
        <v>8.0313579999999996E-2</v>
      </c>
      <c r="AA4582">
        <v>0.91428969999999898</v>
      </c>
      <c r="AB4582">
        <v>30</v>
      </c>
      <c r="AC4582">
        <v>10.698700000000001</v>
      </c>
      <c r="AD4582">
        <v>-1.115342898085</v>
      </c>
      <c r="AE4582">
        <v>-3.7386299999999899</v>
      </c>
      <c r="AF4582">
        <v>-4.6035908793157603</v>
      </c>
      <c r="AG4582">
        <v>-1.115342898085</v>
      </c>
      <c r="AH4582">
        <v>10.2369034325343</v>
      </c>
      <c r="AI4582">
        <v>95.674719991870901</v>
      </c>
      <c r="AJ4582">
        <v>114.213707488751</v>
      </c>
      <c r="AK4582">
        <v>11.2796822052512</v>
      </c>
    </row>
    <row r="4583" spans="1:37" x14ac:dyDescent="0.2">
      <c r="A4583" t="str">
        <f>"20200111153743551"</f>
        <v>20200111153743551</v>
      </c>
      <c r="B4583" t="str">
        <f>"1578728263547649"</f>
        <v>1578728263547649</v>
      </c>
      <c r="C4583" t="s">
        <v>37</v>
      </c>
      <c r="D4583">
        <v>5.6507449999999997</v>
      </c>
      <c r="E4583">
        <v>0.45794819999999897</v>
      </c>
      <c r="F4583" t="s">
        <v>53</v>
      </c>
      <c r="G4583">
        <v>-402.35309999999998</v>
      </c>
      <c r="H4583" s="1">
        <v>-5.9920600000000004E-6</v>
      </c>
      <c r="I4583">
        <v>25.235329999999902</v>
      </c>
      <c r="J4583">
        <v>-413.15190000000001</v>
      </c>
      <c r="K4583">
        <v>1.1153040000000001</v>
      </c>
      <c r="L4583">
        <v>28.905550000000002</v>
      </c>
      <c r="M4583">
        <v>0.73447709999999999</v>
      </c>
      <c r="N4583">
        <v>0</v>
      </c>
      <c r="O4583">
        <v>-0.67846509999999904</v>
      </c>
      <c r="P4583">
        <v>0.90707700000000002</v>
      </c>
      <c r="Q4583">
        <v>4.4923869999999998E-2</v>
      </c>
      <c r="R4583">
        <v>-0.41856120000000002</v>
      </c>
      <c r="S4583">
        <v>2.8618160000000001</v>
      </c>
      <c r="T4583">
        <v>-0.28960910000000001</v>
      </c>
      <c r="U4583">
        <v>-1.003174</v>
      </c>
      <c r="V4583">
        <v>-0.30947479999999999</v>
      </c>
      <c r="W4583">
        <v>5.1225949999999999E-2</v>
      </c>
      <c r="X4583">
        <v>0.9495268</v>
      </c>
      <c r="Y4583">
        <v>-0.3931925</v>
      </c>
      <c r="Z4583">
        <v>7.8942819999999997E-2</v>
      </c>
      <c r="AA4583">
        <v>0.91606100000000001</v>
      </c>
      <c r="AB4583">
        <v>30</v>
      </c>
      <c r="AC4583">
        <v>10.7988</v>
      </c>
      <c r="AD4583">
        <v>-1.11530999206</v>
      </c>
      <c r="AE4583">
        <v>-3.67022</v>
      </c>
      <c r="AF4583">
        <v>-4.5875774576914896</v>
      </c>
      <c r="AG4583">
        <v>-1.11530999206</v>
      </c>
      <c r="AH4583">
        <v>10.3240559547005</v>
      </c>
      <c r="AI4583">
        <v>95.638109021974302</v>
      </c>
      <c r="AJ4583">
        <v>113.95835570254199</v>
      </c>
      <c r="AK4583">
        <v>11.352352825053201</v>
      </c>
    </row>
    <row r="4584" spans="1:37" x14ac:dyDescent="0.2">
      <c r="A4584" t="str">
        <f>"20200111153743574"</f>
        <v>20200111153743574</v>
      </c>
      <c r="B4584" t="str">
        <f>"1578728263568146"</f>
        <v>1578728263568146</v>
      </c>
      <c r="C4584" t="s">
        <v>37</v>
      </c>
      <c r="D4584">
        <v>5.9640440000000003</v>
      </c>
      <c r="E4584">
        <v>0.45886159999999998</v>
      </c>
      <c r="F4584" t="s">
        <v>53</v>
      </c>
      <c r="G4584">
        <v>-402.1936</v>
      </c>
      <c r="H4584" s="1">
        <v>-6.0384999999999999E-6</v>
      </c>
      <c r="I4584">
        <v>25.17361</v>
      </c>
      <c r="J4584">
        <v>-412.9194</v>
      </c>
      <c r="K4584">
        <v>1.1152549999999899</v>
      </c>
      <c r="L4584">
        <v>28.708859999999898</v>
      </c>
      <c r="M4584">
        <v>0.74350419999999995</v>
      </c>
      <c r="N4584">
        <v>0</v>
      </c>
      <c r="O4584">
        <v>-0.66856040000000005</v>
      </c>
      <c r="P4584">
        <v>0.9113445</v>
      </c>
      <c r="Q4584">
        <v>4.497698E-2</v>
      </c>
      <c r="R4584">
        <v>-0.40917999999999999</v>
      </c>
      <c r="S4584">
        <v>2.8706669999999899</v>
      </c>
      <c r="T4584">
        <v>-0.29217029999999999</v>
      </c>
      <c r="U4584">
        <v>-0.97763060000000002</v>
      </c>
      <c r="V4584">
        <v>-0.30653619999999998</v>
      </c>
      <c r="W4584">
        <v>5.1402629999999998E-2</v>
      </c>
      <c r="X4584">
        <v>0.95047009999999899</v>
      </c>
      <c r="Y4584">
        <v>-0.38902340000000002</v>
      </c>
      <c r="Z4584">
        <v>7.8695979999999999E-2</v>
      </c>
      <c r="AA4584">
        <v>0.91786039999999902</v>
      </c>
      <c r="AB4584">
        <v>30</v>
      </c>
      <c r="AC4584">
        <v>10.7257999999999</v>
      </c>
      <c r="AD4584">
        <v>-1.1152610384999999</v>
      </c>
      <c r="AE4584">
        <v>-3.5352499999999898</v>
      </c>
      <c r="AF4584">
        <v>-4.49901552092921</v>
      </c>
      <c r="AG4584">
        <v>-1.1152610384999999</v>
      </c>
      <c r="AH4584">
        <v>10.239528572674899</v>
      </c>
      <c r="AI4584">
        <v>95.694507477116204</v>
      </c>
      <c r="AJ4584">
        <v>113.719592272973</v>
      </c>
      <c r="AK4584">
        <v>11.239790622257299</v>
      </c>
    </row>
    <row r="4585" spans="1:37" x14ac:dyDescent="0.2">
      <c r="A4585" t="str">
        <f>"20200111153743596"</f>
        <v>20200111153743596</v>
      </c>
      <c r="B4585" t="str">
        <f>"1578728263587668"</f>
        <v>1578728263587668</v>
      </c>
      <c r="C4585" t="s">
        <v>37</v>
      </c>
      <c r="D4585">
        <v>6.1018980000000003</v>
      </c>
      <c r="E4585">
        <v>0.47079149999999997</v>
      </c>
      <c r="F4585" t="s">
        <v>53</v>
      </c>
      <c r="G4585">
        <v>-401.82619999999997</v>
      </c>
      <c r="H4585" s="1">
        <v>-6.1453089999999999E-6</v>
      </c>
      <c r="I4585">
        <v>25.029599999999999</v>
      </c>
      <c r="J4585">
        <v>-412.69060000000002</v>
      </c>
      <c r="K4585">
        <v>1.115192</v>
      </c>
      <c r="L4585">
        <v>28.520509999999899</v>
      </c>
      <c r="M4585">
        <v>0.75210869999999996</v>
      </c>
      <c r="N4585">
        <v>0</v>
      </c>
      <c r="O4585">
        <v>-0.65886619999999996</v>
      </c>
      <c r="P4585">
        <v>0.91575830000000003</v>
      </c>
      <c r="Q4585">
        <v>4.4556110000000003E-2</v>
      </c>
      <c r="R4585">
        <v>-0.39925149999999998</v>
      </c>
      <c r="S4585">
        <v>2.87759399999999</v>
      </c>
      <c r="T4585">
        <v>-0.28930059999999902</v>
      </c>
      <c r="U4585">
        <v>-0.95440669999999905</v>
      </c>
      <c r="V4585">
        <v>-0.3045368</v>
      </c>
      <c r="W4585">
        <v>5.1084039999999997E-2</v>
      </c>
      <c r="X4585">
        <v>0.95112969999999897</v>
      </c>
      <c r="Y4585">
        <v>-0.38455339999999999</v>
      </c>
      <c r="Z4585">
        <v>7.7013310000000001E-2</v>
      </c>
      <c r="AA4585">
        <v>0.91988459999999905</v>
      </c>
      <c r="AB4585">
        <v>30</v>
      </c>
      <c r="AC4585">
        <v>10.8644</v>
      </c>
      <c r="AD4585">
        <v>-1.1151981453090001</v>
      </c>
      <c r="AE4585">
        <v>-3.4909099999999902</v>
      </c>
      <c r="AF4585">
        <v>-4.49027473817649</v>
      </c>
      <c r="AG4585">
        <v>-1.1151981453090001</v>
      </c>
      <c r="AH4585">
        <v>10.373375683450201</v>
      </c>
      <c r="AI4585">
        <v>95.6345327039446</v>
      </c>
      <c r="AJ4585">
        <v>113.406113737837</v>
      </c>
      <c r="AK4585">
        <v>11.358395890160001</v>
      </c>
    </row>
    <row r="4586" spans="1:37" x14ac:dyDescent="0.2">
      <c r="A4586" t="str">
        <f>"20200111153743618"</f>
        <v>20200111153743618</v>
      </c>
      <c r="B4586" t="str">
        <f>"1578728263608161"</f>
        <v>1578728263608161</v>
      </c>
      <c r="C4586" t="s">
        <v>37</v>
      </c>
      <c r="D4586">
        <v>6.1023309999999897</v>
      </c>
      <c r="E4586">
        <v>0.47664069999999997</v>
      </c>
      <c r="F4586" t="s">
        <v>39</v>
      </c>
      <c r="G4586">
        <v>-399.61500000000001</v>
      </c>
      <c r="H4586" s="1">
        <v>-1.3012219999999999E-6</v>
      </c>
      <c r="I4586">
        <v>23.896129999999999</v>
      </c>
      <c r="J4586">
        <v>-412.46409999999997</v>
      </c>
      <c r="K4586">
        <v>1.115108</v>
      </c>
      <c r="L4586">
        <v>28.338619999999999</v>
      </c>
      <c r="M4586">
        <v>0.76036389999999998</v>
      </c>
      <c r="N4586">
        <v>0</v>
      </c>
      <c r="O4586">
        <v>-0.64932199999999995</v>
      </c>
      <c r="P4586">
        <v>0.91998819999999903</v>
      </c>
      <c r="Q4586">
        <v>4.4470410000000002E-2</v>
      </c>
      <c r="R4586">
        <v>-0.38941579999999998</v>
      </c>
      <c r="S4586">
        <v>2.8486020000000001</v>
      </c>
      <c r="T4586">
        <v>-0.2429509</v>
      </c>
      <c r="U4586">
        <v>-1.0074459999999901</v>
      </c>
      <c r="V4586">
        <v>-0.30271320000000002</v>
      </c>
      <c r="W4586">
        <v>5.1104030000000002E-2</v>
      </c>
      <c r="X4586">
        <v>0.95171059999999996</v>
      </c>
      <c r="Y4586">
        <v>-0.35588449999999999</v>
      </c>
      <c r="Z4586">
        <v>6.3336180000000006E-2</v>
      </c>
      <c r="AA4586">
        <v>0.93238120000000002</v>
      </c>
      <c r="AB4586">
        <v>30</v>
      </c>
      <c r="AC4586">
        <v>12.8490999999999</v>
      </c>
      <c r="AD4586">
        <v>-1.1151093012219999</v>
      </c>
      <c r="AE4586">
        <v>-4.4424900000000003</v>
      </c>
      <c r="AF4586">
        <v>-4.9326753085748001</v>
      </c>
      <c r="AG4586">
        <v>-1.1151093012219999</v>
      </c>
      <c r="AH4586">
        <v>12.571465224493799</v>
      </c>
      <c r="AI4586">
        <v>94.720365524882993</v>
      </c>
      <c r="AJ4586">
        <v>111.423590381708</v>
      </c>
      <c r="AK4586">
        <v>13.550516312825501</v>
      </c>
    </row>
    <row r="4587" spans="1:37" x14ac:dyDescent="0.2">
      <c r="A4587" t="str">
        <f>"20200111153743642"</f>
        <v>20200111153743642</v>
      </c>
      <c r="B4587" t="str">
        <f>"1578728263637442"</f>
        <v>1578728263637442</v>
      </c>
      <c r="C4587" t="s">
        <v>37</v>
      </c>
      <c r="D4587">
        <v>6.1017839999999897</v>
      </c>
      <c r="E4587">
        <v>0.4797148</v>
      </c>
      <c r="F4587" t="s">
        <v>39</v>
      </c>
      <c r="G4587">
        <v>-398.8236</v>
      </c>
      <c r="H4587" s="1">
        <v>-1.555285E-6</v>
      </c>
      <c r="I4587">
        <v>23.445060000000002</v>
      </c>
      <c r="J4587">
        <v>-412.231999999999</v>
      </c>
      <c r="K4587">
        <v>1.115005</v>
      </c>
      <c r="L4587">
        <v>28.157319999999999</v>
      </c>
      <c r="M4587">
        <v>0.7685187</v>
      </c>
      <c r="N4587">
        <v>0</v>
      </c>
      <c r="O4587">
        <v>-0.63965000000000005</v>
      </c>
      <c r="P4587">
        <v>0.92395939999999999</v>
      </c>
      <c r="Q4587">
        <v>4.4074769999999999E-2</v>
      </c>
      <c r="R4587">
        <v>-0.37994260000000002</v>
      </c>
      <c r="S4587">
        <v>2.8407589999999998</v>
      </c>
      <c r="T4587">
        <v>-0.2322332</v>
      </c>
      <c r="U4587">
        <v>-1.0191349999999999</v>
      </c>
      <c r="V4587">
        <v>-0.30043639999999999</v>
      </c>
      <c r="W4587">
        <v>5.0839740000000001E-2</v>
      </c>
      <c r="X4587">
        <v>0.95244589999999996</v>
      </c>
      <c r="Y4587">
        <v>-0.340097599999999</v>
      </c>
      <c r="Z4587">
        <v>5.9481279999999997E-2</v>
      </c>
      <c r="AA4587">
        <v>0.93850710000000004</v>
      </c>
      <c r="AB4587">
        <v>30</v>
      </c>
      <c r="AC4587">
        <v>13.408399999999901</v>
      </c>
      <c r="AD4587">
        <v>-1.1150065552849999</v>
      </c>
      <c r="AE4587">
        <v>-4.7122599999999997</v>
      </c>
      <c r="AF4587">
        <v>-4.9254693989192804</v>
      </c>
      <c r="AG4587">
        <v>-1.1150065552849999</v>
      </c>
      <c r="AH4587">
        <v>13.238830237907701</v>
      </c>
      <c r="AI4587">
        <v>94.513357743301597</v>
      </c>
      <c r="AJ4587">
        <v>110.407575392749</v>
      </c>
      <c r="AK4587">
        <v>14.1693371223271</v>
      </c>
    </row>
    <row r="4588" spans="1:37" x14ac:dyDescent="0.2">
      <c r="A4588" t="str">
        <f>"20200111153743664"</f>
        <v>20200111153743664</v>
      </c>
      <c r="B4588" t="str">
        <f>"1578728263657938"</f>
        <v>1578728263657938</v>
      </c>
      <c r="C4588" t="s">
        <v>37</v>
      </c>
      <c r="D4588">
        <v>6.1402400000000004</v>
      </c>
      <c r="E4588">
        <v>0.48018919999999998</v>
      </c>
      <c r="F4588" t="s">
        <v>39</v>
      </c>
      <c r="G4588">
        <v>-398.30360000000002</v>
      </c>
      <c r="H4588" s="1">
        <v>-1.7351769999999999E-6</v>
      </c>
      <c r="I4588">
        <v>23.197229999999902</v>
      </c>
      <c r="J4588">
        <v>-411.98910000000001</v>
      </c>
      <c r="K4588">
        <v>1.1148709999999999</v>
      </c>
      <c r="L4588">
        <v>27.972379999999902</v>
      </c>
      <c r="M4588">
        <v>0.77673510000000001</v>
      </c>
      <c r="N4588">
        <v>0</v>
      </c>
      <c r="O4588">
        <v>-0.62964790000000004</v>
      </c>
      <c r="P4588">
        <v>0.92837789999999998</v>
      </c>
      <c r="Q4588">
        <v>4.3821880000000001E-2</v>
      </c>
      <c r="R4588">
        <v>-0.36904490000000001</v>
      </c>
      <c r="S4588">
        <v>2.8416139999999999</v>
      </c>
      <c r="T4588">
        <v>-0.22747809999999999</v>
      </c>
      <c r="U4588">
        <v>-1.0119320000000001</v>
      </c>
      <c r="V4588">
        <v>-0.29929620000000001</v>
      </c>
      <c r="W4588">
        <v>5.0696390000000001E-2</v>
      </c>
      <c r="X4588">
        <v>0.95281249999999995</v>
      </c>
      <c r="Y4588">
        <v>-0.330254299999999</v>
      </c>
      <c r="Z4588">
        <v>5.7340240000000001E-2</v>
      </c>
      <c r="AA4588">
        <v>0.94214869999999995</v>
      </c>
      <c r="AB4588">
        <v>30</v>
      </c>
      <c r="AC4588">
        <v>13.6854999999999</v>
      </c>
      <c r="AD4588">
        <v>-1.114872735177</v>
      </c>
      <c r="AE4588">
        <v>-4.77515</v>
      </c>
      <c r="AF4588">
        <v>-4.87970589392551</v>
      </c>
      <c r="AG4588">
        <v>-1.114872735177</v>
      </c>
      <c r="AH4588">
        <v>13.5580029156229</v>
      </c>
      <c r="AI4588">
        <v>94.424227919048505</v>
      </c>
      <c r="AJ4588">
        <v>109.794479828657</v>
      </c>
      <c r="AK4588">
        <v>14.452470857500099</v>
      </c>
    </row>
    <row r="4589" spans="1:37" x14ac:dyDescent="0.2">
      <c r="A4589" t="str">
        <f>"20200111153743688"</f>
        <v>20200111153743688</v>
      </c>
      <c r="B4589" t="str">
        <f>"1578728263677457"</f>
        <v>1578728263677457</v>
      </c>
      <c r="C4589" t="s">
        <v>37</v>
      </c>
      <c r="D4589">
        <v>6.1951450000000001</v>
      </c>
      <c r="E4589">
        <v>0.4807689</v>
      </c>
      <c r="F4589" t="s">
        <v>39</v>
      </c>
      <c r="G4589">
        <v>-398.4683</v>
      </c>
      <c r="H4589" s="1">
        <v>-1.6885729999999999E-6</v>
      </c>
      <c r="I4589">
        <v>23.314789999999999</v>
      </c>
      <c r="J4589">
        <v>-411.73939999999999</v>
      </c>
      <c r="K4589">
        <v>1.1147359999999999</v>
      </c>
      <c r="L4589">
        <v>27.787109999999998</v>
      </c>
      <c r="M4589">
        <v>0.784865699999999</v>
      </c>
      <c r="N4589">
        <v>0</v>
      </c>
      <c r="O4589">
        <v>-0.61948380000000003</v>
      </c>
      <c r="P4589">
        <v>0.93244590000000005</v>
      </c>
      <c r="Q4589">
        <v>4.3260779999999999E-2</v>
      </c>
      <c r="R4589">
        <v>-0.35871069999999999</v>
      </c>
      <c r="S4589">
        <v>2.85202</v>
      </c>
      <c r="T4589">
        <v>-0.2351666</v>
      </c>
      <c r="U4589">
        <v>-0.982452399999999</v>
      </c>
      <c r="V4589">
        <v>-0.29745830000000001</v>
      </c>
      <c r="W4589">
        <v>5.0268739999999999E-2</v>
      </c>
      <c r="X4589">
        <v>0.95341049999999905</v>
      </c>
      <c r="Y4589">
        <v>-0.32760609999999901</v>
      </c>
      <c r="Z4589">
        <v>5.8499000000000002E-2</v>
      </c>
      <c r="AA4589">
        <v>0.9430016</v>
      </c>
      <c r="AB4589">
        <v>30</v>
      </c>
      <c r="AC4589">
        <v>13.271099999999899</v>
      </c>
      <c r="AD4589">
        <v>-1.114737688573</v>
      </c>
      <c r="AE4589">
        <v>-4.4723199999999999</v>
      </c>
      <c r="AF4589">
        <v>-4.6819278199891299</v>
      </c>
      <c r="AG4589">
        <v>-1.114737688573</v>
      </c>
      <c r="AH4589">
        <v>13.105015649854501</v>
      </c>
      <c r="AI4589">
        <v>94.579804339283299</v>
      </c>
      <c r="AJ4589">
        <v>109.659892415998</v>
      </c>
      <c r="AK4589">
        <v>13.960821014856</v>
      </c>
    </row>
    <row r="4590" spans="1:37" x14ac:dyDescent="0.2">
      <c r="A4590" t="str">
        <f>"20200111153743699"</f>
        <v>20200111153743699</v>
      </c>
      <c r="B4590" t="str">
        <f>"1578728263688194"</f>
        <v>1578728263688194</v>
      </c>
      <c r="C4590" t="s">
        <v>37</v>
      </c>
      <c r="D4590">
        <v>5.9210089999999997</v>
      </c>
      <c r="E4590">
        <v>0.48135289999999997</v>
      </c>
      <c r="F4590" t="s">
        <v>39</v>
      </c>
      <c r="G4590">
        <v>-398.48840000000001</v>
      </c>
      <c r="H4590" s="1">
        <v>-1.6921840000000001E-6</v>
      </c>
      <c r="I4590">
        <v>23.364039999999999</v>
      </c>
      <c r="J4590">
        <v>-411.61239999999998</v>
      </c>
      <c r="K4590">
        <v>1.114665</v>
      </c>
      <c r="L4590">
        <v>27.694269999999999</v>
      </c>
      <c r="M4590">
        <v>0.78889379999999998</v>
      </c>
      <c r="N4590">
        <v>0</v>
      </c>
      <c r="O4590">
        <v>-0.61434650000000002</v>
      </c>
      <c r="P4590">
        <v>0.93440540000000005</v>
      </c>
      <c r="Q4590">
        <v>4.3341579999999998E-2</v>
      </c>
      <c r="R4590">
        <v>-0.35356479999999901</v>
      </c>
      <c r="S4590">
        <v>2.8611149999999999</v>
      </c>
      <c r="T4590">
        <v>-0.2406915</v>
      </c>
      <c r="U4590">
        <v>-0.95501709999999995</v>
      </c>
      <c r="V4590">
        <v>-0.29647899999999999</v>
      </c>
      <c r="W4590">
        <v>5.041971E-2</v>
      </c>
      <c r="X4590">
        <v>0.95370759999999899</v>
      </c>
      <c r="Y4590">
        <v>-0.33036219999999999</v>
      </c>
      <c r="Z4590">
        <v>5.9611919999999999E-2</v>
      </c>
      <c r="AA4590">
        <v>0.94196990000000003</v>
      </c>
      <c r="AB4590">
        <v>30</v>
      </c>
      <c r="AC4590">
        <v>13.123999999999899</v>
      </c>
      <c r="AD4590">
        <v>-1.1146666921840001</v>
      </c>
      <c r="AE4590">
        <v>-4.3302300000000002</v>
      </c>
      <c r="AF4590">
        <v>-4.6170783071139399</v>
      </c>
      <c r="AG4590">
        <v>-1.1146666921840001</v>
      </c>
      <c r="AH4590">
        <v>12.9310452882136</v>
      </c>
      <c r="AI4590">
        <v>94.641163144785693</v>
      </c>
      <c r="AJ4590">
        <v>109.649296383589</v>
      </c>
      <c r="AK4590">
        <v>13.7757695311194</v>
      </c>
    </row>
    <row r="4591" spans="1:37" x14ac:dyDescent="0.2">
      <c r="A4591" t="str">
        <f>"20200111153743714"</f>
        <v>20200111153743714</v>
      </c>
      <c r="B4591" t="str">
        <f>"1578728263707713"</f>
        <v>1578728263707713</v>
      </c>
      <c r="C4591" t="s">
        <v>37</v>
      </c>
      <c r="D4591">
        <v>6.2203710000000001</v>
      </c>
      <c r="E4591">
        <v>0.482149299999999</v>
      </c>
      <c r="F4591" t="s">
        <v>39</v>
      </c>
      <c r="G4591">
        <v>-398.36970000000002</v>
      </c>
      <c r="H4591" s="1">
        <v>-1.7399610000000001E-6</v>
      </c>
      <c r="I4591">
        <v>23.33259</v>
      </c>
      <c r="J4591">
        <v>-411.45269999999999</v>
      </c>
      <c r="K4591">
        <v>1.1145689999999999</v>
      </c>
      <c r="L4591">
        <v>27.579989999999999</v>
      </c>
      <c r="M4591">
        <v>0.79380119999999998</v>
      </c>
      <c r="N4591">
        <v>0</v>
      </c>
      <c r="O4591">
        <v>-0.60799300000000001</v>
      </c>
      <c r="P4591">
        <v>0.93683819999999995</v>
      </c>
      <c r="Q4591">
        <v>4.3252279999999997E-2</v>
      </c>
      <c r="R4591">
        <v>-0.34707890000000002</v>
      </c>
      <c r="S4591">
        <v>2.8647459999999998</v>
      </c>
      <c r="T4591">
        <v>-0.24113029999999999</v>
      </c>
      <c r="U4591">
        <v>-0.94354249999999995</v>
      </c>
      <c r="V4591">
        <v>-0.2954196</v>
      </c>
      <c r="W4591">
        <v>5.0417799999999999E-2</v>
      </c>
      <c r="X4591">
        <v>0.95403629999999995</v>
      </c>
      <c r="Y4591">
        <v>-0.32656109999999999</v>
      </c>
      <c r="Z4591">
        <v>5.9152349999999999E-2</v>
      </c>
      <c r="AA4591">
        <v>0.94332329999999998</v>
      </c>
      <c r="AB4591">
        <v>30</v>
      </c>
      <c r="AC4591">
        <v>13.082999999999901</v>
      </c>
      <c r="AD4591">
        <v>-1.1145707399610001</v>
      </c>
      <c r="AE4591">
        <v>-4.2473999999999998</v>
      </c>
      <c r="AF4591">
        <v>-4.5533986273373399</v>
      </c>
      <c r="AG4591">
        <v>-1.1145707399610001</v>
      </c>
      <c r="AH4591">
        <v>12.884548012861799</v>
      </c>
      <c r="AI4591">
        <v>94.662786361496103</v>
      </c>
      <c r="AJ4591">
        <v>109.463405607537</v>
      </c>
      <c r="AK4591">
        <v>13.7108455060057</v>
      </c>
    </row>
    <row r="4592" spans="1:37" x14ac:dyDescent="0.2">
      <c r="A4592" t="str">
        <f>"20200111153743730"</f>
        <v>20200111153743730</v>
      </c>
      <c r="B4592" t="str">
        <f>"1578728263717473"</f>
        <v>1578728263717473</v>
      </c>
      <c r="C4592" t="s">
        <v>37</v>
      </c>
      <c r="D4592">
        <v>6.0944320000000003</v>
      </c>
      <c r="E4592">
        <v>0.48244520000000002</v>
      </c>
      <c r="F4592" t="s">
        <v>39</v>
      </c>
      <c r="G4592">
        <v>-398.29270000000002</v>
      </c>
      <c r="H4592" s="1">
        <v>-1.771841E-6</v>
      </c>
      <c r="I4592">
        <v>23.315719999999999</v>
      </c>
      <c r="J4592">
        <v>-411.28829999999999</v>
      </c>
      <c r="K4592">
        <v>1.114471</v>
      </c>
      <c r="L4592">
        <v>27.464109999999899</v>
      </c>
      <c r="M4592">
        <v>0.79870889999999894</v>
      </c>
      <c r="N4592">
        <v>0</v>
      </c>
      <c r="O4592">
        <v>-0.601531699999999</v>
      </c>
      <c r="P4592">
        <v>0.93907430000000003</v>
      </c>
      <c r="Q4592">
        <v>4.3687549999999999E-2</v>
      </c>
      <c r="R4592">
        <v>-0.34092659999999902</v>
      </c>
      <c r="S4592">
        <v>2.86901899999999</v>
      </c>
      <c r="T4592">
        <v>-0.24298890000000001</v>
      </c>
      <c r="U4592">
        <v>-0.92965699999999996</v>
      </c>
      <c r="V4592">
        <v>-0.2939177</v>
      </c>
      <c r="W4592">
        <v>5.0960699999999998E-2</v>
      </c>
      <c r="X4592">
        <v>0.95447130000000002</v>
      </c>
      <c r="Y4592">
        <v>-0.32342179999999998</v>
      </c>
      <c r="Z4592">
        <v>5.9049049999999999E-2</v>
      </c>
      <c r="AA4592">
        <v>0.94441070000000005</v>
      </c>
      <c r="AB4592">
        <v>30</v>
      </c>
      <c r="AC4592">
        <v>12.9955999999999</v>
      </c>
      <c r="AD4592">
        <v>-1.1144727718409999</v>
      </c>
      <c r="AE4592">
        <v>-4.1483899999999903</v>
      </c>
      <c r="AF4592">
        <v>-4.4745487929960399</v>
      </c>
      <c r="AG4592">
        <v>-1.1144727718409999</v>
      </c>
      <c r="AH4592">
        <v>12.791157994138601</v>
      </c>
      <c r="AI4592">
        <v>94.701513794733799</v>
      </c>
      <c r="AJ4592">
        <v>109.28064206544801</v>
      </c>
      <c r="AK4592">
        <v>13.5969613991911</v>
      </c>
    </row>
    <row r="4593" spans="1:37" x14ac:dyDescent="0.2">
      <c r="A4593" t="str">
        <f>"20200111153743745"</f>
        <v>20200111153743745</v>
      </c>
      <c r="B4593" t="str">
        <f>"1578728263737969"</f>
        <v>1578728263737969</v>
      </c>
      <c r="C4593" t="s">
        <v>37</v>
      </c>
      <c r="D4593">
        <v>6.2370380000000001</v>
      </c>
      <c r="E4593">
        <v>0.4831028</v>
      </c>
      <c r="F4593" t="s">
        <v>39</v>
      </c>
      <c r="G4593">
        <v>-398.17500000000001</v>
      </c>
      <c r="H4593" s="1">
        <v>-1.8225669999999899E-6</v>
      </c>
      <c r="I4593">
        <v>23.29721</v>
      </c>
      <c r="J4593">
        <v>-411.12009999999998</v>
      </c>
      <c r="K4593">
        <v>1.114341</v>
      </c>
      <c r="L4593">
        <v>27.34732</v>
      </c>
      <c r="M4593">
        <v>0.8035774</v>
      </c>
      <c r="N4593">
        <v>0</v>
      </c>
      <c r="O4593">
        <v>-0.59501269999999995</v>
      </c>
      <c r="P4593">
        <v>0.94159839999999995</v>
      </c>
      <c r="Q4593">
        <v>4.3734330000000002E-2</v>
      </c>
      <c r="R4593">
        <v>-0.33388629999999903</v>
      </c>
      <c r="S4593">
        <v>2.8744509999999899</v>
      </c>
      <c r="T4593">
        <v>-0.24429400000000001</v>
      </c>
      <c r="U4593">
        <v>-0.91339110000000001</v>
      </c>
      <c r="V4593">
        <v>-0.29327920000000002</v>
      </c>
      <c r="W4593">
        <v>5.10988E-2</v>
      </c>
      <c r="X4593">
        <v>0.95466019999999896</v>
      </c>
      <c r="Y4593">
        <v>-0.32109120000000002</v>
      </c>
      <c r="Z4593">
        <v>5.881778E-2</v>
      </c>
      <c r="AA4593">
        <v>0.94522009999999901</v>
      </c>
      <c r="AB4593">
        <v>30</v>
      </c>
      <c r="AC4593">
        <v>12.945099999999901</v>
      </c>
      <c r="AD4593">
        <v>-1.114342822567</v>
      </c>
      <c r="AE4593">
        <v>-4.0501100000000001</v>
      </c>
      <c r="AF4593">
        <v>-4.4185954624536601</v>
      </c>
      <c r="AG4593">
        <v>-1.114342822567</v>
      </c>
      <c r="AH4593">
        <v>12.7277813689029</v>
      </c>
      <c r="AI4593">
        <v>94.728150929671202</v>
      </c>
      <c r="AJ4593">
        <v>109.145031756913</v>
      </c>
      <c r="AK4593">
        <v>13.518955742275899</v>
      </c>
    </row>
    <row r="4594" spans="1:37" x14ac:dyDescent="0.2">
      <c r="A4594" t="str">
        <f>"20200111153743757"</f>
        <v>20200111153743757</v>
      </c>
      <c r="B4594" t="str">
        <f>"1578728263747731"</f>
        <v>1578728263747731</v>
      </c>
      <c r="C4594" t="s">
        <v>37</v>
      </c>
      <c r="D4594">
        <v>6.2044920000000001</v>
      </c>
      <c r="E4594">
        <v>0.48351509999999998</v>
      </c>
      <c r="F4594" t="s">
        <v>39</v>
      </c>
      <c r="G4594">
        <v>-398.03930000000003</v>
      </c>
      <c r="H4594" s="1">
        <v>-1.8799749999999999E-6</v>
      </c>
      <c r="I4594">
        <v>23.27187</v>
      </c>
      <c r="J4594">
        <v>-410.98180000000002</v>
      </c>
      <c r="K4594">
        <v>1.1142219999999901</v>
      </c>
      <c r="L4594">
        <v>27.25253</v>
      </c>
      <c r="M4594">
        <v>0.80746969999999996</v>
      </c>
      <c r="N4594">
        <v>0</v>
      </c>
      <c r="O4594">
        <v>-0.58972080000000004</v>
      </c>
      <c r="P4594">
        <v>0.94357659999999999</v>
      </c>
      <c r="Q4594">
        <v>4.3735629999999998E-2</v>
      </c>
      <c r="R4594">
        <v>-0.32825379999999998</v>
      </c>
      <c r="S4594">
        <v>2.8793639999999998</v>
      </c>
      <c r="T4594">
        <v>-0.24529099999999901</v>
      </c>
      <c r="U4594">
        <v>-0.89709470000000002</v>
      </c>
      <c r="V4594">
        <v>-0.29269529999999999</v>
      </c>
      <c r="W4594">
        <v>5.1182610000000003E-2</v>
      </c>
      <c r="X4594">
        <v>0.95483499999999999</v>
      </c>
      <c r="Y4594">
        <v>-0.32020209999999999</v>
      </c>
      <c r="Z4594">
        <v>5.8652309999999999E-2</v>
      </c>
      <c r="AA4594">
        <v>0.94553189999999998</v>
      </c>
      <c r="AB4594">
        <v>30</v>
      </c>
      <c r="AC4594">
        <v>12.9424999999999</v>
      </c>
      <c r="AD4594">
        <v>-1.11422387997499</v>
      </c>
      <c r="AE4594">
        <v>-3.9806599999999999</v>
      </c>
      <c r="AF4594">
        <v>-4.3889719029810497</v>
      </c>
      <c r="AG4594">
        <v>-1.11422387997499</v>
      </c>
      <c r="AH4594">
        <v>12.713492401322901</v>
      </c>
      <c r="AI4594">
        <v>94.735764232169601</v>
      </c>
      <c r="AJ4594">
        <v>109.045778686904</v>
      </c>
      <c r="AK4594">
        <v>13.4958311436665</v>
      </c>
    </row>
    <row r="4595" spans="1:37" x14ac:dyDescent="0.2">
      <c r="A4595" t="str">
        <f>"20200111153743776"</f>
        <v>20200111153743776</v>
      </c>
      <c r="B4595" t="str">
        <f>"1578728263768225"</f>
        <v>1578728263768225</v>
      </c>
      <c r="C4595" t="s">
        <v>37</v>
      </c>
      <c r="D4595">
        <v>6.2686120000000001</v>
      </c>
      <c r="E4595">
        <v>0.48422280000000001</v>
      </c>
      <c r="F4595" t="s">
        <v>39</v>
      </c>
      <c r="G4595">
        <v>-397.981999999999</v>
      </c>
      <c r="H4595" s="1">
        <v>-1.906582E-6</v>
      </c>
      <c r="I4595">
        <v>23.270039999999899</v>
      </c>
      <c r="J4595">
        <v>-410.7869</v>
      </c>
      <c r="K4595">
        <v>1.114036</v>
      </c>
      <c r="L4595">
        <v>27.121400000000001</v>
      </c>
      <c r="M4595">
        <v>0.81274380000000002</v>
      </c>
      <c r="N4595">
        <v>0</v>
      </c>
      <c r="O4595">
        <v>-0.58243140000000004</v>
      </c>
      <c r="P4595">
        <v>0.94608530000000002</v>
      </c>
      <c r="Q4595">
        <v>4.3546950000000001E-2</v>
      </c>
      <c r="R4595">
        <v>-0.32097769999999998</v>
      </c>
      <c r="S4595">
        <v>2.8835139999999999</v>
      </c>
      <c r="T4595">
        <v>-0.24714729999999999</v>
      </c>
      <c r="U4595">
        <v>-0.88336179999999997</v>
      </c>
      <c r="V4595">
        <v>-0.29143140000000001</v>
      </c>
      <c r="W4595">
        <v>5.1131650000000001E-2</v>
      </c>
      <c r="X4595">
        <v>0.95522419999999997</v>
      </c>
      <c r="Y4595">
        <v>-0.31616850000000002</v>
      </c>
      <c r="Z4595">
        <v>5.8426180000000001E-2</v>
      </c>
      <c r="AA4595">
        <v>0.94690229999999997</v>
      </c>
      <c r="AB4595">
        <v>30</v>
      </c>
      <c r="AC4595">
        <v>12.8049</v>
      </c>
      <c r="AD4595">
        <v>-1.1140379065820001</v>
      </c>
      <c r="AE4595">
        <v>-3.8513600000000001</v>
      </c>
      <c r="AF4595">
        <v>-4.2984490550065297</v>
      </c>
      <c r="AG4595">
        <v>-1.1140379065820001</v>
      </c>
      <c r="AH4595">
        <v>12.5644426618233</v>
      </c>
      <c r="AI4595">
        <v>94.795447198386299</v>
      </c>
      <c r="AJ4595">
        <v>108.886442909596</v>
      </c>
      <c r="AK4595">
        <v>13.3260258193519</v>
      </c>
    </row>
    <row r="4596" spans="1:37" x14ac:dyDescent="0.2">
      <c r="A4596" t="str">
        <f>"20200111153743799"</f>
        <v>20200111153743799</v>
      </c>
      <c r="B4596" t="str">
        <f>"1578728263787748"</f>
        <v>1578728263787748</v>
      </c>
      <c r="C4596" t="s">
        <v>37</v>
      </c>
      <c r="D4596">
        <v>6.3356899999999996</v>
      </c>
      <c r="E4596">
        <v>0.49588939999999998</v>
      </c>
      <c r="F4596" t="s">
        <v>39</v>
      </c>
      <c r="G4596">
        <v>-397.9135</v>
      </c>
      <c r="H4596" s="1">
        <v>-1.9357509999999999E-6</v>
      </c>
      <c r="I4596">
        <v>23.25797</v>
      </c>
      <c r="J4596">
        <v>-410.53449999999998</v>
      </c>
      <c r="K4596">
        <v>1.113767</v>
      </c>
      <c r="L4596">
        <v>26.95468</v>
      </c>
      <c r="M4596">
        <v>0.8192661</v>
      </c>
      <c r="N4596">
        <v>0</v>
      </c>
      <c r="O4596">
        <v>-0.5732216</v>
      </c>
      <c r="P4596">
        <v>0.94922109999999904</v>
      </c>
      <c r="Q4596">
        <v>4.2959890000000001E-2</v>
      </c>
      <c r="R4596">
        <v>-0.31166319999999997</v>
      </c>
      <c r="S4596">
        <v>2.8883669999999899</v>
      </c>
      <c r="T4596">
        <v>-0.24995200000000001</v>
      </c>
      <c r="U4596">
        <v>-0.86682130000000002</v>
      </c>
      <c r="V4596">
        <v>-0.2900045</v>
      </c>
      <c r="W4596">
        <v>5.0732590000000001E-2</v>
      </c>
      <c r="X4596">
        <v>0.95567969999999902</v>
      </c>
      <c r="Y4596">
        <v>-0.31085459999999998</v>
      </c>
      <c r="Z4596">
        <v>5.8221370000000001E-2</v>
      </c>
      <c r="AA4596">
        <v>0.94867259999999998</v>
      </c>
      <c r="AB4596">
        <v>30</v>
      </c>
      <c r="AC4596">
        <v>12.620999999999899</v>
      </c>
      <c r="AD4596">
        <v>-1.1137689357510001</v>
      </c>
      <c r="AE4596">
        <v>-3.6967099999999999</v>
      </c>
      <c r="AF4596">
        <v>-4.1765481756997902</v>
      </c>
      <c r="AG4596">
        <v>-1.1137689357510001</v>
      </c>
      <c r="AH4596">
        <v>12.371629919937201</v>
      </c>
      <c r="AI4596">
        <v>94.875336686959201</v>
      </c>
      <c r="AJ4596">
        <v>108.654207980506</v>
      </c>
      <c r="AK4596">
        <v>13.1050090721857</v>
      </c>
    </row>
    <row r="4597" spans="1:37" x14ac:dyDescent="0.2">
      <c r="A4597" t="str">
        <f>"20200111153743814"</f>
        <v>20200111153743814</v>
      </c>
      <c r="B4597" t="str">
        <f>"1578728263808242"</f>
        <v>1578728263808242</v>
      </c>
      <c r="C4597" t="s">
        <v>37</v>
      </c>
      <c r="D4597">
        <v>6.2611480000000004</v>
      </c>
      <c r="E4597">
        <v>0.49705450000000001</v>
      </c>
      <c r="F4597" t="s">
        <v>39</v>
      </c>
      <c r="G4597">
        <v>-398.15219999999999</v>
      </c>
      <c r="H4597" s="1">
        <v>-1.7407990000000001E-6</v>
      </c>
      <c r="I4597">
        <v>22.949349999999999</v>
      </c>
      <c r="J4597">
        <v>-410.37509999999997</v>
      </c>
      <c r="K4597">
        <v>1.1135809999999999</v>
      </c>
      <c r="L4597">
        <v>26.851679999999899</v>
      </c>
      <c r="M4597">
        <v>0.82316749999999905</v>
      </c>
      <c r="N4597">
        <v>0</v>
      </c>
      <c r="O4597">
        <v>-0.56760580000000005</v>
      </c>
      <c r="P4597">
        <v>0.95105090000000003</v>
      </c>
      <c r="Q4597">
        <v>4.2466749999999998E-2</v>
      </c>
      <c r="R4597">
        <v>-0.30610349999999997</v>
      </c>
      <c r="S4597">
        <v>2.8675839999999999</v>
      </c>
      <c r="T4597">
        <v>-0.2579341</v>
      </c>
      <c r="U4597">
        <v>-0.92758180000000001</v>
      </c>
      <c r="V4597">
        <v>-0.28903859999999998</v>
      </c>
      <c r="W4597">
        <v>5.0365890000000003E-2</v>
      </c>
      <c r="X4597">
        <v>0.95599159999999905</v>
      </c>
      <c r="Y4597">
        <v>-0.2839565</v>
      </c>
      <c r="Z4597">
        <v>5.8666499999999899E-2</v>
      </c>
      <c r="AA4597">
        <v>0.95704069999999997</v>
      </c>
      <c r="AB4597">
        <v>30</v>
      </c>
      <c r="AC4597">
        <v>12.2228999999999</v>
      </c>
      <c r="AD4597">
        <v>-1.113582740799</v>
      </c>
      <c r="AE4597">
        <v>-3.9023299999999899</v>
      </c>
      <c r="AF4597">
        <v>-3.6980696323148798</v>
      </c>
      <c r="AG4597">
        <v>-1.113582740799</v>
      </c>
      <c r="AH4597">
        <v>12.1860311672046</v>
      </c>
      <c r="AI4597">
        <v>94.997465234401503</v>
      </c>
      <c r="AJ4597">
        <v>106.88136121984</v>
      </c>
      <c r="AK4597">
        <v>12.7833931776402</v>
      </c>
    </row>
    <row r="4598" spans="1:37" x14ac:dyDescent="0.2">
      <c r="A4598" t="str">
        <f>"20200111153743843"</f>
        <v>20200111153743843</v>
      </c>
      <c r="B4598" t="str">
        <f>"1578728263837522"</f>
        <v>1578728263837522</v>
      </c>
      <c r="C4598" t="s">
        <v>37</v>
      </c>
      <c r="D4598">
        <v>5.9976010000000004</v>
      </c>
      <c r="E4598">
        <v>0.49725459999999899</v>
      </c>
      <c r="F4598" t="s">
        <v>39</v>
      </c>
      <c r="G4598">
        <v>-399.26850000000002</v>
      </c>
      <c r="H4598" s="1">
        <v>-1.3027930000000001E-6</v>
      </c>
      <c r="I4598">
        <v>23.286439999999999</v>
      </c>
      <c r="J4598">
        <v>-410.04790000000003</v>
      </c>
      <c r="K4598">
        <v>1.1131789999999999</v>
      </c>
      <c r="L4598">
        <v>26.643799999999999</v>
      </c>
      <c r="M4598">
        <v>0.83077529999999999</v>
      </c>
      <c r="N4598">
        <v>0</v>
      </c>
      <c r="O4598">
        <v>-0.55641289999999999</v>
      </c>
      <c r="P4598">
        <v>0.95453880000000002</v>
      </c>
      <c r="Q4598">
        <v>4.114172E-2</v>
      </c>
      <c r="R4598">
        <v>-0.29523379999999999</v>
      </c>
      <c r="S4598">
        <v>2.8706360000000002</v>
      </c>
      <c r="T4598">
        <v>-0.28781809999999902</v>
      </c>
      <c r="U4598">
        <v>-0.92147829999999997</v>
      </c>
      <c r="V4598">
        <v>-0.28695749999999998</v>
      </c>
      <c r="W4598">
        <v>4.9307669999999998E-2</v>
      </c>
      <c r="X4598">
        <v>0.95667349999999995</v>
      </c>
      <c r="Y4598">
        <v>-0.27251570000000003</v>
      </c>
      <c r="Z4598">
        <v>6.3965569999999999E-2</v>
      </c>
      <c r="AA4598">
        <v>0.96002269999999901</v>
      </c>
      <c r="AB4598">
        <v>30</v>
      </c>
      <c r="AC4598">
        <v>10.779400000000001</v>
      </c>
      <c r="AD4598">
        <v>-1.1131803027930001</v>
      </c>
      <c r="AE4598">
        <v>-3.3573599999999999</v>
      </c>
      <c r="AF4598">
        <v>-3.1780385582668602</v>
      </c>
      <c r="AG4598">
        <v>-1.1131803027930001</v>
      </c>
      <c r="AH4598">
        <v>10.7202955907714</v>
      </c>
      <c r="AI4598">
        <v>95.685407460326701</v>
      </c>
      <c r="AJ4598">
        <v>106.512490919342</v>
      </c>
      <c r="AK4598">
        <v>11.236718249465399</v>
      </c>
    </row>
    <row r="4599" spans="1:37" x14ac:dyDescent="0.2">
      <c r="A4599" t="str">
        <f>"20200111153743866"</f>
        <v>20200111153743866</v>
      </c>
      <c r="B4599" t="str">
        <f>"1578728263858020"</f>
        <v>1578728263858020</v>
      </c>
      <c r="C4599" t="s">
        <v>37</v>
      </c>
      <c r="D4599">
        <v>6.3901810000000001</v>
      </c>
      <c r="E4599">
        <v>0.498057799999999</v>
      </c>
      <c r="F4599" t="s">
        <v>39</v>
      </c>
      <c r="G4599">
        <v>-399.00420000000003</v>
      </c>
      <c r="H4599" s="1">
        <v>-1.4120739999999999E-6</v>
      </c>
      <c r="I4599">
        <v>23.227509999999999</v>
      </c>
      <c r="J4599">
        <v>-409.7894</v>
      </c>
      <c r="K4599">
        <v>1.1128739999999999</v>
      </c>
      <c r="L4599">
        <v>26.483640000000001</v>
      </c>
      <c r="M4599">
        <v>0.83637329999999999</v>
      </c>
      <c r="N4599">
        <v>0</v>
      </c>
      <c r="O4599">
        <v>-0.54796400000000001</v>
      </c>
      <c r="P4599">
        <v>0.957148</v>
      </c>
      <c r="Q4599">
        <v>4.0653740000000001E-2</v>
      </c>
      <c r="R4599">
        <v>-0.28673280000000001</v>
      </c>
      <c r="S4599">
        <v>2.879883</v>
      </c>
      <c r="T4599">
        <v>-0.29028549999999997</v>
      </c>
      <c r="U4599">
        <v>-0.89086909999999897</v>
      </c>
      <c r="V4599">
        <v>-0.28573209999999999</v>
      </c>
      <c r="W4599">
        <v>4.9012399999999998E-2</v>
      </c>
      <c r="X4599">
        <v>0.9570554</v>
      </c>
      <c r="Y4599">
        <v>-0.27292450000000001</v>
      </c>
      <c r="Z4599">
        <v>6.3800990000000002E-2</v>
      </c>
      <c r="AA4599">
        <v>0.95991749999999998</v>
      </c>
      <c r="AB4599">
        <v>30</v>
      </c>
      <c r="AC4599">
        <v>10.7851999999999</v>
      </c>
      <c r="AD4599">
        <v>-1.1128754120739901</v>
      </c>
      <c r="AE4599">
        <v>-3.25612999999999</v>
      </c>
      <c r="AF4599">
        <v>-3.1561072585274199</v>
      </c>
      <c r="AG4599">
        <v>-1.1128754120739901</v>
      </c>
      <c r="AH4599">
        <v>10.7014351455346</v>
      </c>
      <c r="AI4599">
        <v>95.6961610102869</v>
      </c>
      <c r="AJ4599">
        <v>106.432039480162</v>
      </c>
      <c r="AK4599">
        <v>11.212502793052501</v>
      </c>
    </row>
    <row r="4600" spans="1:37" x14ac:dyDescent="0.2">
      <c r="A4600" t="str">
        <f>"20200111153743880"</f>
        <v>20200111153743880</v>
      </c>
      <c r="B4600" t="str">
        <f>"1578728263867778"</f>
        <v>1578728263867778</v>
      </c>
      <c r="C4600" t="s">
        <v>37</v>
      </c>
      <c r="D4600">
        <v>6.221965</v>
      </c>
      <c r="E4600">
        <v>0.49798919999999902</v>
      </c>
      <c r="F4600" t="s">
        <v>39</v>
      </c>
      <c r="G4600">
        <v>-398.74369999999999</v>
      </c>
      <c r="H4600" s="1">
        <v>-1.5133809999999899E-6</v>
      </c>
      <c r="I4600">
        <v>23.14555</v>
      </c>
      <c r="J4600">
        <v>-409.63220000000001</v>
      </c>
      <c r="K4600">
        <v>1.112695</v>
      </c>
      <c r="L4600">
        <v>26.387450000000001</v>
      </c>
      <c r="M4600">
        <v>0.83964289999999997</v>
      </c>
      <c r="N4600">
        <v>0</v>
      </c>
      <c r="O4600">
        <v>-0.54294189999999998</v>
      </c>
      <c r="P4600">
        <v>0.95864570000000005</v>
      </c>
      <c r="Q4600">
        <v>4.0474620000000003E-2</v>
      </c>
      <c r="R4600">
        <v>-0.28171020000000002</v>
      </c>
      <c r="S4600">
        <v>2.8853759999999999</v>
      </c>
      <c r="T4600">
        <v>-0.29070600000000002</v>
      </c>
      <c r="U4600">
        <v>-0.87197880000000005</v>
      </c>
      <c r="V4600">
        <v>-0.28499170000000001</v>
      </c>
      <c r="W4600">
        <v>4.8945240000000001E-2</v>
      </c>
      <c r="X4600">
        <v>0.95727949999999995</v>
      </c>
      <c r="Y4600">
        <v>-0.27343449999999903</v>
      </c>
      <c r="Z4600">
        <v>6.3481930000000006E-2</v>
      </c>
      <c r="AA4600">
        <v>0.95979360000000002</v>
      </c>
      <c r="AB4600">
        <v>30</v>
      </c>
      <c r="AC4600">
        <v>10.888500000000001</v>
      </c>
      <c r="AD4600">
        <v>-1.1126965133810001</v>
      </c>
      <c r="AE4600">
        <v>-3.2418999999999998</v>
      </c>
      <c r="AF4600">
        <v>-3.1598153268098201</v>
      </c>
      <c r="AG4600">
        <v>-1.1126965133810001</v>
      </c>
      <c r="AH4600">
        <v>10.800180865232001</v>
      </c>
      <c r="AI4600">
        <v>95.647086547481507</v>
      </c>
      <c r="AJ4600">
        <v>106.307923871407</v>
      </c>
      <c r="AK4600">
        <v>11.307804081790399</v>
      </c>
    </row>
    <row r="4601" spans="1:37" x14ac:dyDescent="0.2">
      <c r="A4601" t="str">
        <f>"20200111153743895"</f>
        <v>20200111153743895</v>
      </c>
      <c r="B4601" t="str">
        <f>"1578728263888274"</f>
        <v>1578728263888274</v>
      </c>
      <c r="C4601" t="s">
        <v>37</v>
      </c>
      <c r="D4601">
        <v>6.2677180000000003</v>
      </c>
      <c r="E4601">
        <v>0.49872349999999999</v>
      </c>
      <c r="F4601" t="s">
        <v>39</v>
      </c>
      <c r="G4601">
        <v>-398.55</v>
      </c>
      <c r="H4601" s="1">
        <v>-1.5935249999999999E-6</v>
      </c>
      <c r="I4601">
        <v>23.102729999999902</v>
      </c>
      <c r="J4601">
        <v>-409.46210000000002</v>
      </c>
      <c r="K4601">
        <v>1.1125179999999999</v>
      </c>
      <c r="L4601">
        <v>26.285059999999898</v>
      </c>
      <c r="M4601">
        <v>0.84302999999999995</v>
      </c>
      <c r="N4601">
        <v>0</v>
      </c>
      <c r="O4601">
        <v>-0.53766849999999999</v>
      </c>
      <c r="P4601">
        <v>0.96027719999999905</v>
      </c>
      <c r="Q4601">
        <v>4.0152340000000002E-2</v>
      </c>
      <c r="R4601">
        <v>-0.27614379999999999</v>
      </c>
      <c r="S4601">
        <v>2.889923</v>
      </c>
      <c r="T4601">
        <v>-0.29016160000000002</v>
      </c>
      <c r="U4601">
        <v>-0.85656739999999998</v>
      </c>
      <c r="V4601">
        <v>-0.28452369999999999</v>
      </c>
      <c r="W4601">
        <v>4.872663E-2</v>
      </c>
      <c r="X4601">
        <v>0.95742989999999994</v>
      </c>
      <c r="Y4601">
        <v>-0.27256279999999999</v>
      </c>
      <c r="Z4601">
        <v>6.2867350000000002E-2</v>
      </c>
      <c r="AA4601">
        <v>0.96008189999999904</v>
      </c>
      <c r="AB4601">
        <v>30</v>
      </c>
      <c r="AC4601">
        <v>10.912100000000001</v>
      </c>
      <c r="AD4601">
        <v>-1.1125195935250001</v>
      </c>
      <c r="AE4601">
        <v>-3.1823299999999999</v>
      </c>
      <c r="AF4601">
        <v>-3.1544138327256501</v>
      </c>
      <c r="AG4601">
        <v>-1.1125195935250001</v>
      </c>
      <c r="AH4601">
        <v>10.8078927411067</v>
      </c>
      <c r="AI4601">
        <v>95.643261109768403</v>
      </c>
      <c r="AJ4601">
        <v>106.27052164098799</v>
      </c>
      <c r="AK4601">
        <v>11.313645388526901</v>
      </c>
    </row>
    <row r="4602" spans="1:37" x14ac:dyDescent="0.2">
      <c r="A4602" t="str">
        <f>"20200111153743910"</f>
        <v>20200111153743910</v>
      </c>
      <c r="B4602" t="str">
        <f>"1578728263907794"</f>
        <v>1578728263907794</v>
      </c>
      <c r="C4602" t="s">
        <v>37</v>
      </c>
      <c r="D4602">
        <v>6.0524459999999998</v>
      </c>
      <c r="E4602">
        <v>0.49882690000000002</v>
      </c>
      <c r="F4602" t="s">
        <v>39</v>
      </c>
      <c r="G4602">
        <v>-398.49680000000001</v>
      </c>
      <c r="H4602" s="1">
        <v>-1.6123429999999999E-6</v>
      </c>
      <c r="I4602">
        <v>23.07891</v>
      </c>
      <c r="J4602">
        <v>-409.2928</v>
      </c>
      <c r="K4602">
        <v>1.1123510000000001</v>
      </c>
      <c r="L4602">
        <v>26.184449999999998</v>
      </c>
      <c r="M4602">
        <v>0.84627859999999999</v>
      </c>
      <c r="N4602">
        <v>0</v>
      </c>
      <c r="O4602">
        <v>-0.5325413</v>
      </c>
      <c r="P4602">
        <v>0.96146540000000003</v>
      </c>
      <c r="Q4602">
        <v>3.9636159999999997E-2</v>
      </c>
      <c r="R4602">
        <v>-0.27205409999999902</v>
      </c>
      <c r="S4602">
        <v>2.893097</v>
      </c>
      <c r="T4602">
        <v>-0.29352929999999999</v>
      </c>
      <c r="U4602">
        <v>-0.84591669999999997</v>
      </c>
      <c r="V4602">
        <v>-0.28276590000000001</v>
      </c>
      <c r="W4602">
        <v>4.8339899999999998E-2</v>
      </c>
      <c r="X4602">
        <v>0.95797009999999905</v>
      </c>
      <c r="Y4602">
        <v>-0.27021659999999997</v>
      </c>
      <c r="Z4602">
        <v>6.3036549999999997E-2</v>
      </c>
      <c r="AA4602">
        <v>0.96073379999999997</v>
      </c>
      <c r="AB4602">
        <v>30</v>
      </c>
      <c r="AC4602">
        <v>10.7959999999999</v>
      </c>
      <c r="AD4602">
        <v>-1.1123526123430001</v>
      </c>
      <c r="AE4602">
        <v>-3.1055399999999902</v>
      </c>
      <c r="AF4602">
        <v>-3.0911871511656801</v>
      </c>
      <c r="AG4602">
        <v>-1.1123526123430001</v>
      </c>
      <c r="AH4602">
        <v>10.6866189576915</v>
      </c>
      <c r="AI4602">
        <v>95.709987373611398</v>
      </c>
      <c r="AJ4602">
        <v>106.132921561952</v>
      </c>
      <c r="AK4602">
        <v>11.180187435128699</v>
      </c>
    </row>
    <row r="4603" spans="1:37" x14ac:dyDescent="0.2">
      <c r="A4603" t="str">
        <f>"20200111153743925"</f>
        <v>20200111153743925</v>
      </c>
      <c r="B4603" t="str">
        <f>"1578728263917554"</f>
        <v>1578728263917554</v>
      </c>
      <c r="C4603" t="s">
        <v>37</v>
      </c>
      <c r="D4603">
        <v>6.0081579999999999</v>
      </c>
      <c r="E4603">
        <v>0.49907889999999999</v>
      </c>
      <c r="F4603" t="s">
        <v>39</v>
      </c>
      <c r="G4603">
        <v>-398.66210000000001</v>
      </c>
      <c r="H4603" s="1">
        <v>-1.544892E-6</v>
      </c>
      <c r="I4603">
        <v>23.118980000000001</v>
      </c>
      <c r="J4603">
        <v>-409.13189999999997</v>
      </c>
      <c r="K4603">
        <v>1.1121889999999901</v>
      </c>
      <c r="L4603">
        <v>26.089870000000001</v>
      </c>
      <c r="M4603">
        <v>0.84926270000000004</v>
      </c>
      <c r="N4603">
        <v>0</v>
      </c>
      <c r="O4603">
        <v>-0.52777069999999904</v>
      </c>
      <c r="P4603">
        <v>0.96288560000000001</v>
      </c>
      <c r="Q4603">
        <v>3.9628179999999999E-2</v>
      </c>
      <c r="R4603">
        <v>-0.26698529999999998</v>
      </c>
      <c r="S4603">
        <v>2.8963930000000002</v>
      </c>
      <c r="T4603">
        <v>-0.30306719999999998</v>
      </c>
      <c r="U4603">
        <v>-0.83520509999999903</v>
      </c>
      <c r="V4603">
        <v>-0.28240110000000002</v>
      </c>
      <c r="W4603">
        <v>4.8424679999999998E-2</v>
      </c>
      <c r="X4603">
        <v>0.95807339999999996</v>
      </c>
      <c r="Y4603">
        <v>-0.26817550000000001</v>
      </c>
      <c r="Z4603">
        <v>6.4540719999999996E-2</v>
      </c>
      <c r="AA4603">
        <v>0.96120569999999905</v>
      </c>
      <c r="AB4603">
        <v>30</v>
      </c>
      <c r="AC4603">
        <v>10.4697999999999</v>
      </c>
      <c r="AD4603">
        <v>-1.112190544892</v>
      </c>
      <c r="AE4603">
        <v>-2.9708899999999998</v>
      </c>
      <c r="AF4603">
        <v>-2.9718674339232201</v>
      </c>
      <c r="AG4603">
        <v>-1.112190544892</v>
      </c>
      <c r="AH4603">
        <v>10.352545106716301</v>
      </c>
      <c r="AI4603">
        <v>95.895530143957004</v>
      </c>
      <c r="AJ4603">
        <v>106.016991756634</v>
      </c>
      <c r="AK4603">
        <v>10.8279339691169</v>
      </c>
    </row>
    <row r="4604" spans="1:37" x14ac:dyDescent="0.2">
      <c r="A4604" t="str">
        <f>"20200111153743944"</f>
        <v>20200111153743944</v>
      </c>
      <c r="B4604" t="str">
        <f>"1578728263938049"</f>
        <v>1578728263938049</v>
      </c>
      <c r="C4604" t="s">
        <v>37</v>
      </c>
      <c r="D4604">
        <v>6.0857669999999997</v>
      </c>
      <c r="E4604">
        <v>0.49986419999999998</v>
      </c>
      <c r="F4604" t="s">
        <v>39</v>
      </c>
      <c r="G4604">
        <v>-398.61880000000002</v>
      </c>
      <c r="H4604" s="1">
        <v>-1.5627849999999999E-6</v>
      </c>
      <c r="I4604">
        <v>23.109359999999999</v>
      </c>
      <c r="J4604">
        <v>-408.91809999999998</v>
      </c>
      <c r="K4604">
        <v>1.1119699999999999</v>
      </c>
      <c r="L4604">
        <v>25.965820000000001</v>
      </c>
      <c r="M4604">
        <v>0.85305909999999996</v>
      </c>
      <c r="N4604">
        <v>0</v>
      </c>
      <c r="O4604">
        <v>-0.52161329999999995</v>
      </c>
      <c r="P4604">
        <v>0.96444549999999996</v>
      </c>
      <c r="Q4604">
        <v>4.0186279999999998E-2</v>
      </c>
      <c r="R4604">
        <v>-0.26120850000000001</v>
      </c>
      <c r="S4604">
        <v>2.9002379999999999</v>
      </c>
      <c r="T4604">
        <v>-0.30681999999999998</v>
      </c>
      <c r="U4604">
        <v>-0.8222351</v>
      </c>
      <c r="V4604">
        <v>-0.2811824</v>
      </c>
      <c r="W4604">
        <v>4.9122890000000002E-2</v>
      </c>
      <c r="X4604">
        <v>0.95839629999999998</v>
      </c>
      <c r="Y4604">
        <v>-0.2654724</v>
      </c>
      <c r="Z4604">
        <v>6.4637169999999994E-2</v>
      </c>
      <c r="AA4604">
        <v>0.96194930000000001</v>
      </c>
      <c r="AB4604">
        <v>30</v>
      </c>
      <c r="AC4604">
        <v>10.299299999999899</v>
      </c>
      <c r="AD4604">
        <v>-1.111971562785</v>
      </c>
      <c r="AE4604">
        <v>-2.85645999999999</v>
      </c>
      <c r="AF4604">
        <v>-2.9043933589925799</v>
      </c>
      <c r="AG4604">
        <v>-1.111971562785</v>
      </c>
      <c r="AH4604">
        <v>10.166910113825001</v>
      </c>
      <c r="AI4604">
        <v>96.0034231780987</v>
      </c>
      <c r="AJ4604">
        <v>105.94311327819401</v>
      </c>
      <c r="AK4604">
        <v>10.631935045080001</v>
      </c>
    </row>
    <row r="4605" spans="1:37" x14ac:dyDescent="0.2">
      <c r="A4605" t="str">
        <f>"20200111153743958"</f>
        <v>20200111153743958</v>
      </c>
      <c r="B4605" t="str">
        <f>"1578728263947809"</f>
        <v>1578728263947809</v>
      </c>
      <c r="C4605" t="s">
        <v>37</v>
      </c>
      <c r="D4605">
        <v>5.9872550000000002</v>
      </c>
      <c r="E4605">
        <v>0.50033459999999996</v>
      </c>
      <c r="F4605" t="s">
        <v>39</v>
      </c>
      <c r="G4605">
        <v>-398.38690000000003</v>
      </c>
      <c r="H4605" s="1">
        <v>-1.6493029999999999E-6</v>
      </c>
      <c r="I4605">
        <v>23.022579999999898</v>
      </c>
      <c r="J4605">
        <v>-408.74369999999999</v>
      </c>
      <c r="K4605">
        <v>1.111788</v>
      </c>
      <c r="L4605">
        <v>25.865879999999901</v>
      </c>
      <c r="M4605">
        <v>0.85603549999999995</v>
      </c>
      <c r="N4605">
        <v>0</v>
      </c>
      <c r="O4605">
        <v>-0.51671499999999904</v>
      </c>
      <c r="P4605">
        <v>0.96570710000000004</v>
      </c>
      <c r="Q4605">
        <v>4.0237130000000003E-2</v>
      </c>
      <c r="R4605">
        <v>-0.2564979</v>
      </c>
      <c r="S4605">
        <v>2.9035950000000001</v>
      </c>
      <c r="T4605">
        <v>-0.30658600000000003</v>
      </c>
      <c r="U4605">
        <v>-0.81149289999999996</v>
      </c>
      <c r="V4605">
        <v>-0.28034290000000001</v>
      </c>
      <c r="W4605">
        <v>4.9285759999999998E-2</v>
      </c>
      <c r="X4605">
        <v>0.95863379999999998</v>
      </c>
      <c r="Y4605">
        <v>-0.26357579999999903</v>
      </c>
      <c r="Z4605">
        <v>6.4039150000000003E-2</v>
      </c>
      <c r="AA4605">
        <v>0.96251070000000005</v>
      </c>
      <c r="AB4605">
        <v>30</v>
      </c>
      <c r="AC4605">
        <v>10.3567999999999</v>
      </c>
      <c r="AD4605">
        <v>-1.1117896493029999</v>
      </c>
      <c r="AE4605">
        <v>-2.8433000000000002</v>
      </c>
      <c r="AF4605">
        <v>-2.8869163969746601</v>
      </c>
      <c r="AG4605">
        <v>-1.1117896493029999</v>
      </c>
      <c r="AH4605">
        <v>10.226455879321099</v>
      </c>
      <c r="AI4605">
        <v>95.973003524688394</v>
      </c>
      <c r="AJ4605">
        <v>105.764310389652</v>
      </c>
      <c r="AK4605">
        <v>10.6841360136943</v>
      </c>
    </row>
    <row r="4606" spans="1:37" x14ac:dyDescent="0.2">
      <c r="A4606" t="str">
        <f>"20200111153743973"</f>
        <v>20200111153743973</v>
      </c>
      <c r="B4606" t="str">
        <f>"1578728263968305"</f>
        <v>1578728263968305</v>
      </c>
      <c r="C4606" t="s">
        <v>37</v>
      </c>
      <c r="D4606">
        <v>6.7662019999999998</v>
      </c>
      <c r="E4606">
        <v>0.50085930000000001</v>
      </c>
      <c r="F4606" t="s">
        <v>39</v>
      </c>
      <c r="G4606">
        <v>-398.18389999999999</v>
      </c>
      <c r="H4606" s="1">
        <v>-1.727331E-6</v>
      </c>
      <c r="I4606">
        <v>22.95506</v>
      </c>
      <c r="J4606">
        <v>-408.58839999999998</v>
      </c>
      <c r="K4606">
        <v>1.111632</v>
      </c>
      <c r="L4606">
        <v>25.778199999999998</v>
      </c>
      <c r="M4606">
        <v>0.85857709999999998</v>
      </c>
      <c r="N4606">
        <v>0</v>
      </c>
      <c r="O4606">
        <v>-0.51248149999999904</v>
      </c>
      <c r="P4606">
        <v>0.96678580000000003</v>
      </c>
      <c r="Q4606">
        <v>4.0074419999999999E-2</v>
      </c>
      <c r="R4606">
        <v>-0.25242720000000002</v>
      </c>
      <c r="S4606">
        <v>2.9065249999999998</v>
      </c>
      <c r="T4606">
        <v>-0.30601159999999999</v>
      </c>
      <c r="U4606">
        <v>-0.80117799999999995</v>
      </c>
      <c r="V4606">
        <v>-0.27962789999999998</v>
      </c>
      <c r="W4606">
        <v>4.9218140000000001E-2</v>
      </c>
      <c r="X4606">
        <v>0.95884609999999904</v>
      </c>
      <c r="Y4606">
        <v>-0.26227719999999999</v>
      </c>
      <c r="Z4606">
        <v>6.3465579999999994E-2</v>
      </c>
      <c r="AA4606">
        <v>0.96290330000000002</v>
      </c>
      <c r="AB4606">
        <v>30</v>
      </c>
      <c r="AC4606">
        <v>10.404499999999899</v>
      </c>
      <c r="AD4606">
        <v>-1.111633727331</v>
      </c>
      <c r="AE4606">
        <v>-2.8231399999999902</v>
      </c>
      <c r="AF4606">
        <v>-2.8779338733497699</v>
      </c>
      <c r="AG4606">
        <v>-1.111633727331</v>
      </c>
      <c r="AH4606">
        <v>10.271739962694999</v>
      </c>
      <c r="AI4606">
        <v>95.9492931621471</v>
      </c>
      <c r="AJ4606">
        <v>105.651797944427</v>
      </c>
      <c r="AK4606">
        <v>10.725058264845901</v>
      </c>
    </row>
    <row r="4607" spans="1:37" x14ac:dyDescent="0.2">
      <c r="A4607" t="str">
        <f>"20200111153743989"</f>
        <v>20200111153743989</v>
      </c>
      <c r="B4607" t="str">
        <f>"1578728263978067"</f>
        <v>1578728263978067</v>
      </c>
      <c r="C4607" t="s">
        <v>37</v>
      </c>
      <c r="D4607">
        <v>6.1641300000000001</v>
      </c>
      <c r="E4607">
        <v>0.50124089999999999</v>
      </c>
      <c r="F4607" t="s">
        <v>39</v>
      </c>
      <c r="G4607">
        <v>-398.0926</v>
      </c>
      <c r="H4607" s="1">
        <v>-1.7603689999999999E-6</v>
      </c>
      <c r="I4607">
        <v>22.917020000000001</v>
      </c>
      <c r="J4607">
        <v>-408.4033</v>
      </c>
      <c r="K4607">
        <v>1.111453</v>
      </c>
      <c r="L4607">
        <v>25.674679999999999</v>
      </c>
      <c r="M4607">
        <v>0.86151060000000002</v>
      </c>
      <c r="N4607">
        <v>0</v>
      </c>
      <c r="O4607">
        <v>-0.50753559999999998</v>
      </c>
      <c r="P4607">
        <v>0.96774740000000004</v>
      </c>
      <c r="Q4607">
        <v>4.0006699999999902E-2</v>
      </c>
      <c r="R4607">
        <v>-0.24872649999999999</v>
      </c>
      <c r="S4607">
        <v>2.9087830000000001</v>
      </c>
      <c r="T4607">
        <v>-0.30807509999999999</v>
      </c>
      <c r="U4607">
        <v>-0.79293819999999904</v>
      </c>
      <c r="V4607">
        <v>-0.2777578</v>
      </c>
      <c r="W4607">
        <v>4.9285290000000002E-2</v>
      </c>
      <c r="X4607">
        <v>0.95938609999999902</v>
      </c>
      <c r="Y4607">
        <v>-0.25944489999999998</v>
      </c>
      <c r="Z4607">
        <v>6.3296459999999999E-2</v>
      </c>
      <c r="AA4607">
        <v>0.96368140000000002</v>
      </c>
      <c r="AB4607">
        <v>30</v>
      </c>
      <c r="AC4607">
        <v>10.310699999999899</v>
      </c>
      <c r="AD4607">
        <v>-1.1114547603689999</v>
      </c>
      <c r="AE4607">
        <v>-2.7576599999999898</v>
      </c>
      <c r="AF4607">
        <v>-2.8269337711668698</v>
      </c>
      <c r="AG4607">
        <v>-1.1114547603689999</v>
      </c>
      <c r="AH4607">
        <v>10.1731323042684</v>
      </c>
      <c r="AI4607">
        <v>96.009126587163095</v>
      </c>
      <c r="AJ4607">
        <v>105.529672465736</v>
      </c>
      <c r="AK4607">
        <v>10.616944339642099</v>
      </c>
    </row>
    <row r="4608" spans="1:37" x14ac:dyDescent="0.2">
      <c r="A4608" t="str">
        <f>"20200111153744010"</f>
        <v>20200111153744010</v>
      </c>
      <c r="B4608" t="str">
        <f>"1578728263998183"</f>
        <v>1578728263998183</v>
      </c>
      <c r="C4608" t="s">
        <v>37</v>
      </c>
      <c r="D4608">
        <v>6.0125869999999999</v>
      </c>
      <c r="E4608">
        <v>0.50188359999999999</v>
      </c>
      <c r="F4608" t="s">
        <v>39</v>
      </c>
      <c r="G4608">
        <v>-397.91809999999998</v>
      </c>
      <c r="H4608" s="1">
        <v>-1.8246779999999999E-6</v>
      </c>
      <c r="I4608">
        <v>22.848800000000001</v>
      </c>
      <c r="J4608">
        <v>-408.15809999999999</v>
      </c>
      <c r="K4608">
        <v>1.1112249999999999</v>
      </c>
      <c r="L4608">
        <v>25.539339999999999</v>
      </c>
      <c r="M4608">
        <v>0.86522849999999996</v>
      </c>
      <c r="N4608">
        <v>0</v>
      </c>
      <c r="O4608">
        <v>-0.50117239999999996</v>
      </c>
      <c r="P4608">
        <v>0.96908119999999998</v>
      </c>
      <c r="Q4608">
        <v>3.997245E-2</v>
      </c>
      <c r="R4608">
        <v>-0.24348259999999999</v>
      </c>
      <c r="S4608">
        <v>2.9111020000000001</v>
      </c>
      <c r="T4608">
        <v>-0.30858409999999997</v>
      </c>
      <c r="U4608">
        <v>-0.78457639999999995</v>
      </c>
      <c r="V4608">
        <v>-0.27584930000000002</v>
      </c>
      <c r="W4608">
        <v>4.9412459999999998E-2</v>
      </c>
      <c r="X4608">
        <v>0.95992999999999995</v>
      </c>
      <c r="Y4608">
        <v>-0.25513930000000001</v>
      </c>
      <c r="Z4608">
        <v>6.2600520000000007E-2</v>
      </c>
      <c r="AA4608">
        <v>0.9648757</v>
      </c>
      <c r="AB4608">
        <v>30</v>
      </c>
      <c r="AC4608">
        <v>10.24</v>
      </c>
      <c r="AD4608">
        <v>-1.1112268246779999</v>
      </c>
      <c r="AE4608">
        <v>-2.6905399999999902</v>
      </c>
      <c r="AF4608">
        <v>-2.7738066834371402</v>
      </c>
      <c r="AG4608">
        <v>-1.1112268246779999</v>
      </c>
      <c r="AH4608">
        <v>10.098176474597899</v>
      </c>
      <c r="AI4608">
        <v>96.057102324084099</v>
      </c>
      <c r="AJ4608">
        <v>105.359413037751</v>
      </c>
      <c r="AK4608">
        <v>10.5310016942875</v>
      </c>
    </row>
    <row r="4609" spans="1:37" x14ac:dyDescent="0.2">
      <c r="A4609" t="str">
        <f>"20200111153744034"</f>
        <v>20200111153744034</v>
      </c>
      <c r="B4609" t="str">
        <f>"1578728264027968"</f>
        <v>1578728264027968</v>
      </c>
      <c r="C4609" t="s">
        <v>37</v>
      </c>
      <c r="D4609">
        <v>6.2589809999999897</v>
      </c>
      <c r="E4609">
        <v>0.50199119999999997</v>
      </c>
      <c r="F4609" t="s">
        <v>39</v>
      </c>
      <c r="G4609">
        <v>-397.7208</v>
      </c>
      <c r="H4609" s="1">
        <v>-1.8966E-6</v>
      </c>
      <c r="I4609">
        <v>22.768599999999999</v>
      </c>
      <c r="J4609">
        <v>-407.88529999999997</v>
      </c>
      <c r="K4609">
        <v>1.1109819999999999</v>
      </c>
      <c r="L4609">
        <v>25.39124</v>
      </c>
      <c r="M4609">
        <v>0.86915969999999998</v>
      </c>
      <c r="N4609">
        <v>0</v>
      </c>
      <c r="O4609">
        <v>-0.49432470000000001</v>
      </c>
      <c r="P4609">
        <v>0.97068449999999995</v>
      </c>
      <c r="Q4609">
        <v>3.9595720000000001E-2</v>
      </c>
      <c r="R4609">
        <v>-0.23707399999999901</v>
      </c>
      <c r="S4609">
        <v>2.9140929999999998</v>
      </c>
      <c r="T4609">
        <v>-0.3102548</v>
      </c>
      <c r="U4609">
        <v>-0.77359009999999995</v>
      </c>
      <c r="V4609">
        <v>-0.27458179999999999</v>
      </c>
      <c r="W4609">
        <v>4.9184800000000001E-2</v>
      </c>
      <c r="X4609">
        <v>0.96030499999999996</v>
      </c>
      <c r="Y4609">
        <v>-0.25116149999999998</v>
      </c>
      <c r="Z4609">
        <v>6.2100379999999997E-2</v>
      </c>
      <c r="AA4609">
        <v>0.96595109999999995</v>
      </c>
      <c r="AB4609">
        <v>30</v>
      </c>
      <c r="AC4609">
        <v>10.164499999999901</v>
      </c>
      <c r="AD4609">
        <v>-1.1109838965999901</v>
      </c>
      <c r="AE4609">
        <v>-2.6226400000000001</v>
      </c>
      <c r="AF4609">
        <v>-2.7149413990396698</v>
      </c>
      <c r="AG4609">
        <v>-1.1109838965999901</v>
      </c>
      <c r="AH4609">
        <v>10.019814768645301</v>
      </c>
      <c r="AI4609">
        <v>96.108526334049401</v>
      </c>
      <c r="AJ4609">
        <v>105.16068225272301</v>
      </c>
      <c r="AK4609">
        <v>10.4403965449922</v>
      </c>
    </row>
    <row r="4610" spans="1:37" x14ac:dyDescent="0.2">
      <c r="A4610" t="str">
        <f>"20200111153744047"</f>
        <v>20200111153744047</v>
      </c>
      <c r="B4610" t="str">
        <f>"1578728264037729"</f>
        <v>1578728264037729</v>
      </c>
      <c r="C4610" t="s">
        <v>37</v>
      </c>
      <c r="D4610">
        <v>6.041779</v>
      </c>
      <c r="E4610">
        <v>0.4894308</v>
      </c>
      <c r="F4610" t="s">
        <v>39</v>
      </c>
      <c r="G4610">
        <v>-397.51929999999999</v>
      </c>
      <c r="H4610" s="1">
        <v>-1.9760019999999999E-6</v>
      </c>
      <c r="I4610">
        <v>22.708919999999999</v>
      </c>
      <c r="J4610">
        <v>-407.72640000000001</v>
      </c>
      <c r="K4610">
        <v>1.110852</v>
      </c>
      <c r="L4610">
        <v>25.30612</v>
      </c>
      <c r="M4610">
        <v>0.87135689999999999</v>
      </c>
      <c r="N4610">
        <v>0</v>
      </c>
      <c r="O4610">
        <v>-0.49044219999999999</v>
      </c>
      <c r="P4610">
        <v>0.97158120000000003</v>
      </c>
      <c r="Q4610">
        <v>3.9727230000000002E-2</v>
      </c>
      <c r="R4610">
        <v>-0.23334949999999999</v>
      </c>
      <c r="S4610">
        <v>2.9188540000000001</v>
      </c>
      <c r="T4610">
        <v>-0.31282779999999999</v>
      </c>
      <c r="U4610">
        <v>-0.75527949999999999</v>
      </c>
      <c r="V4610">
        <v>-0.2739627</v>
      </c>
      <c r="W4610">
        <v>4.9392930000000002E-2</v>
      </c>
      <c r="X4610">
        <v>0.96047119999999997</v>
      </c>
      <c r="Y4610">
        <v>-0.2528572</v>
      </c>
      <c r="Z4610">
        <v>6.2321389999999997E-2</v>
      </c>
      <c r="AA4610">
        <v>0.96549430000000003</v>
      </c>
      <c r="AB4610">
        <v>30</v>
      </c>
      <c r="AC4610">
        <v>10.207100000000001</v>
      </c>
      <c r="AD4610">
        <v>-1.110853976002</v>
      </c>
      <c r="AE4610">
        <v>-2.5971999999999902</v>
      </c>
      <c r="AF4610">
        <v>-2.7130040709566301</v>
      </c>
      <c r="AG4610">
        <v>-1.110853976002</v>
      </c>
      <c r="AH4610">
        <v>10.0569643933837</v>
      </c>
      <c r="AI4610">
        <v>96.087241647674205</v>
      </c>
      <c r="AJ4610">
        <v>105.096956081413</v>
      </c>
      <c r="AK4610">
        <v>10.475539148646</v>
      </c>
    </row>
    <row r="4611" spans="1:37" x14ac:dyDescent="0.2">
      <c r="A4611" t="str">
        <f>"20200111153744067"</f>
        <v>20200111153744067</v>
      </c>
      <c r="B4611" t="str">
        <f>"1578728264058224"</f>
        <v>1578728264058224</v>
      </c>
      <c r="C4611" t="s">
        <v>37</v>
      </c>
      <c r="D4611">
        <v>6.5632960000000002</v>
      </c>
      <c r="E4611">
        <v>0.48914940000000001</v>
      </c>
      <c r="F4611" t="s">
        <v>39</v>
      </c>
      <c r="G4611">
        <v>-395.19720000000001</v>
      </c>
      <c r="H4611" s="1">
        <v>-3.036381E-6</v>
      </c>
      <c r="I4611">
        <v>22.56887</v>
      </c>
      <c r="J4611">
        <v>-407.4957</v>
      </c>
      <c r="K4611">
        <v>1.110681</v>
      </c>
      <c r="L4611">
        <v>25.183959999999999</v>
      </c>
      <c r="M4611">
        <v>0.87443819999999906</v>
      </c>
      <c r="N4611">
        <v>0</v>
      </c>
      <c r="O4611">
        <v>-0.48492819999999998</v>
      </c>
      <c r="P4611">
        <v>0.97264490000000003</v>
      </c>
      <c r="Q4611">
        <v>3.9951750000000001E-2</v>
      </c>
      <c r="R4611">
        <v>-0.22883629999999999</v>
      </c>
      <c r="S4611">
        <v>2.9439090000000001</v>
      </c>
      <c r="T4611">
        <v>-0.26101160000000001</v>
      </c>
      <c r="U4611">
        <v>-0.64315800000000001</v>
      </c>
      <c r="V4611">
        <v>-0.2723295</v>
      </c>
      <c r="W4611">
        <v>4.9732020000000002E-2</v>
      </c>
      <c r="X4611">
        <v>0.96091800000000005</v>
      </c>
      <c r="Y4611">
        <v>-0.28445870000000001</v>
      </c>
      <c r="Z4611">
        <v>5.289837E-2</v>
      </c>
      <c r="AA4611">
        <v>0.95722779999999996</v>
      </c>
      <c r="AB4611">
        <v>30</v>
      </c>
      <c r="AC4611">
        <v>12.298499999999899</v>
      </c>
      <c r="AD4611">
        <v>-1.110684036381</v>
      </c>
      <c r="AE4611">
        <v>-2.6150899999999901</v>
      </c>
      <c r="AF4611">
        <v>-3.6490529746988001</v>
      </c>
      <c r="AG4611">
        <v>-1.110684036381</v>
      </c>
      <c r="AH4611">
        <v>11.9305302981028</v>
      </c>
      <c r="AI4611">
        <v>95.087340601781193</v>
      </c>
      <c r="AJ4611">
        <v>107.006692258002</v>
      </c>
      <c r="AK4611">
        <v>12.5254444964951</v>
      </c>
    </row>
    <row r="4612" spans="1:37" x14ac:dyDescent="0.2">
      <c r="A4612" t="str">
        <f>"20200111153744089"</f>
        <v>20200111153744089</v>
      </c>
      <c r="B4612" t="str">
        <f>"1578728264077747"</f>
        <v>1578728264077747</v>
      </c>
      <c r="C4612" t="s">
        <v>37</v>
      </c>
      <c r="D4612">
        <v>5.8724059999999998</v>
      </c>
      <c r="E4612">
        <v>0.48989189999999999</v>
      </c>
      <c r="F4612" t="s">
        <v>39</v>
      </c>
      <c r="G4612">
        <v>-394.32729999999998</v>
      </c>
      <c r="H4612" s="1">
        <v>-3.3989370000000001E-6</v>
      </c>
      <c r="I4612">
        <v>22.38597</v>
      </c>
      <c r="J4612">
        <v>-407.25360000000001</v>
      </c>
      <c r="K4612">
        <v>1.1105209999999901</v>
      </c>
      <c r="L4612">
        <v>25.057649999999999</v>
      </c>
      <c r="M4612">
        <v>0.87754349999999903</v>
      </c>
      <c r="N4612">
        <v>0</v>
      </c>
      <c r="O4612">
        <v>-0.47928660000000001</v>
      </c>
      <c r="P4612">
        <v>0.97374839999999996</v>
      </c>
      <c r="Q4612">
        <v>3.9740829999999998E-2</v>
      </c>
      <c r="R4612">
        <v>-0.224131</v>
      </c>
      <c r="S4612">
        <v>2.947235</v>
      </c>
      <c r="T4612">
        <v>-0.24858350000000001</v>
      </c>
      <c r="U4612">
        <v>-0.62622069999999996</v>
      </c>
      <c r="V4612">
        <v>-0.27076529999999999</v>
      </c>
      <c r="W4612">
        <v>4.962867E-2</v>
      </c>
      <c r="X4612">
        <v>0.96136520000000003</v>
      </c>
      <c r="Y4612">
        <v>-0.28403820000000002</v>
      </c>
      <c r="Z4612">
        <v>4.9951389999999998E-2</v>
      </c>
      <c r="AA4612">
        <v>0.95751090000000005</v>
      </c>
      <c r="AB4612">
        <v>30</v>
      </c>
      <c r="AC4612">
        <v>12.926299999999999</v>
      </c>
      <c r="AD4612">
        <v>-1.1105243989369999</v>
      </c>
      <c r="AE4612">
        <v>-2.6716799999999901</v>
      </c>
      <c r="AF4612">
        <v>-3.82420590226852</v>
      </c>
      <c r="AG4612">
        <v>-1.1105243989369999</v>
      </c>
      <c r="AH4612">
        <v>12.536425726171201</v>
      </c>
      <c r="AI4612">
        <v>94.843063237711306</v>
      </c>
      <c r="AJ4612">
        <v>106.964198184431</v>
      </c>
      <c r="AK4612">
        <v>13.153698537346299</v>
      </c>
    </row>
    <row r="4613" spans="1:37" x14ac:dyDescent="0.2">
      <c r="A4613" t="str">
        <f>"20200111153744104"</f>
        <v>20200111153744104</v>
      </c>
      <c r="B4613" t="str">
        <f>"1578728264098240"</f>
        <v>1578728264098240</v>
      </c>
      <c r="C4613" t="s">
        <v>37</v>
      </c>
      <c r="D4613">
        <v>6.2802569999999998</v>
      </c>
      <c r="E4613">
        <v>0.49087649999999999</v>
      </c>
      <c r="F4613" t="s">
        <v>39</v>
      </c>
      <c r="G4613">
        <v>-393.99610000000001</v>
      </c>
      <c r="H4613" s="1">
        <v>-3.52813899999999E-6</v>
      </c>
      <c r="I4613">
        <v>22.283089999999898</v>
      </c>
      <c r="J4613">
        <v>-407.08409999999998</v>
      </c>
      <c r="K4613">
        <v>1.1104179999999999</v>
      </c>
      <c r="L4613">
        <v>24.97015</v>
      </c>
      <c r="M4613">
        <v>0.87965309999999897</v>
      </c>
      <c r="N4613">
        <v>0</v>
      </c>
      <c r="O4613">
        <v>-0.47540479999999902</v>
      </c>
      <c r="P4613">
        <v>0.974583599999999</v>
      </c>
      <c r="Q4613">
        <v>3.960052E-2</v>
      </c>
      <c r="R4613">
        <v>-0.22049740000000001</v>
      </c>
      <c r="S4613">
        <v>2.948944</v>
      </c>
      <c r="T4613">
        <v>-0.24701919999999999</v>
      </c>
      <c r="U4613">
        <v>-0.61715699999999996</v>
      </c>
      <c r="V4613">
        <v>-0.27009060000000001</v>
      </c>
      <c r="W4613">
        <v>4.9549139999999998E-2</v>
      </c>
      <c r="X4613">
        <v>0.9615591</v>
      </c>
      <c r="Y4613">
        <v>-0.28277970000000002</v>
      </c>
      <c r="Z4613">
        <v>4.9300789999999997E-2</v>
      </c>
      <c r="AA4613">
        <v>0.95791700000000002</v>
      </c>
      <c r="AB4613">
        <v>29</v>
      </c>
      <c r="AC4613">
        <v>13.0879999999999</v>
      </c>
      <c r="AD4613">
        <v>-1.110421528139</v>
      </c>
      <c r="AE4613">
        <v>-2.6870599999999998</v>
      </c>
      <c r="AF4613">
        <v>-3.83233412975579</v>
      </c>
      <c r="AG4613">
        <v>-1.110421528139</v>
      </c>
      <c r="AH4613">
        <v>12.703877187748301</v>
      </c>
      <c r="AI4613">
        <v>94.783553129848499</v>
      </c>
      <c r="AJ4613">
        <v>106.78680331307901</v>
      </c>
      <c r="AK4613">
        <v>13.315716895970599</v>
      </c>
    </row>
    <row r="4614" spans="1:37" x14ac:dyDescent="0.2">
      <c r="A4614" t="str">
        <f>"20200111153744123"</f>
        <v>20200111153744123</v>
      </c>
      <c r="B4614" t="str">
        <f>"1578728264117760"</f>
        <v>1578728264117760</v>
      </c>
      <c r="C4614" t="s">
        <v>37</v>
      </c>
      <c r="D4614">
        <v>6.2263890000000002</v>
      </c>
      <c r="E4614">
        <v>0.49153159999999901</v>
      </c>
      <c r="F4614" t="s">
        <v>39</v>
      </c>
      <c r="G4614">
        <v>-394.13810000000001</v>
      </c>
      <c r="H4614" s="1">
        <v>-3.4588440000000002E-6</v>
      </c>
      <c r="I4614">
        <v>22.275029999999902</v>
      </c>
      <c r="J4614">
        <v>-406.85820000000001</v>
      </c>
      <c r="K4614">
        <v>1.11029</v>
      </c>
      <c r="L4614">
        <v>24.855070000000001</v>
      </c>
      <c r="M4614">
        <v>0.88237909999999997</v>
      </c>
      <c r="N4614">
        <v>0</v>
      </c>
      <c r="O4614">
        <v>-0.47032659999999998</v>
      </c>
      <c r="P4614">
        <v>0.97561359999999997</v>
      </c>
      <c r="Q4614">
        <v>3.8699619999999997E-2</v>
      </c>
      <c r="R4614">
        <v>-0.21605669999999999</v>
      </c>
      <c r="S4614">
        <v>2.949554</v>
      </c>
      <c r="T4614">
        <v>-0.25299319999999997</v>
      </c>
      <c r="U4614">
        <v>-0.61404419999999904</v>
      </c>
      <c r="V4614">
        <v>-0.26891470000000001</v>
      </c>
      <c r="W4614">
        <v>4.8727590000000001E-2</v>
      </c>
      <c r="X4614">
        <v>0.96193059999999997</v>
      </c>
      <c r="Y4614">
        <v>-0.278173</v>
      </c>
      <c r="Z4614">
        <v>4.9915499999999897E-2</v>
      </c>
      <c r="AA4614">
        <v>0.95923320000000001</v>
      </c>
      <c r="AB4614">
        <v>29</v>
      </c>
      <c r="AC4614">
        <v>12.7201</v>
      </c>
      <c r="AD4614">
        <v>-1.1102934588440001</v>
      </c>
      <c r="AE4614">
        <v>-2.5800399999999999</v>
      </c>
      <c r="AF4614">
        <v>-3.6794727667654099</v>
      </c>
      <c r="AG4614">
        <v>-1.1102934588440001</v>
      </c>
      <c r="AH4614">
        <v>12.348292559894</v>
      </c>
      <c r="AI4614">
        <v>94.925045248519197</v>
      </c>
      <c r="AJ4614">
        <v>106.59269962926</v>
      </c>
      <c r="AK4614">
        <v>12.932579037100499</v>
      </c>
    </row>
    <row r="4615" spans="1:37" x14ac:dyDescent="0.2">
      <c r="A4615" t="str">
        <f>"20200111153744138"</f>
        <v>20200111153744138</v>
      </c>
      <c r="B4615" t="str">
        <f>"1578728264127520"</f>
        <v>1578728264127520</v>
      </c>
      <c r="C4615" t="s">
        <v>37</v>
      </c>
      <c r="D4615">
        <v>6.0161350000000002</v>
      </c>
      <c r="E4615">
        <v>0.49202010000000002</v>
      </c>
      <c r="F4615" t="s">
        <v>39</v>
      </c>
      <c r="G4615">
        <v>-394.44</v>
      </c>
      <c r="H4615" s="1">
        <v>-3.3239309999999999E-6</v>
      </c>
      <c r="I4615">
        <v>22.304289999999899</v>
      </c>
      <c r="J4615">
        <v>-406.67829999999998</v>
      </c>
      <c r="K4615">
        <v>1.1101889999999901</v>
      </c>
      <c r="L4615">
        <v>24.764429999999901</v>
      </c>
      <c r="M4615">
        <v>0.88449069999999996</v>
      </c>
      <c r="N4615">
        <v>0</v>
      </c>
      <c r="O4615">
        <v>-0.46634399999999998</v>
      </c>
      <c r="P4615">
        <v>0.97651169999999998</v>
      </c>
      <c r="Q4615">
        <v>3.8625149999999997E-2</v>
      </c>
      <c r="R4615">
        <v>-0.21197460000000001</v>
      </c>
      <c r="S4615">
        <v>2.9512330000000002</v>
      </c>
      <c r="T4615">
        <v>-0.26386479999999901</v>
      </c>
      <c r="U4615">
        <v>-0.6062012</v>
      </c>
      <c r="V4615">
        <v>-0.26858890000000002</v>
      </c>
      <c r="W4615">
        <v>4.8701870000000001E-2</v>
      </c>
      <c r="X4615">
        <v>0.96202299999999996</v>
      </c>
      <c r="Y4615">
        <v>-0.27620209999999901</v>
      </c>
      <c r="Z4615">
        <v>5.1648050000000001E-2</v>
      </c>
      <c r="AA4615">
        <v>0.95971079999999998</v>
      </c>
      <c r="AB4615">
        <v>29</v>
      </c>
      <c r="AC4615">
        <v>12.238299999999899</v>
      </c>
      <c r="AD4615">
        <v>-1.1101923239309901</v>
      </c>
      <c r="AE4615">
        <v>-2.4601399999999898</v>
      </c>
      <c r="AF4615">
        <v>-3.5039247138229701</v>
      </c>
      <c r="AG4615">
        <v>-1.1101923239309901</v>
      </c>
      <c r="AH4615">
        <v>11.879169752208201</v>
      </c>
      <c r="AI4615">
        <v>95.122242000225796</v>
      </c>
      <c r="AJ4615">
        <v>106.43414965154101</v>
      </c>
      <c r="AK4615">
        <v>12.4348176262474</v>
      </c>
    </row>
    <row r="4616" spans="1:37" x14ac:dyDescent="0.2">
      <c r="A4616" t="str">
        <f>"20200111153744157"</f>
        <v>20200111153744157</v>
      </c>
      <c r="B4616" t="str">
        <f>"1578728264148016"</f>
        <v>1578728264148016</v>
      </c>
      <c r="C4616" t="s">
        <v>37</v>
      </c>
      <c r="D4616">
        <v>5.9670759999999996</v>
      </c>
      <c r="E4616">
        <v>0.49249369999999998</v>
      </c>
      <c r="F4616" t="s">
        <v>39</v>
      </c>
      <c r="G4616">
        <v>-394.33600000000001</v>
      </c>
      <c r="H4616" s="1">
        <v>-3.362778E-6</v>
      </c>
      <c r="I4616">
        <v>22.265470000000001</v>
      </c>
      <c r="J4616">
        <v>-406.45859999999999</v>
      </c>
      <c r="K4616">
        <v>1.110087</v>
      </c>
      <c r="L4616">
        <v>24.655149999999999</v>
      </c>
      <c r="M4616">
        <v>0.88699910000000004</v>
      </c>
      <c r="N4616">
        <v>0</v>
      </c>
      <c r="O4616">
        <v>-0.46155600000000002</v>
      </c>
      <c r="P4616">
        <v>0.97762689999999997</v>
      </c>
      <c r="Q4616">
        <v>3.8363660000000001E-2</v>
      </c>
      <c r="R4616">
        <v>-0.20681859999999999</v>
      </c>
      <c r="S4616">
        <v>2.9528810000000001</v>
      </c>
      <c r="T4616">
        <v>-0.26561030000000002</v>
      </c>
      <c r="U4616">
        <v>-0.59786989999999995</v>
      </c>
      <c r="V4616">
        <v>-0.2684532</v>
      </c>
      <c r="W4616">
        <v>4.8489450000000003E-2</v>
      </c>
      <c r="X4616">
        <v>0.96207149999999997</v>
      </c>
      <c r="Y4616">
        <v>-0.2737038</v>
      </c>
      <c r="Z4616">
        <v>5.1495840000000001E-2</v>
      </c>
      <c r="AA4616">
        <v>0.96043449999999997</v>
      </c>
      <c r="AB4616">
        <v>29</v>
      </c>
      <c r="AC4616">
        <v>12.122599999999901</v>
      </c>
      <c r="AD4616">
        <v>-1.1100903627780001</v>
      </c>
      <c r="AE4616">
        <v>-2.38967999999999</v>
      </c>
      <c r="AF4616">
        <v>-3.44812754874205</v>
      </c>
      <c r="AG4616">
        <v>-1.1100903627780001</v>
      </c>
      <c r="AH4616">
        <v>11.761944525882701</v>
      </c>
      <c r="AI4616">
        <v>95.175057246873493</v>
      </c>
      <c r="AJ4616">
        <v>106.339008249511</v>
      </c>
      <c r="AK4616">
        <v>12.307120834535899</v>
      </c>
    </row>
    <row r="4617" spans="1:37" x14ac:dyDescent="0.2">
      <c r="A4617" t="str">
        <f>"20200111153744189"</f>
        <v>20200111153744189</v>
      </c>
      <c r="B4617" t="str">
        <f>"1578728264178271"</f>
        <v>1578728264178271</v>
      </c>
      <c r="C4617" t="s">
        <v>37</v>
      </c>
      <c r="D4617">
        <v>6.2312989999999999</v>
      </c>
      <c r="E4617">
        <v>0.49311279999999902</v>
      </c>
      <c r="F4617" t="s">
        <v>39</v>
      </c>
      <c r="G4617">
        <v>-394.20549999999997</v>
      </c>
      <c r="H4617" s="1">
        <v>-3.4131489999999999E-6</v>
      </c>
      <c r="I4617">
        <v>22.223050000000001</v>
      </c>
      <c r="J4617">
        <v>-406.08260000000001</v>
      </c>
      <c r="K4617">
        <v>1.109931</v>
      </c>
      <c r="L4617">
        <v>24.47128</v>
      </c>
      <c r="M4617">
        <v>0.89111879999999999</v>
      </c>
      <c r="N4617">
        <v>0</v>
      </c>
      <c r="O4617">
        <v>-0.45355249999999903</v>
      </c>
      <c r="P4617">
        <v>0.97929279999999996</v>
      </c>
      <c r="Q4617">
        <v>3.7898689999999999E-2</v>
      </c>
      <c r="R4617">
        <v>-0.19886970000000001</v>
      </c>
      <c r="S4617">
        <v>2.9550779999999999</v>
      </c>
      <c r="T4617">
        <v>-0.26771990000000001</v>
      </c>
      <c r="U4617">
        <v>-0.58654790000000001</v>
      </c>
      <c r="V4617">
        <v>-0.26758749999999998</v>
      </c>
      <c r="W4617">
        <v>4.8118429999999997E-2</v>
      </c>
      <c r="X4617">
        <v>0.9623313</v>
      </c>
      <c r="Y4617">
        <v>-0.26872629999999997</v>
      </c>
      <c r="Z4617">
        <v>5.1037640000000002E-2</v>
      </c>
      <c r="AA4617">
        <v>0.96186349999999998</v>
      </c>
      <c r="AB4617">
        <v>29</v>
      </c>
      <c r="AC4617">
        <v>11.8771</v>
      </c>
      <c r="AD4617">
        <v>-1.1099344131490001</v>
      </c>
      <c r="AE4617">
        <v>-2.2482299999999902</v>
      </c>
      <c r="AF4617">
        <v>-3.3554918707736698</v>
      </c>
      <c r="AG4617">
        <v>-1.1099344131490001</v>
      </c>
      <c r="AH4617">
        <v>11.507720089055001</v>
      </c>
      <c r="AI4617">
        <v>95.290231552431393</v>
      </c>
      <c r="AJ4617">
        <v>106.255953374021</v>
      </c>
      <c r="AK4617">
        <v>12.0382266860348</v>
      </c>
    </row>
    <row r="4618" spans="1:37" x14ac:dyDescent="0.2">
      <c r="A4618" t="str">
        <f>"20200111153744203"</f>
        <v>20200111153744203</v>
      </c>
      <c r="B4618" t="str">
        <f>"1578728264197793"</f>
        <v>1578728264197793</v>
      </c>
      <c r="C4618" t="s">
        <v>37</v>
      </c>
      <c r="D4618">
        <v>6.0410909999999998</v>
      </c>
      <c r="E4618">
        <v>0.49364369999999902</v>
      </c>
      <c r="F4618" t="s">
        <v>39</v>
      </c>
      <c r="G4618">
        <v>-394.03750000000002</v>
      </c>
      <c r="H4618" s="1">
        <v>-3.47501399999999E-6</v>
      </c>
      <c r="I4618">
        <v>22.157139999999998</v>
      </c>
      <c r="J4618">
        <v>-405.91680000000002</v>
      </c>
      <c r="K4618">
        <v>1.109864</v>
      </c>
      <c r="L4618">
        <v>24.391359999999999</v>
      </c>
      <c r="M4618">
        <v>0.89287359999999905</v>
      </c>
      <c r="N4618">
        <v>0</v>
      </c>
      <c r="O4618">
        <v>-0.4500884</v>
      </c>
      <c r="P4618">
        <v>0.98004409999999897</v>
      </c>
      <c r="Q4618">
        <v>3.8184259999999998E-2</v>
      </c>
      <c r="R4618">
        <v>-0.19507939999999999</v>
      </c>
      <c r="S4618">
        <v>2.958618</v>
      </c>
      <c r="T4618">
        <v>-0.27263140000000002</v>
      </c>
      <c r="U4618">
        <v>-0.56842040000000005</v>
      </c>
      <c r="V4618">
        <v>-0.26756279999999999</v>
      </c>
      <c r="W4618">
        <v>4.8439919999999997E-2</v>
      </c>
      <c r="X4618">
        <v>0.96232209999999996</v>
      </c>
      <c r="Y4618">
        <v>-0.27078979999999903</v>
      </c>
      <c r="Z4618">
        <v>5.176716E-2</v>
      </c>
      <c r="AA4618">
        <v>0.96124560000000003</v>
      </c>
      <c r="AB4618">
        <v>29</v>
      </c>
      <c r="AC4618">
        <v>11.879300000000001</v>
      </c>
      <c r="AD4618">
        <v>-1.1098674750139901</v>
      </c>
      <c r="AE4618">
        <v>-2.2342200000000001</v>
      </c>
      <c r="AF4618">
        <v>-3.3241645191212101</v>
      </c>
      <c r="AG4618">
        <v>-1.1098674750139901</v>
      </c>
      <c r="AH4618">
        <v>11.516363772141</v>
      </c>
      <c r="AI4618">
        <v>95.290101810424304</v>
      </c>
      <c r="AJ4618">
        <v>106.100628802586</v>
      </c>
      <c r="AK4618">
        <v>12.0377950678087</v>
      </c>
    </row>
    <row r="4619" spans="1:37" x14ac:dyDescent="0.2">
      <c r="A4619" t="str">
        <f>"20200111153744223"</f>
        <v>20200111153744223</v>
      </c>
      <c r="B4619" t="str">
        <f>"1578728264218288"</f>
        <v>1578728264218288</v>
      </c>
      <c r="C4619" t="s">
        <v>37</v>
      </c>
      <c r="D4619">
        <v>6.300573</v>
      </c>
      <c r="E4619">
        <v>0.49452950000000001</v>
      </c>
      <c r="F4619" t="s">
        <v>39</v>
      </c>
      <c r="G4619">
        <v>-393.88799999999998</v>
      </c>
      <c r="H4619" s="1">
        <v>-3.5329309999999999E-6</v>
      </c>
      <c r="I4619">
        <v>22.10915</v>
      </c>
      <c r="J4619">
        <v>-405.69389999999999</v>
      </c>
      <c r="K4619">
        <v>1.109775</v>
      </c>
      <c r="L4619">
        <v>24.2851</v>
      </c>
      <c r="M4619">
        <v>0.89516980000000002</v>
      </c>
      <c r="N4619">
        <v>0</v>
      </c>
      <c r="O4619">
        <v>-0.44550519999999999</v>
      </c>
      <c r="P4619">
        <v>0.98096849999999902</v>
      </c>
      <c r="Q4619">
        <v>3.8996780000000002E-2</v>
      </c>
      <c r="R4619">
        <v>-0.1902114</v>
      </c>
      <c r="S4619">
        <v>2.9599299999999999</v>
      </c>
      <c r="T4619">
        <v>-0.2731054</v>
      </c>
      <c r="U4619">
        <v>-0.56158450000000004</v>
      </c>
      <c r="V4619">
        <v>-0.26738909999999899</v>
      </c>
      <c r="W4619">
        <v>4.9301490000000003E-2</v>
      </c>
      <c r="X4619">
        <v>0.96232659999999903</v>
      </c>
      <c r="Y4619">
        <v>-0.26809470000000002</v>
      </c>
      <c r="Z4619">
        <v>5.1355489999999997E-2</v>
      </c>
      <c r="AA4619">
        <v>0.96202279999999996</v>
      </c>
      <c r="AB4619">
        <v>29</v>
      </c>
      <c r="AC4619">
        <v>11.8058999999999</v>
      </c>
      <c r="AD4619">
        <v>-1.1097785329309999</v>
      </c>
      <c r="AE4619">
        <v>-2.1759499999999998</v>
      </c>
      <c r="AF4619">
        <v>-3.2840046265168001</v>
      </c>
      <c r="AG4619">
        <v>-1.1097785329309999</v>
      </c>
      <c r="AH4619">
        <v>11.4410379892379</v>
      </c>
      <c r="AI4619">
        <v>95.326572779571705</v>
      </c>
      <c r="AJ4619">
        <v>106.01545340063799</v>
      </c>
      <c r="AK4619">
        <v>11.954649515996801</v>
      </c>
    </row>
    <row r="4620" spans="1:37" x14ac:dyDescent="0.2">
      <c r="A4620" t="str">
        <f>"20200111153744237"</f>
        <v>20200111153744237</v>
      </c>
      <c r="B4620" t="str">
        <f>"1578728264228049"</f>
        <v>1578728264228049</v>
      </c>
      <c r="C4620" t="s">
        <v>37</v>
      </c>
      <c r="D4620">
        <v>6.2336580000000001</v>
      </c>
      <c r="E4620">
        <v>0.49477280000000001</v>
      </c>
      <c r="F4620" t="s">
        <v>39</v>
      </c>
      <c r="G4620">
        <v>-393.5951</v>
      </c>
      <c r="H4620" s="1">
        <v>-3.6475479999999999E-6</v>
      </c>
      <c r="I4620">
        <v>22.019449999999999</v>
      </c>
      <c r="J4620">
        <v>-405.51089999999999</v>
      </c>
      <c r="K4620">
        <v>1.109699</v>
      </c>
      <c r="L4620">
        <v>24.19876</v>
      </c>
      <c r="M4620">
        <v>0.89700530000000001</v>
      </c>
      <c r="N4620">
        <v>0</v>
      </c>
      <c r="O4620">
        <v>-0.44179819999999997</v>
      </c>
      <c r="P4620">
        <v>0.98174619999999901</v>
      </c>
      <c r="Q4620">
        <v>3.9224769999999999E-2</v>
      </c>
      <c r="R4620">
        <v>-0.18610760000000001</v>
      </c>
      <c r="S4620">
        <v>2.9614560000000001</v>
      </c>
      <c r="T4620">
        <v>-0.27164139999999998</v>
      </c>
      <c r="U4620">
        <v>-0.55456539999999999</v>
      </c>
      <c r="V4620">
        <v>-0.2674204</v>
      </c>
      <c r="W4620">
        <v>4.9566760000000001E-2</v>
      </c>
      <c r="X4620">
        <v>0.96230419999999905</v>
      </c>
      <c r="Y4620">
        <v>-0.26645350000000001</v>
      </c>
      <c r="Z4620">
        <v>5.0697310000000002E-2</v>
      </c>
      <c r="AA4620">
        <v>0.96251359999999997</v>
      </c>
      <c r="AB4620">
        <v>29</v>
      </c>
      <c r="AC4620">
        <v>11.9157999999999</v>
      </c>
      <c r="AD4620">
        <v>-1.1097026475480001</v>
      </c>
      <c r="AE4620">
        <v>-2.1793100000000001</v>
      </c>
      <c r="AF4620">
        <v>-3.2823046275971501</v>
      </c>
      <c r="AG4620">
        <v>-1.1097026475480001</v>
      </c>
      <c r="AH4620">
        <v>11.5555154965667</v>
      </c>
      <c r="AI4620">
        <v>95.277886502496003</v>
      </c>
      <c r="AJ4620">
        <v>105.8570159132</v>
      </c>
      <c r="AK4620">
        <v>12.063784730577501</v>
      </c>
    </row>
    <row r="4621" spans="1:37" x14ac:dyDescent="0.2">
      <c r="A4621" t="str">
        <f>"20200111153744252"</f>
        <v>20200111153744252</v>
      </c>
      <c r="B4621" t="str">
        <f>"1578728264237808"</f>
        <v>1578728264237808</v>
      </c>
      <c r="C4621" t="s">
        <v>37</v>
      </c>
      <c r="D4621">
        <v>5.9991690000000002</v>
      </c>
      <c r="E4621">
        <v>0.49501279999999998</v>
      </c>
      <c r="F4621" t="s">
        <v>39</v>
      </c>
      <c r="G4621">
        <v>-393.37689999999998</v>
      </c>
      <c r="H4621" s="1">
        <v>-3.7373419999999899E-6</v>
      </c>
      <c r="I4621">
        <v>21.96942</v>
      </c>
      <c r="J4621">
        <v>-405.34739999999999</v>
      </c>
      <c r="K4621">
        <v>1.109632</v>
      </c>
      <c r="L4621">
        <v>24.122529999999902</v>
      </c>
      <c r="M4621">
        <v>0.89860119999999899</v>
      </c>
      <c r="N4621">
        <v>0</v>
      </c>
      <c r="O4621">
        <v>-0.43854340000000003</v>
      </c>
      <c r="P4621">
        <v>0.98238490000000001</v>
      </c>
      <c r="Q4621">
        <v>4.0069470000000003E-2</v>
      </c>
      <c r="R4621">
        <v>-0.18252170000000001</v>
      </c>
      <c r="S4621">
        <v>2.9634399999999999</v>
      </c>
      <c r="T4621">
        <v>-0.271018599999999</v>
      </c>
      <c r="U4621">
        <v>-0.54446410000000001</v>
      </c>
      <c r="V4621">
        <v>-0.26743109999999998</v>
      </c>
      <c r="W4621">
        <v>5.0443519999999999E-2</v>
      </c>
      <c r="X4621">
        <v>0.96225569999999905</v>
      </c>
      <c r="Y4621">
        <v>-0.26627479999999998</v>
      </c>
      <c r="Z4621">
        <v>5.0299699999999899E-2</v>
      </c>
      <c r="AA4621">
        <v>0.96258390000000005</v>
      </c>
      <c r="AB4621">
        <v>29</v>
      </c>
      <c r="AC4621">
        <v>11.970499999999999</v>
      </c>
      <c r="AD4621">
        <v>-1.1096357373420001</v>
      </c>
      <c r="AE4621">
        <v>-2.1531099999999901</v>
      </c>
      <c r="AF4621">
        <v>-3.28775495167495</v>
      </c>
      <c r="AG4621">
        <v>-1.1096357373420001</v>
      </c>
      <c r="AH4621">
        <v>11.6054834358281</v>
      </c>
      <c r="AI4621">
        <v>95.256008370525095</v>
      </c>
      <c r="AJ4621">
        <v>105.817067214161</v>
      </c>
      <c r="AK4621">
        <v>12.1131279969762</v>
      </c>
    </row>
    <row r="4622" spans="1:37" x14ac:dyDescent="0.2">
      <c r="A4622" t="str">
        <f>"20200111153744269"</f>
        <v>20200111153744269</v>
      </c>
      <c r="B4622" t="str">
        <f>"1578728264258304"</f>
        <v>1578728264258304</v>
      </c>
      <c r="C4622" t="s">
        <v>37</v>
      </c>
      <c r="D4622">
        <v>6.1704910000000002</v>
      </c>
      <c r="E4622">
        <v>0.49559239999999999</v>
      </c>
      <c r="F4622" t="s">
        <v>39</v>
      </c>
      <c r="G4622">
        <v>-393.15499999999997</v>
      </c>
      <c r="H4622" s="1">
        <v>-3.828798E-6</v>
      </c>
      <c r="I4622">
        <v>21.91892</v>
      </c>
      <c r="J4622">
        <v>-405.14749999999998</v>
      </c>
      <c r="K4622">
        <v>1.1095469999999901</v>
      </c>
      <c r="L4622">
        <v>24.030059999999999</v>
      </c>
      <c r="M4622">
        <v>0.90050569999999897</v>
      </c>
      <c r="N4622">
        <v>0</v>
      </c>
      <c r="O4622">
        <v>-0.4346199</v>
      </c>
      <c r="P4622">
        <v>0.98301269999999996</v>
      </c>
      <c r="Q4622">
        <v>4.1263319999999999E-2</v>
      </c>
      <c r="R4622">
        <v>-0.17883969999999999</v>
      </c>
      <c r="S4622">
        <v>2.9652099999999999</v>
      </c>
      <c r="T4622">
        <v>-0.26986490000000002</v>
      </c>
      <c r="U4622">
        <v>-0.53591919999999904</v>
      </c>
      <c r="V4622">
        <v>-0.26682040000000001</v>
      </c>
      <c r="W4622">
        <v>5.168739E-2</v>
      </c>
      <c r="X4622">
        <v>0.96235919999999897</v>
      </c>
      <c r="Y4622">
        <v>-0.26490209999999997</v>
      </c>
      <c r="Z4622">
        <v>4.9697350000000001E-2</v>
      </c>
      <c r="AA4622">
        <v>0.96299380000000001</v>
      </c>
      <c r="AB4622">
        <v>29</v>
      </c>
      <c r="AC4622">
        <v>11.9925</v>
      </c>
      <c r="AD4622">
        <v>-1.1095508287979901</v>
      </c>
      <c r="AE4622">
        <v>-2.11113999999999</v>
      </c>
      <c r="AF4622">
        <v>-3.2841411455746399</v>
      </c>
      <c r="AG4622">
        <v>-1.1095508287979901</v>
      </c>
      <c r="AH4622">
        <v>11.621510562686</v>
      </c>
      <c r="AI4622">
        <v>95.249360384457603</v>
      </c>
      <c r="AJ4622">
        <v>105.77984569963699</v>
      </c>
      <c r="AK4622">
        <v>12.1274974279265</v>
      </c>
    </row>
    <row r="4623" spans="1:37" x14ac:dyDescent="0.2">
      <c r="A4623" t="str">
        <f>"20200111153744312"</f>
        <v>20200111153744312</v>
      </c>
      <c r="B4623" t="str">
        <f>"1578728264298320"</f>
        <v>1578728264298320</v>
      </c>
      <c r="C4623" t="s">
        <v>37</v>
      </c>
      <c r="D4623">
        <v>6.0635919999999999</v>
      </c>
      <c r="E4623">
        <v>0.49630449999999998</v>
      </c>
      <c r="F4623" t="s">
        <v>39</v>
      </c>
      <c r="G4623">
        <v>-392.8254</v>
      </c>
      <c r="H4623" s="1">
        <v>-3.961351E-6</v>
      </c>
      <c r="I4623">
        <v>21.831429999999902</v>
      </c>
      <c r="J4623">
        <v>-404.63650000000001</v>
      </c>
      <c r="K4623">
        <v>1.1093150000000001</v>
      </c>
      <c r="L4623">
        <v>23.798069999999999</v>
      </c>
      <c r="M4623">
        <v>0.90512009999999898</v>
      </c>
      <c r="N4623">
        <v>0</v>
      </c>
      <c r="O4623">
        <v>-0.42492819999999998</v>
      </c>
      <c r="P4623">
        <v>0.98473729999999904</v>
      </c>
      <c r="Q4623">
        <v>4.0970260000000001E-2</v>
      </c>
      <c r="R4623">
        <v>-0.16915739999999899</v>
      </c>
      <c r="S4623">
        <v>2.9667659999999998</v>
      </c>
      <c r="T4623">
        <v>-0.26714339999999998</v>
      </c>
      <c r="U4623">
        <v>-0.52935790000000005</v>
      </c>
      <c r="V4623">
        <v>-0.26593040000000001</v>
      </c>
      <c r="W4623">
        <v>5.1520719999999999E-2</v>
      </c>
      <c r="X4623">
        <v>0.96261450000000004</v>
      </c>
      <c r="Y4623">
        <v>-0.25681579999999998</v>
      </c>
      <c r="Z4623">
        <v>4.8048889999999997E-2</v>
      </c>
      <c r="AA4623">
        <v>0.96526520000000005</v>
      </c>
      <c r="AB4623">
        <v>29</v>
      </c>
      <c r="AC4623">
        <v>11.8111</v>
      </c>
      <c r="AD4623">
        <v>-1.1093189613509999</v>
      </c>
      <c r="AE4623">
        <v>-1.9666399999999999</v>
      </c>
      <c r="AF4623">
        <v>-3.2115717316255599</v>
      </c>
      <c r="AG4623">
        <v>-1.1093189613509999</v>
      </c>
      <c r="AH4623">
        <v>11.429160721971501</v>
      </c>
      <c r="AI4623">
        <v>95.338298434299503</v>
      </c>
      <c r="AJ4623">
        <v>105.695258788704</v>
      </c>
      <c r="AK4623">
        <v>11.923527009825801</v>
      </c>
    </row>
    <row r="4624" spans="1:37" x14ac:dyDescent="0.2">
      <c r="A4624" t="str">
        <f>"20200111153744327"</f>
        <v>20200111153744327</v>
      </c>
      <c r="B4624" t="str">
        <f>"1578728264317840"</f>
        <v>1578728264317840</v>
      </c>
      <c r="C4624" t="s">
        <v>37</v>
      </c>
      <c r="D4624">
        <v>6.2095010000000004</v>
      </c>
      <c r="E4624">
        <v>0.4968225</v>
      </c>
      <c r="F4624" t="s">
        <v>39</v>
      </c>
      <c r="G4624">
        <v>-392.42570000000001</v>
      </c>
      <c r="H4624" s="1">
        <v>-4.1200130000000001E-6</v>
      </c>
      <c r="I4624">
        <v>21.717579999999899</v>
      </c>
      <c r="J4624">
        <v>-404.46039999999999</v>
      </c>
      <c r="K4624">
        <v>1.109232</v>
      </c>
      <c r="L4624">
        <v>23.71951</v>
      </c>
      <c r="M4624">
        <v>0.9066284</v>
      </c>
      <c r="N4624">
        <v>0</v>
      </c>
      <c r="O4624">
        <v>-0.42170079999999999</v>
      </c>
      <c r="P4624">
        <v>0.9853594</v>
      </c>
      <c r="Q4624">
        <v>4.0560510000000001E-2</v>
      </c>
      <c r="R4624">
        <v>-0.16559579999999999</v>
      </c>
      <c r="S4624">
        <v>2.9707949999999999</v>
      </c>
      <c r="T4624">
        <v>-0.26988759999999901</v>
      </c>
      <c r="U4624">
        <v>-0.50616459999999996</v>
      </c>
      <c r="V4624">
        <v>-0.26597359999999998</v>
      </c>
      <c r="W4624">
        <v>5.1150229999999998E-2</v>
      </c>
      <c r="X4624">
        <v>0.96262230000000004</v>
      </c>
      <c r="Y4624">
        <v>-0.26085659999999999</v>
      </c>
      <c r="Z4624">
        <v>4.8442680000000002E-2</v>
      </c>
      <c r="AA4624">
        <v>0.9641613</v>
      </c>
      <c r="AB4624">
        <v>29</v>
      </c>
      <c r="AC4624">
        <v>12.0346999999999</v>
      </c>
      <c r="AD4624">
        <v>-1.1092361200130001</v>
      </c>
      <c r="AE4624">
        <v>-2.0019300000000002</v>
      </c>
      <c r="AF4624">
        <v>-3.2336204588467599</v>
      </c>
      <c r="AG4624">
        <v>-1.1092361200130001</v>
      </c>
      <c r="AH4624">
        <v>11.659965594315601</v>
      </c>
      <c r="AI4624">
        <v>95.237782653234603</v>
      </c>
      <c r="AJ4624">
        <v>105.500117800201</v>
      </c>
      <c r="AK4624">
        <v>12.1507820202009</v>
      </c>
    </row>
    <row r="4625" spans="1:37" x14ac:dyDescent="0.2">
      <c r="A4625" t="str">
        <f>"20200111153744347"</f>
        <v>20200111153744347</v>
      </c>
      <c r="B4625" t="str">
        <f>"1578728264338336"</f>
        <v>1578728264338336</v>
      </c>
      <c r="C4625" t="s">
        <v>37</v>
      </c>
      <c r="D4625">
        <v>6.2124959999999998</v>
      </c>
      <c r="E4625">
        <v>0.497507799999999</v>
      </c>
      <c r="F4625" t="s">
        <v>39</v>
      </c>
      <c r="G4625">
        <v>-392.35410000000002</v>
      </c>
      <c r="H4625" s="1">
        <v>-4.1445349999999998E-6</v>
      </c>
      <c r="I4625">
        <v>21.68261</v>
      </c>
      <c r="J4625">
        <v>-404.22489999999999</v>
      </c>
      <c r="K4625">
        <v>1.109116</v>
      </c>
      <c r="L4625">
        <v>23.615479999999899</v>
      </c>
      <c r="M4625">
        <v>0.90858030000000001</v>
      </c>
      <c r="N4625">
        <v>0</v>
      </c>
      <c r="O4625">
        <v>-0.41747919999999999</v>
      </c>
      <c r="P4625">
        <v>0.98620859999999899</v>
      </c>
      <c r="Q4625">
        <v>3.9669009999999998E-2</v>
      </c>
      <c r="R4625">
        <v>-0.16068379999999999</v>
      </c>
      <c r="S4625">
        <v>2.9717410000000002</v>
      </c>
      <c r="T4625">
        <v>-0.27228550000000001</v>
      </c>
      <c r="U4625">
        <v>-0.5</v>
      </c>
      <c r="V4625">
        <v>-0.26628469999999999</v>
      </c>
      <c r="W4625">
        <v>5.0310649999999998E-2</v>
      </c>
      <c r="X4625">
        <v>0.96258060000000001</v>
      </c>
      <c r="Y4625">
        <v>-0.25834170000000001</v>
      </c>
      <c r="Z4625">
        <v>4.840713E-2</v>
      </c>
      <c r="AA4625">
        <v>0.96484009999999998</v>
      </c>
      <c r="AB4625">
        <v>29</v>
      </c>
      <c r="AC4625">
        <v>11.8707999999999</v>
      </c>
      <c r="AD4625">
        <v>-1.1091201445350001</v>
      </c>
      <c r="AE4625">
        <v>-1.9328699999999901</v>
      </c>
      <c r="AF4625">
        <v>-3.1729696764533499</v>
      </c>
      <c r="AG4625">
        <v>-1.1091201445350001</v>
      </c>
      <c r="AH4625">
        <v>11.4958635880693</v>
      </c>
      <c r="AI4625">
        <v>95.313362254230995</v>
      </c>
      <c r="AJ4625">
        <v>105.430020625792</v>
      </c>
      <c r="AK4625">
        <v>11.977176783290901</v>
      </c>
    </row>
    <row r="4626" spans="1:37" x14ac:dyDescent="0.2">
      <c r="A4626" t="str">
        <f>"20200111153744368"</f>
        <v>20200111153744368</v>
      </c>
      <c r="B4626" t="str">
        <f>"1578728264357859"</f>
        <v>1578728264357859</v>
      </c>
      <c r="C4626" t="s">
        <v>37</v>
      </c>
      <c r="D4626">
        <v>6.1977529999999996</v>
      </c>
      <c r="E4626">
        <v>0.49749559999999998</v>
      </c>
      <c r="F4626" t="s">
        <v>39</v>
      </c>
      <c r="G4626">
        <v>-392.30090000000001</v>
      </c>
      <c r="H4626" s="1">
        <v>-4.1599120000000001E-6</v>
      </c>
      <c r="I4626">
        <v>21.645879999999998</v>
      </c>
      <c r="J4626">
        <v>-403.97039999999998</v>
      </c>
      <c r="K4626">
        <v>1.108981</v>
      </c>
      <c r="L4626">
        <v>23.504390000000001</v>
      </c>
      <c r="M4626">
        <v>0.91060450000000004</v>
      </c>
      <c r="N4626">
        <v>0</v>
      </c>
      <c r="O4626">
        <v>-0.41304639999999998</v>
      </c>
      <c r="P4626">
        <v>0.98697749999999995</v>
      </c>
      <c r="Q4626">
        <v>3.873911E-2</v>
      </c>
      <c r="R4626">
        <v>-0.15612590000000001</v>
      </c>
      <c r="S4626">
        <v>2.97305299999999</v>
      </c>
      <c r="T4626">
        <v>-0.2765415</v>
      </c>
      <c r="U4626">
        <v>-0.49108889999999999</v>
      </c>
      <c r="V4626">
        <v>-0.26603090000000001</v>
      </c>
      <c r="W4626">
        <v>4.9445790000000003E-2</v>
      </c>
      <c r="X4626">
        <v>0.96269550000000004</v>
      </c>
      <c r="Y4626">
        <v>-0.25646049999999998</v>
      </c>
      <c r="Z4626">
        <v>4.8699239999999998E-2</v>
      </c>
      <c r="AA4626">
        <v>0.96532709999999999</v>
      </c>
      <c r="AB4626">
        <v>29</v>
      </c>
      <c r="AC4626">
        <v>11.6694999999999</v>
      </c>
      <c r="AD4626">
        <v>-1.108985159912</v>
      </c>
      <c r="AE4626">
        <v>-1.8585100000000001</v>
      </c>
      <c r="AF4626">
        <v>-3.1006677357921499</v>
      </c>
      <c r="AG4626">
        <v>-1.108985159912</v>
      </c>
      <c r="AH4626">
        <v>11.2955554302556</v>
      </c>
      <c r="AI4626">
        <v>95.408450065960196</v>
      </c>
      <c r="AJ4626">
        <v>105.34979229209701</v>
      </c>
      <c r="AK4626">
        <v>11.765779233466199</v>
      </c>
    </row>
    <row r="4627" spans="1:37" x14ac:dyDescent="0.2">
      <c r="A4627" t="str">
        <f>"20200111153744383"</f>
        <v>20200111153744383</v>
      </c>
      <c r="B4627" t="str">
        <f>"1578728264378354"</f>
        <v>1578728264378354</v>
      </c>
      <c r="C4627" t="s">
        <v>37</v>
      </c>
      <c r="D4627">
        <v>5.8479979999999996</v>
      </c>
      <c r="E4627">
        <v>0.47545169999999998</v>
      </c>
      <c r="F4627" t="s">
        <v>39</v>
      </c>
      <c r="G4627">
        <v>-392.28699999999998</v>
      </c>
      <c r="H4627" s="1">
        <v>-4.1618749999999999E-6</v>
      </c>
      <c r="I4627">
        <v>21.628589999999999</v>
      </c>
      <c r="J4627">
        <v>-403.80279999999999</v>
      </c>
      <c r="K4627">
        <v>1.108895</v>
      </c>
      <c r="L4627">
        <v>23.43188</v>
      </c>
      <c r="M4627">
        <v>0.91189519999999902</v>
      </c>
      <c r="N4627">
        <v>0</v>
      </c>
      <c r="O4627">
        <v>-0.41018919999999998</v>
      </c>
      <c r="P4627">
        <v>0.98746160000000005</v>
      </c>
      <c r="Q4627">
        <v>3.7671049999999998E-2</v>
      </c>
      <c r="R4627">
        <v>-0.15329979999999899</v>
      </c>
      <c r="S4627">
        <v>2.975098</v>
      </c>
      <c r="T4627">
        <v>-0.28239549999999902</v>
      </c>
      <c r="U4627">
        <v>-0.47766110000000001</v>
      </c>
      <c r="V4627">
        <v>-0.26576459999999902</v>
      </c>
      <c r="W4627">
        <v>4.8422769999999997E-2</v>
      </c>
      <c r="X4627">
        <v>0.96282109999999999</v>
      </c>
      <c r="Y4627">
        <v>-0.25767390000000001</v>
      </c>
      <c r="Z4627">
        <v>4.9530980000000002E-2</v>
      </c>
      <c r="AA4627">
        <v>0.96496159999999997</v>
      </c>
      <c r="AB4627">
        <v>29</v>
      </c>
      <c r="AC4627">
        <v>11.5158</v>
      </c>
      <c r="AD4627">
        <v>-1.1088991618749999</v>
      </c>
      <c r="AE4627">
        <v>-1.8032900000000001</v>
      </c>
      <c r="AF4627">
        <v>-3.0519193451233502</v>
      </c>
      <c r="AG4627">
        <v>-1.1088991618749999</v>
      </c>
      <c r="AH4627">
        <v>11.1411384923434</v>
      </c>
      <c r="AI4627">
        <v>95.483328696523103</v>
      </c>
      <c r="AJ4627">
        <v>105.319370012104</v>
      </c>
      <c r="AK4627">
        <v>11.6046902563542</v>
      </c>
    </row>
    <row r="4628" spans="1:37" x14ac:dyDescent="0.2">
      <c r="A4628" t="str">
        <f>"20200111153744396"</f>
        <v>20200111153744396</v>
      </c>
      <c r="B4628" t="str">
        <f>"1578728264388112"</f>
        <v>1578728264388112</v>
      </c>
      <c r="C4628" t="s">
        <v>37</v>
      </c>
      <c r="D4628">
        <v>6.1062949999999896</v>
      </c>
      <c r="E4628">
        <v>0.47499369999999902</v>
      </c>
      <c r="F4628" t="s">
        <v>54</v>
      </c>
      <c r="G4628">
        <v>-389.55880000000002</v>
      </c>
      <c r="H4628" s="1">
        <v>-8.5672749999999895E-7</v>
      </c>
      <c r="I4628">
        <v>22.05068</v>
      </c>
      <c r="J4628">
        <v>-403.6345</v>
      </c>
      <c r="K4628">
        <v>1.1088089999999999</v>
      </c>
      <c r="L4628">
        <v>23.35971</v>
      </c>
      <c r="M4628">
        <v>0.91315270000000004</v>
      </c>
      <c r="N4628">
        <v>0</v>
      </c>
      <c r="O4628">
        <v>-0.40738220000000003</v>
      </c>
      <c r="P4628">
        <v>0.98792000000000002</v>
      </c>
      <c r="Q4628">
        <v>3.740541E-2</v>
      </c>
      <c r="R4628">
        <v>-0.15038319999999999</v>
      </c>
      <c r="S4628">
        <v>3.0018009999999999</v>
      </c>
      <c r="T4628">
        <v>-0.2336897</v>
      </c>
      <c r="U4628">
        <v>-0.29107670000000002</v>
      </c>
      <c r="V4628">
        <v>-0.26563759999999997</v>
      </c>
      <c r="W4628">
        <v>4.8200350000000003E-2</v>
      </c>
      <c r="X4628">
        <v>0.96286729999999998</v>
      </c>
      <c r="Y4628">
        <v>-0.31528829999999902</v>
      </c>
      <c r="Z4628">
        <v>4.295057E-2</v>
      </c>
      <c r="AA4628">
        <v>0.94802350000000002</v>
      </c>
      <c r="AB4628">
        <v>29</v>
      </c>
      <c r="AC4628">
        <v>14.0756999999999</v>
      </c>
      <c r="AD4628">
        <v>-1.1088098567275</v>
      </c>
      <c r="AE4628">
        <v>-1.3090299999999999</v>
      </c>
      <c r="AF4628">
        <v>-4.51152485517607</v>
      </c>
      <c r="AG4628">
        <v>-1.1088098567275</v>
      </c>
      <c r="AH4628">
        <v>13.3059618978484</v>
      </c>
      <c r="AI4628">
        <v>94.512364892094993</v>
      </c>
      <c r="AJ4628">
        <v>108.729763119138</v>
      </c>
      <c r="AK4628">
        <v>14.093684324698099</v>
      </c>
    </row>
    <row r="4629" spans="1:37" x14ac:dyDescent="0.2">
      <c r="A4629" t="str">
        <f>"20200111153744412"</f>
        <v>20200111153744412</v>
      </c>
      <c r="B4629" t="str">
        <f>"1578728264407632"</f>
        <v>1578728264407632</v>
      </c>
      <c r="C4629" t="s">
        <v>37</v>
      </c>
      <c r="D4629">
        <v>6.1177099999999998</v>
      </c>
      <c r="E4629">
        <v>0.47471649999999999</v>
      </c>
      <c r="F4629" t="s">
        <v>54</v>
      </c>
      <c r="G4629">
        <v>-389.78089999999997</v>
      </c>
      <c r="H4629" s="1">
        <v>-7.5763210000000004E-7</v>
      </c>
      <c r="I4629">
        <v>22.072800000000001</v>
      </c>
      <c r="J4629">
        <v>-403.44990000000001</v>
      </c>
      <c r="K4629">
        <v>1.108708</v>
      </c>
      <c r="L4629">
        <v>23.281189999999999</v>
      </c>
      <c r="M4629">
        <v>0.91448549999999995</v>
      </c>
      <c r="N4629">
        <v>0</v>
      </c>
      <c r="O4629">
        <v>-0.40438209999999902</v>
      </c>
      <c r="P4629">
        <v>0.98840300000000003</v>
      </c>
      <c r="Q4629">
        <v>3.6679160000000002E-2</v>
      </c>
      <c r="R4629">
        <v>-0.14735580000000001</v>
      </c>
      <c r="S4629">
        <v>3.0033259999999999</v>
      </c>
      <c r="T4629">
        <v>-0.24037919999999999</v>
      </c>
      <c r="U4629">
        <v>-0.27899170000000001</v>
      </c>
      <c r="V4629">
        <v>-0.26541890000000001</v>
      </c>
      <c r="W4629">
        <v>4.7524490000000003E-2</v>
      </c>
      <c r="X4629">
        <v>0.96296119999999996</v>
      </c>
      <c r="Y4629">
        <v>-0.31588729999999998</v>
      </c>
      <c r="Z4629">
        <v>4.3972789999999998E-2</v>
      </c>
      <c r="AA4629">
        <v>0.94777719999999899</v>
      </c>
      <c r="AB4629">
        <v>29</v>
      </c>
      <c r="AC4629">
        <v>13.669</v>
      </c>
      <c r="AD4629">
        <v>-1.1087087576321</v>
      </c>
      <c r="AE4629">
        <v>-1.2083899999999901</v>
      </c>
      <c r="AF4629">
        <v>-4.3941818063433704</v>
      </c>
      <c r="AG4629">
        <v>-1.1087087576321</v>
      </c>
      <c r="AH4629">
        <v>12.9057479036081</v>
      </c>
      <c r="AI4629">
        <v>94.649262894117498</v>
      </c>
      <c r="AJ4629">
        <v>108.802812128425</v>
      </c>
      <c r="AK4629">
        <v>13.678318529992399</v>
      </c>
    </row>
    <row r="4630" spans="1:37" x14ac:dyDescent="0.2">
      <c r="A4630" t="str">
        <f>"20200111153744427"</f>
        <v>20200111153744427</v>
      </c>
      <c r="B4630" t="str">
        <f>"1578728264418368"</f>
        <v>1578728264418368</v>
      </c>
      <c r="C4630" t="s">
        <v>37</v>
      </c>
      <c r="D4630">
        <v>6.0530799999999996</v>
      </c>
      <c r="E4630">
        <v>0.47482059999999998</v>
      </c>
      <c r="F4630" t="s">
        <v>54</v>
      </c>
      <c r="G4630">
        <v>-389.65600000000001</v>
      </c>
      <c r="H4630" s="1">
        <v>-8.1132689999999897E-7</v>
      </c>
      <c r="I4630">
        <v>22.05275</v>
      </c>
      <c r="J4630">
        <v>-403.28370000000001</v>
      </c>
      <c r="K4630">
        <v>1.1086180000000001</v>
      </c>
      <c r="L4630">
        <v>23.210999999999999</v>
      </c>
      <c r="M4630">
        <v>0.91564869999999898</v>
      </c>
      <c r="N4630">
        <v>0</v>
      </c>
      <c r="O4630">
        <v>-0.40174219999999999</v>
      </c>
      <c r="P4630">
        <v>0.98883080000000001</v>
      </c>
      <c r="Q4630">
        <v>3.6489559999999997E-2</v>
      </c>
      <c r="R4630">
        <v>-0.14450679999999999</v>
      </c>
      <c r="S4630">
        <v>3.0042419999999899</v>
      </c>
      <c r="T4630">
        <v>-0.241471299999999</v>
      </c>
      <c r="U4630">
        <v>-0.267547599999999</v>
      </c>
      <c r="V4630">
        <v>-0.265407</v>
      </c>
      <c r="W4630">
        <v>4.7379230000000001E-2</v>
      </c>
      <c r="X4630">
        <v>0.96297160000000004</v>
      </c>
      <c r="Y4630">
        <v>-0.31674359999999901</v>
      </c>
      <c r="Z4630">
        <v>4.401186E-2</v>
      </c>
      <c r="AA4630">
        <v>0.94748960000000004</v>
      </c>
      <c r="AB4630">
        <v>29</v>
      </c>
      <c r="AC4630">
        <v>13.627700000000001</v>
      </c>
      <c r="AD4630">
        <v>-1.1086188113269</v>
      </c>
      <c r="AE4630">
        <v>-1.15824999999999</v>
      </c>
      <c r="AF4630">
        <v>-4.3858758853759898</v>
      </c>
      <c r="AG4630">
        <v>-1.1086188113269</v>
      </c>
      <c r="AH4630">
        <v>12.8602405532719</v>
      </c>
      <c r="AI4630">
        <v>94.664472875398204</v>
      </c>
      <c r="AJ4630">
        <v>108.831506958096</v>
      </c>
      <c r="AK4630">
        <v>13.6327080962943</v>
      </c>
    </row>
    <row r="4631" spans="1:37" x14ac:dyDescent="0.2">
      <c r="A4631" t="str">
        <f>"20200111153744458"</f>
        <v>20200111153744458</v>
      </c>
      <c r="B4631" t="str">
        <f>"1578728264447648"</f>
        <v>1578728264447648</v>
      </c>
      <c r="C4631" t="s">
        <v>37</v>
      </c>
      <c r="D4631">
        <v>5.7344470000000003</v>
      </c>
      <c r="E4631">
        <v>0.47540129999999903</v>
      </c>
      <c r="F4631" t="s">
        <v>54</v>
      </c>
      <c r="G4631">
        <v>-389.43790000000001</v>
      </c>
      <c r="H4631" s="1">
        <v>-9.0418199999999999E-7</v>
      </c>
      <c r="I4631">
        <v>22.014329999999902</v>
      </c>
      <c r="J4631">
        <v>-402.90010000000001</v>
      </c>
      <c r="K4631">
        <v>1.108393</v>
      </c>
      <c r="L4631">
        <v>23.05078</v>
      </c>
      <c r="M4631">
        <v>0.91819789999999901</v>
      </c>
      <c r="N4631">
        <v>0</v>
      </c>
      <c r="O4631">
        <v>-0.39588220000000002</v>
      </c>
      <c r="P4631">
        <v>0.98960749999999997</v>
      </c>
      <c r="Q4631">
        <v>3.5440340000000001E-2</v>
      </c>
      <c r="R4631">
        <v>-0.13936270000000001</v>
      </c>
      <c r="S4631">
        <v>3.0048520000000001</v>
      </c>
      <c r="T4631">
        <v>-0.24059610000000001</v>
      </c>
      <c r="U4631">
        <v>-0.25970460000000001</v>
      </c>
      <c r="V4631">
        <v>-0.26424179999999903</v>
      </c>
      <c r="W4631">
        <v>4.6455179999999999E-2</v>
      </c>
      <c r="X4631">
        <v>0.963337</v>
      </c>
      <c r="Y4631">
        <v>-0.31319809999999998</v>
      </c>
      <c r="Z4631">
        <v>4.3280159999999998E-2</v>
      </c>
      <c r="AA4631">
        <v>0.94870109999999996</v>
      </c>
      <c r="AB4631">
        <v>29</v>
      </c>
      <c r="AC4631">
        <v>13.4621999999999</v>
      </c>
      <c r="AD4631">
        <v>-1.1083939041819999</v>
      </c>
      <c r="AE4631">
        <v>-1.0364500000000001</v>
      </c>
      <c r="AF4631">
        <v>-4.3488881113110498</v>
      </c>
      <c r="AG4631">
        <v>-1.1083939041819999</v>
      </c>
      <c r="AH4631">
        <v>12.686992206130901</v>
      </c>
      <c r="AI4631">
        <v>94.724419144254796</v>
      </c>
      <c r="AJ4631">
        <v>108.92085466145301</v>
      </c>
      <c r="AK4631">
        <v>13.4573822153477</v>
      </c>
    </row>
    <row r="4632" spans="1:37" x14ac:dyDescent="0.2">
      <c r="A4632" t="str">
        <f>"20200111153744492"</f>
        <v>20200111153744492</v>
      </c>
      <c r="B4632" t="str">
        <f>"1578728264487664"</f>
        <v>1578728264487664</v>
      </c>
      <c r="C4632" t="s">
        <v>37</v>
      </c>
      <c r="D4632">
        <v>6.039263</v>
      </c>
      <c r="E4632">
        <v>0.47615000000000002</v>
      </c>
      <c r="F4632" t="s">
        <v>54</v>
      </c>
      <c r="G4632">
        <v>-389.57479999999998</v>
      </c>
      <c r="H4632" s="1">
        <v>-8.2140179999999995E-7</v>
      </c>
      <c r="I4632">
        <v>21.946390000000001</v>
      </c>
      <c r="J4632">
        <v>-402.50009999999997</v>
      </c>
      <c r="K4632">
        <v>1.108163</v>
      </c>
      <c r="L4632">
        <v>22.88644</v>
      </c>
      <c r="M4632">
        <v>0.92064579999999996</v>
      </c>
      <c r="N4632">
        <v>0</v>
      </c>
      <c r="O4632">
        <v>-0.390156</v>
      </c>
      <c r="P4632">
        <v>0.990367199999999</v>
      </c>
      <c r="Q4632">
        <v>3.4930320000000001E-2</v>
      </c>
      <c r="R4632">
        <v>-0.13398750000000001</v>
      </c>
      <c r="S4632">
        <v>3.0053709999999998</v>
      </c>
      <c r="T4632">
        <v>-0.24998679999999901</v>
      </c>
      <c r="U4632">
        <v>-0.24908449999999999</v>
      </c>
      <c r="V4632">
        <v>-0.26344899999999999</v>
      </c>
      <c r="W4632">
        <v>4.6073160000000002E-2</v>
      </c>
      <c r="X4632">
        <v>0.9635724</v>
      </c>
      <c r="Y4632">
        <v>-0.31048150000000002</v>
      </c>
      <c r="Z4632">
        <v>4.441639E-2</v>
      </c>
      <c r="AA4632">
        <v>0.94954119999999997</v>
      </c>
      <c r="AB4632">
        <v>29</v>
      </c>
      <c r="AC4632">
        <v>12.925299999999901</v>
      </c>
      <c r="AD4632">
        <v>-1.1081638214017999</v>
      </c>
      <c r="AE4632">
        <v>-0.94004999999999905</v>
      </c>
      <c r="AF4632">
        <v>-4.1474998820600799</v>
      </c>
      <c r="AG4632">
        <v>-1.1081638214017999</v>
      </c>
      <c r="AH4632">
        <v>12.178503291544899</v>
      </c>
      <c r="AI4632">
        <v>94.923044528374504</v>
      </c>
      <c r="AJ4632">
        <v>108.806741979671</v>
      </c>
      <c r="AK4632">
        <v>12.9130060307011</v>
      </c>
    </row>
    <row r="4633" spans="1:37" x14ac:dyDescent="0.2">
      <c r="A4633" t="str">
        <f>"20200111153744513"</f>
        <v>20200111153744513</v>
      </c>
      <c r="B4633" t="str">
        <f>"1578728264508159"</f>
        <v>1578728264508159</v>
      </c>
      <c r="C4633" t="s">
        <v>37</v>
      </c>
      <c r="D4633">
        <v>6.0534650000000001</v>
      </c>
      <c r="E4633">
        <v>0.47662559999999898</v>
      </c>
      <c r="F4633" t="s">
        <v>54</v>
      </c>
      <c r="G4633">
        <v>-388.91050000000001</v>
      </c>
      <c r="H4633" s="1">
        <v>-1.0991819999999999E-6</v>
      </c>
      <c r="I4633">
        <v>21.810199999999998</v>
      </c>
      <c r="J4633">
        <v>-402.25020000000001</v>
      </c>
      <c r="K4633">
        <v>1.108031</v>
      </c>
      <c r="L4633">
        <v>22.784970000000001</v>
      </c>
      <c r="M4633">
        <v>0.92207240000000001</v>
      </c>
      <c r="N4633">
        <v>0</v>
      </c>
      <c r="O4633">
        <v>-0.38677299999999998</v>
      </c>
      <c r="P4633">
        <v>0.99077590000000004</v>
      </c>
      <c r="Q4633">
        <v>3.4741500000000002E-2</v>
      </c>
      <c r="R4633">
        <v>-0.13098270000000001</v>
      </c>
      <c r="S4633">
        <v>3.005646</v>
      </c>
      <c r="T4633">
        <v>-0.2450957</v>
      </c>
      <c r="U4633">
        <v>-0.2380371</v>
      </c>
      <c r="V4633">
        <v>-0.26281850000000001</v>
      </c>
      <c r="W4633">
        <v>4.5967889999999997E-2</v>
      </c>
      <c r="X4633">
        <v>0.96374959999999898</v>
      </c>
      <c r="Y4633">
        <v>-0.31056689999999998</v>
      </c>
      <c r="Z4633">
        <v>4.3306669999999998E-2</v>
      </c>
      <c r="AA4633">
        <v>0.94956450000000003</v>
      </c>
      <c r="AB4633">
        <v>29</v>
      </c>
      <c r="AC4633">
        <v>13.339699999999899</v>
      </c>
      <c r="AD4633">
        <v>-1.1080320991820001</v>
      </c>
      <c r="AE4633">
        <v>-0.97477000000000302</v>
      </c>
      <c r="AF4633">
        <v>-4.2319870757044997</v>
      </c>
      <c r="AG4633">
        <v>-1.1080320991820001</v>
      </c>
      <c r="AH4633">
        <v>12.5919671001678</v>
      </c>
      <c r="AI4633">
        <v>94.768026323644804</v>
      </c>
      <c r="AJ4633">
        <v>108.576789144499</v>
      </c>
      <c r="AK4633">
        <v>13.3302320007363</v>
      </c>
    </row>
    <row r="4634" spans="1:37" x14ac:dyDescent="0.2">
      <c r="A4634" t="str">
        <f>"20200111153744527"</f>
        <v>20200111153744527</v>
      </c>
      <c r="B4634" t="str">
        <f>"1578728264517921"</f>
        <v>1578728264517921</v>
      </c>
      <c r="C4634" t="s">
        <v>37</v>
      </c>
      <c r="D4634">
        <v>5.8479700000000001</v>
      </c>
      <c r="E4634">
        <v>0.476713099999999</v>
      </c>
      <c r="F4634" t="s">
        <v>54</v>
      </c>
      <c r="G4634">
        <v>-388.50199999999899</v>
      </c>
      <c r="H4634" s="1">
        <v>-1.2688020000000001E-6</v>
      </c>
      <c r="I4634">
        <v>21.72185</v>
      </c>
      <c r="J4634">
        <v>-402.08139999999997</v>
      </c>
      <c r="K4634">
        <v>1.107939</v>
      </c>
      <c r="L4634">
        <v>22.716919999999998</v>
      </c>
      <c r="M4634">
        <v>0.92299050000000005</v>
      </c>
      <c r="N4634">
        <v>0</v>
      </c>
      <c r="O4634">
        <v>-0.38457720000000001</v>
      </c>
      <c r="P4634">
        <v>0.99104139999999996</v>
      </c>
      <c r="Q4634">
        <v>3.4569030000000001E-2</v>
      </c>
      <c r="R4634">
        <v>-0.1290027</v>
      </c>
      <c r="S4634">
        <v>3.0056759999999998</v>
      </c>
      <c r="T4634">
        <v>-0.24224119999999999</v>
      </c>
      <c r="U4634">
        <v>-0.23242189999999999</v>
      </c>
      <c r="V4634">
        <v>-0.26243929999999999</v>
      </c>
      <c r="W4634">
        <v>4.585214E-2</v>
      </c>
      <c r="X4634">
        <v>0.96385849999999995</v>
      </c>
      <c r="Y4634">
        <v>-0.31012849999999997</v>
      </c>
      <c r="Z4634">
        <v>4.2627859999999997E-2</v>
      </c>
      <c r="AA4634">
        <v>0.94973850000000004</v>
      </c>
      <c r="AB4634">
        <v>29</v>
      </c>
      <c r="AC4634">
        <v>13.5794</v>
      </c>
      <c r="AD4634">
        <v>-1.1079402688019999</v>
      </c>
      <c r="AE4634">
        <v>-0.99507000000000201</v>
      </c>
      <c r="AF4634">
        <v>-4.2759813451119699</v>
      </c>
      <c r="AG4634">
        <v>-1.1079402688019999</v>
      </c>
      <c r="AH4634">
        <v>12.8325897279486</v>
      </c>
      <c r="AI4634">
        <v>94.682666030915797</v>
      </c>
      <c r="AJ4634">
        <v>108.42872588069</v>
      </c>
      <c r="AK4634">
        <v>13.5715477094114</v>
      </c>
    </row>
    <row r="4635" spans="1:37" x14ac:dyDescent="0.2">
      <c r="A4635" t="str">
        <f>"20200111153744541"</f>
        <v>20200111153744541</v>
      </c>
      <c r="B4635" t="str">
        <f>"1578728264537440"</f>
        <v>1578728264537440</v>
      </c>
      <c r="C4635" t="s">
        <v>37</v>
      </c>
      <c r="D4635">
        <v>5.996829</v>
      </c>
      <c r="E4635">
        <v>0.47731179999999901</v>
      </c>
      <c r="F4635" t="s">
        <v>54</v>
      </c>
      <c r="G4635">
        <v>-388.43369999999999</v>
      </c>
      <c r="H4635" s="1">
        <v>-1.2913889999999999E-6</v>
      </c>
      <c r="I4635">
        <v>21.685559999999999</v>
      </c>
      <c r="J4635">
        <v>-401.9203</v>
      </c>
      <c r="K4635">
        <v>1.1078520000000001</v>
      </c>
      <c r="L4635">
        <v>22.652249999999999</v>
      </c>
      <c r="M4635">
        <v>0.9238402</v>
      </c>
      <c r="N4635">
        <v>0</v>
      </c>
      <c r="O4635">
        <v>-0.3825325</v>
      </c>
      <c r="P4635">
        <v>0.99129820000000002</v>
      </c>
      <c r="Q4635">
        <v>3.4680199999999897E-2</v>
      </c>
      <c r="R4635">
        <v>-0.12698589999999901</v>
      </c>
      <c r="S4635">
        <v>3.0061040000000001</v>
      </c>
      <c r="T4635">
        <v>-0.24404099999999901</v>
      </c>
      <c r="U4635">
        <v>-0.22717289999999901</v>
      </c>
      <c r="V4635">
        <v>-0.26225529999999903</v>
      </c>
      <c r="W4635">
        <v>4.6015050000000002E-2</v>
      </c>
      <c r="X4635">
        <v>0.9639008</v>
      </c>
      <c r="Y4635">
        <v>-0.30965890000000001</v>
      </c>
      <c r="Z4635">
        <v>4.2769969999999997E-2</v>
      </c>
      <c r="AA4635">
        <v>0.94988530000000004</v>
      </c>
      <c r="AB4635">
        <v>29</v>
      </c>
      <c r="AC4635">
        <v>13.486599999999999</v>
      </c>
      <c r="AD4635">
        <v>-1.107853291389</v>
      </c>
      <c r="AE4635">
        <v>-0.96668999999999905</v>
      </c>
      <c r="AF4635">
        <v>-4.2379466853831103</v>
      </c>
      <c r="AG4635">
        <v>-1.107853291389</v>
      </c>
      <c r="AH4635">
        <v>12.7449008677896</v>
      </c>
      <c r="AI4635">
        <v>94.715343891508297</v>
      </c>
      <c r="AJ4635">
        <v>108.393047667053</v>
      </c>
      <c r="AK4635">
        <v>13.476647548748</v>
      </c>
    </row>
    <row r="4636" spans="1:37" x14ac:dyDescent="0.2">
      <c r="A4636" t="str">
        <f>"20200111153744558"</f>
        <v>20200111153744558</v>
      </c>
      <c r="B4636" t="str">
        <f>"1578728264548176"</f>
        <v>1578728264548176</v>
      </c>
      <c r="C4636" t="s">
        <v>37</v>
      </c>
      <c r="D4636">
        <v>5.9107909999999997</v>
      </c>
      <c r="E4636">
        <v>0.47734110000000002</v>
      </c>
      <c r="F4636" t="s">
        <v>54</v>
      </c>
      <c r="G4636">
        <v>-388.26389999999998</v>
      </c>
      <c r="H4636" s="1">
        <v>-1.3557669999999999E-6</v>
      </c>
      <c r="I4636">
        <v>21.625859999999999</v>
      </c>
      <c r="J4636">
        <v>-401.7038</v>
      </c>
      <c r="K4636">
        <v>1.107726</v>
      </c>
      <c r="L4636">
        <v>22.566009999999999</v>
      </c>
      <c r="M4636">
        <v>0.92492739999999996</v>
      </c>
      <c r="N4636">
        <v>0</v>
      </c>
      <c r="O4636">
        <v>-0.37989580000000001</v>
      </c>
      <c r="P4636">
        <v>0.99156840000000002</v>
      </c>
      <c r="Q4636">
        <v>3.6145190000000001E-2</v>
      </c>
      <c r="R4636">
        <v>-0.12444089999999999</v>
      </c>
      <c r="S4636">
        <v>3.0059200000000001</v>
      </c>
      <c r="T4636">
        <v>-0.2438517</v>
      </c>
      <c r="U4636">
        <v>-0.2259216</v>
      </c>
      <c r="V4636">
        <v>-0.261957</v>
      </c>
      <c r="W4636">
        <v>4.7548310000000003E-2</v>
      </c>
      <c r="X4636">
        <v>0.96390750000000003</v>
      </c>
      <c r="Y4636">
        <v>-0.30735469999999998</v>
      </c>
      <c r="Z4636">
        <v>4.244908E-2</v>
      </c>
      <c r="AA4636">
        <v>0.95064780000000004</v>
      </c>
      <c r="AB4636">
        <v>29</v>
      </c>
      <c r="AC4636">
        <v>13.4399</v>
      </c>
      <c r="AD4636">
        <v>-1.107727355767</v>
      </c>
      <c r="AE4636">
        <v>-0.94015000000000204</v>
      </c>
      <c r="AF4636">
        <v>-4.2081428481343899</v>
      </c>
      <c r="AG4636">
        <v>-1.107727355767</v>
      </c>
      <c r="AH4636">
        <v>12.7034196486157</v>
      </c>
      <c r="AI4636">
        <v>94.731910587842293</v>
      </c>
      <c r="AJ4636">
        <v>108.32800121993201</v>
      </c>
      <c r="AK4636">
        <v>13.4280451627872</v>
      </c>
    </row>
    <row r="4637" spans="1:37" x14ac:dyDescent="0.2">
      <c r="A4637" t="str">
        <f>"20200111153744580"</f>
        <v>20200111153744580</v>
      </c>
      <c r="B4637" t="str">
        <f>"1578728264577458"</f>
        <v>1578728264577458</v>
      </c>
      <c r="C4637" t="s">
        <v>37</v>
      </c>
      <c r="D4637">
        <v>5.7916939999999997</v>
      </c>
      <c r="E4637">
        <v>0.47741289999999997</v>
      </c>
      <c r="F4637" t="s">
        <v>54</v>
      </c>
      <c r="G4637">
        <v>-387.90629999999999</v>
      </c>
      <c r="H4637" s="1">
        <v>-1.50827E-6</v>
      </c>
      <c r="I4637">
        <v>21.56352</v>
      </c>
      <c r="J4637">
        <v>-401.44959999999998</v>
      </c>
      <c r="K4637">
        <v>1.107577</v>
      </c>
      <c r="L4637">
        <v>22.465450000000001</v>
      </c>
      <c r="M4637">
        <v>0.92613709999999905</v>
      </c>
      <c r="N4637">
        <v>0</v>
      </c>
      <c r="O4637">
        <v>-0.376938</v>
      </c>
      <c r="P4637">
        <v>0.99189280000000002</v>
      </c>
      <c r="Q4637">
        <v>3.6076810000000001E-2</v>
      </c>
      <c r="R4637">
        <v>-0.1218505</v>
      </c>
      <c r="S4637">
        <v>3.0069270000000001</v>
      </c>
      <c r="T4637">
        <v>-0.24140879999999901</v>
      </c>
      <c r="U4637">
        <v>-0.21847529999999901</v>
      </c>
      <c r="V4637">
        <v>-0.26137769999999999</v>
      </c>
      <c r="W4637">
        <v>4.7559259999999999E-2</v>
      </c>
      <c r="X4637">
        <v>0.96406420000000004</v>
      </c>
      <c r="Y4637">
        <v>-0.30673489999999998</v>
      </c>
      <c r="Z4637">
        <v>4.1772999999999998E-2</v>
      </c>
      <c r="AA4637">
        <v>0.9508778</v>
      </c>
      <c r="AB4637">
        <v>29</v>
      </c>
      <c r="AC4637">
        <v>13.543299999999901</v>
      </c>
      <c r="AD4637">
        <v>-1.10757850827</v>
      </c>
      <c r="AE4637">
        <v>-0.90192999999999901</v>
      </c>
      <c r="AF4637">
        <v>-4.2418302511512298</v>
      </c>
      <c r="AG4637">
        <v>-1.10757850827</v>
      </c>
      <c r="AH4637">
        <v>12.798912349241601</v>
      </c>
      <c r="AI4637">
        <v>94.695911996740307</v>
      </c>
      <c r="AJ4637">
        <v>108.336288298602</v>
      </c>
      <c r="AK4637">
        <v>13.528932380462701</v>
      </c>
    </row>
    <row r="4638" spans="1:37" x14ac:dyDescent="0.2">
      <c r="A4638" t="str">
        <f>"20200111153744594"</f>
        <v>20200111153744594</v>
      </c>
      <c r="B4638" t="str">
        <f>"1578728264588192"</f>
        <v>1578728264588192</v>
      </c>
      <c r="C4638" t="s">
        <v>37</v>
      </c>
      <c r="D4638">
        <v>5.665184</v>
      </c>
      <c r="E4638">
        <v>0.4779504</v>
      </c>
      <c r="F4638" t="s">
        <v>54</v>
      </c>
      <c r="G4638">
        <v>-387.79140000000001</v>
      </c>
      <c r="H4638" s="1">
        <v>-1.5476020000000001E-6</v>
      </c>
      <c r="I4638">
        <v>21.507359999999998</v>
      </c>
      <c r="J4638">
        <v>-401.28480000000002</v>
      </c>
      <c r="K4638">
        <v>1.1074839999999999</v>
      </c>
      <c r="L4638">
        <v>22.400729999999999</v>
      </c>
      <c r="M4638">
        <v>0.92687940000000002</v>
      </c>
      <c r="N4638">
        <v>0</v>
      </c>
      <c r="O4638">
        <v>-0.37510979999999999</v>
      </c>
      <c r="P4638">
        <v>0.99213890000000005</v>
      </c>
      <c r="Q4638">
        <v>3.5614340000000001E-2</v>
      </c>
      <c r="R4638">
        <v>-0.11996849999999901</v>
      </c>
      <c r="S4638">
        <v>3.0074770000000002</v>
      </c>
      <c r="T4638">
        <v>-0.2438844</v>
      </c>
      <c r="U4638">
        <v>-0.21096799999999999</v>
      </c>
      <c r="V4638">
        <v>-0.26129730000000001</v>
      </c>
      <c r="W4638">
        <v>4.7144869999999998E-2</v>
      </c>
      <c r="X4638">
        <v>0.96410640000000003</v>
      </c>
      <c r="Y4638">
        <v>-0.30719209999999902</v>
      </c>
      <c r="Z4638">
        <v>4.2080069999999997E-2</v>
      </c>
      <c r="AA4638">
        <v>0.95071669999999997</v>
      </c>
      <c r="AB4638">
        <v>29</v>
      </c>
      <c r="AC4638">
        <v>13.493399999999999</v>
      </c>
      <c r="AD4638">
        <v>-1.107485547602</v>
      </c>
      <c r="AE4638">
        <v>-0.893369999999997</v>
      </c>
      <c r="AF4638">
        <v>-4.2056490231778696</v>
      </c>
      <c r="AG4638">
        <v>-1.107485547602</v>
      </c>
      <c r="AH4638">
        <v>12.757502956087199</v>
      </c>
      <c r="AI4638">
        <v>94.713152757816601</v>
      </c>
      <c r="AJ4638">
        <v>108.24536363151999</v>
      </c>
      <c r="AK4638">
        <v>13.478423113216101</v>
      </c>
    </row>
    <row r="4639" spans="1:37" x14ac:dyDescent="0.2">
      <c r="A4639" t="str">
        <f>"20200111153744607"</f>
        <v>20200111153744607</v>
      </c>
      <c r="B4639" t="str">
        <f>"1578728264597955"</f>
        <v>1578728264597955</v>
      </c>
      <c r="C4639" t="s">
        <v>37</v>
      </c>
      <c r="D4639">
        <v>7.0923879999999997</v>
      </c>
      <c r="E4639">
        <v>0.4779504</v>
      </c>
      <c r="F4639" t="s">
        <v>54</v>
      </c>
      <c r="G4639">
        <v>-387.81630000000001</v>
      </c>
      <c r="H4639" s="1">
        <v>-1.523786E-6</v>
      </c>
      <c r="I4639">
        <v>21.462029999999999</v>
      </c>
      <c r="J4639">
        <v>-401.1234</v>
      </c>
      <c r="K4639">
        <v>1.1073979999999899</v>
      </c>
      <c r="L4639">
        <v>22.337620000000001</v>
      </c>
      <c r="M4639">
        <v>0.92758510000000005</v>
      </c>
      <c r="N4639">
        <v>0</v>
      </c>
      <c r="O4639">
        <v>-0.37336149999999901</v>
      </c>
      <c r="P4639">
        <v>0.99236270000000004</v>
      </c>
      <c r="Q4639">
        <v>3.5281779999999999E-2</v>
      </c>
      <c r="R4639">
        <v>-0.1182025</v>
      </c>
      <c r="S4639">
        <v>3.007263</v>
      </c>
      <c r="T4639">
        <v>-0.24728139999999901</v>
      </c>
      <c r="U4639">
        <v>-0.20959469999999999</v>
      </c>
      <c r="V4639">
        <v>-0.2611887</v>
      </c>
      <c r="W4639">
        <v>4.6856710000000003E-2</v>
      </c>
      <c r="X4639">
        <v>0.96414979999999995</v>
      </c>
      <c r="Y4639">
        <v>-0.30577470000000001</v>
      </c>
      <c r="Z4639">
        <v>4.2476559999999997E-2</v>
      </c>
      <c r="AA4639">
        <v>0.95115590000000005</v>
      </c>
      <c r="AB4639">
        <v>29</v>
      </c>
      <c r="AC4639">
        <v>13.307099999999901</v>
      </c>
      <c r="AD4639">
        <v>-1.1073995237859999</v>
      </c>
      <c r="AE4639">
        <v>-0.87559000000000198</v>
      </c>
      <c r="AF4639">
        <v>-4.1280980957476103</v>
      </c>
      <c r="AG4639">
        <v>-1.1073995237859999</v>
      </c>
      <c r="AH4639">
        <v>12.584786222207899</v>
      </c>
      <c r="AI4639">
        <v>94.779482252597603</v>
      </c>
      <c r="AJ4639">
        <v>108.160675180852</v>
      </c>
      <c r="AK4639">
        <v>13.290762651257801</v>
      </c>
    </row>
    <row r="4640" spans="1:37" x14ac:dyDescent="0.2">
      <c r="A4640" t="str">
        <f>"20200111153744626"</f>
        <v>20200111153744626</v>
      </c>
      <c r="B4640" t="str">
        <f>"1578728264617472"</f>
        <v>1578728264617472</v>
      </c>
      <c r="C4640" t="s">
        <v>37</v>
      </c>
      <c r="D4640">
        <v>5.8848630000000002</v>
      </c>
      <c r="E4640">
        <v>0.47817759999999998</v>
      </c>
      <c r="F4640" t="s">
        <v>54</v>
      </c>
      <c r="G4640">
        <v>-387.70830000000001</v>
      </c>
      <c r="H4640" s="1">
        <v>-1.5654619999999899E-6</v>
      </c>
      <c r="I4640">
        <v>21.426829999999999</v>
      </c>
      <c r="J4640">
        <v>-400.90069999999997</v>
      </c>
      <c r="K4640">
        <v>1.1072759999999999</v>
      </c>
      <c r="L4640">
        <v>22.25095</v>
      </c>
      <c r="M4640">
        <v>0.9285234</v>
      </c>
      <c r="N4640">
        <v>0</v>
      </c>
      <c r="O4640">
        <v>-0.37102190000000002</v>
      </c>
      <c r="P4640">
        <v>0.99270340000000001</v>
      </c>
      <c r="Q4640">
        <v>3.4865979999999998E-2</v>
      </c>
      <c r="R4640">
        <v>-0.11543150000000001</v>
      </c>
      <c r="S4640">
        <v>3.0075989999999999</v>
      </c>
      <c r="T4640">
        <v>-0.24827299999999999</v>
      </c>
      <c r="U4640">
        <v>-0.20419309999999999</v>
      </c>
      <c r="V4640">
        <v>-0.26144139999999999</v>
      </c>
      <c r="W4640">
        <v>4.6493279999999998E-2</v>
      </c>
      <c r="X4640">
        <v>0.96409889999999998</v>
      </c>
      <c r="Y4640">
        <v>-0.30507519999999999</v>
      </c>
      <c r="Z4640">
        <v>4.2437860000000001E-2</v>
      </c>
      <c r="AA4640">
        <v>0.95138219999999996</v>
      </c>
      <c r="AB4640">
        <v>29</v>
      </c>
      <c r="AC4640">
        <v>13.1923999999999</v>
      </c>
      <c r="AD4640">
        <v>-1.107277565462</v>
      </c>
      <c r="AE4640">
        <v>-0.82411999999999996</v>
      </c>
      <c r="AF4640">
        <v>-4.1010622227764397</v>
      </c>
      <c r="AG4640">
        <v>-1.107277565462</v>
      </c>
      <c r="AH4640">
        <v>12.468894287809899</v>
      </c>
      <c r="AI4640">
        <v>94.821914659496599</v>
      </c>
      <c r="AJ4640">
        <v>108.206213275599</v>
      </c>
      <c r="AK4640">
        <v>13.1726269104776</v>
      </c>
    </row>
    <row r="4641" spans="1:37" x14ac:dyDescent="0.2">
      <c r="A4641" t="str">
        <f>"20200111153744650"</f>
        <v>20200111153744650</v>
      </c>
      <c r="B4641" t="str">
        <f>"1578728264637967"</f>
        <v>1578728264637967</v>
      </c>
      <c r="C4641" t="s">
        <v>37</v>
      </c>
      <c r="D4641">
        <v>5.8371139999999997</v>
      </c>
      <c r="E4641">
        <v>0.47840850000000001</v>
      </c>
      <c r="F4641" t="s">
        <v>54</v>
      </c>
      <c r="G4641">
        <v>-387.50790000000001</v>
      </c>
      <c r="H4641" s="1">
        <v>-1.6456049999999899E-6</v>
      </c>
      <c r="I4641">
        <v>21.371919999999999</v>
      </c>
      <c r="J4641">
        <v>-400.61739999999998</v>
      </c>
      <c r="K4641">
        <v>1.107138</v>
      </c>
      <c r="L4641">
        <v>22.141539999999999</v>
      </c>
      <c r="M4641">
        <v>0.92965759999999897</v>
      </c>
      <c r="N4641">
        <v>0</v>
      </c>
      <c r="O4641">
        <v>-0.36817109999999997</v>
      </c>
      <c r="P4641">
        <v>0.99307219999999996</v>
      </c>
      <c r="Q4641">
        <v>3.4196709999999998E-2</v>
      </c>
      <c r="R4641">
        <v>-0.11241949999999901</v>
      </c>
      <c r="S4641">
        <v>3.0078740000000002</v>
      </c>
      <c r="T4641">
        <v>-0.24868179999999901</v>
      </c>
      <c r="U4641">
        <v>-0.19741819999999999</v>
      </c>
      <c r="V4641">
        <v>-0.26139859999999998</v>
      </c>
      <c r="W4641">
        <v>4.5887869999999997E-2</v>
      </c>
      <c r="X4641">
        <v>0.96413950000000004</v>
      </c>
      <c r="Y4641">
        <v>-0.30429790000000001</v>
      </c>
      <c r="Z4641">
        <v>4.2257860000000001E-2</v>
      </c>
      <c r="AA4641">
        <v>0.95163920000000002</v>
      </c>
      <c r="AB4641">
        <v>29</v>
      </c>
      <c r="AC4641">
        <v>13.109499999999899</v>
      </c>
      <c r="AD4641">
        <v>-1.107139645605</v>
      </c>
      <c r="AE4641">
        <v>-0.76961999999999597</v>
      </c>
      <c r="AF4641">
        <v>-4.0824227022718302</v>
      </c>
      <c r="AG4641">
        <v>-1.107139645605</v>
      </c>
      <c r="AH4641">
        <v>12.383840506004899</v>
      </c>
      <c r="AI4641">
        <v>94.853190888894304</v>
      </c>
      <c r="AJ4641">
        <v>108.245178147194</v>
      </c>
      <c r="AK4641">
        <v>13.086307309285599</v>
      </c>
    </row>
    <row r="4642" spans="1:37" x14ac:dyDescent="0.2">
      <c r="A4642" t="str">
        <f>"20200111153744672"</f>
        <v>20200111153744672</v>
      </c>
      <c r="B4642" t="str">
        <f>"1578728264668224"</f>
        <v>1578728264668224</v>
      </c>
      <c r="C4642" t="s">
        <v>37</v>
      </c>
      <c r="D4642">
        <v>5.9096159999999998</v>
      </c>
      <c r="E4642">
        <v>0.47843629999999998</v>
      </c>
      <c r="F4642" t="s">
        <v>54</v>
      </c>
      <c r="G4642">
        <v>-387.19099999999997</v>
      </c>
      <c r="H4642" s="1">
        <v>-1.774826E-6</v>
      </c>
      <c r="I4642">
        <v>21.29467</v>
      </c>
      <c r="J4642">
        <v>-400.36680000000001</v>
      </c>
      <c r="K4642">
        <v>1.107038</v>
      </c>
      <c r="L4642">
        <v>22.045439999999999</v>
      </c>
      <c r="M4642">
        <v>0.93061479999999996</v>
      </c>
      <c r="N4642">
        <v>0</v>
      </c>
      <c r="O4642">
        <v>-0.3657455</v>
      </c>
      <c r="P4642">
        <v>0.99346270000000003</v>
      </c>
      <c r="Q4642">
        <v>3.268679E-2</v>
      </c>
      <c r="R4642">
        <v>-0.1093793</v>
      </c>
      <c r="S4642">
        <v>3.007965</v>
      </c>
      <c r="T4642">
        <v>-0.2480369</v>
      </c>
      <c r="U4642">
        <v>-0.189727799999999</v>
      </c>
      <c r="V4642">
        <v>-0.2618357</v>
      </c>
      <c r="W4642">
        <v>4.4423089999999998E-2</v>
      </c>
      <c r="X4642">
        <v>0.96408959999999999</v>
      </c>
      <c r="Y4642">
        <v>-0.30425859999999999</v>
      </c>
      <c r="Z4642">
        <v>4.196569E-2</v>
      </c>
      <c r="AA4642">
        <v>0.95166459999999997</v>
      </c>
      <c r="AB4642">
        <v>29</v>
      </c>
      <c r="AC4642">
        <v>13.175800000000001</v>
      </c>
      <c r="AD4642">
        <v>-1.1070397748259999</v>
      </c>
      <c r="AE4642">
        <v>-0.75076999999999905</v>
      </c>
      <c r="AF4642">
        <v>-4.0919025929171697</v>
      </c>
      <c r="AG4642">
        <v>-1.1070397748259999</v>
      </c>
      <c r="AH4642">
        <v>12.449749018266999</v>
      </c>
      <c r="AI4642">
        <v>94.828590441272098</v>
      </c>
      <c r="AJ4642">
        <v>108.194323986393</v>
      </c>
      <c r="AK4642">
        <v>13.1516331499479</v>
      </c>
    </row>
    <row r="4643" spans="1:37" x14ac:dyDescent="0.2">
      <c r="A4643" t="str">
        <f>"20200111153744692"</f>
        <v>20200111153744692</v>
      </c>
      <c r="B4643" t="str">
        <f>"1578728264687744"</f>
        <v>1578728264687744</v>
      </c>
      <c r="C4643" t="s">
        <v>37</v>
      </c>
      <c r="D4643">
        <v>5.7860740000000002</v>
      </c>
      <c r="E4643">
        <v>0.47839419999999999</v>
      </c>
      <c r="F4643" t="s">
        <v>54</v>
      </c>
      <c r="G4643">
        <v>-387.33139999999997</v>
      </c>
      <c r="H4643" s="1">
        <v>-1.699554E-6</v>
      </c>
      <c r="I4643">
        <v>21.261119999999998</v>
      </c>
      <c r="J4643">
        <v>-400.1148</v>
      </c>
      <c r="K4643">
        <v>1.1069560000000001</v>
      </c>
      <c r="L4643">
        <v>21.949459999999998</v>
      </c>
      <c r="M4643">
        <v>0.93153969999999897</v>
      </c>
      <c r="N4643">
        <v>0</v>
      </c>
      <c r="O4643">
        <v>-0.36338369999999998</v>
      </c>
      <c r="P4643">
        <v>0.993807</v>
      </c>
      <c r="Q4643">
        <v>3.2537419999999997E-2</v>
      </c>
      <c r="R4643">
        <v>-0.10624989999999999</v>
      </c>
      <c r="S4643">
        <v>3.0082089999999999</v>
      </c>
      <c r="T4643">
        <v>-0.25547429999999999</v>
      </c>
      <c r="U4643">
        <v>-0.18099979999999999</v>
      </c>
      <c r="V4643">
        <v>-0.2624185</v>
      </c>
      <c r="W4643">
        <v>4.4310189999999999E-2</v>
      </c>
      <c r="X4643">
        <v>0.96393629999999997</v>
      </c>
      <c r="Y4643">
        <v>-0.30447160000000001</v>
      </c>
      <c r="Z4643">
        <v>4.304525E-2</v>
      </c>
      <c r="AA4643">
        <v>0.95154830000000001</v>
      </c>
      <c r="AB4643">
        <v>29</v>
      </c>
      <c r="AC4643">
        <v>12.7834</v>
      </c>
      <c r="AD4643">
        <v>-1.106957699554</v>
      </c>
      <c r="AE4643">
        <v>-0.68833999999999995</v>
      </c>
      <c r="AF4643">
        <v>-3.9747178249316102</v>
      </c>
      <c r="AG4643">
        <v>-1.106957699554</v>
      </c>
      <c r="AH4643">
        <v>12.0692687656744</v>
      </c>
      <c r="AI4643">
        <v>94.978730220582804</v>
      </c>
      <c r="AJ4643">
        <v>108.228031568576</v>
      </c>
      <c r="AK4643">
        <v>12.7550376586866</v>
      </c>
    </row>
    <row r="4644" spans="1:37" x14ac:dyDescent="0.2">
      <c r="A4644" t="str">
        <f>"20200111153744716"</f>
        <v>20200111153744716</v>
      </c>
      <c r="B4644" t="str">
        <f>"1578728264708241"</f>
        <v>1578728264708241</v>
      </c>
      <c r="C4644" t="s">
        <v>37</v>
      </c>
      <c r="D4644">
        <v>5.854654</v>
      </c>
      <c r="E4644">
        <v>0.47862640000000001</v>
      </c>
      <c r="F4644" t="s">
        <v>54</v>
      </c>
      <c r="G4644">
        <v>-387.19290000000001</v>
      </c>
      <c r="H4644" s="1">
        <v>-1.7526529999999999E-6</v>
      </c>
      <c r="I4644">
        <v>21.214600000000001</v>
      </c>
      <c r="J4644">
        <v>-399.8304</v>
      </c>
      <c r="K4644">
        <v>1.1068849999999999</v>
      </c>
      <c r="L4644">
        <v>21.841889999999999</v>
      </c>
      <c r="M4644">
        <v>0.93254769999999898</v>
      </c>
      <c r="N4644">
        <v>0</v>
      </c>
      <c r="O4644">
        <v>-0.36078969999999999</v>
      </c>
      <c r="P4644">
        <v>0.99411280000000002</v>
      </c>
      <c r="Q4644">
        <v>3.3438950000000002E-2</v>
      </c>
      <c r="R4644">
        <v>-0.1030628</v>
      </c>
      <c r="S4644">
        <v>3.0088499999999998</v>
      </c>
      <c r="T4644">
        <v>-0.25775300000000001</v>
      </c>
      <c r="U4644">
        <v>-0.17111209999999999</v>
      </c>
      <c r="V4644">
        <v>-0.2628124</v>
      </c>
      <c r="W4644">
        <v>4.5247179999999998E-2</v>
      </c>
      <c r="X4644">
        <v>0.96378539999999902</v>
      </c>
      <c r="Y4644">
        <v>-0.30491599999999902</v>
      </c>
      <c r="Z4644">
        <v>4.3237999999999999E-2</v>
      </c>
      <c r="AA4644">
        <v>0.95139719999999905</v>
      </c>
      <c r="AB4644">
        <v>29</v>
      </c>
      <c r="AC4644">
        <v>12.6374999999999</v>
      </c>
      <c r="AD4644">
        <v>-1.106886752653</v>
      </c>
      <c r="AE4644">
        <v>-0.62728999999999802</v>
      </c>
      <c r="AF4644">
        <v>-3.9446833096243199</v>
      </c>
      <c r="AG4644">
        <v>-1.106886752653</v>
      </c>
      <c r="AH4644">
        <v>11.9212759380324</v>
      </c>
      <c r="AI4644">
        <v>95.037558195439999</v>
      </c>
      <c r="AJ4644">
        <v>108.309089806586</v>
      </c>
      <c r="AK4644">
        <v>12.6056552660755</v>
      </c>
    </row>
    <row r="4645" spans="1:37" x14ac:dyDescent="0.2">
      <c r="A4645" t="str">
        <f>"20200111153744742"</f>
        <v>20200111153744742</v>
      </c>
      <c r="B4645" t="str">
        <f>"1578728264737521"</f>
        <v>1578728264737521</v>
      </c>
      <c r="C4645" t="s">
        <v>37</v>
      </c>
      <c r="D4645">
        <v>5.8923870000000003</v>
      </c>
      <c r="E4645">
        <v>0.47878140000000002</v>
      </c>
      <c r="F4645" t="s">
        <v>54</v>
      </c>
      <c r="G4645">
        <v>-386.91520000000003</v>
      </c>
      <c r="H4645" s="1">
        <v>-1.864266E-6</v>
      </c>
      <c r="I4645">
        <v>21.140840000000001</v>
      </c>
      <c r="J4645">
        <v>-399.51440000000002</v>
      </c>
      <c r="K4645">
        <v>1.1068229999999999</v>
      </c>
      <c r="L4645">
        <v>21.723389999999998</v>
      </c>
      <c r="M4645">
        <v>0.93363339999999995</v>
      </c>
      <c r="N4645">
        <v>0</v>
      </c>
      <c r="O4645">
        <v>-0.35797109999999999</v>
      </c>
      <c r="P4645">
        <v>0.99438700000000002</v>
      </c>
      <c r="Q4645">
        <v>3.5587300000000002E-2</v>
      </c>
      <c r="R4645">
        <v>-9.9640870000000006E-2</v>
      </c>
      <c r="S4645">
        <v>3.0095209999999999</v>
      </c>
      <c r="T4645">
        <v>-0.25792880000000001</v>
      </c>
      <c r="U4645">
        <v>-0.16336059999999999</v>
      </c>
      <c r="V4645">
        <v>-0.26319480000000001</v>
      </c>
      <c r="W4645">
        <v>4.7422569999999997E-2</v>
      </c>
      <c r="X4645">
        <v>0.9635764</v>
      </c>
      <c r="Y4645">
        <v>-0.304504099999999</v>
      </c>
      <c r="Z4645">
        <v>4.302011E-2</v>
      </c>
      <c r="AA4645">
        <v>0.95153899999999902</v>
      </c>
      <c r="AB4645">
        <v>29</v>
      </c>
      <c r="AC4645">
        <v>12.5991999999999</v>
      </c>
      <c r="AD4645">
        <v>-1.1068248642659999</v>
      </c>
      <c r="AE4645">
        <v>-0.58254999999999701</v>
      </c>
      <c r="AF4645">
        <v>-3.9363156253755398</v>
      </c>
      <c r="AG4645">
        <v>-1.1068248642659999</v>
      </c>
      <c r="AH4645">
        <v>11.881183293655001</v>
      </c>
      <c r="AI4645">
        <v>95.053569655695298</v>
      </c>
      <c r="AJ4645">
        <v>108.33037956268799</v>
      </c>
      <c r="AK4645">
        <v>12.565116730065</v>
      </c>
    </row>
    <row r="4646" spans="1:37" x14ac:dyDescent="0.2">
      <c r="A4646" t="str">
        <f>"20200111153744758"</f>
        <v>20200111153744758</v>
      </c>
      <c r="B4646" t="str">
        <f>"1578728264748255"</f>
        <v>1578728264748255</v>
      </c>
      <c r="C4646" t="s">
        <v>37</v>
      </c>
      <c r="D4646">
        <v>5.6532249999999999</v>
      </c>
      <c r="E4646">
        <v>0.47889969999999998</v>
      </c>
      <c r="F4646" t="s">
        <v>54</v>
      </c>
      <c r="G4646">
        <v>-386.46679999999998</v>
      </c>
      <c r="H4646" s="1">
        <v>-2.05315599999999E-6</v>
      </c>
      <c r="I4646">
        <v>21.054029999999901</v>
      </c>
      <c r="J4646">
        <v>-399.31099999999998</v>
      </c>
      <c r="K4646">
        <v>1.106795</v>
      </c>
      <c r="L4646">
        <v>21.647549999999999</v>
      </c>
      <c r="M4646">
        <v>0.93431939999999902</v>
      </c>
      <c r="N4646">
        <v>0</v>
      </c>
      <c r="O4646">
        <v>-0.35617690000000002</v>
      </c>
      <c r="P4646">
        <v>0.99456819999999901</v>
      </c>
      <c r="Q4646">
        <v>3.720511E-2</v>
      </c>
      <c r="R4646">
        <v>-9.7212399999999893E-2</v>
      </c>
      <c r="S4646">
        <v>3.0106199999999999</v>
      </c>
      <c r="T4646">
        <v>-0.25538909999999998</v>
      </c>
      <c r="U4646">
        <v>-0.15444949999999999</v>
      </c>
      <c r="V4646">
        <v>-0.26367990000000002</v>
      </c>
      <c r="W4646">
        <v>4.9048599999999998E-2</v>
      </c>
      <c r="X4646">
        <v>0.96336239999999995</v>
      </c>
      <c r="Y4646">
        <v>-0.3055522</v>
      </c>
      <c r="Z4646">
        <v>4.2491189999999998E-2</v>
      </c>
      <c r="AA4646">
        <v>0.95122680000000004</v>
      </c>
      <c r="AB4646">
        <v>29</v>
      </c>
      <c r="AC4646">
        <v>12.844200000000001</v>
      </c>
      <c r="AD4646">
        <v>-1.1067970531560001</v>
      </c>
      <c r="AE4646">
        <v>-0.59352000000000105</v>
      </c>
      <c r="AF4646">
        <v>-3.9910702821417798</v>
      </c>
      <c r="AG4646">
        <v>-1.1067970531560001</v>
      </c>
      <c r="AH4646">
        <v>12.1232859394066</v>
      </c>
      <c r="AI4646">
        <v>94.956115342137707</v>
      </c>
      <c r="AJ4646">
        <v>108.221905411517</v>
      </c>
      <c r="AK4646">
        <v>12.8112334957444</v>
      </c>
    </row>
    <row r="4647" spans="1:37" x14ac:dyDescent="0.2">
      <c r="A4647" t="str">
        <f>"20200111153744772"</f>
        <v>20200111153744772</v>
      </c>
      <c r="B4647" t="str">
        <f>"1578728264767776"</f>
        <v>1578728264767776</v>
      </c>
      <c r="C4647" t="s">
        <v>37</v>
      </c>
      <c r="D4647">
        <v>5.8711799999999998</v>
      </c>
      <c r="E4647">
        <v>0.4793558</v>
      </c>
      <c r="F4647" t="s">
        <v>54</v>
      </c>
      <c r="G4647">
        <v>-386.02409999999998</v>
      </c>
      <c r="H4647" s="1">
        <v>-2.2468709999999999E-6</v>
      </c>
      <c r="I4647">
        <v>20.995560000000001</v>
      </c>
      <c r="J4647">
        <v>-399.15499999999997</v>
      </c>
      <c r="K4647">
        <v>1.106778</v>
      </c>
      <c r="L4647">
        <v>21.589779999999902</v>
      </c>
      <c r="M4647">
        <v>0.93483969999999905</v>
      </c>
      <c r="N4647">
        <v>0</v>
      </c>
      <c r="O4647">
        <v>-0.35480929999999999</v>
      </c>
      <c r="P4647">
        <v>0.99471500000000002</v>
      </c>
      <c r="Q4647">
        <v>3.7256690000000002E-2</v>
      </c>
      <c r="R4647">
        <v>-9.5677650000000003E-2</v>
      </c>
      <c r="S4647">
        <v>3.0113219999999998</v>
      </c>
      <c r="T4647">
        <v>-0.25084259999999903</v>
      </c>
      <c r="U4647">
        <v>-0.14776610000000001</v>
      </c>
      <c r="V4647">
        <v>-0.26375399999999999</v>
      </c>
      <c r="W4647">
        <v>4.9105259999999998E-2</v>
      </c>
      <c r="X4647">
        <v>0.96333919999999995</v>
      </c>
      <c r="Y4647">
        <v>-0.30636049999999998</v>
      </c>
      <c r="Z4647">
        <v>4.1659370000000001E-2</v>
      </c>
      <c r="AA4647">
        <v>0.95100359999999995</v>
      </c>
      <c r="AB4647">
        <v>29</v>
      </c>
      <c r="AC4647">
        <v>13.130899999999899</v>
      </c>
      <c r="AD4647">
        <v>-1.106780246871</v>
      </c>
      <c r="AE4647">
        <v>-0.59421999999999597</v>
      </c>
      <c r="AF4647">
        <v>-4.0749534507973397</v>
      </c>
      <c r="AG4647">
        <v>-1.106780246871</v>
      </c>
      <c r="AH4647">
        <v>12.399365803158901</v>
      </c>
      <c r="AI4647">
        <v>94.8470312624938</v>
      </c>
      <c r="AJ4647">
        <v>108.192699557507</v>
      </c>
      <c r="AK4647">
        <v>13.098644222268801</v>
      </c>
    </row>
    <row r="4648" spans="1:37" x14ac:dyDescent="0.2">
      <c r="A4648" t="str">
        <f>"20200111153744793"</f>
        <v>20200111153744793</v>
      </c>
      <c r="B4648" t="str">
        <f>"1578728264788272"</f>
        <v>1578728264788272</v>
      </c>
      <c r="C4648" t="s">
        <v>37</v>
      </c>
      <c r="D4648">
        <v>6.1151429999999998</v>
      </c>
      <c r="E4648">
        <v>0.4796569</v>
      </c>
      <c r="F4648" t="s">
        <v>54</v>
      </c>
      <c r="G4648">
        <v>-385.74699999999899</v>
      </c>
      <c r="H4648" s="1">
        <v>-2.362605E-6</v>
      </c>
      <c r="I4648">
        <v>20.93835</v>
      </c>
      <c r="J4648">
        <v>-398.90949999999998</v>
      </c>
      <c r="K4648">
        <v>1.1067450000000001</v>
      </c>
      <c r="L4648">
        <v>21.499359999999999</v>
      </c>
      <c r="M4648">
        <v>0.93565279999999995</v>
      </c>
      <c r="N4648">
        <v>0</v>
      </c>
      <c r="O4648">
        <v>-0.35265999999999997</v>
      </c>
      <c r="P4648">
        <v>0.99489740000000004</v>
      </c>
      <c r="Q4648">
        <v>3.7253990000000001E-2</v>
      </c>
      <c r="R4648">
        <v>-9.376342E-2</v>
      </c>
      <c r="S4648">
        <v>3.0112000000000001</v>
      </c>
      <c r="T4648">
        <v>-0.24856439999999999</v>
      </c>
      <c r="U4648">
        <v>-0.1463013</v>
      </c>
      <c r="V4648">
        <v>-0.2633915</v>
      </c>
      <c r="W4648">
        <v>4.9111460000000003E-2</v>
      </c>
      <c r="X4648">
        <v>0.96343809999999996</v>
      </c>
      <c r="Y4648">
        <v>-0.3046857</v>
      </c>
      <c r="Z4648">
        <v>4.1049139999999998E-2</v>
      </c>
      <c r="AA4648">
        <v>0.95156790000000002</v>
      </c>
      <c r="AB4648">
        <v>29</v>
      </c>
      <c r="AC4648">
        <v>13.1625</v>
      </c>
      <c r="AD4648">
        <v>-1.106747362605</v>
      </c>
      <c r="AE4648">
        <v>-0.56100999999999901</v>
      </c>
      <c r="AF4648">
        <v>-4.08850369695553</v>
      </c>
      <c r="AG4648">
        <v>-1.106747362605</v>
      </c>
      <c r="AH4648">
        <v>12.426833366032501</v>
      </c>
      <c r="AI4648">
        <v>94.835705664046699</v>
      </c>
      <c r="AJ4648">
        <v>108.21151973814101</v>
      </c>
      <c r="AK4648">
        <v>13.1288590407464</v>
      </c>
    </row>
    <row r="4649" spans="1:37" x14ac:dyDescent="0.2">
      <c r="A4649" t="str">
        <f>"20200111153744815"</f>
        <v>20200111153744815</v>
      </c>
      <c r="B4649" t="str">
        <f>"1578728264807792"</f>
        <v>1578728264807792</v>
      </c>
      <c r="C4649" t="s">
        <v>37</v>
      </c>
      <c r="D4649">
        <v>6.0497350000000001</v>
      </c>
      <c r="E4649">
        <v>0.48001199999999999</v>
      </c>
      <c r="F4649" t="s">
        <v>54</v>
      </c>
      <c r="G4649">
        <v>-385.45859999999999</v>
      </c>
      <c r="H4649" s="1">
        <v>-2.4792310000000001E-6</v>
      </c>
      <c r="I4649">
        <v>20.864260000000002</v>
      </c>
      <c r="J4649">
        <v>-398.63619999999997</v>
      </c>
      <c r="K4649">
        <v>1.1067149999999999</v>
      </c>
      <c r="L4649">
        <v>21.399349999999998</v>
      </c>
      <c r="M4649">
        <v>0.93655140000000003</v>
      </c>
      <c r="N4649">
        <v>0</v>
      </c>
      <c r="O4649">
        <v>-0.35026679999999999</v>
      </c>
      <c r="P4649">
        <v>0.99502230000000003</v>
      </c>
      <c r="Q4649">
        <v>3.5974659999999999E-2</v>
      </c>
      <c r="R4649">
        <v>-9.2932829999999994E-2</v>
      </c>
      <c r="S4649">
        <v>3.0112919999999899</v>
      </c>
      <c r="T4649">
        <v>-0.24776999999999999</v>
      </c>
      <c r="U4649">
        <v>-0.14218139999999899</v>
      </c>
      <c r="V4649">
        <v>-0.26174039999999998</v>
      </c>
      <c r="W4649">
        <v>4.7848370000000001E-2</v>
      </c>
      <c r="X4649">
        <v>0.96395149999999996</v>
      </c>
      <c r="Y4649">
        <v>-0.30357709999999999</v>
      </c>
      <c r="Z4649">
        <v>4.068919E-2</v>
      </c>
      <c r="AA4649">
        <v>0.9519377</v>
      </c>
      <c r="AB4649">
        <v>29</v>
      </c>
      <c r="AC4649">
        <v>13.177599999999901</v>
      </c>
      <c r="AD4649">
        <v>-1.1067174792309999</v>
      </c>
      <c r="AE4649">
        <v>-0.53508999999999596</v>
      </c>
      <c r="AF4649">
        <v>-4.0861424980271597</v>
      </c>
      <c r="AG4649">
        <v>-1.1067174792309999</v>
      </c>
      <c r="AH4649">
        <v>12.442463163055001</v>
      </c>
      <c r="AI4649">
        <v>94.830390159400196</v>
      </c>
      <c r="AJ4649">
        <v>108.180336448734</v>
      </c>
      <c r="AK4649">
        <v>13.1429172430249</v>
      </c>
    </row>
    <row r="4650" spans="1:37" x14ac:dyDescent="0.2">
      <c r="A4650" t="str">
        <f>"20200111153744838"</f>
        <v>20200111153744838</v>
      </c>
      <c r="B4650" t="str">
        <f>"1578728264828288"</f>
        <v>1578728264828288</v>
      </c>
      <c r="C4650" t="s">
        <v>37</v>
      </c>
      <c r="D4650">
        <v>5.8530889999999998</v>
      </c>
      <c r="E4650">
        <v>0.48032529999999901</v>
      </c>
      <c r="F4650" t="s">
        <v>54</v>
      </c>
      <c r="G4650">
        <v>-385.35750000000002</v>
      </c>
      <c r="H4650" s="1">
        <v>-2.5033109999999999E-6</v>
      </c>
      <c r="I4650">
        <v>20.775120000000001</v>
      </c>
      <c r="J4650">
        <v>-398.37</v>
      </c>
      <c r="K4650">
        <v>1.1066860000000001</v>
      </c>
      <c r="L4650">
        <v>21.302669999999999</v>
      </c>
      <c r="M4650">
        <v>0.93742219999999998</v>
      </c>
      <c r="N4650">
        <v>0</v>
      </c>
      <c r="O4650">
        <v>-0.34793010000000002</v>
      </c>
      <c r="P4650">
        <v>0.99506830000000002</v>
      </c>
      <c r="Q4650">
        <v>3.4777160000000001E-2</v>
      </c>
      <c r="R4650">
        <v>-9.2897450000000006E-2</v>
      </c>
      <c r="S4650">
        <v>3.01086399999999</v>
      </c>
      <c r="T4650">
        <v>-0.25094060000000001</v>
      </c>
      <c r="U4650">
        <v>-0.14154049999999899</v>
      </c>
      <c r="V4650">
        <v>-0.25937689999999902</v>
      </c>
      <c r="W4650">
        <v>4.6670469999999999E-2</v>
      </c>
      <c r="X4650">
        <v>0.964647899999999</v>
      </c>
      <c r="Y4650">
        <v>-0.30135650000000003</v>
      </c>
      <c r="Z4650">
        <v>4.0938389999999998E-2</v>
      </c>
      <c r="AA4650">
        <v>0.95263229999999999</v>
      </c>
      <c r="AB4650">
        <v>29</v>
      </c>
      <c r="AC4650">
        <v>13.0124999999999</v>
      </c>
      <c r="AD4650">
        <v>-1.1066885033110001</v>
      </c>
      <c r="AE4650">
        <v>-0.52755000000000096</v>
      </c>
      <c r="AF4650">
        <v>-4.0043582384332197</v>
      </c>
      <c r="AG4650">
        <v>-1.1066885033110001</v>
      </c>
      <c r="AH4650">
        <v>12.294118162220901</v>
      </c>
      <c r="AI4650">
        <v>94.892134442564696</v>
      </c>
      <c r="AJ4650">
        <v>108.041120395601</v>
      </c>
      <c r="AK4650">
        <v>12.977094656806599</v>
      </c>
    </row>
    <row r="4651" spans="1:37" x14ac:dyDescent="0.2">
      <c r="A4651" t="str">
        <f>"20200111153744851"</f>
        <v>20200111153744851</v>
      </c>
      <c r="B4651" t="str">
        <f>"1578728264847809"</f>
        <v>1578728264847809</v>
      </c>
      <c r="C4651" t="s">
        <v>37</v>
      </c>
      <c r="D4651">
        <v>5.8658279999999996</v>
      </c>
      <c r="E4651">
        <v>0.48064059999999997</v>
      </c>
      <c r="F4651" t="s">
        <v>54</v>
      </c>
      <c r="G4651">
        <v>-385.241999999999</v>
      </c>
      <c r="H4651" s="1">
        <v>-2.5320920000000001E-6</v>
      </c>
      <c r="I4651">
        <v>20.67811</v>
      </c>
      <c r="J4651">
        <v>-398.21100000000001</v>
      </c>
      <c r="K4651">
        <v>1.1066799999999899</v>
      </c>
      <c r="L4651">
        <v>21.245360000000002</v>
      </c>
      <c r="M4651">
        <v>0.93794009999999906</v>
      </c>
      <c r="N4651">
        <v>0</v>
      </c>
      <c r="O4651">
        <v>-0.34653119999999998</v>
      </c>
      <c r="P4651">
        <v>0.99513569999999996</v>
      </c>
      <c r="Q4651">
        <v>3.3818519999999998E-2</v>
      </c>
      <c r="R4651">
        <v>-9.252784E-2</v>
      </c>
      <c r="S4651">
        <v>3.0103759999999999</v>
      </c>
      <c r="T4651">
        <v>-0.25377489999999903</v>
      </c>
      <c r="U4651">
        <v>-0.14321900000000001</v>
      </c>
      <c r="V4651">
        <v>-0.25830160000000002</v>
      </c>
      <c r="W4651">
        <v>4.5720200000000003E-2</v>
      </c>
      <c r="X4651">
        <v>0.96498189999999995</v>
      </c>
      <c r="Y4651">
        <v>-0.29935800000000001</v>
      </c>
      <c r="Z4651">
        <v>4.1209280000000001E-2</v>
      </c>
      <c r="AA4651">
        <v>0.953250499999999</v>
      </c>
      <c r="AB4651">
        <v>29</v>
      </c>
      <c r="AC4651">
        <v>12.968999999999999</v>
      </c>
      <c r="AD4651">
        <v>-1.106682532092</v>
      </c>
      <c r="AE4651">
        <v>-0.56725000000000103</v>
      </c>
      <c r="AF4651">
        <v>-3.9338914161768201</v>
      </c>
      <c r="AG4651">
        <v>-1.106682532092</v>
      </c>
      <c r="AH4651">
        <v>12.272660128705899</v>
      </c>
      <c r="AI4651">
        <v>94.908005577317596</v>
      </c>
      <c r="AJ4651">
        <v>107.772787785153</v>
      </c>
      <c r="AK4651">
        <v>12.935162717795</v>
      </c>
    </row>
    <row r="4652" spans="1:37" x14ac:dyDescent="0.2">
      <c r="A4652" t="str">
        <f>"20200111153744864"</f>
        <v>20200111153744864</v>
      </c>
      <c r="B4652" t="str">
        <f>"1578728264857568"</f>
        <v>1578728264857568</v>
      </c>
      <c r="C4652" t="s">
        <v>37</v>
      </c>
      <c r="D4652">
        <v>6.1169440000000002</v>
      </c>
      <c r="E4652">
        <v>0.480795799999999</v>
      </c>
      <c r="F4652" t="s">
        <v>54</v>
      </c>
      <c r="G4652">
        <v>-385.23320000000001</v>
      </c>
      <c r="H4652" s="1">
        <v>-2.5216050000000001E-6</v>
      </c>
      <c r="I4652">
        <v>20.622989999999898</v>
      </c>
      <c r="J4652">
        <v>-398.04219999999998</v>
      </c>
      <c r="K4652">
        <v>1.1066739999999999</v>
      </c>
      <c r="L4652">
        <v>21.18478</v>
      </c>
      <c r="M4652">
        <v>0.93848860000000001</v>
      </c>
      <c r="N4652">
        <v>0</v>
      </c>
      <c r="O4652">
        <v>-0.34504319999999999</v>
      </c>
      <c r="P4652">
        <v>0.99521399999999904</v>
      </c>
      <c r="Q4652">
        <v>3.3145139999999997E-2</v>
      </c>
      <c r="R4652">
        <v>-9.1927519999999999E-2</v>
      </c>
      <c r="S4652">
        <v>3.009979</v>
      </c>
      <c r="T4652">
        <v>-0.25667600000000002</v>
      </c>
      <c r="U4652">
        <v>-0.14434810000000001</v>
      </c>
      <c r="V4652">
        <v>-0.25735770000000002</v>
      </c>
      <c r="W4652">
        <v>4.5052839999999997E-2</v>
      </c>
      <c r="X4652">
        <v>0.96526540000000005</v>
      </c>
      <c r="Y4652">
        <v>-0.2974425</v>
      </c>
      <c r="Z4652">
        <v>4.1482039999999998E-2</v>
      </c>
      <c r="AA4652">
        <v>0.95383819999999997</v>
      </c>
      <c r="AB4652">
        <v>29</v>
      </c>
      <c r="AC4652">
        <v>12.8089999999999</v>
      </c>
      <c r="AD4652">
        <v>-1.1066765216050001</v>
      </c>
      <c r="AE4652">
        <v>-0.56179000000000201</v>
      </c>
      <c r="AF4652">
        <v>-3.8639955519876201</v>
      </c>
      <c r="AG4652">
        <v>-1.1066765216050001</v>
      </c>
      <c r="AH4652">
        <v>12.125727448624501</v>
      </c>
      <c r="AI4652">
        <v>94.969850657600702</v>
      </c>
      <c r="AJ4652">
        <v>107.675048062869</v>
      </c>
      <c r="AK4652">
        <v>12.7745238935773</v>
      </c>
    </row>
    <row r="4653" spans="1:37" x14ac:dyDescent="0.2">
      <c r="A4653" t="str">
        <f>"20200111153744882"</f>
        <v>20200111153744882</v>
      </c>
      <c r="B4653" t="str">
        <f>"1578728264877687"</f>
        <v>1578728264877687</v>
      </c>
      <c r="C4653" t="s">
        <v>37</v>
      </c>
      <c r="D4653">
        <v>5.8530290000000003</v>
      </c>
      <c r="E4653">
        <v>0.48114609999999902</v>
      </c>
      <c r="F4653" t="s">
        <v>54</v>
      </c>
      <c r="G4653">
        <v>-385.1669</v>
      </c>
      <c r="H4653" s="1">
        <v>-2.5390359999999999E-6</v>
      </c>
      <c r="I4653">
        <v>20.570810000000002</v>
      </c>
      <c r="J4653">
        <v>-397.83969999999999</v>
      </c>
      <c r="K4653">
        <v>1.1066719999999901</v>
      </c>
      <c r="L4653">
        <v>21.112490000000001</v>
      </c>
      <c r="M4653">
        <v>0.93914470000000005</v>
      </c>
      <c r="N4653">
        <v>0</v>
      </c>
      <c r="O4653">
        <v>-0.34325329999999998</v>
      </c>
      <c r="P4653">
        <v>0.99521229999999905</v>
      </c>
      <c r="Q4653">
        <v>3.3031409999999997E-2</v>
      </c>
      <c r="R4653">
        <v>-9.1987120000000006E-2</v>
      </c>
      <c r="S4653">
        <v>3.0097659999999999</v>
      </c>
      <c r="T4653">
        <v>-0.2587005</v>
      </c>
      <c r="U4653">
        <v>-0.14352419999999999</v>
      </c>
      <c r="V4653">
        <v>-0.25545839999999997</v>
      </c>
      <c r="W4653">
        <v>4.4952800000000001E-2</v>
      </c>
      <c r="X4653">
        <v>0.96577449999999998</v>
      </c>
      <c r="Y4653">
        <v>-0.2958557</v>
      </c>
      <c r="Z4653">
        <v>4.159827E-2</v>
      </c>
      <c r="AA4653">
        <v>0.95432649999999997</v>
      </c>
      <c r="AB4653">
        <v>29</v>
      </c>
      <c r="AC4653">
        <v>12.672799999999899</v>
      </c>
      <c r="AD4653">
        <v>-1.10667453903599</v>
      </c>
      <c r="AE4653">
        <v>-0.54167999999999905</v>
      </c>
      <c r="AF4653">
        <v>-3.81259704154454</v>
      </c>
      <c r="AG4653">
        <v>-1.10667453903599</v>
      </c>
      <c r="AH4653">
        <v>11.9973168130056</v>
      </c>
      <c r="AI4653">
        <v>95.024026113066199</v>
      </c>
      <c r="AJ4653">
        <v>107.629604930631</v>
      </c>
      <c r="AK4653">
        <v>12.6370975879816</v>
      </c>
    </row>
    <row r="4654" spans="1:37" x14ac:dyDescent="0.2">
      <c r="A4654" t="str">
        <f>"20200111153744905"</f>
        <v>20200111153744905</v>
      </c>
      <c r="B4654" t="str">
        <f>"1578728264898183"</f>
        <v>1578728264898183</v>
      </c>
      <c r="C4654" t="s">
        <v>37</v>
      </c>
      <c r="D4654">
        <v>5.5608750000000002</v>
      </c>
      <c r="E4654">
        <v>0.48168240000000001</v>
      </c>
      <c r="F4654" t="s">
        <v>54</v>
      </c>
      <c r="G4654">
        <v>-385.0428</v>
      </c>
      <c r="H4654" s="1">
        <v>-2.5764419999999999E-6</v>
      </c>
      <c r="I4654">
        <v>20.490919999999999</v>
      </c>
      <c r="J4654">
        <v>-397.570999999999</v>
      </c>
      <c r="K4654">
        <v>1.10667</v>
      </c>
      <c r="L4654">
        <v>21.01727</v>
      </c>
      <c r="M4654">
        <v>0.94001309999999905</v>
      </c>
      <c r="N4654">
        <v>0</v>
      </c>
      <c r="O4654">
        <v>-0.34086830000000001</v>
      </c>
      <c r="P4654">
        <v>0.99517149999999999</v>
      </c>
      <c r="Q4654">
        <v>3.3880559999999997E-2</v>
      </c>
      <c r="R4654">
        <v>-9.2118179999999994E-2</v>
      </c>
      <c r="S4654">
        <v>3.0095519999999998</v>
      </c>
      <c r="T4654">
        <v>-0.26026549999999998</v>
      </c>
      <c r="U4654">
        <v>-0.14617920000000001</v>
      </c>
      <c r="V4654">
        <v>-0.25287129999999902</v>
      </c>
      <c r="W4654">
        <v>4.58188E-2</v>
      </c>
      <c r="X4654">
        <v>0.96641440000000001</v>
      </c>
      <c r="Y4654">
        <v>-0.2925799</v>
      </c>
      <c r="Z4654">
        <v>4.1513729999999999E-2</v>
      </c>
      <c r="AA4654">
        <v>0.95533959999999996</v>
      </c>
      <c r="AB4654">
        <v>29</v>
      </c>
      <c r="AC4654">
        <v>12.528199999999901</v>
      </c>
      <c r="AD4654">
        <v>-1.106672576442</v>
      </c>
      <c r="AE4654">
        <v>-0.52634999999999699</v>
      </c>
      <c r="AF4654">
        <v>-3.7468529469773699</v>
      </c>
      <c r="AG4654">
        <v>-1.106672576442</v>
      </c>
      <c r="AH4654">
        <v>11.864771756014401</v>
      </c>
      <c r="AI4654">
        <v>95.082747471137793</v>
      </c>
      <c r="AJ4654">
        <v>107.525932483112</v>
      </c>
      <c r="AK4654">
        <v>12.4914546799017</v>
      </c>
    </row>
    <row r="4655" spans="1:37" x14ac:dyDescent="0.2">
      <c r="A4655" t="str">
        <f>"20200111153744918"</f>
        <v>20200111153744918</v>
      </c>
      <c r="B4655" t="str">
        <f>"1578728264907943"</f>
        <v>1578728264907943</v>
      </c>
      <c r="C4655" t="s">
        <v>37</v>
      </c>
      <c r="D4655">
        <v>5.8730359999999999</v>
      </c>
      <c r="E4655">
        <v>0.48180839999999903</v>
      </c>
      <c r="F4655" t="s">
        <v>54</v>
      </c>
      <c r="G4655">
        <v>-384.68020000000001</v>
      </c>
      <c r="H4655" s="1">
        <v>-2.7162759999999999E-6</v>
      </c>
      <c r="I4655">
        <v>20.37228</v>
      </c>
      <c r="J4655">
        <v>-397.40089999999998</v>
      </c>
      <c r="K4655">
        <v>1.1066769999999999</v>
      </c>
      <c r="L4655">
        <v>20.95731</v>
      </c>
      <c r="M4655">
        <v>0.94056119999999899</v>
      </c>
      <c r="N4655">
        <v>0</v>
      </c>
      <c r="O4655">
        <v>-0.33935310000000002</v>
      </c>
      <c r="P4655">
        <v>0.99524360000000001</v>
      </c>
      <c r="Q4655">
        <v>3.4168150000000001E-2</v>
      </c>
      <c r="R4655">
        <v>-9.1231770000000004E-2</v>
      </c>
      <c r="S4655">
        <v>3.009369</v>
      </c>
      <c r="T4655">
        <v>-0.25835330000000001</v>
      </c>
      <c r="U4655">
        <v>-0.1505737</v>
      </c>
      <c r="V4655">
        <v>-0.25217249999999902</v>
      </c>
      <c r="W4655">
        <v>4.6108410000000002E-2</v>
      </c>
      <c r="X4655">
        <v>0.96658319999999998</v>
      </c>
      <c r="Y4655">
        <v>-0.2896936</v>
      </c>
      <c r="Z4655">
        <v>4.0962520000000002E-2</v>
      </c>
      <c r="AA4655">
        <v>0.956242499999999</v>
      </c>
      <c r="AB4655">
        <v>28</v>
      </c>
      <c r="AC4655">
        <v>12.7206999999999</v>
      </c>
      <c r="AD4655">
        <v>-1.106679716276</v>
      </c>
      <c r="AE4655">
        <v>-0.58502999999999905</v>
      </c>
      <c r="AF4655">
        <v>-3.7386620989052899</v>
      </c>
      <c r="AG4655">
        <v>-1.106679716276</v>
      </c>
      <c r="AH4655">
        <v>12.073063732234999</v>
      </c>
      <c r="AI4655">
        <v>95.0042186095056</v>
      </c>
      <c r="AJ4655">
        <v>107.20616932853601</v>
      </c>
      <c r="AK4655">
        <v>12.6870485995292</v>
      </c>
    </row>
    <row r="4656" spans="1:37" x14ac:dyDescent="0.2">
      <c r="A4656" t="str">
        <f>"20200111153744931"</f>
        <v>20200111153744931</v>
      </c>
      <c r="B4656" t="str">
        <f>"1578728264927463"</f>
        <v>1578728264927463</v>
      </c>
      <c r="C4656" t="s">
        <v>37</v>
      </c>
      <c r="D4656">
        <v>5.8749250000000002</v>
      </c>
      <c r="E4656">
        <v>0.48190889999999997</v>
      </c>
      <c r="F4656" t="s">
        <v>54</v>
      </c>
      <c r="G4656">
        <v>-384.55119999999999</v>
      </c>
      <c r="H4656" s="1">
        <v>-2.7636000000000001E-6</v>
      </c>
      <c r="I4656">
        <v>20.32094</v>
      </c>
      <c r="J4656">
        <v>-397.24950000000001</v>
      </c>
      <c r="K4656">
        <v>1.1066830000000001</v>
      </c>
      <c r="L4656">
        <v>20.90436</v>
      </c>
      <c r="M4656">
        <v>0.94104869999999996</v>
      </c>
      <c r="N4656">
        <v>0</v>
      </c>
      <c r="O4656">
        <v>-0.33799879999999999</v>
      </c>
      <c r="P4656">
        <v>0.99529679999999998</v>
      </c>
      <c r="Q4656">
        <v>3.489627E-2</v>
      </c>
      <c r="R4656">
        <v>-9.0371439999999997E-2</v>
      </c>
      <c r="S4656">
        <v>3.0096129999999999</v>
      </c>
      <c r="T4656">
        <v>-0.25920260000000001</v>
      </c>
      <c r="U4656">
        <v>-0.14904790000000001</v>
      </c>
      <c r="V4656">
        <v>-0.25161220000000001</v>
      </c>
      <c r="W4656">
        <v>4.6837179999999999E-2</v>
      </c>
      <c r="X4656">
        <v>0.966694099999999</v>
      </c>
      <c r="Y4656">
        <v>-0.28879729999999998</v>
      </c>
      <c r="Z4656">
        <v>4.0945670000000003E-2</v>
      </c>
      <c r="AA4656">
        <v>0.95651430000000004</v>
      </c>
      <c r="AB4656">
        <v>28</v>
      </c>
      <c r="AC4656">
        <v>12.6983</v>
      </c>
      <c r="AD4656">
        <v>-1.1066857636</v>
      </c>
      <c r="AE4656">
        <v>-0.58342000000000005</v>
      </c>
      <c r="AF4656">
        <v>-3.71516902563733</v>
      </c>
      <c r="AG4656">
        <v>-1.1066857636</v>
      </c>
      <c r="AH4656">
        <v>12.0566489732512</v>
      </c>
      <c r="AI4656">
        <v>95.013171472505405</v>
      </c>
      <c r="AJ4656">
        <v>107.126302584379</v>
      </c>
      <c r="AK4656">
        <v>12.6645181010811</v>
      </c>
    </row>
    <row r="4657" spans="1:37" x14ac:dyDescent="0.2">
      <c r="A4657" t="str">
        <f>"20200111153744949"</f>
        <v>20200111153744949</v>
      </c>
      <c r="B4657" t="str">
        <f>"1578728264938202"</f>
        <v>1578728264938202</v>
      </c>
      <c r="C4657" t="s">
        <v>37</v>
      </c>
      <c r="D4657">
        <v>5.8824120000000004</v>
      </c>
      <c r="E4657">
        <v>0.48201620000000001</v>
      </c>
      <c r="F4657" t="s">
        <v>54</v>
      </c>
      <c r="G4657">
        <v>-384.36599999999999</v>
      </c>
      <c r="H4657" s="1">
        <v>-2.8383879999999999E-6</v>
      </c>
      <c r="I4657">
        <v>20.273039999999899</v>
      </c>
      <c r="J4657">
        <v>-397.0324</v>
      </c>
      <c r="K4657">
        <v>1.106695</v>
      </c>
      <c r="L4657">
        <v>20.828700000000001</v>
      </c>
      <c r="M4657">
        <v>0.94174749999999996</v>
      </c>
      <c r="N4657">
        <v>0</v>
      </c>
      <c r="O4657">
        <v>-0.33604679999999998</v>
      </c>
      <c r="P4657">
        <v>0.99540839999999997</v>
      </c>
      <c r="Q4657">
        <v>3.6741879999999998E-2</v>
      </c>
      <c r="R4657">
        <v>-8.8386899999999893E-2</v>
      </c>
      <c r="S4657">
        <v>3.0098880000000001</v>
      </c>
      <c r="T4657">
        <v>-0.25854759999999999</v>
      </c>
      <c r="U4657">
        <v>-0.1474915</v>
      </c>
      <c r="V4657">
        <v>-0.25152140000000001</v>
      </c>
      <c r="W4657">
        <v>4.8675669999999997E-2</v>
      </c>
      <c r="X4657">
        <v>0.96662689999999996</v>
      </c>
      <c r="Y4657">
        <v>-0.28733429999999999</v>
      </c>
      <c r="Z4657">
        <v>4.0618620000000001E-2</v>
      </c>
      <c r="AA4657">
        <v>0.95696870000000001</v>
      </c>
      <c r="AB4657">
        <v>28</v>
      </c>
      <c r="AC4657">
        <v>12.666399999999999</v>
      </c>
      <c r="AD4657">
        <v>-1.106697838388</v>
      </c>
      <c r="AE4657">
        <v>-0.55566000000000304</v>
      </c>
      <c r="AF4657">
        <v>-3.7053235574618402</v>
      </c>
      <c r="AG4657">
        <v>-1.106697838388</v>
      </c>
      <c r="AH4657">
        <v>12.0247735279144</v>
      </c>
      <c r="AI4657">
        <v>95.026449758499595</v>
      </c>
      <c r="AJ4657">
        <v>107.12620127587</v>
      </c>
      <c r="AK4657">
        <v>12.631285808206799</v>
      </c>
    </row>
    <row r="4658" spans="1:37" x14ac:dyDescent="0.2">
      <c r="A4658" t="str">
        <f>"20200111153744971"</f>
        <v>20200111153744971</v>
      </c>
      <c r="B4658" t="str">
        <f>"1578728264957718"</f>
        <v>1578728264957718</v>
      </c>
      <c r="C4658" t="s">
        <v>37</v>
      </c>
      <c r="D4658">
        <v>5.9989119999999998</v>
      </c>
      <c r="E4658">
        <v>0.48234120000000003</v>
      </c>
      <c r="F4658" t="s">
        <v>54</v>
      </c>
      <c r="G4658">
        <v>-383.93880000000001</v>
      </c>
      <c r="H4658" s="1">
        <v>-3.0231829999999999E-6</v>
      </c>
      <c r="I4658">
        <v>20.208469999999998</v>
      </c>
      <c r="J4658">
        <v>-396.77409999999998</v>
      </c>
      <c r="K4658">
        <v>1.1067089999999999</v>
      </c>
      <c r="L4658">
        <v>20.739439999999998</v>
      </c>
      <c r="M4658">
        <v>0.9425789</v>
      </c>
      <c r="N4658">
        <v>0</v>
      </c>
      <c r="O4658">
        <v>-0.3337078</v>
      </c>
      <c r="P4658">
        <v>0.99566189999999999</v>
      </c>
      <c r="Q4658">
        <v>3.8163420000000003E-2</v>
      </c>
      <c r="R4658">
        <v>-8.4860560000000002E-2</v>
      </c>
      <c r="S4658">
        <v>3.0105590000000002</v>
      </c>
      <c r="T4658">
        <v>-0.25445770000000001</v>
      </c>
      <c r="U4658">
        <v>-0.1426086</v>
      </c>
      <c r="V4658">
        <v>-0.2525367</v>
      </c>
      <c r="W4658">
        <v>5.0077780000000002E-2</v>
      </c>
      <c r="X4658">
        <v>0.96629050000000005</v>
      </c>
      <c r="Y4658">
        <v>-0.28659800000000002</v>
      </c>
      <c r="Z4658">
        <v>3.9754659999999997E-2</v>
      </c>
      <c r="AA4658">
        <v>0.95722569999999996</v>
      </c>
      <c r="AB4658">
        <v>28</v>
      </c>
      <c r="AC4658">
        <v>12.835299999999901</v>
      </c>
      <c r="AD4658">
        <v>-1.1067120231829899</v>
      </c>
      <c r="AE4658">
        <v>-0.53096999999999595</v>
      </c>
      <c r="AF4658">
        <v>-3.7552359427568098</v>
      </c>
      <c r="AG4658">
        <v>-1.1067120231829899</v>
      </c>
      <c r="AH4658">
        <v>12.1861576842735</v>
      </c>
      <c r="AI4658">
        <v>94.960259973400099</v>
      </c>
      <c r="AJ4658">
        <v>107.126988529873</v>
      </c>
      <c r="AK4658">
        <v>12.799572164490799</v>
      </c>
    </row>
    <row r="4659" spans="1:37" x14ac:dyDescent="0.2">
      <c r="A4659" t="str">
        <f>"20200111153744985"</f>
        <v>20200111153744985</v>
      </c>
      <c r="B4659" t="str">
        <f>"1578728264977929"</f>
        <v>1578728264977929</v>
      </c>
      <c r="C4659" t="s">
        <v>37</v>
      </c>
      <c r="D4659">
        <v>6.1244529999999999</v>
      </c>
      <c r="E4659">
        <v>0.4824388</v>
      </c>
      <c r="F4659" t="s">
        <v>54</v>
      </c>
      <c r="G4659">
        <v>-383.63720000000001</v>
      </c>
      <c r="H4659" s="1">
        <v>-3.150565E-6</v>
      </c>
      <c r="I4659">
        <v>20.151520000000001</v>
      </c>
      <c r="J4659">
        <v>-396.60309999999998</v>
      </c>
      <c r="K4659">
        <v>1.1067180000000001</v>
      </c>
      <c r="L4659">
        <v>20.680689999999998</v>
      </c>
      <c r="M4659">
        <v>0.94312960000000001</v>
      </c>
      <c r="N4659">
        <v>0</v>
      </c>
      <c r="O4659">
        <v>-0.33214870000000002</v>
      </c>
      <c r="P4659">
        <v>0.99580569999999902</v>
      </c>
      <c r="Q4659">
        <v>3.8638209999999999E-2</v>
      </c>
      <c r="R4659">
        <v>-8.2935339999999996E-2</v>
      </c>
      <c r="S4659">
        <v>3.0112919999999899</v>
      </c>
      <c r="T4659">
        <v>-0.2536853</v>
      </c>
      <c r="U4659">
        <v>-0.13476559999999899</v>
      </c>
      <c r="V4659">
        <v>-0.25280439999999998</v>
      </c>
      <c r="W4659">
        <v>5.0543049999999999E-2</v>
      </c>
      <c r="X4659">
        <v>0.96619630000000001</v>
      </c>
      <c r="Y4659">
        <v>-0.28752879999999997</v>
      </c>
      <c r="Z4659">
        <v>3.9544749999999997E-2</v>
      </c>
      <c r="AA4659">
        <v>0.95695529999999995</v>
      </c>
      <c r="AB4659">
        <v>28</v>
      </c>
      <c r="AC4659">
        <v>12.9658999999999</v>
      </c>
      <c r="AD4659">
        <v>-1.1067211505650001</v>
      </c>
      <c r="AE4659">
        <v>-0.52916999999999703</v>
      </c>
      <c r="AF4659">
        <v>-3.7803839663921401</v>
      </c>
      <c r="AG4659">
        <v>-1.1067211505650001</v>
      </c>
      <c r="AH4659">
        <v>12.315846996123501</v>
      </c>
      <c r="AI4659">
        <v>94.909975165254906</v>
      </c>
      <c r="AJ4659">
        <v>107.06401579668599</v>
      </c>
      <c r="AK4659">
        <v>12.9304378066014</v>
      </c>
    </row>
    <row r="4660" spans="1:37" x14ac:dyDescent="0.2">
      <c r="A4660" t="str">
        <f>"20200111153744998"</f>
        <v>20200111153744998</v>
      </c>
      <c r="B4660" t="str">
        <f>"1578728264987688"</f>
        <v>1578728264987688</v>
      </c>
      <c r="C4660" t="s">
        <v>37</v>
      </c>
      <c r="D4660">
        <v>5.7862790000000004</v>
      </c>
      <c r="E4660">
        <v>0.48253889999999999</v>
      </c>
      <c r="F4660" t="s">
        <v>54</v>
      </c>
      <c r="G4660">
        <v>-383.37880000000001</v>
      </c>
      <c r="H4660" s="1">
        <v>-3.262181E-6</v>
      </c>
      <c r="I4660">
        <v>20.111979999999999</v>
      </c>
      <c r="J4660">
        <v>-396.4409</v>
      </c>
      <c r="K4660">
        <v>1.106727</v>
      </c>
      <c r="L4660">
        <v>20.62527</v>
      </c>
      <c r="M4660">
        <v>0.94365100000000002</v>
      </c>
      <c r="N4660">
        <v>0</v>
      </c>
      <c r="O4660">
        <v>-0.33066390000000001</v>
      </c>
      <c r="P4660">
        <v>0.99591540000000001</v>
      </c>
      <c r="Q4660">
        <v>3.9227440000000002E-2</v>
      </c>
      <c r="R4660">
        <v>-8.1324209999999994E-2</v>
      </c>
      <c r="S4660">
        <v>3.0116269999999998</v>
      </c>
      <c r="T4660">
        <v>-0.25203969999999998</v>
      </c>
      <c r="U4660">
        <v>-0.12951660000000001</v>
      </c>
      <c r="V4660">
        <v>-0.2528435</v>
      </c>
      <c r="W4660">
        <v>5.1124509999999998E-2</v>
      </c>
      <c r="X4660">
        <v>0.96615549999999994</v>
      </c>
      <c r="Y4660">
        <v>-0.28772370000000003</v>
      </c>
      <c r="Z4660">
        <v>3.917847E-2</v>
      </c>
      <c r="AA4660">
        <v>0.95691170000000003</v>
      </c>
      <c r="AB4660">
        <v>28</v>
      </c>
      <c r="AC4660">
        <v>13.0620999999999</v>
      </c>
      <c r="AD4660">
        <v>-1.106730262181</v>
      </c>
      <c r="AE4660">
        <v>-0.51329000000000102</v>
      </c>
      <c r="AF4660">
        <v>-3.80785743388547</v>
      </c>
      <c r="AG4660">
        <v>-1.106730262181</v>
      </c>
      <c r="AH4660">
        <v>12.408002665275101</v>
      </c>
      <c r="AI4660">
        <v>94.873813696209098</v>
      </c>
      <c r="AJ4660">
        <v>107.060580730033</v>
      </c>
      <c r="AK4660">
        <v>13.026248894117501</v>
      </c>
    </row>
    <row r="4661" spans="1:37" x14ac:dyDescent="0.2">
      <c r="A4661" t="str">
        <f>"20200111153745016"</f>
        <v>20200111153745016</v>
      </c>
      <c r="B4661" t="str">
        <f>"1578728265008183"</f>
        <v>1578728265008183</v>
      </c>
      <c r="C4661" t="s">
        <v>37</v>
      </c>
      <c r="D4661">
        <v>6.1313659999999999</v>
      </c>
      <c r="E4661">
        <v>0.48256729999999998</v>
      </c>
      <c r="F4661" t="s">
        <v>54</v>
      </c>
      <c r="G4661">
        <v>-383.13339999999999</v>
      </c>
      <c r="H4661" s="1">
        <v>-3.3675820000000001E-6</v>
      </c>
      <c r="I4661">
        <v>20.072039999999902</v>
      </c>
      <c r="J4661">
        <v>-396.22649999999999</v>
      </c>
      <c r="K4661">
        <v>1.106733</v>
      </c>
      <c r="L4661">
        <v>20.552520000000001</v>
      </c>
      <c r="M4661">
        <v>0.94434189999999996</v>
      </c>
      <c r="N4661">
        <v>0</v>
      </c>
      <c r="O4661">
        <v>-0.32868579999999997</v>
      </c>
      <c r="P4661">
        <v>0.99606759999999905</v>
      </c>
      <c r="Q4661">
        <v>3.934327E-2</v>
      </c>
      <c r="R4661">
        <v>-7.9380229999999996E-2</v>
      </c>
      <c r="S4661">
        <v>3.0119020000000001</v>
      </c>
      <c r="T4661">
        <v>-0.25048710000000002</v>
      </c>
      <c r="U4661">
        <v>-0.12521360000000001</v>
      </c>
      <c r="V4661">
        <v>-0.2527047</v>
      </c>
      <c r="W4661">
        <v>5.1232609999999998E-2</v>
      </c>
      <c r="X4661">
        <v>0.96618599999999999</v>
      </c>
      <c r="Y4661">
        <v>-0.28712080000000001</v>
      </c>
      <c r="Z4661">
        <v>3.8755949999999997E-2</v>
      </c>
      <c r="AA4661">
        <v>0.95711000000000002</v>
      </c>
      <c r="AB4661">
        <v>28</v>
      </c>
      <c r="AC4661">
        <v>13.0930999999999</v>
      </c>
      <c r="AD4661">
        <v>-1.1067363675819999</v>
      </c>
      <c r="AE4661">
        <v>-0.48048000000000302</v>
      </c>
      <c r="AF4661">
        <v>-3.82285528085306</v>
      </c>
      <c r="AG4661">
        <v>-1.1067363675819999</v>
      </c>
      <c r="AH4661">
        <v>12.434715431880001</v>
      </c>
      <c r="AI4661">
        <v>94.862677683204893</v>
      </c>
      <c r="AJ4661">
        <v>107.089212153918</v>
      </c>
      <c r="AK4661">
        <v>13.056080413259901</v>
      </c>
    </row>
    <row r="4662" spans="1:37" x14ac:dyDescent="0.2">
      <c r="A4662" t="str">
        <f>"20200111153745039"</f>
        <v>20200111153745039</v>
      </c>
      <c r="B4662" t="str">
        <f>"1578728265027704"</f>
        <v>1578728265027704</v>
      </c>
      <c r="C4662" t="s">
        <v>37</v>
      </c>
      <c r="D4662">
        <v>5.9788649999999999</v>
      </c>
      <c r="E4662">
        <v>0.48274699999999998</v>
      </c>
      <c r="F4662" t="s">
        <v>54</v>
      </c>
      <c r="G4662">
        <v>-382.8467</v>
      </c>
      <c r="H4662" s="1">
        <v>-3.490389E-6</v>
      </c>
      <c r="I4662">
        <v>20.024270000000001</v>
      </c>
      <c r="J4662">
        <v>-395.96480000000003</v>
      </c>
      <c r="K4662">
        <v>1.1067309999999999</v>
      </c>
      <c r="L4662">
        <v>20.46442</v>
      </c>
      <c r="M4662">
        <v>0.94518559999999996</v>
      </c>
      <c r="N4662">
        <v>0</v>
      </c>
      <c r="O4662">
        <v>-0.3262524</v>
      </c>
      <c r="P4662">
        <v>0.99628719999999904</v>
      </c>
      <c r="Q4662">
        <v>3.8254530000000002E-2</v>
      </c>
      <c r="R4662">
        <v>-7.7128080000000002E-2</v>
      </c>
      <c r="S4662">
        <v>3.0122070000000001</v>
      </c>
      <c r="T4662">
        <v>-0.2491612</v>
      </c>
      <c r="U4662">
        <v>-0.118927</v>
      </c>
      <c r="V4662">
        <v>-0.25241010000000003</v>
      </c>
      <c r="W4662">
        <v>5.013683E-2</v>
      </c>
      <c r="X4662">
        <v>0.96632059999999997</v>
      </c>
      <c r="Y4662">
        <v>-0.2866843</v>
      </c>
      <c r="Z4662">
        <v>3.8342189999999998E-2</v>
      </c>
      <c r="AA4662">
        <v>0.95725749999999998</v>
      </c>
      <c r="AB4662">
        <v>28</v>
      </c>
      <c r="AC4662">
        <v>13.1181</v>
      </c>
      <c r="AD4662">
        <v>-1.106734490389</v>
      </c>
      <c r="AE4662">
        <v>-0.44014999999999899</v>
      </c>
      <c r="AF4662">
        <v>-3.8368635521347598</v>
      </c>
      <c r="AG4662">
        <v>-1.106734490389</v>
      </c>
      <c r="AH4662">
        <v>12.4552364595929</v>
      </c>
      <c r="AI4662">
        <v>94.853856609542305</v>
      </c>
      <c r="AJ4662">
        <v>107.121566344762</v>
      </c>
      <c r="AK4662">
        <v>13.079728529839199</v>
      </c>
    </row>
    <row r="4663" spans="1:37" x14ac:dyDescent="0.2">
      <c r="A4663" t="str">
        <f>"20200111153745053"</f>
        <v>20200111153745053</v>
      </c>
      <c r="B4663" t="str">
        <f>"1578728265048200"</f>
        <v>1578728265048200</v>
      </c>
      <c r="C4663" t="s">
        <v>37</v>
      </c>
      <c r="D4663">
        <v>6.2323570000000004</v>
      </c>
      <c r="E4663">
        <v>0.48285909999999899</v>
      </c>
      <c r="F4663" t="s">
        <v>54</v>
      </c>
      <c r="G4663">
        <v>-382.88</v>
      </c>
      <c r="H4663" s="1">
        <v>-3.4606060000000001E-6</v>
      </c>
      <c r="I4663">
        <v>19.971529999999898</v>
      </c>
      <c r="J4663">
        <v>-395.79719999999998</v>
      </c>
      <c r="K4663">
        <v>1.106732</v>
      </c>
      <c r="L4663">
        <v>20.408479999999901</v>
      </c>
      <c r="M4663">
        <v>0.94572690000000004</v>
      </c>
      <c r="N4663">
        <v>0</v>
      </c>
      <c r="O4663">
        <v>-0.32467940000000001</v>
      </c>
      <c r="P4663">
        <v>0.99643459999999995</v>
      </c>
      <c r="Q4663">
        <v>3.7581469999999999E-2</v>
      </c>
      <c r="R4663">
        <v>-7.5537859999999998E-2</v>
      </c>
      <c r="S4663">
        <v>3.012146</v>
      </c>
      <c r="T4663">
        <v>-0.254774</v>
      </c>
      <c r="U4663">
        <v>-0.11346440000000001</v>
      </c>
      <c r="V4663">
        <v>-0.25235099999999999</v>
      </c>
      <c r="W4663">
        <v>4.945865E-2</v>
      </c>
      <c r="X4663">
        <v>0.96637090000000003</v>
      </c>
      <c r="Y4663">
        <v>-0.28673530000000003</v>
      </c>
      <c r="Z4663">
        <v>3.908259E-2</v>
      </c>
      <c r="AA4663">
        <v>0.95721229999999902</v>
      </c>
      <c r="AB4663">
        <v>28</v>
      </c>
      <c r="AC4663">
        <v>12.9171999999999</v>
      </c>
      <c r="AD4663">
        <v>-1.106735460606</v>
      </c>
      <c r="AE4663">
        <v>-0.43694999999999901</v>
      </c>
      <c r="AF4663">
        <v>-3.7535381405087902</v>
      </c>
      <c r="AG4663">
        <v>-1.106735460606</v>
      </c>
      <c r="AH4663">
        <v>12.269184522415101</v>
      </c>
      <c r="AI4663">
        <v>94.930022975209198</v>
      </c>
      <c r="AJ4663">
        <v>107.01055656867</v>
      </c>
      <c r="AK4663">
        <v>12.8781520722923</v>
      </c>
    </row>
    <row r="4664" spans="1:37" x14ac:dyDescent="0.2">
      <c r="A4664" t="str">
        <f>"20200111153745066"</f>
        <v>20200111153745066</v>
      </c>
      <c r="B4664" t="str">
        <f>"1578728265057960"</f>
        <v>1578728265057960</v>
      </c>
      <c r="C4664" t="s">
        <v>37</v>
      </c>
      <c r="D4664">
        <v>6.2301099999999998</v>
      </c>
      <c r="E4664">
        <v>0.48291059999999902</v>
      </c>
      <c r="F4664" t="s">
        <v>54</v>
      </c>
      <c r="G4664">
        <v>-382.825999999999</v>
      </c>
      <c r="H4664" s="1">
        <v>-3.4769020000000002E-6</v>
      </c>
      <c r="I4664">
        <v>19.936820000000001</v>
      </c>
      <c r="J4664">
        <v>-395.62569999999999</v>
      </c>
      <c r="K4664">
        <v>1.106735</v>
      </c>
      <c r="L4664">
        <v>20.35144</v>
      </c>
      <c r="M4664">
        <v>0.94628089999999998</v>
      </c>
      <c r="N4664">
        <v>0</v>
      </c>
      <c r="O4664">
        <v>-0.32306180000000001</v>
      </c>
      <c r="P4664">
        <v>0.99656900000000004</v>
      </c>
      <c r="Q4664">
        <v>3.7230480000000003E-2</v>
      </c>
      <c r="R4664">
        <v>-7.3919970000000002E-2</v>
      </c>
      <c r="S4664">
        <v>3.0121150000000001</v>
      </c>
      <c r="T4664">
        <v>-0.25700210000000001</v>
      </c>
      <c r="U4664">
        <v>-0.1095276</v>
      </c>
      <c r="V4664">
        <v>-0.25227149999999998</v>
      </c>
      <c r="W4664">
        <v>4.9101930000000002E-2</v>
      </c>
      <c r="X4664">
        <v>0.96640990000000004</v>
      </c>
      <c r="Y4664">
        <v>-0.28631609999999902</v>
      </c>
      <c r="Z4664">
        <v>3.9276699999999998E-2</v>
      </c>
      <c r="AA4664">
        <v>0.95732980000000001</v>
      </c>
      <c r="AB4664">
        <v>28</v>
      </c>
      <c r="AC4664">
        <v>12.7997</v>
      </c>
      <c r="AD4664">
        <v>-1.1067384769019999</v>
      </c>
      <c r="AE4664">
        <v>-0.41461999999999899</v>
      </c>
      <c r="AF4664">
        <v>-3.7153425016724202</v>
      </c>
      <c r="AG4664">
        <v>-1.1067384769019999</v>
      </c>
      <c r="AH4664">
        <v>12.156393091057</v>
      </c>
      <c r="AI4664">
        <v>94.975970566728904</v>
      </c>
      <c r="AJ4664">
        <v>106.99465571877001</v>
      </c>
      <c r="AK4664">
        <v>12.759566330612</v>
      </c>
    </row>
    <row r="4665" spans="1:37" x14ac:dyDescent="0.2">
      <c r="A4665" t="str">
        <f>"20200111153745083"</f>
        <v>20200111153745083</v>
      </c>
      <c r="B4665" t="str">
        <f>"1578728265077480"</f>
        <v>1578728265077480</v>
      </c>
      <c r="C4665" t="s">
        <v>37</v>
      </c>
      <c r="D4665">
        <v>5.8914119999999999</v>
      </c>
      <c r="E4665">
        <v>0.48302319999999999</v>
      </c>
      <c r="F4665" t="s">
        <v>54</v>
      </c>
      <c r="G4665">
        <v>-382.70089999999999</v>
      </c>
      <c r="H4665" s="1">
        <v>-3.5264999999999899E-6</v>
      </c>
      <c r="I4665">
        <v>19.900860000000002</v>
      </c>
      <c r="J4665">
        <v>-395.43729999999999</v>
      </c>
      <c r="K4665">
        <v>1.1067419999999999</v>
      </c>
      <c r="L4665">
        <v>20.28922</v>
      </c>
      <c r="M4665">
        <v>0.94688899999999998</v>
      </c>
      <c r="N4665">
        <v>0</v>
      </c>
      <c r="O4665">
        <v>-0.32127470000000002</v>
      </c>
      <c r="P4665">
        <v>0.99667909999999904</v>
      </c>
      <c r="Q4665">
        <v>3.6438099999999897E-2</v>
      </c>
      <c r="R4665">
        <v>-7.2823659999999998E-2</v>
      </c>
      <c r="S4665">
        <v>3.0122070000000001</v>
      </c>
      <c r="T4665">
        <v>-0.2579321</v>
      </c>
      <c r="U4665">
        <v>-0.10501099999999999</v>
      </c>
      <c r="V4665">
        <v>-0.25151620000000002</v>
      </c>
      <c r="W4665">
        <v>4.8308940000000002E-2</v>
      </c>
      <c r="X4665">
        <v>0.96664669999999897</v>
      </c>
      <c r="Y4665">
        <v>-0.28593469999999999</v>
      </c>
      <c r="Z4665">
        <v>3.9257769999999997E-2</v>
      </c>
      <c r="AA4665">
        <v>0.95744459999999998</v>
      </c>
      <c r="AB4665">
        <v>28</v>
      </c>
      <c r="AC4665">
        <v>12.7364</v>
      </c>
      <c r="AD4665">
        <v>-1.1067455264999999</v>
      </c>
      <c r="AE4665">
        <v>-0.38835999999999798</v>
      </c>
      <c r="AF4665">
        <v>-3.6966045679377002</v>
      </c>
      <c r="AG4665">
        <v>-1.1067455264999999</v>
      </c>
      <c r="AH4665">
        <v>12.0946061108991</v>
      </c>
      <c r="AI4665">
        <v>95.001277315313402</v>
      </c>
      <c r="AJ4665">
        <v>106.99528801629</v>
      </c>
      <c r="AK4665">
        <v>12.6952458806406</v>
      </c>
    </row>
    <row r="4666" spans="1:37" x14ac:dyDescent="0.2">
      <c r="A4666" t="str">
        <f>"20200111153745106"</f>
        <v>20200111153745106</v>
      </c>
      <c r="B4666" t="str">
        <f>"1578728265097989"</f>
        <v>1578728265097989</v>
      </c>
      <c r="C4666" t="s">
        <v>37</v>
      </c>
      <c r="D4666">
        <v>5.9489359999999998</v>
      </c>
      <c r="E4666">
        <v>0.48316930000000002</v>
      </c>
      <c r="F4666" t="s">
        <v>54</v>
      </c>
      <c r="G4666">
        <v>-382.6352</v>
      </c>
      <c r="H4666" s="1">
        <v>-3.5453589999999999E-6</v>
      </c>
      <c r="I4666">
        <v>19.855090000000001</v>
      </c>
      <c r="J4666">
        <v>-395.1574</v>
      </c>
      <c r="K4666">
        <v>1.1067480000000001</v>
      </c>
      <c r="L4666">
        <v>20.19754</v>
      </c>
      <c r="M4666">
        <v>0.947793199999999</v>
      </c>
      <c r="N4666">
        <v>0</v>
      </c>
      <c r="O4666">
        <v>-0.31859749999999998</v>
      </c>
      <c r="P4666">
        <v>0.99681200000000003</v>
      </c>
      <c r="Q4666">
        <v>3.6271280000000003E-2</v>
      </c>
      <c r="R4666">
        <v>-7.1066309999999994E-2</v>
      </c>
      <c r="S4666">
        <v>3.0120849999999999</v>
      </c>
      <c r="T4666">
        <v>-0.26039580000000001</v>
      </c>
      <c r="U4666">
        <v>-0.10214230000000001</v>
      </c>
      <c r="V4666">
        <v>-0.25049070000000001</v>
      </c>
      <c r="W4666">
        <v>4.813986E-2</v>
      </c>
      <c r="X4666">
        <v>0.96692140000000004</v>
      </c>
      <c r="Y4666">
        <v>-0.28411110000000001</v>
      </c>
      <c r="Z4666">
        <v>3.9335340000000003E-2</v>
      </c>
      <c r="AA4666">
        <v>0.95798410000000001</v>
      </c>
      <c r="AB4666">
        <v>28</v>
      </c>
      <c r="AC4666">
        <v>12.5221999999999</v>
      </c>
      <c r="AD4666">
        <v>-1.106751545359</v>
      </c>
      <c r="AE4666">
        <v>-0.34244999999999898</v>
      </c>
      <c r="AF4666">
        <v>-3.6369176267424201</v>
      </c>
      <c r="AG4666">
        <v>-1.106751545359</v>
      </c>
      <c r="AH4666">
        <v>11.885881757468701</v>
      </c>
      <c r="AI4666">
        <v>95.088184376053107</v>
      </c>
      <c r="AJ4666">
        <v>107.013395805347</v>
      </c>
      <c r="AK4666">
        <v>12.4790325730559</v>
      </c>
    </row>
    <row r="4667" spans="1:37" x14ac:dyDescent="0.2">
      <c r="A4667" t="str">
        <f>"20200111153745123"</f>
        <v>20200111153745123</v>
      </c>
      <c r="B4667" t="str">
        <f>"1578728265117497"</f>
        <v>1578728265117497</v>
      </c>
      <c r="C4667" t="s">
        <v>37</v>
      </c>
      <c r="D4667">
        <v>5.850905</v>
      </c>
      <c r="E4667">
        <v>0.4833712</v>
      </c>
      <c r="F4667" t="s">
        <v>54</v>
      </c>
      <c r="G4667">
        <v>-382.44009999999997</v>
      </c>
      <c r="H4667" s="1">
        <v>-3.6189490000000001E-6</v>
      </c>
      <c r="I4667">
        <v>19.78511</v>
      </c>
      <c r="J4667">
        <v>-394.9674</v>
      </c>
      <c r="K4667">
        <v>1.1067530000000001</v>
      </c>
      <c r="L4667">
        <v>20.1358</v>
      </c>
      <c r="M4667">
        <v>0.948407</v>
      </c>
      <c r="N4667">
        <v>0</v>
      </c>
      <c r="O4667">
        <v>-0.3167664</v>
      </c>
      <c r="P4667">
        <v>0.99688469999999996</v>
      </c>
      <c r="Q4667">
        <v>3.6223400000000003E-2</v>
      </c>
      <c r="R4667">
        <v>-7.0065730000000007E-2</v>
      </c>
      <c r="S4667">
        <v>3.012146</v>
      </c>
      <c r="T4667">
        <v>-0.26213979999999998</v>
      </c>
      <c r="U4667">
        <v>-9.7686770000000006E-2</v>
      </c>
      <c r="V4667">
        <v>-0.24959490000000001</v>
      </c>
      <c r="W4667">
        <v>4.8092709999999997E-2</v>
      </c>
      <c r="X4667">
        <v>0.96715529999999905</v>
      </c>
      <c r="Y4667">
        <v>-0.28365479999999998</v>
      </c>
      <c r="Z4667">
        <v>3.9427730000000001E-2</v>
      </c>
      <c r="AA4667">
        <v>0.95811550000000001</v>
      </c>
      <c r="AB4667">
        <v>28</v>
      </c>
      <c r="AC4667">
        <v>12.5273</v>
      </c>
      <c r="AD4667">
        <v>-1.1067566189489999</v>
      </c>
      <c r="AE4667">
        <v>-0.35069</v>
      </c>
      <c r="AF4667">
        <v>-3.6078258670700101</v>
      </c>
      <c r="AG4667">
        <v>-1.1067566189489999</v>
      </c>
      <c r="AH4667">
        <v>11.9003514903611</v>
      </c>
      <c r="AI4667">
        <v>95.086023582995907</v>
      </c>
      <c r="AJ4667">
        <v>106.865713066263</v>
      </c>
      <c r="AK4667">
        <v>12.4843775693795</v>
      </c>
    </row>
    <row r="4668" spans="1:37" x14ac:dyDescent="0.2">
      <c r="A4668" t="str">
        <f>"20200111153745138"</f>
        <v>20200111153745138</v>
      </c>
      <c r="B4668" t="str">
        <f>"1578728265128232"</f>
        <v>1578728265128232</v>
      </c>
      <c r="C4668" t="s">
        <v>37</v>
      </c>
      <c r="D4668">
        <v>5.9435830000000003</v>
      </c>
      <c r="E4668">
        <v>0.48342370000000001</v>
      </c>
      <c r="F4668" t="s">
        <v>54</v>
      </c>
      <c r="G4668">
        <v>-382.37470000000002</v>
      </c>
      <c r="H4668" s="1">
        <v>-3.6361900000000002E-6</v>
      </c>
      <c r="I4668">
        <v>19.73367</v>
      </c>
      <c r="J4668">
        <v>-394.7681</v>
      </c>
      <c r="K4668">
        <v>1.106749</v>
      </c>
      <c r="L4668">
        <v>20.071470000000001</v>
      </c>
      <c r="M4668">
        <v>0.9490516</v>
      </c>
      <c r="N4668">
        <v>0</v>
      </c>
      <c r="O4668">
        <v>-0.31482909999999997</v>
      </c>
      <c r="P4668">
        <v>0.99693390000000004</v>
      </c>
      <c r="Q4668">
        <v>3.562129E-2</v>
      </c>
      <c r="R4668">
        <v>-6.9669519999999999E-2</v>
      </c>
      <c r="S4668">
        <v>3.0122070000000001</v>
      </c>
      <c r="T4668">
        <v>-0.26473950000000002</v>
      </c>
      <c r="U4668">
        <v>-9.6191410000000005E-2</v>
      </c>
      <c r="V4668">
        <v>-0.24800829999999999</v>
      </c>
      <c r="W4668">
        <v>4.749544E-2</v>
      </c>
      <c r="X4668">
        <v>0.96759300000000004</v>
      </c>
      <c r="Y4668">
        <v>-0.282141799999999</v>
      </c>
      <c r="Z4668">
        <v>3.9588409999999997E-2</v>
      </c>
      <c r="AA4668">
        <v>0.95855559999999995</v>
      </c>
      <c r="AB4668">
        <v>28</v>
      </c>
      <c r="AC4668">
        <v>12.3933999999999</v>
      </c>
      <c r="AD4668">
        <v>-1.10675263619</v>
      </c>
      <c r="AE4668">
        <v>-0.33780000000000099</v>
      </c>
      <c r="AF4668">
        <v>-3.55322704911358</v>
      </c>
      <c r="AG4668">
        <v>-1.10675263619</v>
      </c>
      <c r="AH4668">
        <v>11.775577369041599</v>
      </c>
      <c r="AI4668">
        <v>95.141627548541294</v>
      </c>
      <c r="AJ4668">
        <v>106.79095026649701</v>
      </c>
      <c r="AK4668">
        <v>12.3496779810063</v>
      </c>
    </row>
    <row r="4669" spans="1:37" x14ac:dyDescent="0.2">
      <c r="A4669" t="str">
        <f>"20200111153745152"</f>
        <v>20200111153745152</v>
      </c>
      <c r="B4669" t="str">
        <f>"1578728265147752"</f>
        <v>1578728265147752</v>
      </c>
      <c r="C4669" t="s">
        <v>37</v>
      </c>
      <c r="D4669">
        <v>6.2341660000000001</v>
      </c>
      <c r="E4669">
        <v>0.48359439999999998</v>
      </c>
      <c r="F4669" t="s">
        <v>54</v>
      </c>
      <c r="G4669">
        <v>-382.31529999999998</v>
      </c>
      <c r="H4669" s="1">
        <v>-3.6498280000000001E-6</v>
      </c>
      <c r="I4669">
        <v>19.679349999999999</v>
      </c>
      <c r="J4669">
        <v>-394.606999999999</v>
      </c>
      <c r="K4669">
        <v>1.10676</v>
      </c>
      <c r="L4669">
        <v>20.019929999999999</v>
      </c>
      <c r="M4669">
        <v>0.94957590000000003</v>
      </c>
      <c r="N4669">
        <v>0</v>
      </c>
      <c r="O4669">
        <v>-0.31324390000000002</v>
      </c>
      <c r="P4669">
        <v>0.99698759999999997</v>
      </c>
      <c r="Q4669">
        <v>3.5343079999999999E-2</v>
      </c>
      <c r="R4669">
        <v>-6.9042179999999995E-2</v>
      </c>
      <c r="S4669">
        <v>3.0121769999999999</v>
      </c>
      <c r="T4669">
        <v>-0.2677099</v>
      </c>
      <c r="U4669">
        <v>-9.4848630000000003E-2</v>
      </c>
      <c r="V4669">
        <v>-0.24700419999999901</v>
      </c>
      <c r="W4669">
        <v>4.7216800000000003E-2</v>
      </c>
      <c r="X4669">
        <v>0.96786340000000004</v>
      </c>
      <c r="Y4669">
        <v>-0.28092679999999998</v>
      </c>
      <c r="Z4669">
        <v>3.9843589999999998E-2</v>
      </c>
      <c r="AA4669">
        <v>0.95890180000000003</v>
      </c>
      <c r="AB4669">
        <v>28</v>
      </c>
      <c r="AC4669">
        <v>12.291699999999899</v>
      </c>
      <c r="AD4669">
        <v>-1.106763649828</v>
      </c>
      <c r="AE4669">
        <v>-0.34057999999999899</v>
      </c>
      <c r="AF4669">
        <v>-3.4988724980368802</v>
      </c>
      <c r="AG4669">
        <v>-1.106763649828</v>
      </c>
      <c r="AH4669">
        <v>11.6850064312314</v>
      </c>
      <c r="AI4669">
        <v>95.184602327418702</v>
      </c>
      <c r="AJ4669">
        <v>106.669417119833</v>
      </c>
      <c r="AK4669">
        <v>12.247710391416801</v>
      </c>
    </row>
    <row r="4670" spans="1:37" x14ac:dyDescent="0.2">
      <c r="A4670" t="str">
        <f>"20200111153745173"</f>
        <v>20200111153745173</v>
      </c>
      <c r="B4670" t="str">
        <f>"1578728265168249"</f>
        <v>1578728265168249</v>
      </c>
      <c r="C4670" t="s">
        <v>37</v>
      </c>
      <c r="D4670">
        <v>6.234299</v>
      </c>
      <c r="E4670">
        <v>0.4836975</v>
      </c>
      <c r="F4670" t="s">
        <v>54</v>
      </c>
      <c r="G4670">
        <v>-382.16890000000001</v>
      </c>
      <c r="H4670" s="1">
        <v>-3.706238E-6</v>
      </c>
      <c r="I4670">
        <v>19.631409999999999</v>
      </c>
      <c r="J4670">
        <v>-394.36669999999998</v>
      </c>
      <c r="K4670">
        <v>1.106781</v>
      </c>
      <c r="L4670">
        <v>19.943479999999902</v>
      </c>
      <c r="M4670">
        <v>0.95036379999999998</v>
      </c>
      <c r="N4670">
        <v>0</v>
      </c>
      <c r="O4670">
        <v>-0.31084590000000001</v>
      </c>
      <c r="P4670">
        <v>0.9970812</v>
      </c>
      <c r="Q4670">
        <v>3.478361E-2</v>
      </c>
      <c r="R4670">
        <v>-6.7966170000000006E-2</v>
      </c>
      <c r="S4670">
        <v>3.0120849999999999</v>
      </c>
      <c r="T4670">
        <v>-0.2680225</v>
      </c>
      <c r="U4670">
        <v>-9.408569E-2</v>
      </c>
      <c r="V4670">
        <v>-0.2456111</v>
      </c>
      <c r="W4670">
        <v>4.6652369999999999E-2</v>
      </c>
      <c r="X4670">
        <v>0.96824509999999897</v>
      </c>
      <c r="Y4670">
        <v>-0.27875850000000002</v>
      </c>
      <c r="Z4670">
        <v>3.9591389999999997E-2</v>
      </c>
      <c r="AA4670">
        <v>0.95954479999999998</v>
      </c>
      <c r="AB4670">
        <v>28</v>
      </c>
      <c r="AC4670">
        <v>12.1977999999999</v>
      </c>
      <c r="AD4670">
        <v>-1.1067847062379901</v>
      </c>
      <c r="AE4670">
        <v>-0.31206999999999802</v>
      </c>
      <c r="AF4670">
        <v>-3.4668524925533601</v>
      </c>
      <c r="AG4670">
        <v>-1.1067847062379901</v>
      </c>
      <c r="AH4670">
        <v>11.5950251999964</v>
      </c>
      <c r="AI4670">
        <v>95.225338377231793</v>
      </c>
      <c r="AJ4670">
        <v>106.646392496206</v>
      </c>
      <c r="AK4670">
        <v>12.1527218342081</v>
      </c>
    </row>
    <row r="4671" spans="1:37" x14ac:dyDescent="0.2">
      <c r="A4671" t="str">
        <f>"20200111153745196"</f>
        <v>20200111153745196</v>
      </c>
      <c r="B4671" t="str">
        <f>"1578728265187767"</f>
        <v>1578728265187767</v>
      </c>
      <c r="C4671" t="s">
        <v>37</v>
      </c>
      <c r="D4671">
        <v>5.9434760000000004</v>
      </c>
      <c r="E4671">
        <v>0.4837785</v>
      </c>
      <c r="F4671" t="s">
        <v>54</v>
      </c>
      <c r="G4671">
        <v>-381.99290000000002</v>
      </c>
      <c r="H4671" s="1">
        <v>-3.7938899999999999E-6</v>
      </c>
      <c r="I4671">
        <v>19.568739999999998</v>
      </c>
      <c r="J4671">
        <v>-394.08229999999998</v>
      </c>
      <c r="K4671">
        <v>1.106827</v>
      </c>
      <c r="L4671">
        <v>19.85397</v>
      </c>
      <c r="M4671">
        <v>0.95130800000000004</v>
      </c>
      <c r="N4671">
        <v>0</v>
      </c>
      <c r="O4671">
        <v>-0.3079442</v>
      </c>
      <c r="P4671">
        <v>0.99717929999999999</v>
      </c>
      <c r="Q4671">
        <v>3.4891859999999997E-2</v>
      </c>
      <c r="R4671">
        <v>-6.6453369999999998E-2</v>
      </c>
      <c r="S4671">
        <v>3.0119630000000002</v>
      </c>
      <c r="T4671">
        <v>-0.26940759999999903</v>
      </c>
      <c r="U4671">
        <v>-9.1217039999999999E-2</v>
      </c>
      <c r="V4671">
        <v>-0.2441287</v>
      </c>
      <c r="W4671">
        <v>4.6745259999999997E-2</v>
      </c>
      <c r="X4671">
        <v>0.96861549999999996</v>
      </c>
      <c r="Y4671">
        <v>-0.27673550000000002</v>
      </c>
      <c r="Z4671">
        <v>3.9459840000000003E-2</v>
      </c>
      <c r="AA4671">
        <v>0.96013559999999998</v>
      </c>
      <c r="AB4671">
        <v>28</v>
      </c>
      <c r="AC4671">
        <v>12.0893999999999</v>
      </c>
      <c r="AD4671">
        <v>-1.1068307938899999</v>
      </c>
      <c r="AE4671">
        <v>-0.28523000000000198</v>
      </c>
      <c r="AF4671">
        <v>-3.4231583784509301</v>
      </c>
      <c r="AG4671">
        <v>-1.1068307938899999</v>
      </c>
      <c r="AH4671">
        <v>11.4933561256546</v>
      </c>
      <c r="AI4671">
        <v>95.273182027043205</v>
      </c>
      <c r="AJ4671">
        <v>106.58553213771</v>
      </c>
      <c r="AK4671">
        <v>12.043268772280401</v>
      </c>
    </row>
    <row r="4672" spans="1:37" x14ac:dyDescent="0.2">
      <c r="A4672" t="str">
        <f>"20200111153745228"</f>
        <v>20200111153745228</v>
      </c>
      <c r="B4672" t="str">
        <f>"1578728265218027"</f>
        <v>1578728265218027</v>
      </c>
      <c r="C4672" t="s">
        <v>37</v>
      </c>
      <c r="D4672">
        <v>5.6744789999999998</v>
      </c>
      <c r="E4672">
        <v>0.48381019999999902</v>
      </c>
      <c r="F4672" t="s">
        <v>54</v>
      </c>
      <c r="G4672">
        <v>-381.66320000000002</v>
      </c>
      <c r="H4672" s="1">
        <v>-3.9627140000000002E-6</v>
      </c>
      <c r="I4672">
        <v>19.495619999999999</v>
      </c>
      <c r="J4672">
        <v>-393.69459999999998</v>
      </c>
      <c r="K4672">
        <v>1.1069089999999999</v>
      </c>
      <c r="L4672">
        <v>19.733729999999898</v>
      </c>
      <c r="M4672">
        <v>0.952623</v>
      </c>
      <c r="N4672">
        <v>0</v>
      </c>
      <c r="O4672">
        <v>-0.30385180000000001</v>
      </c>
      <c r="P4672">
        <v>0.99728090000000003</v>
      </c>
      <c r="Q4672">
        <v>3.5940260000000002E-2</v>
      </c>
      <c r="R4672">
        <v>-6.4336980000000002E-2</v>
      </c>
      <c r="S4672">
        <v>3.0121150000000001</v>
      </c>
      <c r="T4672">
        <v>-0.26844879999999999</v>
      </c>
      <c r="U4672">
        <v>-8.6914060000000001E-2</v>
      </c>
      <c r="V4672">
        <v>-0.24202179999999901</v>
      </c>
      <c r="W4672">
        <v>4.7766919999999997E-2</v>
      </c>
      <c r="X4672">
        <v>0.96909429999999996</v>
      </c>
      <c r="Y4672">
        <v>-0.27401999999999999</v>
      </c>
      <c r="Z4672">
        <v>3.8850280000000001E-2</v>
      </c>
      <c r="AA4672">
        <v>0.96093899999999999</v>
      </c>
      <c r="AB4672">
        <v>28</v>
      </c>
      <c r="AC4672">
        <v>12.0313999999999</v>
      </c>
      <c r="AD4672">
        <v>-1.106912962714</v>
      </c>
      <c r="AE4672">
        <v>-0.23810999999999499</v>
      </c>
      <c r="AF4672">
        <v>-3.4004765171793299</v>
      </c>
      <c r="AG4672">
        <v>-1.106912962714</v>
      </c>
      <c r="AH4672">
        <v>11.438019184763901</v>
      </c>
      <c r="AI4672">
        <v>95.299720667349703</v>
      </c>
      <c r="AJ4672">
        <v>106.556999241951</v>
      </c>
      <c r="AK4672">
        <v>11.984021850862099</v>
      </c>
    </row>
    <row r="4673" spans="1:37" x14ac:dyDescent="0.2">
      <c r="A4673" t="str">
        <f>"20200111153745244"</f>
        <v>20200111153745244</v>
      </c>
      <c r="B4673" t="str">
        <f>"1578728265237544"</f>
        <v>1578728265237544</v>
      </c>
      <c r="C4673" t="s">
        <v>37</v>
      </c>
      <c r="D4673">
        <v>6.178744</v>
      </c>
      <c r="E4673">
        <v>0.48388409999999898</v>
      </c>
      <c r="F4673" t="s">
        <v>54</v>
      </c>
      <c r="G4673">
        <v>-381.11470000000003</v>
      </c>
      <c r="H4673" s="1">
        <v>-4.2389280000000001E-6</v>
      </c>
      <c r="I4673">
        <v>19.400230000000001</v>
      </c>
      <c r="J4673">
        <v>-393.52550000000002</v>
      </c>
      <c r="K4673">
        <v>1.1069519999999999</v>
      </c>
      <c r="L4673">
        <v>19.681850000000001</v>
      </c>
      <c r="M4673">
        <v>0.95320530000000003</v>
      </c>
      <c r="N4673">
        <v>0</v>
      </c>
      <c r="O4673">
        <v>-0.30202009999999901</v>
      </c>
      <c r="P4673">
        <v>0.99734869999999898</v>
      </c>
      <c r="Q4673">
        <v>3.6157679999999998E-2</v>
      </c>
      <c r="R4673">
        <v>-6.3154799999999997E-2</v>
      </c>
      <c r="S4673">
        <v>3.012543</v>
      </c>
      <c r="T4673">
        <v>-0.2650747</v>
      </c>
      <c r="U4673">
        <v>-7.9864500000000005E-2</v>
      </c>
      <c r="V4673">
        <v>-0.2413101</v>
      </c>
      <c r="W4673">
        <v>4.7969829999999998E-2</v>
      </c>
      <c r="X4673">
        <v>0.96926179999999995</v>
      </c>
      <c r="Y4673">
        <v>-0.27448449999999902</v>
      </c>
      <c r="Z4673">
        <v>3.8227919999999999E-2</v>
      </c>
      <c r="AA4673">
        <v>0.96083130000000005</v>
      </c>
      <c r="AB4673">
        <v>28</v>
      </c>
      <c r="AC4673">
        <v>12.410799999999901</v>
      </c>
      <c r="AD4673">
        <v>-1.1069562389280001</v>
      </c>
      <c r="AE4673">
        <v>-0.28161999999999998</v>
      </c>
      <c r="AF4673">
        <v>-3.45273501928235</v>
      </c>
      <c r="AG4673">
        <v>-1.1069562389280001</v>
      </c>
      <c r="AH4673">
        <v>11.822187009732801</v>
      </c>
      <c r="AI4673">
        <v>95.135889852119206</v>
      </c>
      <c r="AJ4673">
        <v>106.28073569063</v>
      </c>
      <c r="AK4673">
        <v>12.3657121477647</v>
      </c>
    </row>
    <row r="4674" spans="1:37" x14ac:dyDescent="0.2">
      <c r="A4674" t="str">
        <f>"20200111153745261"</f>
        <v>20200111153745261</v>
      </c>
      <c r="B4674" t="str">
        <f>"1578728265258039"</f>
        <v>1578728265258039</v>
      </c>
      <c r="C4674" t="s">
        <v>37</v>
      </c>
      <c r="D4674">
        <v>6.1425269999999896</v>
      </c>
      <c r="E4674">
        <v>0.4840719</v>
      </c>
      <c r="F4674" t="s">
        <v>54</v>
      </c>
      <c r="G4674">
        <v>-380.8954</v>
      </c>
      <c r="H4674" s="1">
        <v>-4.3495579999999999E-6</v>
      </c>
      <c r="I4674">
        <v>19.36073</v>
      </c>
      <c r="J4674">
        <v>-393.303</v>
      </c>
      <c r="K4674">
        <v>1.106997</v>
      </c>
      <c r="L4674">
        <v>19.6142</v>
      </c>
      <c r="M4674">
        <v>0.95398179999999999</v>
      </c>
      <c r="N4674">
        <v>0</v>
      </c>
      <c r="O4674">
        <v>-0.29955789999999999</v>
      </c>
      <c r="P4674">
        <v>0.99740569999999895</v>
      </c>
      <c r="Q4674">
        <v>3.6789469999999998E-2</v>
      </c>
      <c r="R4674">
        <v>-6.1876710000000001E-2</v>
      </c>
      <c r="S4674">
        <v>3.0126650000000001</v>
      </c>
      <c r="T4674">
        <v>-0.26404329999999998</v>
      </c>
      <c r="U4674">
        <v>-7.6599120000000007E-2</v>
      </c>
      <c r="V4674">
        <v>-0.24005070000000001</v>
      </c>
      <c r="W4674">
        <v>4.858614E-2</v>
      </c>
      <c r="X4674">
        <v>0.96954379999999996</v>
      </c>
      <c r="Y4674">
        <v>-0.27307599999999999</v>
      </c>
      <c r="Z4674">
        <v>3.7811190000000001E-2</v>
      </c>
      <c r="AA4674">
        <v>0.96124909999999997</v>
      </c>
      <c r="AB4674">
        <v>28</v>
      </c>
      <c r="AC4674">
        <v>12.4076</v>
      </c>
      <c r="AD4674">
        <v>-1.107001349558</v>
      </c>
      <c r="AE4674">
        <v>-0.25346999999999997</v>
      </c>
      <c r="AF4674">
        <v>-3.4478740978318401</v>
      </c>
      <c r="AG4674">
        <v>-1.107001349558</v>
      </c>
      <c r="AH4674">
        <v>11.819601932887901</v>
      </c>
      <c r="AI4674">
        <v>95.137692789438503</v>
      </c>
      <c r="AJ4674">
        <v>106.262394644037</v>
      </c>
      <c r="AK4674">
        <v>12.3618881096032</v>
      </c>
    </row>
    <row r="4675" spans="1:37" x14ac:dyDescent="0.2">
      <c r="A4675" t="str">
        <f>"20200111153745276"</f>
        <v>20200111153745276</v>
      </c>
      <c r="B4675" t="str">
        <f>"1578728265267800"</f>
        <v>1578728265267800</v>
      </c>
      <c r="C4675" t="s">
        <v>37</v>
      </c>
      <c r="D4675">
        <v>6.2012549999999997</v>
      </c>
      <c r="E4675">
        <v>0.48416720000000002</v>
      </c>
      <c r="F4675" t="s">
        <v>54</v>
      </c>
      <c r="G4675">
        <v>-380.50450000000001</v>
      </c>
      <c r="H4675" s="1">
        <v>-4.5452290000000003E-6</v>
      </c>
      <c r="I4675">
        <v>19.299429999999901</v>
      </c>
      <c r="J4675">
        <v>-393.11279999999999</v>
      </c>
      <c r="K4675">
        <v>1.107035</v>
      </c>
      <c r="L4675">
        <v>19.556920000000002</v>
      </c>
      <c r="M4675">
        <v>0.95465339999999999</v>
      </c>
      <c r="N4675">
        <v>0</v>
      </c>
      <c r="O4675">
        <v>-0.29741109999999998</v>
      </c>
      <c r="P4675">
        <v>0.99752299999999905</v>
      </c>
      <c r="Q4675">
        <v>3.6713559999999999E-2</v>
      </c>
      <c r="R4675">
        <v>-5.9999339999999998E-2</v>
      </c>
      <c r="S4675">
        <v>3.0128169999999899</v>
      </c>
      <c r="T4675">
        <v>-0.26059339999999998</v>
      </c>
      <c r="U4675">
        <v>-7.4096679999999998E-2</v>
      </c>
      <c r="V4675">
        <v>-0.239698999999999</v>
      </c>
      <c r="W4675">
        <v>4.8492779999999999E-2</v>
      </c>
      <c r="X4675">
        <v>0.96963539999999904</v>
      </c>
      <c r="Y4675">
        <v>-0.27178049999999998</v>
      </c>
      <c r="Z4675">
        <v>3.7084119999999998E-2</v>
      </c>
      <c r="AA4675">
        <v>0.96164450000000001</v>
      </c>
      <c r="AB4675">
        <v>28</v>
      </c>
      <c r="AC4675">
        <v>12.6082999999999</v>
      </c>
      <c r="AD4675">
        <v>-1.1070395452290001</v>
      </c>
      <c r="AE4675">
        <v>-0.25749000000000399</v>
      </c>
      <c r="AF4675">
        <v>-3.4775579952447702</v>
      </c>
      <c r="AG4675">
        <v>-1.1070395452290001</v>
      </c>
      <c r="AH4675">
        <v>12.0216093390135</v>
      </c>
      <c r="AI4675">
        <v>95.055260652255001</v>
      </c>
      <c r="AJ4675">
        <v>106.133865189547</v>
      </c>
      <c r="AK4675">
        <v>12.563360906415401</v>
      </c>
    </row>
    <row r="4676" spans="1:37" x14ac:dyDescent="0.2">
      <c r="A4676" t="str">
        <f>"20200111153745292"</f>
        <v>20200111153745292</v>
      </c>
      <c r="B4676" t="str">
        <f>"1578728265288296"</f>
        <v>1578728265288296</v>
      </c>
      <c r="C4676" t="s">
        <v>37</v>
      </c>
      <c r="D4676">
        <v>6.1333789999999997</v>
      </c>
      <c r="E4676">
        <v>0.48434969999999999</v>
      </c>
      <c r="F4676" t="s">
        <v>54</v>
      </c>
      <c r="G4676">
        <v>-380.26889999999997</v>
      </c>
      <c r="H4676" s="1">
        <v>-4.663219E-6</v>
      </c>
      <c r="I4676">
        <v>19.262239999999998</v>
      </c>
      <c r="J4676">
        <v>-392.9443</v>
      </c>
      <c r="K4676">
        <v>1.107062</v>
      </c>
      <c r="L4676">
        <v>19.506710000000002</v>
      </c>
      <c r="M4676">
        <v>0.95525380000000004</v>
      </c>
      <c r="N4676">
        <v>0</v>
      </c>
      <c r="O4676">
        <v>-0.29547639999999997</v>
      </c>
      <c r="P4676">
        <v>0.99759940000000003</v>
      </c>
      <c r="Q4676">
        <v>3.6860699999999899E-2</v>
      </c>
      <c r="R4676">
        <v>-5.8622889999999997E-2</v>
      </c>
      <c r="S4676">
        <v>3.012848</v>
      </c>
      <c r="T4676">
        <v>-0.2596831</v>
      </c>
      <c r="U4676">
        <v>-6.9122310000000006E-2</v>
      </c>
      <c r="V4676">
        <v>-0.23907500000000001</v>
      </c>
      <c r="W4676">
        <v>4.862756E-2</v>
      </c>
      <c r="X4676">
        <v>0.969782699999999</v>
      </c>
      <c r="Y4676">
        <v>-0.2714413</v>
      </c>
      <c r="Z4676">
        <v>3.6782160000000001E-2</v>
      </c>
      <c r="AA4676">
        <v>0.96175189999999999</v>
      </c>
      <c r="AB4676">
        <v>28</v>
      </c>
      <c r="AC4676">
        <v>12.6754</v>
      </c>
      <c r="AD4676">
        <v>-1.107066663219</v>
      </c>
      <c r="AE4676">
        <v>-0.24447000000000299</v>
      </c>
      <c r="AF4676">
        <v>-3.48549527096948</v>
      </c>
      <c r="AG4676">
        <v>-1.107066663219</v>
      </c>
      <c r="AH4676">
        <v>12.0893926602603</v>
      </c>
      <c r="AI4676">
        <v>95.028471944879101</v>
      </c>
      <c r="AJ4676">
        <v>106.08281130608</v>
      </c>
      <c r="AK4676">
        <v>12.630427101833</v>
      </c>
    </row>
    <row r="4677" spans="1:37" x14ac:dyDescent="0.2">
      <c r="A4677" t="str">
        <f>"20200111153745307"</f>
        <v>20200111153745307</v>
      </c>
      <c r="B4677" t="str">
        <f>"1578728265298059"</f>
        <v>1578728265298059</v>
      </c>
      <c r="C4677" t="s">
        <v>37</v>
      </c>
      <c r="D4677">
        <v>5.918094</v>
      </c>
      <c r="E4677">
        <v>0.4844388</v>
      </c>
      <c r="F4677" t="s">
        <v>54</v>
      </c>
      <c r="G4677">
        <v>-380.0043</v>
      </c>
      <c r="H4677" s="1">
        <v>-4.795475E-6</v>
      </c>
      <c r="I4677">
        <v>19.221629999999902</v>
      </c>
      <c r="J4677">
        <v>-392.75130000000001</v>
      </c>
      <c r="K4677">
        <v>1.107089</v>
      </c>
      <c r="L4677">
        <v>19.449649999999998</v>
      </c>
      <c r="M4677">
        <v>0.95594559999999995</v>
      </c>
      <c r="N4677">
        <v>0</v>
      </c>
      <c r="O4677">
        <v>-0.29323080000000001</v>
      </c>
      <c r="P4677">
        <v>0.99769390000000002</v>
      </c>
      <c r="Q4677">
        <v>3.6404039999999999E-2</v>
      </c>
      <c r="R4677">
        <v>-5.7284990000000001E-2</v>
      </c>
      <c r="S4677">
        <v>3.012848</v>
      </c>
      <c r="T4677">
        <v>-0.25776109999999902</v>
      </c>
      <c r="U4677">
        <v>-6.6375729999999994E-2</v>
      </c>
      <c r="V4677">
        <v>-0.2381027</v>
      </c>
      <c r="W4677">
        <v>4.816177E-2</v>
      </c>
      <c r="X4677">
        <v>0.97004509999999899</v>
      </c>
      <c r="Y4677">
        <v>-0.2700999</v>
      </c>
      <c r="Z4677">
        <v>3.6270139999999999E-2</v>
      </c>
      <c r="AA4677">
        <v>0.96214889999999997</v>
      </c>
      <c r="AB4677">
        <v>28</v>
      </c>
      <c r="AC4677">
        <v>12.747</v>
      </c>
      <c r="AD4677">
        <v>-1.107093795475</v>
      </c>
      <c r="AE4677">
        <v>-0.22802</v>
      </c>
      <c r="AF4677">
        <v>-3.4938156945605998</v>
      </c>
      <c r="AG4677">
        <v>-1.107093795475</v>
      </c>
      <c r="AH4677">
        <v>12.1617182818829</v>
      </c>
      <c r="AI4677">
        <v>95.0002037974795</v>
      </c>
      <c r="AJ4677">
        <v>106.028288002691</v>
      </c>
      <c r="AK4677">
        <v>12.7019603348232</v>
      </c>
    </row>
    <row r="4678" spans="1:37" x14ac:dyDescent="0.2">
      <c r="A4678" t="str">
        <f>"20200111153745329"</f>
        <v>20200111153745329</v>
      </c>
      <c r="B4678" t="str">
        <f>"1578728265317576"</f>
        <v>1578728265317576</v>
      </c>
      <c r="C4678" t="s">
        <v>37</v>
      </c>
      <c r="D4678">
        <v>5.9504659999999996</v>
      </c>
      <c r="E4678">
        <v>0.48457070000000002</v>
      </c>
      <c r="F4678" t="s">
        <v>55</v>
      </c>
      <c r="G4678">
        <v>-379.83730000000003</v>
      </c>
      <c r="H4678" s="1">
        <v>-1.6277709999999999E-7</v>
      </c>
      <c r="I4678">
        <v>19.180039999999899</v>
      </c>
      <c r="J4678">
        <v>-392.4948</v>
      </c>
      <c r="K4678">
        <v>1.1071299999999999</v>
      </c>
      <c r="L4678">
        <v>19.37454</v>
      </c>
      <c r="M4678">
        <v>0.95687250000000001</v>
      </c>
      <c r="N4678">
        <v>0</v>
      </c>
      <c r="O4678">
        <v>-0.290191799999999</v>
      </c>
      <c r="P4678">
        <v>0.99783829999999996</v>
      </c>
      <c r="Q4678">
        <v>3.6201240000000003E-2</v>
      </c>
      <c r="R4678">
        <v>-5.4847430000000003E-2</v>
      </c>
      <c r="S4678">
        <v>3.0127259999999998</v>
      </c>
      <c r="T4678">
        <v>-0.25827359999999999</v>
      </c>
      <c r="U4678">
        <v>-6.2896729999999998E-2</v>
      </c>
      <c r="V4678">
        <v>-0.2373952</v>
      </c>
      <c r="W4678">
        <v>4.7941249999999998E-2</v>
      </c>
      <c r="X4678">
        <v>0.97022940000000002</v>
      </c>
      <c r="Y4678">
        <v>-0.26816050000000002</v>
      </c>
      <c r="Z4678">
        <v>3.6011290000000001E-2</v>
      </c>
      <c r="AA4678">
        <v>0.96270100000000003</v>
      </c>
      <c r="AB4678">
        <v>28</v>
      </c>
      <c r="AC4678">
        <v>12.657499999999899</v>
      </c>
      <c r="AD4678">
        <v>-1.1071301627771</v>
      </c>
      <c r="AE4678">
        <v>-0.19450000000000101</v>
      </c>
      <c r="AF4678">
        <v>-3.4608397818446601</v>
      </c>
      <c r="AG4678">
        <v>-1.1071301627771</v>
      </c>
      <c r="AH4678">
        <v>12.0767997664622</v>
      </c>
      <c r="AI4678">
        <v>95.036291005845001</v>
      </c>
      <c r="AJ4678">
        <v>105.990675914505</v>
      </c>
      <c r="AK4678">
        <v>12.6115915645945</v>
      </c>
    </row>
    <row r="4679" spans="1:37" x14ac:dyDescent="0.2">
      <c r="A4679" t="str">
        <f>"20200111153745362"</f>
        <v>20200111153745362</v>
      </c>
      <c r="B4679" t="str">
        <f>"1578728265357592"</f>
        <v>1578728265357592</v>
      </c>
      <c r="C4679" t="s">
        <v>37</v>
      </c>
      <c r="D4679">
        <v>5.9119169999999999</v>
      </c>
      <c r="E4679">
        <v>0.48474040000000002</v>
      </c>
      <c r="F4679" t="s">
        <v>55</v>
      </c>
      <c r="G4679">
        <v>-379.55790000000002</v>
      </c>
      <c r="H4679" s="1">
        <v>-2.8287709999999901E-7</v>
      </c>
      <c r="I4679">
        <v>19.131979999999999</v>
      </c>
      <c r="J4679">
        <v>-392.10660000000001</v>
      </c>
      <c r="K4679">
        <v>1.107194</v>
      </c>
      <c r="L4679">
        <v>19.262629999999898</v>
      </c>
      <c r="M4679">
        <v>0.95828389999999997</v>
      </c>
      <c r="N4679">
        <v>0</v>
      </c>
      <c r="O4679">
        <v>-0.28549659999999999</v>
      </c>
      <c r="P4679">
        <v>0.99803819999999999</v>
      </c>
      <c r="Q4679">
        <v>3.6233099999999997E-2</v>
      </c>
      <c r="R4679">
        <v>-5.1062360000000001E-2</v>
      </c>
      <c r="S4679">
        <v>3.0128169999999899</v>
      </c>
      <c r="T4679">
        <v>-0.25783349999999999</v>
      </c>
      <c r="U4679">
        <v>-5.6488040000000003E-2</v>
      </c>
      <c r="V4679">
        <v>-0.2363248</v>
      </c>
      <c r="W4679">
        <v>4.7949819999999997E-2</v>
      </c>
      <c r="X4679">
        <v>0.97049030000000003</v>
      </c>
      <c r="Y4679">
        <v>-0.26551849999999999</v>
      </c>
      <c r="Z4679">
        <v>3.5451749999999997E-2</v>
      </c>
      <c r="AA4679">
        <v>0.96345380000000003</v>
      </c>
      <c r="AB4679">
        <v>28</v>
      </c>
      <c r="AC4679">
        <v>12.548699999999901</v>
      </c>
      <c r="AD4679">
        <v>-1.1071942828771</v>
      </c>
      <c r="AE4679">
        <v>-0.13064999999999899</v>
      </c>
      <c r="AF4679">
        <v>-3.4310218358659199</v>
      </c>
      <c r="AG4679">
        <v>-1.1071942828771</v>
      </c>
      <c r="AH4679">
        <v>11.9704471270143</v>
      </c>
      <c r="AI4679">
        <v>95.081022229515099</v>
      </c>
      <c r="AJ4679">
        <v>105.993592761172</v>
      </c>
      <c r="AK4679">
        <v>12.501575678244301</v>
      </c>
    </row>
    <row r="4680" spans="1:37" x14ac:dyDescent="0.2">
      <c r="A4680" t="str">
        <f>"20200111153745385"</f>
        <v>20200111153745385</v>
      </c>
      <c r="B4680" t="str">
        <f>"1578728265378088"</f>
        <v>1578728265378088</v>
      </c>
      <c r="C4680" t="s">
        <v>37</v>
      </c>
      <c r="D4680">
        <v>5.96143</v>
      </c>
      <c r="E4680">
        <v>0.48483779999999999</v>
      </c>
      <c r="F4680" t="s">
        <v>55</v>
      </c>
      <c r="G4680">
        <v>-379.14440000000002</v>
      </c>
      <c r="H4680" s="1">
        <v>-4.8309039999999999E-7</v>
      </c>
      <c r="I4680">
        <v>19.062809999999999</v>
      </c>
      <c r="J4680">
        <v>-391.82249999999999</v>
      </c>
      <c r="K4680">
        <v>1.107235</v>
      </c>
      <c r="L4680">
        <v>19.18225</v>
      </c>
      <c r="M4680">
        <v>0.95932229999999996</v>
      </c>
      <c r="N4680">
        <v>0</v>
      </c>
      <c r="O4680">
        <v>-0.2819875</v>
      </c>
      <c r="P4680">
        <v>0.998162199999999</v>
      </c>
      <c r="Q4680">
        <v>3.6989099999999997E-2</v>
      </c>
      <c r="R4680">
        <v>-4.8002379999999997E-2</v>
      </c>
      <c r="S4680">
        <v>3.01287799999999</v>
      </c>
      <c r="T4680">
        <v>-0.25735150000000001</v>
      </c>
      <c r="U4680">
        <v>-4.6447750000000003E-2</v>
      </c>
      <c r="V4680">
        <v>-0.23574899999999999</v>
      </c>
      <c r="W4680">
        <v>4.8688530000000001E-2</v>
      </c>
      <c r="X4680">
        <v>0.97059359999999995</v>
      </c>
      <c r="Y4680">
        <v>-0.26522220000000002</v>
      </c>
      <c r="Z4680">
        <v>3.5087090000000001E-2</v>
      </c>
      <c r="AA4680">
        <v>0.96354869999999904</v>
      </c>
      <c r="AB4680">
        <v>28</v>
      </c>
      <c r="AC4680">
        <v>12.678099999999899</v>
      </c>
      <c r="AD4680">
        <v>-1.1072354830903901</v>
      </c>
      <c r="AE4680">
        <v>-0.11944</v>
      </c>
      <c r="AF4680">
        <v>-3.4346077783616198</v>
      </c>
      <c r="AG4680">
        <v>-1.1072354830903901</v>
      </c>
      <c r="AH4680">
        <v>12.104866032108401</v>
      </c>
      <c r="AI4680">
        <v>95.028883701888901</v>
      </c>
      <c r="AJ4680">
        <v>105.840642554947</v>
      </c>
      <c r="AK4680">
        <v>12.631321493077801</v>
      </c>
    </row>
    <row r="4681" spans="1:37" x14ac:dyDescent="0.2">
      <c r="A4681" t="str">
        <f>"20200111153745398"</f>
        <v>20200111153745398</v>
      </c>
      <c r="B4681" t="str">
        <f>"1578728265387848"</f>
        <v>1578728265387848</v>
      </c>
      <c r="C4681" t="s">
        <v>37</v>
      </c>
      <c r="D4681">
        <v>6.1888529999999999</v>
      </c>
      <c r="E4681">
        <v>0.48493409999999898</v>
      </c>
      <c r="F4681" t="s">
        <v>55</v>
      </c>
      <c r="G4681">
        <v>-378.72719999999998</v>
      </c>
      <c r="H4681" s="1">
        <v>-6.8819319999999898E-7</v>
      </c>
      <c r="I4681">
        <v>19.018319999999999</v>
      </c>
      <c r="J4681">
        <v>-391.66489999999999</v>
      </c>
      <c r="K4681">
        <v>1.1072549999999901</v>
      </c>
      <c r="L4681">
        <v>19.138030000000001</v>
      </c>
      <c r="M4681">
        <v>0.95989820000000003</v>
      </c>
      <c r="N4681">
        <v>0</v>
      </c>
      <c r="O4681">
        <v>-0.28002070000000001</v>
      </c>
      <c r="P4681">
        <v>0.99825629999999999</v>
      </c>
      <c r="Q4681">
        <v>3.6859330000000003E-2</v>
      </c>
      <c r="R4681">
        <v>-4.6108639999999999E-2</v>
      </c>
      <c r="S4681">
        <v>3.0131839999999999</v>
      </c>
      <c r="T4681">
        <v>-0.25477089999999902</v>
      </c>
      <c r="U4681">
        <v>-3.771973E-2</v>
      </c>
      <c r="V4681">
        <v>-0.23560429999999899</v>
      </c>
      <c r="W4681">
        <v>4.8548510000000003E-2</v>
      </c>
      <c r="X4681">
        <v>0.97063569999999999</v>
      </c>
      <c r="Y4681">
        <v>-0.26608179999999998</v>
      </c>
      <c r="Z4681">
        <v>3.4611820000000001E-2</v>
      </c>
      <c r="AA4681">
        <v>0.96332879999999999</v>
      </c>
      <c r="AB4681">
        <v>28</v>
      </c>
      <c r="AC4681">
        <v>12.9377</v>
      </c>
      <c r="AD4681">
        <v>-1.1072556881931901</v>
      </c>
      <c r="AE4681">
        <v>-0.119709999999997</v>
      </c>
      <c r="AF4681">
        <v>-3.4827296251015101</v>
      </c>
      <c r="AG4681">
        <v>-1.1072556881931901</v>
      </c>
      <c r="AH4681">
        <v>12.3629953051574</v>
      </c>
      <c r="AI4681">
        <v>94.927103130715693</v>
      </c>
      <c r="AJ4681">
        <v>105.73284522476</v>
      </c>
      <c r="AK4681">
        <v>12.8918219703787</v>
      </c>
    </row>
    <row r="4682" spans="1:37" x14ac:dyDescent="0.2">
      <c r="A4682" t="str">
        <f>"20200111153745419"</f>
        <v>20200111153745419</v>
      </c>
      <c r="B4682" t="str">
        <f>"1578728265407371"</f>
        <v>1578728265407371</v>
      </c>
      <c r="C4682" t="s">
        <v>37</v>
      </c>
      <c r="D4682">
        <v>5.5748620000000004</v>
      </c>
      <c r="E4682">
        <v>0.48513719999999999</v>
      </c>
      <c r="F4682" t="s">
        <v>55</v>
      </c>
      <c r="G4682">
        <v>-378.54969999999997</v>
      </c>
      <c r="H4682" s="1">
        <v>-7.7610880000000002E-7</v>
      </c>
      <c r="I4682">
        <v>18.99577</v>
      </c>
      <c r="J4682">
        <v>-391.42899999999997</v>
      </c>
      <c r="K4682">
        <v>1.1072869999999999</v>
      </c>
      <c r="L4682">
        <v>19.072659999999999</v>
      </c>
      <c r="M4682">
        <v>0.9607618</v>
      </c>
      <c r="N4682">
        <v>0</v>
      </c>
      <c r="O4682">
        <v>-0.27704279999999998</v>
      </c>
      <c r="P4682">
        <v>0.9983687</v>
      </c>
      <c r="Q4682">
        <v>3.678762E-2</v>
      </c>
      <c r="R4682">
        <v>-4.3667549999999999E-2</v>
      </c>
      <c r="S4682">
        <v>3.01312299999999</v>
      </c>
      <c r="T4682">
        <v>-0.25438449999999901</v>
      </c>
      <c r="U4682">
        <v>-3.2684329999999998E-2</v>
      </c>
      <c r="V4682">
        <v>-0.2349716</v>
      </c>
      <c r="W4682">
        <v>4.8466589999999997E-2</v>
      </c>
      <c r="X4682">
        <v>0.97079309999999996</v>
      </c>
      <c r="Y4682">
        <v>-0.26472399999999902</v>
      </c>
      <c r="Z4682">
        <v>3.4261750000000001E-2</v>
      </c>
      <c r="AA4682">
        <v>0.9637154</v>
      </c>
      <c r="AB4682">
        <v>28</v>
      </c>
      <c r="AC4682">
        <v>12.879300000000001</v>
      </c>
      <c r="AD4682">
        <v>-1.1072877761088</v>
      </c>
      <c r="AE4682">
        <v>-7.6889999999998696E-2</v>
      </c>
      <c r="AF4682">
        <v>-3.4689260783957199</v>
      </c>
      <c r="AG4682">
        <v>-1.1072877761088</v>
      </c>
      <c r="AH4682">
        <v>12.3054289496078</v>
      </c>
      <c r="AI4682">
        <v>94.949929042259598</v>
      </c>
      <c r="AJ4682">
        <v>105.743254930474</v>
      </c>
      <c r="AK4682">
        <v>12.8328919574015</v>
      </c>
    </row>
    <row r="4683" spans="1:37" x14ac:dyDescent="0.2">
      <c r="A4683" t="str">
        <f>"20200111153745433"</f>
        <v>20200111153745433</v>
      </c>
      <c r="B4683" t="str">
        <f>"1578728265427865"</f>
        <v>1578728265427865</v>
      </c>
      <c r="C4683" t="s">
        <v>37</v>
      </c>
      <c r="D4683">
        <v>6.211957</v>
      </c>
      <c r="E4683">
        <v>0.48524049999999902</v>
      </c>
      <c r="F4683" t="s">
        <v>55</v>
      </c>
      <c r="G4683">
        <v>-378.2824</v>
      </c>
      <c r="H4683" s="1">
        <v>-9.0950330000000004E-7</v>
      </c>
      <c r="I4683">
        <v>18.956019999999999</v>
      </c>
      <c r="J4683">
        <v>-391.24430000000001</v>
      </c>
      <c r="K4683">
        <v>1.1073109999999999</v>
      </c>
      <c r="L4683">
        <v>19.022189999999998</v>
      </c>
      <c r="M4683">
        <v>0.9614393</v>
      </c>
      <c r="N4683">
        <v>0</v>
      </c>
      <c r="O4683">
        <v>-0.274682599999999</v>
      </c>
      <c r="P4683">
        <v>0.99844379999999999</v>
      </c>
      <c r="Q4683">
        <v>3.7068660000000003E-2</v>
      </c>
      <c r="R4683">
        <v>-4.1664859999999998E-2</v>
      </c>
      <c r="S4683">
        <v>3.0130919999999999</v>
      </c>
      <c r="T4683">
        <v>-0.25378260000000002</v>
      </c>
      <c r="U4683">
        <v>-2.6733400000000001E-2</v>
      </c>
      <c r="V4683">
        <v>-0.2345361</v>
      </c>
      <c r="W4683">
        <v>4.8739020000000001E-2</v>
      </c>
      <c r="X4683">
        <v>0.97088479999999999</v>
      </c>
      <c r="Y4683">
        <v>-0.26427840000000002</v>
      </c>
      <c r="Z4683">
        <v>3.3972219999999997E-2</v>
      </c>
      <c r="AA4683">
        <v>0.96384789999999998</v>
      </c>
      <c r="AB4683">
        <v>28</v>
      </c>
      <c r="AC4683">
        <v>12.9619</v>
      </c>
      <c r="AD4683">
        <v>-1.1073119095032999</v>
      </c>
      <c r="AE4683">
        <v>-6.6169999999995996E-2</v>
      </c>
      <c r="AF4683">
        <v>-3.4717753184813298</v>
      </c>
      <c r="AG4683">
        <v>-1.1073119095032999</v>
      </c>
      <c r="AH4683">
        <v>12.390977054633501</v>
      </c>
      <c r="AI4683">
        <v>94.918216509731707</v>
      </c>
      <c r="AJ4683">
        <v>105.65211545645499</v>
      </c>
      <c r="AK4683">
        <v>12.915714300626099</v>
      </c>
    </row>
    <row r="4684" spans="1:37" x14ac:dyDescent="0.2">
      <c r="A4684" t="str">
        <f>"20200111153745451"</f>
        <v>20200111153745451</v>
      </c>
      <c r="B4684" t="str">
        <f>"1578728265448360"</f>
        <v>1578728265448360</v>
      </c>
      <c r="C4684" t="s">
        <v>37</v>
      </c>
      <c r="D4684">
        <v>6.0799370000000001</v>
      </c>
      <c r="E4684">
        <v>0.53992249999999997</v>
      </c>
      <c r="F4684" t="s">
        <v>55</v>
      </c>
      <c r="G4684">
        <v>-378.01889999999997</v>
      </c>
      <c r="H4684" s="1">
        <v>-1.039043E-6</v>
      </c>
      <c r="I4684">
        <v>18.92802</v>
      </c>
      <c r="J4684">
        <v>-391.0378</v>
      </c>
      <c r="K4684">
        <v>1.107337</v>
      </c>
      <c r="L4684">
        <v>18.966279999999902</v>
      </c>
      <c r="M4684">
        <v>0.96219750000000004</v>
      </c>
      <c r="N4684">
        <v>0</v>
      </c>
      <c r="O4684">
        <v>-0.27201520000000001</v>
      </c>
      <c r="P4684">
        <v>0.99851869999999998</v>
      </c>
      <c r="Q4684">
        <v>3.6739309999999997E-2</v>
      </c>
      <c r="R4684">
        <v>-4.0139029999999999E-2</v>
      </c>
      <c r="S4684">
        <v>3.013153</v>
      </c>
      <c r="T4684">
        <v>-0.25227919999999998</v>
      </c>
      <c r="U4684">
        <v>-2.1453860000000002E-2</v>
      </c>
      <c r="V4684">
        <v>-0.2333305</v>
      </c>
      <c r="W4684">
        <v>4.840705E-2</v>
      </c>
      <c r="X4684">
        <v>0.9711919</v>
      </c>
      <c r="Y4684">
        <v>-0.26332810000000001</v>
      </c>
      <c r="Z4684">
        <v>3.3516730000000002E-2</v>
      </c>
      <c r="AA4684">
        <v>0.96412389999999903</v>
      </c>
      <c r="AB4684">
        <v>28</v>
      </c>
      <c r="AC4684">
        <v>13.0189</v>
      </c>
      <c r="AD4684">
        <v>-1.1073380390430001</v>
      </c>
      <c r="AE4684">
        <v>-3.8259999999997497E-2</v>
      </c>
      <c r="AF4684">
        <v>-3.4796732771443901</v>
      </c>
      <c r="AG4684">
        <v>-1.1073380390430001</v>
      </c>
      <c r="AH4684">
        <v>12.4482552273092</v>
      </c>
      <c r="AI4684">
        <v>94.8966394884159</v>
      </c>
      <c r="AJ4684">
        <v>105.617325478485</v>
      </c>
      <c r="AK4684">
        <v>12.9727939108203</v>
      </c>
    </row>
    <row r="4685" spans="1:37" x14ac:dyDescent="0.2">
      <c r="A4685" t="str">
        <f>"20200111153745464"</f>
        <v>20200111153745464</v>
      </c>
      <c r="B4685" t="str">
        <f>"1578728265458121"</f>
        <v>1578728265458121</v>
      </c>
      <c r="C4685" t="s">
        <v>37</v>
      </c>
      <c r="D4685">
        <v>6.0372620000000001</v>
      </c>
      <c r="E4685">
        <v>0.54725380000000001</v>
      </c>
      <c r="F4685" t="s">
        <v>55</v>
      </c>
      <c r="G4685">
        <v>-379.02370000000002</v>
      </c>
      <c r="H4685" s="1">
        <v>-1.015628E-6</v>
      </c>
      <c r="I4685">
        <v>17.149000000000001</v>
      </c>
      <c r="J4685">
        <v>-390.87490000000003</v>
      </c>
      <c r="K4685">
        <v>1.1073580000000001</v>
      </c>
      <c r="L4685">
        <v>18.922609999999999</v>
      </c>
      <c r="M4685">
        <v>0.96279490000000001</v>
      </c>
      <c r="N4685">
        <v>0</v>
      </c>
      <c r="O4685">
        <v>-0.26989279999999999</v>
      </c>
      <c r="P4685">
        <v>0.99857450000000003</v>
      </c>
      <c r="Q4685">
        <v>3.6642420000000002E-2</v>
      </c>
      <c r="R4685">
        <v>-3.8814460000000002E-2</v>
      </c>
      <c r="S4685">
        <v>2.996429</v>
      </c>
      <c r="T4685">
        <v>-0.27618120000000002</v>
      </c>
      <c r="U4685">
        <v>-0.45324709999999901</v>
      </c>
      <c r="V4685">
        <v>-0.232479399999999</v>
      </c>
      <c r="W4685">
        <v>4.8306559999999998E-2</v>
      </c>
      <c r="X4685">
        <v>0.97140099999999996</v>
      </c>
      <c r="Y4685">
        <v>-0.12128800000000001</v>
      </c>
      <c r="Z4685">
        <v>2.987503E-2</v>
      </c>
      <c r="AA4685">
        <v>0.99216769999999999</v>
      </c>
      <c r="AB4685">
        <v>28</v>
      </c>
      <c r="AC4685">
        <v>11.8512</v>
      </c>
      <c r="AD4685">
        <v>-1.107359015628</v>
      </c>
      <c r="AE4685">
        <v>-1.7736099999999899</v>
      </c>
      <c r="AF4685">
        <v>-1.47844279895973</v>
      </c>
      <c r="AG4685">
        <v>-1.107359015628</v>
      </c>
      <c r="AH4685">
        <v>11.789377143082101</v>
      </c>
      <c r="AI4685">
        <v>95.324503867531703</v>
      </c>
      <c r="AJ4685">
        <v>97.147843664609795</v>
      </c>
      <c r="AK4685">
        <v>11.9332078889591</v>
      </c>
    </row>
    <row r="4686" spans="1:37" x14ac:dyDescent="0.2">
      <c r="A4686" t="str">
        <f>"20200111153745486"</f>
        <v>20200111153745486</v>
      </c>
      <c r="B4686" t="str">
        <f>"1578728265477639"</f>
        <v>1578728265477639</v>
      </c>
      <c r="C4686" t="s">
        <v>37</v>
      </c>
      <c r="D4686">
        <v>5.9926500000000003</v>
      </c>
      <c r="E4686">
        <v>0.56202159999999901</v>
      </c>
      <c r="F4686" t="s">
        <v>54</v>
      </c>
      <c r="G4686">
        <v>-380.20170000000002</v>
      </c>
      <c r="H4686" s="1">
        <v>-5.0767610000000002E-6</v>
      </c>
      <c r="I4686">
        <v>17.109870000000001</v>
      </c>
      <c r="J4686">
        <v>-390.62079999999997</v>
      </c>
      <c r="K4686">
        <v>1.107389</v>
      </c>
      <c r="L4686">
        <v>18.85529</v>
      </c>
      <c r="M4686">
        <v>0.96372749999999996</v>
      </c>
      <c r="N4686">
        <v>0</v>
      </c>
      <c r="O4686">
        <v>-0.26654319999999998</v>
      </c>
      <c r="P4686">
        <v>0.99867309999999998</v>
      </c>
      <c r="Q4686">
        <v>3.6171090000000003E-2</v>
      </c>
      <c r="R4686">
        <v>-3.6656359999999999E-2</v>
      </c>
      <c r="S4686">
        <v>2.9958800000000001</v>
      </c>
      <c r="T4686">
        <v>-0.31082690000000002</v>
      </c>
      <c r="U4686">
        <v>-0.50881960000000004</v>
      </c>
      <c r="V4686">
        <v>-0.23120569999999999</v>
      </c>
      <c r="W4686">
        <v>4.7826460000000001E-2</v>
      </c>
      <c r="X4686">
        <v>0.9717287</v>
      </c>
      <c r="Y4686">
        <v>-9.9557599999999996E-2</v>
      </c>
      <c r="Z4686">
        <v>3.209803E-2</v>
      </c>
      <c r="AA4686">
        <v>0.99451389999999995</v>
      </c>
      <c r="AB4686">
        <v>28</v>
      </c>
      <c r="AC4686">
        <v>10.419099999999901</v>
      </c>
      <c r="AD4686">
        <v>-1.107394076761</v>
      </c>
      <c r="AE4686">
        <v>-1.74541999999999</v>
      </c>
      <c r="AF4686">
        <v>-1.08322910347907</v>
      </c>
      <c r="AG4686">
        <v>-1.107394076761</v>
      </c>
      <c r="AH4686">
        <v>10.393168330978799</v>
      </c>
      <c r="AI4686">
        <v>96.049406340992604</v>
      </c>
      <c r="AJ4686">
        <v>95.950175596777001</v>
      </c>
      <c r="AK4686">
        <v>10.507980533286499</v>
      </c>
    </row>
    <row r="4687" spans="1:37" x14ac:dyDescent="0.2">
      <c r="A4687" t="str">
        <f>"20200111153745501"</f>
        <v>20200111153745501</v>
      </c>
      <c r="B4687" t="str">
        <f>"1578728265487401"</f>
        <v>1578728265487401</v>
      </c>
      <c r="C4687" t="s">
        <v>37</v>
      </c>
      <c r="D4687">
        <v>6.0249329999999999</v>
      </c>
      <c r="E4687">
        <v>0.56202159999999901</v>
      </c>
      <c r="F4687" t="s">
        <v>38</v>
      </c>
      <c r="G4687">
        <v>-389.77069999999998</v>
      </c>
      <c r="H4687">
        <v>0.99748899999999996</v>
      </c>
      <c r="I4687">
        <v>18.678789999999999</v>
      </c>
      <c r="J4687">
        <v>-390.44920000000002</v>
      </c>
      <c r="K4687">
        <v>1.107405</v>
      </c>
      <c r="L4687">
        <v>18.810300000000002</v>
      </c>
      <c r="M4687">
        <v>0.96435579999999999</v>
      </c>
      <c r="N4687">
        <v>0</v>
      </c>
      <c r="O4687">
        <v>-0.264262099999999</v>
      </c>
      <c r="P4687">
        <v>0.99875000000000003</v>
      </c>
      <c r="Q4687">
        <v>3.5754870000000001E-2</v>
      </c>
      <c r="R4687">
        <v>-3.4929769999999999E-2</v>
      </c>
      <c r="S4687">
        <v>2.9951779999999899</v>
      </c>
      <c r="T4687">
        <v>-0.38718150000000001</v>
      </c>
      <c r="U4687">
        <v>-0.62222290000000002</v>
      </c>
      <c r="V4687">
        <v>-0.230589399999999</v>
      </c>
      <c r="W4687">
        <v>4.7399219999999999E-2</v>
      </c>
      <c r="X4687">
        <v>0.97189599999999898</v>
      </c>
      <c r="Y4687">
        <v>-6.008003E-2</v>
      </c>
      <c r="Z4687">
        <v>3.6963679999999999E-2</v>
      </c>
      <c r="AA4687">
        <v>0.99750890000000003</v>
      </c>
      <c r="AB4687">
        <v>28</v>
      </c>
      <c r="AC4687">
        <v>0.67850000000004196</v>
      </c>
      <c r="AD4687">
        <v>-0.109916</v>
      </c>
      <c r="AE4687">
        <v>-0.13151000000000199</v>
      </c>
      <c r="AF4687">
        <v>-5.1189466744850497E-2</v>
      </c>
      <c r="AG4687">
        <v>-0.109916</v>
      </c>
      <c r="AH4687">
        <v>0.67213130538094601</v>
      </c>
      <c r="AI4687">
        <v>99.261216274308396</v>
      </c>
      <c r="AJ4687">
        <v>94.3552343906576</v>
      </c>
      <c r="AK4687">
        <v>0.682980512338907</v>
      </c>
    </row>
    <row r="4688" spans="1:37" x14ac:dyDescent="0.2">
      <c r="A4688" t="str">
        <f>"20200111153745519"</f>
        <v>20200111153745519</v>
      </c>
      <c r="B4688" t="str">
        <f>"1578728265507895"</f>
        <v>1578728265507895</v>
      </c>
      <c r="C4688" t="s">
        <v>37</v>
      </c>
      <c r="D4688">
        <v>5.961436</v>
      </c>
      <c r="E4688">
        <v>0.60323179999999998</v>
      </c>
      <c r="F4688" t="s">
        <v>38</v>
      </c>
      <c r="G4688">
        <v>-389.53539999999998</v>
      </c>
      <c r="H4688">
        <v>0.98877039999999905</v>
      </c>
      <c r="I4688">
        <v>18.621939999999999</v>
      </c>
      <c r="J4688">
        <v>-390.22230000000002</v>
      </c>
      <c r="K4688">
        <v>1.107421</v>
      </c>
      <c r="L4688">
        <v>18.751619999999999</v>
      </c>
      <c r="M4688">
        <v>0.96518499999999996</v>
      </c>
      <c r="N4688">
        <v>0</v>
      </c>
      <c r="O4688">
        <v>-0.2612178</v>
      </c>
      <c r="P4688">
        <v>0.99887979999999998</v>
      </c>
      <c r="Q4688">
        <v>3.4452150000000001E-2</v>
      </c>
      <c r="R4688">
        <v>-3.2440709999999998E-2</v>
      </c>
      <c r="S4688">
        <v>2.9961849999999899</v>
      </c>
      <c r="T4688">
        <v>-0.38931149999999998</v>
      </c>
      <c r="U4688">
        <v>-0.6162415</v>
      </c>
      <c r="V4688">
        <v>-0.22995019999999999</v>
      </c>
      <c r="W4688">
        <v>4.6076020000000002E-2</v>
      </c>
      <c r="X4688">
        <v>0.97211099999999995</v>
      </c>
      <c r="Y4688">
        <v>-5.891184E-2</v>
      </c>
      <c r="Z4688">
        <v>3.6713879999999997E-2</v>
      </c>
      <c r="AA4688">
        <v>0.99758789999999997</v>
      </c>
      <c r="AB4688">
        <v>28</v>
      </c>
      <c r="AC4688">
        <v>0.68690000000003604</v>
      </c>
      <c r="AD4688">
        <v>-0.11865059999999999</v>
      </c>
      <c r="AE4688">
        <v>-0.12968000000000399</v>
      </c>
      <c r="AF4688">
        <v>-5.27505434832925E-2</v>
      </c>
      <c r="AG4688">
        <v>-0.11865059999999999</v>
      </c>
      <c r="AH4688">
        <v>0.67740800746081697</v>
      </c>
      <c r="AI4688">
        <v>99.905405817839707</v>
      </c>
      <c r="AJ4688">
        <v>94.4527027231007</v>
      </c>
      <c r="AK4688">
        <v>0.68974067104251302</v>
      </c>
    </row>
    <row r="4689" spans="1:37" x14ac:dyDescent="0.2">
      <c r="A4689" t="str">
        <f>"20200111153745541"</f>
        <v>20200111153745541</v>
      </c>
      <c r="B4689" t="str">
        <f>"1578728265538152"</f>
        <v>1578728265538152</v>
      </c>
      <c r="C4689" t="s">
        <v>37</v>
      </c>
      <c r="D4689">
        <v>5.9875280000000002</v>
      </c>
      <c r="E4689">
        <v>0.60129319999999997</v>
      </c>
      <c r="F4689" t="s">
        <v>38</v>
      </c>
      <c r="G4689">
        <v>-389.36540000000002</v>
      </c>
      <c r="H4689">
        <v>0.89727849999999998</v>
      </c>
      <c r="I4689">
        <v>18.4817</v>
      </c>
      <c r="J4689">
        <v>-389.96440000000001</v>
      </c>
      <c r="K4689">
        <v>1.1074310000000001</v>
      </c>
      <c r="L4689">
        <v>18.685970000000001</v>
      </c>
      <c r="M4689">
        <v>0.96612540000000002</v>
      </c>
      <c r="N4689">
        <v>0</v>
      </c>
      <c r="O4689">
        <v>-0.25771939999999999</v>
      </c>
      <c r="P4689">
        <v>0.99908259999999904</v>
      </c>
      <c r="Q4689">
        <v>3.2577250000000002E-2</v>
      </c>
      <c r="R4689">
        <v>-2.7801969999999999E-2</v>
      </c>
      <c r="S4689">
        <v>2.9980769999999999</v>
      </c>
      <c r="T4689">
        <v>-0.73537019999999997</v>
      </c>
      <c r="U4689">
        <v>-0.94378660000000003</v>
      </c>
      <c r="V4689">
        <v>-0.23094870000000001</v>
      </c>
      <c r="W4689">
        <v>4.4148699999999999E-2</v>
      </c>
      <c r="X4689">
        <v>0.97196380000000004</v>
      </c>
      <c r="Y4689">
        <v>4.9663599999999898E-2</v>
      </c>
      <c r="Z4689">
        <v>5.3906089999999997E-2</v>
      </c>
      <c r="AA4689">
        <v>0.99731019999999904</v>
      </c>
      <c r="AB4689">
        <v>28</v>
      </c>
      <c r="AC4689">
        <v>0.59899999999998899</v>
      </c>
      <c r="AD4689">
        <v>-0.21015249999999999</v>
      </c>
      <c r="AE4689">
        <v>-0.20427000000000101</v>
      </c>
      <c r="AF4689">
        <v>3.8711876293219601E-2</v>
      </c>
      <c r="AG4689">
        <v>-0.21015249999999999</v>
      </c>
      <c r="AH4689">
        <v>0.56870309246056405</v>
      </c>
      <c r="AI4689">
        <v>110.23773103638899</v>
      </c>
      <c r="AJ4689">
        <v>86.105857618696902</v>
      </c>
      <c r="AK4689">
        <v>0.60752439456913998</v>
      </c>
    </row>
    <row r="4690" spans="1:37" x14ac:dyDescent="0.2">
      <c r="A4690" t="str">
        <f>"20200111153745565"</f>
        <v>20200111153745565</v>
      </c>
      <c r="B4690" t="str">
        <f>"1578728265557673"</f>
        <v>1578728265557673</v>
      </c>
      <c r="C4690" t="s">
        <v>37</v>
      </c>
      <c r="D4690">
        <v>5.9932369999999997</v>
      </c>
      <c r="E4690">
        <v>0.60095489999999996</v>
      </c>
      <c r="F4690" t="s">
        <v>38</v>
      </c>
      <c r="G4690">
        <v>-389.12240000000003</v>
      </c>
      <c r="H4690">
        <v>0.90028140000000001</v>
      </c>
      <c r="I4690">
        <v>18.429549999999999</v>
      </c>
      <c r="J4690">
        <v>-389.68759999999997</v>
      </c>
      <c r="K4690">
        <v>1.1074329999999999</v>
      </c>
      <c r="L4690">
        <v>18.61664</v>
      </c>
      <c r="M4690">
        <v>0.9671305</v>
      </c>
      <c r="N4690">
        <v>0</v>
      </c>
      <c r="O4690">
        <v>-0.25392379999999998</v>
      </c>
      <c r="P4690">
        <v>0.99926610000000005</v>
      </c>
      <c r="Q4690">
        <v>3.0719779999999999E-2</v>
      </c>
      <c r="R4690">
        <v>-2.2888599999999999E-2</v>
      </c>
      <c r="S4690">
        <v>3.001465</v>
      </c>
      <c r="T4690">
        <v>-0.73891450000000003</v>
      </c>
      <c r="U4690">
        <v>-0.912628199999999</v>
      </c>
      <c r="V4690">
        <v>-0.23191700000000001</v>
      </c>
      <c r="W4690">
        <v>4.2228370000000001E-2</v>
      </c>
      <c r="X4690">
        <v>0.97181849999999903</v>
      </c>
      <c r="Y4690">
        <v>4.393172E-2</v>
      </c>
      <c r="Z4690">
        <v>5.401802E-2</v>
      </c>
      <c r="AA4690">
        <v>0.99757309999999999</v>
      </c>
      <c r="AB4690">
        <v>28</v>
      </c>
      <c r="AC4690">
        <v>0.56519999999994697</v>
      </c>
      <c r="AD4690">
        <v>-0.20715159999999899</v>
      </c>
      <c r="AE4690">
        <v>-0.18709000000000101</v>
      </c>
      <c r="AF4690">
        <v>3.3384434177671E-2</v>
      </c>
      <c r="AG4690">
        <v>-0.20715159999999899</v>
      </c>
      <c r="AH4690">
        <v>0.53001641816830003</v>
      </c>
      <c r="AI4690">
        <v>111.30911318459</v>
      </c>
      <c r="AJ4690">
        <v>86.395840766722301</v>
      </c>
      <c r="AK4690">
        <v>0.57003834025079203</v>
      </c>
    </row>
    <row r="4691" spans="1:37" x14ac:dyDescent="0.2">
      <c r="A4691" t="str">
        <f>"20200111153745586"</f>
        <v>20200111153745586</v>
      </c>
      <c r="B4691" t="str">
        <f>"1578728265578168"</f>
        <v>1578728265578168</v>
      </c>
      <c r="C4691" t="s">
        <v>37</v>
      </c>
      <c r="D4691">
        <v>5.9851039999999998</v>
      </c>
      <c r="E4691">
        <v>0.60071519999999901</v>
      </c>
      <c r="F4691" t="s">
        <v>38</v>
      </c>
      <c r="G4691">
        <v>-388.87810000000002</v>
      </c>
      <c r="H4691">
        <v>0.90849069999999899</v>
      </c>
      <c r="I4691">
        <v>18.375389999999999</v>
      </c>
      <c r="J4691">
        <v>-389.41879999999998</v>
      </c>
      <c r="K4691">
        <v>1.107443</v>
      </c>
      <c r="L4691">
        <v>18.550450000000001</v>
      </c>
      <c r="M4691">
        <v>0.96810180000000001</v>
      </c>
      <c r="N4691">
        <v>0</v>
      </c>
      <c r="O4691">
        <v>-0.25019740000000001</v>
      </c>
      <c r="P4691">
        <v>0.99937410000000004</v>
      </c>
      <c r="Q4691">
        <v>2.9834800000000002E-2</v>
      </c>
      <c r="R4691">
        <v>-1.9010900000000001E-2</v>
      </c>
      <c r="S4691">
        <v>3.0044559999999998</v>
      </c>
      <c r="T4691">
        <v>-0.73847479999999999</v>
      </c>
      <c r="U4691">
        <v>-0.89471440000000002</v>
      </c>
      <c r="V4691">
        <v>-0.23194799999999999</v>
      </c>
      <c r="W4691">
        <v>4.128457E-2</v>
      </c>
      <c r="X4691">
        <v>0.97185169999999999</v>
      </c>
      <c r="Y4691">
        <v>4.2001520000000001E-2</v>
      </c>
      <c r="Z4691">
        <v>5.3373730000000001E-2</v>
      </c>
      <c r="AA4691">
        <v>0.99769089999999905</v>
      </c>
      <c r="AB4691">
        <v>28</v>
      </c>
      <c r="AC4691">
        <v>0.54069999999995799</v>
      </c>
      <c r="AD4691">
        <v>-0.1989523</v>
      </c>
      <c r="AE4691">
        <v>-0.17506000000000099</v>
      </c>
      <c r="AF4691">
        <v>3.0464059890592299E-2</v>
      </c>
      <c r="AG4691">
        <v>-0.1989523</v>
      </c>
      <c r="AH4691">
        <v>0.50537289103775895</v>
      </c>
      <c r="AI4691">
        <v>111.45288884465199</v>
      </c>
      <c r="AJ4691">
        <v>86.550364072904202</v>
      </c>
      <c r="AK4691">
        <v>0.54397778963499099</v>
      </c>
    </row>
    <row r="4692" spans="1:37" x14ac:dyDescent="0.2">
      <c r="A4692" t="str">
        <f>"20200111153745602"</f>
        <v>20200111153745602</v>
      </c>
      <c r="B4692" t="str">
        <f>"1578728265597688"</f>
        <v>1578728265597688</v>
      </c>
      <c r="C4692" t="s">
        <v>37</v>
      </c>
      <c r="D4692">
        <v>6.0182519999999897</v>
      </c>
      <c r="E4692">
        <v>0.60319739999999999</v>
      </c>
      <c r="F4692" t="s">
        <v>38</v>
      </c>
      <c r="G4692">
        <v>-388.63440000000003</v>
      </c>
      <c r="H4692">
        <v>0.91584940000000004</v>
      </c>
      <c r="I4692">
        <v>18.320720000000001</v>
      </c>
      <c r="J4692">
        <v>-389.2405</v>
      </c>
      <c r="K4692">
        <v>1.1074569999999999</v>
      </c>
      <c r="L4692">
        <v>18.507110000000001</v>
      </c>
      <c r="M4692">
        <v>0.96874309999999997</v>
      </c>
      <c r="N4692">
        <v>0</v>
      </c>
      <c r="O4692">
        <v>-0.24770490000000001</v>
      </c>
      <c r="P4692">
        <v>0.99939509999999898</v>
      </c>
      <c r="Q4692">
        <v>3.026069E-2</v>
      </c>
      <c r="R4692">
        <v>-1.7148420000000001E-2</v>
      </c>
      <c r="S4692">
        <v>3.00707999999999</v>
      </c>
      <c r="T4692">
        <v>-0.73474930000000005</v>
      </c>
      <c r="U4692">
        <v>-0.87982179999999999</v>
      </c>
      <c r="V4692">
        <v>-0.23125879999999999</v>
      </c>
      <c r="W4692">
        <v>4.1672380000000002E-2</v>
      </c>
      <c r="X4692">
        <v>0.97199930000000001</v>
      </c>
      <c r="Y4692">
        <v>3.9733659999999997E-2</v>
      </c>
      <c r="Z4692">
        <v>5.2815939999999999E-2</v>
      </c>
      <c r="AA4692">
        <v>0.99781350000000002</v>
      </c>
      <c r="AB4692">
        <v>28</v>
      </c>
      <c r="AC4692">
        <v>0.606099999999969</v>
      </c>
      <c r="AD4692">
        <v>-0.19160759999999899</v>
      </c>
      <c r="AE4692">
        <v>-0.186389999999999</v>
      </c>
      <c r="AF4692">
        <v>2.78866315628058E-2</v>
      </c>
      <c r="AG4692">
        <v>-0.19160759999999899</v>
      </c>
      <c r="AH4692">
        <v>0.58038935879992304</v>
      </c>
      <c r="AI4692">
        <v>108.25027589589401</v>
      </c>
      <c r="AJ4692">
        <v>87.249159711740901</v>
      </c>
      <c r="AK4692">
        <v>0.61183571684388105</v>
      </c>
    </row>
    <row r="4693" spans="1:37" x14ac:dyDescent="0.2">
      <c r="A4693" t="str">
        <f>"20200111153745620"</f>
        <v>20200111153745620</v>
      </c>
      <c r="B4693" t="str">
        <f>"1578728265607448"</f>
        <v>1578728265607448</v>
      </c>
      <c r="C4693" t="s">
        <v>37</v>
      </c>
      <c r="D4693">
        <v>5.9644659999999998</v>
      </c>
      <c r="E4693">
        <v>0.60543649999999904</v>
      </c>
      <c r="F4693" t="s">
        <v>38</v>
      </c>
      <c r="G4693">
        <v>-388.40219999999999</v>
      </c>
      <c r="H4693">
        <v>0.90373289999999995</v>
      </c>
      <c r="I4693">
        <v>18.25787</v>
      </c>
      <c r="J4693">
        <v>-389.02420000000001</v>
      </c>
      <c r="K4693">
        <v>1.1074759999999999</v>
      </c>
      <c r="L4693">
        <v>18.455200000000001</v>
      </c>
      <c r="M4693">
        <v>0.96952059999999995</v>
      </c>
      <c r="N4693">
        <v>0</v>
      </c>
      <c r="O4693">
        <v>-0.24464710000000001</v>
      </c>
      <c r="P4693">
        <v>0.999364899999999</v>
      </c>
      <c r="Q4693">
        <v>3.1710240000000001E-2</v>
      </c>
      <c r="R4693">
        <v>-1.626124E-2</v>
      </c>
      <c r="S4693">
        <v>3.0086360000000001</v>
      </c>
      <c r="T4693">
        <v>-0.73132379999999997</v>
      </c>
      <c r="U4693">
        <v>-0.89389039999999997</v>
      </c>
      <c r="V4693">
        <v>-0.22905419999999899</v>
      </c>
      <c r="W4693">
        <v>4.3075410000000001E-2</v>
      </c>
      <c r="X4693">
        <v>0.972460199999999</v>
      </c>
      <c r="Y4693">
        <v>4.671761E-2</v>
      </c>
      <c r="Z4693">
        <v>5.1003149999999997E-2</v>
      </c>
      <c r="AA4693">
        <v>0.99760519999999997</v>
      </c>
      <c r="AB4693">
        <v>28</v>
      </c>
      <c r="AC4693">
        <v>0.62200000000001399</v>
      </c>
      <c r="AD4693">
        <v>-0.20374310000000001</v>
      </c>
      <c r="AE4693">
        <v>-0.19733000000000001</v>
      </c>
      <c r="AF4693">
        <v>3.5671093621939702E-2</v>
      </c>
      <c r="AG4693">
        <v>-0.20374310000000001</v>
      </c>
      <c r="AH4693">
        <v>0.59351702667156803</v>
      </c>
      <c r="AI4693">
        <v>108.91467242620899</v>
      </c>
      <c r="AJ4693">
        <v>86.560591359771294</v>
      </c>
      <c r="AK4693">
        <v>0.62852695937951097</v>
      </c>
    </row>
    <row r="4694" spans="1:37" x14ac:dyDescent="0.2">
      <c r="A4694" t="str">
        <f>"20200111153745634"</f>
        <v>20200111153745634</v>
      </c>
      <c r="B4694" t="str">
        <f>"1578728265627944"</f>
        <v>1578728265627944</v>
      </c>
      <c r="C4694" t="s">
        <v>37</v>
      </c>
      <c r="D4694">
        <v>6.0342349999999998</v>
      </c>
      <c r="E4694">
        <v>0.60987419999999903</v>
      </c>
      <c r="F4694" t="s">
        <v>38</v>
      </c>
      <c r="G4694">
        <v>-388.1669</v>
      </c>
      <c r="H4694">
        <v>0.89806509999999995</v>
      </c>
      <c r="I4694">
        <v>18.195740000000001</v>
      </c>
      <c r="J4694">
        <v>-388.83870000000002</v>
      </c>
      <c r="K4694">
        <v>1.10749599999999</v>
      </c>
      <c r="L4694">
        <v>18.41141</v>
      </c>
      <c r="M4694">
        <v>0.97018700000000002</v>
      </c>
      <c r="N4694">
        <v>0</v>
      </c>
      <c r="O4694">
        <v>-0.24199389999999901</v>
      </c>
      <c r="P4694">
        <v>0.99936849999999999</v>
      </c>
      <c r="Q4694">
        <v>3.2354099999999997E-2</v>
      </c>
      <c r="R4694">
        <v>-1.4700960000000001E-2</v>
      </c>
      <c r="S4694">
        <v>3.0104679999999999</v>
      </c>
      <c r="T4694">
        <v>-0.73571679999999995</v>
      </c>
      <c r="U4694">
        <v>-0.90994259999999905</v>
      </c>
      <c r="V4694">
        <v>-0.227913</v>
      </c>
      <c r="W4694">
        <v>4.3664219999999997E-2</v>
      </c>
      <c r="X4694">
        <v>0.97270199999999996</v>
      </c>
      <c r="Y4694">
        <v>5.3953300000000003E-2</v>
      </c>
      <c r="Z4694">
        <v>4.9774060000000002E-2</v>
      </c>
      <c r="AA4694">
        <v>0.99730219999999903</v>
      </c>
      <c r="AB4694">
        <v>28</v>
      </c>
      <c r="AC4694">
        <v>0.67180000000001805</v>
      </c>
      <c r="AD4694">
        <v>-0.209430899999999</v>
      </c>
      <c r="AE4694">
        <v>-0.215669999999999</v>
      </c>
      <c r="AF4694">
        <v>4.2893682648880799E-2</v>
      </c>
      <c r="AG4694">
        <v>-0.209430899999999</v>
      </c>
      <c r="AH4694">
        <v>0.64701874445322305</v>
      </c>
      <c r="AI4694">
        <v>107.899264917802</v>
      </c>
      <c r="AJ4694">
        <v>86.207163865612102</v>
      </c>
      <c r="AK4694">
        <v>0.68142088723476801</v>
      </c>
    </row>
    <row r="4695" spans="1:37" x14ac:dyDescent="0.2">
      <c r="A4695" t="str">
        <f>"20200111153745655"</f>
        <v>20200111153745655</v>
      </c>
      <c r="B4695" t="str">
        <f>"1578728265647465"</f>
        <v>1578728265647465</v>
      </c>
      <c r="C4695" t="s">
        <v>37</v>
      </c>
      <c r="D4695">
        <v>5.9535130000000001</v>
      </c>
      <c r="E4695">
        <v>0.61307230000000001</v>
      </c>
      <c r="F4695" t="s">
        <v>38</v>
      </c>
      <c r="G4695">
        <v>-388.15019999999998</v>
      </c>
      <c r="H4695">
        <v>0.93358039999999998</v>
      </c>
      <c r="I4695">
        <v>18.195959999999999</v>
      </c>
      <c r="J4695">
        <v>-388.60739999999998</v>
      </c>
      <c r="K4695">
        <v>1.1075269999999999</v>
      </c>
      <c r="L4695">
        <v>18.357510000000001</v>
      </c>
      <c r="M4695">
        <v>0.97101559999999898</v>
      </c>
      <c r="N4695">
        <v>0</v>
      </c>
      <c r="O4695">
        <v>-0.2386511</v>
      </c>
      <c r="P4695">
        <v>0.9993495</v>
      </c>
      <c r="Q4695">
        <v>3.2935289999999999E-2</v>
      </c>
      <c r="R4695">
        <v>-1.4692790000000001E-2</v>
      </c>
      <c r="S4695">
        <v>3.0127259999999998</v>
      </c>
      <c r="T4695">
        <v>-0.76148149999999903</v>
      </c>
      <c r="U4695">
        <v>-0.94131469999999995</v>
      </c>
      <c r="V4695">
        <v>-0.22457060000000001</v>
      </c>
      <c r="W4695">
        <v>4.419729E-2</v>
      </c>
      <c r="X4695">
        <v>0.97345499999999996</v>
      </c>
      <c r="Y4695">
        <v>6.6545140000000003E-2</v>
      </c>
      <c r="Z4695">
        <v>4.9030240000000003E-2</v>
      </c>
      <c r="AA4695">
        <v>0.99657799999999996</v>
      </c>
      <c r="AB4695">
        <v>28</v>
      </c>
      <c r="AC4695">
        <v>0.4572</v>
      </c>
      <c r="AD4695">
        <v>-0.17394660000000001</v>
      </c>
      <c r="AE4695">
        <v>-0.161550000000001</v>
      </c>
      <c r="AF4695">
        <v>4.2315179101637401E-2</v>
      </c>
      <c r="AG4695">
        <v>-0.17394660000000001</v>
      </c>
      <c r="AH4695">
        <v>0.42752854934859702</v>
      </c>
      <c r="AI4695">
        <v>112.04238985401101</v>
      </c>
      <c r="AJ4695">
        <v>84.347487660958805</v>
      </c>
      <c r="AK4695">
        <v>0.46349612138838803</v>
      </c>
    </row>
    <row r="4696" spans="1:37" x14ac:dyDescent="0.2">
      <c r="A4696" t="str">
        <f>"20200111153745669"</f>
        <v>20200111153745669</v>
      </c>
      <c r="B4696" t="str">
        <f>"1578728265658200"</f>
        <v>1578728265658200</v>
      </c>
      <c r="C4696" t="s">
        <v>37</v>
      </c>
      <c r="D4696">
        <v>5.9258050000000004</v>
      </c>
      <c r="E4696">
        <v>0.61413090000000004</v>
      </c>
      <c r="F4696" t="s">
        <v>38</v>
      </c>
      <c r="G4696">
        <v>-387.91500000000002</v>
      </c>
      <c r="H4696">
        <v>0.92739950000000004</v>
      </c>
      <c r="I4696">
        <v>18.135390000000001</v>
      </c>
      <c r="J4696">
        <v>-388.42759999999998</v>
      </c>
      <c r="K4696">
        <v>1.107556</v>
      </c>
      <c r="L4696">
        <v>18.316220000000001</v>
      </c>
      <c r="M4696">
        <v>0.971661</v>
      </c>
      <c r="N4696">
        <v>0</v>
      </c>
      <c r="O4696">
        <v>-0.23601220000000001</v>
      </c>
      <c r="P4696">
        <v>0.99934969999999901</v>
      </c>
      <c r="Q4696">
        <v>3.3348240000000001E-2</v>
      </c>
      <c r="R4696">
        <v>-1.37265999999999E-2</v>
      </c>
      <c r="S4696">
        <v>3.0135800000000001</v>
      </c>
      <c r="T4696">
        <v>-0.78411569999999997</v>
      </c>
      <c r="U4696">
        <v>-0.9665222</v>
      </c>
      <c r="V4696">
        <v>-0.22286919999999999</v>
      </c>
      <c r="W4696">
        <v>4.455982E-2</v>
      </c>
      <c r="X4696">
        <v>0.97382939999999996</v>
      </c>
      <c r="Y4696">
        <v>7.6641050000000002E-2</v>
      </c>
      <c r="Z4696">
        <v>4.8463810000000003E-2</v>
      </c>
      <c r="AA4696">
        <v>0.99588019999999999</v>
      </c>
      <c r="AB4696">
        <v>28</v>
      </c>
      <c r="AC4696">
        <v>0.51259999999996297</v>
      </c>
      <c r="AD4696">
        <v>-0.180156499999999</v>
      </c>
      <c r="AE4696">
        <v>-0.18082999999999999</v>
      </c>
      <c r="AF4696">
        <v>4.93132379596605E-2</v>
      </c>
      <c r="AG4696">
        <v>-0.180156499999999</v>
      </c>
      <c r="AH4696">
        <v>0.48727114422176698</v>
      </c>
      <c r="AI4696">
        <v>110.195864579267</v>
      </c>
      <c r="AJ4696">
        <v>84.221178051636102</v>
      </c>
      <c r="AK4696">
        <v>0.521844160570477</v>
      </c>
    </row>
    <row r="4697" spans="1:37" x14ac:dyDescent="0.2">
      <c r="A4697" t="str">
        <f>"20200111153745688"</f>
        <v>20200111153745688</v>
      </c>
      <c r="B4697" t="str">
        <f>"1578728265677720"</f>
        <v>1578728265677720</v>
      </c>
      <c r="C4697" t="s">
        <v>37</v>
      </c>
      <c r="D4697">
        <v>5.9565659999999996</v>
      </c>
      <c r="E4697">
        <v>0.61596110000000004</v>
      </c>
      <c r="F4697" t="s">
        <v>38</v>
      </c>
      <c r="G4697">
        <v>-387.68340000000001</v>
      </c>
      <c r="H4697">
        <v>0.91301080000000001</v>
      </c>
      <c r="I4697">
        <v>18.076219999999999</v>
      </c>
      <c r="J4697">
        <v>-388.20859999999999</v>
      </c>
      <c r="K4697">
        <v>1.1075969999999999</v>
      </c>
      <c r="L4697">
        <v>18.266690000000001</v>
      </c>
      <c r="M4697">
        <v>0.97244799999999998</v>
      </c>
      <c r="N4697">
        <v>0</v>
      </c>
      <c r="O4697">
        <v>-0.232752299999999</v>
      </c>
      <c r="P4697">
        <v>0.99935010000000002</v>
      </c>
      <c r="Q4697">
        <v>3.3815600000000001E-2</v>
      </c>
      <c r="R4697">
        <v>-1.250448E-2</v>
      </c>
      <c r="S4697">
        <v>3.0149539999999999</v>
      </c>
      <c r="T4697">
        <v>-0.78839669999999995</v>
      </c>
      <c r="U4697">
        <v>-0.97174069999999901</v>
      </c>
      <c r="V4697">
        <v>-0.22079599999999999</v>
      </c>
      <c r="W4697">
        <v>4.4960899999999998E-2</v>
      </c>
      <c r="X4697">
        <v>0.97428320000000002</v>
      </c>
      <c r="Y4697">
        <v>8.1229469999999998E-2</v>
      </c>
      <c r="Z4697">
        <v>4.7322990000000002E-2</v>
      </c>
      <c r="AA4697">
        <v>0.9955714</v>
      </c>
      <c r="AB4697">
        <v>28</v>
      </c>
      <c r="AC4697">
        <v>0.52519999999998301</v>
      </c>
      <c r="AD4697">
        <v>-0.19458619999999999</v>
      </c>
      <c r="AE4697">
        <v>-0.190469999999997</v>
      </c>
      <c r="AF4697">
        <v>5.6171647412736003E-2</v>
      </c>
      <c r="AG4697">
        <v>-0.19458619999999999</v>
      </c>
      <c r="AH4697">
        <v>0.49505271622541502</v>
      </c>
      <c r="AI4697">
        <v>111.333404579876</v>
      </c>
      <c r="AJ4697">
        <v>83.526563634932799</v>
      </c>
      <c r="AK4697">
        <v>0.53487964538357802</v>
      </c>
    </row>
    <row r="4698" spans="1:37" x14ac:dyDescent="0.2">
      <c r="A4698" t="str">
        <f>"20200111153745713"</f>
        <v>20200111153745713</v>
      </c>
      <c r="B4698" t="str">
        <f>"1578728265707976"</f>
        <v>1578728265707976</v>
      </c>
      <c r="C4698" t="s">
        <v>37</v>
      </c>
      <c r="D4698">
        <v>5.9058489999999999</v>
      </c>
      <c r="E4698">
        <v>0.61799630000000005</v>
      </c>
      <c r="F4698" t="s">
        <v>38</v>
      </c>
      <c r="G4698">
        <v>-387.4468</v>
      </c>
      <c r="H4698">
        <v>0.90725419999999901</v>
      </c>
      <c r="I4698">
        <v>18.018619999999999</v>
      </c>
      <c r="J4698">
        <v>-387.90339999999998</v>
      </c>
      <c r="K4698">
        <v>1.1076589999999999</v>
      </c>
      <c r="L4698">
        <v>18.199069999999999</v>
      </c>
      <c r="M4698">
        <v>0.97354699999999905</v>
      </c>
      <c r="N4698">
        <v>0</v>
      </c>
      <c r="O4698">
        <v>-0.22811629999999999</v>
      </c>
      <c r="P4698">
        <v>0.99935529999999995</v>
      </c>
      <c r="Q4698">
        <v>3.470256E-2</v>
      </c>
      <c r="R4698">
        <v>-9.2168259999999991E-3</v>
      </c>
      <c r="S4698">
        <v>3.0165709999999999</v>
      </c>
      <c r="T4698">
        <v>-0.79370289999999999</v>
      </c>
      <c r="U4698">
        <v>-0.98138429999999999</v>
      </c>
      <c r="V4698">
        <v>-0.21936459999999999</v>
      </c>
      <c r="W4698">
        <v>4.573783E-2</v>
      </c>
      <c r="X4698">
        <v>0.9745703</v>
      </c>
      <c r="Y4698">
        <v>8.8402939999999999E-2</v>
      </c>
      <c r="Z4698">
        <v>4.5550569999999999E-2</v>
      </c>
      <c r="AA4698">
        <v>0.99504269999999995</v>
      </c>
      <c r="AB4698">
        <v>28</v>
      </c>
      <c r="AC4698">
        <v>0.45659999999998002</v>
      </c>
      <c r="AD4698">
        <v>-0.20040479999999999</v>
      </c>
      <c r="AE4698">
        <v>-0.18045</v>
      </c>
      <c r="AF4698">
        <v>6.1309551522051003E-2</v>
      </c>
      <c r="AG4698">
        <v>-0.20040479999999999</v>
      </c>
      <c r="AH4698">
        <v>0.41635485329480398</v>
      </c>
      <c r="AI4698">
        <v>115.463631674442</v>
      </c>
      <c r="AJ4698">
        <v>81.623217421881094</v>
      </c>
      <c r="AK4698">
        <v>0.46612477817963399</v>
      </c>
    </row>
    <row r="4699" spans="1:37" x14ac:dyDescent="0.2">
      <c r="A4699" t="str">
        <f>"20200111153745730"</f>
        <v>20200111153745730</v>
      </c>
      <c r="B4699" t="str">
        <f>"1578728265717736"</f>
        <v>1578728265717736</v>
      </c>
      <c r="C4699" t="s">
        <v>37</v>
      </c>
      <c r="D4699">
        <v>5.9264640000000002</v>
      </c>
      <c r="E4699">
        <v>0.6185138</v>
      </c>
      <c r="F4699" t="s">
        <v>38</v>
      </c>
      <c r="G4699">
        <v>-387.1995</v>
      </c>
      <c r="H4699">
        <v>0.92078479999999996</v>
      </c>
      <c r="I4699">
        <v>17.96921</v>
      </c>
      <c r="J4699">
        <v>-387.69729999999998</v>
      </c>
      <c r="K4699">
        <v>1.107702</v>
      </c>
      <c r="L4699">
        <v>18.154299999999999</v>
      </c>
      <c r="M4699">
        <v>0.97429049999999995</v>
      </c>
      <c r="N4699">
        <v>0</v>
      </c>
      <c r="O4699">
        <v>-0.22492280000000001</v>
      </c>
      <c r="P4699">
        <v>0.99934500000000004</v>
      </c>
      <c r="Q4699">
        <v>3.5521980000000002E-2</v>
      </c>
      <c r="R4699">
        <v>-6.9034539999999998E-3</v>
      </c>
      <c r="S4699">
        <v>3.0206909999999998</v>
      </c>
      <c r="T4699">
        <v>-0.80231079999999999</v>
      </c>
      <c r="U4699">
        <v>-0.98513790000000001</v>
      </c>
      <c r="V4699">
        <v>-0.21842889999999901</v>
      </c>
      <c r="W4699">
        <v>4.6480889999999997E-2</v>
      </c>
      <c r="X4699">
        <v>0.97474530000000004</v>
      </c>
      <c r="Y4699">
        <v>9.2252790000000001E-2</v>
      </c>
      <c r="Z4699">
        <v>4.4688350000000002E-2</v>
      </c>
      <c r="AA4699">
        <v>0.99473230000000001</v>
      </c>
      <c r="AB4699">
        <v>28</v>
      </c>
      <c r="AC4699">
        <v>0.49779999999998298</v>
      </c>
      <c r="AD4699">
        <v>-0.18691720000000001</v>
      </c>
      <c r="AE4699">
        <v>-0.18508999999999801</v>
      </c>
      <c r="AF4699">
        <v>6.08351819357189E-2</v>
      </c>
      <c r="AG4699">
        <v>-0.18691720000000001</v>
      </c>
      <c r="AH4699">
        <v>0.46862965937503798</v>
      </c>
      <c r="AI4699">
        <v>111.58078896761</v>
      </c>
      <c r="AJ4699">
        <v>82.603508949108701</v>
      </c>
      <c r="AK4699">
        <v>0.508185710801628</v>
      </c>
    </row>
    <row r="4700" spans="1:37" x14ac:dyDescent="0.2">
      <c r="A4700" t="str">
        <f>"20200111153745744"</f>
        <v>20200111153745744</v>
      </c>
      <c r="B4700" t="str">
        <f>"1578728265738233"</f>
        <v>1578728265738233</v>
      </c>
      <c r="C4700" t="s">
        <v>37</v>
      </c>
      <c r="D4700">
        <v>5.8936440000000001</v>
      </c>
      <c r="E4700">
        <v>0.61935859999999998</v>
      </c>
      <c r="F4700" t="s">
        <v>38</v>
      </c>
      <c r="G4700">
        <v>-386.96319999999997</v>
      </c>
      <c r="H4700">
        <v>0.91247009999999995</v>
      </c>
      <c r="I4700">
        <v>17.916039999999999</v>
      </c>
      <c r="J4700">
        <v>-387.54169999999999</v>
      </c>
      <c r="K4700">
        <v>1.1077330000000001</v>
      </c>
      <c r="L4700">
        <v>18.120940000000001</v>
      </c>
      <c r="M4700">
        <v>0.97485180000000005</v>
      </c>
      <c r="N4700">
        <v>0</v>
      </c>
      <c r="O4700">
        <v>-0.22248109999999999</v>
      </c>
      <c r="P4700">
        <v>0.99934630000000002</v>
      </c>
      <c r="Q4700">
        <v>3.5775380000000002E-2</v>
      </c>
      <c r="R4700">
        <v>-5.2396470000000001E-3</v>
      </c>
      <c r="S4700">
        <v>3.0238339999999999</v>
      </c>
      <c r="T4700">
        <v>-0.80457529999999999</v>
      </c>
      <c r="U4700">
        <v>-0.98065190000000002</v>
      </c>
      <c r="V4700">
        <v>-0.217613</v>
      </c>
      <c r="W4700">
        <v>4.6677139999999999E-2</v>
      </c>
      <c r="X4700">
        <v>0.97491839999999996</v>
      </c>
      <c r="Y4700">
        <v>9.3029479999999998E-2</v>
      </c>
      <c r="Z4700">
        <v>4.4080090000000002E-2</v>
      </c>
      <c r="AA4700">
        <v>0.99468709999999905</v>
      </c>
      <c r="AB4700">
        <v>28</v>
      </c>
      <c r="AC4700">
        <v>0.578500000000019</v>
      </c>
      <c r="AD4700">
        <v>-0.19526289999999999</v>
      </c>
      <c r="AE4700">
        <v>-0.204900000000002</v>
      </c>
      <c r="AF4700">
        <v>6.4516741054309004E-2</v>
      </c>
      <c r="AG4700">
        <v>-0.19526289999999999</v>
      </c>
      <c r="AH4700">
        <v>0.55355304776346803</v>
      </c>
      <c r="AI4700">
        <v>109.30908274939399</v>
      </c>
      <c r="AJ4700">
        <v>83.352156172114604</v>
      </c>
      <c r="AK4700">
        <v>0.59051755831719599</v>
      </c>
    </row>
    <row r="4701" spans="1:37" x14ac:dyDescent="0.2">
      <c r="A4701" t="str">
        <f>"20200111153745756"</f>
        <v>20200111153745756</v>
      </c>
      <c r="B4701" t="str">
        <f>"1578728265747991"</f>
        <v>1578728265747991</v>
      </c>
      <c r="C4701" t="s">
        <v>37</v>
      </c>
      <c r="D4701">
        <v>5.9806790000000003</v>
      </c>
      <c r="E4701">
        <v>0.6198844</v>
      </c>
      <c r="F4701" t="s">
        <v>38</v>
      </c>
      <c r="G4701">
        <v>-386.7328</v>
      </c>
      <c r="H4701">
        <v>0.89196489999999995</v>
      </c>
      <c r="I4701">
        <v>17.858250000000002</v>
      </c>
      <c r="J4701">
        <v>-387.37939999999998</v>
      </c>
      <c r="K4701">
        <v>1.107766</v>
      </c>
      <c r="L4701">
        <v>18.0867</v>
      </c>
      <c r="M4701">
        <v>0.97543760000000002</v>
      </c>
      <c r="N4701">
        <v>0</v>
      </c>
      <c r="O4701">
        <v>-0.21990079999999901</v>
      </c>
      <c r="P4701">
        <v>0.99935640000000003</v>
      </c>
      <c r="Q4701">
        <v>3.5727139999999998E-2</v>
      </c>
      <c r="R4701">
        <v>-3.1743609999999901E-3</v>
      </c>
      <c r="S4701">
        <v>3.0256959999999999</v>
      </c>
      <c r="T4701">
        <v>-0.8074173</v>
      </c>
      <c r="U4701">
        <v>-0.98184199999999999</v>
      </c>
      <c r="V4701">
        <v>-0.2170511</v>
      </c>
      <c r="W4701">
        <v>4.6565670000000003E-2</v>
      </c>
      <c r="X4701">
        <v>0.97504899999999906</v>
      </c>
      <c r="Y4701">
        <v>9.570186E-2</v>
      </c>
      <c r="Z4701">
        <v>4.3224190000000003E-2</v>
      </c>
      <c r="AA4701">
        <v>0.99447109999999905</v>
      </c>
      <c r="AB4701">
        <v>28</v>
      </c>
      <c r="AC4701">
        <v>0.64659999999997797</v>
      </c>
      <c r="AD4701">
        <v>-0.2158011</v>
      </c>
      <c r="AE4701">
        <v>-0.22844999999999799</v>
      </c>
      <c r="AF4701">
        <v>7.3389993327221098E-2</v>
      </c>
      <c r="AG4701">
        <v>-0.2158011</v>
      </c>
      <c r="AH4701">
        <v>0.61964905620874799</v>
      </c>
      <c r="AI4701">
        <v>109.07774871593401</v>
      </c>
      <c r="AJ4701">
        <v>83.245468527572896</v>
      </c>
      <c r="AK4701">
        <v>0.66024325724854804</v>
      </c>
    </row>
    <row r="4702" spans="1:37" x14ac:dyDescent="0.2">
      <c r="A4702" t="str">
        <f>"20200111153745776"</f>
        <v>20200111153745776</v>
      </c>
      <c r="B4702" t="str">
        <f>"1578728265768487"</f>
        <v>1578728265768487</v>
      </c>
      <c r="C4702" t="s">
        <v>37</v>
      </c>
      <c r="D4702">
        <v>5.8909390000000004</v>
      </c>
      <c r="E4702">
        <v>0.62113009999999902</v>
      </c>
      <c r="F4702" t="s">
        <v>38</v>
      </c>
      <c r="G4702">
        <v>-386.71260000000001</v>
      </c>
      <c r="H4702">
        <v>0.93033029999999906</v>
      </c>
      <c r="I4702">
        <v>17.87077</v>
      </c>
      <c r="J4702">
        <v>-387.14879999999999</v>
      </c>
      <c r="K4702">
        <v>1.1078139999999901</v>
      </c>
      <c r="L4702">
        <v>18.038879999999999</v>
      </c>
      <c r="M4702">
        <v>0.97627129999999995</v>
      </c>
      <c r="N4702">
        <v>0</v>
      </c>
      <c r="O4702">
        <v>-0.21617420000000001</v>
      </c>
      <c r="P4702">
        <v>0.999364699999999</v>
      </c>
      <c r="Q4702">
        <v>3.564138E-2</v>
      </c>
      <c r="R4702">
        <v>-6.1214919999999897E-4</v>
      </c>
      <c r="S4702">
        <v>3.0276489999999998</v>
      </c>
      <c r="T4702">
        <v>-0.80603169999999902</v>
      </c>
      <c r="U4702">
        <v>-0.97946169999999999</v>
      </c>
      <c r="V4702">
        <v>-0.2158322</v>
      </c>
      <c r="W4702">
        <v>4.6394209999999998E-2</v>
      </c>
      <c r="X4702">
        <v>0.97532770000000002</v>
      </c>
      <c r="Y4702">
        <v>9.8398169999999993E-2</v>
      </c>
      <c r="Z4702">
        <v>4.1869950000000003E-2</v>
      </c>
      <c r="AA4702">
        <v>0.99426589999999904</v>
      </c>
      <c r="AB4702">
        <v>28</v>
      </c>
      <c r="AC4702">
        <v>0.43619999999998499</v>
      </c>
      <c r="AD4702">
        <v>-0.177483699999999</v>
      </c>
      <c r="AE4702">
        <v>-0.16810999999999801</v>
      </c>
      <c r="AF4702">
        <v>6.1033702173600601E-2</v>
      </c>
      <c r="AG4702">
        <v>-0.177483699999999</v>
      </c>
      <c r="AH4702">
        <v>0.40399407887031602</v>
      </c>
      <c r="AI4702">
        <v>113.479799955103</v>
      </c>
      <c r="AJ4702">
        <v>81.408965152555794</v>
      </c>
      <c r="AK4702">
        <v>0.44546244772032201</v>
      </c>
    </row>
    <row r="4703" spans="1:37" x14ac:dyDescent="0.2">
      <c r="A4703" t="str">
        <f>"20200111153745798"</f>
        <v>20200111153745798</v>
      </c>
      <c r="B4703" t="str">
        <f>"1578728265788010"</f>
        <v>1578728265788010</v>
      </c>
      <c r="C4703" t="s">
        <v>37</v>
      </c>
      <c r="D4703">
        <v>5.8557189999999997</v>
      </c>
      <c r="E4703">
        <v>0.64148039999999995</v>
      </c>
      <c r="F4703" t="s">
        <v>38</v>
      </c>
      <c r="G4703">
        <v>-386.4742</v>
      </c>
      <c r="H4703">
        <v>0.92570039999999998</v>
      </c>
      <c r="I4703">
        <v>17.820519999999998</v>
      </c>
      <c r="J4703">
        <v>-386.87819999999999</v>
      </c>
      <c r="K4703">
        <v>1.1078699999999999</v>
      </c>
      <c r="L4703">
        <v>17.983920000000001</v>
      </c>
      <c r="M4703">
        <v>0.97724909999999998</v>
      </c>
      <c r="N4703">
        <v>0</v>
      </c>
      <c r="O4703">
        <v>-0.21171519999999999</v>
      </c>
      <c r="P4703">
        <v>0.99936769999999997</v>
      </c>
      <c r="Q4703">
        <v>3.5458919999999998E-2</v>
      </c>
      <c r="R4703">
        <v>2.648503E-3</v>
      </c>
      <c r="S4703">
        <v>3.0304869999999999</v>
      </c>
      <c r="T4703">
        <v>-0.81823950000000001</v>
      </c>
      <c r="U4703">
        <v>-0.98052980000000001</v>
      </c>
      <c r="V4703">
        <v>-0.2145676</v>
      </c>
      <c r="W4703">
        <v>4.6102219999999999E-2</v>
      </c>
      <c r="X4703">
        <v>0.9756205</v>
      </c>
      <c r="Y4703">
        <v>0.10281019999999901</v>
      </c>
      <c r="Z4703">
        <v>4.0758339999999997E-2</v>
      </c>
      <c r="AA4703">
        <v>0.99386559999999902</v>
      </c>
      <c r="AB4703">
        <v>28</v>
      </c>
      <c r="AC4703">
        <v>0.40399999999999597</v>
      </c>
      <c r="AD4703">
        <v>-0.18216959999999999</v>
      </c>
      <c r="AE4703">
        <v>-0.16339999999999899</v>
      </c>
      <c r="AF4703">
        <v>6.3125078135789006E-2</v>
      </c>
      <c r="AG4703">
        <v>-0.18216959999999999</v>
      </c>
      <c r="AH4703">
        <v>0.36555969903242003</v>
      </c>
      <c r="AI4703">
        <v>116.15394748765701</v>
      </c>
      <c r="AJ4703">
        <v>80.202746513023001</v>
      </c>
      <c r="AK4703">
        <v>0.413284928603116</v>
      </c>
    </row>
    <row r="4704" spans="1:37" x14ac:dyDescent="0.2">
      <c r="A4704" t="str">
        <f>"20200111153745812"</f>
        <v>20200111153745812</v>
      </c>
      <c r="B4704" t="str">
        <f>"1578728265807528"</f>
        <v>1578728265807528</v>
      </c>
      <c r="C4704" t="s">
        <v>37</v>
      </c>
      <c r="D4704">
        <v>5.8036909999999997</v>
      </c>
      <c r="E4704">
        <v>0.63904110000000003</v>
      </c>
      <c r="F4704" t="s">
        <v>38</v>
      </c>
      <c r="G4704">
        <v>-386.25290000000001</v>
      </c>
      <c r="H4704">
        <v>0.89076919999999904</v>
      </c>
      <c r="I4704">
        <v>17.75018</v>
      </c>
      <c r="J4704">
        <v>-386.71839999999997</v>
      </c>
      <c r="K4704">
        <v>1.1079049999999999</v>
      </c>
      <c r="L4704">
        <v>17.952300000000001</v>
      </c>
      <c r="M4704">
        <v>0.97782729999999995</v>
      </c>
      <c r="N4704">
        <v>0</v>
      </c>
      <c r="O4704">
        <v>-0.209032</v>
      </c>
      <c r="P4704">
        <v>0.99935049999999903</v>
      </c>
      <c r="Q4704">
        <v>3.5701360000000001E-2</v>
      </c>
      <c r="R4704">
        <v>4.9209859999999996E-3</v>
      </c>
      <c r="S4704">
        <v>3.0424500000000001</v>
      </c>
      <c r="T4704">
        <v>-1.057105</v>
      </c>
      <c r="U4704">
        <v>-1.1351929999999999</v>
      </c>
      <c r="V4704">
        <v>-0.21411230000000001</v>
      </c>
      <c r="W4704">
        <v>4.6274650000000001E-2</v>
      </c>
      <c r="X4704">
        <v>0.97571239999999904</v>
      </c>
      <c r="Y4704">
        <v>0.14891679999999999</v>
      </c>
      <c r="Z4704">
        <v>4.3056160000000003E-2</v>
      </c>
      <c r="AA4704">
        <v>0.98791189999999995</v>
      </c>
      <c r="AB4704">
        <v>28</v>
      </c>
      <c r="AC4704">
        <v>0.465499999999963</v>
      </c>
      <c r="AD4704">
        <v>-0.21713579999999999</v>
      </c>
      <c r="AE4704">
        <v>-0.20211999999999999</v>
      </c>
      <c r="AF4704">
        <v>8.48150871177758E-2</v>
      </c>
      <c r="AG4704">
        <v>-0.21713579999999999</v>
      </c>
      <c r="AH4704">
        <v>0.420489445739955</v>
      </c>
      <c r="AI4704">
        <v>116.848241148108</v>
      </c>
      <c r="AJ4704">
        <v>78.596131879511603</v>
      </c>
      <c r="AK4704">
        <v>0.48078366093611202</v>
      </c>
    </row>
    <row r="4705" spans="1:37" x14ac:dyDescent="0.2">
      <c r="A4705" t="str">
        <f>"20200111153745825"</f>
        <v>20200111153745825</v>
      </c>
      <c r="B4705" t="str">
        <f>"1578728265818264"</f>
        <v>1578728265818264</v>
      </c>
      <c r="C4705" t="s">
        <v>37</v>
      </c>
      <c r="D4705">
        <v>5.8269529999999996</v>
      </c>
      <c r="E4705">
        <v>0.63934150000000001</v>
      </c>
      <c r="F4705" t="s">
        <v>38</v>
      </c>
      <c r="G4705">
        <v>-386.01839999999999</v>
      </c>
      <c r="H4705">
        <v>0.87627099999999902</v>
      </c>
      <c r="I4705">
        <v>17.69725</v>
      </c>
      <c r="J4705">
        <v>-386.56529999999998</v>
      </c>
      <c r="K4705">
        <v>1.107936</v>
      </c>
      <c r="L4705">
        <v>17.922270000000001</v>
      </c>
      <c r="M4705">
        <v>0.97837940000000001</v>
      </c>
      <c r="N4705">
        <v>0</v>
      </c>
      <c r="O4705">
        <v>-0.20643549999999999</v>
      </c>
      <c r="P4705">
        <v>0.99934529999999999</v>
      </c>
      <c r="Q4705">
        <v>3.5567250000000002E-2</v>
      </c>
      <c r="R4705">
        <v>6.6279080000000001E-3</v>
      </c>
      <c r="S4705">
        <v>3.043396</v>
      </c>
      <c r="T4705">
        <v>-1.0073110000000001</v>
      </c>
      <c r="U4705">
        <v>-1.1080319999999999</v>
      </c>
      <c r="V4705">
        <v>-0.21319160000000001</v>
      </c>
      <c r="W4705">
        <v>4.6078399999999999E-2</v>
      </c>
      <c r="X4705">
        <v>0.97592319999999999</v>
      </c>
      <c r="Y4705">
        <v>0.14355290000000001</v>
      </c>
      <c r="Z4705">
        <v>4.12374E-2</v>
      </c>
      <c r="AA4705">
        <v>0.98878310000000003</v>
      </c>
      <c r="AB4705">
        <v>28</v>
      </c>
      <c r="AC4705">
        <v>0.54689999999999295</v>
      </c>
      <c r="AD4705">
        <v>-0.23166500000000001</v>
      </c>
      <c r="AE4705">
        <v>-0.22502</v>
      </c>
      <c r="AF4705">
        <v>9.2993449208527396E-2</v>
      </c>
      <c r="AG4705">
        <v>-0.23166500000000001</v>
      </c>
      <c r="AH4705">
        <v>0.50420117055233704</v>
      </c>
      <c r="AI4705">
        <v>114.315754057438</v>
      </c>
      <c r="AJ4705">
        <v>79.549964278053395</v>
      </c>
      <c r="AK4705">
        <v>0.56261467649453101</v>
      </c>
    </row>
    <row r="4706" spans="1:37" x14ac:dyDescent="0.2">
      <c r="A4706" t="str">
        <f>"20200111153745843"</f>
        <v>20200111153745843</v>
      </c>
      <c r="B4706" t="str">
        <f>"1578728265837784"</f>
        <v>1578728265837784</v>
      </c>
      <c r="C4706" t="s">
        <v>37</v>
      </c>
      <c r="D4706">
        <v>5.8087629999999999</v>
      </c>
      <c r="E4706">
        <v>0.63837940000000004</v>
      </c>
      <c r="F4706" t="s">
        <v>38</v>
      </c>
      <c r="G4706">
        <v>-385.78980000000001</v>
      </c>
      <c r="H4706">
        <v>0.84872440000000005</v>
      </c>
      <c r="I4706">
        <v>17.640829999999902</v>
      </c>
      <c r="J4706">
        <v>-386.34500000000003</v>
      </c>
      <c r="K4706">
        <v>1.107982</v>
      </c>
      <c r="L4706">
        <v>17.879909999999999</v>
      </c>
      <c r="M4706">
        <v>0.97917089999999996</v>
      </c>
      <c r="N4706">
        <v>0</v>
      </c>
      <c r="O4706">
        <v>-0.20265250000000001</v>
      </c>
      <c r="P4706">
        <v>0.99932770000000004</v>
      </c>
      <c r="Q4706">
        <v>3.5508110000000002E-2</v>
      </c>
      <c r="R4706">
        <v>9.1423579999999997E-3</v>
      </c>
      <c r="S4706">
        <v>3.0455320000000001</v>
      </c>
      <c r="T4706">
        <v>-1.0182639999999901</v>
      </c>
      <c r="U4706">
        <v>-1.1047359999999999</v>
      </c>
      <c r="V4706">
        <v>-0.211880499999999</v>
      </c>
      <c r="W4706">
        <v>4.5929780000000003E-2</v>
      </c>
      <c r="X4706">
        <v>0.97621569999999902</v>
      </c>
      <c r="Y4706">
        <v>0.14598079999999999</v>
      </c>
      <c r="Z4706">
        <v>4.0107759999999999E-2</v>
      </c>
      <c r="AA4706">
        <v>0.98847410000000002</v>
      </c>
      <c r="AB4706">
        <v>28</v>
      </c>
      <c r="AC4706">
        <v>0.55520000000001302</v>
      </c>
      <c r="AD4706">
        <v>-0.25925759999999998</v>
      </c>
      <c r="AE4706">
        <v>-0.23908000000000099</v>
      </c>
      <c r="AF4706">
        <v>0.102704989363658</v>
      </c>
      <c r="AG4706">
        <v>-0.25925759999999998</v>
      </c>
      <c r="AH4706">
        <v>0.50013500449687098</v>
      </c>
      <c r="AI4706">
        <v>116.92051027794</v>
      </c>
      <c r="AJ4706">
        <v>78.395381227920495</v>
      </c>
      <c r="AK4706">
        <v>0.57262364666596999</v>
      </c>
    </row>
    <row r="4707" spans="1:37" x14ac:dyDescent="0.2">
      <c r="A4707" t="str">
        <f>"20200111153745855"</f>
        <v>20200111153745855</v>
      </c>
      <c r="B4707" t="str">
        <f>"1578728265847544"</f>
        <v>1578728265847544</v>
      </c>
      <c r="C4707" t="s">
        <v>37</v>
      </c>
      <c r="D4707">
        <v>5.7838779999999996</v>
      </c>
      <c r="E4707">
        <v>0.63807009999999997</v>
      </c>
      <c r="F4707" t="s">
        <v>38</v>
      </c>
      <c r="G4707">
        <v>-385.548</v>
      </c>
      <c r="H4707">
        <v>0.84797639999999996</v>
      </c>
      <c r="I4707">
        <v>17.595050000000001</v>
      </c>
      <c r="J4707">
        <v>-386.1814</v>
      </c>
      <c r="K4707">
        <v>1.108015</v>
      </c>
      <c r="L4707">
        <v>17.84909</v>
      </c>
      <c r="M4707">
        <v>0.97975669999999904</v>
      </c>
      <c r="N4707">
        <v>0</v>
      </c>
      <c r="O4707">
        <v>-0.19980510000000001</v>
      </c>
      <c r="P4707">
        <v>0.99930390000000002</v>
      </c>
      <c r="Q4707">
        <v>3.5497279999999999E-2</v>
      </c>
      <c r="R4707">
        <v>1.1478449999999999E-2</v>
      </c>
      <c r="S4707">
        <v>3.0473629999999998</v>
      </c>
      <c r="T4707">
        <v>-0.99439900000000003</v>
      </c>
      <c r="U4707">
        <v>-1.088257</v>
      </c>
      <c r="V4707">
        <v>-0.2113283</v>
      </c>
      <c r="W4707">
        <v>4.5848809999999997E-2</v>
      </c>
      <c r="X4707">
        <v>0.97633919999999996</v>
      </c>
      <c r="Y4707">
        <v>0.14379330000000001</v>
      </c>
      <c r="Z4707">
        <v>3.8716059999999997E-2</v>
      </c>
      <c r="AA4707">
        <v>0.98885009999999995</v>
      </c>
      <c r="AB4707">
        <v>28</v>
      </c>
      <c r="AC4707">
        <v>0.63339999999999397</v>
      </c>
      <c r="AD4707">
        <v>-0.26003859999999901</v>
      </c>
      <c r="AE4707">
        <v>-0.25403999999999899</v>
      </c>
      <c r="AF4707">
        <v>0.106838342882192</v>
      </c>
      <c r="AG4707">
        <v>-0.26003859999999901</v>
      </c>
      <c r="AH4707">
        <v>0.58626755783696305</v>
      </c>
      <c r="AI4707">
        <v>113.574667786455</v>
      </c>
      <c r="AJ4707">
        <v>79.672049399930799</v>
      </c>
      <c r="AK4707">
        <v>0.65018778393006604</v>
      </c>
    </row>
    <row r="4708" spans="1:37" x14ac:dyDescent="0.2">
      <c r="A4708" t="str">
        <f>"20200111153745869"</f>
        <v>20200111153745869</v>
      </c>
      <c r="B4708" t="str">
        <f>"1578728265858282"</f>
        <v>1578728265858282</v>
      </c>
      <c r="C4708" t="s">
        <v>37</v>
      </c>
      <c r="D4708">
        <v>5.8379599999999998</v>
      </c>
      <c r="E4708">
        <v>0.63826629999999995</v>
      </c>
      <c r="F4708" t="s">
        <v>38</v>
      </c>
      <c r="G4708">
        <v>-385.52440000000001</v>
      </c>
      <c r="H4708">
        <v>0.89556440000000004</v>
      </c>
      <c r="I4708">
        <v>17.61655</v>
      </c>
      <c r="J4708">
        <v>-386.02629999999999</v>
      </c>
      <c r="K4708">
        <v>1.108042</v>
      </c>
      <c r="L4708">
        <v>17.820399999999999</v>
      </c>
      <c r="M4708">
        <v>0.98030919999999899</v>
      </c>
      <c r="N4708">
        <v>0</v>
      </c>
      <c r="O4708">
        <v>-0.1970799</v>
      </c>
      <c r="P4708">
        <v>0.99927690000000002</v>
      </c>
      <c r="Q4708">
        <v>3.5521659999999997E-2</v>
      </c>
      <c r="R4708">
        <v>1.357175E-2</v>
      </c>
      <c r="S4708">
        <v>3.0495299999999999</v>
      </c>
      <c r="T4708">
        <v>-0.98653440000000003</v>
      </c>
      <c r="U4708">
        <v>-1.0783389999999999</v>
      </c>
      <c r="V4708">
        <v>-0.21066089999999901</v>
      </c>
      <c r="W4708">
        <v>4.5812599999999898E-2</v>
      </c>
      <c r="X4708">
        <v>0.97648509999999999</v>
      </c>
      <c r="Y4708">
        <v>0.143332399999999</v>
      </c>
      <c r="Z4708">
        <v>3.7683670000000002E-2</v>
      </c>
      <c r="AA4708">
        <v>0.98895689999999903</v>
      </c>
      <c r="AB4708">
        <v>28</v>
      </c>
      <c r="AC4708">
        <v>0.50189999999997703</v>
      </c>
      <c r="AD4708">
        <v>-0.21247759999999999</v>
      </c>
      <c r="AE4708">
        <v>-0.203849999999999</v>
      </c>
      <c r="AF4708">
        <v>8.74723063594183E-2</v>
      </c>
      <c r="AG4708">
        <v>-0.21247759999999999</v>
      </c>
      <c r="AH4708">
        <v>0.46126936074139102</v>
      </c>
      <c r="AI4708">
        <v>114.350134145487</v>
      </c>
      <c r="AJ4708">
        <v>79.262279581585403</v>
      </c>
      <c r="AK4708">
        <v>0.51533247330278698</v>
      </c>
    </row>
    <row r="4709" spans="1:37" x14ac:dyDescent="0.2">
      <c r="A4709" t="str">
        <f>"20200111153745887"</f>
        <v>20200111153745887</v>
      </c>
      <c r="B4709" t="str">
        <f>"1578728265877803"</f>
        <v>1578728265877803</v>
      </c>
      <c r="C4709" t="s">
        <v>37</v>
      </c>
      <c r="D4709">
        <v>5.7644140000000004</v>
      </c>
      <c r="E4709">
        <v>0.63848130000000003</v>
      </c>
      <c r="F4709" t="s">
        <v>38</v>
      </c>
      <c r="G4709">
        <v>-385.29250000000002</v>
      </c>
      <c r="H4709">
        <v>0.87446279999999998</v>
      </c>
      <c r="I4709">
        <v>17.56223</v>
      </c>
      <c r="J4709">
        <v>-385.8005</v>
      </c>
      <c r="K4709">
        <v>1.108082</v>
      </c>
      <c r="L4709">
        <v>17.779389999999999</v>
      </c>
      <c r="M4709">
        <v>0.98110799999999998</v>
      </c>
      <c r="N4709">
        <v>0</v>
      </c>
      <c r="O4709">
        <v>-0.19306860000000001</v>
      </c>
      <c r="P4709">
        <v>0.99922559999999905</v>
      </c>
      <c r="Q4709">
        <v>3.5687610000000002E-2</v>
      </c>
      <c r="R4709">
        <v>1.6579779999999999E-2</v>
      </c>
      <c r="S4709">
        <v>3.0512700000000001</v>
      </c>
      <c r="T4709">
        <v>-0.97155020000000003</v>
      </c>
      <c r="U4709">
        <v>-1.073059</v>
      </c>
      <c r="V4709">
        <v>-0.20961149999999901</v>
      </c>
      <c r="W4709">
        <v>4.5888819999999997E-2</v>
      </c>
      <c r="X4709">
        <v>0.97670729999999994</v>
      </c>
      <c r="Y4709">
        <v>0.14535680000000001</v>
      </c>
      <c r="Z4709">
        <v>3.5648230000000003E-2</v>
      </c>
      <c r="AA4709">
        <v>0.98873690000000003</v>
      </c>
      <c r="AB4709">
        <v>28</v>
      </c>
      <c r="AC4709">
        <v>0.50799999999998102</v>
      </c>
      <c r="AD4709">
        <v>-0.233619199999999</v>
      </c>
      <c r="AE4709">
        <v>-0.21715999999999899</v>
      </c>
      <c r="AF4709">
        <v>9.7544921804690293E-2</v>
      </c>
      <c r="AG4709">
        <v>-0.233619199999999</v>
      </c>
      <c r="AH4709">
        <v>0.45840207551411899</v>
      </c>
      <c r="AI4709">
        <v>116.49521532044101</v>
      </c>
      <c r="AJ4709">
        <v>77.987019099020898</v>
      </c>
      <c r="AK4709">
        <v>0.52366535613326104</v>
      </c>
    </row>
    <row r="4710" spans="1:37" x14ac:dyDescent="0.2">
      <c r="A4710" t="str">
        <f>"20200111153745903"</f>
        <v>20200111153745903</v>
      </c>
      <c r="B4710" t="str">
        <f>"1578728265898296"</f>
        <v>1578728265898296</v>
      </c>
      <c r="C4710" t="s">
        <v>37</v>
      </c>
      <c r="D4710">
        <v>5.7981639999999999</v>
      </c>
      <c r="E4710">
        <v>0.63855410000000001</v>
      </c>
      <c r="F4710" t="s">
        <v>38</v>
      </c>
      <c r="G4710">
        <v>-385.04930000000002</v>
      </c>
      <c r="H4710">
        <v>0.87629009999999996</v>
      </c>
      <c r="I4710">
        <v>17.517320000000002</v>
      </c>
      <c r="J4710">
        <v>-385.61470000000003</v>
      </c>
      <c r="K4710">
        <v>1.108112</v>
      </c>
      <c r="L4710">
        <v>17.74634</v>
      </c>
      <c r="M4710">
        <v>0.98175999999999997</v>
      </c>
      <c r="N4710">
        <v>0</v>
      </c>
      <c r="O4710">
        <v>-0.18972890000000001</v>
      </c>
      <c r="P4710">
        <v>0.99917789999999995</v>
      </c>
      <c r="Q4710">
        <v>3.578344E-2</v>
      </c>
      <c r="R4710">
        <v>1.9049940000000001E-2</v>
      </c>
      <c r="S4710">
        <v>3.0536500000000002</v>
      </c>
      <c r="T4710">
        <v>-0.94241459999999999</v>
      </c>
      <c r="U4710">
        <v>-1.064789</v>
      </c>
      <c r="V4710">
        <v>-0.2087058</v>
      </c>
      <c r="W4710">
        <v>4.5907400000000001E-2</v>
      </c>
      <c r="X4710">
        <v>0.9769004</v>
      </c>
      <c r="Y4710">
        <v>0.14582979999999901</v>
      </c>
      <c r="Z4710">
        <v>3.3596349999999997E-2</v>
      </c>
      <c r="AA4710">
        <v>0.98873909999999998</v>
      </c>
      <c r="AB4710">
        <v>28</v>
      </c>
      <c r="AC4710">
        <v>0.565400000000011</v>
      </c>
      <c r="AD4710">
        <v>-0.2318219</v>
      </c>
      <c r="AE4710">
        <v>-0.229019999999998</v>
      </c>
      <c r="AF4710">
        <v>0.102741239382535</v>
      </c>
      <c r="AG4710">
        <v>-0.2318219</v>
      </c>
      <c r="AH4710">
        <v>0.523047063944445</v>
      </c>
      <c r="AI4710">
        <v>113.504388876468</v>
      </c>
      <c r="AJ4710">
        <v>78.886975092787594</v>
      </c>
      <c r="AK4710">
        <v>0.58127049356592497</v>
      </c>
    </row>
    <row r="4711" spans="1:37" x14ac:dyDescent="0.2">
      <c r="A4711" t="str">
        <f>"20200111153745920"</f>
        <v>20200111153745920</v>
      </c>
      <c r="B4711" t="str">
        <f>"1578728265908056"</f>
        <v>1578728265908056</v>
      </c>
      <c r="C4711" t="s">
        <v>37</v>
      </c>
      <c r="D4711">
        <v>5.7413129999999999</v>
      </c>
      <c r="E4711">
        <v>0.63838530000000004</v>
      </c>
      <c r="F4711" t="s">
        <v>38</v>
      </c>
      <c r="G4711">
        <v>-384.8134</v>
      </c>
      <c r="H4711">
        <v>0.86145130000000003</v>
      </c>
      <c r="I4711">
        <v>17.46884</v>
      </c>
      <c r="J4711">
        <v>-385.40469999999999</v>
      </c>
      <c r="K4711">
        <v>1.1081430000000001</v>
      </c>
      <c r="L4711">
        <v>17.709810000000001</v>
      </c>
      <c r="M4711">
        <v>0.98249050000000004</v>
      </c>
      <c r="N4711">
        <v>0</v>
      </c>
      <c r="O4711">
        <v>-0.185916</v>
      </c>
      <c r="P4711">
        <v>0.99913069999999904</v>
      </c>
      <c r="Q4711">
        <v>3.5687740000000003E-2</v>
      </c>
      <c r="R4711">
        <v>2.1559849999999998E-2</v>
      </c>
      <c r="S4711">
        <v>3.056305</v>
      </c>
      <c r="T4711">
        <v>-0.94114920000000002</v>
      </c>
      <c r="U4711">
        <v>-1.0574649999999901</v>
      </c>
      <c r="V4711">
        <v>-0.207369999999999</v>
      </c>
      <c r="W4711">
        <v>4.5725920000000003E-2</v>
      </c>
      <c r="X4711">
        <v>0.97719339999999999</v>
      </c>
      <c r="Y4711">
        <v>0.14708170000000001</v>
      </c>
      <c r="Z4711">
        <v>3.2273490000000002E-2</v>
      </c>
      <c r="AA4711">
        <v>0.98859769999999902</v>
      </c>
      <c r="AB4711">
        <v>28</v>
      </c>
      <c r="AC4711">
        <v>0.59129999999998895</v>
      </c>
      <c r="AD4711">
        <v>-0.24669170000000001</v>
      </c>
      <c r="AE4711">
        <v>-0.24096999999999999</v>
      </c>
      <c r="AF4711">
        <v>0.11035545797622</v>
      </c>
      <c r="AG4711">
        <v>-0.24669170000000001</v>
      </c>
      <c r="AH4711">
        <v>0.54451455235601798</v>
      </c>
      <c r="AI4711">
        <v>113.942260541352</v>
      </c>
      <c r="AJ4711">
        <v>78.543179478007502</v>
      </c>
      <c r="AK4711">
        <v>0.60789079585194095</v>
      </c>
    </row>
    <row r="4712" spans="1:37" x14ac:dyDescent="0.2">
      <c r="A4712" t="str">
        <f>"20200111153745935"</f>
        <v>20200111153745935</v>
      </c>
      <c r="B4712" t="str">
        <f>"1578728265927576"</f>
        <v>1578728265927576</v>
      </c>
      <c r="C4712" t="s">
        <v>37</v>
      </c>
      <c r="D4712">
        <v>5.7468240000000002</v>
      </c>
      <c r="E4712">
        <v>0.63803359999999998</v>
      </c>
      <c r="F4712" t="s">
        <v>38</v>
      </c>
      <c r="G4712">
        <v>-384.57400000000001</v>
      </c>
      <c r="H4712">
        <v>0.8526224</v>
      </c>
      <c r="I4712">
        <v>17.42511</v>
      </c>
      <c r="J4712">
        <v>-385.2165</v>
      </c>
      <c r="K4712">
        <v>1.108168</v>
      </c>
      <c r="L4712">
        <v>17.677949999999999</v>
      </c>
      <c r="M4712">
        <v>0.98313839999999997</v>
      </c>
      <c r="N4712">
        <v>0</v>
      </c>
      <c r="O4712">
        <v>-0.18246299999999999</v>
      </c>
      <c r="P4712">
        <v>0.99906059999999997</v>
      </c>
      <c r="Q4712">
        <v>3.5760720000000003E-2</v>
      </c>
      <c r="R4712">
        <v>2.4483310000000001E-2</v>
      </c>
      <c r="S4712">
        <v>3.0588679999999999</v>
      </c>
      <c r="T4712">
        <v>-0.94096460000000004</v>
      </c>
      <c r="U4712">
        <v>-1.047974</v>
      </c>
      <c r="V4712">
        <v>-0.20679919999999999</v>
      </c>
      <c r="W4712">
        <v>4.5716859999999998E-2</v>
      </c>
      <c r="X4712">
        <v>0.97731469999999898</v>
      </c>
      <c r="Y4712">
        <v>0.14740719999999999</v>
      </c>
      <c r="Z4712">
        <v>3.1230919999999999E-2</v>
      </c>
      <c r="AA4712">
        <v>0.98858269999999904</v>
      </c>
      <c r="AB4712">
        <v>28</v>
      </c>
      <c r="AC4712">
        <v>0.64249999999998397</v>
      </c>
      <c r="AD4712">
        <v>-0.25554559999999998</v>
      </c>
      <c r="AE4712">
        <v>-0.25283999999999901</v>
      </c>
      <c r="AF4712">
        <v>0.11552860726564999</v>
      </c>
      <c r="AG4712">
        <v>-0.25554559999999998</v>
      </c>
      <c r="AH4712">
        <v>0.596184005053082</v>
      </c>
      <c r="AI4712">
        <v>112.821720534585</v>
      </c>
      <c r="AJ4712">
        <v>79.033140086271302</v>
      </c>
      <c r="AK4712">
        <v>0.65885186548816499</v>
      </c>
    </row>
    <row r="4713" spans="1:37" x14ac:dyDescent="0.2">
      <c r="A4713" t="str">
        <f>"20200111153745955"</f>
        <v>20200111153745955</v>
      </c>
      <c r="B4713" t="str">
        <f>"1578728265948073"</f>
        <v>1578728265948073</v>
      </c>
      <c r="C4713" t="s">
        <v>37</v>
      </c>
      <c r="D4713">
        <v>5.7802350000000002</v>
      </c>
      <c r="E4713">
        <v>0.63794779999999995</v>
      </c>
      <c r="F4713" t="s">
        <v>38</v>
      </c>
      <c r="G4713">
        <v>-384.54840000000002</v>
      </c>
      <c r="H4713">
        <v>0.90367749999999902</v>
      </c>
      <c r="I4713">
        <v>17.45177</v>
      </c>
      <c r="J4713">
        <v>-384.9796</v>
      </c>
      <c r="K4713">
        <v>1.108198</v>
      </c>
      <c r="L4713">
        <v>17.638760000000001</v>
      </c>
      <c r="M4713">
        <v>0.98394239999999999</v>
      </c>
      <c r="N4713">
        <v>0</v>
      </c>
      <c r="O4713">
        <v>-0.17808209999999999</v>
      </c>
      <c r="P4713">
        <v>0.99899159999999998</v>
      </c>
      <c r="Q4713">
        <v>3.548958E-2</v>
      </c>
      <c r="R4713">
        <v>2.7499019999999999E-2</v>
      </c>
      <c r="S4713">
        <v>3.0617679999999998</v>
      </c>
      <c r="T4713">
        <v>-0.93727969999999905</v>
      </c>
      <c r="U4713">
        <v>-1.0361020000000001</v>
      </c>
      <c r="V4713">
        <v>-0.20539879999999999</v>
      </c>
      <c r="W4713">
        <v>4.5358170000000003E-2</v>
      </c>
      <c r="X4713">
        <v>0.97762669999999996</v>
      </c>
      <c r="Y4713">
        <v>0.14788750000000001</v>
      </c>
      <c r="Z4713">
        <v>2.979559E-2</v>
      </c>
      <c r="AA4713">
        <v>0.98855530000000003</v>
      </c>
      <c r="AB4713">
        <v>28</v>
      </c>
      <c r="AC4713">
        <v>0.43119999999998898</v>
      </c>
      <c r="AD4713">
        <v>-0.20452049999999999</v>
      </c>
      <c r="AE4713">
        <v>-0.18699000000000099</v>
      </c>
      <c r="AF4713">
        <v>9.0137903170099801E-2</v>
      </c>
      <c r="AG4713">
        <v>-0.20452049999999999</v>
      </c>
      <c r="AH4713">
        <v>0.38475298061865998</v>
      </c>
      <c r="AI4713">
        <v>117.363827276211</v>
      </c>
      <c r="AJ4713">
        <v>76.814834949320499</v>
      </c>
      <c r="AK4713">
        <v>0.44495879877028599</v>
      </c>
    </row>
    <row r="4714" spans="1:37" x14ac:dyDescent="0.2">
      <c r="A4714" t="str">
        <f>"20200111153745968"</f>
        <v>20200111153745968</v>
      </c>
      <c r="B4714" t="str">
        <f>"1578728265957833"</f>
        <v>1578728265957833</v>
      </c>
      <c r="C4714" t="s">
        <v>37</v>
      </c>
      <c r="D4714">
        <v>5.7200480000000002</v>
      </c>
      <c r="E4714">
        <v>0.63895480000000004</v>
      </c>
      <c r="F4714" t="s">
        <v>38</v>
      </c>
      <c r="G4714">
        <v>-384.30529999999999</v>
      </c>
      <c r="H4714">
        <v>0.90201580000000003</v>
      </c>
      <c r="I4714">
        <v>17.41254</v>
      </c>
      <c r="J4714">
        <v>-384.81810000000002</v>
      </c>
      <c r="K4714">
        <v>1.108215</v>
      </c>
      <c r="L4714">
        <v>17.612760000000002</v>
      </c>
      <c r="M4714">
        <v>0.98448369999999996</v>
      </c>
      <c r="N4714">
        <v>0</v>
      </c>
      <c r="O4714">
        <v>-0.17506820000000001</v>
      </c>
      <c r="P4714">
        <v>0.99893310000000002</v>
      </c>
      <c r="Q4714">
        <v>3.5113659999999998E-2</v>
      </c>
      <c r="R4714">
        <v>2.9998239999999999E-2</v>
      </c>
      <c r="S4714">
        <v>3.064575</v>
      </c>
      <c r="T4714">
        <v>-0.93765089999999995</v>
      </c>
      <c r="U4714">
        <v>-1.026672</v>
      </c>
      <c r="V4714">
        <v>-0.2048517</v>
      </c>
      <c r="W4714">
        <v>4.4919929999999997E-2</v>
      </c>
      <c r="X4714">
        <v>0.97776169999999996</v>
      </c>
      <c r="Y4714">
        <v>0.14779349999999999</v>
      </c>
      <c r="Z4714">
        <v>2.8956389999999999E-2</v>
      </c>
      <c r="AA4714">
        <v>0.98859430000000004</v>
      </c>
      <c r="AB4714">
        <v>28</v>
      </c>
      <c r="AC4714">
        <v>0.51280000000002701</v>
      </c>
      <c r="AD4714">
        <v>-0.206199199999999</v>
      </c>
      <c r="AE4714">
        <v>-0.20022000000000101</v>
      </c>
      <c r="AF4714">
        <v>9.4138427649685399E-2</v>
      </c>
      <c r="AG4714">
        <v>-0.206199199999999</v>
      </c>
      <c r="AH4714">
        <v>0.47350180129971597</v>
      </c>
      <c r="AI4714">
        <v>113.128183108025</v>
      </c>
      <c r="AJ4714">
        <v>78.755463472837903</v>
      </c>
      <c r="AK4714">
        <v>0.52496105519845104</v>
      </c>
    </row>
    <row r="4715" spans="1:37" x14ac:dyDescent="0.2">
      <c r="A4715" t="str">
        <f>"20200111153745983"</f>
        <v>20200111153745983</v>
      </c>
      <c r="B4715" t="str">
        <f>"1578728265978328"</f>
        <v>1578728265978328</v>
      </c>
      <c r="C4715" t="s">
        <v>37</v>
      </c>
      <c r="D4715">
        <v>5.7313650000000003</v>
      </c>
      <c r="E4715">
        <v>0.63960519999999998</v>
      </c>
      <c r="F4715" t="s">
        <v>38</v>
      </c>
      <c r="G4715">
        <v>-384.07299999999998</v>
      </c>
      <c r="H4715">
        <v>0.8781234</v>
      </c>
      <c r="I4715">
        <v>17.36289</v>
      </c>
      <c r="J4715">
        <v>-384.64760000000001</v>
      </c>
      <c r="K4715">
        <v>1.1082339999999999</v>
      </c>
      <c r="L4715">
        <v>17.585719999999998</v>
      </c>
      <c r="M4715">
        <v>0.98504760000000002</v>
      </c>
      <c r="N4715">
        <v>0</v>
      </c>
      <c r="O4715">
        <v>-0.171871</v>
      </c>
      <c r="P4715">
        <v>0.99886169999999996</v>
      </c>
      <c r="Q4715">
        <v>3.4473240000000002E-2</v>
      </c>
      <c r="R4715">
        <v>3.2967280000000002E-2</v>
      </c>
      <c r="S4715">
        <v>3.067383</v>
      </c>
      <c r="T4715">
        <v>-0.94771519999999998</v>
      </c>
      <c r="U4715">
        <v>-1.027466</v>
      </c>
      <c r="V4715">
        <v>-0.20458409999999999</v>
      </c>
      <c r="W4715">
        <v>4.4211590000000002E-2</v>
      </c>
      <c r="X4715">
        <v>0.97785</v>
      </c>
      <c r="Y4715">
        <v>0.15073120000000001</v>
      </c>
      <c r="Z4715">
        <v>2.7879080000000001E-2</v>
      </c>
      <c r="AA4715">
        <v>0.98818159999999899</v>
      </c>
      <c r="AB4715">
        <v>28</v>
      </c>
      <c r="AC4715">
        <v>0.57459999999997502</v>
      </c>
      <c r="AD4715">
        <v>-0.230110599999999</v>
      </c>
      <c r="AE4715">
        <v>-0.222830000000001</v>
      </c>
      <c r="AF4715">
        <v>0.10597547357701199</v>
      </c>
      <c r="AG4715">
        <v>-0.230110599999999</v>
      </c>
      <c r="AH4715">
        <v>0.53040484028722101</v>
      </c>
      <c r="AI4715">
        <v>113.04640272118201</v>
      </c>
      <c r="AJ4715">
        <v>78.7010254468086</v>
      </c>
      <c r="AK4715">
        <v>0.58780182360413302</v>
      </c>
    </row>
    <row r="4716" spans="1:37" x14ac:dyDescent="0.2">
      <c r="A4716" t="str">
        <f>"20200111153745998"</f>
        <v>20200111153745998</v>
      </c>
      <c r="B4716" t="str">
        <f>"1578728265988090"</f>
        <v>1578728265988090</v>
      </c>
      <c r="C4716" t="s">
        <v>37</v>
      </c>
      <c r="D4716">
        <v>5.7111839999999896</v>
      </c>
      <c r="E4716">
        <v>0.63970769999999899</v>
      </c>
      <c r="F4716" t="s">
        <v>38</v>
      </c>
      <c r="G4716">
        <v>-383.83879999999999</v>
      </c>
      <c r="H4716">
        <v>0.85673089999999996</v>
      </c>
      <c r="I4716">
        <v>17.315760000000001</v>
      </c>
      <c r="J4716">
        <v>-384.44819999999999</v>
      </c>
      <c r="K4716">
        <v>1.108252</v>
      </c>
      <c r="L4716">
        <v>17.554870000000001</v>
      </c>
      <c r="M4716">
        <v>0.98569819999999997</v>
      </c>
      <c r="N4716">
        <v>0</v>
      </c>
      <c r="O4716">
        <v>-0.168105</v>
      </c>
      <c r="P4716">
        <v>0.99879969999999996</v>
      </c>
      <c r="Q4716">
        <v>3.3272000000000003E-2</v>
      </c>
      <c r="R4716">
        <v>3.5945049999999999E-2</v>
      </c>
      <c r="S4716">
        <v>3.0702210000000001</v>
      </c>
      <c r="T4716">
        <v>-0.95518890000000001</v>
      </c>
      <c r="U4716">
        <v>-1.0239559999999901</v>
      </c>
      <c r="V4716">
        <v>-0.20375969999999999</v>
      </c>
      <c r="W4716">
        <v>4.2941069999999998E-2</v>
      </c>
      <c r="X4716">
        <v>0.97807869999999997</v>
      </c>
      <c r="Y4716">
        <v>0.15298059999999999</v>
      </c>
      <c r="Z4716">
        <v>2.6649799999999901E-2</v>
      </c>
      <c r="AA4716">
        <v>0.98786980000000002</v>
      </c>
      <c r="AB4716">
        <v>28</v>
      </c>
      <c r="AC4716">
        <v>0.60939999999999295</v>
      </c>
      <c r="AD4716">
        <v>-0.251521099999999</v>
      </c>
      <c r="AE4716">
        <v>-0.23910999999999999</v>
      </c>
      <c r="AF4716">
        <v>0.11611510407995899</v>
      </c>
      <c r="AG4716">
        <v>-0.251521099999999</v>
      </c>
      <c r="AH4716">
        <v>0.55848007667958099</v>
      </c>
      <c r="AI4716">
        <v>113.79448858261701</v>
      </c>
      <c r="AJ4716">
        <v>78.254810665864298</v>
      </c>
      <c r="AK4716">
        <v>0.62341445057741496</v>
      </c>
    </row>
    <row r="4717" spans="1:37" x14ac:dyDescent="0.2">
      <c r="A4717" t="str">
        <f>"20200111153746012"</f>
        <v>20200111153746012</v>
      </c>
      <c r="B4717" t="str">
        <f>"1578728266007608"</f>
        <v>1578728266007608</v>
      </c>
      <c r="C4717" t="s">
        <v>37</v>
      </c>
      <c r="D4717">
        <v>5.7337109999999996</v>
      </c>
      <c r="E4717">
        <v>0.63977119999999998</v>
      </c>
      <c r="F4717" t="s">
        <v>38</v>
      </c>
      <c r="G4717">
        <v>-383.81220000000002</v>
      </c>
      <c r="H4717">
        <v>0.91000689999999995</v>
      </c>
      <c r="I4717">
        <v>17.344239999999999</v>
      </c>
      <c r="J4717">
        <v>-384.29489999999998</v>
      </c>
      <c r="K4717">
        <v>1.108268</v>
      </c>
      <c r="L4717">
        <v>17.531890000000001</v>
      </c>
      <c r="M4717">
        <v>0.98619089999999998</v>
      </c>
      <c r="N4717">
        <v>0</v>
      </c>
      <c r="O4717">
        <v>-0.16519259999999999</v>
      </c>
      <c r="P4717">
        <v>0.99870210000000004</v>
      </c>
      <c r="Q4717">
        <v>3.2892459999999998E-2</v>
      </c>
      <c r="R4717">
        <v>3.8887539999999998E-2</v>
      </c>
      <c r="S4717">
        <v>3.0720830000000001</v>
      </c>
      <c r="T4717">
        <v>-0.95818879999999995</v>
      </c>
      <c r="U4717">
        <v>-1.016327</v>
      </c>
      <c r="V4717">
        <v>-0.20375279999999901</v>
      </c>
      <c r="W4717">
        <v>4.2502779999999997E-2</v>
      </c>
      <c r="X4717">
        <v>0.9780993</v>
      </c>
      <c r="Y4717">
        <v>0.15337629999999999</v>
      </c>
      <c r="Z4717">
        <v>2.5823209999999999E-2</v>
      </c>
      <c r="AA4717">
        <v>0.9878304</v>
      </c>
      <c r="AB4717">
        <v>28</v>
      </c>
      <c r="AC4717">
        <v>0.48269999999996499</v>
      </c>
      <c r="AD4717">
        <v>-0.1982611</v>
      </c>
      <c r="AE4717">
        <v>-0.18765000000000101</v>
      </c>
      <c r="AF4717">
        <v>9.18644804612994E-2</v>
      </c>
      <c r="AG4717">
        <v>-0.1982611</v>
      </c>
      <c r="AH4717">
        <v>0.44225395589285299</v>
      </c>
      <c r="AI4717">
        <v>113.698001780097</v>
      </c>
      <c r="AJ4717">
        <v>78.265458307069594</v>
      </c>
      <c r="AK4717">
        <v>0.49329008508839101</v>
      </c>
    </row>
    <row r="4718" spans="1:37" x14ac:dyDescent="0.2">
      <c r="A4718" t="str">
        <f>"20200111153746026"</f>
        <v>20200111153746026</v>
      </c>
      <c r="B4718" t="str">
        <f>"1578728266018345"</f>
        <v>1578728266018345</v>
      </c>
      <c r="C4718" t="s">
        <v>37</v>
      </c>
      <c r="D4718">
        <v>5.6997309999999999</v>
      </c>
      <c r="E4718">
        <v>0.63983699999999999</v>
      </c>
      <c r="F4718" t="s">
        <v>38</v>
      </c>
      <c r="G4718">
        <v>-383.5797</v>
      </c>
      <c r="H4718">
        <v>0.8850093</v>
      </c>
      <c r="I4718">
        <v>17.297279999999901</v>
      </c>
      <c r="J4718">
        <v>-384.12389999999999</v>
      </c>
      <c r="K4718">
        <v>1.1082829999999999</v>
      </c>
      <c r="L4718">
        <v>17.50665</v>
      </c>
      <c r="M4718">
        <v>0.98673269999999902</v>
      </c>
      <c r="N4718">
        <v>0</v>
      </c>
      <c r="O4718">
        <v>-0.1619295</v>
      </c>
      <c r="P4718">
        <v>0.99856929999999999</v>
      </c>
      <c r="Q4718">
        <v>3.2812019999999997E-2</v>
      </c>
      <c r="R4718">
        <v>4.2223490000000002E-2</v>
      </c>
      <c r="S4718">
        <v>3.0747680000000002</v>
      </c>
      <c r="T4718">
        <v>-0.96000409999999903</v>
      </c>
      <c r="U4718">
        <v>-1.007843</v>
      </c>
      <c r="V4718">
        <v>-0.203786299999999</v>
      </c>
      <c r="W4718">
        <v>4.2355080000000003E-2</v>
      </c>
      <c r="X4718">
        <v>0.97809880000000005</v>
      </c>
      <c r="Y4718">
        <v>0.15377679999999999</v>
      </c>
      <c r="Z4718">
        <v>2.4853739999999999E-2</v>
      </c>
      <c r="AA4718">
        <v>0.98779300000000003</v>
      </c>
      <c r="AB4718">
        <v>28</v>
      </c>
      <c r="AC4718">
        <v>0.54419999999998903</v>
      </c>
      <c r="AD4718">
        <v>-0.22327369999999899</v>
      </c>
      <c r="AE4718">
        <v>-0.209370000000003</v>
      </c>
      <c r="AF4718">
        <v>0.103327830143128</v>
      </c>
      <c r="AG4718">
        <v>-0.22327369999999899</v>
      </c>
      <c r="AH4718">
        <v>0.49791523729814502</v>
      </c>
      <c r="AI4718">
        <v>113.70448310776</v>
      </c>
      <c r="AJ4718">
        <v>78.2763296625306</v>
      </c>
      <c r="AK4718">
        <v>0.55538038237539999</v>
      </c>
    </row>
    <row r="4719" spans="1:37" x14ac:dyDescent="0.2">
      <c r="A4719" t="str">
        <f>"20200111153746044"</f>
        <v>20200111153746044</v>
      </c>
      <c r="B4719" t="str">
        <f>"1578728266037864"</f>
        <v>1578728266037864</v>
      </c>
      <c r="C4719" t="s">
        <v>37</v>
      </c>
      <c r="D4719">
        <v>5.6651629999999997</v>
      </c>
      <c r="E4719">
        <v>0.63984200000000002</v>
      </c>
      <c r="F4719" t="s">
        <v>38</v>
      </c>
      <c r="G4719">
        <v>-383.34410000000003</v>
      </c>
      <c r="H4719">
        <v>0.86510830000000005</v>
      </c>
      <c r="I4719">
        <v>17.253409999999999</v>
      </c>
      <c r="J4719">
        <v>-383.90109999999999</v>
      </c>
      <c r="K4719">
        <v>1.108301</v>
      </c>
      <c r="L4719">
        <v>17.474640000000001</v>
      </c>
      <c r="M4719">
        <v>0.98742450000000004</v>
      </c>
      <c r="N4719">
        <v>0</v>
      </c>
      <c r="O4719">
        <v>-0.15766150000000001</v>
      </c>
      <c r="P4719">
        <v>0.99838280000000001</v>
      </c>
      <c r="Q4719">
        <v>3.2809409999999997E-2</v>
      </c>
      <c r="R4719">
        <v>4.6425679999999997E-2</v>
      </c>
      <c r="S4719">
        <v>3.0780029999999998</v>
      </c>
      <c r="T4719">
        <v>-0.9603815</v>
      </c>
      <c r="U4719">
        <v>-0.99819950000000002</v>
      </c>
      <c r="V4719">
        <v>-0.20367560000000001</v>
      </c>
      <c r="W4719">
        <v>4.2265520000000001E-2</v>
      </c>
      <c r="X4719">
        <v>0.97812569999999999</v>
      </c>
      <c r="Y4719">
        <v>0.15472529999999901</v>
      </c>
      <c r="Z4719">
        <v>2.3469779999999999E-2</v>
      </c>
      <c r="AA4719">
        <v>0.98767870000000002</v>
      </c>
      <c r="AB4719">
        <v>28</v>
      </c>
      <c r="AC4719">
        <v>0.55699999999995897</v>
      </c>
      <c r="AD4719">
        <v>-0.24319270000000001</v>
      </c>
      <c r="AE4719">
        <v>-0.22122999999999801</v>
      </c>
      <c r="AF4719">
        <v>0.112169988768857</v>
      </c>
      <c r="AG4719">
        <v>-0.24319270000000001</v>
      </c>
      <c r="AH4719">
        <v>0.50222136282920204</v>
      </c>
      <c r="AI4719">
        <v>115.294956106133</v>
      </c>
      <c r="AJ4719">
        <v>77.409756153814001</v>
      </c>
      <c r="AK4719">
        <v>0.56916701678480697</v>
      </c>
    </row>
    <row r="4720" spans="1:37" x14ac:dyDescent="0.2">
      <c r="A4720" t="str">
        <f>"20200111153746057"</f>
        <v>20200111153746057</v>
      </c>
      <c r="B4720" t="str">
        <f>"1578728266047624"</f>
        <v>1578728266047624</v>
      </c>
      <c r="C4720" t="s">
        <v>37</v>
      </c>
      <c r="D4720">
        <v>5.6703900000000003</v>
      </c>
      <c r="E4720">
        <v>0.63985230000000004</v>
      </c>
      <c r="F4720" t="s">
        <v>38</v>
      </c>
      <c r="G4720">
        <v>-383.10109999999997</v>
      </c>
      <c r="H4720">
        <v>0.85893390000000003</v>
      </c>
      <c r="I4720">
        <v>17.218920000000001</v>
      </c>
      <c r="J4720">
        <v>-383.73079999999999</v>
      </c>
      <c r="K4720">
        <v>1.108311</v>
      </c>
      <c r="L4720">
        <v>17.450810000000001</v>
      </c>
      <c r="M4720">
        <v>0.98794179999999998</v>
      </c>
      <c r="N4720">
        <v>0</v>
      </c>
      <c r="O4720">
        <v>-0.154391</v>
      </c>
      <c r="P4720">
        <v>0.99820730000000002</v>
      </c>
      <c r="Q4720">
        <v>3.293836E-2</v>
      </c>
      <c r="R4720">
        <v>4.997364E-2</v>
      </c>
      <c r="S4720">
        <v>3.082214</v>
      </c>
      <c r="T4720">
        <v>-0.96095919999999901</v>
      </c>
      <c r="U4720">
        <v>-0.9851685</v>
      </c>
      <c r="V4720">
        <v>-0.20391479999999901</v>
      </c>
      <c r="W4720">
        <v>4.2327459999999997E-2</v>
      </c>
      <c r="X4720">
        <v>0.97807319999999998</v>
      </c>
      <c r="Y4720">
        <v>0.15372169999999999</v>
      </c>
      <c r="Z4720">
        <v>2.2668299999999999E-2</v>
      </c>
      <c r="AA4720">
        <v>0.98785409999999996</v>
      </c>
      <c r="AB4720">
        <v>28</v>
      </c>
      <c r="AC4720">
        <v>0.62970000000001303</v>
      </c>
      <c r="AD4720">
        <v>-0.24937709999999999</v>
      </c>
      <c r="AE4720">
        <v>-0.23189000000000001</v>
      </c>
      <c r="AF4720">
        <v>0.115878968867069</v>
      </c>
      <c r="AG4720">
        <v>-0.24937709999999999</v>
      </c>
      <c r="AH4720">
        <v>0.57811159582438798</v>
      </c>
      <c r="AI4720">
        <v>112.926030280112</v>
      </c>
      <c r="AJ4720">
        <v>78.665611759718402</v>
      </c>
      <c r="AK4720">
        <v>0.64017957688192895</v>
      </c>
    </row>
    <row r="4721" spans="1:37" x14ac:dyDescent="0.2">
      <c r="A4721" t="str">
        <f>"20200111153746070"</f>
        <v>20200111153746070</v>
      </c>
      <c r="B4721" t="str">
        <f>"1578728266058360"</f>
        <v>1578728266058360</v>
      </c>
      <c r="C4721" t="s">
        <v>37</v>
      </c>
      <c r="D4721">
        <v>5.693676</v>
      </c>
      <c r="E4721">
        <v>0.63990309999999995</v>
      </c>
      <c r="F4721" t="s">
        <v>38</v>
      </c>
      <c r="G4721">
        <v>-383.07839999999999</v>
      </c>
      <c r="H4721">
        <v>0.9051323</v>
      </c>
      <c r="I4721">
        <v>17.244779999999999</v>
      </c>
      <c r="J4721">
        <v>-383.58370000000002</v>
      </c>
      <c r="K4721">
        <v>1.1083270000000001</v>
      </c>
      <c r="L4721">
        <v>17.43085</v>
      </c>
      <c r="M4721">
        <v>0.98838099999999995</v>
      </c>
      <c r="N4721">
        <v>0</v>
      </c>
      <c r="O4721">
        <v>-0.15155829999999901</v>
      </c>
      <c r="P4721">
        <v>0.99804530000000002</v>
      </c>
      <c r="Q4721">
        <v>3.2921480000000003E-2</v>
      </c>
      <c r="R4721">
        <v>5.3121929999999998E-2</v>
      </c>
      <c r="S4721">
        <v>3.0859070000000002</v>
      </c>
      <c r="T4721">
        <v>-0.96111019999999903</v>
      </c>
      <c r="U4721">
        <v>-0.97427369999999902</v>
      </c>
      <c r="V4721">
        <v>-0.20419709999999999</v>
      </c>
      <c r="W4721">
        <v>4.2255040000000001E-2</v>
      </c>
      <c r="X4721">
        <v>0.97801740000000004</v>
      </c>
      <c r="Y4721">
        <v>0.15295629999999999</v>
      </c>
      <c r="Z4721">
        <v>2.1949449999999999E-2</v>
      </c>
      <c r="AA4721">
        <v>0.98798920000000001</v>
      </c>
      <c r="AB4721">
        <v>28</v>
      </c>
      <c r="AC4721">
        <v>0.50530000000003295</v>
      </c>
      <c r="AD4721">
        <v>-0.20319470000000001</v>
      </c>
      <c r="AE4721">
        <v>-0.18607000000000001</v>
      </c>
      <c r="AF4721">
        <v>9.39539997755654E-2</v>
      </c>
      <c r="AG4721">
        <v>-0.20319470000000001</v>
      </c>
      <c r="AH4721">
        <v>0.46189231404272801</v>
      </c>
      <c r="AI4721">
        <v>113.32038595997901</v>
      </c>
      <c r="AJ4721">
        <v>78.5022695926274</v>
      </c>
      <c r="AK4721">
        <v>0.51328349861812494</v>
      </c>
    </row>
    <row r="4722" spans="1:37" x14ac:dyDescent="0.2">
      <c r="A4722" t="str">
        <f>"20200111153746088"</f>
        <v>20200111153746088</v>
      </c>
      <c r="B4722" t="str">
        <f>"1578728266077883"</f>
        <v>1578728266077883</v>
      </c>
      <c r="C4722" t="s">
        <v>37</v>
      </c>
      <c r="D4722">
        <v>6.2476010000000004</v>
      </c>
      <c r="E4722">
        <v>0.63946429999999999</v>
      </c>
      <c r="F4722" t="s">
        <v>38</v>
      </c>
      <c r="G4722">
        <v>-382.84519999999998</v>
      </c>
      <c r="H4722">
        <v>0.87859730000000003</v>
      </c>
      <c r="I4722">
        <v>17.200019999999999</v>
      </c>
      <c r="J4722">
        <v>-383.35419999999999</v>
      </c>
      <c r="K4722">
        <v>1.1083339999999999</v>
      </c>
      <c r="L4722">
        <v>17.40042</v>
      </c>
      <c r="M4722">
        <v>0.98905069999999995</v>
      </c>
      <c r="N4722">
        <v>0</v>
      </c>
      <c r="O4722">
        <v>-0.14712929999999999</v>
      </c>
      <c r="P4722">
        <v>0.99773319999999999</v>
      </c>
      <c r="Q4722">
        <v>3.3778420000000003E-2</v>
      </c>
      <c r="R4722">
        <v>5.8203919999999999E-2</v>
      </c>
      <c r="S4722">
        <v>3.0888979999999999</v>
      </c>
      <c r="T4722">
        <v>-0.96117399999999997</v>
      </c>
      <c r="U4722">
        <v>-0.96469119999999997</v>
      </c>
      <c r="V4722">
        <v>-0.2048017</v>
      </c>
      <c r="W4722">
        <v>4.3022060000000001E-2</v>
      </c>
      <c r="X4722">
        <v>0.97785750000000005</v>
      </c>
      <c r="Y4722">
        <v>0.15408359999999999</v>
      </c>
      <c r="Z4722">
        <v>2.0484479999999999E-2</v>
      </c>
      <c r="AA4722">
        <v>0.98784539999999998</v>
      </c>
      <c r="AB4722">
        <v>28</v>
      </c>
      <c r="AC4722">
        <v>0.509000000000014</v>
      </c>
      <c r="AD4722">
        <v>-0.22973669999999899</v>
      </c>
      <c r="AE4722">
        <v>-0.200399999999998</v>
      </c>
      <c r="AF4722">
        <v>0.10483473763347299</v>
      </c>
      <c r="AG4722">
        <v>-0.22973669999999899</v>
      </c>
      <c r="AH4722">
        <v>0.45304105171986703</v>
      </c>
      <c r="AI4722">
        <v>116.291410458397</v>
      </c>
      <c r="AJ4722">
        <v>76.970950228312006</v>
      </c>
      <c r="AK4722">
        <v>0.51866701079306399</v>
      </c>
    </row>
    <row r="4723" spans="1:37" x14ac:dyDescent="0.2">
      <c r="A4723" t="str">
        <f>"20200111153746103"</f>
        <v>20200111153746103</v>
      </c>
      <c r="B4723" t="str">
        <f>"1578728266098376"</f>
        <v>1578728266098376</v>
      </c>
      <c r="C4723" t="s">
        <v>37</v>
      </c>
      <c r="D4723">
        <v>8.3002610000000008</v>
      </c>
      <c r="E4723">
        <v>0.57000169999999994</v>
      </c>
      <c r="F4723" t="s">
        <v>38</v>
      </c>
      <c r="G4723">
        <v>-382.60039999999998</v>
      </c>
      <c r="H4723">
        <v>0.87473440000000002</v>
      </c>
      <c r="I4723">
        <v>17.170089999999998</v>
      </c>
      <c r="J4723">
        <v>-383.18079999999998</v>
      </c>
      <c r="K4723">
        <v>1.1083430000000001</v>
      </c>
      <c r="L4723">
        <v>17.378019999999999</v>
      </c>
      <c r="M4723">
        <v>0.98954430000000004</v>
      </c>
      <c r="N4723">
        <v>0</v>
      </c>
      <c r="O4723">
        <v>-0.14377709999999999</v>
      </c>
      <c r="P4723">
        <v>0.99748359999999903</v>
      </c>
      <c r="Q4723">
        <v>3.4554410000000001E-2</v>
      </c>
      <c r="R4723">
        <v>6.1910989999999999E-2</v>
      </c>
      <c r="S4723">
        <v>3.09436</v>
      </c>
      <c r="T4723">
        <v>-0.95904789999999995</v>
      </c>
      <c r="U4723">
        <v>-0.94488530000000004</v>
      </c>
      <c r="V4723">
        <v>-0.20512649999999999</v>
      </c>
      <c r="W4723">
        <v>4.3730449999999997E-2</v>
      </c>
      <c r="X4723">
        <v>0.97775800000000002</v>
      </c>
      <c r="Y4723">
        <v>0.15114629999999901</v>
      </c>
      <c r="Z4723">
        <v>1.9890709999999999E-2</v>
      </c>
      <c r="AA4723">
        <v>0.9883113</v>
      </c>
      <c r="AB4723">
        <v>28</v>
      </c>
      <c r="AC4723">
        <v>0.58039999999999703</v>
      </c>
      <c r="AD4723">
        <v>-0.233608599999999</v>
      </c>
      <c r="AE4723">
        <v>-0.207930000000004</v>
      </c>
      <c r="AF4723">
        <v>0.10695897464849601</v>
      </c>
      <c r="AG4723">
        <v>-0.233608599999999</v>
      </c>
      <c r="AH4723">
        <v>0.52840091136774303</v>
      </c>
      <c r="AI4723">
        <v>113.427886621526</v>
      </c>
      <c r="AJ4723">
        <v>78.556800436423003</v>
      </c>
      <c r="AK4723">
        <v>0.58755486840471305</v>
      </c>
    </row>
    <row r="4724" spans="1:37" x14ac:dyDescent="0.2">
      <c r="A4724" t="str">
        <f>"20200111153746122"</f>
        <v>20200111153746122</v>
      </c>
      <c r="B4724" t="str">
        <f>"1578728266117897"</f>
        <v>1578728266117897</v>
      </c>
      <c r="C4724" t="s">
        <v>37</v>
      </c>
      <c r="D4724">
        <v>5.7070499999999997</v>
      </c>
      <c r="E4724">
        <v>0.49926729999999903</v>
      </c>
      <c r="F4724" t="s">
        <v>38</v>
      </c>
      <c r="G4724">
        <v>-382.31220000000002</v>
      </c>
      <c r="H4724">
        <v>0.92465980000000003</v>
      </c>
      <c r="I4724">
        <v>17.270479999999999</v>
      </c>
      <c r="J4724">
        <v>-382.93819999999999</v>
      </c>
      <c r="K4724">
        <v>1.1083529999999999</v>
      </c>
      <c r="L4724">
        <v>17.347809999999999</v>
      </c>
      <c r="M4724">
        <v>0.99021479999999995</v>
      </c>
      <c r="N4724">
        <v>0</v>
      </c>
      <c r="O4724">
        <v>-0.1390904</v>
      </c>
      <c r="P4724">
        <v>0.99709309999999995</v>
      </c>
      <c r="Q4724">
        <v>3.6048280000000002E-2</v>
      </c>
      <c r="R4724">
        <v>6.7124820000000002E-2</v>
      </c>
      <c r="S4724">
        <v>3.053375</v>
      </c>
      <c r="T4724">
        <v>-0.64591519999999902</v>
      </c>
      <c r="U4724">
        <v>-0.37747190000000003</v>
      </c>
      <c r="V4724">
        <v>-0.2056162</v>
      </c>
      <c r="W4724">
        <v>4.5134769999999998E-2</v>
      </c>
      <c r="X4724">
        <v>0.97759130000000005</v>
      </c>
      <c r="Y4724">
        <v>-1.3258509999999999E-2</v>
      </c>
      <c r="Z4724">
        <v>3.0245620000000001E-2</v>
      </c>
      <c r="AA4724">
        <v>0.99945459999999997</v>
      </c>
      <c r="AB4724">
        <v>28</v>
      </c>
      <c r="AC4724">
        <v>0.62599999999997602</v>
      </c>
      <c r="AD4724">
        <v>-0.1836932</v>
      </c>
      <c r="AE4724">
        <v>-7.7329999999999899E-2</v>
      </c>
      <c r="AF4724">
        <v>-9.6772056153334E-3</v>
      </c>
      <c r="AG4724">
        <v>-0.1836932</v>
      </c>
      <c r="AH4724">
        <v>0.58136387476625095</v>
      </c>
      <c r="AI4724">
        <v>107.532662593719</v>
      </c>
      <c r="AJ4724">
        <v>90.953639986529197</v>
      </c>
      <c r="AK4724">
        <v>0.609771100428669</v>
      </c>
    </row>
    <row r="4725" spans="1:37" x14ac:dyDescent="0.2">
      <c r="A4725" t="str">
        <f>"20200111153746145"</f>
        <v>20200111153746145</v>
      </c>
      <c r="B4725" t="str">
        <f>"1578728266138392"</f>
        <v>1578728266138392</v>
      </c>
      <c r="C4725" t="s">
        <v>37</v>
      </c>
      <c r="D4725">
        <v>5.7489809999999997</v>
      </c>
      <c r="E4725">
        <v>0.4960212</v>
      </c>
      <c r="F4725" t="s">
        <v>55</v>
      </c>
      <c r="G4725">
        <v>-372.09100000000001</v>
      </c>
      <c r="H4725" s="1">
        <v>-3.9904689999999902E-6</v>
      </c>
      <c r="I4725">
        <v>18.086600000000001</v>
      </c>
      <c r="J4725">
        <v>-382.66430000000003</v>
      </c>
      <c r="K4725">
        <v>1.1083609999999999</v>
      </c>
      <c r="L4725">
        <v>17.31512</v>
      </c>
      <c r="M4725">
        <v>0.99094490000000002</v>
      </c>
      <c r="N4725">
        <v>0</v>
      </c>
      <c r="O4725">
        <v>-0.13379659999999999</v>
      </c>
      <c r="P4725">
        <v>0.99669909999999995</v>
      </c>
      <c r="Q4725">
        <v>3.7014819999999997E-2</v>
      </c>
      <c r="R4725">
        <v>7.2253490000000004E-2</v>
      </c>
      <c r="S4725">
        <v>3.0061040000000001</v>
      </c>
      <c r="T4725">
        <v>-0.3071603</v>
      </c>
      <c r="U4725">
        <v>0.20474239999999999</v>
      </c>
      <c r="V4725">
        <v>-0.20542559999999899</v>
      </c>
      <c r="W4725">
        <v>4.6020289999999998E-2</v>
      </c>
      <c r="X4725">
        <v>0.97759010000000002</v>
      </c>
      <c r="Y4725">
        <v>-0.19910999999999901</v>
      </c>
      <c r="Z4725">
        <v>2.3739909999999999E-2</v>
      </c>
      <c r="AA4725">
        <v>0.97968949999999999</v>
      </c>
      <c r="AB4725">
        <v>28</v>
      </c>
      <c r="AC4725">
        <v>10.5733</v>
      </c>
      <c r="AD4725">
        <v>-1.1083649904690001</v>
      </c>
      <c r="AE4725">
        <v>0.77148000000000005</v>
      </c>
      <c r="AF4725">
        <v>-2.15574055950318</v>
      </c>
      <c r="AG4725">
        <v>-1.1083649904690001</v>
      </c>
      <c r="AH4725">
        <v>10.2628161425051</v>
      </c>
      <c r="AI4725">
        <v>96.033284548172404</v>
      </c>
      <c r="AJ4725">
        <v>101.86271552479</v>
      </c>
      <c r="AK4725">
        <v>10.5451925296244</v>
      </c>
    </row>
    <row r="4726" spans="1:37" x14ac:dyDescent="0.2">
      <c r="A4726" t="str">
        <f>"20200111153746157"</f>
        <v>20200111153746157</v>
      </c>
      <c r="B4726" t="str">
        <f>"1578728266148152"</f>
        <v>1578728266148152</v>
      </c>
      <c r="C4726" t="s">
        <v>37</v>
      </c>
      <c r="D4726">
        <v>5.6410689999999999</v>
      </c>
      <c r="E4726">
        <v>0.497154599999999</v>
      </c>
      <c r="F4726" t="s">
        <v>56</v>
      </c>
      <c r="G4726">
        <v>-369.37199999999899</v>
      </c>
      <c r="H4726" s="1">
        <v>-5.6220990000000001E-7</v>
      </c>
      <c r="I4726">
        <v>18.411390000000001</v>
      </c>
      <c r="J4726">
        <v>-382.48829999999998</v>
      </c>
      <c r="K4726">
        <v>1.1083609999999999</v>
      </c>
      <c r="L4726">
        <v>17.294799999999999</v>
      </c>
      <c r="M4726">
        <v>0.99139869999999997</v>
      </c>
      <c r="N4726">
        <v>0</v>
      </c>
      <c r="O4726">
        <v>-0.1303966</v>
      </c>
      <c r="P4726">
        <v>0.99645289999999997</v>
      </c>
      <c r="Q4726">
        <v>3.735451E-2</v>
      </c>
      <c r="R4726">
        <v>7.5408000000000003E-2</v>
      </c>
      <c r="S4726">
        <v>3.001312</v>
      </c>
      <c r="T4726">
        <v>-0.25026039999999999</v>
      </c>
      <c r="U4726">
        <v>0.2475281</v>
      </c>
      <c r="V4726">
        <v>-0.20516789999999999</v>
      </c>
      <c r="W4726">
        <v>4.6313229999999997E-2</v>
      </c>
      <c r="X4726">
        <v>0.97763040000000001</v>
      </c>
      <c r="Y4726">
        <v>-0.210280299999999</v>
      </c>
      <c r="Z4726">
        <v>1.9564809999999998E-2</v>
      </c>
      <c r="AA4726">
        <v>0.97744540000000002</v>
      </c>
      <c r="AB4726">
        <v>28</v>
      </c>
      <c r="AC4726">
        <v>13.116300000000001</v>
      </c>
      <c r="AD4726">
        <v>-1.1083615622098999</v>
      </c>
      <c r="AE4726">
        <v>1.11659</v>
      </c>
      <c r="AF4726">
        <v>-2.7976499638764598</v>
      </c>
      <c r="AG4726">
        <v>-1.1083615622098999</v>
      </c>
      <c r="AH4726">
        <v>12.768171561700701</v>
      </c>
      <c r="AI4726">
        <v>94.846799593724398</v>
      </c>
      <c r="AJ4726">
        <v>102.35883839369301</v>
      </c>
      <c r="AK4726">
        <v>13.1179844374807</v>
      </c>
    </row>
    <row r="4727" spans="1:37" x14ac:dyDescent="0.2">
      <c r="A4727" t="str">
        <f>"20200111153746171"</f>
        <v>20200111153746171</v>
      </c>
      <c r="B4727" t="str">
        <f>"1578728266167672"</f>
        <v>1578728266167672</v>
      </c>
      <c r="C4727" t="s">
        <v>37</v>
      </c>
      <c r="D4727">
        <v>5.5564589999999896</v>
      </c>
      <c r="E4727">
        <v>0.49881690000000001</v>
      </c>
      <c r="F4727" t="s">
        <v>56</v>
      </c>
      <c r="G4727">
        <v>-368.26740000000001</v>
      </c>
      <c r="H4727" s="1">
        <v>-1.0223810000000001E-6</v>
      </c>
      <c r="I4727">
        <v>18.472390000000001</v>
      </c>
      <c r="J4727">
        <v>-382.3279</v>
      </c>
      <c r="K4727">
        <v>1.108363</v>
      </c>
      <c r="L4727">
        <v>17.276979999999998</v>
      </c>
      <c r="M4727">
        <v>0.99180159999999995</v>
      </c>
      <c r="N4727">
        <v>0</v>
      </c>
      <c r="O4727">
        <v>-0.1272982</v>
      </c>
      <c r="P4727">
        <v>0.99625589999999997</v>
      </c>
      <c r="Q4727">
        <v>3.7188489999999998E-2</v>
      </c>
      <c r="R4727">
        <v>7.8044820000000001E-2</v>
      </c>
      <c r="S4727">
        <v>3.0006409999999999</v>
      </c>
      <c r="T4727">
        <v>-0.23386589999999999</v>
      </c>
      <c r="U4727">
        <v>0.2484741</v>
      </c>
      <c r="V4727">
        <v>-0.20469979999999999</v>
      </c>
      <c r="W4727">
        <v>4.6111270000000003E-2</v>
      </c>
      <c r="X4727">
        <v>0.97773809999999906</v>
      </c>
      <c r="Y4727">
        <v>-0.20771489999999901</v>
      </c>
      <c r="Z4727">
        <v>1.7951499999999999E-2</v>
      </c>
      <c r="AA4727">
        <v>0.97802469999999997</v>
      </c>
      <c r="AB4727">
        <v>28</v>
      </c>
      <c r="AC4727">
        <v>14.0604999999999</v>
      </c>
      <c r="AD4727">
        <v>-1.1083640223810001</v>
      </c>
      <c r="AE4727">
        <v>1.1954100000000001</v>
      </c>
      <c r="AF4727">
        <v>-2.95742628157014</v>
      </c>
      <c r="AG4727">
        <v>-1.1083640223810001</v>
      </c>
      <c r="AH4727">
        <v>13.7093363914357</v>
      </c>
      <c r="AI4727">
        <v>94.518660250347196</v>
      </c>
      <c r="AJ4727">
        <v>102.17349725356701</v>
      </c>
      <c r="AK4727">
        <v>14.0684308048401</v>
      </c>
    </row>
    <row r="4728" spans="1:37" x14ac:dyDescent="0.2">
      <c r="A4728" t="str">
        <f>"20200111153746189"</f>
        <v>20200111153746189</v>
      </c>
      <c r="B4728" t="str">
        <f>"1578728266178408"</f>
        <v>1578728266178408</v>
      </c>
      <c r="C4728" t="s">
        <v>37</v>
      </c>
      <c r="D4728">
        <v>5.65252</v>
      </c>
      <c r="E4728">
        <v>0.49854529999999903</v>
      </c>
      <c r="F4728" t="s">
        <v>56</v>
      </c>
      <c r="G4728">
        <v>-367.59699999999998</v>
      </c>
      <c r="H4728" s="1">
        <v>-1.3391239999999901E-6</v>
      </c>
      <c r="I4728">
        <v>18.473299999999998</v>
      </c>
      <c r="J4728">
        <v>-382.11270000000002</v>
      </c>
      <c r="K4728">
        <v>1.1083670000000001</v>
      </c>
      <c r="L4728">
        <v>17.25375</v>
      </c>
      <c r="M4728">
        <v>0.99232629999999999</v>
      </c>
      <c r="N4728">
        <v>0</v>
      </c>
      <c r="O4728">
        <v>-0.123145899999999</v>
      </c>
      <c r="P4728">
        <v>0.9960639</v>
      </c>
      <c r="Q4728">
        <v>3.6533339999999997E-2</v>
      </c>
      <c r="R4728">
        <v>8.0757999999999996E-2</v>
      </c>
      <c r="S4728">
        <v>3.0005799999999998</v>
      </c>
      <c r="T4728">
        <v>-0.22576599999999999</v>
      </c>
      <c r="U4728">
        <v>0.24368289999999901</v>
      </c>
      <c r="V4728">
        <v>-0.20326629999999901</v>
      </c>
      <c r="W4728">
        <v>4.5420580000000002E-2</v>
      </c>
      <c r="X4728">
        <v>0.97806939999999998</v>
      </c>
      <c r="Y4728">
        <v>-0.20216419999999999</v>
      </c>
      <c r="Z4728">
        <v>1.681415E-2</v>
      </c>
      <c r="AA4728">
        <v>0.9792073</v>
      </c>
      <c r="AB4728">
        <v>28</v>
      </c>
      <c r="AC4728">
        <v>14.515700000000001</v>
      </c>
      <c r="AD4728">
        <v>-1.108368339124</v>
      </c>
      <c r="AE4728">
        <v>1.2195499999999899</v>
      </c>
      <c r="AF4728">
        <v>-2.9806693169705398</v>
      </c>
      <c r="AG4728">
        <v>-1.108368339124</v>
      </c>
      <c r="AH4728">
        <v>14.172955638492899</v>
      </c>
      <c r="AI4728">
        <v>94.376256327300098</v>
      </c>
      <c r="AJ4728">
        <v>101.87661539715501</v>
      </c>
      <c r="AK4728">
        <v>14.5253413551279</v>
      </c>
    </row>
    <row r="4729" spans="1:37" x14ac:dyDescent="0.2">
      <c r="A4729" t="str">
        <f>"20200111153746204"</f>
        <v>20200111153746204</v>
      </c>
      <c r="B4729" t="str">
        <f>"1578728266197928"</f>
        <v>1578728266197928</v>
      </c>
      <c r="C4729" t="s">
        <v>37</v>
      </c>
      <c r="D4729">
        <v>5.6475569999999999</v>
      </c>
      <c r="E4729">
        <v>0.49935309999999999</v>
      </c>
      <c r="F4729" t="s">
        <v>56</v>
      </c>
      <c r="G4729">
        <v>-367.50630000000001</v>
      </c>
      <c r="H4729" s="1">
        <v>-1.3785630000000001E-6</v>
      </c>
      <c r="I4729">
        <v>18.492660000000001</v>
      </c>
      <c r="J4729">
        <v>-381.92110000000002</v>
      </c>
      <c r="K4729">
        <v>1.1083620000000001</v>
      </c>
      <c r="L4729">
        <v>17.23376</v>
      </c>
      <c r="M4729">
        <v>0.99277870000000001</v>
      </c>
      <c r="N4729">
        <v>0</v>
      </c>
      <c r="O4729">
        <v>-0.1194484</v>
      </c>
      <c r="P4729">
        <v>0.99584470000000003</v>
      </c>
      <c r="Q4729">
        <v>3.6493770000000002E-2</v>
      </c>
      <c r="R4729">
        <v>8.3436300000000005E-2</v>
      </c>
      <c r="S4729">
        <v>2.999603</v>
      </c>
      <c r="T4729">
        <v>-0.22761579999999901</v>
      </c>
      <c r="U4729">
        <v>0.25442500000000001</v>
      </c>
      <c r="V4729">
        <v>-0.2022525</v>
      </c>
      <c r="W4729">
        <v>4.5347699999999998E-2</v>
      </c>
      <c r="X4729">
        <v>0.97828289999999996</v>
      </c>
      <c r="Y4729">
        <v>-0.20202049999999999</v>
      </c>
      <c r="Z4729">
        <v>1.6670750000000002E-2</v>
      </c>
      <c r="AA4729">
        <v>0.97923939999999998</v>
      </c>
      <c r="AB4729">
        <v>28</v>
      </c>
      <c r="AC4729">
        <v>14.4148</v>
      </c>
      <c r="AD4729">
        <v>-1.108363378563</v>
      </c>
      <c r="AE4729">
        <v>1.2588999999999999</v>
      </c>
      <c r="AF4729">
        <v>-2.9544807983789898</v>
      </c>
      <c r="AG4729">
        <v>-1.108363378563</v>
      </c>
      <c r="AH4729">
        <v>14.078595406042901</v>
      </c>
      <c r="AI4729">
        <v>94.405850832355497</v>
      </c>
      <c r="AJ4729">
        <v>101.851888792163</v>
      </c>
      <c r="AK4729">
        <v>14.427899180891901</v>
      </c>
    </row>
    <row r="4730" spans="1:37" x14ac:dyDescent="0.2">
      <c r="A4730" t="str">
        <f>"20200111153746224"</f>
        <v>20200111153746224</v>
      </c>
      <c r="B4730" t="str">
        <f>"1578728266218424"</f>
        <v>1578728266218424</v>
      </c>
      <c r="C4730" t="s">
        <v>37</v>
      </c>
      <c r="D4730">
        <v>5.7419260000000003</v>
      </c>
      <c r="E4730">
        <v>0.49924489999999999</v>
      </c>
      <c r="F4730" t="s">
        <v>56</v>
      </c>
      <c r="G4730">
        <v>-366.37569999999999</v>
      </c>
      <c r="H4730" s="1">
        <v>-1.90065E-6</v>
      </c>
      <c r="I4730">
        <v>18.56213</v>
      </c>
      <c r="J4730">
        <v>-381.68520000000001</v>
      </c>
      <c r="K4730">
        <v>1.1083559999999999</v>
      </c>
      <c r="L4730">
        <v>17.210170000000002</v>
      </c>
      <c r="M4730">
        <v>0.99331569999999902</v>
      </c>
      <c r="N4730">
        <v>0</v>
      </c>
      <c r="O4730">
        <v>-0.11490299999999901</v>
      </c>
      <c r="P4730">
        <v>0.99570049999999899</v>
      </c>
      <c r="Q4730">
        <v>3.5774069999999998E-2</v>
      </c>
      <c r="R4730">
        <v>8.5446250000000001E-2</v>
      </c>
      <c r="S4730">
        <v>2.9988709999999998</v>
      </c>
      <c r="T4730">
        <v>-0.21381610000000001</v>
      </c>
      <c r="U4730">
        <v>0.25625609999999999</v>
      </c>
      <c r="V4730">
        <v>-0.1997438</v>
      </c>
      <c r="W4730">
        <v>4.4603160000000003E-2</v>
      </c>
      <c r="X4730">
        <v>0.97883249999999999</v>
      </c>
      <c r="Y4730">
        <v>-0.19827899999999901</v>
      </c>
      <c r="Z4730">
        <v>1.5210950000000001E-2</v>
      </c>
      <c r="AA4730">
        <v>0.9800276</v>
      </c>
      <c r="AB4730">
        <v>28</v>
      </c>
      <c r="AC4730">
        <v>15.3095</v>
      </c>
      <c r="AD4730">
        <v>-1.1083579006499999</v>
      </c>
      <c r="AE4730">
        <v>1.3519599999999901</v>
      </c>
      <c r="AF4730">
        <v>-3.0861682745951402</v>
      </c>
      <c r="AG4730">
        <v>-1.1083579006499999</v>
      </c>
      <c r="AH4730">
        <v>14.974854642955099</v>
      </c>
      <c r="AI4730">
        <v>94.146184290667804</v>
      </c>
      <c r="AJ4730">
        <v>101.64504880641201</v>
      </c>
      <c r="AK4730">
        <v>15.3296824309143</v>
      </c>
    </row>
    <row r="4731" spans="1:37" x14ac:dyDescent="0.2">
      <c r="A4731" t="str">
        <f>"20200111153746246"</f>
        <v>20200111153746246</v>
      </c>
      <c r="B4731" t="str">
        <f>"1578728266237944"</f>
        <v>1578728266237944</v>
      </c>
      <c r="C4731" t="s">
        <v>37</v>
      </c>
      <c r="D4731">
        <v>5.5590950000000001</v>
      </c>
      <c r="E4731">
        <v>0.49961409999999901</v>
      </c>
      <c r="F4731" t="s">
        <v>56</v>
      </c>
      <c r="G4731">
        <v>-365.93340000000001</v>
      </c>
      <c r="H4731" s="1">
        <v>-2.1042440000000001E-6</v>
      </c>
      <c r="I4731">
        <v>18.593</v>
      </c>
      <c r="J4731">
        <v>-381.40370000000001</v>
      </c>
      <c r="K4731">
        <v>1.108352</v>
      </c>
      <c r="L4731">
        <v>17.183529999999902</v>
      </c>
      <c r="M4731">
        <v>0.99392829999999999</v>
      </c>
      <c r="N4731">
        <v>0</v>
      </c>
      <c r="O4731">
        <v>-0.109484</v>
      </c>
      <c r="P4731">
        <v>0.99548419999999904</v>
      </c>
      <c r="Q4731">
        <v>3.5219010000000002E-2</v>
      </c>
      <c r="R4731">
        <v>8.8150399999999907E-2</v>
      </c>
      <c r="S4731">
        <v>2.997925</v>
      </c>
      <c r="T4731">
        <v>-0.21094570000000001</v>
      </c>
      <c r="U4731">
        <v>0.26318359999999902</v>
      </c>
      <c r="V4731">
        <v>-0.19705880000000001</v>
      </c>
      <c r="W4731">
        <v>4.4010550000000002E-2</v>
      </c>
      <c r="X4731">
        <v>0.97940329999999998</v>
      </c>
      <c r="Y4731">
        <v>-0.195248799999999</v>
      </c>
      <c r="Z4731">
        <v>1.452522E-2</v>
      </c>
      <c r="AA4731">
        <v>0.98064619999999902</v>
      </c>
      <c r="AB4731">
        <v>28</v>
      </c>
      <c r="AC4731">
        <v>15.4703</v>
      </c>
      <c r="AD4731">
        <v>-1.1083541042439999</v>
      </c>
      <c r="AE4731">
        <v>1.40947</v>
      </c>
      <c r="AF4731">
        <v>-3.0791729568596899</v>
      </c>
      <c r="AG4731">
        <v>-1.1083541042439999</v>
      </c>
      <c r="AH4731">
        <v>15.1458647210585</v>
      </c>
      <c r="AI4731">
        <v>94.101755824700007</v>
      </c>
      <c r="AJ4731">
        <v>101.491688262783</v>
      </c>
      <c r="AK4731">
        <v>15.495385541097599</v>
      </c>
    </row>
    <row r="4732" spans="1:37" x14ac:dyDescent="0.2">
      <c r="A4732" t="str">
        <f>"20200111153746268"</f>
        <v>20200111153746268</v>
      </c>
      <c r="B4732" t="str">
        <f>"1578728266258439"</f>
        <v>1578728266258439</v>
      </c>
      <c r="C4732" t="s">
        <v>37</v>
      </c>
      <c r="D4732">
        <v>5.6376410000000003</v>
      </c>
      <c r="E4732">
        <v>0.49979409999999902</v>
      </c>
      <c r="F4732" t="s">
        <v>56</v>
      </c>
      <c r="G4732">
        <v>-365.37529999999998</v>
      </c>
      <c r="H4732" s="1">
        <v>-2.3636480000000002E-6</v>
      </c>
      <c r="I4732">
        <v>18.617929999999902</v>
      </c>
      <c r="J4732">
        <v>-381.13260000000002</v>
      </c>
      <c r="K4732">
        <v>1.1082620000000001</v>
      </c>
      <c r="L4732">
        <v>17.15915</v>
      </c>
      <c r="M4732">
        <v>0.99452909999999894</v>
      </c>
      <c r="N4732">
        <v>0</v>
      </c>
      <c r="O4732">
        <v>-0.1039095</v>
      </c>
      <c r="P4732">
        <v>0.99528130000000004</v>
      </c>
      <c r="Q4732">
        <v>3.4704760000000001E-2</v>
      </c>
      <c r="R4732">
        <v>9.0614040000000007E-2</v>
      </c>
      <c r="S4732">
        <v>2.9971619999999999</v>
      </c>
      <c r="T4732">
        <v>-0.20725180000000001</v>
      </c>
      <c r="U4732">
        <v>0.26821899999999999</v>
      </c>
      <c r="V4732">
        <v>-0.19398099999999999</v>
      </c>
      <c r="W4732">
        <v>4.331455E-2</v>
      </c>
      <c r="X4732">
        <v>0.98004859999999905</v>
      </c>
      <c r="Y4732">
        <v>-0.1914534</v>
      </c>
      <c r="Z4732">
        <v>1.3759850000000001E-2</v>
      </c>
      <c r="AA4732">
        <v>0.98140530000000004</v>
      </c>
      <c r="AB4732">
        <v>28</v>
      </c>
      <c r="AC4732">
        <v>15.757300000000001</v>
      </c>
      <c r="AD4732">
        <v>-1.1082643636480001</v>
      </c>
      <c r="AE4732">
        <v>1.45877999999999</v>
      </c>
      <c r="AF4732">
        <v>-3.0732359704155701</v>
      </c>
      <c r="AG4732">
        <v>-1.1082643636480001</v>
      </c>
      <c r="AH4732">
        <v>15.4446501595827</v>
      </c>
      <c r="AI4732">
        <v>94.025691037671294</v>
      </c>
      <c r="AJ4732">
        <v>101.25393978757999</v>
      </c>
      <c r="AK4732">
        <v>15.786394388253701</v>
      </c>
    </row>
    <row r="4733" spans="1:37" x14ac:dyDescent="0.2">
      <c r="A4733" t="str">
        <f>"20200111153746290"</f>
        <v>20200111153746290</v>
      </c>
      <c r="B4733" t="str">
        <f>"1578728266277963"</f>
        <v>1578728266277963</v>
      </c>
      <c r="C4733" t="s">
        <v>37</v>
      </c>
      <c r="D4733">
        <v>5.5333189999999997</v>
      </c>
      <c r="E4733">
        <v>0.49986750000000002</v>
      </c>
      <c r="F4733" t="s">
        <v>56</v>
      </c>
      <c r="G4733">
        <v>-364.77839999999998</v>
      </c>
      <c r="H4733" s="1">
        <v>-2.6391170000000001E-6</v>
      </c>
      <c r="I4733">
        <v>18.65577</v>
      </c>
      <c r="J4733">
        <v>-380.8605</v>
      </c>
      <c r="K4733">
        <v>1.1082190000000001</v>
      </c>
      <c r="L4733">
        <v>17.13599</v>
      </c>
      <c r="M4733">
        <v>0.99509809999999999</v>
      </c>
      <c r="N4733">
        <v>0</v>
      </c>
      <c r="O4733">
        <v>-9.8319420000000005E-2</v>
      </c>
      <c r="P4733">
        <v>0.99500889999999997</v>
      </c>
      <c r="Q4733">
        <v>3.4641829999999998E-2</v>
      </c>
      <c r="R4733">
        <v>9.3579220000000005E-2</v>
      </c>
      <c r="S4733">
        <v>2.9963069999999998</v>
      </c>
      <c r="T4733">
        <v>-0.20304910000000001</v>
      </c>
      <c r="U4733">
        <v>0.27420040000000001</v>
      </c>
      <c r="V4733">
        <v>-0.191390899999999</v>
      </c>
      <c r="W4733">
        <v>4.3202129999999998E-2</v>
      </c>
      <c r="X4733">
        <v>0.98056259999999995</v>
      </c>
      <c r="Y4733">
        <v>-0.18795419999999999</v>
      </c>
      <c r="Z4733">
        <v>1.298904E-2</v>
      </c>
      <c r="AA4733">
        <v>0.98209190000000002</v>
      </c>
      <c r="AB4733">
        <v>28</v>
      </c>
      <c r="AC4733">
        <v>16.082100000000001</v>
      </c>
      <c r="AD4733">
        <v>-1.1082216391169999</v>
      </c>
      <c r="AE4733">
        <v>1.5197799999999999</v>
      </c>
      <c r="AF4733">
        <v>-3.0791953168683199</v>
      </c>
      <c r="AG4733">
        <v>-1.1082216391169999</v>
      </c>
      <c r="AH4733">
        <v>15.780467374003599</v>
      </c>
      <c r="AI4733">
        <v>93.943017998918606</v>
      </c>
      <c r="AJ4733">
        <v>101.041219052796</v>
      </c>
      <c r="AK4733">
        <v>16.116226281075299</v>
      </c>
    </row>
    <row r="4734" spans="1:37" x14ac:dyDescent="0.2">
      <c r="A4734" t="str">
        <f>"20200111153746305"</f>
        <v>20200111153746305</v>
      </c>
      <c r="B4734" t="str">
        <f>"1578728266298457"</f>
        <v>1578728266298457</v>
      </c>
      <c r="C4734" t="s">
        <v>37</v>
      </c>
      <c r="D4734">
        <v>5.6775769999999897</v>
      </c>
      <c r="E4734">
        <v>0.49989709999999898</v>
      </c>
      <c r="F4734" t="s">
        <v>56</v>
      </c>
      <c r="G4734">
        <v>-364.1395</v>
      </c>
      <c r="H4734" s="1">
        <v>-2.9308279999999999E-6</v>
      </c>
      <c r="I4734">
        <v>18.713829999999898</v>
      </c>
      <c r="J4734">
        <v>-380.67219999999998</v>
      </c>
      <c r="K4734">
        <v>1.108314</v>
      </c>
      <c r="L4734">
        <v>17.12079</v>
      </c>
      <c r="M4734">
        <v>0.99541480000000004</v>
      </c>
      <c r="N4734">
        <v>0</v>
      </c>
      <c r="O4734">
        <v>-9.5035079999999994E-2</v>
      </c>
      <c r="P4734">
        <v>0.99479450000000003</v>
      </c>
      <c r="Q4734">
        <v>3.4620669999999999E-2</v>
      </c>
      <c r="R4734">
        <v>9.5841499999999996E-2</v>
      </c>
      <c r="S4734">
        <v>2.9953919999999998</v>
      </c>
      <c r="T4734">
        <v>-0.198525799999999</v>
      </c>
      <c r="U4734">
        <v>0.28265380000000001</v>
      </c>
      <c r="V4734">
        <v>-0.190394799999999</v>
      </c>
      <c r="W4734">
        <v>4.3383629999999999E-2</v>
      </c>
      <c r="X4734">
        <v>0.98074850000000002</v>
      </c>
      <c r="Y4734">
        <v>-0.18752530000000001</v>
      </c>
      <c r="Z4734">
        <v>1.2471909999999999E-2</v>
      </c>
      <c r="AA4734">
        <v>0.98218059999999996</v>
      </c>
      <c r="AB4734">
        <v>28</v>
      </c>
      <c r="AC4734">
        <v>16.532699999999899</v>
      </c>
      <c r="AD4734">
        <v>-1.1083169308280001</v>
      </c>
      <c r="AE4734">
        <v>1.59303999999999</v>
      </c>
      <c r="AF4734">
        <v>-3.1431124346331298</v>
      </c>
      <c r="AG4734">
        <v>-1.1083169308280001</v>
      </c>
      <c r="AH4734">
        <v>16.2341728770513</v>
      </c>
      <c r="AI4734">
        <v>93.834567567524005</v>
      </c>
      <c r="AJ4734">
        <v>100.957513682556</v>
      </c>
      <c r="AK4734">
        <v>16.572745433327999</v>
      </c>
    </row>
    <row r="4735" spans="1:37" x14ac:dyDescent="0.2">
      <c r="A4735" t="str">
        <f>"20200111153746323"</f>
        <v>20200111153746323</v>
      </c>
      <c r="B4735" t="str">
        <f>"1578728266317976"</f>
        <v>1578728266317976</v>
      </c>
      <c r="C4735" t="s">
        <v>37</v>
      </c>
      <c r="D4735">
        <v>5.7816650000000003</v>
      </c>
      <c r="E4735">
        <v>0.49973840000000003</v>
      </c>
      <c r="F4735" t="s">
        <v>56</v>
      </c>
      <c r="G4735">
        <v>-363.45310000000001</v>
      </c>
      <c r="H4735" s="1">
        <v>-3.2427749999999899E-6</v>
      </c>
      <c r="I4735">
        <v>18.784500000000001</v>
      </c>
      <c r="J4735">
        <v>-380.44229999999999</v>
      </c>
      <c r="K4735">
        <v>1.108419</v>
      </c>
      <c r="L4735">
        <v>17.103149999999999</v>
      </c>
      <c r="M4735">
        <v>0.99575539999999996</v>
      </c>
      <c r="N4735">
        <v>0</v>
      </c>
      <c r="O4735">
        <v>-9.1377029999999998E-2</v>
      </c>
      <c r="P4735">
        <v>0.99457059999999997</v>
      </c>
      <c r="Q4735">
        <v>3.5183190000000003E-2</v>
      </c>
      <c r="R4735">
        <v>9.7936670000000003E-2</v>
      </c>
      <c r="S4735">
        <v>2.9945979999999999</v>
      </c>
      <c r="T4735">
        <v>-0.19274849999999999</v>
      </c>
      <c r="U4735">
        <v>0.28933720000000002</v>
      </c>
      <c r="V4735">
        <v>-0.1888755</v>
      </c>
      <c r="W4735">
        <v>4.406819E-2</v>
      </c>
      <c r="X4735">
        <v>0.98101170000000004</v>
      </c>
      <c r="Y4735">
        <v>-0.1861585</v>
      </c>
      <c r="Z4735">
        <v>1.183353E-2</v>
      </c>
      <c r="AA4735">
        <v>0.98244849999999995</v>
      </c>
      <c r="AB4735">
        <v>28</v>
      </c>
      <c r="AC4735">
        <v>16.989199999999901</v>
      </c>
      <c r="AD4735">
        <v>-1.1084222427749999</v>
      </c>
      <c r="AE4735">
        <v>1.6813499999999999</v>
      </c>
      <c r="AF4735">
        <v>-3.2132868208712999</v>
      </c>
      <c r="AG4735">
        <v>-1.1084222427749999</v>
      </c>
      <c r="AH4735">
        <v>16.694097535752402</v>
      </c>
      <c r="AI4735">
        <v>93.730362903723304</v>
      </c>
      <c r="AJ4735">
        <v>100.89507009291501</v>
      </c>
      <c r="AK4735">
        <v>17.036628322372898</v>
      </c>
    </row>
    <row r="4736" spans="1:37" x14ac:dyDescent="0.2">
      <c r="A4736" t="str">
        <f>"20200111153746346"</f>
        <v>20200111153746346</v>
      </c>
      <c r="B4736" t="str">
        <f>"1578728266338472"</f>
        <v>1578728266338472</v>
      </c>
      <c r="C4736" t="s">
        <v>37</v>
      </c>
      <c r="D4736">
        <v>5.5908470000000001</v>
      </c>
      <c r="E4736">
        <v>0.49949539999999998</v>
      </c>
      <c r="F4736" t="s">
        <v>56</v>
      </c>
      <c r="G4736">
        <v>-363.00310000000002</v>
      </c>
      <c r="H4736" s="1">
        <v>-3.4466789999999899E-6</v>
      </c>
      <c r="I4736">
        <v>18.834239999999902</v>
      </c>
      <c r="J4736">
        <v>-380.15609999999998</v>
      </c>
      <c r="K4736">
        <v>1.1083319999999901</v>
      </c>
      <c r="L4736">
        <v>17.082639999999898</v>
      </c>
      <c r="M4736">
        <v>0.99618399999999996</v>
      </c>
      <c r="N4736">
        <v>0</v>
      </c>
      <c r="O4736">
        <v>-8.6604059999999997E-2</v>
      </c>
      <c r="P4736">
        <v>0.99422919999999904</v>
      </c>
      <c r="Q4736">
        <v>3.4707780000000001E-2</v>
      </c>
      <c r="R4736">
        <v>0.1015074</v>
      </c>
      <c r="S4736">
        <v>2.9938349999999998</v>
      </c>
      <c r="T4736">
        <v>-0.1902856</v>
      </c>
      <c r="U4736">
        <v>0.29718020000000001</v>
      </c>
      <c r="V4736">
        <v>-0.18769710000000001</v>
      </c>
      <c r="W4736">
        <v>4.338554E-2</v>
      </c>
      <c r="X4736">
        <v>0.98126829999999998</v>
      </c>
      <c r="Y4736">
        <v>-0.1840513</v>
      </c>
      <c r="Z4736">
        <v>1.131543E-2</v>
      </c>
      <c r="AA4736">
        <v>0.98285149999999999</v>
      </c>
      <c r="AB4736">
        <v>28</v>
      </c>
      <c r="AC4736">
        <v>17.152999999999899</v>
      </c>
      <c r="AD4736">
        <v>-1.1083354466789901</v>
      </c>
      <c r="AE4736">
        <v>1.7515999999999901</v>
      </c>
      <c r="AF4736">
        <v>-3.2173307057061402</v>
      </c>
      <c r="AG4736">
        <v>-1.1083354466789901</v>
      </c>
      <c r="AH4736">
        <v>16.8671462769674</v>
      </c>
      <c r="AI4736">
        <v>93.693090097445605</v>
      </c>
      <c r="AJ4736">
        <v>100.799182137798</v>
      </c>
      <c r="AK4736">
        <v>17.2069825321251</v>
      </c>
    </row>
    <row r="4737" spans="1:37" x14ac:dyDescent="0.2">
      <c r="A4737" t="str">
        <f>"20200111153746368"</f>
        <v>20200111153746368</v>
      </c>
      <c r="B4737" t="str">
        <f>"1578728266357994"</f>
        <v>1578728266357994</v>
      </c>
      <c r="C4737" t="s">
        <v>37</v>
      </c>
      <c r="D4737">
        <v>5.4863150000000003</v>
      </c>
      <c r="E4737">
        <v>0.49923980000000001</v>
      </c>
      <c r="F4737" t="s">
        <v>56</v>
      </c>
      <c r="G4737">
        <v>-362.74040000000002</v>
      </c>
      <c r="H4737" s="1">
        <v>-3.5615830000000001E-6</v>
      </c>
      <c r="I4737">
        <v>18.88645</v>
      </c>
      <c r="J4737">
        <v>-379.87810000000002</v>
      </c>
      <c r="K4737">
        <v>1.1081589999999999</v>
      </c>
      <c r="L4737">
        <v>17.064060000000001</v>
      </c>
      <c r="M4737">
        <v>0.99660439999999995</v>
      </c>
      <c r="N4737">
        <v>0</v>
      </c>
      <c r="O4737">
        <v>-8.1646369999999996E-2</v>
      </c>
      <c r="P4737">
        <v>0.99386799999999997</v>
      </c>
      <c r="Q4737">
        <v>3.3543049999999998E-2</v>
      </c>
      <c r="R4737">
        <v>0.105363</v>
      </c>
      <c r="S4737">
        <v>2.992432</v>
      </c>
      <c r="T4737">
        <v>-0.19043779999999999</v>
      </c>
      <c r="U4737">
        <v>0.3099365</v>
      </c>
      <c r="V4737">
        <v>-0.18660299999999999</v>
      </c>
      <c r="W4737">
        <v>4.2100209999999999E-2</v>
      </c>
      <c r="X4737">
        <v>0.98153289999999904</v>
      </c>
      <c r="Y4737">
        <v>-0.18336359999999999</v>
      </c>
      <c r="Z4737">
        <v>1.0991549999999999E-2</v>
      </c>
      <c r="AA4737">
        <v>0.98298369999999902</v>
      </c>
      <c r="AB4737">
        <v>28</v>
      </c>
      <c r="AC4737">
        <v>17.137699999999899</v>
      </c>
      <c r="AD4737">
        <v>-1.108162561583</v>
      </c>
      <c r="AE4737">
        <v>1.82238999999999</v>
      </c>
      <c r="AF4737">
        <v>-3.2023753590104498</v>
      </c>
      <c r="AG4737">
        <v>-1.108162561583</v>
      </c>
      <c r="AH4737">
        <v>16.861961874115401</v>
      </c>
      <c r="AI4737">
        <v>93.694208209025504</v>
      </c>
      <c r="AJ4737">
        <v>100.75338419996901</v>
      </c>
      <c r="AK4737">
        <v>17.199098535883</v>
      </c>
    </row>
    <row r="4738" spans="1:37" x14ac:dyDescent="0.2">
      <c r="A4738" t="str">
        <f>"20200111153746391"</f>
        <v>20200111153746391</v>
      </c>
      <c r="B4738" t="str">
        <f>"1578728266377512"</f>
        <v>1578728266377512</v>
      </c>
      <c r="C4738" t="s">
        <v>37</v>
      </c>
      <c r="D4738">
        <v>5.5813889999999997</v>
      </c>
      <c r="E4738">
        <v>0.49902269999999999</v>
      </c>
      <c r="F4738" t="s">
        <v>56</v>
      </c>
      <c r="G4738">
        <v>-362.61540000000002</v>
      </c>
      <c r="H4738" s="1">
        <v>-3.6126809999999998E-6</v>
      </c>
      <c r="I4738">
        <v>18.931260000000002</v>
      </c>
      <c r="J4738">
        <v>-379.5985</v>
      </c>
      <c r="K4738">
        <v>1.1079619999999999</v>
      </c>
      <c r="L4738">
        <v>17.046600000000002</v>
      </c>
      <c r="M4738">
        <v>0.99701489999999904</v>
      </c>
      <c r="N4738">
        <v>0</v>
      </c>
      <c r="O4738">
        <v>-7.6481460000000001E-2</v>
      </c>
      <c r="P4738">
        <v>0.99344709999999903</v>
      </c>
      <c r="Q4738">
        <v>3.1828620000000002E-2</v>
      </c>
      <c r="R4738">
        <v>0.10977149999999999</v>
      </c>
      <c r="S4738">
        <v>2.9906919999999899</v>
      </c>
      <c r="T4738">
        <v>-0.19198479999999901</v>
      </c>
      <c r="U4738">
        <v>0.3234863</v>
      </c>
      <c r="V4738">
        <v>-0.18584349999999999</v>
      </c>
      <c r="W4738">
        <v>4.0367420000000001E-2</v>
      </c>
      <c r="X4738">
        <v>0.98174980000000001</v>
      </c>
      <c r="Y4738">
        <v>-0.18273610000000001</v>
      </c>
      <c r="Z4738">
        <v>1.073439E-2</v>
      </c>
      <c r="AA4738">
        <v>0.98310339999999996</v>
      </c>
      <c r="AB4738">
        <v>28</v>
      </c>
      <c r="AC4738">
        <v>16.983099999999901</v>
      </c>
      <c r="AD4738">
        <v>-1.107965612681</v>
      </c>
      <c r="AE4738">
        <v>1.88465999999999</v>
      </c>
      <c r="AF4738">
        <v>-3.1647981203512701</v>
      </c>
      <c r="AG4738">
        <v>-1.107965612681</v>
      </c>
      <c r="AH4738">
        <v>16.718908565234301</v>
      </c>
      <c r="AI4738">
        <v>93.725491605180594</v>
      </c>
      <c r="AJ4738">
        <v>100.718950530722</v>
      </c>
      <c r="AK4738">
        <v>17.0518456055093</v>
      </c>
    </row>
    <row r="4739" spans="1:37" x14ac:dyDescent="0.2">
      <c r="A4739" t="str">
        <f>"20200111153746412"</f>
        <v>20200111153746412</v>
      </c>
      <c r="B4739" t="str">
        <f>"1578728266407768"</f>
        <v>1578728266407768</v>
      </c>
      <c r="C4739" t="s">
        <v>37</v>
      </c>
      <c r="D4739">
        <v>5.63795</v>
      </c>
      <c r="E4739">
        <v>0.49886340000000001</v>
      </c>
      <c r="F4739" t="s">
        <v>56</v>
      </c>
      <c r="G4739">
        <v>-362.75490000000002</v>
      </c>
      <c r="H4739" s="1">
        <v>-3.5428939999999998E-6</v>
      </c>
      <c r="I4739">
        <v>18.953129999999899</v>
      </c>
      <c r="J4739">
        <v>-379.31970000000001</v>
      </c>
      <c r="K4739">
        <v>1.1077920000000001</v>
      </c>
      <c r="L4739">
        <v>17.030460000000001</v>
      </c>
      <c r="M4739">
        <v>0.99739529999999998</v>
      </c>
      <c r="N4739">
        <v>0</v>
      </c>
      <c r="O4739">
        <v>-7.1369660000000001E-2</v>
      </c>
      <c r="P4739">
        <v>0.99301790000000001</v>
      </c>
      <c r="Q4739">
        <v>3.099319E-2</v>
      </c>
      <c r="R4739">
        <v>0.11382059999999999</v>
      </c>
      <c r="S4739">
        <v>2.98867799999999</v>
      </c>
      <c r="T4739">
        <v>-0.1965935</v>
      </c>
      <c r="U4739">
        <v>0.33828740000000002</v>
      </c>
      <c r="V4739">
        <v>-0.18479189999999901</v>
      </c>
      <c r="W4739">
        <v>3.9482169999999997E-2</v>
      </c>
      <c r="X4739">
        <v>0.98198430000000003</v>
      </c>
      <c r="Y4739">
        <v>-0.18256249999999999</v>
      </c>
      <c r="Z4739">
        <v>1.0655609999999999E-2</v>
      </c>
      <c r="AA4739">
        <v>0.98313649999999997</v>
      </c>
      <c r="AB4739">
        <v>28</v>
      </c>
      <c r="AC4739">
        <v>16.564799999999899</v>
      </c>
      <c r="AD4739">
        <v>-1.1077955428940001</v>
      </c>
      <c r="AE4739">
        <v>1.9226699999999901</v>
      </c>
      <c r="AF4739">
        <v>-3.08643463308379</v>
      </c>
      <c r="AG4739">
        <v>-1.1077955428940001</v>
      </c>
      <c r="AH4739">
        <v>16.313335352033299</v>
      </c>
      <c r="AI4739">
        <v>93.817325633466496</v>
      </c>
      <c r="AJ4739">
        <v>100.713556862511</v>
      </c>
      <c r="AK4739">
        <v>16.639657448909599</v>
      </c>
    </row>
    <row r="4740" spans="1:37" x14ac:dyDescent="0.2">
      <c r="A4740" t="str">
        <f>"20200111153746427"</f>
        <v>20200111153746427</v>
      </c>
      <c r="B4740" t="str">
        <f>"1578728266417528"</f>
        <v>1578728266417528</v>
      </c>
      <c r="C4740" t="s">
        <v>37</v>
      </c>
      <c r="D4740">
        <v>5.6169669999999998</v>
      </c>
      <c r="E4740">
        <v>0.49884909999999999</v>
      </c>
      <c r="F4740" t="s">
        <v>56</v>
      </c>
      <c r="G4740">
        <v>-362.6293</v>
      </c>
      <c r="H4740" s="1">
        <v>-3.5949000000000001E-6</v>
      </c>
      <c r="I4740">
        <v>18.994679999999999</v>
      </c>
      <c r="J4740">
        <v>-379.1275</v>
      </c>
      <c r="K4740">
        <v>1.107702</v>
      </c>
      <c r="L4740">
        <v>17.02008</v>
      </c>
      <c r="M4740">
        <v>0.99763449999999998</v>
      </c>
      <c r="N4740">
        <v>0</v>
      </c>
      <c r="O4740">
        <v>-6.796075E-2</v>
      </c>
      <c r="P4740">
        <v>0.99269909999999995</v>
      </c>
      <c r="Q4740">
        <v>3.0977870000000001E-2</v>
      </c>
      <c r="R4740">
        <v>0.1165722</v>
      </c>
      <c r="S4740">
        <v>2.9870299999999999</v>
      </c>
      <c r="T4740">
        <v>-0.19825889999999999</v>
      </c>
      <c r="U4740">
        <v>0.35153200000000001</v>
      </c>
      <c r="V4740">
        <v>-0.18414910000000001</v>
      </c>
      <c r="W4740">
        <v>3.9405460000000003E-2</v>
      </c>
      <c r="X4740">
        <v>0.98210810000000004</v>
      </c>
      <c r="Y4740">
        <v>-0.1835611</v>
      </c>
      <c r="Z4740">
        <v>1.055671E-2</v>
      </c>
      <c r="AA4740">
        <v>0.98295159999999904</v>
      </c>
      <c r="AB4740">
        <v>28</v>
      </c>
      <c r="AC4740">
        <v>16.498199999999901</v>
      </c>
      <c r="AD4740">
        <v>-1.1077055948999901</v>
      </c>
      <c r="AE4740">
        <v>1.9745999999999899</v>
      </c>
      <c r="AF4740">
        <v>-3.0776462866005598</v>
      </c>
      <c r="AG4740">
        <v>-1.1077055948999901</v>
      </c>
      <c r="AH4740">
        <v>16.253614410439599</v>
      </c>
      <c r="AI4740">
        <v>93.830892034161707</v>
      </c>
      <c r="AJ4740">
        <v>100.722101182142</v>
      </c>
      <c r="AK4740">
        <v>16.579472239901101</v>
      </c>
    </row>
    <row r="4741" spans="1:37" x14ac:dyDescent="0.2">
      <c r="A4741" t="str">
        <f>"20200111153746447"</f>
        <v>20200111153746447</v>
      </c>
      <c r="B4741" t="str">
        <f>"1578728266438027"</f>
        <v>1578728266438027</v>
      </c>
      <c r="C4741" t="s">
        <v>37</v>
      </c>
      <c r="D4741">
        <v>5.5841310000000002</v>
      </c>
      <c r="E4741">
        <v>0.49888149999999998</v>
      </c>
      <c r="F4741" t="s">
        <v>56</v>
      </c>
      <c r="G4741">
        <v>-362.54610000000002</v>
      </c>
      <c r="H4741" s="1">
        <v>-3.6298660000000001E-6</v>
      </c>
      <c r="I4741">
        <v>19.019259999999999</v>
      </c>
      <c r="J4741">
        <v>-378.87950000000001</v>
      </c>
      <c r="K4741">
        <v>1.107623</v>
      </c>
      <c r="L4741">
        <v>17.00751</v>
      </c>
      <c r="M4741">
        <v>0.99791629999999998</v>
      </c>
      <c r="N4741">
        <v>0</v>
      </c>
      <c r="O4741">
        <v>-6.3712870000000005E-2</v>
      </c>
      <c r="P4741">
        <v>0.99233280000000001</v>
      </c>
      <c r="Q4741">
        <v>3.235097E-2</v>
      </c>
      <c r="R4741">
        <v>0.11928809999999999</v>
      </c>
      <c r="S4741">
        <v>2.9860229999999999</v>
      </c>
      <c r="T4741">
        <v>-0.19947799999999999</v>
      </c>
      <c r="U4741">
        <v>0.3600159</v>
      </c>
      <c r="V4741">
        <v>-0.18265580000000001</v>
      </c>
      <c r="W4741">
        <v>4.0694269999999998E-2</v>
      </c>
      <c r="X4741">
        <v>0.98233440000000005</v>
      </c>
      <c r="Y4741">
        <v>-0.1821739</v>
      </c>
      <c r="Z4741">
        <v>1.02947E-2</v>
      </c>
      <c r="AA4741">
        <v>0.98321239999999999</v>
      </c>
      <c r="AB4741">
        <v>29</v>
      </c>
      <c r="AC4741">
        <v>16.333399999999902</v>
      </c>
      <c r="AD4741">
        <v>-1.107626629866</v>
      </c>
      <c r="AE4741">
        <v>2.0117500000000001</v>
      </c>
      <c r="AF4741">
        <v>-3.0346173078836101</v>
      </c>
      <c r="AG4741">
        <v>-1.107626629866</v>
      </c>
      <c r="AH4741">
        <v>16.099102159940202</v>
      </c>
      <c r="AI4741">
        <v>93.867875040667798</v>
      </c>
      <c r="AJ4741">
        <v>100.674777056095</v>
      </c>
      <c r="AK4741">
        <v>16.420013072853699</v>
      </c>
    </row>
    <row r="4742" spans="1:37" x14ac:dyDescent="0.2">
      <c r="A4742" t="str">
        <f>"20200111153746469"</f>
        <v>20200111153746469</v>
      </c>
      <c r="B4742" t="str">
        <f>"1578728266457543"</f>
        <v>1578728266457543</v>
      </c>
      <c r="C4742" t="s">
        <v>37</v>
      </c>
      <c r="D4742">
        <v>5.678712</v>
      </c>
      <c r="E4742">
        <v>0.49887559999999898</v>
      </c>
      <c r="F4742" t="s">
        <v>56</v>
      </c>
      <c r="G4742">
        <v>-362.16579999999999</v>
      </c>
      <c r="H4742" s="1">
        <v>-3.8009619999999999E-6</v>
      </c>
      <c r="I4742">
        <v>19.068169999999999</v>
      </c>
      <c r="J4742">
        <v>-378.60750000000002</v>
      </c>
      <c r="K4742">
        <v>1.107548</v>
      </c>
      <c r="L4742">
        <v>16.99484</v>
      </c>
      <c r="M4742">
        <v>0.99819349999999996</v>
      </c>
      <c r="N4742">
        <v>0</v>
      </c>
      <c r="O4742">
        <v>-5.9235629999999997E-2</v>
      </c>
      <c r="P4742">
        <v>0.99196700000000004</v>
      </c>
      <c r="Q4742">
        <v>3.3949569999999998E-2</v>
      </c>
      <c r="R4742">
        <v>0.1218566</v>
      </c>
      <c r="S4742">
        <v>2.985382</v>
      </c>
      <c r="T4742">
        <v>-0.19784270000000001</v>
      </c>
      <c r="U4742">
        <v>0.36807249999999903</v>
      </c>
      <c r="V4742">
        <v>-0.1807926</v>
      </c>
      <c r="W4742">
        <v>4.2197399999999899E-2</v>
      </c>
      <c r="X4742">
        <v>0.98261559999999903</v>
      </c>
      <c r="Y4742">
        <v>-0.180425</v>
      </c>
      <c r="Z4742">
        <v>9.8579889999999993E-3</v>
      </c>
      <c r="AA4742">
        <v>0.98353930000000001</v>
      </c>
      <c r="AB4742">
        <v>29</v>
      </c>
      <c r="AC4742">
        <v>16.441700000000001</v>
      </c>
      <c r="AD4742">
        <v>-1.107551800962</v>
      </c>
      <c r="AE4742">
        <v>2.0733299999999999</v>
      </c>
      <c r="AF4742">
        <v>-3.03013791066041</v>
      </c>
      <c r="AG4742">
        <v>-1.107551800962</v>
      </c>
      <c r="AH4742">
        <v>16.2175663543387</v>
      </c>
      <c r="AI4742">
        <v>93.840594984073505</v>
      </c>
      <c r="AJ4742">
        <v>100.583283211961</v>
      </c>
      <c r="AK4742">
        <v>16.535351983154602</v>
      </c>
    </row>
    <row r="4743" spans="1:37" x14ac:dyDescent="0.2">
      <c r="A4743" t="str">
        <f>"20200111153746484"</f>
        <v>20200111153746484</v>
      </c>
      <c r="B4743" t="str">
        <f>"1578728266478041"</f>
        <v>1578728266478041</v>
      </c>
      <c r="C4743" t="s">
        <v>37</v>
      </c>
      <c r="D4743">
        <v>5.6377389999999998</v>
      </c>
      <c r="E4743">
        <v>0.49878809999999901</v>
      </c>
      <c r="F4743" t="s">
        <v>56</v>
      </c>
      <c r="G4743">
        <v>-361.48719999999997</v>
      </c>
      <c r="H4743" s="1">
        <v>-4.1069109999999997E-6</v>
      </c>
      <c r="I4743">
        <v>19.151800000000001</v>
      </c>
      <c r="J4743">
        <v>-378.40859999999998</v>
      </c>
      <c r="K4743">
        <v>1.107486</v>
      </c>
      <c r="L4743">
        <v>16.986239999999999</v>
      </c>
      <c r="M4743">
        <v>0.99837819999999899</v>
      </c>
      <c r="N4743">
        <v>0</v>
      </c>
      <c r="O4743">
        <v>-5.6057170000000003E-2</v>
      </c>
      <c r="P4743">
        <v>0.99161160000000004</v>
      </c>
      <c r="Q4743">
        <v>3.5084199999999899E-2</v>
      </c>
      <c r="R4743">
        <v>0.12440180000000001</v>
      </c>
      <c r="S4743">
        <v>2.9847109999999999</v>
      </c>
      <c r="T4743">
        <v>-0.19308699999999901</v>
      </c>
      <c r="U4743">
        <v>0.37603759999999897</v>
      </c>
      <c r="V4743">
        <v>-0.1801856</v>
      </c>
      <c r="W4743">
        <v>4.3253100000000003E-2</v>
      </c>
      <c r="X4743">
        <v>0.98268120000000003</v>
      </c>
      <c r="Y4743">
        <v>-0.17993709999999999</v>
      </c>
      <c r="Z4743">
        <v>9.4017330000000007E-3</v>
      </c>
      <c r="AA4743">
        <v>0.98363319999999999</v>
      </c>
      <c r="AB4743">
        <v>29</v>
      </c>
      <c r="AC4743">
        <v>16.921399999999998</v>
      </c>
      <c r="AD4743">
        <v>-1.1074901069109999</v>
      </c>
      <c r="AE4743">
        <v>2.1655600000000002</v>
      </c>
      <c r="AF4743">
        <v>-3.0977115224061502</v>
      </c>
      <c r="AG4743">
        <v>-1.1074901069109999</v>
      </c>
      <c r="AH4743">
        <v>16.702992663766</v>
      </c>
      <c r="AI4743">
        <v>93.730017598565695</v>
      </c>
      <c r="AJ4743">
        <v>100.506615365304</v>
      </c>
      <c r="AK4743">
        <v>17.023874850890198</v>
      </c>
    </row>
    <row r="4744" spans="1:37" x14ac:dyDescent="0.2">
      <c r="A4744" t="str">
        <f>"20200111153746502"</f>
        <v>20200111153746502</v>
      </c>
      <c r="B4744" t="str">
        <f>"1578728266497561"</f>
        <v>1578728266497561</v>
      </c>
      <c r="C4744" t="s">
        <v>37</v>
      </c>
      <c r="D4744">
        <v>5.6873930000000001</v>
      </c>
      <c r="E4744">
        <v>0.4987354</v>
      </c>
      <c r="F4744" t="s">
        <v>56</v>
      </c>
      <c r="G4744">
        <v>-360.85489999999999</v>
      </c>
      <c r="H4744" s="1">
        <v>-4.3888040000000003E-6</v>
      </c>
      <c r="I4744">
        <v>19.247620000000001</v>
      </c>
      <c r="J4744">
        <v>-378.18900000000002</v>
      </c>
      <c r="K4744">
        <v>1.1074139999999999</v>
      </c>
      <c r="L4744">
        <v>16.977419999999999</v>
      </c>
      <c r="M4744">
        <v>0.99856590000000001</v>
      </c>
      <c r="N4744">
        <v>0</v>
      </c>
      <c r="O4744">
        <v>-5.2634819999999999E-2</v>
      </c>
      <c r="P4744">
        <v>0.99124809999999997</v>
      </c>
      <c r="Q4744">
        <v>3.675842E-2</v>
      </c>
      <c r="R4744">
        <v>0.1267934</v>
      </c>
      <c r="S4744">
        <v>2.9838559999999998</v>
      </c>
      <c r="T4744">
        <v>-0.18825549999999999</v>
      </c>
      <c r="U4744">
        <v>0.3843994</v>
      </c>
      <c r="V4744">
        <v>-0.17918979999999901</v>
      </c>
      <c r="W4744">
        <v>4.4843719999999997E-2</v>
      </c>
      <c r="X4744">
        <v>0.982792</v>
      </c>
      <c r="Y4744">
        <v>-0.179344899999999</v>
      </c>
      <c r="Z4744">
        <v>8.9344449999999992E-3</v>
      </c>
      <c r="AA4744">
        <v>0.98374569999999995</v>
      </c>
      <c r="AB4744">
        <v>29</v>
      </c>
      <c r="AC4744">
        <v>17.334099999999999</v>
      </c>
      <c r="AD4744">
        <v>-1.1074183888039999</v>
      </c>
      <c r="AE4744">
        <v>2.2701999999999898</v>
      </c>
      <c r="AF4744">
        <v>-3.1667664820862602</v>
      </c>
      <c r="AG4744">
        <v>-1.1074183888039999</v>
      </c>
      <c r="AH4744">
        <v>17.121867728062401</v>
      </c>
      <c r="AI4744">
        <v>93.639105960948896</v>
      </c>
      <c r="AJ4744">
        <v>100.478697427687</v>
      </c>
      <c r="AK4744">
        <v>17.447439351870301</v>
      </c>
    </row>
    <row r="4745" spans="1:37" x14ac:dyDescent="0.2">
      <c r="A4745" t="str">
        <f>"20200111153746525"</f>
        <v>20200111153746525</v>
      </c>
      <c r="B4745" t="str">
        <f>"1578728266518056"</f>
        <v>1578728266518056</v>
      </c>
      <c r="C4745" t="s">
        <v>37</v>
      </c>
      <c r="D4745">
        <v>5.727055</v>
      </c>
      <c r="E4745">
        <v>0.49871670000000001</v>
      </c>
      <c r="F4745" t="s">
        <v>56</v>
      </c>
      <c r="G4745">
        <v>-360.08179999999999</v>
      </c>
      <c r="H4745" s="1">
        <v>-4.7349469999999996E-6</v>
      </c>
      <c r="I4745">
        <v>19.356449999999999</v>
      </c>
      <c r="J4745">
        <v>-377.88929999999999</v>
      </c>
      <c r="K4745">
        <v>1.1073</v>
      </c>
      <c r="L4745">
        <v>16.96649</v>
      </c>
      <c r="M4745">
        <v>0.99879459999999998</v>
      </c>
      <c r="N4745">
        <v>0</v>
      </c>
      <c r="O4745">
        <v>-4.8132590000000003E-2</v>
      </c>
      <c r="P4745">
        <v>0.99080900000000005</v>
      </c>
      <c r="Q4745">
        <v>3.9040449999999997E-2</v>
      </c>
      <c r="R4745">
        <v>0.1295116</v>
      </c>
      <c r="S4745">
        <v>2.9830930000000002</v>
      </c>
      <c r="T4745">
        <v>-0.18244270000000001</v>
      </c>
      <c r="U4745">
        <v>0.39193729999999999</v>
      </c>
      <c r="V4745">
        <v>-0.1774529</v>
      </c>
      <c r="W4745">
        <v>4.7017699999999898E-2</v>
      </c>
      <c r="X4745">
        <v>0.98300549999999998</v>
      </c>
      <c r="Y4745">
        <v>-0.17742539999999901</v>
      </c>
      <c r="Z4745">
        <v>8.3274079999999997E-3</v>
      </c>
      <c r="AA4745">
        <v>0.98409899999999995</v>
      </c>
      <c r="AB4745">
        <v>29</v>
      </c>
      <c r="AC4745">
        <v>17.807500000000001</v>
      </c>
      <c r="AD4745">
        <v>-1.107304734947</v>
      </c>
      <c r="AE4745">
        <v>2.3899599999999901</v>
      </c>
      <c r="AF4745">
        <v>-3.23207446385597</v>
      </c>
      <c r="AG4745">
        <v>-1.107304734947</v>
      </c>
      <c r="AH4745">
        <v>17.604951373086902</v>
      </c>
      <c r="AI4745">
        <v>93.540002439309603</v>
      </c>
      <c r="AJ4745">
        <v>100.403026444693</v>
      </c>
      <c r="AK4745">
        <v>17.933397390475101</v>
      </c>
    </row>
    <row r="4746" spans="1:37" x14ac:dyDescent="0.2">
      <c r="A4746" t="str">
        <f>"20200111153746548"</f>
        <v>20200111153746548</v>
      </c>
      <c r="B4746" t="str">
        <f>"1578728266537575"</f>
        <v>1578728266537575</v>
      </c>
      <c r="C4746" t="s">
        <v>37</v>
      </c>
      <c r="D4746">
        <v>5.8134600000000001</v>
      </c>
      <c r="E4746">
        <v>0.49886970000000003</v>
      </c>
      <c r="F4746" t="s">
        <v>39</v>
      </c>
      <c r="G4746">
        <v>-358.93079999999998</v>
      </c>
      <c r="H4746" s="1">
        <v>-4.5969470000000001E-7</v>
      </c>
      <c r="I4746">
        <v>19.510870000000001</v>
      </c>
      <c r="J4746">
        <v>-377.5933</v>
      </c>
      <c r="K4746">
        <v>1.107164</v>
      </c>
      <c r="L4746">
        <v>16.956849999999999</v>
      </c>
      <c r="M4746">
        <v>0.99899280000000001</v>
      </c>
      <c r="N4746">
        <v>0</v>
      </c>
      <c r="O4746">
        <v>-4.3866889999999999E-2</v>
      </c>
      <c r="P4746">
        <v>0.99030090000000004</v>
      </c>
      <c r="Q4746">
        <v>3.8387049999999999E-2</v>
      </c>
      <c r="R4746">
        <v>0.13353139999999999</v>
      </c>
      <c r="S4746">
        <v>2.982361</v>
      </c>
      <c r="T4746">
        <v>-0.17418910000000001</v>
      </c>
      <c r="U4746">
        <v>0.40026859999999997</v>
      </c>
      <c r="V4746">
        <v>-0.17722349999999901</v>
      </c>
      <c r="W4746">
        <v>4.6239879999999997E-2</v>
      </c>
      <c r="X4746">
        <v>0.98308379999999995</v>
      </c>
      <c r="Y4746">
        <v>-0.17600170000000001</v>
      </c>
      <c r="Z4746">
        <v>7.6624769999999896E-3</v>
      </c>
      <c r="AA4746">
        <v>0.98436000000000001</v>
      </c>
      <c r="AB4746">
        <v>29</v>
      </c>
      <c r="AC4746">
        <v>18.662500000000001</v>
      </c>
      <c r="AD4746">
        <v>-1.1071644596946999</v>
      </c>
      <c r="AE4746">
        <v>2.55402</v>
      </c>
      <c r="AF4746">
        <v>-3.3586599603867602</v>
      </c>
      <c r="AG4746">
        <v>-1.1071644596946999</v>
      </c>
      <c r="AH4746">
        <v>18.468685606632899</v>
      </c>
      <c r="AI4746">
        <v>93.375441996464701</v>
      </c>
      <c r="AJ4746">
        <v>100.307000006938</v>
      </c>
      <c r="AK4746">
        <v>18.804221810725501</v>
      </c>
    </row>
    <row r="4747" spans="1:37" x14ac:dyDescent="0.2">
      <c r="A4747" t="str">
        <f>"20200111153746569"</f>
        <v>20200111153746569</v>
      </c>
      <c r="B4747" t="str">
        <f>"1578728266558074"</f>
        <v>1578728266558074</v>
      </c>
      <c r="C4747" t="s">
        <v>37</v>
      </c>
      <c r="D4747">
        <v>5.6911379999999996</v>
      </c>
      <c r="E4747">
        <v>0.49905490000000002</v>
      </c>
      <c r="F4747" t="s">
        <v>39</v>
      </c>
      <c r="G4747">
        <v>-359.23480000000001</v>
      </c>
      <c r="H4747" s="1">
        <v>-3.3320539999999999E-7</v>
      </c>
      <c r="I4747">
        <v>19.488610000000001</v>
      </c>
      <c r="J4747">
        <v>-377.31830000000002</v>
      </c>
      <c r="K4747">
        <v>1.1070169999999999</v>
      </c>
      <c r="L4747">
        <v>16.948789999999999</v>
      </c>
      <c r="M4747">
        <v>0.99915339999999997</v>
      </c>
      <c r="N4747">
        <v>0</v>
      </c>
      <c r="O4747">
        <v>-4.008627E-2</v>
      </c>
      <c r="P4747">
        <v>0.98988519999999902</v>
      </c>
      <c r="Q4747">
        <v>3.6752090000000001E-2</v>
      </c>
      <c r="R4747">
        <v>0.13702739999999999</v>
      </c>
      <c r="S4747">
        <v>2.980896</v>
      </c>
      <c r="T4747">
        <v>-0.1797726</v>
      </c>
      <c r="U4747">
        <v>0.41110229999999998</v>
      </c>
      <c r="V4747">
        <v>-0.17694749999999901</v>
      </c>
      <c r="W4747">
        <v>4.4481689999999997E-2</v>
      </c>
      <c r="X4747">
        <v>0.98321460000000005</v>
      </c>
      <c r="Y4747">
        <v>-0.17583599999999999</v>
      </c>
      <c r="Z4747">
        <v>7.6777490000000002E-3</v>
      </c>
      <c r="AA4747">
        <v>0.98438950000000003</v>
      </c>
      <c r="AB4747">
        <v>29</v>
      </c>
      <c r="AC4747">
        <v>18.083500000000001</v>
      </c>
      <c r="AD4747">
        <v>-1.1070173332053901</v>
      </c>
      <c r="AE4747">
        <v>2.5398200000000002</v>
      </c>
      <c r="AF4747">
        <v>-3.2507628212578599</v>
      </c>
      <c r="AG4747">
        <v>-1.1070173332053901</v>
      </c>
      <c r="AH4747">
        <v>17.901359428813802</v>
      </c>
      <c r="AI4747">
        <v>93.481856288889702</v>
      </c>
      <c r="AJ4747">
        <v>100.292360768561</v>
      </c>
      <c r="AK4747">
        <v>18.227770453230701</v>
      </c>
    </row>
    <row r="4748" spans="1:37" x14ac:dyDescent="0.2">
      <c r="A4748" t="str">
        <f>"20200111153746590"</f>
        <v>20200111153746590</v>
      </c>
      <c r="B4748" t="str">
        <f>"1578728266587927"</f>
        <v>1578728266587927</v>
      </c>
      <c r="C4748" t="s">
        <v>37</v>
      </c>
      <c r="D4748">
        <v>5.9497359999999997</v>
      </c>
      <c r="E4748">
        <v>0.49923980000000001</v>
      </c>
      <c r="F4748" t="s">
        <v>39</v>
      </c>
      <c r="G4748">
        <v>-359.79590000000002</v>
      </c>
      <c r="H4748" s="1">
        <v>-1.0775609999999999E-7</v>
      </c>
      <c r="I4748">
        <v>19.419879999999999</v>
      </c>
      <c r="J4748">
        <v>-377.0453</v>
      </c>
      <c r="K4748">
        <v>1.1068480000000001</v>
      </c>
      <c r="L4748">
        <v>16.941589999999898</v>
      </c>
      <c r="M4748">
        <v>0.99929140000000005</v>
      </c>
      <c r="N4748">
        <v>0</v>
      </c>
      <c r="O4748">
        <v>-3.6538269999999998E-2</v>
      </c>
      <c r="P4748">
        <v>0.98939999999999995</v>
      </c>
      <c r="Q4748">
        <v>3.4914720000000003E-2</v>
      </c>
      <c r="R4748">
        <v>0.14095750000000001</v>
      </c>
      <c r="S4748">
        <v>2.979492</v>
      </c>
      <c r="T4748">
        <v>-0.1882363</v>
      </c>
      <c r="U4748">
        <v>0.42019649999999997</v>
      </c>
      <c r="V4748">
        <v>-0.1773322</v>
      </c>
      <c r="W4748">
        <v>4.2508959999999998E-2</v>
      </c>
      <c r="X4748">
        <v>0.98323259999999901</v>
      </c>
      <c r="Y4748">
        <v>-0.17532149999999999</v>
      </c>
      <c r="Z4748">
        <v>7.8014449999999997E-3</v>
      </c>
      <c r="AA4748">
        <v>0.98448029999999997</v>
      </c>
      <c r="AB4748">
        <v>29</v>
      </c>
      <c r="AC4748">
        <v>17.249399999999898</v>
      </c>
      <c r="AD4748">
        <v>-1.1068481077561001</v>
      </c>
      <c r="AE4748">
        <v>2.4782899999999999</v>
      </c>
      <c r="AF4748">
        <v>-3.0944404564341301</v>
      </c>
      <c r="AG4748">
        <v>-1.1068481077561001</v>
      </c>
      <c r="AH4748">
        <v>17.078427388869098</v>
      </c>
      <c r="AI4748">
        <v>93.648889439311105</v>
      </c>
      <c r="AJ4748">
        <v>100.270002845717</v>
      </c>
      <c r="AK4748">
        <v>17.391761168695201</v>
      </c>
    </row>
    <row r="4749" spans="1:37" x14ac:dyDescent="0.2">
      <c r="A4749" t="str">
        <f>"20200111153746615"</f>
        <v>20200111153746615</v>
      </c>
      <c r="B4749" t="str">
        <f>"1578728266608424"</f>
        <v>1578728266608424</v>
      </c>
      <c r="C4749" t="s">
        <v>37</v>
      </c>
      <c r="D4749">
        <v>5.7694729999999996</v>
      </c>
      <c r="E4749">
        <v>0.49932900000000002</v>
      </c>
      <c r="F4749" t="s">
        <v>56</v>
      </c>
      <c r="G4749">
        <v>-360.24489999999997</v>
      </c>
      <c r="H4749" s="1">
        <v>-4.6554560000000002E-6</v>
      </c>
      <c r="I4749">
        <v>19.369769999999999</v>
      </c>
      <c r="J4749">
        <v>-376.74130000000002</v>
      </c>
      <c r="K4749">
        <v>1.106633</v>
      </c>
      <c r="L4749">
        <v>16.934419999999999</v>
      </c>
      <c r="M4749">
        <v>0.99942140000000002</v>
      </c>
      <c r="N4749">
        <v>0</v>
      </c>
      <c r="O4749">
        <v>-3.2858249999999999E-2</v>
      </c>
      <c r="P4749">
        <v>0.98890080000000002</v>
      </c>
      <c r="Q4749">
        <v>3.3457029999999999E-2</v>
      </c>
      <c r="R4749">
        <v>0.14476320000000001</v>
      </c>
      <c r="S4749">
        <v>2.977814</v>
      </c>
      <c r="T4749">
        <v>-0.19618679999999999</v>
      </c>
      <c r="U4749">
        <v>0.43038939999999998</v>
      </c>
      <c r="V4749">
        <v>-0.1774646</v>
      </c>
      <c r="W4749">
        <v>4.0901519999999997E-2</v>
      </c>
      <c r="X4749">
        <v>0.98327679999999995</v>
      </c>
      <c r="Y4749">
        <v>-0.17504800000000001</v>
      </c>
      <c r="Z4749">
        <v>7.8827840000000003E-3</v>
      </c>
      <c r="AA4749">
        <v>0.98452839999999997</v>
      </c>
      <c r="AB4749">
        <v>29</v>
      </c>
      <c r="AC4749">
        <v>16.496400000000001</v>
      </c>
      <c r="AD4749">
        <v>-1.106637655456</v>
      </c>
      <c r="AE4749">
        <v>2.4353500000000001</v>
      </c>
      <c r="AF4749">
        <v>-2.9630487034472699</v>
      </c>
      <c r="AG4749">
        <v>-1.106637655456</v>
      </c>
      <c r="AH4749">
        <v>16.335521953951499</v>
      </c>
      <c r="AI4749">
        <v>93.813499581401203</v>
      </c>
      <c r="AJ4749">
        <v>100.280921426264</v>
      </c>
      <c r="AK4749">
        <v>16.6389176939939</v>
      </c>
    </row>
    <row r="4750" spans="1:37" x14ac:dyDescent="0.2">
      <c r="A4750" t="str">
        <f>"20200111153746637"</f>
        <v>20200111153746637</v>
      </c>
      <c r="B4750" t="str">
        <f>"1578728266627943"</f>
        <v>1578728266627943</v>
      </c>
      <c r="C4750" t="s">
        <v>37</v>
      </c>
      <c r="D4750">
        <v>5.7199839999999904</v>
      </c>
      <c r="E4750">
        <v>0.49941990000000003</v>
      </c>
      <c r="F4750" t="s">
        <v>56</v>
      </c>
      <c r="G4750">
        <v>-360.44929999999999</v>
      </c>
      <c r="H4750" s="1">
        <v>-4.5624499999999998E-6</v>
      </c>
      <c r="I4750">
        <v>19.349589999999999</v>
      </c>
      <c r="J4750">
        <v>-376.43520000000001</v>
      </c>
      <c r="K4750">
        <v>1.1064000000000001</v>
      </c>
      <c r="L4750">
        <v>16.92801</v>
      </c>
      <c r="M4750">
        <v>0.99952919999999901</v>
      </c>
      <c r="N4750">
        <v>0</v>
      </c>
      <c r="O4750">
        <v>-2.9459530000000001E-2</v>
      </c>
      <c r="P4750">
        <v>0.98844609999999899</v>
      </c>
      <c r="Q4750">
        <v>3.2550049999999997E-2</v>
      </c>
      <c r="R4750">
        <v>0.1480369</v>
      </c>
      <c r="S4750">
        <v>2.9759519999999999</v>
      </c>
      <c r="T4750">
        <v>-0.20214179999999901</v>
      </c>
      <c r="U4750">
        <v>0.4411621</v>
      </c>
      <c r="V4750">
        <v>-0.17734920000000001</v>
      </c>
      <c r="W4750">
        <v>3.9858099999999903E-2</v>
      </c>
      <c r="X4750">
        <v>0.98334049999999995</v>
      </c>
      <c r="Y4750">
        <v>-0.175256299999999</v>
      </c>
      <c r="Z4750">
        <v>7.9019480000000007E-3</v>
      </c>
      <c r="AA4750">
        <v>0.98449120000000001</v>
      </c>
      <c r="AB4750">
        <v>29</v>
      </c>
      <c r="AC4750">
        <v>15.985900000000001</v>
      </c>
      <c r="AD4750">
        <v>-1.1064045624500001</v>
      </c>
      <c r="AE4750">
        <v>2.4215799999999899</v>
      </c>
      <c r="AF4750">
        <v>-2.8780063313320401</v>
      </c>
      <c r="AG4750">
        <v>-1.1064045624500001</v>
      </c>
      <c r="AH4750">
        <v>15.833475805758001</v>
      </c>
      <c r="AI4750">
        <v>93.932955572011807</v>
      </c>
      <c r="AJ4750">
        <v>100.302018060563</v>
      </c>
      <c r="AK4750">
        <v>16.130902255934799</v>
      </c>
    </row>
    <row r="4751" spans="1:37" x14ac:dyDescent="0.2">
      <c r="A4751" t="str">
        <f>"20200111153746661"</f>
        <v>20200111153746661</v>
      </c>
      <c r="B4751" t="str">
        <f>"1578728266658201"</f>
        <v>1578728266658201</v>
      </c>
      <c r="C4751" t="s">
        <v>37</v>
      </c>
      <c r="D4751">
        <v>5.7699920000000002</v>
      </c>
      <c r="E4751">
        <v>0.49976359999999997</v>
      </c>
      <c r="F4751" t="s">
        <v>56</v>
      </c>
      <c r="G4751">
        <v>-360.66899999999998</v>
      </c>
      <c r="H4751" s="1">
        <v>-4.4647129999999902E-6</v>
      </c>
      <c r="I4751">
        <v>19.314920000000001</v>
      </c>
      <c r="J4751">
        <v>-376.14150000000001</v>
      </c>
      <c r="K4751">
        <v>1.1061749999999999</v>
      </c>
      <c r="L4751">
        <v>16.92249</v>
      </c>
      <c r="M4751">
        <v>0.99961350000000004</v>
      </c>
      <c r="N4751">
        <v>0</v>
      </c>
      <c r="O4751">
        <v>-2.6519850000000001E-2</v>
      </c>
      <c r="P4751">
        <v>0.98804879999999995</v>
      </c>
      <c r="Q4751">
        <v>3.2261779999999997E-2</v>
      </c>
      <c r="R4751">
        <v>0.15072839999999901</v>
      </c>
      <c r="S4751">
        <v>2.9744570000000001</v>
      </c>
      <c r="T4751">
        <v>-0.2087359</v>
      </c>
      <c r="U4751">
        <v>0.45031739999999998</v>
      </c>
      <c r="V4751">
        <v>-0.17711150000000001</v>
      </c>
      <c r="W4751">
        <v>3.9454059999999999E-2</v>
      </c>
      <c r="X4751">
        <v>0.98339959999999904</v>
      </c>
      <c r="Y4751">
        <v>-0.17537249999999999</v>
      </c>
      <c r="Z4751">
        <v>7.9603390000000003E-3</v>
      </c>
      <c r="AA4751">
        <v>0.98446999999999996</v>
      </c>
      <c r="AB4751">
        <v>29</v>
      </c>
      <c r="AC4751">
        <v>15.472499999999901</v>
      </c>
      <c r="AD4751">
        <v>-1.1061794647130001</v>
      </c>
      <c r="AE4751">
        <v>2.3924300000000001</v>
      </c>
      <c r="AF4751">
        <v>-2.7880135584269699</v>
      </c>
      <c r="AG4751">
        <v>-1.1061794647130001</v>
      </c>
      <c r="AH4751">
        <v>15.327096777082099</v>
      </c>
      <c r="AI4751">
        <v>94.061545990791998</v>
      </c>
      <c r="AJ4751">
        <v>100.30943725671899</v>
      </c>
      <c r="AK4751">
        <v>15.6178278971234</v>
      </c>
    </row>
    <row r="4752" spans="1:37" x14ac:dyDescent="0.2">
      <c r="A4752" t="str">
        <f>"20200111153746681"</f>
        <v>20200111153746681</v>
      </c>
      <c r="B4752" t="str">
        <f>"1578728266677725"</f>
        <v>1578728266677725</v>
      </c>
      <c r="C4752" t="s">
        <v>37</v>
      </c>
      <c r="D4752">
        <v>5.7786400000000002</v>
      </c>
      <c r="E4752">
        <v>0.49981049999999899</v>
      </c>
      <c r="F4752" t="s">
        <v>56</v>
      </c>
      <c r="G4752">
        <v>-360.72649999999999</v>
      </c>
      <c r="H4752" s="1">
        <v>-4.4428460000000001E-6</v>
      </c>
      <c r="I4752">
        <v>19.284960000000002</v>
      </c>
      <c r="J4752">
        <v>-375.86619999999999</v>
      </c>
      <c r="K4752">
        <v>1.1059680000000001</v>
      </c>
      <c r="L4752">
        <v>16.91779</v>
      </c>
      <c r="M4752">
        <v>0.99967719999999904</v>
      </c>
      <c r="N4752">
        <v>0</v>
      </c>
      <c r="O4752">
        <v>-2.4060399999999999E-2</v>
      </c>
      <c r="P4752">
        <v>0.98763529999999999</v>
      </c>
      <c r="Q4752">
        <v>3.2097109999999998E-2</v>
      </c>
      <c r="R4752">
        <v>0.153449</v>
      </c>
      <c r="S4752">
        <v>2.9737239999999998</v>
      </c>
      <c r="T4752">
        <v>-0.21339520000000001</v>
      </c>
      <c r="U4752">
        <v>0.45574949999999997</v>
      </c>
      <c r="V4752">
        <v>-0.1773787</v>
      </c>
      <c r="W4752">
        <v>3.9192949999999997E-2</v>
      </c>
      <c r="X4752">
        <v>0.98336199999999996</v>
      </c>
      <c r="Y4752">
        <v>-0.17472979999999999</v>
      </c>
      <c r="Z4752">
        <v>7.9401839999999994E-3</v>
      </c>
      <c r="AA4752">
        <v>0.98458440000000003</v>
      </c>
      <c r="AB4752">
        <v>29</v>
      </c>
      <c r="AC4752">
        <v>15.139699999999999</v>
      </c>
      <c r="AD4752">
        <v>-1.105972442846</v>
      </c>
      <c r="AE4752">
        <v>2.3671700000000002</v>
      </c>
      <c r="AF4752">
        <v>-2.71661287132466</v>
      </c>
      <c r="AG4752">
        <v>-1.105972442846</v>
      </c>
      <c r="AH4752">
        <v>15.0002219123913</v>
      </c>
      <c r="AI4752">
        <v>94.149551080135197</v>
      </c>
      <c r="AJ4752">
        <v>100.265278221938</v>
      </c>
      <c r="AK4752">
        <v>15.2842997208889</v>
      </c>
    </row>
    <row r="4753" spans="1:37" x14ac:dyDescent="0.2">
      <c r="A4753" t="str">
        <f>"20200111153746705"</f>
        <v>20200111153746705</v>
      </c>
      <c r="B4753" t="str">
        <f>"1578728266698221"</f>
        <v>1578728266698221</v>
      </c>
      <c r="C4753" t="s">
        <v>37</v>
      </c>
      <c r="D4753">
        <v>5.7741550000000004</v>
      </c>
      <c r="E4753">
        <v>0.50009300000000001</v>
      </c>
      <c r="F4753" t="s">
        <v>56</v>
      </c>
      <c r="G4753">
        <v>-360.63839999999999</v>
      </c>
      <c r="H4753" s="1">
        <v>-4.483304E-6</v>
      </c>
      <c r="I4753">
        <v>19.291889999999999</v>
      </c>
      <c r="J4753">
        <v>-375.56330000000003</v>
      </c>
      <c r="K4753">
        <v>1.105766</v>
      </c>
      <c r="L4753">
        <v>16.913150000000002</v>
      </c>
      <c r="M4753">
        <v>0.99973449999999997</v>
      </c>
      <c r="N4753">
        <v>0</v>
      </c>
      <c r="O4753">
        <v>-2.1616590000000001E-2</v>
      </c>
      <c r="P4753">
        <v>0.98709169999999902</v>
      </c>
      <c r="Q4753">
        <v>3.2667250000000002E-2</v>
      </c>
      <c r="R4753">
        <v>0.15679000000000001</v>
      </c>
      <c r="S4753">
        <v>2.9725649999999999</v>
      </c>
      <c r="T4753">
        <v>-0.2158921</v>
      </c>
      <c r="U4753">
        <v>0.46343990000000002</v>
      </c>
      <c r="V4753">
        <v>-0.17828550000000001</v>
      </c>
      <c r="W4753">
        <v>3.9658939999999997E-2</v>
      </c>
      <c r="X4753">
        <v>0.98317929999999998</v>
      </c>
      <c r="Y4753">
        <v>-0.1748624</v>
      </c>
      <c r="Z4753">
        <v>7.8628389999999999E-3</v>
      </c>
      <c r="AA4753">
        <v>0.98456149999999998</v>
      </c>
      <c r="AB4753">
        <v>30</v>
      </c>
      <c r="AC4753">
        <v>14.924899999999999</v>
      </c>
      <c r="AD4753">
        <v>-1.1057704833040001</v>
      </c>
      <c r="AE4753">
        <v>2.3787399999999899</v>
      </c>
      <c r="AF4753">
        <v>-2.6864388219942201</v>
      </c>
      <c r="AG4753">
        <v>-1.1057704833040001</v>
      </c>
      <c r="AH4753">
        <v>14.7908123849378</v>
      </c>
      <c r="AI4753">
        <v>94.206939773431102</v>
      </c>
      <c r="AJ4753">
        <v>100.294347505441</v>
      </c>
      <c r="AK4753">
        <v>15.073414109368001</v>
      </c>
    </row>
    <row r="4754" spans="1:37" x14ac:dyDescent="0.2">
      <c r="A4754" t="str">
        <f>"20200111153746726"</f>
        <v>20200111153746726</v>
      </c>
      <c r="B4754" t="str">
        <f>"1578728266717740"</f>
        <v>1578728266717740</v>
      </c>
      <c r="C4754" t="s">
        <v>37</v>
      </c>
      <c r="D4754">
        <v>5.8425449999999897</v>
      </c>
      <c r="E4754">
        <v>0.50025529999999996</v>
      </c>
      <c r="F4754" t="s">
        <v>56</v>
      </c>
      <c r="G4754">
        <v>-360.37970000000001</v>
      </c>
      <c r="H4754" s="1">
        <v>-4.6003980000000004E-6</v>
      </c>
      <c r="I4754">
        <v>19.321169999999999</v>
      </c>
      <c r="J4754">
        <v>-375.26339999999999</v>
      </c>
      <c r="K4754">
        <v>1.1056010000000001</v>
      </c>
      <c r="L4754">
        <v>16.909029999999898</v>
      </c>
      <c r="M4754">
        <v>0.99978060000000002</v>
      </c>
      <c r="N4754">
        <v>0</v>
      </c>
      <c r="O4754">
        <v>-1.9432720000000001E-2</v>
      </c>
      <c r="P4754">
        <v>0.98662919999999998</v>
      </c>
      <c r="Q4754">
        <v>3.3378770000000002E-2</v>
      </c>
      <c r="R4754">
        <v>0.15952749999999999</v>
      </c>
      <c r="S4754">
        <v>2.9714659999999999</v>
      </c>
      <c r="T4754">
        <v>-0.21640090000000001</v>
      </c>
      <c r="U4754">
        <v>0.47125240000000002</v>
      </c>
      <c r="V4754">
        <v>-0.17885119999999999</v>
      </c>
      <c r="W4754">
        <v>4.0275949999999998E-2</v>
      </c>
      <c r="X4754">
        <v>0.98305140000000002</v>
      </c>
      <c r="Y4754">
        <v>-0.17529539999999999</v>
      </c>
      <c r="Z4754">
        <v>7.7403019999999897E-3</v>
      </c>
      <c r="AA4754">
        <v>0.98448539999999995</v>
      </c>
      <c r="AB4754">
        <v>30</v>
      </c>
      <c r="AC4754">
        <v>14.8836999999999</v>
      </c>
      <c r="AD4754">
        <v>-1.1056056003979999</v>
      </c>
      <c r="AE4754">
        <v>2.41214</v>
      </c>
      <c r="AF4754">
        <v>-2.6864795939793602</v>
      </c>
      <c r="AG4754">
        <v>-1.1056056003979999</v>
      </c>
      <c r="AH4754">
        <v>14.7546813438996</v>
      </c>
      <c r="AI4754">
        <v>94.216247006869906</v>
      </c>
      <c r="AJ4754">
        <v>100.319168442536</v>
      </c>
      <c r="AK4754">
        <v>15.0379572386849</v>
      </c>
    </row>
    <row r="4755" spans="1:37" x14ac:dyDescent="0.2">
      <c r="A4755" t="str">
        <f>"20200111153746748"</f>
        <v>20200111153746748</v>
      </c>
      <c r="B4755" t="str">
        <f>"1578728266738239"</f>
        <v>1578728266738239</v>
      </c>
      <c r="C4755" t="s">
        <v>37</v>
      </c>
      <c r="D4755">
        <v>5.7536230000000002</v>
      </c>
      <c r="E4755">
        <v>0.50006249999999997</v>
      </c>
      <c r="F4755" t="s">
        <v>56</v>
      </c>
      <c r="G4755">
        <v>-360.05579999999998</v>
      </c>
      <c r="H4755" s="1">
        <v>-4.74709E-6</v>
      </c>
      <c r="I4755">
        <v>19.357140000000001</v>
      </c>
      <c r="J4755">
        <v>-374.96960000000001</v>
      </c>
      <c r="K4755">
        <v>1.1054679999999999</v>
      </c>
      <c r="L4755">
        <v>16.9054</v>
      </c>
      <c r="M4755">
        <v>0.99981759999999997</v>
      </c>
      <c r="N4755">
        <v>0</v>
      </c>
      <c r="O4755">
        <v>-1.7498550000000002E-2</v>
      </c>
      <c r="P4755">
        <v>0.9861915</v>
      </c>
      <c r="Q4755">
        <v>3.3713420000000001E-2</v>
      </c>
      <c r="R4755">
        <v>0.16214229999999999</v>
      </c>
      <c r="S4755">
        <v>2.970612</v>
      </c>
      <c r="T4755">
        <v>-0.2159671</v>
      </c>
      <c r="U4755">
        <v>0.47821039999999998</v>
      </c>
      <c r="V4755">
        <v>-0.17954210000000001</v>
      </c>
      <c r="W4755">
        <v>4.0525129999999999E-2</v>
      </c>
      <c r="X4755">
        <v>0.98291519999999999</v>
      </c>
      <c r="Y4755">
        <v>-0.17568919999999999</v>
      </c>
      <c r="Z4755">
        <v>7.6001819999999996E-3</v>
      </c>
      <c r="AA4755">
        <v>0.98441639999999997</v>
      </c>
      <c r="AB4755">
        <v>30</v>
      </c>
      <c r="AC4755">
        <v>14.9138</v>
      </c>
      <c r="AD4755">
        <v>-1.1054727470900001</v>
      </c>
      <c r="AE4755">
        <v>2.45174</v>
      </c>
      <c r="AF4755">
        <v>-2.6979088098530402</v>
      </c>
      <c r="AG4755">
        <v>-1.1054727470900001</v>
      </c>
      <c r="AH4755">
        <v>14.7894922860675</v>
      </c>
      <c r="AI4755">
        <v>94.205600542516095</v>
      </c>
      <c r="AJ4755">
        <v>100.33825725406901</v>
      </c>
      <c r="AK4755">
        <v>15.0741455486038</v>
      </c>
    </row>
    <row r="4756" spans="1:37" x14ac:dyDescent="0.2">
      <c r="A4756" t="str">
        <f>"20200111153746771"</f>
        <v>20200111153746771</v>
      </c>
      <c r="B4756" t="str">
        <f>"1578728266757756"</f>
        <v>1578728266757756</v>
      </c>
      <c r="C4756" t="s">
        <v>37</v>
      </c>
      <c r="D4756">
        <v>5.7136740000000001</v>
      </c>
      <c r="E4756">
        <v>0.46635079999999901</v>
      </c>
      <c r="F4756" t="s">
        <v>39</v>
      </c>
      <c r="G4756">
        <v>-359.72120000000001</v>
      </c>
      <c r="H4756" s="1">
        <v>-1.3856040000000001E-7</v>
      </c>
      <c r="I4756">
        <v>19.409579999999998</v>
      </c>
      <c r="J4756">
        <v>-374.67750000000001</v>
      </c>
      <c r="K4756">
        <v>1.1053469999999901</v>
      </c>
      <c r="L4756">
        <v>16.902190000000001</v>
      </c>
      <c r="M4756">
        <v>0.99984769999999901</v>
      </c>
      <c r="N4756">
        <v>0</v>
      </c>
      <c r="O4756">
        <v>-1.5745439999999999E-2</v>
      </c>
      <c r="P4756">
        <v>0.98577399999999904</v>
      </c>
      <c r="Q4756">
        <v>3.4369539999999997E-2</v>
      </c>
      <c r="R4756">
        <v>0.164524799999999</v>
      </c>
      <c r="S4756">
        <v>2.9692080000000001</v>
      </c>
      <c r="T4756">
        <v>-0.2152606</v>
      </c>
      <c r="U4756">
        <v>0.48764039999999997</v>
      </c>
      <c r="V4756">
        <v>-0.1801827</v>
      </c>
      <c r="W4756">
        <v>4.1104950000000001E-2</v>
      </c>
      <c r="X4756">
        <v>0.98277389999999998</v>
      </c>
      <c r="Y4756">
        <v>-0.17708599999999999</v>
      </c>
      <c r="Z4756">
        <v>7.5010729999999996E-3</v>
      </c>
      <c r="AA4756">
        <v>0.98416680000000001</v>
      </c>
      <c r="AB4756">
        <v>30</v>
      </c>
      <c r="AC4756">
        <v>14.956300000000001</v>
      </c>
      <c r="AD4756">
        <v>-1.1053471385603999</v>
      </c>
      <c r="AE4756">
        <v>2.5073899999999898</v>
      </c>
      <c r="AF4756">
        <v>-2.7280859767910899</v>
      </c>
      <c r="AG4756">
        <v>-1.1053471385603999</v>
      </c>
      <c r="AH4756">
        <v>14.8361454715163</v>
      </c>
      <c r="AI4756">
        <v>94.190867497618399</v>
      </c>
      <c r="AJ4756">
        <v>100.419216123382</v>
      </c>
      <c r="AK4756">
        <v>15.125325049250399</v>
      </c>
    </row>
    <row r="4757" spans="1:37" x14ac:dyDescent="0.2">
      <c r="A4757" t="str">
        <f>"20200111153746792"</f>
        <v>20200111153746792</v>
      </c>
      <c r="B4757" t="str">
        <f>"1578728266788014"</f>
        <v>1578728266788014</v>
      </c>
      <c r="C4757" t="s">
        <v>37</v>
      </c>
      <c r="D4757">
        <v>5.8807700000000001</v>
      </c>
      <c r="E4757">
        <v>0.46589759999999902</v>
      </c>
      <c r="F4757" t="s">
        <v>56</v>
      </c>
      <c r="G4757">
        <v>-363.41359999999997</v>
      </c>
      <c r="H4757" s="1">
        <v>-3.1704499999999999E-6</v>
      </c>
      <c r="I4757">
        <v>19.82893</v>
      </c>
      <c r="J4757">
        <v>-374.37869999999998</v>
      </c>
      <c r="K4757">
        <v>1.10524</v>
      </c>
      <c r="L4757">
        <v>16.899290000000001</v>
      </c>
      <c r="M4757">
        <v>0.99987320000000002</v>
      </c>
      <c r="N4757">
        <v>0</v>
      </c>
      <c r="O4757">
        <v>-1.408886E-2</v>
      </c>
      <c r="P4757">
        <v>0.98537799999999998</v>
      </c>
      <c r="Q4757">
        <v>3.4853620000000002E-2</v>
      </c>
      <c r="R4757">
        <v>0.16677990000000001</v>
      </c>
      <c r="S4757">
        <v>2.9263919999999999</v>
      </c>
      <c r="T4757">
        <v>-0.28717359999999997</v>
      </c>
      <c r="U4757">
        <v>0.76037600000000005</v>
      </c>
      <c r="V4757">
        <v>-0.1807935</v>
      </c>
      <c r="W4757">
        <v>4.1520399999999999E-2</v>
      </c>
      <c r="X4757">
        <v>0.98264430000000003</v>
      </c>
      <c r="Y4757">
        <v>-0.26384289999999999</v>
      </c>
      <c r="Z4757">
        <v>1.406278E-2</v>
      </c>
      <c r="AA4757">
        <v>0.96446319999999996</v>
      </c>
      <c r="AB4757">
        <v>30</v>
      </c>
      <c r="AC4757">
        <v>10.9651</v>
      </c>
      <c r="AD4757">
        <v>-1.1052431704500001</v>
      </c>
      <c r="AE4757">
        <v>2.9296399999999898</v>
      </c>
      <c r="AF4757">
        <v>-3.0548699301269102</v>
      </c>
      <c r="AG4757">
        <v>-1.1052431704500001</v>
      </c>
      <c r="AH4757">
        <v>10.8201280605106</v>
      </c>
      <c r="AI4757">
        <v>95.614370659077295</v>
      </c>
      <c r="AJ4757">
        <v>105.76607881362099</v>
      </c>
      <c r="AK4757">
        <v>11.2972989692966</v>
      </c>
    </row>
    <row r="4758" spans="1:37" x14ac:dyDescent="0.2">
      <c r="A4758" t="str">
        <f>"20200111153746816"</f>
        <v>20200111153746816</v>
      </c>
      <c r="B4758" t="str">
        <f>"1578728266808508"</f>
        <v>1578728266808508</v>
      </c>
      <c r="C4758" t="s">
        <v>37</v>
      </c>
      <c r="D4758">
        <v>5.8239159999999996</v>
      </c>
      <c r="E4758">
        <v>0.4680204</v>
      </c>
      <c r="F4758" t="s">
        <v>56</v>
      </c>
      <c r="G4758">
        <v>-362.52289999999999</v>
      </c>
      <c r="H4758" s="1">
        <v>-3.6434710000000002E-6</v>
      </c>
      <c r="I4758">
        <v>20.024439999999998</v>
      </c>
      <c r="J4758">
        <v>-374.06619999999998</v>
      </c>
      <c r="K4758">
        <v>1.1051569999999999</v>
      </c>
      <c r="L4758">
        <v>16.89667</v>
      </c>
      <c r="M4758">
        <v>0.9998956</v>
      </c>
      <c r="N4758">
        <v>0</v>
      </c>
      <c r="O4758">
        <v>-1.2462290000000001E-2</v>
      </c>
      <c r="P4758">
        <v>0.98500669999999901</v>
      </c>
      <c r="Q4758">
        <v>3.4751869999999997E-2</v>
      </c>
      <c r="R4758">
        <v>0.1689802</v>
      </c>
      <c r="S4758">
        <v>2.923737</v>
      </c>
      <c r="T4758">
        <v>-0.27256379999999902</v>
      </c>
      <c r="U4758">
        <v>0.77069089999999996</v>
      </c>
      <c r="V4758">
        <v>-0.1813795</v>
      </c>
      <c r="W4758">
        <v>4.1354599999999998E-2</v>
      </c>
      <c r="X4758">
        <v>0.98254330000000001</v>
      </c>
      <c r="Y4758">
        <v>-0.26579320000000001</v>
      </c>
      <c r="Z4758">
        <v>1.3296509999999999E-2</v>
      </c>
      <c r="AA4758">
        <v>0.96393839999999997</v>
      </c>
      <c r="AB4758">
        <v>30</v>
      </c>
      <c r="AC4758">
        <v>11.543299999999901</v>
      </c>
      <c r="AD4758">
        <v>-1.105160643471</v>
      </c>
      <c r="AE4758">
        <v>3.1277699999999902</v>
      </c>
      <c r="AF4758">
        <v>-3.2436881152402801</v>
      </c>
      <c r="AG4758">
        <v>-1.105160643471</v>
      </c>
      <c r="AH4758">
        <v>11.4060240236995</v>
      </c>
      <c r="AI4758">
        <v>95.324434846571293</v>
      </c>
      <c r="AJ4758">
        <v>105.87489166374699</v>
      </c>
      <c r="AK4758">
        <v>11.9096715599566</v>
      </c>
    </row>
    <row r="4759" spans="1:37" x14ac:dyDescent="0.2">
      <c r="A4759" t="str">
        <f>"20200111153746838"</f>
        <v>20200111153746838</v>
      </c>
      <c r="B4759" t="str">
        <f>"1578728266828028"</f>
        <v>1578728266828028</v>
      </c>
      <c r="C4759" t="s">
        <v>37</v>
      </c>
      <c r="D4759">
        <v>5.8829089999999997</v>
      </c>
      <c r="E4759">
        <v>0.46943099999999999</v>
      </c>
      <c r="F4759" t="s">
        <v>56</v>
      </c>
      <c r="G4759">
        <v>-361.63240000000002</v>
      </c>
      <c r="H4759" s="1">
        <v>-4.0922889999999997E-6</v>
      </c>
      <c r="I4759">
        <v>20.129000000000001</v>
      </c>
      <c r="J4759">
        <v>-373.76690000000002</v>
      </c>
      <c r="K4759">
        <v>1.1050869999999999</v>
      </c>
      <c r="L4759">
        <v>16.894500000000001</v>
      </c>
      <c r="M4759">
        <v>0.99991359999999996</v>
      </c>
      <c r="N4759">
        <v>0</v>
      </c>
      <c r="O4759">
        <v>-1.09745E-2</v>
      </c>
      <c r="P4759">
        <v>0.98470759999999902</v>
      </c>
      <c r="Q4759">
        <v>3.4151239999999999E-2</v>
      </c>
      <c r="R4759">
        <v>0.1708353</v>
      </c>
      <c r="S4759">
        <v>2.92446899999999</v>
      </c>
      <c r="T4759">
        <v>-0.25993729999999998</v>
      </c>
      <c r="U4759">
        <v>0.76025390000000004</v>
      </c>
      <c r="V4759">
        <v>-0.1817597</v>
      </c>
      <c r="W4759">
        <v>4.0696169999999997E-2</v>
      </c>
      <c r="X4759">
        <v>0.982500499999999</v>
      </c>
      <c r="Y4759">
        <v>-0.26120100000000002</v>
      </c>
      <c r="Z4759">
        <v>1.2355140000000001E-2</v>
      </c>
      <c r="AA4759">
        <v>0.96520539999999999</v>
      </c>
      <c r="AB4759">
        <v>30</v>
      </c>
      <c r="AC4759">
        <v>12.134499999999999</v>
      </c>
      <c r="AD4759">
        <v>-1.105091092289</v>
      </c>
      <c r="AE4759">
        <v>3.2345000000000002</v>
      </c>
      <c r="AF4759">
        <v>-3.34160276577976</v>
      </c>
      <c r="AG4759">
        <v>-1.105091092289</v>
      </c>
      <c r="AH4759">
        <v>12.005307106640601</v>
      </c>
      <c r="AI4759">
        <v>95.067680361937306</v>
      </c>
      <c r="AJ4759">
        <v>105.55421401687801</v>
      </c>
      <c r="AK4759">
        <v>12.5105928752909</v>
      </c>
    </row>
    <row r="4760" spans="1:37" x14ac:dyDescent="0.2">
      <c r="A4760" t="str">
        <f>"20200111153746861"</f>
        <v>20200111153746861</v>
      </c>
      <c r="B4760" t="str">
        <f>"1578728266858285"</f>
        <v>1578728266858285</v>
      </c>
      <c r="C4760" t="s">
        <v>37</v>
      </c>
      <c r="D4760">
        <v>5.6769850000000002</v>
      </c>
      <c r="E4760">
        <v>0.47097129999999998</v>
      </c>
      <c r="F4760" t="s">
        <v>56</v>
      </c>
      <c r="G4760">
        <v>-361.39920000000001</v>
      </c>
      <c r="H4760" s="1">
        <v>-4.1906320000000002E-6</v>
      </c>
      <c r="I4760">
        <v>20.084409999999998</v>
      </c>
      <c r="J4760">
        <v>-373.46710000000002</v>
      </c>
      <c r="K4760">
        <v>1.105035</v>
      </c>
      <c r="L4760">
        <v>16.892759999999999</v>
      </c>
      <c r="M4760">
        <v>0.99992909999999902</v>
      </c>
      <c r="N4760">
        <v>0</v>
      </c>
      <c r="O4760">
        <v>-9.5264319999999996E-3</v>
      </c>
      <c r="P4760">
        <v>0.98446250000000002</v>
      </c>
      <c r="Q4760">
        <v>3.4158260000000003E-2</v>
      </c>
      <c r="R4760">
        <v>0.1722417</v>
      </c>
      <c r="S4760">
        <v>2.9247740000000002</v>
      </c>
      <c r="T4760">
        <v>-0.26133689999999998</v>
      </c>
      <c r="U4760">
        <v>0.75436400000000003</v>
      </c>
      <c r="V4760">
        <v>-0.18173520000000001</v>
      </c>
      <c r="W4760">
        <v>4.0648530000000002E-2</v>
      </c>
      <c r="X4760">
        <v>0.98250700000000002</v>
      </c>
      <c r="Y4760">
        <v>-0.25796229999999998</v>
      </c>
      <c r="Z4760">
        <v>1.215399E-2</v>
      </c>
      <c r="AA4760">
        <v>0.96607849999999995</v>
      </c>
      <c r="AB4760">
        <v>30</v>
      </c>
      <c r="AC4760">
        <v>12.0679</v>
      </c>
      <c r="AD4760">
        <v>-1.1050391906320001</v>
      </c>
      <c r="AE4760">
        <v>3.1916500000000001</v>
      </c>
      <c r="AF4760">
        <v>-3.2807619803870298</v>
      </c>
      <c r="AG4760">
        <v>-1.1050391906320001</v>
      </c>
      <c r="AH4760">
        <v>11.943350824167201</v>
      </c>
      <c r="AI4760">
        <v>95.098346170523101</v>
      </c>
      <c r="AJ4760">
        <v>105.35992859110701</v>
      </c>
      <c r="AK4760">
        <v>12.434956360756599</v>
      </c>
    </row>
    <row r="4761" spans="1:37" x14ac:dyDescent="0.2">
      <c r="A4761" t="str">
        <f>"20200111153746882"</f>
        <v>20200111153746882</v>
      </c>
      <c r="B4761" t="str">
        <f>"1578728266877804"</f>
        <v>1578728266877804</v>
      </c>
      <c r="C4761" t="s">
        <v>37</v>
      </c>
      <c r="D4761">
        <v>5.7485549999999996</v>
      </c>
      <c r="E4761">
        <v>0.471695799999999</v>
      </c>
      <c r="F4761" t="s">
        <v>56</v>
      </c>
      <c r="G4761">
        <v>-360.87889999999999</v>
      </c>
      <c r="H4761" s="1">
        <v>-4.4417439999999997E-6</v>
      </c>
      <c r="I4761">
        <v>20.103850000000001</v>
      </c>
      <c r="J4761">
        <v>-373.17059999999998</v>
      </c>
      <c r="K4761">
        <v>1.105002</v>
      </c>
      <c r="L4761">
        <v>16.891389999999902</v>
      </c>
      <c r="M4761">
        <v>0.999942</v>
      </c>
      <c r="N4761">
        <v>0</v>
      </c>
      <c r="O4761">
        <v>-8.1159560000000006E-3</v>
      </c>
      <c r="P4761">
        <v>0.98417199999999905</v>
      </c>
      <c r="Q4761">
        <v>3.4280959999999999E-2</v>
      </c>
      <c r="R4761">
        <v>0.17386869999999999</v>
      </c>
      <c r="S4761">
        <v>2.9256899999999999</v>
      </c>
      <c r="T4761">
        <v>-0.25682870000000002</v>
      </c>
      <c r="U4761">
        <v>0.74630739999999995</v>
      </c>
      <c r="V4761">
        <v>-0.18197079999999999</v>
      </c>
      <c r="W4761">
        <v>4.0717610000000001E-2</v>
      </c>
      <c r="X4761">
        <v>0.98246060000000002</v>
      </c>
      <c r="Y4761">
        <v>-0.25408160000000002</v>
      </c>
      <c r="Z4761">
        <v>1.1656440000000001E-2</v>
      </c>
      <c r="AA4761">
        <v>0.96711250000000004</v>
      </c>
      <c r="AB4761">
        <v>30</v>
      </c>
      <c r="AC4761">
        <v>12.291699999999899</v>
      </c>
      <c r="AD4761">
        <v>-1.105006441744</v>
      </c>
      <c r="AE4761">
        <v>3.2124600000000001</v>
      </c>
      <c r="AF4761">
        <v>-3.2872474716822202</v>
      </c>
      <c r="AG4761">
        <v>-1.105006441744</v>
      </c>
      <c r="AH4761">
        <v>12.173132235223299</v>
      </c>
      <c r="AI4761">
        <v>95.0083292857244</v>
      </c>
      <c r="AJ4761">
        <v>105.111776323089</v>
      </c>
      <c r="AK4761">
        <v>12.6574951547535</v>
      </c>
    </row>
    <row r="4762" spans="1:37" x14ac:dyDescent="0.2">
      <c r="A4762" t="str">
        <f>"20200111153746904"</f>
        <v>20200111153746904</v>
      </c>
      <c r="B4762" t="str">
        <f>"1578728266898301"</f>
        <v>1578728266898301</v>
      </c>
      <c r="C4762" t="s">
        <v>37</v>
      </c>
      <c r="D4762">
        <v>6.0065989999999996</v>
      </c>
      <c r="E4762">
        <v>0.4723041</v>
      </c>
      <c r="F4762" t="s">
        <v>56</v>
      </c>
      <c r="G4762">
        <v>-360.41120000000001</v>
      </c>
      <c r="H4762" s="1">
        <v>-4.6629569999999999E-6</v>
      </c>
      <c r="I4762">
        <v>20.142520000000001</v>
      </c>
      <c r="J4762">
        <v>-372.8766</v>
      </c>
      <c r="K4762">
        <v>1.1049910000000001</v>
      </c>
      <c r="L4762">
        <v>16.890439999999899</v>
      </c>
      <c r="M4762">
        <v>0.99995270000000003</v>
      </c>
      <c r="N4762">
        <v>0</v>
      </c>
      <c r="O4762">
        <v>-6.7245059999999999E-3</v>
      </c>
      <c r="P4762">
        <v>0.98391099999999998</v>
      </c>
      <c r="Q4762">
        <v>3.478639E-2</v>
      </c>
      <c r="R4762">
        <v>0.1752408</v>
      </c>
      <c r="S4762">
        <v>2.9253849999999999</v>
      </c>
      <c r="T4762">
        <v>-0.25334659999999998</v>
      </c>
      <c r="U4762">
        <v>0.74539180000000005</v>
      </c>
      <c r="V4762">
        <v>-0.18197389999999999</v>
      </c>
      <c r="W4762">
        <v>4.1173559999999998E-2</v>
      </c>
      <c r="X4762">
        <v>0.98244089999999995</v>
      </c>
      <c r="Y4762">
        <v>-0.2525114</v>
      </c>
      <c r="Z4762">
        <v>1.13152999999999E-2</v>
      </c>
      <c r="AA4762">
        <v>0.96752769999999999</v>
      </c>
      <c r="AB4762">
        <v>30</v>
      </c>
      <c r="AC4762">
        <v>12.465399999999899</v>
      </c>
      <c r="AD4762">
        <v>-1.1049956629569999</v>
      </c>
      <c r="AE4762">
        <v>3.2520799999999999</v>
      </c>
      <c r="AF4762">
        <v>-3.31146909072489</v>
      </c>
      <c r="AG4762">
        <v>-1.1049956629569999</v>
      </c>
      <c r="AH4762">
        <v>12.3523702537132</v>
      </c>
      <c r="AI4762">
        <v>94.938382958824803</v>
      </c>
      <c r="AJ4762">
        <v>105.007190089422</v>
      </c>
      <c r="AK4762">
        <v>12.8361946790628</v>
      </c>
    </row>
    <row r="4763" spans="1:37" x14ac:dyDescent="0.2">
      <c r="A4763" t="str">
        <f>"20200111153746928"</f>
        <v>20200111153746928</v>
      </c>
      <c r="B4763" t="str">
        <f>"1578728266917820"</f>
        <v>1578728266917820</v>
      </c>
      <c r="C4763" t="s">
        <v>37</v>
      </c>
      <c r="D4763">
        <v>6.0665569999999898</v>
      </c>
      <c r="E4763">
        <v>0.47280820000000001</v>
      </c>
      <c r="F4763" t="s">
        <v>40</v>
      </c>
      <c r="G4763">
        <v>-359.37880000000001</v>
      </c>
      <c r="H4763">
        <v>-0.05</v>
      </c>
      <c r="I4763">
        <v>20.32544</v>
      </c>
      <c r="J4763">
        <v>-372.54320000000001</v>
      </c>
      <c r="K4763">
        <v>1.104984</v>
      </c>
      <c r="L4763">
        <v>16.889859999999999</v>
      </c>
      <c r="M4763">
        <v>0.99996229999999997</v>
      </c>
      <c r="N4763">
        <v>0</v>
      </c>
      <c r="O4763">
        <v>-5.144315E-3</v>
      </c>
      <c r="P4763">
        <v>0.98362169999999904</v>
      </c>
      <c r="Q4763">
        <v>3.4619610000000002E-2</v>
      </c>
      <c r="R4763">
        <v>0.1768894</v>
      </c>
      <c r="S4763">
        <v>2.9252929999999999</v>
      </c>
      <c r="T4763">
        <v>-0.25031329999999902</v>
      </c>
      <c r="U4763">
        <v>0.74444580000000005</v>
      </c>
      <c r="V4763">
        <v>-0.182066899999999</v>
      </c>
      <c r="W4763">
        <v>4.0955350000000001E-2</v>
      </c>
      <c r="X4763">
        <v>0.98243279999999999</v>
      </c>
      <c r="Y4763">
        <v>-0.25072879999999997</v>
      </c>
      <c r="Z4763">
        <v>1.0973220000000001E-2</v>
      </c>
      <c r="AA4763">
        <v>0.96799519999999994</v>
      </c>
      <c r="AB4763">
        <v>30</v>
      </c>
      <c r="AC4763">
        <v>13.164400000000001</v>
      </c>
      <c r="AD4763">
        <v>-1.154984</v>
      </c>
      <c r="AE4763">
        <v>3.4355799999999901</v>
      </c>
      <c r="AF4763">
        <v>-3.4781918345174798</v>
      </c>
      <c r="AG4763">
        <v>-1.154984</v>
      </c>
      <c r="AH4763">
        <v>13.0524866963957</v>
      </c>
      <c r="AI4763">
        <v>94.887125801246</v>
      </c>
      <c r="AJ4763">
        <v>104.92128884295801</v>
      </c>
      <c r="AK4763">
        <v>13.5572569289494</v>
      </c>
    </row>
    <row r="4764" spans="1:37" x14ac:dyDescent="0.2">
      <c r="A4764" t="str">
        <f>"20200111153746949"</f>
        <v>20200111153746949</v>
      </c>
      <c r="B4764" t="str">
        <f>"1578728266938316"</f>
        <v>1578728266938316</v>
      </c>
      <c r="C4764" t="s">
        <v>37</v>
      </c>
      <c r="D4764">
        <v>5.7946059999999999</v>
      </c>
      <c r="E4764">
        <v>0.47331009999999901</v>
      </c>
      <c r="F4764" t="s">
        <v>39</v>
      </c>
      <c r="G4764">
        <v>-359.49090000000001</v>
      </c>
      <c r="H4764" s="1">
        <v>-3.5984350000000002E-7</v>
      </c>
      <c r="I4764">
        <v>20.214279999999999</v>
      </c>
      <c r="J4764">
        <v>-372.25760000000002</v>
      </c>
      <c r="K4764">
        <v>1.104976</v>
      </c>
      <c r="L4764">
        <v>16.889769999999999</v>
      </c>
      <c r="M4764">
        <v>0.99996879999999999</v>
      </c>
      <c r="N4764">
        <v>0</v>
      </c>
      <c r="O4764">
        <v>-3.785142E-3</v>
      </c>
      <c r="P4764">
        <v>0.98339650000000001</v>
      </c>
      <c r="Q4764">
        <v>3.4655129999999999E-2</v>
      </c>
      <c r="R4764">
        <v>0.17813099999999901</v>
      </c>
      <c r="S4764">
        <v>2.9246829999999999</v>
      </c>
      <c r="T4764">
        <v>-0.24759780000000001</v>
      </c>
      <c r="U4764">
        <v>0.74493409999999904</v>
      </c>
      <c r="V4764">
        <v>-0.18197179999999999</v>
      </c>
      <c r="W4764">
        <v>4.095298E-2</v>
      </c>
      <c r="X4764">
        <v>0.98245049999999901</v>
      </c>
      <c r="Y4764">
        <v>-0.249640099999999</v>
      </c>
      <c r="Z4764">
        <v>1.069818E-2</v>
      </c>
      <c r="AA4764">
        <v>0.96827960000000002</v>
      </c>
      <c r="AB4764">
        <v>31</v>
      </c>
      <c r="AC4764">
        <v>12.7667</v>
      </c>
      <c r="AD4764">
        <v>-1.1049763598435001</v>
      </c>
      <c r="AE4764">
        <v>3.3245099999999899</v>
      </c>
      <c r="AF4764">
        <v>-3.3493142310998101</v>
      </c>
      <c r="AG4764">
        <v>-1.1049763598435001</v>
      </c>
      <c r="AH4764">
        <v>12.6651728364372</v>
      </c>
      <c r="AI4764">
        <v>94.821245420195893</v>
      </c>
      <c r="AJ4764">
        <v>104.812817354399</v>
      </c>
      <c r="AK4764">
        <v>13.1470712157228</v>
      </c>
    </row>
    <row r="4765" spans="1:37" x14ac:dyDescent="0.2">
      <c r="A4765" t="str">
        <f>"20200111153746971"</f>
        <v>20200111153746971</v>
      </c>
      <c r="B4765" t="str">
        <f>"1578728266967596"</f>
        <v>1578728266967596</v>
      </c>
      <c r="C4765" t="s">
        <v>37</v>
      </c>
      <c r="D4765">
        <v>5.7933129999999897</v>
      </c>
      <c r="E4765">
        <v>0.4737595</v>
      </c>
      <c r="F4765" t="s">
        <v>39</v>
      </c>
      <c r="G4765">
        <v>-359.1</v>
      </c>
      <c r="H4765" s="1">
        <v>-5.3422269999999998E-7</v>
      </c>
      <c r="I4765">
        <v>20.2394</v>
      </c>
      <c r="J4765">
        <v>-371.9572</v>
      </c>
      <c r="K4765">
        <v>1.104978</v>
      </c>
      <c r="L4765">
        <v>16.890049999999999</v>
      </c>
      <c r="M4765">
        <v>0.99997340000000001</v>
      </c>
      <c r="N4765">
        <v>0</v>
      </c>
      <c r="O4765">
        <v>-2.3513459999999998E-3</v>
      </c>
      <c r="P4765">
        <v>0.98322389999999904</v>
      </c>
      <c r="Q4765">
        <v>3.5338769999999999E-2</v>
      </c>
      <c r="R4765">
        <v>0.1789473</v>
      </c>
      <c r="S4765">
        <v>2.9244080000000001</v>
      </c>
      <c r="T4765">
        <v>-0.2455917</v>
      </c>
      <c r="U4765">
        <v>0.74450680000000002</v>
      </c>
      <c r="V4765">
        <v>-0.1813804</v>
      </c>
      <c r="W4765">
        <v>4.160283E-2</v>
      </c>
      <c r="X4765">
        <v>0.98253259999999898</v>
      </c>
      <c r="Y4765">
        <v>-0.24816379999999999</v>
      </c>
      <c r="Z4765">
        <v>1.0433680000000001E-2</v>
      </c>
      <c r="AA4765">
        <v>0.96866189999999996</v>
      </c>
      <c r="AB4765">
        <v>31</v>
      </c>
      <c r="AC4765">
        <v>12.857199999999899</v>
      </c>
      <c r="AD4765">
        <v>-1.1049785342227001</v>
      </c>
      <c r="AE4765">
        <v>3.3493499999999998</v>
      </c>
      <c r="AF4765">
        <v>-3.3563582260945002</v>
      </c>
      <c r="AG4765">
        <v>-1.1049785342227001</v>
      </c>
      <c r="AH4765">
        <v>12.7610244651108</v>
      </c>
      <c r="AI4765">
        <v>94.786894780367902</v>
      </c>
      <c r="AJ4765">
        <v>104.73597853567701</v>
      </c>
      <c r="AK4765">
        <v>13.241218354144101</v>
      </c>
    </row>
    <row r="4766" spans="1:37" x14ac:dyDescent="0.2">
      <c r="A4766" t="str">
        <f>"20200111153746994"</f>
        <v>20200111153746994</v>
      </c>
      <c r="B4766" t="str">
        <f>"1578728266987721"</f>
        <v>1578728266987721</v>
      </c>
      <c r="C4766" t="s">
        <v>37</v>
      </c>
      <c r="D4766">
        <v>5.9969519999999896</v>
      </c>
      <c r="E4766">
        <v>0.47424090000000002</v>
      </c>
      <c r="F4766" t="s">
        <v>39</v>
      </c>
      <c r="G4766">
        <v>-358.73360000000002</v>
      </c>
      <c r="H4766" s="1">
        <v>-6.9481269999999895E-7</v>
      </c>
      <c r="I4766">
        <v>20.252089999999999</v>
      </c>
      <c r="J4766">
        <v>-371.64</v>
      </c>
      <c r="K4766">
        <v>1.1049739999999999</v>
      </c>
      <c r="L4766">
        <v>16.890840000000001</v>
      </c>
      <c r="M4766">
        <v>0.99997610000000003</v>
      </c>
      <c r="N4766">
        <v>0</v>
      </c>
      <c r="O4766">
        <v>-8.4294640000000004E-4</v>
      </c>
      <c r="P4766">
        <v>0.98308930000000005</v>
      </c>
      <c r="Q4766">
        <v>3.6468920000000002E-2</v>
      </c>
      <c r="R4766">
        <v>0.17945920000000001</v>
      </c>
      <c r="S4766">
        <v>2.9246219999999998</v>
      </c>
      <c r="T4766">
        <v>-0.244384299999999</v>
      </c>
      <c r="U4766">
        <v>0.74359129999999996</v>
      </c>
      <c r="V4766">
        <v>-0.1804124</v>
      </c>
      <c r="W4766">
        <v>4.2705239999999998E-2</v>
      </c>
      <c r="X4766">
        <v>0.98266350000000002</v>
      </c>
      <c r="Y4766">
        <v>-0.24641969999999999</v>
      </c>
      <c r="Z4766">
        <v>1.018673E-2</v>
      </c>
      <c r="AA4766">
        <v>0.96910969999999996</v>
      </c>
      <c r="AB4766">
        <v>31</v>
      </c>
      <c r="AC4766">
        <v>12.9063999999999</v>
      </c>
      <c r="AD4766">
        <v>-1.1049746948126999</v>
      </c>
      <c r="AE4766">
        <v>3.3612499999999899</v>
      </c>
      <c r="AF4766">
        <v>-3.3491390767934899</v>
      </c>
      <c r="AG4766">
        <v>-1.1049746948126999</v>
      </c>
      <c r="AH4766">
        <v>12.8155923324175</v>
      </c>
      <c r="AI4766">
        <v>94.768549678705</v>
      </c>
      <c r="AJ4766">
        <v>104.64574005892599</v>
      </c>
      <c r="AK4766">
        <v>13.291994149208801</v>
      </c>
    </row>
    <row r="4767" spans="1:37" x14ac:dyDescent="0.2">
      <c r="A4767" t="str">
        <f>"20200111153747017"</f>
        <v>20200111153747017</v>
      </c>
      <c r="B4767" t="str">
        <f>"1578728267008217"</f>
        <v>1578728267008217</v>
      </c>
      <c r="C4767" t="s">
        <v>37</v>
      </c>
      <c r="D4767">
        <v>6.0499199999999904</v>
      </c>
      <c r="E4767">
        <v>0.47451979999999999</v>
      </c>
      <c r="F4767" t="s">
        <v>39</v>
      </c>
      <c r="G4767">
        <v>-358.10840000000002</v>
      </c>
      <c r="H4767" s="1">
        <v>-9.8140609999999993E-7</v>
      </c>
      <c r="I4767">
        <v>20.321290000000001</v>
      </c>
      <c r="J4767">
        <v>-371.327</v>
      </c>
      <c r="K4767">
        <v>1.104967</v>
      </c>
      <c r="L4767">
        <v>16.892029999999998</v>
      </c>
      <c r="M4767">
        <v>0.99997639999999999</v>
      </c>
      <c r="N4767">
        <v>0</v>
      </c>
      <c r="O4767">
        <v>6.2732650000000005E-4</v>
      </c>
      <c r="P4767">
        <v>0.98301729999999998</v>
      </c>
      <c r="Q4767">
        <v>3.7057699999999999E-2</v>
      </c>
      <c r="R4767">
        <v>0.179733</v>
      </c>
      <c r="S4767">
        <v>2.9251099999999899</v>
      </c>
      <c r="T4767">
        <v>-0.23886199999999999</v>
      </c>
      <c r="U4767">
        <v>0.74157709999999999</v>
      </c>
      <c r="V4767">
        <v>-0.1792416</v>
      </c>
      <c r="W4767">
        <v>4.3275019999999997E-2</v>
      </c>
      <c r="X4767">
        <v>0.98285279999999997</v>
      </c>
      <c r="Y4767">
        <v>-0.24437609999999901</v>
      </c>
      <c r="Z4767">
        <v>9.7564790000000002E-3</v>
      </c>
      <c r="AA4767">
        <v>0.96963140000000003</v>
      </c>
      <c r="AB4767">
        <v>31</v>
      </c>
      <c r="AC4767">
        <v>13.218599999999901</v>
      </c>
      <c r="AD4767">
        <v>-1.1049679814061</v>
      </c>
      <c r="AE4767">
        <v>3.4292600000000002</v>
      </c>
      <c r="AF4767">
        <v>-3.39871543078534</v>
      </c>
      <c r="AG4767">
        <v>-1.1049679814061</v>
      </c>
      <c r="AH4767">
        <v>13.134755730601499</v>
      </c>
      <c r="AI4767">
        <v>94.656072331367099</v>
      </c>
      <c r="AJ4767">
        <v>104.507509160518</v>
      </c>
      <c r="AK4767">
        <v>13.6122749355851</v>
      </c>
    </row>
    <row r="4768" spans="1:37" x14ac:dyDescent="0.2">
      <c r="A4768" t="str">
        <f>"20200111153747038"</f>
        <v>20200111153747038</v>
      </c>
      <c r="B4768" t="str">
        <f>"1578728267027740"</f>
        <v>1578728267027740</v>
      </c>
      <c r="C4768" t="s">
        <v>37</v>
      </c>
      <c r="D4768">
        <v>5.7539030000000002</v>
      </c>
      <c r="E4768">
        <v>0.47444199999999997</v>
      </c>
      <c r="F4768" t="s">
        <v>39</v>
      </c>
      <c r="G4768">
        <v>-357.6755</v>
      </c>
      <c r="H4768" s="1">
        <v>-1.174158E-6</v>
      </c>
      <c r="I4768">
        <v>20.347750000000001</v>
      </c>
      <c r="J4768">
        <v>-371.02190000000002</v>
      </c>
      <c r="K4768">
        <v>1.1049439999999999</v>
      </c>
      <c r="L4768">
        <v>16.89359</v>
      </c>
      <c r="M4768">
        <v>0.99997459999999905</v>
      </c>
      <c r="N4768">
        <v>0</v>
      </c>
      <c r="O4768">
        <v>2.0234509999999999E-3</v>
      </c>
      <c r="P4768">
        <v>0.98288390000000003</v>
      </c>
      <c r="Q4768">
        <v>3.6705740000000001E-2</v>
      </c>
      <c r="R4768">
        <v>0.18053259999999999</v>
      </c>
      <c r="S4768">
        <v>2.925354</v>
      </c>
      <c r="T4768">
        <v>-0.2367822</v>
      </c>
      <c r="U4768">
        <v>0.74053959999999996</v>
      </c>
      <c r="V4768">
        <v>-0.17866609999999999</v>
      </c>
      <c r="W4768">
        <v>4.2911060000000001E-2</v>
      </c>
      <c r="X4768">
        <v>0.982973599999999</v>
      </c>
      <c r="Y4768">
        <v>-0.24270249999999999</v>
      </c>
      <c r="Z4768">
        <v>9.4937790000000008E-3</v>
      </c>
      <c r="AA4768">
        <v>0.97005429999999904</v>
      </c>
      <c r="AB4768">
        <v>31</v>
      </c>
      <c r="AC4768">
        <v>13.346399999999999</v>
      </c>
      <c r="AD4768">
        <v>-1.1049451741580001</v>
      </c>
      <c r="AE4768">
        <v>3.4541599999999999</v>
      </c>
      <c r="AF4768">
        <v>-3.4052715178448998</v>
      </c>
      <c r="AG4768">
        <v>-1.1049451741580001</v>
      </c>
      <c r="AH4768">
        <v>13.268129533228199</v>
      </c>
      <c r="AI4768">
        <v>94.611713936007106</v>
      </c>
      <c r="AJ4768">
        <v>104.394307351867</v>
      </c>
      <c r="AK4768">
        <v>13.742635819181899</v>
      </c>
    </row>
    <row r="4769" spans="1:37" x14ac:dyDescent="0.2">
      <c r="A4769" t="str">
        <f>"20200111153747060"</f>
        <v>20200111153747060</v>
      </c>
      <c r="B4769" t="str">
        <f>"1578728267057993"</f>
        <v>1578728267057993</v>
      </c>
      <c r="C4769" t="s">
        <v>37</v>
      </c>
      <c r="D4769">
        <v>5.7665280000000001</v>
      </c>
      <c r="E4769">
        <v>0.47457470000000002</v>
      </c>
      <c r="F4769" t="s">
        <v>39</v>
      </c>
      <c r="G4769">
        <v>-357.51010000000002</v>
      </c>
      <c r="H4769" s="1">
        <v>-1.2398589999999999E-6</v>
      </c>
      <c r="I4769">
        <v>20.328060000000001</v>
      </c>
      <c r="J4769">
        <v>-370.72620000000001</v>
      </c>
      <c r="K4769">
        <v>1.1049040000000001</v>
      </c>
      <c r="L4769">
        <v>16.89545</v>
      </c>
      <c r="M4769">
        <v>0.99997130000000001</v>
      </c>
      <c r="N4769">
        <v>0</v>
      </c>
      <c r="O4769">
        <v>3.322232E-3</v>
      </c>
      <c r="P4769">
        <v>0.98276819999999898</v>
      </c>
      <c r="Q4769">
        <v>3.6263799999999999E-2</v>
      </c>
      <c r="R4769">
        <v>0.1812502</v>
      </c>
      <c r="S4769">
        <v>2.9246219999999998</v>
      </c>
      <c r="T4769">
        <v>-0.23916479999999901</v>
      </c>
      <c r="U4769">
        <v>0.74340819999999996</v>
      </c>
      <c r="V4769">
        <v>-0.17810179999999901</v>
      </c>
      <c r="W4769">
        <v>4.2467049999999999E-2</v>
      </c>
      <c r="X4769">
        <v>0.98309530000000001</v>
      </c>
      <c r="Y4769">
        <v>-0.24238460000000001</v>
      </c>
      <c r="Z4769">
        <v>9.4730530000000004E-3</v>
      </c>
      <c r="AA4769">
        <v>0.97013400000000005</v>
      </c>
      <c r="AB4769">
        <v>31</v>
      </c>
      <c r="AC4769">
        <v>13.2160999999999</v>
      </c>
      <c r="AD4769">
        <v>-1.104905239859</v>
      </c>
      <c r="AE4769">
        <v>3.4326099999999999</v>
      </c>
      <c r="AF4769">
        <v>-3.3666391764721002</v>
      </c>
      <c r="AG4769">
        <v>-1.104905239859</v>
      </c>
      <c r="AH4769">
        <v>13.141384752933501</v>
      </c>
      <c r="AI4769">
        <v>94.656348384112803</v>
      </c>
      <c r="AJ4769">
        <v>104.369339213985</v>
      </c>
      <c r="AK4769">
        <v>13.610696828533699</v>
      </c>
    </row>
    <row r="4770" spans="1:37" x14ac:dyDescent="0.2">
      <c r="A4770" t="str">
        <f>"20200111153747075"</f>
        <v>20200111153747075</v>
      </c>
      <c r="B4770" t="str">
        <f>"1578728267067753"</f>
        <v>1578728267067753</v>
      </c>
      <c r="C4770" t="s">
        <v>37</v>
      </c>
      <c r="D4770">
        <v>6.0332999999999997</v>
      </c>
      <c r="E4770">
        <v>0.47461229999999999</v>
      </c>
      <c r="F4770" t="s">
        <v>39</v>
      </c>
      <c r="G4770">
        <v>-357.2715</v>
      </c>
      <c r="H4770" s="1">
        <v>-1.340333E-6</v>
      </c>
      <c r="I4770">
        <v>20.320889999999999</v>
      </c>
      <c r="J4770">
        <v>-370.51839999999999</v>
      </c>
      <c r="K4770">
        <v>1.104867</v>
      </c>
      <c r="L4770">
        <v>16.896999999999998</v>
      </c>
      <c r="M4770">
        <v>0.99996819999999897</v>
      </c>
      <c r="N4770">
        <v>0</v>
      </c>
      <c r="O4770">
        <v>4.1901809999999899E-3</v>
      </c>
      <c r="P4770">
        <v>0.98265210000000003</v>
      </c>
      <c r="Q4770">
        <v>3.6165129999999997E-2</v>
      </c>
      <c r="R4770">
        <v>0.181898799999999</v>
      </c>
      <c r="S4770">
        <v>2.9241329999999999</v>
      </c>
      <c r="T4770">
        <v>-0.24013089999999901</v>
      </c>
      <c r="U4770">
        <v>0.74447629999999998</v>
      </c>
      <c r="V4770">
        <v>-0.17789440000000001</v>
      </c>
      <c r="W4770">
        <v>4.2370329999999998E-2</v>
      </c>
      <c r="X4770">
        <v>0.98313700000000004</v>
      </c>
      <c r="Y4770">
        <v>-0.24191209999999999</v>
      </c>
      <c r="Z4770">
        <v>9.423219E-3</v>
      </c>
      <c r="AA4770">
        <v>0.97025239999999902</v>
      </c>
      <c r="AB4770">
        <v>31</v>
      </c>
      <c r="AC4770">
        <v>13.246899999999901</v>
      </c>
      <c r="AD4770">
        <v>-1.104868340333</v>
      </c>
      <c r="AE4770">
        <v>3.4238899999999899</v>
      </c>
      <c r="AF4770">
        <v>-3.3465293795345099</v>
      </c>
      <c r="AG4770">
        <v>-1.104868340333</v>
      </c>
      <c r="AH4770">
        <v>13.1752165161004</v>
      </c>
      <c r="AI4770">
        <v>94.646709160973401</v>
      </c>
      <c r="AJ4770">
        <v>104.251841002541</v>
      </c>
      <c r="AK4770">
        <v>13.6384135141769</v>
      </c>
    </row>
    <row r="4771" spans="1:37" x14ac:dyDescent="0.2">
      <c r="A4771" t="str">
        <f>"20200111153747094"</f>
        <v>20200111153747094</v>
      </c>
      <c r="B4771" t="str">
        <f>"1578728267087808"</f>
        <v>1578728267087808</v>
      </c>
      <c r="C4771" t="s">
        <v>37</v>
      </c>
      <c r="D4771">
        <v>6.0201949999999904</v>
      </c>
      <c r="E4771">
        <v>0.47462579999999999</v>
      </c>
      <c r="F4771" t="s">
        <v>39</v>
      </c>
      <c r="G4771">
        <v>-357.08</v>
      </c>
      <c r="H4771" s="1">
        <v>-1.4238100000000001E-6</v>
      </c>
      <c r="I4771">
        <v>20.325949999999999</v>
      </c>
      <c r="J4771">
        <v>-370.25259999999997</v>
      </c>
      <c r="K4771">
        <v>1.1048249999999999</v>
      </c>
      <c r="L4771">
        <v>16.899139999999999</v>
      </c>
      <c r="M4771">
        <v>0.99996309999999999</v>
      </c>
      <c r="N4771">
        <v>0</v>
      </c>
      <c r="O4771">
        <v>5.2640769999999998E-3</v>
      </c>
      <c r="P4771">
        <v>0.9825644</v>
      </c>
      <c r="Q4771">
        <v>3.574198E-2</v>
      </c>
      <c r="R4771">
        <v>0.18245439999999999</v>
      </c>
      <c r="S4771">
        <v>2.9237060000000001</v>
      </c>
      <c r="T4771">
        <v>-0.24037919999999999</v>
      </c>
      <c r="U4771">
        <v>0.74603269999999899</v>
      </c>
      <c r="V4771">
        <v>-0.17738889999999999</v>
      </c>
      <c r="W4771">
        <v>4.1953940000000002E-2</v>
      </c>
      <c r="X4771">
        <v>0.98324619999999996</v>
      </c>
      <c r="Y4771">
        <v>-0.24139259999999901</v>
      </c>
      <c r="Z4771">
        <v>9.3259320000000003E-3</v>
      </c>
      <c r="AA4771">
        <v>0.97038279999999999</v>
      </c>
      <c r="AB4771">
        <v>31</v>
      </c>
      <c r="AC4771">
        <v>13.1725999999999</v>
      </c>
      <c r="AD4771">
        <v>-1.1048264238099901</v>
      </c>
      <c r="AE4771">
        <v>3.4268099999999899</v>
      </c>
      <c r="AF4771">
        <v>-3.3354428173014901</v>
      </c>
      <c r="AG4771">
        <v>-1.1048264238099901</v>
      </c>
      <c r="AH4771">
        <v>13.104116654839901</v>
      </c>
      <c r="AI4771">
        <v>94.671042332835299</v>
      </c>
      <c r="AJ4771">
        <v>104.280477684275</v>
      </c>
      <c r="AK4771">
        <v>13.567007537326999</v>
      </c>
    </row>
    <row r="4772" spans="1:37" x14ac:dyDescent="0.2">
      <c r="A4772" t="str">
        <f>"20200111153747118"</f>
        <v>20200111153747118</v>
      </c>
      <c r="B4772" t="str">
        <f>"1578728267108310"</f>
        <v>1578728267108310</v>
      </c>
      <c r="C4772" t="s">
        <v>37</v>
      </c>
      <c r="D4772">
        <v>6.0405959999999999</v>
      </c>
      <c r="E4772">
        <v>0.49474649999999998</v>
      </c>
      <c r="F4772" t="s">
        <v>39</v>
      </c>
      <c r="G4772">
        <v>-356.8981</v>
      </c>
      <c r="H4772" s="1">
        <v>-1.498785E-6</v>
      </c>
      <c r="I4772">
        <v>20.31439</v>
      </c>
      <c r="J4772">
        <v>-369.91120000000001</v>
      </c>
      <c r="K4772">
        <v>1.1047639999999901</v>
      </c>
      <c r="L4772">
        <v>16.902249999999999</v>
      </c>
      <c r="M4772">
        <v>0.99995560000000006</v>
      </c>
      <c r="N4772">
        <v>0</v>
      </c>
      <c r="O4772">
        <v>6.5617569999999997E-3</v>
      </c>
      <c r="P4772">
        <v>0.98233539999999997</v>
      </c>
      <c r="Q4772">
        <v>3.5801729999999997E-2</v>
      </c>
      <c r="R4772">
        <v>0.183673</v>
      </c>
      <c r="S4772">
        <v>2.923187</v>
      </c>
      <c r="T4772">
        <v>-0.2418372</v>
      </c>
      <c r="U4772">
        <v>0.74758910000000001</v>
      </c>
      <c r="V4772">
        <v>-0.17732690000000001</v>
      </c>
      <c r="W4772">
        <v>4.2023980000000002E-2</v>
      </c>
      <c r="X4772">
        <v>0.98325439999999997</v>
      </c>
      <c r="Y4772">
        <v>-0.24065709999999901</v>
      </c>
      <c r="Z4772">
        <v>9.2479750000000003E-3</v>
      </c>
      <c r="AA4772">
        <v>0.97056620000000005</v>
      </c>
      <c r="AB4772">
        <v>31</v>
      </c>
      <c r="AC4772">
        <v>13.0131</v>
      </c>
      <c r="AD4772">
        <v>-1.104765498785</v>
      </c>
      <c r="AE4772">
        <v>3.41214</v>
      </c>
      <c r="AF4772">
        <v>-3.30439180166089</v>
      </c>
      <c r="AG4772">
        <v>-1.104765498785</v>
      </c>
      <c r="AH4772">
        <v>12.9478926623582</v>
      </c>
      <c r="AI4772">
        <v>94.726130062789295</v>
      </c>
      <c r="AJ4772">
        <v>104.316683071003</v>
      </c>
      <c r="AK4772">
        <v>13.408483746573999</v>
      </c>
    </row>
    <row r="4773" spans="1:37" x14ac:dyDescent="0.2">
      <c r="A4773" t="str">
        <f>"20200111153747140"</f>
        <v>20200111153747140</v>
      </c>
      <c r="B4773" t="str">
        <f>"1578728267127824"</f>
        <v>1578728267127824</v>
      </c>
      <c r="C4773" t="s">
        <v>37</v>
      </c>
      <c r="D4773">
        <v>6.064629</v>
      </c>
      <c r="E4773">
        <v>0.5472089</v>
      </c>
      <c r="F4773" t="s">
        <v>39</v>
      </c>
      <c r="G4773">
        <v>-353.55990000000003</v>
      </c>
      <c r="H4773" s="1">
        <v>-2.8976459999999898E-6</v>
      </c>
      <c r="I4773">
        <v>20.189629999999902</v>
      </c>
      <c r="J4773">
        <v>-369.60480000000001</v>
      </c>
      <c r="K4773">
        <v>1.1047069999999899</v>
      </c>
      <c r="L4773">
        <v>16.905329999999999</v>
      </c>
      <c r="M4773">
        <v>0.99994819999999995</v>
      </c>
      <c r="N4773">
        <v>0</v>
      </c>
      <c r="O4773">
        <v>7.627193E-3</v>
      </c>
      <c r="P4773">
        <v>0.98210919999999902</v>
      </c>
      <c r="Q4773">
        <v>3.6018889999999998E-2</v>
      </c>
      <c r="R4773">
        <v>0.18483569999999999</v>
      </c>
      <c r="S4773">
        <v>2.9503169999999899</v>
      </c>
      <c r="T4773">
        <v>-0.1993375</v>
      </c>
      <c r="U4773">
        <v>0.59317019999999998</v>
      </c>
      <c r="V4773">
        <v>-0.17743819999999999</v>
      </c>
      <c r="W4773">
        <v>4.2255519999999998E-2</v>
      </c>
      <c r="X4773">
        <v>0.9832244</v>
      </c>
      <c r="Y4773">
        <v>-0.18922739999999999</v>
      </c>
      <c r="Z4773">
        <v>5.8126590000000004E-3</v>
      </c>
      <c r="AA4773">
        <v>0.98191609999999996</v>
      </c>
      <c r="AB4773">
        <v>31</v>
      </c>
      <c r="AC4773">
        <v>16.044899999999899</v>
      </c>
      <c r="AD4773">
        <v>-1.1047098976459999</v>
      </c>
      <c r="AE4773">
        <v>3.2842999999999898</v>
      </c>
      <c r="AF4773">
        <v>-3.14750348497481</v>
      </c>
      <c r="AG4773">
        <v>-1.1047098976459999</v>
      </c>
      <c r="AH4773">
        <v>15.9967013344965</v>
      </c>
      <c r="AI4773">
        <v>93.876404035076703</v>
      </c>
      <c r="AJ4773">
        <v>101.131297618096</v>
      </c>
      <c r="AK4773">
        <v>16.3407960556078</v>
      </c>
    </row>
    <row r="4774" spans="1:37" x14ac:dyDescent="0.2">
      <c r="A4774" t="str">
        <f>"20200111153747161"</f>
        <v>20200111153747161</v>
      </c>
      <c r="B4774" t="str">
        <f>"1578728267158080"</f>
        <v>1578728267158080</v>
      </c>
      <c r="C4774" t="s">
        <v>37</v>
      </c>
      <c r="D4774">
        <v>5.9848910000000002</v>
      </c>
      <c r="E4774">
        <v>0.54727999999999999</v>
      </c>
      <c r="F4774" t="s">
        <v>39</v>
      </c>
      <c r="G4774">
        <v>-354.50510000000003</v>
      </c>
      <c r="H4774" s="1">
        <v>-2.6563979999999899E-6</v>
      </c>
      <c r="I4774">
        <v>17.83024</v>
      </c>
      <c r="J4774">
        <v>-369.30410000000001</v>
      </c>
      <c r="K4774">
        <v>1.1046469999999999</v>
      </c>
      <c r="L4774">
        <v>16.9086</v>
      </c>
      <c r="M4774">
        <v>0.99994050000000001</v>
      </c>
      <c r="N4774">
        <v>0</v>
      </c>
      <c r="O4774">
        <v>8.5807169999999999E-3</v>
      </c>
      <c r="P4774">
        <v>0.98197819999999902</v>
      </c>
      <c r="Q4774">
        <v>3.7060570000000001E-2</v>
      </c>
      <c r="R4774">
        <v>0.18532489999999999</v>
      </c>
      <c r="S4774">
        <v>3.0278930000000002</v>
      </c>
      <c r="T4774">
        <v>-0.22152379999999999</v>
      </c>
      <c r="U4774">
        <v>0.18548580000000001</v>
      </c>
      <c r="V4774">
        <v>-0.17698659999999999</v>
      </c>
      <c r="W4774">
        <v>4.3317410000000001E-2</v>
      </c>
      <c r="X4774">
        <v>0.98325959999999901</v>
      </c>
      <c r="Y4774">
        <v>-5.2460489999999999E-2</v>
      </c>
      <c r="Z4774">
        <v>1.2883650000000001E-3</v>
      </c>
      <c r="AA4774">
        <v>0.99862220000000002</v>
      </c>
      <c r="AB4774">
        <v>32</v>
      </c>
      <c r="AC4774">
        <v>14.7989999999999</v>
      </c>
      <c r="AD4774">
        <v>-1.1046496563979999</v>
      </c>
      <c r="AE4774">
        <v>0.92164000000000001</v>
      </c>
      <c r="AF4774">
        <v>-0.79023126948137001</v>
      </c>
      <c r="AG4774">
        <v>-1.1046496563979999</v>
      </c>
      <c r="AH4774">
        <v>14.724639976681299</v>
      </c>
      <c r="AI4774">
        <v>94.284178403411801</v>
      </c>
      <c r="AJ4774">
        <v>93.071961224012</v>
      </c>
      <c r="AK4774">
        <v>14.787147756262099</v>
      </c>
    </row>
    <row r="4775" spans="1:37" x14ac:dyDescent="0.2">
      <c r="A4775" t="str">
        <f>"20200111153747184"</f>
        <v>20200111153747184</v>
      </c>
      <c r="B4775" t="str">
        <f>"1578728267178208"</f>
        <v>1578728267178208</v>
      </c>
      <c r="C4775" t="s">
        <v>37</v>
      </c>
      <c r="D4775">
        <v>5.9781639999999996</v>
      </c>
      <c r="E4775">
        <v>0.54636280000000004</v>
      </c>
      <c r="F4775" t="s">
        <v>39</v>
      </c>
      <c r="G4775">
        <v>-353.6918</v>
      </c>
      <c r="H4775" s="1">
        <v>-2.9983289999999999E-6</v>
      </c>
      <c r="I4775">
        <v>17.869599999999998</v>
      </c>
      <c r="J4775">
        <v>-368.98059999999998</v>
      </c>
      <c r="K4775">
        <v>1.104579</v>
      </c>
      <c r="L4775">
        <v>16.91235</v>
      </c>
      <c r="M4775">
        <v>0.99993199999999904</v>
      </c>
      <c r="N4775">
        <v>0</v>
      </c>
      <c r="O4775">
        <v>9.5269009999999904E-3</v>
      </c>
      <c r="P4775">
        <v>0.98188539999999902</v>
      </c>
      <c r="Q4775">
        <v>3.7322099999999997E-2</v>
      </c>
      <c r="R4775">
        <v>0.1857644</v>
      </c>
      <c r="S4775">
        <v>3.0279849999999899</v>
      </c>
      <c r="T4775">
        <v>-0.21424589999999999</v>
      </c>
      <c r="U4775">
        <v>0.18640139999999999</v>
      </c>
      <c r="V4775">
        <v>-0.17649020000000001</v>
      </c>
      <c r="W4775">
        <v>4.3599430000000002E-2</v>
      </c>
      <c r="X4775">
        <v>0.98333630000000005</v>
      </c>
      <c r="Y4775">
        <v>-5.1825999999999997E-2</v>
      </c>
      <c r="Z4775">
        <v>1.1569060000000001E-3</v>
      </c>
      <c r="AA4775">
        <v>0.99865539999999997</v>
      </c>
      <c r="AB4775">
        <v>32</v>
      </c>
      <c r="AC4775">
        <v>15.288799999999901</v>
      </c>
      <c r="AD4775">
        <v>-1.1045819983289999</v>
      </c>
      <c r="AE4775">
        <v>0.95724999999999805</v>
      </c>
      <c r="AF4775">
        <v>-0.807350670452189</v>
      </c>
      <c r="AG4775">
        <v>-1.1045819983289999</v>
      </c>
      <c r="AH4775">
        <v>15.218101566077401</v>
      </c>
      <c r="AI4775">
        <v>94.145634440997398</v>
      </c>
      <c r="AJ4775">
        <v>93.036808580135897</v>
      </c>
      <c r="AK4775">
        <v>15.2794807428642</v>
      </c>
    </row>
    <row r="4776" spans="1:37" x14ac:dyDescent="0.2">
      <c r="A4776" t="str">
        <f>"20200111153747197"</f>
        <v>20200111153747197</v>
      </c>
      <c r="B4776" t="str">
        <f>"1578728267187968"</f>
        <v>1578728267187968</v>
      </c>
      <c r="C4776" t="s">
        <v>37</v>
      </c>
      <c r="D4776">
        <v>5.9699519999999904</v>
      </c>
      <c r="E4776">
        <v>0.54614770000000001</v>
      </c>
      <c r="F4776" t="s">
        <v>39</v>
      </c>
      <c r="G4776">
        <v>-353.12049999999999</v>
      </c>
      <c r="H4776" s="1">
        <v>-3.232042E-6</v>
      </c>
      <c r="I4776">
        <v>17.933859999999999</v>
      </c>
      <c r="J4776">
        <v>-368.77730000000003</v>
      </c>
      <c r="K4776">
        <v>1.1045399999999901</v>
      </c>
      <c r="L4776">
        <v>16.91479</v>
      </c>
      <c r="M4776">
        <v>0.9999266</v>
      </c>
      <c r="N4776">
        <v>0</v>
      </c>
      <c r="O4776">
        <v>1.008734E-2</v>
      </c>
      <c r="P4776">
        <v>0.98181469999999904</v>
      </c>
      <c r="Q4776">
        <v>3.7395339999999999E-2</v>
      </c>
      <c r="R4776">
        <v>0.1861236</v>
      </c>
      <c r="S4776">
        <v>3.0265200000000001</v>
      </c>
      <c r="T4776">
        <v>-0.2107821</v>
      </c>
      <c r="U4776">
        <v>0.19494629999999999</v>
      </c>
      <c r="V4776">
        <v>-0.17629539999999999</v>
      </c>
      <c r="W4776">
        <v>4.3684710000000002E-2</v>
      </c>
      <c r="X4776">
        <v>0.9833674</v>
      </c>
      <c r="Y4776">
        <v>-5.410334E-2</v>
      </c>
      <c r="Z4776">
        <v>1.178885E-3</v>
      </c>
      <c r="AA4776">
        <v>0.99853459999999905</v>
      </c>
      <c r="AB4776">
        <v>32</v>
      </c>
      <c r="AC4776">
        <v>15.6568</v>
      </c>
      <c r="AD4776">
        <v>-1.1045432320419999</v>
      </c>
      <c r="AE4776">
        <v>1.0190699999999899</v>
      </c>
      <c r="AF4776">
        <v>-0.856832740822567</v>
      </c>
      <c r="AG4776">
        <v>-1.1045432320419999</v>
      </c>
      <c r="AH4776">
        <v>15.5890254923559</v>
      </c>
      <c r="AI4776">
        <v>94.046768514987093</v>
      </c>
      <c r="AJ4776">
        <v>93.146030667316495</v>
      </c>
      <c r="AK4776">
        <v>15.651578000269399</v>
      </c>
    </row>
    <row r="4777" spans="1:37" x14ac:dyDescent="0.2">
      <c r="A4777" t="str">
        <f>"20200111153747218"</f>
        <v>20200111153747218</v>
      </c>
      <c r="B4777" t="str">
        <f>"1578728267207487"</f>
        <v>1578728267207487</v>
      </c>
      <c r="C4777" t="s">
        <v>37</v>
      </c>
      <c r="D4777">
        <v>5.9925730000000001</v>
      </c>
      <c r="E4777">
        <v>0.54569239999999997</v>
      </c>
      <c r="F4777" t="s">
        <v>39</v>
      </c>
      <c r="G4777">
        <v>-352.86770000000001</v>
      </c>
      <c r="H4777" s="1">
        <v>-3.336878E-6</v>
      </c>
      <c r="I4777">
        <v>17.954070000000002</v>
      </c>
      <c r="J4777">
        <v>-368.4966</v>
      </c>
      <c r="K4777">
        <v>1.1044909999999999</v>
      </c>
      <c r="L4777">
        <v>16.918369999999999</v>
      </c>
      <c r="M4777">
        <v>0.99991890000000005</v>
      </c>
      <c r="N4777">
        <v>0</v>
      </c>
      <c r="O4777">
        <v>1.080972E-2</v>
      </c>
      <c r="P4777">
        <v>0.98183489999999995</v>
      </c>
      <c r="Q4777">
        <v>3.6839530000000002E-2</v>
      </c>
      <c r="R4777">
        <v>0.1861265</v>
      </c>
      <c r="S4777">
        <v>3.0260929999999999</v>
      </c>
      <c r="T4777">
        <v>-0.21008979999999899</v>
      </c>
      <c r="U4777">
        <v>0.19769289999999901</v>
      </c>
      <c r="V4777">
        <v>-0.17558109999999999</v>
      </c>
      <c r="W4777">
        <v>4.3147350000000001E-2</v>
      </c>
      <c r="X4777">
        <v>0.98351900000000003</v>
      </c>
      <c r="Y4777">
        <v>-5.4295459999999997E-2</v>
      </c>
      <c r="Z4777">
        <v>1.1317789999999901E-3</v>
      </c>
      <c r="AA4777">
        <v>0.99852419999999997</v>
      </c>
      <c r="AB4777">
        <v>32</v>
      </c>
      <c r="AC4777">
        <v>15.6288999999999</v>
      </c>
      <c r="AD4777">
        <v>-1.10449433687799</v>
      </c>
      <c r="AE4777">
        <v>1.0357000000000001</v>
      </c>
      <c r="AF4777">
        <v>-0.86240339606380301</v>
      </c>
      <c r="AG4777">
        <v>-1.10449433687799</v>
      </c>
      <c r="AH4777">
        <v>15.561802991695</v>
      </c>
      <c r="AI4777">
        <v>94.0535442048118</v>
      </c>
      <c r="AJ4777">
        <v>93.171970747441094</v>
      </c>
      <c r="AK4777">
        <v>15.624767508992401</v>
      </c>
    </row>
    <row r="4778" spans="1:37" x14ac:dyDescent="0.2">
      <c r="A4778" t="str">
        <f>"20200111153747240"</f>
        <v>20200111153747240</v>
      </c>
      <c r="B4778" t="str">
        <f>"1578728267227987"</f>
        <v>1578728267227987</v>
      </c>
      <c r="C4778" t="s">
        <v>37</v>
      </c>
      <c r="D4778">
        <v>5.9925160000000002</v>
      </c>
      <c r="E4778">
        <v>0.54536099999999998</v>
      </c>
      <c r="F4778" t="s">
        <v>39</v>
      </c>
      <c r="G4778">
        <v>-352.79559999999998</v>
      </c>
      <c r="H4778" s="1">
        <v>-3.3666830000000001E-6</v>
      </c>
      <c r="I4778">
        <v>17.9604</v>
      </c>
      <c r="J4778">
        <v>-368.17610000000002</v>
      </c>
      <c r="K4778">
        <v>1.1044399999999901</v>
      </c>
      <c r="L4778">
        <v>16.922609999999999</v>
      </c>
      <c r="M4778">
        <v>0.99991039999999998</v>
      </c>
      <c r="N4778">
        <v>0</v>
      </c>
      <c r="O4778">
        <v>1.157302E-2</v>
      </c>
      <c r="P4778">
        <v>0.98160480000000006</v>
      </c>
      <c r="Q4778">
        <v>3.6962080000000001E-2</v>
      </c>
      <c r="R4778">
        <v>0.1873126</v>
      </c>
      <c r="S4778">
        <v>3.0254209999999899</v>
      </c>
      <c r="T4778">
        <v>-0.21282429999999999</v>
      </c>
      <c r="U4778">
        <v>0.2008057</v>
      </c>
      <c r="V4778">
        <v>-0.1760138</v>
      </c>
      <c r="W4778">
        <v>4.3286449999999997E-2</v>
      </c>
      <c r="X4778">
        <v>0.98343549999999902</v>
      </c>
      <c r="Y4778">
        <v>-5.4569020000000003E-2</v>
      </c>
      <c r="Z4778">
        <v>1.102731E-3</v>
      </c>
      <c r="AA4778">
        <v>0.99850939999999999</v>
      </c>
      <c r="AB4778">
        <v>32</v>
      </c>
      <c r="AC4778">
        <v>15.3805</v>
      </c>
      <c r="AD4778">
        <v>-1.10444336668299</v>
      </c>
      <c r="AE4778">
        <v>1.03779</v>
      </c>
      <c r="AF4778">
        <v>-0.85532721985179205</v>
      </c>
      <c r="AG4778">
        <v>-1.10444336668299</v>
      </c>
      <c r="AH4778">
        <v>15.312879198720999</v>
      </c>
      <c r="AI4778">
        <v>94.118923639000997</v>
      </c>
      <c r="AJ4778">
        <v>93.197032242753394</v>
      </c>
      <c r="AK4778">
        <v>15.3764641305422</v>
      </c>
    </row>
    <row r="4779" spans="1:37" x14ac:dyDescent="0.2">
      <c r="A4779" t="str">
        <f>"20200111153747262"</f>
        <v>20200111153747262</v>
      </c>
      <c r="B4779" t="str">
        <f>"1578728267258240"</f>
        <v>1578728267258240</v>
      </c>
      <c r="C4779" t="s">
        <v>37</v>
      </c>
      <c r="D4779">
        <v>5.9941839999999997</v>
      </c>
      <c r="E4779">
        <v>0.54478930000000003</v>
      </c>
      <c r="F4779" t="s">
        <v>39</v>
      </c>
      <c r="G4779">
        <v>-352.40949999999998</v>
      </c>
      <c r="H4779" s="1">
        <v>-3.5253590000000001E-6</v>
      </c>
      <c r="I4779">
        <v>17.999610000000001</v>
      </c>
      <c r="J4779">
        <v>-367.86779999999999</v>
      </c>
      <c r="K4779">
        <v>1.104395</v>
      </c>
      <c r="L4779">
        <v>16.926909999999999</v>
      </c>
      <c r="M4779">
        <v>0.99990239999999997</v>
      </c>
      <c r="N4779">
        <v>0</v>
      </c>
      <c r="O4779">
        <v>1.2253490000000001E-2</v>
      </c>
      <c r="P4779">
        <v>0.9814811</v>
      </c>
      <c r="Q4779">
        <v>3.6834659999999998E-2</v>
      </c>
      <c r="R4779">
        <v>0.18798489999999901</v>
      </c>
      <c r="S4779">
        <v>3.02475</v>
      </c>
      <c r="T4779">
        <v>-0.2118835</v>
      </c>
      <c r="U4779">
        <v>0.206634499999999</v>
      </c>
      <c r="V4779">
        <v>-0.1760138</v>
      </c>
      <c r="W4779">
        <v>4.3174980000000002E-2</v>
      </c>
      <c r="X4779">
        <v>0.98344050000000005</v>
      </c>
      <c r="Y4779">
        <v>-5.5819100000000003E-2</v>
      </c>
      <c r="Z4779">
        <v>1.094179E-3</v>
      </c>
      <c r="AA4779">
        <v>0.99844029999999995</v>
      </c>
      <c r="AB4779">
        <v>32</v>
      </c>
      <c r="AC4779">
        <v>15.458299999999999</v>
      </c>
      <c r="AD4779">
        <v>-1.1043985253590001</v>
      </c>
      <c r="AE4779">
        <v>1.0727</v>
      </c>
      <c r="AF4779">
        <v>-0.87873332993001796</v>
      </c>
      <c r="AG4779">
        <v>-1.1043985253590001</v>
      </c>
      <c r="AH4779">
        <v>15.3920960836092</v>
      </c>
      <c r="AI4779">
        <v>94.097348318445896</v>
      </c>
      <c r="AJ4779">
        <v>93.267463953555094</v>
      </c>
      <c r="AK4779">
        <v>15.456664912425399</v>
      </c>
    </row>
    <row r="4780" spans="1:37" x14ac:dyDescent="0.2">
      <c r="A4780" t="str">
        <f>"20200111153747284"</f>
        <v>20200111153747284</v>
      </c>
      <c r="B4780" t="str">
        <f>"1578728267277622"</f>
        <v>1578728267277622</v>
      </c>
      <c r="C4780" t="s">
        <v>37</v>
      </c>
      <c r="D4780">
        <v>6.0112579999999998</v>
      </c>
      <c r="E4780">
        <v>0.54455109999999995</v>
      </c>
      <c r="F4780" t="s">
        <v>39</v>
      </c>
      <c r="G4780">
        <v>-352.17180000000002</v>
      </c>
      <c r="H4780" s="1">
        <v>-3.6215179999999899E-6</v>
      </c>
      <c r="I4780">
        <v>18.03238</v>
      </c>
      <c r="J4780">
        <v>-367.5453</v>
      </c>
      <c r="K4780">
        <v>1.1043499999999999</v>
      </c>
      <c r="L4780">
        <v>16.931550000000001</v>
      </c>
      <c r="M4780">
        <v>0.99989380000000005</v>
      </c>
      <c r="N4780">
        <v>0</v>
      </c>
      <c r="O4780">
        <v>1.292834E-2</v>
      </c>
      <c r="P4780">
        <v>0.98143609999999903</v>
      </c>
      <c r="Q4780">
        <v>3.7028249999999999E-2</v>
      </c>
      <c r="R4780">
        <v>0.1881815</v>
      </c>
      <c r="S4780">
        <v>3.0238040000000002</v>
      </c>
      <c r="T4780">
        <v>-0.21276039999999999</v>
      </c>
      <c r="U4780">
        <v>0.21298220000000001</v>
      </c>
      <c r="V4780">
        <v>-0.17554320000000001</v>
      </c>
      <c r="W4780">
        <v>4.3384590000000001E-2</v>
      </c>
      <c r="X4780">
        <v>0.98351529999999998</v>
      </c>
      <c r="Y4780">
        <v>-5.7249550000000003E-2</v>
      </c>
      <c r="Z4780">
        <v>1.101809E-3</v>
      </c>
      <c r="AA4780">
        <v>0.99835929999999995</v>
      </c>
      <c r="AB4780">
        <v>32</v>
      </c>
      <c r="AC4780">
        <v>15.3734999999999</v>
      </c>
      <c r="AD4780">
        <v>-1.1043536215180001</v>
      </c>
      <c r="AE4780">
        <v>1.10082999999999</v>
      </c>
      <c r="AF4780">
        <v>-0.89737261714396699</v>
      </c>
      <c r="AG4780">
        <v>-1.1043536215180001</v>
      </c>
      <c r="AH4780">
        <v>15.307857906557899</v>
      </c>
      <c r="AI4780">
        <v>94.119288802110205</v>
      </c>
      <c r="AJ4780">
        <v>93.354936292649995</v>
      </c>
      <c r="AK4780">
        <v>15.3738540458379</v>
      </c>
    </row>
    <row r="4781" spans="1:37" x14ac:dyDescent="0.2">
      <c r="A4781" t="str">
        <f>"20200111153747306"</f>
        <v>20200111153747306</v>
      </c>
      <c r="B4781" t="str">
        <f>"1578728267298121"</f>
        <v>1578728267298121</v>
      </c>
      <c r="C4781" t="s">
        <v>37</v>
      </c>
      <c r="D4781">
        <v>6.0082570000000004</v>
      </c>
      <c r="E4781">
        <v>0.54421809999999904</v>
      </c>
      <c r="F4781" t="s">
        <v>39</v>
      </c>
      <c r="G4781">
        <v>-351.76679999999999</v>
      </c>
      <c r="H4781" s="1">
        <v>-3.7911189999999999E-6</v>
      </c>
      <c r="I4781">
        <v>18.055869999999999</v>
      </c>
      <c r="J4781">
        <v>-367.22059999999999</v>
      </c>
      <c r="K4781">
        <v>1.104317</v>
      </c>
      <c r="L4781">
        <v>16.93637</v>
      </c>
      <c r="M4781">
        <v>0.99988509999999997</v>
      </c>
      <c r="N4781">
        <v>0</v>
      </c>
      <c r="O4781">
        <v>1.3578430000000001E-2</v>
      </c>
      <c r="P4781">
        <v>0.981581699999999</v>
      </c>
      <c r="Q4781">
        <v>3.6627399999999997E-2</v>
      </c>
      <c r="R4781">
        <v>0.18749859999999999</v>
      </c>
      <c r="S4781">
        <v>3.0234070000000002</v>
      </c>
      <c r="T4781">
        <v>-0.211611299999999</v>
      </c>
      <c r="U4781">
        <v>0.21545410000000001</v>
      </c>
      <c r="V4781">
        <v>-0.17421500000000001</v>
      </c>
      <c r="W4781">
        <v>4.3000620000000003E-2</v>
      </c>
      <c r="X4781">
        <v>0.98376830000000004</v>
      </c>
      <c r="Y4781">
        <v>-5.7424129999999997E-2</v>
      </c>
      <c r="Z4781">
        <v>1.056705E-3</v>
      </c>
      <c r="AA4781">
        <v>0.9983493</v>
      </c>
      <c r="AB4781">
        <v>32</v>
      </c>
      <c r="AC4781">
        <v>15.453799999999999</v>
      </c>
      <c r="AD4781">
        <v>-1.1043207911190001</v>
      </c>
      <c r="AE4781">
        <v>1.1194999999999999</v>
      </c>
      <c r="AF4781">
        <v>-0.90495668014299002</v>
      </c>
      <c r="AG4781">
        <v>-1.1043207911190001</v>
      </c>
      <c r="AH4781">
        <v>15.3894015160952</v>
      </c>
      <c r="AI4781">
        <v>94.097371597903404</v>
      </c>
      <c r="AJ4781">
        <v>93.365339310018797</v>
      </c>
      <c r="AK4781">
        <v>15.455489316945799</v>
      </c>
    </row>
    <row r="4782" spans="1:37" x14ac:dyDescent="0.2">
      <c r="A4782" t="str">
        <f>"20200111153747320"</f>
        <v>20200111153747320</v>
      </c>
      <c r="B4782" t="str">
        <f>"1578728267307878"</f>
        <v>1578728267307878</v>
      </c>
      <c r="C4782" t="s">
        <v>37</v>
      </c>
      <c r="D4782">
        <v>6.0003789999999997</v>
      </c>
      <c r="E4782">
        <v>0.54412349999999998</v>
      </c>
      <c r="F4782" t="s">
        <v>39</v>
      </c>
      <c r="G4782">
        <v>-351.53390000000002</v>
      </c>
      <c r="H4782" s="1">
        <v>-3.8908110000000002E-6</v>
      </c>
      <c r="I4782">
        <v>18.056999999999999</v>
      </c>
      <c r="J4782">
        <v>-367.01799999999997</v>
      </c>
      <c r="K4782">
        <v>1.104295</v>
      </c>
      <c r="L4782">
        <v>16.939509999999999</v>
      </c>
      <c r="M4782">
        <v>0.99987979999999999</v>
      </c>
      <c r="N4782">
        <v>0</v>
      </c>
      <c r="O4782">
        <v>1.3973080000000001E-2</v>
      </c>
      <c r="P4782">
        <v>0.98163769999999995</v>
      </c>
      <c r="Q4782">
        <v>3.640869E-2</v>
      </c>
      <c r="R4782">
        <v>0.1872489</v>
      </c>
      <c r="S4782">
        <v>3.02298</v>
      </c>
      <c r="T4782">
        <v>-0.21281329999999901</v>
      </c>
      <c r="U4782">
        <v>0.215972899999999</v>
      </c>
      <c r="V4782">
        <v>-0.1735739</v>
      </c>
      <c r="W4782">
        <v>4.279053E-2</v>
      </c>
      <c r="X4782">
        <v>0.98389079999999995</v>
      </c>
      <c r="Y4782">
        <v>-5.7210810000000001E-2</v>
      </c>
      <c r="Z4782">
        <v>1.02764E-3</v>
      </c>
      <c r="AA4782">
        <v>0.99836159999999996</v>
      </c>
      <c r="AB4782">
        <v>32</v>
      </c>
      <c r="AC4782">
        <v>15.4841</v>
      </c>
      <c r="AD4782">
        <v>-1.1042988908110001</v>
      </c>
      <c r="AE4782">
        <v>1.1174900000000001</v>
      </c>
      <c r="AF4782">
        <v>-0.89647931568710704</v>
      </c>
      <c r="AG4782">
        <v>-1.1042988908110001</v>
      </c>
      <c r="AH4782">
        <v>15.4201782344071</v>
      </c>
      <c r="AI4782">
        <v>94.089299138941797</v>
      </c>
      <c r="AJ4782">
        <v>93.3272462122478</v>
      </c>
      <c r="AK4782">
        <v>15.485640057310601</v>
      </c>
    </row>
    <row r="4783" spans="1:37" x14ac:dyDescent="0.2">
      <c r="A4783" t="str">
        <f>"20200111153747340"</f>
        <v>20200111153747340</v>
      </c>
      <c r="B4783" t="str">
        <f>"1578728267328374"</f>
        <v>1578728267328374</v>
      </c>
      <c r="C4783" t="s">
        <v>37</v>
      </c>
      <c r="D4783">
        <v>6.0101649999999998</v>
      </c>
      <c r="E4783">
        <v>0.5438347</v>
      </c>
      <c r="F4783" t="s">
        <v>39</v>
      </c>
      <c r="G4783">
        <v>-351.41090000000003</v>
      </c>
      <c r="H4783" s="1">
        <v>-3.9438100000000001E-6</v>
      </c>
      <c r="I4783">
        <v>18.055610000000001</v>
      </c>
      <c r="J4783">
        <v>-366.74029999999999</v>
      </c>
      <c r="K4783">
        <v>1.104263</v>
      </c>
      <c r="L4783">
        <v>16.943909999999999</v>
      </c>
      <c r="M4783">
        <v>0.99987209999999904</v>
      </c>
      <c r="N4783">
        <v>0</v>
      </c>
      <c r="O4783">
        <v>1.449986E-2</v>
      </c>
      <c r="P4783">
        <v>0.98188679999999995</v>
      </c>
      <c r="Q4783">
        <v>3.5441140000000003E-2</v>
      </c>
      <c r="R4783">
        <v>0.1861247</v>
      </c>
      <c r="S4783">
        <v>3.0228269999999999</v>
      </c>
      <c r="T4783">
        <v>-0.21388499999999999</v>
      </c>
      <c r="U4783">
        <v>0.216186499999999</v>
      </c>
      <c r="V4783">
        <v>-0.17192489999999999</v>
      </c>
      <c r="W4783">
        <v>4.1835799999999999E-2</v>
      </c>
      <c r="X4783">
        <v>0.98422129999999997</v>
      </c>
      <c r="Y4783">
        <v>-5.6759950000000003E-2</v>
      </c>
      <c r="Z4783">
        <v>9.7977299999999997E-4</v>
      </c>
      <c r="AA4783">
        <v>0.99838739999999904</v>
      </c>
      <c r="AB4783">
        <v>32</v>
      </c>
      <c r="AC4783">
        <v>15.3293999999999</v>
      </c>
      <c r="AD4783">
        <v>-1.1042669438099999</v>
      </c>
      <c r="AE4783">
        <v>1.1116999999999999</v>
      </c>
      <c r="AF4783">
        <v>-0.88473687821532998</v>
      </c>
      <c r="AG4783">
        <v>-1.1042669438099999</v>
      </c>
      <c r="AH4783">
        <v>15.2651094195657</v>
      </c>
      <c r="AI4783">
        <v>94.130620189507894</v>
      </c>
      <c r="AJ4783">
        <v>93.317044223801105</v>
      </c>
      <c r="AK4783">
        <v>15.330548927490501</v>
      </c>
    </row>
    <row r="4784" spans="1:37" x14ac:dyDescent="0.2">
      <c r="A4784" t="str">
        <f>"20200111153747353"</f>
        <v>20200111153747353</v>
      </c>
      <c r="B4784" t="str">
        <f>"1578728267347894"</f>
        <v>1578728267347894</v>
      </c>
      <c r="C4784" t="s">
        <v>37</v>
      </c>
      <c r="D4784">
        <v>5.9866799999999998</v>
      </c>
      <c r="E4784">
        <v>0.54379309999999903</v>
      </c>
      <c r="F4784" t="s">
        <v>39</v>
      </c>
      <c r="G4784">
        <v>-351.37119999999999</v>
      </c>
      <c r="H4784" s="1">
        <v>-3.9639960000000004E-6</v>
      </c>
      <c r="I4784">
        <v>18.037859999999998</v>
      </c>
      <c r="J4784">
        <v>-366.53219999999999</v>
      </c>
      <c r="K4784">
        <v>1.104249</v>
      </c>
      <c r="L4784">
        <v>16.94727</v>
      </c>
      <c r="M4784">
        <v>0.99986659999999905</v>
      </c>
      <c r="N4784">
        <v>0</v>
      </c>
      <c r="O4784">
        <v>1.488722E-2</v>
      </c>
      <c r="P4784">
        <v>0.98196969999999995</v>
      </c>
      <c r="Q4784">
        <v>3.5177559999999997E-2</v>
      </c>
      <c r="R4784">
        <v>0.1857366</v>
      </c>
      <c r="S4784">
        <v>3.0224299999999999</v>
      </c>
      <c r="T4784">
        <v>-0.2171614</v>
      </c>
      <c r="U4784">
        <v>0.2151489</v>
      </c>
      <c r="V4784">
        <v>-0.17115279999999899</v>
      </c>
      <c r="W4784">
        <v>4.1579480000000002E-2</v>
      </c>
      <c r="X4784">
        <v>0.98436669999999904</v>
      </c>
      <c r="Y4784">
        <v>-5.6041029999999999E-2</v>
      </c>
      <c r="Z4784">
        <v>9.4137189999999996E-4</v>
      </c>
      <c r="AA4784">
        <v>0.99842799999999998</v>
      </c>
      <c r="AB4784">
        <v>32</v>
      </c>
      <c r="AC4784">
        <v>15.161</v>
      </c>
      <c r="AD4784">
        <v>-1.1042529639959999</v>
      </c>
      <c r="AE4784">
        <v>1.0905899999999999</v>
      </c>
      <c r="AF4784">
        <v>-0.86021896781475304</v>
      </c>
      <c r="AG4784">
        <v>-1.1042529639959999</v>
      </c>
      <c r="AH4784">
        <v>15.0958852991337</v>
      </c>
      <c r="AI4784">
        <v>94.1769408931806</v>
      </c>
      <c r="AJ4784">
        <v>93.261396856115297</v>
      </c>
      <c r="AK4784">
        <v>15.1606432662233</v>
      </c>
    </row>
    <row r="4785" spans="1:37" x14ac:dyDescent="0.2">
      <c r="A4785" t="str">
        <f>"20200111153747373"</f>
        <v>20200111153747373</v>
      </c>
      <c r="B4785" t="str">
        <f>"1578728267368390"</f>
        <v>1578728267368390</v>
      </c>
      <c r="C4785" t="s">
        <v>37</v>
      </c>
      <c r="D4785">
        <v>10.2302699999999</v>
      </c>
      <c r="E4785">
        <v>0.54370079999999998</v>
      </c>
      <c r="F4785" t="s">
        <v>39</v>
      </c>
      <c r="G4785">
        <v>-351.23590000000002</v>
      </c>
      <c r="H4785" s="1">
        <v>-4.0231279999999903E-6</v>
      </c>
      <c r="I4785">
        <v>18.03173</v>
      </c>
      <c r="J4785">
        <v>-366.25220000000002</v>
      </c>
      <c r="K4785">
        <v>1.104233</v>
      </c>
      <c r="L4785">
        <v>16.951929999999901</v>
      </c>
      <c r="M4785">
        <v>0.99985859999999904</v>
      </c>
      <c r="N4785">
        <v>0</v>
      </c>
      <c r="O4785">
        <v>1.5404080000000001E-2</v>
      </c>
      <c r="P4785">
        <v>0.98222049999999905</v>
      </c>
      <c r="Q4785">
        <v>3.5043100000000001E-2</v>
      </c>
      <c r="R4785">
        <v>0.18443129999999999</v>
      </c>
      <c r="S4785">
        <v>3.0223689999999999</v>
      </c>
      <c r="T4785">
        <v>-0.21818850000000001</v>
      </c>
      <c r="U4785">
        <v>0.2142944</v>
      </c>
      <c r="V4785">
        <v>-0.1693336</v>
      </c>
      <c r="W4785">
        <v>4.1456090000000001E-2</v>
      </c>
      <c r="X4785">
        <v>0.98468650000000002</v>
      </c>
      <c r="Y4785">
        <v>-5.5247850000000001E-2</v>
      </c>
      <c r="Z4785">
        <v>8.8007739999999997E-4</v>
      </c>
      <c r="AA4785">
        <v>0.99847229999999998</v>
      </c>
      <c r="AB4785">
        <v>32</v>
      </c>
      <c r="AC4785">
        <v>15.016299999999999</v>
      </c>
      <c r="AD4785">
        <v>-1.1042370231280001</v>
      </c>
      <c r="AE4785">
        <v>1.0798000000000001</v>
      </c>
      <c r="AF4785">
        <v>-0.84381484856056199</v>
      </c>
      <c r="AG4785">
        <v>-1.1042370231280001</v>
      </c>
      <c r="AH4785">
        <v>14.950721396901899</v>
      </c>
      <c r="AI4785">
        <v>94.217419783976695</v>
      </c>
      <c r="AJ4785">
        <v>93.230331870459807</v>
      </c>
      <c r="AK4785">
        <v>15.015173431888099</v>
      </c>
    </row>
    <row r="4786" spans="1:37" x14ac:dyDescent="0.2">
      <c r="A4786" t="str">
        <f>"20200111153747388"</f>
        <v>20200111153747388</v>
      </c>
      <c r="B4786" t="str">
        <f>"1578728267378150"</f>
        <v>1578728267378150</v>
      </c>
      <c r="C4786" t="s">
        <v>37</v>
      </c>
      <c r="D4786">
        <v>6.0021379999999898</v>
      </c>
      <c r="E4786">
        <v>0.54365719999999995</v>
      </c>
      <c r="F4786" t="s">
        <v>39</v>
      </c>
      <c r="G4786">
        <v>-350.80630000000002</v>
      </c>
      <c r="H4786" s="1">
        <v>-4.2076259999999996E-6</v>
      </c>
      <c r="I4786">
        <v>18.030629999999999</v>
      </c>
      <c r="J4786">
        <v>-366.03019999999998</v>
      </c>
      <c r="K4786">
        <v>1.1042239999999901</v>
      </c>
      <c r="L4786">
        <v>16.955749999999998</v>
      </c>
      <c r="M4786">
        <v>0.99985219999999897</v>
      </c>
      <c r="N4786">
        <v>0</v>
      </c>
      <c r="O4786">
        <v>1.5810649999999999E-2</v>
      </c>
      <c r="P4786">
        <v>0.98236819999999903</v>
      </c>
      <c r="Q4786">
        <v>3.5028789999999997E-2</v>
      </c>
      <c r="R4786">
        <v>0.18364520000000001</v>
      </c>
      <c r="S4786">
        <v>3.0223689999999999</v>
      </c>
      <c r="T4786">
        <v>-0.21607170000000001</v>
      </c>
      <c r="U4786">
        <v>0.211090099999999</v>
      </c>
      <c r="V4786">
        <v>-0.16814419999999999</v>
      </c>
      <c r="W4786">
        <v>4.1449420000000001E-2</v>
      </c>
      <c r="X4786">
        <v>0.98489059999999995</v>
      </c>
      <c r="Y4786">
        <v>-5.379511E-2</v>
      </c>
      <c r="Z4786">
        <v>7.9080699999999895E-4</v>
      </c>
      <c r="AA4786">
        <v>0.99855169999999904</v>
      </c>
      <c r="AB4786">
        <v>33</v>
      </c>
      <c r="AC4786">
        <v>15.223899999999899</v>
      </c>
      <c r="AD4786">
        <v>-1.1042282076259999</v>
      </c>
      <c r="AE4786">
        <v>1.0748800000000001</v>
      </c>
      <c r="AF4786">
        <v>-0.82969703570876296</v>
      </c>
      <c r="AG4786">
        <v>-1.1042282076259999</v>
      </c>
      <c r="AH4786">
        <v>15.159633153729599</v>
      </c>
      <c r="AI4786">
        <v>94.159865277255093</v>
      </c>
      <c r="AJ4786">
        <v>93.132711528629002</v>
      </c>
      <c r="AK4786">
        <v>15.2224240665289</v>
      </c>
    </row>
    <row r="4787" spans="1:37" x14ac:dyDescent="0.2">
      <c r="A4787" t="str">
        <f>"20200111153747407"</f>
        <v>20200111153747407</v>
      </c>
      <c r="B4787" t="str">
        <f>"1578728267397673"</f>
        <v>1578728267397673</v>
      </c>
      <c r="C4787" t="s">
        <v>37</v>
      </c>
      <c r="D4787">
        <v>6.100301</v>
      </c>
      <c r="E4787">
        <v>0.54363969999999995</v>
      </c>
      <c r="F4787" t="s">
        <v>39</v>
      </c>
      <c r="G4787">
        <v>-350.51119999999997</v>
      </c>
      <c r="H4787" s="1">
        <v>-4.3344779999999902E-6</v>
      </c>
      <c r="I4787">
        <v>18.029319999999998</v>
      </c>
      <c r="J4787">
        <v>-365.75349999999997</v>
      </c>
      <c r="K4787">
        <v>1.10422</v>
      </c>
      <c r="L4787">
        <v>16.960599999999999</v>
      </c>
      <c r="M4787">
        <v>0.99984419999999996</v>
      </c>
      <c r="N4787">
        <v>0</v>
      </c>
      <c r="O4787">
        <v>1.6314439999999999E-2</v>
      </c>
      <c r="P4787">
        <v>0.98273539999999904</v>
      </c>
      <c r="Q4787">
        <v>3.5268859999999999E-2</v>
      </c>
      <c r="R4787">
        <v>0.1816247</v>
      </c>
      <c r="S4787">
        <v>3.022491</v>
      </c>
      <c r="T4787">
        <v>-0.2150598</v>
      </c>
      <c r="U4787">
        <v>0.2091064</v>
      </c>
      <c r="V4787">
        <v>-0.16562089999999999</v>
      </c>
      <c r="W4787">
        <v>4.1700500000000001E-2</v>
      </c>
      <c r="X4787">
        <v>0.9853075</v>
      </c>
      <c r="Y4787">
        <v>-5.2642029999999999E-2</v>
      </c>
      <c r="Z4787">
        <v>7.1043029999999995E-4</v>
      </c>
      <c r="AA4787">
        <v>0.99861319999999998</v>
      </c>
      <c r="AB4787">
        <v>33</v>
      </c>
      <c r="AC4787">
        <v>15.2423</v>
      </c>
      <c r="AD4787">
        <v>-1.1042243344780001</v>
      </c>
      <c r="AE4787">
        <v>1.0687199999999999</v>
      </c>
      <c r="AF4787">
        <v>-0.81564277595100498</v>
      </c>
      <c r="AG4787">
        <v>-1.1042243344780001</v>
      </c>
      <c r="AH4787">
        <v>15.178436924127499</v>
      </c>
      <c r="AI4787">
        <v>94.154937856259195</v>
      </c>
      <c r="AJ4787">
        <v>93.075941467638103</v>
      </c>
      <c r="AK4787">
        <v>15.240391464084199</v>
      </c>
    </row>
    <row r="4788" spans="1:37" x14ac:dyDescent="0.2">
      <c r="A4788" t="str">
        <f>"20200111153747430"</f>
        <v>20200111153747430</v>
      </c>
      <c r="B4788" t="str">
        <f>"1578728267418169"</f>
        <v>1578728267418169</v>
      </c>
      <c r="C4788" t="s">
        <v>37</v>
      </c>
      <c r="D4788">
        <v>5.9837980000000002</v>
      </c>
      <c r="E4788">
        <v>0.56252419999999903</v>
      </c>
      <c r="F4788" t="s">
        <v>39</v>
      </c>
      <c r="G4788">
        <v>-350.07690000000002</v>
      </c>
      <c r="H4788" s="1">
        <v>-4.5236890000000003E-6</v>
      </c>
      <c r="I4788">
        <v>18.012989999999999</v>
      </c>
      <c r="J4788">
        <v>-365.42520000000002</v>
      </c>
      <c r="K4788">
        <v>1.104217</v>
      </c>
      <c r="L4788">
        <v>16.966519999999999</v>
      </c>
      <c r="M4788">
        <v>0.99983429999999995</v>
      </c>
      <c r="N4788">
        <v>0</v>
      </c>
      <c r="O4788">
        <v>1.6908759999999998E-2</v>
      </c>
      <c r="P4788">
        <v>0.98312389999999905</v>
      </c>
      <c r="Q4788">
        <v>3.5727309999999998E-2</v>
      </c>
      <c r="R4788">
        <v>0.17941799999999999</v>
      </c>
      <c r="S4788">
        <v>3.0228269999999999</v>
      </c>
      <c r="T4788">
        <v>-0.2129211</v>
      </c>
      <c r="U4788">
        <v>0.20294189999999901</v>
      </c>
      <c r="V4788">
        <v>-0.16282199999999999</v>
      </c>
      <c r="W4788">
        <v>4.2170720000000002E-2</v>
      </c>
      <c r="X4788">
        <v>0.98575380000000001</v>
      </c>
      <c r="Y4788">
        <v>-5.0023270000000002E-2</v>
      </c>
      <c r="Z4788">
        <v>5.6958699999999998E-4</v>
      </c>
      <c r="AA4788">
        <v>0.99874789999999902</v>
      </c>
      <c r="AB4788">
        <v>33</v>
      </c>
      <c r="AC4788">
        <v>15.348299999999901</v>
      </c>
      <c r="AD4788">
        <v>-1.1042215236890001</v>
      </c>
      <c r="AE4788">
        <v>1.04646999999999</v>
      </c>
      <c r="AF4788">
        <v>-0.78276096442468401</v>
      </c>
      <c r="AG4788">
        <v>-1.1042215236890001</v>
      </c>
      <c r="AH4788">
        <v>15.285051661843699</v>
      </c>
      <c r="AI4788">
        <v>94.126590297137895</v>
      </c>
      <c r="AJ4788">
        <v>92.931606380651601</v>
      </c>
      <c r="AK4788">
        <v>15.344863121124201</v>
      </c>
    </row>
    <row r="4789" spans="1:37" x14ac:dyDescent="0.2">
      <c r="A4789" t="str">
        <f>"20200111153747445"</f>
        <v>20200111153747445</v>
      </c>
      <c r="B4789" t="str">
        <f>"1578728267438278"</f>
        <v>1578728267438278</v>
      </c>
      <c r="C4789" t="s">
        <v>37</v>
      </c>
      <c r="D4789">
        <v>5.9260479999999998</v>
      </c>
      <c r="E4789">
        <v>0.59108530000000004</v>
      </c>
      <c r="F4789" t="s">
        <v>38</v>
      </c>
      <c r="G4789">
        <v>-364.56450000000001</v>
      </c>
      <c r="H4789">
        <v>1.0349539999999999</v>
      </c>
      <c r="I4789">
        <v>16.97991</v>
      </c>
      <c r="J4789">
        <v>-365.19900000000001</v>
      </c>
      <c r="K4789">
        <v>1.104214</v>
      </c>
      <c r="L4789">
        <v>16.970700000000001</v>
      </c>
      <c r="M4789">
        <v>0.99982739999999903</v>
      </c>
      <c r="N4789">
        <v>0</v>
      </c>
      <c r="O4789">
        <v>1.731487E-2</v>
      </c>
      <c r="P4789">
        <v>0.98331729999999995</v>
      </c>
      <c r="Q4789">
        <v>3.6176800000000002E-2</v>
      </c>
      <c r="R4789">
        <v>0.17826510000000001</v>
      </c>
      <c r="S4789">
        <v>3.051666</v>
      </c>
      <c r="T4789">
        <v>-0.24560279999999901</v>
      </c>
      <c r="U4789">
        <v>4.7973630000000003E-2</v>
      </c>
      <c r="V4789">
        <v>-0.16126559999999901</v>
      </c>
      <c r="W4789">
        <v>4.2628069999999997E-2</v>
      </c>
      <c r="X4789">
        <v>0.98598999999999903</v>
      </c>
      <c r="Y4789">
        <v>1.536022E-3</v>
      </c>
      <c r="Z4789">
        <v>-1.452832E-3</v>
      </c>
      <c r="AA4789">
        <v>0.99999780000000005</v>
      </c>
      <c r="AB4789">
        <v>33</v>
      </c>
      <c r="AC4789">
        <v>0.63450000000000195</v>
      </c>
      <c r="AD4789">
        <v>-6.9259999999999794E-2</v>
      </c>
      <c r="AE4789">
        <v>9.2099999999994894E-3</v>
      </c>
      <c r="AF4789">
        <v>1.7569845584296201E-3</v>
      </c>
      <c r="AG4789">
        <v>-6.9259999999999794E-2</v>
      </c>
      <c r="AH4789">
        <v>0.62709396640130399</v>
      </c>
      <c r="AI4789">
        <v>96.302519313131995</v>
      </c>
      <c r="AJ4789">
        <v>89.839469773514196</v>
      </c>
      <c r="AK4789">
        <v>0.63090956348089899</v>
      </c>
    </row>
    <row r="4790" spans="1:37" x14ac:dyDescent="0.2">
      <c r="A4790" t="str">
        <f>"20200111153747462"</f>
        <v>20200111153747462</v>
      </c>
      <c r="B4790" t="str">
        <f>"1578728267457797"</f>
        <v>1578728267457797</v>
      </c>
      <c r="C4790" t="s">
        <v>37</v>
      </c>
      <c r="D4790">
        <v>5.9529360000000002</v>
      </c>
      <c r="E4790">
        <v>0.58970290000000003</v>
      </c>
      <c r="F4790" t="s">
        <v>38</v>
      </c>
      <c r="G4790">
        <v>-364.26650000000001</v>
      </c>
      <c r="H4790">
        <v>1.0402549999999999</v>
      </c>
      <c r="I4790">
        <v>16.91649</v>
      </c>
      <c r="J4790">
        <v>-364.94060000000002</v>
      </c>
      <c r="K4790">
        <v>1.1042110000000001</v>
      </c>
      <c r="L4790">
        <v>16.975619999999999</v>
      </c>
      <c r="M4790">
        <v>0.99981929999999997</v>
      </c>
      <c r="N4790">
        <v>0</v>
      </c>
      <c r="O4790">
        <v>1.7773009999999999E-2</v>
      </c>
      <c r="P4790">
        <v>0.98385219999999995</v>
      </c>
      <c r="Q4790">
        <v>3.6899199999999903E-2</v>
      </c>
      <c r="R4790">
        <v>0.17513909999999999</v>
      </c>
      <c r="S4790">
        <v>3.091278</v>
      </c>
      <c r="T4790">
        <v>-0.2120426</v>
      </c>
      <c r="U4790">
        <v>-0.17965699999999901</v>
      </c>
      <c r="V4790">
        <v>-0.1576794</v>
      </c>
      <c r="W4790">
        <v>4.336363E-2</v>
      </c>
      <c r="X4790">
        <v>0.98653780000000002</v>
      </c>
      <c r="Y4790">
        <v>7.553522E-2</v>
      </c>
      <c r="Z4790">
        <v>-3.8022120000000001E-3</v>
      </c>
      <c r="AA4790">
        <v>0.99713589999999996</v>
      </c>
      <c r="AB4790">
        <v>33</v>
      </c>
      <c r="AC4790">
        <v>0.67410000000000903</v>
      </c>
      <c r="AD4790">
        <v>-6.3956000000000096E-2</v>
      </c>
      <c r="AE4790">
        <v>-5.9130000000003201E-2</v>
      </c>
      <c r="AF4790">
        <v>7.0472207819958305E-2</v>
      </c>
      <c r="AG4790">
        <v>-6.3956000000000096E-2</v>
      </c>
      <c r="AH4790">
        <v>0.66698457146756895</v>
      </c>
      <c r="AI4790">
        <v>95.447111049830497</v>
      </c>
      <c r="AJ4790">
        <v>83.968624178643395</v>
      </c>
      <c r="AK4790">
        <v>0.67373965341724995</v>
      </c>
    </row>
    <row r="4791" spans="1:37" x14ac:dyDescent="0.2">
      <c r="A4791" t="str">
        <f>"20200111153747485"</f>
        <v>20200111153747485</v>
      </c>
      <c r="B4791" t="str">
        <f>"1578728267478293"</f>
        <v>1578728267478293</v>
      </c>
      <c r="C4791" t="s">
        <v>37</v>
      </c>
      <c r="D4791">
        <v>5.97159</v>
      </c>
      <c r="E4791">
        <v>0.58810130000000005</v>
      </c>
      <c r="F4791" t="s">
        <v>38</v>
      </c>
      <c r="G4791">
        <v>-363.97149999999999</v>
      </c>
      <c r="H4791">
        <v>1.0388090000000001</v>
      </c>
      <c r="I4791">
        <v>16.919219999999999</v>
      </c>
      <c r="J4791">
        <v>-364.6046</v>
      </c>
      <c r="K4791">
        <v>1.1042000000000001</v>
      </c>
      <c r="L4791">
        <v>16.982150000000001</v>
      </c>
      <c r="M4791">
        <v>0.99980879999999905</v>
      </c>
      <c r="N4791">
        <v>0</v>
      </c>
      <c r="O4791">
        <v>1.8351079999999999E-2</v>
      </c>
      <c r="P4791">
        <v>0.98451089999999997</v>
      </c>
      <c r="Q4791">
        <v>3.7728030000000003E-2</v>
      </c>
      <c r="R4791">
        <v>0.171215899999999</v>
      </c>
      <c r="S4791">
        <v>3.0888369999999998</v>
      </c>
      <c r="T4791">
        <v>-0.20844270000000001</v>
      </c>
      <c r="U4791">
        <v>-0.17868039999999999</v>
      </c>
      <c r="V4791">
        <v>-0.1531739</v>
      </c>
      <c r="W4791">
        <v>4.4211099999999899E-2</v>
      </c>
      <c r="X4791">
        <v>0.98720980000000003</v>
      </c>
      <c r="Y4791">
        <v>7.5848159999999998E-2</v>
      </c>
      <c r="Z4791">
        <v>-3.7902629999999999E-3</v>
      </c>
      <c r="AA4791">
        <v>0.997112199999999</v>
      </c>
      <c r="AB4791">
        <v>33</v>
      </c>
      <c r="AC4791">
        <v>0.63310000000001299</v>
      </c>
      <c r="AD4791">
        <v>-6.5390999999999894E-2</v>
      </c>
      <c r="AE4791">
        <v>-6.2929999999997904E-2</v>
      </c>
      <c r="AF4791">
        <v>7.3758563103105398E-2</v>
      </c>
      <c r="AG4791">
        <v>-6.5390999999999894E-2</v>
      </c>
      <c r="AH4791">
        <v>0.62523366189400897</v>
      </c>
      <c r="AI4791">
        <v>95.9298348174609</v>
      </c>
      <c r="AJ4791">
        <v>83.271936088473097</v>
      </c>
      <c r="AK4791">
        <v>0.63295611259978102</v>
      </c>
    </row>
    <row r="4792" spans="1:37" x14ac:dyDescent="0.2">
      <c r="A4792" t="str">
        <f>"20200111153747519"</f>
        <v>20200111153747519</v>
      </c>
      <c r="B4792" t="str">
        <f>"1578728267507573"</f>
        <v>1578728267507573</v>
      </c>
      <c r="C4792" t="s">
        <v>37</v>
      </c>
      <c r="D4792">
        <v>5.9787419999999996</v>
      </c>
      <c r="E4792">
        <v>0.5865998</v>
      </c>
      <c r="F4792" t="s">
        <v>38</v>
      </c>
      <c r="G4792">
        <v>-363.67340000000002</v>
      </c>
      <c r="H4792">
        <v>1.0422089999999999</v>
      </c>
      <c r="I4792">
        <v>16.928239999999999</v>
      </c>
      <c r="J4792">
        <v>-364.10930000000002</v>
      </c>
      <c r="K4792">
        <v>1.1041620000000001</v>
      </c>
      <c r="L4792">
        <v>16.99203</v>
      </c>
      <c r="M4792">
        <v>0.99979379999999995</v>
      </c>
      <c r="N4792">
        <v>0</v>
      </c>
      <c r="O4792">
        <v>1.9152470000000001E-2</v>
      </c>
      <c r="P4792">
        <v>0.98523579999999999</v>
      </c>
      <c r="Q4792">
        <v>3.8248869999999997E-2</v>
      </c>
      <c r="R4792">
        <v>0.16687650000000001</v>
      </c>
      <c r="S4792">
        <v>3.0861509999999899</v>
      </c>
      <c r="T4792">
        <v>-0.20547869999999999</v>
      </c>
      <c r="U4792">
        <v>-0.17871090000000001</v>
      </c>
      <c r="V4792">
        <v>-0.14802770000000001</v>
      </c>
      <c r="W4792">
        <v>4.4760349999999997E-2</v>
      </c>
      <c r="X4792">
        <v>0.98796980000000001</v>
      </c>
      <c r="Y4792">
        <v>7.6709230000000003E-2</v>
      </c>
      <c r="Z4792">
        <v>-3.82159599999999E-3</v>
      </c>
      <c r="AA4792">
        <v>0.99704619999999999</v>
      </c>
      <c r="AB4792">
        <v>33</v>
      </c>
      <c r="AC4792">
        <v>0.43590000000000301</v>
      </c>
      <c r="AD4792">
        <v>-6.1953000000000098E-2</v>
      </c>
      <c r="AE4792">
        <v>-6.3790000000000902E-2</v>
      </c>
      <c r="AF4792">
        <v>7.07282956254007E-2</v>
      </c>
      <c r="AG4792">
        <v>-6.1953000000000098E-2</v>
      </c>
      <c r="AH4792">
        <v>0.42617014294771899</v>
      </c>
      <c r="AI4792">
        <v>98.161138369068198</v>
      </c>
      <c r="AJ4792">
        <v>80.576933266640296</v>
      </c>
      <c r="AK4792">
        <v>0.436419129680579</v>
      </c>
    </row>
    <row r="4793" spans="1:37" x14ac:dyDescent="0.2">
      <c r="A4793" t="str">
        <f>"20200111153747541"</f>
        <v>20200111153747541</v>
      </c>
      <c r="B4793" t="str">
        <f>"1578728267537829"</f>
        <v>1578728267537829</v>
      </c>
      <c r="C4793" t="s">
        <v>37</v>
      </c>
      <c r="D4793">
        <v>5.970866</v>
      </c>
      <c r="E4793">
        <v>0.58557619999999999</v>
      </c>
      <c r="F4793" t="s">
        <v>38</v>
      </c>
      <c r="G4793">
        <v>-363.36790000000002</v>
      </c>
      <c r="H4793">
        <v>1.0543899999999999</v>
      </c>
      <c r="I4793">
        <v>16.9483</v>
      </c>
      <c r="J4793">
        <v>-363.78019999999998</v>
      </c>
      <c r="K4793">
        <v>1.104131</v>
      </c>
      <c r="L4793">
        <v>16.998839999999898</v>
      </c>
      <c r="M4793">
        <v>0.99978459999999902</v>
      </c>
      <c r="N4793">
        <v>0</v>
      </c>
      <c r="O4793">
        <v>1.961999E-2</v>
      </c>
      <c r="P4793">
        <v>0.98575170000000001</v>
      </c>
      <c r="Q4793">
        <v>3.8678879999999999E-2</v>
      </c>
      <c r="R4793">
        <v>0.16370000000000001</v>
      </c>
      <c r="S4793">
        <v>3.083618</v>
      </c>
      <c r="T4793">
        <v>-0.2070034</v>
      </c>
      <c r="U4793">
        <v>-0.18078610000000001</v>
      </c>
      <c r="V4793">
        <v>-0.144376</v>
      </c>
      <c r="W4793">
        <v>4.5214320000000002E-2</v>
      </c>
      <c r="X4793">
        <v>0.98848939999999996</v>
      </c>
      <c r="Y4793">
        <v>7.7884209999999995E-2</v>
      </c>
      <c r="Z4793">
        <v>-3.9236540000000004E-3</v>
      </c>
      <c r="AA4793">
        <v>0.99695469999999897</v>
      </c>
      <c r="AB4793">
        <v>33</v>
      </c>
      <c r="AC4793">
        <v>0.41229999999995898</v>
      </c>
      <c r="AD4793">
        <v>-4.9741E-2</v>
      </c>
      <c r="AE4793">
        <v>-5.0539999999998003E-2</v>
      </c>
      <c r="AF4793">
        <v>5.77910996200569E-2</v>
      </c>
      <c r="AG4793">
        <v>-4.9741E-2</v>
      </c>
      <c r="AH4793">
        <v>0.40541567558413499</v>
      </c>
      <c r="AI4793">
        <v>96.925421286661503</v>
      </c>
      <c r="AJ4793">
        <v>81.8872697603353</v>
      </c>
      <c r="AK4793">
        <v>0.41252375481375098</v>
      </c>
    </row>
    <row r="4794" spans="1:37" x14ac:dyDescent="0.2">
      <c r="A4794" t="str">
        <f>"20200111153747563"</f>
        <v>20200111153747563</v>
      </c>
      <c r="B4794" t="str">
        <f>"1578728267558325"</f>
        <v>1578728267558325</v>
      </c>
      <c r="C4794" t="s">
        <v>37</v>
      </c>
      <c r="D4794">
        <v>6.0460909999999997</v>
      </c>
      <c r="E4794">
        <v>0.58502200000000004</v>
      </c>
      <c r="F4794" t="s">
        <v>38</v>
      </c>
      <c r="G4794">
        <v>-362.78120000000001</v>
      </c>
      <c r="H4794">
        <v>1.0373219999999901</v>
      </c>
      <c r="I4794">
        <v>16.939409999999999</v>
      </c>
      <c r="J4794">
        <v>-363.45209999999997</v>
      </c>
      <c r="K4794">
        <v>1.104074</v>
      </c>
      <c r="L4794">
        <v>17.00562</v>
      </c>
      <c r="M4794">
        <v>0.99977719999999903</v>
      </c>
      <c r="N4794">
        <v>0</v>
      </c>
      <c r="O4794">
        <v>1.999911E-2</v>
      </c>
      <c r="P4794">
        <v>0.98627140000000002</v>
      </c>
      <c r="Q4794">
        <v>3.8867180000000001E-2</v>
      </c>
      <c r="R4794">
        <v>0.16049430000000001</v>
      </c>
      <c r="S4794">
        <v>3.0818180000000002</v>
      </c>
      <c r="T4794">
        <v>-0.20608649999999901</v>
      </c>
      <c r="U4794">
        <v>-0.18283079999999999</v>
      </c>
      <c r="V4794">
        <v>-0.14077970000000001</v>
      </c>
      <c r="W4794">
        <v>4.5427719999999998E-2</v>
      </c>
      <c r="X4794">
        <v>0.98899820000000005</v>
      </c>
      <c r="Y4794">
        <v>7.8953860000000001E-2</v>
      </c>
      <c r="Z4794">
        <v>-3.969513E-3</v>
      </c>
      <c r="AA4794">
        <v>0.99687029999999999</v>
      </c>
      <c r="AB4794">
        <v>33</v>
      </c>
      <c r="AC4794">
        <v>0.67089999999995997</v>
      </c>
      <c r="AD4794">
        <v>-6.6752000000000103E-2</v>
      </c>
      <c r="AE4794">
        <v>-6.6209999999998104E-2</v>
      </c>
      <c r="AF4794">
        <v>7.8841503205918498E-2</v>
      </c>
      <c r="AG4794">
        <v>-6.6752000000000103E-2</v>
      </c>
      <c r="AH4794">
        <v>0.66294215059467998</v>
      </c>
      <c r="AI4794">
        <v>95.709795515259003</v>
      </c>
      <c r="AJ4794">
        <v>83.217858481518903</v>
      </c>
      <c r="AK4794">
        <v>0.67094270036037196</v>
      </c>
    </row>
    <row r="4795" spans="1:37" x14ac:dyDescent="0.2">
      <c r="A4795" t="str">
        <f>"20200111153747585"</f>
        <v>20200111153747585</v>
      </c>
      <c r="B4795" t="str">
        <f>"1578728267577845"</f>
        <v>1578728267577845</v>
      </c>
      <c r="C4795" t="s">
        <v>37</v>
      </c>
      <c r="D4795">
        <v>6.0260150000000001</v>
      </c>
      <c r="E4795">
        <v>0.58430249999999995</v>
      </c>
      <c r="F4795" t="s">
        <v>38</v>
      </c>
      <c r="G4795">
        <v>-362.48090000000002</v>
      </c>
      <c r="H4795">
        <v>1.0382639999999901</v>
      </c>
      <c r="I4795">
        <v>16.945889999999999</v>
      </c>
      <c r="J4795">
        <v>-363.11309999999997</v>
      </c>
      <c r="K4795">
        <v>1.104004</v>
      </c>
      <c r="L4795">
        <v>17.012729999999902</v>
      </c>
      <c r="M4795">
        <v>0.99977090000000002</v>
      </c>
      <c r="N4795">
        <v>0</v>
      </c>
      <c r="O4795">
        <v>2.0305360000000001E-2</v>
      </c>
      <c r="P4795">
        <v>0.986892199999999</v>
      </c>
      <c r="Q4795">
        <v>3.8655969999999998E-2</v>
      </c>
      <c r="R4795">
        <v>0.156682399999999</v>
      </c>
      <c r="S4795">
        <v>3.0806879999999999</v>
      </c>
      <c r="T4795">
        <v>-0.20875729999999901</v>
      </c>
      <c r="U4795">
        <v>-0.18859860000000001</v>
      </c>
      <c r="V4795">
        <v>-0.13664470000000001</v>
      </c>
      <c r="W4795">
        <v>4.524338E-2</v>
      </c>
      <c r="X4795">
        <v>0.98958639999999998</v>
      </c>
      <c r="Y4795">
        <v>8.1128710000000007E-2</v>
      </c>
      <c r="Z4795">
        <v>-4.1163349999999996E-3</v>
      </c>
      <c r="AA4795">
        <v>0.996695199999999</v>
      </c>
      <c r="AB4795">
        <v>33</v>
      </c>
      <c r="AC4795">
        <v>0.63219999999995402</v>
      </c>
      <c r="AD4795">
        <v>-6.5740000000000104E-2</v>
      </c>
      <c r="AE4795">
        <v>-6.6839999999999095E-2</v>
      </c>
      <c r="AF4795">
        <v>7.88206867468354E-2</v>
      </c>
      <c r="AG4795">
        <v>-6.5740000000000104E-2</v>
      </c>
      <c r="AH4795">
        <v>0.62403920051513295</v>
      </c>
      <c r="AI4795">
        <v>95.9666372671131</v>
      </c>
      <c r="AJ4795">
        <v>82.801246920179594</v>
      </c>
      <c r="AK4795">
        <v>0.632423411994535</v>
      </c>
    </row>
    <row r="4796" spans="1:37" x14ac:dyDescent="0.2">
      <c r="A4796" t="str">
        <f>"20200111153747608"</f>
        <v>20200111153747608</v>
      </c>
      <c r="B4796" t="str">
        <f>"1578728267598341"</f>
        <v>1578728267598341</v>
      </c>
      <c r="C4796" t="s">
        <v>37</v>
      </c>
      <c r="D4796">
        <v>6.0145019999999896</v>
      </c>
      <c r="E4796">
        <v>0.58397010000000005</v>
      </c>
      <c r="F4796" t="s">
        <v>38</v>
      </c>
      <c r="G4796">
        <v>-362.17939999999999</v>
      </c>
      <c r="H4796">
        <v>1.0398780000000001</v>
      </c>
      <c r="I4796">
        <v>16.95326</v>
      </c>
      <c r="J4796">
        <v>-362.7688</v>
      </c>
      <c r="K4796">
        <v>1.1039299999999901</v>
      </c>
      <c r="L4796">
        <v>17.019929999999999</v>
      </c>
      <c r="M4796">
        <v>0.99976659999999995</v>
      </c>
      <c r="N4796">
        <v>0</v>
      </c>
      <c r="O4796">
        <v>2.0522439999999999E-2</v>
      </c>
      <c r="P4796">
        <v>0.98746730000000005</v>
      </c>
      <c r="Q4796">
        <v>3.8290780000000003E-2</v>
      </c>
      <c r="R4796">
        <v>0.15310979999999999</v>
      </c>
      <c r="S4796">
        <v>3.0791629999999999</v>
      </c>
      <c r="T4796">
        <v>-0.21151199999999901</v>
      </c>
      <c r="U4796">
        <v>-0.1951599</v>
      </c>
      <c r="V4796">
        <v>-0.13283819999999999</v>
      </c>
      <c r="W4796">
        <v>4.4906599999999998E-2</v>
      </c>
      <c r="X4796">
        <v>0.99011990000000005</v>
      </c>
      <c r="Y4796">
        <v>8.347823E-2</v>
      </c>
      <c r="Z4796">
        <v>-4.26772E-3</v>
      </c>
      <c r="AA4796">
        <v>0.99650039999999995</v>
      </c>
      <c r="AB4796">
        <v>34</v>
      </c>
      <c r="AC4796">
        <v>0.58940000000001103</v>
      </c>
      <c r="AD4796">
        <v>-6.4051999999999706E-2</v>
      </c>
      <c r="AE4796">
        <v>-6.6669999999998397E-2</v>
      </c>
      <c r="AF4796">
        <v>7.7844441455386798E-2</v>
      </c>
      <c r="AG4796">
        <v>-6.4051999999999706E-2</v>
      </c>
      <c r="AH4796">
        <v>0.58113121960314096</v>
      </c>
      <c r="AI4796">
        <v>96.234483843655696</v>
      </c>
      <c r="AJ4796">
        <v>82.370458763539006</v>
      </c>
      <c r="AK4796">
        <v>0.58981006278880599</v>
      </c>
    </row>
    <row r="4797" spans="1:37" x14ac:dyDescent="0.2">
      <c r="A4797" t="str">
        <f>"20200111153747631"</f>
        <v>20200111153747631</v>
      </c>
      <c r="B4797" t="str">
        <f>"1578728267627622"</f>
        <v>1578728267627622</v>
      </c>
      <c r="C4797" t="s">
        <v>37</v>
      </c>
      <c r="D4797">
        <v>6.0630100000000002</v>
      </c>
      <c r="E4797">
        <v>0.57605390000000001</v>
      </c>
      <c r="F4797" t="s">
        <v>38</v>
      </c>
      <c r="G4797">
        <v>-361.87699999999899</v>
      </c>
      <c r="H4797">
        <v>1.0420419999999999</v>
      </c>
      <c r="I4797">
        <v>16.960739999999898</v>
      </c>
      <c r="J4797">
        <v>-362.4298</v>
      </c>
      <c r="K4797">
        <v>1.103861</v>
      </c>
      <c r="L4797">
        <v>17.027010000000001</v>
      </c>
      <c r="M4797">
        <v>0.99976409999999905</v>
      </c>
      <c r="N4797">
        <v>0</v>
      </c>
      <c r="O4797">
        <v>2.064738E-2</v>
      </c>
      <c r="P4797">
        <v>0.98798009999999903</v>
      </c>
      <c r="Q4797">
        <v>3.8888579999999999E-2</v>
      </c>
      <c r="R4797">
        <v>0.14960960000000001</v>
      </c>
      <c r="S4797">
        <v>3.0779109999999998</v>
      </c>
      <c r="T4797">
        <v>-0.21356539999999999</v>
      </c>
      <c r="U4797">
        <v>-0.20364379999999899</v>
      </c>
      <c r="V4797">
        <v>-0.12919729999999999</v>
      </c>
      <c r="W4797">
        <v>4.552966E-2</v>
      </c>
      <c r="X4797">
        <v>0.99057309999999998</v>
      </c>
      <c r="Y4797">
        <v>8.6351159999999996E-2</v>
      </c>
      <c r="Z4797">
        <v>-4.4185190000000001E-3</v>
      </c>
      <c r="AA4797">
        <v>0.996254999999999</v>
      </c>
      <c r="AB4797">
        <v>34</v>
      </c>
      <c r="AC4797">
        <v>0.55280000000004703</v>
      </c>
      <c r="AD4797">
        <v>-6.1818999999999999E-2</v>
      </c>
      <c r="AE4797">
        <v>-6.6270000000002896E-2</v>
      </c>
      <c r="AF4797">
        <v>7.6724108252284498E-2</v>
      </c>
      <c r="AG4797">
        <v>-6.1818999999999999E-2</v>
      </c>
      <c r="AH4797">
        <v>0.54459970809006397</v>
      </c>
      <c r="AI4797">
        <v>96.413284103709501</v>
      </c>
      <c r="AJ4797">
        <v>81.980851561278001</v>
      </c>
      <c r="AK4797">
        <v>0.55344107147906096</v>
      </c>
    </row>
    <row r="4798" spans="1:37" x14ac:dyDescent="0.2">
      <c r="A4798" t="str">
        <f>"20200111153747652"</f>
        <v>20200111153747652</v>
      </c>
      <c r="B4798" t="str">
        <f>"1578728267648117"</f>
        <v>1578728267648117</v>
      </c>
      <c r="C4798" t="s">
        <v>37</v>
      </c>
      <c r="D4798">
        <v>6.0441989999999999</v>
      </c>
      <c r="E4798">
        <v>0.57578830000000003</v>
      </c>
      <c r="F4798" t="s">
        <v>38</v>
      </c>
      <c r="G4798">
        <v>-361.57499999999999</v>
      </c>
      <c r="H4798">
        <v>1.0421549999999999</v>
      </c>
      <c r="I4798">
        <v>16.984289999999898</v>
      </c>
      <c r="J4798">
        <v>-362.09930000000003</v>
      </c>
      <c r="K4798">
        <v>1.1037939999999999</v>
      </c>
      <c r="L4798">
        <v>17.033909999999999</v>
      </c>
      <c r="M4798">
        <v>0.99976330000000002</v>
      </c>
      <c r="N4798">
        <v>0</v>
      </c>
      <c r="O4798">
        <v>2.0680899999999999E-2</v>
      </c>
      <c r="P4798">
        <v>0.98848179999999997</v>
      </c>
      <c r="Q4798">
        <v>3.9435409999999997E-2</v>
      </c>
      <c r="R4798">
        <v>0.14611260000000001</v>
      </c>
      <c r="S4798">
        <v>3.0682369999999999</v>
      </c>
      <c r="T4798">
        <v>-0.22152759999999999</v>
      </c>
      <c r="U4798">
        <v>-0.1520996</v>
      </c>
      <c r="V4798">
        <v>-0.1256507</v>
      </c>
      <c r="W4798">
        <v>4.6100790000000003E-2</v>
      </c>
      <c r="X4798">
        <v>0.99100290000000002</v>
      </c>
      <c r="Y4798">
        <v>6.99216E-2</v>
      </c>
      <c r="Z4798">
        <v>-4.0098169999999997E-3</v>
      </c>
      <c r="AA4798">
        <v>0.9975444</v>
      </c>
      <c r="AB4798">
        <v>34</v>
      </c>
      <c r="AC4798">
        <v>0.52430000000003896</v>
      </c>
      <c r="AD4798">
        <v>-6.1638999999999999E-2</v>
      </c>
      <c r="AE4798">
        <v>-4.9620000000004397E-2</v>
      </c>
      <c r="AF4798">
        <v>5.9635699836483098E-2</v>
      </c>
      <c r="AG4798">
        <v>-6.1638999999999999E-2</v>
      </c>
      <c r="AH4798">
        <v>0.51609187186680106</v>
      </c>
      <c r="AI4798">
        <v>96.7662101898797</v>
      </c>
      <c r="AJ4798">
        <v>83.408563506405997</v>
      </c>
      <c r="AK4798">
        <v>0.52316976520338598</v>
      </c>
    </row>
    <row r="4799" spans="1:37" x14ac:dyDescent="0.2">
      <c r="A4799" t="str">
        <f>"20200111153747675"</f>
        <v>20200111153747675</v>
      </c>
      <c r="B4799" t="str">
        <f>"1578728267667638"</f>
        <v>1578728267667638</v>
      </c>
      <c r="C4799" t="s">
        <v>37</v>
      </c>
      <c r="D4799">
        <v>6.1128419999999997</v>
      </c>
      <c r="E4799">
        <v>0.57525209999999904</v>
      </c>
      <c r="F4799" t="s">
        <v>38</v>
      </c>
      <c r="G4799">
        <v>-361.27229999999997</v>
      </c>
      <c r="H4799">
        <v>1.0412589999999999</v>
      </c>
      <c r="I4799">
        <v>16.99053</v>
      </c>
      <c r="J4799">
        <v>-361.75599999999997</v>
      </c>
      <c r="K4799">
        <v>1.1037299999999901</v>
      </c>
      <c r="L4799">
        <v>17.040990000000001</v>
      </c>
      <c r="M4799">
        <v>0.99976449999999994</v>
      </c>
      <c r="N4799">
        <v>0</v>
      </c>
      <c r="O4799">
        <v>2.0626289999999999E-2</v>
      </c>
      <c r="P4799">
        <v>0.9889945</v>
      </c>
      <c r="Q4799">
        <v>4.0358480000000002E-2</v>
      </c>
      <c r="R4799">
        <v>0.14234260000000001</v>
      </c>
      <c r="S4799">
        <v>3.0679630000000002</v>
      </c>
      <c r="T4799">
        <v>-0.232013</v>
      </c>
      <c r="U4799">
        <v>-0.1604004</v>
      </c>
      <c r="V4799">
        <v>-0.121917</v>
      </c>
      <c r="W4799">
        <v>4.7047699999999998E-2</v>
      </c>
      <c r="X4799">
        <v>0.99142459999999899</v>
      </c>
      <c r="Y4799">
        <v>7.2533230000000004E-2</v>
      </c>
      <c r="Z4799">
        <v>-4.293603E-3</v>
      </c>
      <c r="AA4799">
        <v>0.99735680000000004</v>
      </c>
      <c r="AB4799">
        <v>34</v>
      </c>
      <c r="AC4799">
        <v>0.48369999999999802</v>
      </c>
      <c r="AD4799">
        <v>-6.2470999999999902E-2</v>
      </c>
      <c r="AE4799">
        <v>-5.0460000000000997E-2</v>
      </c>
      <c r="AF4799">
        <v>5.94455315041117E-2</v>
      </c>
      <c r="AG4799">
        <v>-6.2470999999999902E-2</v>
      </c>
      <c r="AH4799">
        <v>0.47472297519626999</v>
      </c>
      <c r="AI4799">
        <v>97.439301042173099</v>
      </c>
      <c r="AJ4799">
        <v>82.862487217203693</v>
      </c>
      <c r="AK4799">
        <v>0.482491761832266</v>
      </c>
    </row>
    <row r="4800" spans="1:37" x14ac:dyDescent="0.2">
      <c r="A4800" t="str">
        <f>"20200111153747697"</f>
        <v>20200111153747697</v>
      </c>
      <c r="B4800" t="str">
        <f>"1578728267688136"</f>
        <v>1578728267688136</v>
      </c>
      <c r="C4800" t="s">
        <v>37</v>
      </c>
      <c r="D4800">
        <v>6.1361780000000001</v>
      </c>
      <c r="E4800">
        <v>0.57529490000000005</v>
      </c>
      <c r="F4800" t="s">
        <v>38</v>
      </c>
      <c r="G4800">
        <v>-360.96710000000002</v>
      </c>
      <c r="H4800">
        <v>1.0438259999999999</v>
      </c>
      <c r="I4800">
        <v>16.997540000000001</v>
      </c>
      <c r="J4800">
        <v>-361.41199999999998</v>
      </c>
      <c r="K4800">
        <v>1.1036629999999901</v>
      </c>
      <c r="L4800">
        <v>17.047969999999999</v>
      </c>
      <c r="M4800">
        <v>0.99976710000000002</v>
      </c>
      <c r="N4800">
        <v>0</v>
      </c>
      <c r="O4800">
        <v>2.049426E-2</v>
      </c>
      <c r="P4800">
        <v>0.98955119999999896</v>
      </c>
      <c r="Q4800">
        <v>4.0174509999999997E-2</v>
      </c>
      <c r="R4800">
        <v>0.1384725</v>
      </c>
      <c r="S4800">
        <v>3.0669559999999998</v>
      </c>
      <c r="T4800">
        <v>-0.23288629999999999</v>
      </c>
      <c r="U4800">
        <v>-0.16726679999999999</v>
      </c>
      <c r="V4800">
        <v>-0.1181596</v>
      </c>
      <c r="W4800">
        <v>4.6886249999999997E-2</v>
      </c>
      <c r="X4800">
        <v>0.99188709999999902</v>
      </c>
      <c r="Y4800">
        <v>7.4637209999999996E-2</v>
      </c>
      <c r="Z4800">
        <v>-4.3805820000000001E-3</v>
      </c>
      <c r="AA4800">
        <v>0.99720109999999995</v>
      </c>
      <c r="AB4800">
        <v>34</v>
      </c>
      <c r="AC4800">
        <v>0.44489999999996099</v>
      </c>
      <c r="AD4800">
        <v>-5.9836999999999897E-2</v>
      </c>
      <c r="AE4800">
        <v>-5.0429999999998601E-2</v>
      </c>
      <c r="AF4800">
        <v>5.8492856874887103E-2</v>
      </c>
      <c r="AG4800">
        <v>-5.9836999999999897E-2</v>
      </c>
      <c r="AH4800">
        <v>0.43598648559970299</v>
      </c>
      <c r="AI4800">
        <v>97.746192237294395</v>
      </c>
      <c r="AJ4800">
        <v>82.358707027360197</v>
      </c>
      <c r="AK4800">
        <v>0.44394379880787399</v>
      </c>
    </row>
    <row r="4801" spans="1:37" x14ac:dyDescent="0.2">
      <c r="A4801" t="str">
        <f>"20200111153747719"</f>
        <v>20200111153747719</v>
      </c>
      <c r="B4801" t="str">
        <f>"1578728267707665"</f>
        <v>1578728267707665</v>
      </c>
      <c r="C4801" t="s">
        <v>37</v>
      </c>
      <c r="D4801">
        <v>6.0167310000000001</v>
      </c>
      <c r="E4801">
        <v>0.57598739999999904</v>
      </c>
      <c r="F4801" t="s">
        <v>38</v>
      </c>
      <c r="G4801">
        <v>-360.66079999999999</v>
      </c>
      <c r="H4801">
        <v>1.046932</v>
      </c>
      <c r="I4801">
        <v>17.00385</v>
      </c>
      <c r="J4801">
        <v>-361.08429999999998</v>
      </c>
      <c r="K4801">
        <v>1.1035729999999999</v>
      </c>
      <c r="L4801">
        <v>17.054690000000001</v>
      </c>
      <c r="M4801">
        <v>0.99978500000000003</v>
      </c>
      <c r="N4801">
        <v>0</v>
      </c>
      <c r="O4801">
        <v>1.9700209999999999E-2</v>
      </c>
      <c r="P4801">
        <v>0.99015929999999996</v>
      </c>
      <c r="Q4801">
        <v>3.9289299999999999E-2</v>
      </c>
      <c r="R4801">
        <v>0.13431789999999999</v>
      </c>
      <c r="S4801">
        <v>3.0661619999999998</v>
      </c>
      <c r="T4801">
        <v>-0.2315449</v>
      </c>
      <c r="U4801">
        <v>-0.17926029999999901</v>
      </c>
      <c r="V4801">
        <v>-0.11478039999999901</v>
      </c>
      <c r="W4801">
        <v>4.574926E-2</v>
      </c>
      <c r="X4801">
        <v>0.99233689999999997</v>
      </c>
      <c r="Y4801">
        <v>7.7743519999999997E-2</v>
      </c>
      <c r="Z4801">
        <v>-4.4132640000000001E-3</v>
      </c>
      <c r="AA4801">
        <v>0.99696359999999995</v>
      </c>
      <c r="AB4801">
        <v>34</v>
      </c>
      <c r="AC4801">
        <v>0.42349999999999</v>
      </c>
      <c r="AD4801">
        <v>-5.66409999999999E-2</v>
      </c>
      <c r="AE4801">
        <v>-5.0840000000000801E-2</v>
      </c>
      <c r="AF4801">
        <v>5.8147988540192902E-2</v>
      </c>
      <c r="AG4801">
        <v>-5.66409999999999E-2</v>
      </c>
      <c r="AH4801">
        <v>0.415096583436731</v>
      </c>
      <c r="AI4801">
        <v>97.695939789054904</v>
      </c>
      <c r="AJ4801">
        <v>82.025723652219995</v>
      </c>
      <c r="AK4801">
        <v>0.42295929477092398</v>
      </c>
    </row>
    <row r="4802" spans="1:37" x14ac:dyDescent="0.2">
      <c r="A4802" t="str">
        <f>"20200111153747741"</f>
        <v>20200111153747741</v>
      </c>
      <c r="B4802" t="str">
        <f>"1578728267737909"</f>
        <v>1578728267737909</v>
      </c>
      <c r="C4802" t="s">
        <v>37</v>
      </c>
      <c r="D4802">
        <v>5.9820070000000003</v>
      </c>
      <c r="E4802">
        <v>0.59696099999999996</v>
      </c>
      <c r="F4802" t="s">
        <v>38</v>
      </c>
      <c r="G4802">
        <v>-360.3535</v>
      </c>
      <c r="H4802">
        <v>1.048027</v>
      </c>
      <c r="I4802">
        <v>17.007400000000001</v>
      </c>
      <c r="J4802">
        <v>-360.74149999999997</v>
      </c>
      <c r="K4802">
        <v>1.1034299999999999</v>
      </c>
      <c r="L4802">
        <v>17.061520000000002</v>
      </c>
      <c r="M4802">
        <v>0.99978400000000001</v>
      </c>
      <c r="N4802">
        <v>0</v>
      </c>
      <c r="O4802">
        <v>1.9616560000000002E-2</v>
      </c>
      <c r="P4802">
        <v>0.99061469999999896</v>
      </c>
      <c r="Q4802">
        <v>3.6957249999999997E-2</v>
      </c>
      <c r="R4802">
        <v>0.13159289999999901</v>
      </c>
      <c r="S4802">
        <v>3.0658569999999998</v>
      </c>
      <c r="T4802">
        <v>-0.23298759999999999</v>
      </c>
      <c r="U4802">
        <v>-0.1974487</v>
      </c>
      <c r="V4802">
        <v>-0.112110999999999</v>
      </c>
      <c r="W4802">
        <v>4.3831429999999998E-2</v>
      </c>
      <c r="X4802">
        <v>0.99272850000000001</v>
      </c>
      <c r="Y4802">
        <v>8.3537109999999998E-2</v>
      </c>
      <c r="Z4802">
        <v>-4.6536009999999899E-3</v>
      </c>
      <c r="AA4802">
        <v>0.99649379999999999</v>
      </c>
      <c r="AB4802">
        <v>34</v>
      </c>
      <c r="AC4802">
        <v>0.38799999999997598</v>
      </c>
      <c r="AD4802">
        <v>-5.54029999999998E-2</v>
      </c>
      <c r="AE4802">
        <v>-5.4120000000001001E-2</v>
      </c>
      <c r="AF4802">
        <v>6.0510762041001503E-2</v>
      </c>
      <c r="AG4802">
        <v>-5.54029999999998E-2</v>
      </c>
      <c r="AH4802">
        <v>0.37927802123224602</v>
      </c>
      <c r="AI4802">
        <v>98.208328758567703</v>
      </c>
      <c r="AJ4802">
        <v>80.935313130673606</v>
      </c>
      <c r="AK4802">
        <v>0.38805007682209097</v>
      </c>
    </row>
    <row r="4803" spans="1:37" x14ac:dyDescent="0.2">
      <c r="A4803" t="str">
        <f>"20200111153747765"</f>
        <v>20200111153747765</v>
      </c>
      <c r="B4803" t="str">
        <f>"1578728267758406"</f>
        <v>1578728267758406</v>
      </c>
      <c r="C4803" t="s">
        <v>37</v>
      </c>
      <c r="D4803">
        <v>5.9877199999999897</v>
      </c>
      <c r="E4803">
        <v>0.59542379999999995</v>
      </c>
      <c r="F4803" t="s">
        <v>38</v>
      </c>
      <c r="G4803">
        <v>-359.7448</v>
      </c>
      <c r="H4803">
        <v>1.0349469999999901</v>
      </c>
      <c r="I4803">
        <v>16.940929999999899</v>
      </c>
      <c r="J4803">
        <v>-360.38900000000001</v>
      </c>
      <c r="K4803">
        <v>1.103186</v>
      </c>
      <c r="L4803">
        <v>17.06833</v>
      </c>
      <c r="M4803">
        <v>0.99977479999999996</v>
      </c>
      <c r="N4803">
        <v>0</v>
      </c>
      <c r="O4803">
        <v>2.0003170000000001E-2</v>
      </c>
      <c r="P4803">
        <v>0.99104020000000004</v>
      </c>
      <c r="Q4803">
        <v>3.4399449999999998E-2</v>
      </c>
      <c r="R4803">
        <v>0.1290587</v>
      </c>
      <c r="S4803">
        <v>3.085785</v>
      </c>
      <c r="T4803">
        <v>-0.21203659999999999</v>
      </c>
      <c r="U4803">
        <v>-0.37222290000000002</v>
      </c>
      <c r="V4803">
        <v>-0.10916439999999999</v>
      </c>
      <c r="W4803">
        <v>4.1565659999999997E-2</v>
      </c>
      <c r="X4803">
        <v>0.99315429999999905</v>
      </c>
      <c r="Y4803">
        <v>0.1392224</v>
      </c>
      <c r="Z4803">
        <v>-6.1287490000000002E-3</v>
      </c>
      <c r="AA4803">
        <v>0.99024219999999896</v>
      </c>
      <c r="AB4803">
        <v>34</v>
      </c>
      <c r="AC4803">
        <v>0.64420000000001199</v>
      </c>
      <c r="AD4803">
        <v>-6.8239000000000105E-2</v>
      </c>
      <c r="AE4803">
        <v>-0.12740000000000101</v>
      </c>
      <c r="AF4803">
        <v>0.138762452467146</v>
      </c>
      <c r="AG4803">
        <v>-6.8239000000000105E-2</v>
      </c>
      <c r="AH4803">
        <v>0.63466917969893699</v>
      </c>
      <c r="AI4803">
        <v>95.996234376141601</v>
      </c>
      <c r="AJ4803">
        <v>77.667066897641902</v>
      </c>
      <c r="AK4803">
        <v>0.65323544529933397</v>
      </c>
    </row>
    <row r="4804" spans="1:37" x14ac:dyDescent="0.2">
      <c r="A4804" t="str">
        <f>"20200111153747787"</f>
        <v>20200111153747787</v>
      </c>
      <c r="B4804" t="str">
        <f>"1578728267777928"</f>
        <v>1578728267777928</v>
      </c>
      <c r="C4804" t="s">
        <v>37</v>
      </c>
      <c r="D4804">
        <v>6.0435160000000003</v>
      </c>
      <c r="E4804">
        <v>0.59507189999999999</v>
      </c>
      <c r="F4804" t="s">
        <v>38</v>
      </c>
      <c r="G4804">
        <v>-359.4366</v>
      </c>
      <c r="H4804">
        <v>1.03661</v>
      </c>
      <c r="I4804">
        <v>16.954079999999902</v>
      </c>
      <c r="J4804">
        <v>-360.03710000000001</v>
      </c>
      <c r="K4804">
        <v>1.10303</v>
      </c>
      <c r="L4804">
        <v>17.075009999999999</v>
      </c>
      <c r="M4804">
        <v>0.99977190000000005</v>
      </c>
      <c r="N4804">
        <v>0</v>
      </c>
      <c r="O4804">
        <v>2.0151789999999999E-2</v>
      </c>
      <c r="P4804">
        <v>0.99141259999999998</v>
      </c>
      <c r="Q4804">
        <v>3.3394020000000003E-2</v>
      </c>
      <c r="R4804">
        <v>0.12643589999999999</v>
      </c>
      <c r="S4804">
        <v>3.0825809999999998</v>
      </c>
      <c r="T4804">
        <v>-0.21546170000000001</v>
      </c>
      <c r="U4804">
        <v>-0.36871340000000002</v>
      </c>
      <c r="V4804">
        <v>-0.106381399999999</v>
      </c>
      <c r="W4804">
        <v>4.0563719999999998E-2</v>
      </c>
      <c r="X4804">
        <v>0.99349769999999904</v>
      </c>
      <c r="Y4804">
        <v>0.1383694</v>
      </c>
      <c r="Z4804">
        <v>-6.2150189999999996E-3</v>
      </c>
      <c r="AA4804">
        <v>0.99036119999999905</v>
      </c>
      <c r="AB4804">
        <v>34</v>
      </c>
      <c r="AC4804">
        <v>0.60050000000001003</v>
      </c>
      <c r="AD4804">
        <v>-6.6419999999999896E-2</v>
      </c>
      <c r="AE4804">
        <v>-0.120930000000001</v>
      </c>
      <c r="AF4804">
        <v>0.131461267913556</v>
      </c>
      <c r="AG4804">
        <v>-6.6419999999999896E-2</v>
      </c>
      <c r="AH4804">
        <v>0.59099257097733804</v>
      </c>
      <c r="AI4804">
        <v>96.260644962264607</v>
      </c>
      <c r="AJ4804">
        <v>77.4592209483923</v>
      </c>
      <c r="AK4804">
        <v>0.60906970070086697</v>
      </c>
    </row>
    <row r="4805" spans="1:37" x14ac:dyDescent="0.2">
      <c r="A4805" t="str">
        <f>"20200111153747808"</f>
        <v>20200111153747808</v>
      </c>
      <c r="B4805" t="str">
        <f>"1578728267798421"</f>
        <v>1578728267798421</v>
      </c>
      <c r="C4805" t="s">
        <v>37</v>
      </c>
      <c r="D4805">
        <v>6.029026</v>
      </c>
      <c r="E4805">
        <v>0.59492009999999995</v>
      </c>
      <c r="F4805" t="s">
        <v>38</v>
      </c>
      <c r="G4805">
        <v>-359.12329999999997</v>
      </c>
      <c r="H4805">
        <v>1.042535</v>
      </c>
      <c r="I4805">
        <v>16.963650000000001</v>
      </c>
      <c r="J4805">
        <v>-359.71319999999997</v>
      </c>
      <c r="K4805">
        <v>1.1030139999999999</v>
      </c>
      <c r="L4805">
        <v>17.081150000000001</v>
      </c>
      <c r="M4805">
        <v>0.99977590000000005</v>
      </c>
      <c r="N4805">
        <v>0</v>
      </c>
      <c r="O4805">
        <v>1.9958259999999999E-2</v>
      </c>
      <c r="P4805">
        <v>0.99168799999999901</v>
      </c>
      <c r="Q4805">
        <v>3.357574E-2</v>
      </c>
      <c r="R4805">
        <v>0.1242089</v>
      </c>
      <c r="S4805">
        <v>3.0806580000000001</v>
      </c>
      <c r="T4805">
        <v>-0.20386960000000001</v>
      </c>
      <c r="U4805">
        <v>-0.37466430000000001</v>
      </c>
      <c r="V4805">
        <v>-0.104346699999999</v>
      </c>
      <c r="W4805">
        <v>4.0716660000000002E-2</v>
      </c>
      <c r="X4805">
        <v>0.99370720000000001</v>
      </c>
      <c r="Y4805">
        <v>0.14017199999999999</v>
      </c>
      <c r="Z4805">
        <v>-5.9309619999999997E-3</v>
      </c>
      <c r="AA4805">
        <v>0.99010940000000003</v>
      </c>
      <c r="AB4805">
        <v>34</v>
      </c>
      <c r="AC4805">
        <v>0.58989999999999998</v>
      </c>
      <c r="AD4805">
        <v>-6.0478999999999901E-2</v>
      </c>
      <c r="AE4805">
        <v>-0.11749999999999899</v>
      </c>
      <c r="AF4805">
        <v>0.12795661331768099</v>
      </c>
      <c r="AG4805">
        <v>-6.0478999999999901E-2</v>
      </c>
      <c r="AH4805">
        <v>0.58155774319222298</v>
      </c>
      <c r="AI4805">
        <v>95.7993859342712</v>
      </c>
      <c r="AJ4805">
        <v>77.591274333023094</v>
      </c>
      <c r="AK4805">
        <v>0.59853154720495905</v>
      </c>
    </row>
    <row r="4806" spans="1:37" x14ac:dyDescent="0.2">
      <c r="A4806" t="str">
        <f>"20200111153747831"</f>
        <v>20200111153747831</v>
      </c>
      <c r="B4806" t="str">
        <f>"1578728267827701"</f>
        <v>1578728267827701</v>
      </c>
      <c r="C4806" t="s">
        <v>37</v>
      </c>
      <c r="D4806">
        <v>5.9969519999999896</v>
      </c>
      <c r="E4806">
        <v>0.59431669999999903</v>
      </c>
      <c r="F4806" t="s">
        <v>38</v>
      </c>
      <c r="G4806">
        <v>-358.80919999999998</v>
      </c>
      <c r="H4806">
        <v>1.0468360000000001</v>
      </c>
      <c r="I4806">
        <v>16.969290000000001</v>
      </c>
      <c r="J4806">
        <v>-359.36380000000003</v>
      </c>
      <c r="K4806">
        <v>1.1030610000000001</v>
      </c>
      <c r="L4806">
        <v>17.087769999999999</v>
      </c>
      <c r="M4806">
        <v>0.99978409999999995</v>
      </c>
      <c r="N4806">
        <v>0</v>
      </c>
      <c r="O4806">
        <v>1.9532339999999999E-2</v>
      </c>
      <c r="P4806">
        <v>0.99192860000000005</v>
      </c>
      <c r="Q4806">
        <v>3.440497E-2</v>
      </c>
      <c r="R4806">
        <v>0.1220416</v>
      </c>
      <c r="S4806">
        <v>3.079285</v>
      </c>
      <c r="T4806">
        <v>-0.19139829999999999</v>
      </c>
      <c r="U4806">
        <v>-0.38064579999999998</v>
      </c>
      <c r="V4806">
        <v>-0.102605999999999</v>
      </c>
      <c r="W4806">
        <v>4.1542320000000001E-2</v>
      </c>
      <c r="X4806">
        <v>0.99385419999999902</v>
      </c>
      <c r="Y4806">
        <v>0.14173640000000001</v>
      </c>
      <c r="Z4806">
        <v>-5.5927009999999899E-3</v>
      </c>
      <c r="AA4806">
        <v>0.98988869999999896</v>
      </c>
      <c r="AB4806">
        <v>35</v>
      </c>
      <c r="AC4806">
        <v>0.55460000000005005</v>
      </c>
      <c r="AD4806">
        <v>-5.62249999999999E-2</v>
      </c>
      <c r="AE4806">
        <v>-0.118480000000001</v>
      </c>
      <c r="AF4806">
        <v>0.12803185454754001</v>
      </c>
      <c r="AG4806">
        <v>-5.62249999999999E-2</v>
      </c>
      <c r="AH4806">
        <v>0.54680528904047598</v>
      </c>
      <c r="AI4806">
        <v>95.717216304044697</v>
      </c>
      <c r="AJ4806">
        <v>76.821868830192102</v>
      </c>
      <c r="AK4806">
        <v>0.56440183426927404</v>
      </c>
    </row>
    <row r="4807" spans="1:37" x14ac:dyDescent="0.2">
      <c r="A4807" t="str">
        <f>"20200111153747853"</f>
        <v>20200111153747853</v>
      </c>
      <c r="B4807" t="str">
        <f>"1578728267848197"</f>
        <v>1578728267848197</v>
      </c>
      <c r="C4807" t="s">
        <v>37</v>
      </c>
      <c r="D4807">
        <v>6.034186</v>
      </c>
      <c r="E4807">
        <v>0.59387199999999996</v>
      </c>
      <c r="F4807" t="s">
        <v>39</v>
      </c>
      <c r="G4807">
        <v>-340.483</v>
      </c>
      <c r="H4807" s="1">
        <v>-4.9296150000000004E-6</v>
      </c>
      <c r="I4807">
        <v>14.742239999999899</v>
      </c>
      <c r="J4807">
        <v>-359.02069999999998</v>
      </c>
      <c r="K4807">
        <v>1.103102</v>
      </c>
      <c r="L4807">
        <v>17.094270000000002</v>
      </c>
      <c r="M4807">
        <v>0.99979289999999998</v>
      </c>
      <c r="N4807">
        <v>0</v>
      </c>
      <c r="O4807">
        <v>1.9076900000000001E-2</v>
      </c>
      <c r="P4807">
        <v>0.99210940000000003</v>
      </c>
      <c r="Q4807">
        <v>3.4764780000000002E-2</v>
      </c>
      <c r="R4807">
        <v>0.1204591</v>
      </c>
      <c r="S4807">
        <v>3.0776979999999998</v>
      </c>
      <c r="T4807">
        <v>-0.17980769999999999</v>
      </c>
      <c r="U4807">
        <v>-0.3823242</v>
      </c>
      <c r="V4807">
        <v>-0.1014784</v>
      </c>
      <c r="W4807">
        <v>4.1904879999999999E-2</v>
      </c>
      <c r="X4807">
        <v>0.99395480000000003</v>
      </c>
      <c r="Y4807">
        <v>0.1419155</v>
      </c>
      <c r="Z4807">
        <v>-5.235829E-3</v>
      </c>
      <c r="AA4807">
        <v>0.98986489999999905</v>
      </c>
      <c r="AB4807">
        <v>35</v>
      </c>
      <c r="AC4807">
        <v>18.537699999999901</v>
      </c>
      <c r="AD4807">
        <v>-1.103106929615</v>
      </c>
      <c r="AE4807">
        <v>-2.3520300000000001</v>
      </c>
      <c r="AF4807">
        <v>2.6958579427187002</v>
      </c>
      <c r="AG4807">
        <v>-1.103106929615</v>
      </c>
      <c r="AH4807">
        <v>18.425245979081598</v>
      </c>
      <c r="AI4807">
        <v>93.390159837640994</v>
      </c>
      <c r="AJ4807">
        <v>81.6759313138149</v>
      </c>
      <c r="AK4807">
        <v>18.654066160897699</v>
      </c>
    </row>
    <row r="4808" spans="1:37" x14ac:dyDescent="0.2">
      <c r="A4808" t="str">
        <f>"20200111153747875"</f>
        <v>20200111153747875</v>
      </c>
      <c r="B4808" t="str">
        <f>"1578728267867720"</f>
        <v>1578728267867720</v>
      </c>
      <c r="C4808" t="s">
        <v>37</v>
      </c>
      <c r="D4808">
        <v>6.0532449999999898</v>
      </c>
      <c r="E4808">
        <v>0.59313939999999998</v>
      </c>
      <c r="F4808" t="s">
        <v>39</v>
      </c>
      <c r="G4808">
        <v>-339.98739999999998</v>
      </c>
      <c r="H4808" s="1">
        <v>-5.1456590000000001E-6</v>
      </c>
      <c r="I4808">
        <v>14.722950000000001</v>
      </c>
      <c r="J4808">
        <v>-358.66800000000001</v>
      </c>
      <c r="K4808">
        <v>1.103119</v>
      </c>
      <c r="L4808">
        <v>17.100829999999998</v>
      </c>
      <c r="M4808">
        <v>0.99980029999999998</v>
      </c>
      <c r="N4808">
        <v>0</v>
      </c>
      <c r="O4808">
        <v>1.8675879999999999E-2</v>
      </c>
      <c r="P4808">
        <v>0.99230030000000002</v>
      </c>
      <c r="Q4808">
        <v>3.4696629999999999E-2</v>
      </c>
      <c r="R4808">
        <v>0.118896499999999</v>
      </c>
      <c r="S4808">
        <v>3.07666</v>
      </c>
      <c r="T4808">
        <v>-0.1783129</v>
      </c>
      <c r="U4808">
        <v>-0.3833008</v>
      </c>
      <c r="V4808">
        <v>-0.10031269999999901</v>
      </c>
      <c r="W4808">
        <v>4.1842940000000002E-2</v>
      </c>
      <c r="X4808">
        <v>0.99407570000000001</v>
      </c>
      <c r="Y4808">
        <v>0.14187369999999999</v>
      </c>
      <c r="Z4808">
        <v>-5.1696609999999999E-3</v>
      </c>
      <c r="AA4808">
        <v>0.98987130000000001</v>
      </c>
      <c r="AB4808">
        <v>35</v>
      </c>
      <c r="AC4808">
        <v>18.680599999999998</v>
      </c>
      <c r="AD4808">
        <v>-1.103124145659</v>
      </c>
      <c r="AE4808">
        <v>-2.37787999999999</v>
      </c>
      <c r="AF4808">
        <v>2.71702718515514</v>
      </c>
      <c r="AG4808">
        <v>-1.103124145659</v>
      </c>
      <c r="AH4808">
        <v>18.569211005652399</v>
      </c>
      <c r="AI4808">
        <v>93.363986554714202</v>
      </c>
      <c r="AJ4808">
        <v>81.675613371935796</v>
      </c>
      <c r="AK4808">
        <v>18.799327567177698</v>
      </c>
    </row>
    <row r="4809" spans="1:37" x14ac:dyDescent="0.2">
      <c r="A4809" t="str">
        <f>"20200111153747898"</f>
        <v>20200111153747898</v>
      </c>
      <c r="B4809" t="str">
        <f>"1578728267888217"</f>
        <v>1578728267888217</v>
      </c>
      <c r="C4809" t="s">
        <v>37</v>
      </c>
      <c r="D4809">
        <v>6.0376760000000003</v>
      </c>
      <c r="E4809">
        <v>0.59252380000000004</v>
      </c>
      <c r="F4809" t="s">
        <v>39</v>
      </c>
      <c r="G4809">
        <v>-340.2328</v>
      </c>
      <c r="H4809" s="1">
        <v>-5.024649E-6</v>
      </c>
      <c r="I4809">
        <v>14.81175</v>
      </c>
      <c r="J4809">
        <v>-358.31020000000001</v>
      </c>
      <c r="K4809">
        <v>1.103121</v>
      </c>
      <c r="L4809">
        <v>17.10736</v>
      </c>
      <c r="M4809">
        <v>0.99980619999999998</v>
      </c>
      <c r="N4809">
        <v>0</v>
      </c>
      <c r="O4809">
        <v>1.835519E-2</v>
      </c>
      <c r="P4809">
        <v>0.992446099999999</v>
      </c>
      <c r="Q4809">
        <v>3.5134699999999998E-2</v>
      </c>
      <c r="R4809">
        <v>0.117544</v>
      </c>
      <c r="S4809">
        <v>3.0754999999999999</v>
      </c>
      <c r="T4809">
        <v>-0.18403120000000001</v>
      </c>
      <c r="U4809">
        <v>-0.3818665</v>
      </c>
      <c r="V4809">
        <v>-9.9274979999999999E-2</v>
      </c>
      <c r="W4809">
        <v>4.2299349999999999E-2</v>
      </c>
      <c r="X4809">
        <v>0.99416059999999995</v>
      </c>
      <c r="Y4809">
        <v>0.1411317</v>
      </c>
      <c r="Z4809">
        <v>-5.2960999999999998E-3</v>
      </c>
      <c r="AA4809">
        <v>0.98997659999999998</v>
      </c>
      <c r="AB4809">
        <v>35</v>
      </c>
      <c r="AC4809">
        <v>18.077400000000001</v>
      </c>
      <c r="AD4809">
        <v>-1.103126024649</v>
      </c>
      <c r="AE4809">
        <v>-2.2956099999999999</v>
      </c>
      <c r="AF4809">
        <v>2.61745373831705</v>
      </c>
      <c r="AG4809">
        <v>-1.103126024649</v>
      </c>
      <c r="AH4809">
        <v>17.966376684772101</v>
      </c>
      <c r="AI4809">
        <v>93.476907214094794</v>
      </c>
      <c r="AJ4809">
        <v>81.7111079230896</v>
      </c>
      <c r="AK4809">
        <v>18.189520122246499</v>
      </c>
    </row>
    <row r="4810" spans="1:37" x14ac:dyDescent="0.2">
      <c r="A4810" t="str">
        <f>"20200111153747919"</f>
        <v>20200111153747919</v>
      </c>
      <c r="B4810" t="str">
        <f>"1578728267907733"</f>
        <v>1578728267907733</v>
      </c>
      <c r="C4810" t="s">
        <v>37</v>
      </c>
      <c r="D4810">
        <v>6.1077620000000001</v>
      </c>
      <c r="E4810">
        <v>0.59211959999999997</v>
      </c>
      <c r="F4810" t="s">
        <v>39</v>
      </c>
      <c r="G4810">
        <v>-340.1669</v>
      </c>
      <c r="H4810" s="1">
        <v>-5.044225E-6</v>
      </c>
      <c r="I4810">
        <v>14.8607</v>
      </c>
      <c r="J4810">
        <v>-357.98439999999999</v>
      </c>
      <c r="K4810">
        <v>1.1031389999999901</v>
      </c>
      <c r="L4810">
        <v>17.113160000000001</v>
      </c>
      <c r="M4810">
        <v>0.99981030000000004</v>
      </c>
      <c r="N4810">
        <v>0</v>
      </c>
      <c r="O4810">
        <v>1.8113859999999999E-2</v>
      </c>
      <c r="P4810">
        <v>0.99266960000000004</v>
      </c>
      <c r="Q4810">
        <v>3.4603750000000003E-2</v>
      </c>
      <c r="R4810">
        <v>0.11579970000000001</v>
      </c>
      <c r="S4810">
        <v>3.0745849999999999</v>
      </c>
      <c r="T4810">
        <v>-0.18693650000000001</v>
      </c>
      <c r="U4810">
        <v>-0.38070679999999901</v>
      </c>
      <c r="V4810">
        <v>-9.7765160000000004E-2</v>
      </c>
      <c r="W4810">
        <v>4.1797679999999997E-2</v>
      </c>
      <c r="X4810">
        <v>0.99433139999999998</v>
      </c>
      <c r="Y4810">
        <v>0.1405534</v>
      </c>
      <c r="Z4810">
        <v>-5.3491600000000004E-3</v>
      </c>
      <c r="AA4810">
        <v>0.99005869999999996</v>
      </c>
      <c r="AB4810">
        <v>35</v>
      </c>
      <c r="AC4810">
        <v>17.8174999999999</v>
      </c>
      <c r="AD4810">
        <v>-1.10314404422499</v>
      </c>
      <c r="AE4810">
        <v>-2.2524600000000001</v>
      </c>
      <c r="AF4810">
        <v>2.5651640675017902</v>
      </c>
      <c r="AG4810">
        <v>-1.10314404422499</v>
      </c>
      <c r="AH4810">
        <v>17.7069666350381</v>
      </c>
      <c r="AI4810">
        <v>93.528184176530701</v>
      </c>
      <c r="AJ4810">
        <v>81.757048024470393</v>
      </c>
      <c r="AK4810">
        <v>17.9257820161315</v>
      </c>
    </row>
    <row r="4811" spans="1:37" x14ac:dyDescent="0.2">
      <c r="A4811" t="str">
        <f>"20200111153747943"</f>
        <v>20200111153747943</v>
      </c>
      <c r="B4811" t="str">
        <f>"1578728267937989"</f>
        <v>1578728267937989</v>
      </c>
      <c r="C4811" t="s">
        <v>37</v>
      </c>
      <c r="D4811">
        <v>6.0890979999999999</v>
      </c>
      <c r="E4811">
        <v>0.591812</v>
      </c>
      <c r="F4811" t="s">
        <v>39</v>
      </c>
      <c r="G4811">
        <v>-340.36829999999998</v>
      </c>
      <c r="H4811" s="1">
        <v>-4.9473409999999997E-6</v>
      </c>
      <c r="I4811">
        <v>14.919829999999999</v>
      </c>
      <c r="J4811">
        <v>-357.6234</v>
      </c>
      <c r="K4811">
        <v>1.1031759999999999</v>
      </c>
      <c r="L4811">
        <v>17.119450000000001</v>
      </c>
      <c r="M4811">
        <v>0.9998146</v>
      </c>
      <c r="N4811">
        <v>0</v>
      </c>
      <c r="O4811">
        <v>1.7859900000000001E-2</v>
      </c>
      <c r="P4811">
        <v>0.99290230000000002</v>
      </c>
      <c r="Q4811">
        <v>3.4535870000000003E-2</v>
      </c>
      <c r="R4811">
        <v>0.1138091</v>
      </c>
      <c r="S4811">
        <v>3.0735169999999998</v>
      </c>
      <c r="T4811">
        <v>-0.19246769999999999</v>
      </c>
      <c r="U4811">
        <v>-0.3826599</v>
      </c>
      <c r="V4811">
        <v>-9.6022140000000006E-2</v>
      </c>
      <c r="W4811">
        <v>4.1786719999999999E-2</v>
      </c>
      <c r="X4811">
        <v>0.99450169999999904</v>
      </c>
      <c r="Y4811">
        <v>0.14094579999999901</v>
      </c>
      <c r="Z4811">
        <v>-5.50521E-3</v>
      </c>
      <c r="AA4811">
        <v>0.99000200000000005</v>
      </c>
      <c r="AB4811">
        <v>35</v>
      </c>
      <c r="AC4811">
        <v>17.255099999999999</v>
      </c>
      <c r="AD4811">
        <v>-1.1031809473409999</v>
      </c>
      <c r="AE4811">
        <v>-2.1996199999999999</v>
      </c>
      <c r="AF4811">
        <v>2.4974065469915998</v>
      </c>
      <c r="AG4811">
        <v>-1.1031809473409999</v>
      </c>
      <c r="AH4811">
        <v>17.144105543434399</v>
      </c>
      <c r="AI4811">
        <v>93.643417431587906</v>
      </c>
      <c r="AJ4811">
        <v>81.711937864732803</v>
      </c>
      <c r="AK4811">
        <v>17.360138321682498</v>
      </c>
    </row>
    <row r="4812" spans="1:37" x14ac:dyDescent="0.2">
      <c r="A4812" t="str">
        <f>"20200111153747965"</f>
        <v>20200111153747965</v>
      </c>
      <c r="B4812" t="str">
        <f>"1578728267958486"</f>
        <v>1578728267958486</v>
      </c>
      <c r="C4812" t="s">
        <v>37</v>
      </c>
      <c r="D4812">
        <v>6.0465339999999896</v>
      </c>
      <c r="E4812">
        <v>0.59132269999999998</v>
      </c>
      <c r="F4812" t="s">
        <v>38</v>
      </c>
      <c r="G4812">
        <v>-356.6266</v>
      </c>
      <c r="H4812">
        <v>1.0407850000000001</v>
      </c>
      <c r="I4812">
        <v>16.993829999999999</v>
      </c>
      <c r="J4812">
        <v>-357.2638</v>
      </c>
      <c r="K4812">
        <v>1.103243</v>
      </c>
      <c r="L4812">
        <v>17.125610000000002</v>
      </c>
      <c r="M4812">
        <v>0.9998186</v>
      </c>
      <c r="N4812">
        <v>0</v>
      </c>
      <c r="O4812">
        <v>1.7593620000000001E-2</v>
      </c>
      <c r="P4812">
        <v>0.99318269999999997</v>
      </c>
      <c r="Q4812">
        <v>3.5188480000000001E-2</v>
      </c>
      <c r="R4812">
        <v>0.11113239999999899</v>
      </c>
      <c r="S4812">
        <v>3.0723880000000001</v>
      </c>
      <c r="T4812">
        <v>-0.192315299999999</v>
      </c>
      <c r="U4812">
        <v>-0.3861694</v>
      </c>
      <c r="V4812">
        <v>-9.3605129999999995E-2</v>
      </c>
      <c r="W4812">
        <v>4.2540880000000003E-2</v>
      </c>
      <c r="X4812">
        <v>0.99470009999999998</v>
      </c>
      <c r="Y4812">
        <v>0.1418392</v>
      </c>
      <c r="Z4812">
        <v>-5.5137069999999996E-3</v>
      </c>
      <c r="AA4812">
        <v>0.98987440000000004</v>
      </c>
      <c r="AB4812">
        <v>35</v>
      </c>
      <c r="AC4812">
        <v>0.63720000000000698</v>
      </c>
      <c r="AD4812">
        <v>-6.2457999999999902E-2</v>
      </c>
      <c r="AE4812">
        <v>-0.13178000000000201</v>
      </c>
      <c r="AF4812">
        <v>0.14166528858316499</v>
      </c>
      <c r="AG4812">
        <v>-6.2457999999999902E-2</v>
      </c>
      <c r="AH4812">
        <v>0.62898749566210699</v>
      </c>
      <c r="AI4812">
        <v>95.533126947446505</v>
      </c>
      <c r="AJ4812">
        <v>77.307209770312696</v>
      </c>
      <c r="AK4812">
        <v>0.64776178140782703</v>
      </c>
    </row>
    <row r="4813" spans="1:37" x14ac:dyDescent="0.2">
      <c r="A4813" t="str">
        <f>"20200111153747987"</f>
        <v>20200111153747987</v>
      </c>
      <c r="B4813" t="str">
        <f>"1578728267978008"</f>
        <v>1578728267978008</v>
      </c>
      <c r="C4813" t="s">
        <v>37</v>
      </c>
      <c r="D4813">
        <v>6.0834799999999998</v>
      </c>
      <c r="E4813">
        <v>0.59088430000000003</v>
      </c>
      <c r="F4813" t="s">
        <v>38</v>
      </c>
      <c r="G4813">
        <v>-356.31060000000002</v>
      </c>
      <c r="H4813">
        <v>1.0431429999999999</v>
      </c>
      <c r="I4813">
        <v>17.004470000000001</v>
      </c>
      <c r="J4813">
        <v>-356.91309999999999</v>
      </c>
      <c r="K4813">
        <v>1.103324</v>
      </c>
      <c r="L4813">
        <v>17.13147</v>
      </c>
      <c r="M4813">
        <v>0.9998224</v>
      </c>
      <c r="N4813">
        <v>0</v>
      </c>
      <c r="O4813">
        <v>1.7315500000000001E-2</v>
      </c>
      <c r="P4813">
        <v>0.99348309999999995</v>
      </c>
      <c r="Q4813">
        <v>3.6614939999999999E-2</v>
      </c>
      <c r="R4813">
        <v>0.1079393</v>
      </c>
      <c r="S4813">
        <v>3.0711059999999999</v>
      </c>
      <c r="T4813">
        <v>-0.19359779999999999</v>
      </c>
      <c r="U4813">
        <v>-0.39007570000000003</v>
      </c>
      <c r="V4813">
        <v>-9.0683E-2</v>
      </c>
      <c r="W4813">
        <v>4.4105360000000003E-2</v>
      </c>
      <c r="X4813">
        <v>0.99490270000000003</v>
      </c>
      <c r="Y4813">
        <v>0.14284839999999999</v>
      </c>
      <c r="Z4813">
        <v>-5.5664619999999899E-3</v>
      </c>
      <c r="AA4813">
        <v>0.98972890000000002</v>
      </c>
      <c r="AB4813">
        <v>35</v>
      </c>
      <c r="AC4813">
        <v>0.60249999999996295</v>
      </c>
      <c r="AD4813">
        <v>-6.0180999999999998E-2</v>
      </c>
      <c r="AE4813">
        <v>-0.126999999999998</v>
      </c>
      <c r="AF4813">
        <v>0.13611358820378799</v>
      </c>
      <c r="AG4813">
        <v>-6.0180999999999998E-2</v>
      </c>
      <c r="AH4813">
        <v>0.59453117781547404</v>
      </c>
      <c r="AI4813">
        <v>95.635213887049005</v>
      </c>
      <c r="AJ4813">
        <v>77.104782588944701</v>
      </c>
      <c r="AK4813">
        <v>0.612875177380652</v>
      </c>
    </row>
    <row r="4814" spans="1:37" x14ac:dyDescent="0.2">
      <c r="A4814" t="str">
        <f>"20200111153748010"</f>
        <v>20200111153748010</v>
      </c>
      <c r="B4814" t="str">
        <f>"1578728267998501"</f>
        <v>1578728267998501</v>
      </c>
      <c r="C4814" t="s">
        <v>37</v>
      </c>
      <c r="D4814">
        <v>6.0530589999999904</v>
      </c>
      <c r="E4814">
        <v>0.59055000000000002</v>
      </c>
      <c r="F4814" t="s">
        <v>39</v>
      </c>
      <c r="G4814">
        <v>-339.18290000000002</v>
      </c>
      <c r="H4814" s="1">
        <v>-1.534582E-6</v>
      </c>
      <c r="I4814">
        <v>14.841419999999999</v>
      </c>
      <c r="J4814">
        <v>-356.56319999999999</v>
      </c>
      <c r="K4814">
        <v>1.1034200000000001</v>
      </c>
      <c r="L4814">
        <v>17.137239999999998</v>
      </c>
      <c r="M4814">
        <v>0.99982569999999904</v>
      </c>
      <c r="N4814">
        <v>0</v>
      </c>
      <c r="O4814">
        <v>1.701838E-2</v>
      </c>
      <c r="P4814">
        <v>0.99369189999999996</v>
      </c>
      <c r="Q4814">
        <v>3.5793569999999997E-2</v>
      </c>
      <c r="R4814">
        <v>0.1062811</v>
      </c>
      <c r="S4814">
        <v>3.0697939999999999</v>
      </c>
      <c r="T4814">
        <v>-0.19102920000000001</v>
      </c>
      <c r="U4814">
        <v>-0.39648440000000001</v>
      </c>
      <c r="V4814">
        <v>-8.9318389999999998E-2</v>
      </c>
      <c r="W4814">
        <v>4.352893E-2</v>
      </c>
      <c r="X4814">
        <v>0.99505149999999998</v>
      </c>
      <c r="Y4814">
        <v>0.1446451</v>
      </c>
      <c r="Z4814">
        <v>-5.5315709999999999E-3</v>
      </c>
      <c r="AA4814">
        <v>0.98946819999999902</v>
      </c>
      <c r="AB4814">
        <v>35</v>
      </c>
      <c r="AC4814">
        <v>17.380299999999899</v>
      </c>
      <c r="AD4814">
        <v>-1.103421534582</v>
      </c>
      <c r="AE4814">
        <v>-2.2958199999999902</v>
      </c>
      <c r="AF4814">
        <v>2.5810559958391699</v>
      </c>
      <c r="AG4814">
        <v>-1.103421534582</v>
      </c>
      <c r="AH4814">
        <v>17.270294815333902</v>
      </c>
      <c r="AI4814">
        <v>93.615684966343196</v>
      </c>
      <c r="AJ4814">
        <v>81.500022254662895</v>
      </c>
      <c r="AK4814">
        <v>17.496927505856199</v>
      </c>
    </row>
    <row r="4815" spans="1:37" x14ac:dyDescent="0.2">
      <c r="A4815" t="str">
        <f>"20200111153748033"</f>
        <v>20200111153748033</v>
      </c>
      <c r="B4815" t="str">
        <f>"1578728268027781"</f>
        <v>1578728268027781</v>
      </c>
      <c r="C4815" t="s">
        <v>37</v>
      </c>
      <c r="D4815">
        <v>6.0869839999999904</v>
      </c>
      <c r="E4815">
        <v>0.59019319999999997</v>
      </c>
      <c r="F4815" t="s">
        <v>38</v>
      </c>
      <c r="G4815">
        <v>-355.66930000000002</v>
      </c>
      <c r="H4815">
        <v>1.0465149999999901</v>
      </c>
      <c r="I4815">
        <v>17.020949999999999</v>
      </c>
      <c r="J4815">
        <v>-356.200999999999</v>
      </c>
      <c r="K4815">
        <v>1.103545</v>
      </c>
      <c r="L4815">
        <v>17.143070000000002</v>
      </c>
      <c r="M4815">
        <v>0.99982789999999999</v>
      </c>
      <c r="N4815">
        <v>0</v>
      </c>
      <c r="O4815">
        <v>1.6695939999999999E-2</v>
      </c>
      <c r="P4815">
        <v>0.9940253</v>
      </c>
      <c r="Q4815">
        <v>3.6085119999999998E-2</v>
      </c>
      <c r="R4815">
        <v>0.1030142</v>
      </c>
      <c r="S4815">
        <v>3.0687869999999999</v>
      </c>
      <c r="T4815">
        <v>-0.19536129999999999</v>
      </c>
      <c r="U4815">
        <v>-0.39904790000000001</v>
      </c>
      <c r="V4815">
        <v>-8.6366940000000003E-2</v>
      </c>
      <c r="W4815">
        <v>4.4232059999999997E-2</v>
      </c>
      <c r="X4815">
        <v>0.99528099999999997</v>
      </c>
      <c r="Y4815">
        <v>0.1451655</v>
      </c>
      <c r="Z4815">
        <v>-5.6543569999999996E-3</v>
      </c>
      <c r="AA4815">
        <v>0.98939120000000003</v>
      </c>
      <c r="AB4815">
        <v>35</v>
      </c>
      <c r="AC4815">
        <v>0.531699999999943</v>
      </c>
      <c r="AD4815">
        <v>-5.7030000000000101E-2</v>
      </c>
      <c r="AE4815">
        <v>-0.122120000000002</v>
      </c>
      <c r="AF4815">
        <v>0.129564595230129</v>
      </c>
      <c r="AG4815">
        <v>-5.7030000000000101E-2</v>
      </c>
      <c r="AH4815">
        <v>0.52386205676520303</v>
      </c>
      <c r="AI4815">
        <v>96.032642101807596</v>
      </c>
      <c r="AJ4815">
        <v>76.1080551597599</v>
      </c>
      <c r="AK4815">
        <v>0.54265169285225401</v>
      </c>
    </row>
    <row r="4816" spans="1:37" x14ac:dyDescent="0.2">
      <c r="A4816" t="str">
        <f>"20200111153748055"</f>
        <v>20200111153748055</v>
      </c>
      <c r="B4816" t="str">
        <f>"1578728268048277"</f>
        <v>1578728268048277</v>
      </c>
      <c r="C4816" t="s">
        <v>37</v>
      </c>
      <c r="D4816">
        <v>6.0918150000000004</v>
      </c>
      <c r="E4816">
        <v>0.58983399999999997</v>
      </c>
      <c r="F4816" t="s">
        <v>39</v>
      </c>
      <c r="G4816">
        <v>-339.0566</v>
      </c>
      <c r="H4816" s="1">
        <v>-1.5692279999999899E-6</v>
      </c>
      <c r="I4816">
        <v>14.872769999999999</v>
      </c>
      <c r="J4816">
        <v>-355.85469999999998</v>
      </c>
      <c r="K4816">
        <v>1.1036680000000001</v>
      </c>
      <c r="L4816">
        <v>17.148499999999999</v>
      </c>
      <c r="M4816">
        <v>0.99982870000000001</v>
      </c>
      <c r="N4816">
        <v>0</v>
      </c>
      <c r="O4816">
        <v>1.63809E-2</v>
      </c>
      <c r="P4816">
        <v>0.99430099999999999</v>
      </c>
      <c r="Q4816">
        <v>3.633057E-2</v>
      </c>
      <c r="R4816">
        <v>0.1002289</v>
      </c>
      <c r="S4816">
        <v>3.0672609999999998</v>
      </c>
      <c r="T4816">
        <v>-0.19743269999999999</v>
      </c>
      <c r="U4816">
        <v>-0.40615839999999998</v>
      </c>
      <c r="V4816">
        <v>-8.3889809999999995E-2</v>
      </c>
      <c r="W4816">
        <v>4.4988050000000002E-2</v>
      </c>
      <c r="X4816">
        <v>0.99545899999999998</v>
      </c>
      <c r="Y4816">
        <v>0.14716080000000001</v>
      </c>
      <c r="Z4816">
        <v>-5.7598459999999999E-3</v>
      </c>
      <c r="AA4816">
        <v>0.98909579999999997</v>
      </c>
      <c r="AB4816">
        <v>35</v>
      </c>
      <c r="AC4816">
        <v>16.798099999999899</v>
      </c>
      <c r="AD4816">
        <v>-1.1036695692280001</v>
      </c>
      <c r="AE4816">
        <v>-2.27572999999999</v>
      </c>
      <c r="AF4816">
        <v>2.5398365767700199</v>
      </c>
      <c r="AG4816">
        <v>-1.1036695692280001</v>
      </c>
      <c r="AH4816">
        <v>16.6878270286408</v>
      </c>
      <c r="AI4816">
        <v>93.740861085215997</v>
      </c>
      <c r="AJ4816">
        <v>81.346167492315004</v>
      </c>
      <c r="AK4816">
        <v>16.916040532363699</v>
      </c>
    </row>
    <row r="4817" spans="1:37" x14ac:dyDescent="0.2">
      <c r="A4817" t="str">
        <f>"20200111153748069"</f>
        <v>20200111153748069</v>
      </c>
      <c r="B4817" t="str">
        <f>"1578728268058037"</f>
        <v>1578728268058037</v>
      </c>
      <c r="C4817" t="s">
        <v>37</v>
      </c>
      <c r="D4817">
        <v>6.110322</v>
      </c>
      <c r="E4817">
        <v>0.58967349999999996</v>
      </c>
      <c r="F4817" t="s">
        <v>39</v>
      </c>
      <c r="G4817">
        <v>-338.8272</v>
      </c>
      <c r="H4817" s="1">
        <v>-1.65021E-6</v>
      </c>
      <c r="I4817">
        <v>14.86186</v>
      </c>
      <c r="J4817">
        <v>-355.63</v>
      </c>
      <c r="K4817">
        <v>1.1037440000000001</v>
      </c>
      <c r="L4817">
        <v>17.151979999999998</v>
      </c>
      <c r="M4817">
        <v>0.99982909999999903</v>
      </c>
      <c r="N4817">
        <v>0</v>
      </c>
      <c r="O4817">
        <v>1.6171000000000001E-2</v>
      </c>
      <c r="P4817">
        <v>0.99446229999999902</v>
      </c>
      <c r="Q4817">
        <v>3.6089320000000001E-2</v>
      </c>
      <c r="R4817">
        <v>9.8705349999999997E-2</v>
      </c>
      <c r="S4817">
        <v>3.0659480000000001</v>
      </c>
      <c r="T4817">
        <v>-0.1987246</v>
      </c>
      <c r="U4817">
        <v>-0.41171259999999998</v>
      </c>
      <c r="V4817">
        <v>-8.2573090000000002E-2</v>
      </c>
      <c r="W4817">
        <v>4.5091899999999997E-2</v>
      </c>
      <c r="X4817">
        <v>0.99556429999999996</v>
      </c>
      <c r="Y4817">
        <v>0.14876120000000001</v>
      </c>
      <c r="Z4817">
        <v>-5.8372759999999997E-3</v>
      </c>
      <c r="AA4817">
        <v>0.98885590000000001</v>
      </c>
      <c r="AB4817">
        <v>35</v>
      </c>
      <c r="AC4817">
        <v>16.802799999999898</v>
      </c>
      <c r="AD4817">
        <v>-1.10374565021</v>
      </c>
      <c r="AE4817">
        <v>-2.2901199999999902</v>
      </c>
      <c r="AF4817">
        <v>2.5507439261835398</v>
      </c>
      <c r="AG4817">
        <v>-1.10374565021</v>
      </c>
      <c r="AH4817">
        <v>16.6928526455611</v>
      </c>
      <c r="AI4817">
        <v>93.739657419108894</v>
      </c>
      <c r="AJ4817">
        <v>81.312146176379898</v>
      </c>
      <c r="AK4817">
        <v>16.922643956655701</v>
      </c>
    </row>
    <row r="4818" spans="1:37" x14ac:dyDescent="0.2">
      <c r="A4818" t="str">
        <f>"20200111153748089"</f>
        <v>20200111153748089</v>
      </c>
      <c r="B4818" t="str">
        <f>"1578728268078534"</f>
        <v>1578728268078534</v>
      </c>
      <c r="C4818" t="s">
        <v>37</v>
      </c>
      <c r="D4818">
        <v>6.1208419999999997</v>
      </c>
      <c r="E4818">
        <v>0.58934489999999995</v>
      </c>
      <c r="F4818" t="s">
        <v>39</v>
      </c>
      <c r="G4818">
        <v>-338.7654</v>
      </c>
      <c r="H4818" s="1">
        <v>-1.669614E-6</v>
      </c>
      <c r="I4818">
        <v>14.86801</v>
      </c>
      <c r="J4818">
        <v>-355.31849999999997</v>
      </c>
      <c r="K4818">
        <v>1.103818</v>
      </c>
      <c r="L4818">
        <v>17.15671</v>
      </c>
      <c r="M4818">
        <v>0.99982959999999999</v>
      </c>
      <c r="N4818">
        <v>0</v>
      </c>
      <c r="O4818">
        <v>1.5874280000000001E-2</v>
      </c>
      <c r="P4818">
        <v>0.99475530000000001</v>
      </c>
      <c r="Q4818">
        <v>3.5284360000000001E-2</v>
      </c>
      <c r="R4818">
        <v>9.6008220000000005E-2</v>
      </c>
      <c r="S4818">
        <v>3.0651860000000002</v>
      </c>
      <c r="T4818">
        <v>-0.2006077</v>
      </c>
      <c r="U4818">
        <v>-0.41510010000000003</v>
      </c>
      <c r="V4818">
        <v>-8.0166760000000004E-2</v>
      </c>
      <c r="W4818">
        <v>4.4751310000000002E-2</v>
      </c>
      <c r="X4818">
        <v>0.99577640000000001</v>
      </c>
      <c r="Y4818">
        <v>0.1495659</v>
      </c>
      <c r="Z4818">
        <v>-5.9003619999999897E-3</v>
      </c>
      <c r="AA4818">
        <v>0.98873419999999901</v>
      </c>
      <c r="AB4818">
        <v>35</v>
      </c>
      <c r="AC4818">
        <v>16.553099999999901</v>
      </c>
      <c r="AD4818">
        <v>-1.1038196696139999</v>
      </c>
      <c r="AE4818">
        <v>-2.2887</v>
      </c>
      <c r="AF4818">
        <v>2.5401085806171402</v>
      </c>
      <c r="AG4818">
        <v>-1.1038196696139999</v>
      </c>
      <c r="AH4818">
        <v>16.442935765907201</v>
      </c>
      <c r="AI4818">
        <v>93.795633506338902</v>
      </c>
      <c r="AJ4818">
        <v>81.218350955758197</v>
      </c>
      <c r="AK4818">
        <v>16.674552649654601</v>
      </c>
    </row>
    <row r="4819" spans="1:37" x14ac:dyDescent="0.2">
      <c r="A4819" t="str">
        <f>"20200111153748110"</f>
        <v>20200111153748110</v>
      </c>
      <c r="B4819" t="str">
        <f>"1578728268098053"</f>
        <v>1578728268098053</v>
      </c>
      <c r="C4819" t="s">
        <v>37</v>
      </c>
      <c r="D4819">
        <v>6.1108169999999999</v>
      </c>
      <c r="E4819">
        <v>0.58900369999999902</v>
      </c>
      <c r="F4819" t="s">
        <v>38</v>
      </c>
      <c r="G4819">
        <v>-354.41340000000002</v>
      </c>
      <c r="H4819">
        <v>1.043131</v>
      </c>
      <c r="I4819">
        <v>17.032309999999999</v>
      </c>
      <c r="J4819">
        <v>-354.98349999999999</v>
      </c>
      <c r="K4819">
        <v>1.1038809999999999</v>
      </c>
      <c r="L4819">
        <v>17.161739999999899</v>
      </c>
      <c r="M4819">
        <v>0.99982990000000005</v>
      </c>
      <c r="N4819">
        <v>0</v>
      </c>
      <c r="O4819">
        <v>1.5550309999999999E-2</v>
      </c>
      <c r="P4819">
        <v>0.99505159999999904</v>
      </c>
      <c r="Q4819">
        <v>3.2758259999999997E-2</v>
      </c>
      <c r="R4819">
        <v>9.3801850000000006E-2</v>
      </c>
      <c r="S4819">
        <v>3.0636899999999998</v>
      </c>
      <c r="T4819">
        <v>-0.20542659999999999</v>
      </c>
      <c r="U4819">
        <v>-0.42056270000000001</v>
      </c>
      <c r="V4819">
        <v>-7.8280550000000004E-2</v>
      </c>
      <c r="W4819">
        <v>4.2696199999999997E-2</v>
      </c>
      <c r="X4819">
        <v>0.99601669999999998</v>
      </c>
      <c r="Y4819">
        <v>0.15102070000000001</v>
      </c>
      <c r="Z4819">
        <v>-6.070878E-3</v>
      </c>
      <c r="AA4819">
        <v>0.98851199999999995</v>
      </c>
      <c r="AB4819">
        <v>35</v>
      </c>
      <c r="AC4819">
        <v>0.57009999999996797</v>
      </c>
      <c r="AD4819">
        <v>-6.0749999999999797E-2</v>
      </c>
      <c r="AE4819">
        <v>-0.12942999999999899</v>
      </c>
      <c r="AF4819">
        <v>0.136802751522622</v>
      </c>
      <c r="AG4819">
        <v>-6.0749999999999797E-2</v>
      </c>
      <c r="AH4819">
        <v>0.56195006563660699</v>
      </c>
      <c r="AI4819">
        <v>95.996245270439502</v>
      </c>
      <c r="AJ4819">
        <v>76.3178931103796</v>
      </c>
      <c r="AK4819">
        <v>0.58154400658346295</v>
      </c>
    </row>
    <row r="4820" spans="1:37" x14ac:dyDescent="0.2">
      <c r="A4820" t="str">
        <f>"20200111153748133"</f>
        <v>20200111153748133</v>
      </c>
      <c r="B4820" t="str">
        <f>"1578728268128312"</f>
        <v>1578728268128312</v>
      </c>
      <c r="C4820" t="s">
        <v>37</v>
      </c>
      <c r="D4820">
        <v>6.1477959999999996</v>
      </c>
      <c r="E4820">
        <v>0.58089969999999902</v>
      </c>
      <c r="F4820" t="s">
        <v>38</v>
      </c>
      <c r="G4820">
        <v>-354.10820000000001</v>
      </c>
      <c r="H4820">
        <v>1.0422899999999999</v>
      </c>
      <c r="I4820">
        <v>17.040109999999999</v>
      </c>
      <c r="J4820">
        <v>-354.62900000000002</v>
      </c>
      <c r="K4820">
        <v>1.103931</v>
      </c>
      <c r="L4820">
        <v>17.166869999999999</v>
      </c>
      <c r="M4820">
        <v>0.99983060000000001</v>
      </c>
      <c r="N4820">
        <v>0</v>
      </c>
      <c r="O4820">
        <v>1.5205750000000001E-2</v>
      </c>
      <c r="P4820">
        <v>0.99536569999999902</v>
      </c>
      <c r="Q4820">
        <v>2.9691849999999999E-2</v>
      </c>
      <c r="R4820">
        <v>9.1464299999999998E-2</v>
      </c>
      <c r="S4820">
        <v>3.0620419999999999</v>
      </c>
      <c r="T4820">
        <v>-0.21541660000000001</v>
      </c>
      <c r="U4820">
        <v>-0.4244385</v>
      </c>
      <c r="V4820">
        <v>-7.6283899999999905E-2</v>
      </c>
      <c r="W4820">
        <v>4.0096800000000002E-2</v>
      </c>
      <c r="X4820">
        <v>0.99627960000000004</v>
      </c>
      <c r="Y4820">
        <v>0.151941299999999</v>
      </c>
      <c r="Z4820">
        <v>-6.3763369999999897E-3</v>
      </c>
      <c r="AA4820">
        <v>0.98836889999999999</v>
      </c>
      <c r="AB4820">
        <v>35</v>
      </c>
      <c r="AC4820">
        <v>0.52080000000000803</v>
      </c>
      <c r="AD4820">
        <v>-6.1641000000000001E-2</v>
      </c>
      <c r="AE4820">
        <v>-0.12675999999999699</v>
      </c>
      <c r="AF4820">
        <v>0.13290719795365899</v>
      </c>
      <c r="AG4820">
        <v>-6.1641000000000001E-2</v>
      </c>
      <c r="AH4820">
        <v>0.512040355413518</v>
      </c>
      <c r="AI4820">
        <v>96.646237751785506</v>
      </c>
      <c r="AJ4820">
        <v>75.449190163830707</v>
      </c>
      <c r="AK4820">
        <v>0.53258732778850004</v>
      </c>
    </row>
    <row r="4821" spans="1:37" x14ac:dyDescent="0.2">
      <c r="A4821" t="str">
        <f>"20200111153748155"</f>
        <v>20200111153748155</v>
      </c>
      <c r="B4821" t="str">
        <f>"1578728268147830"</f>
        <v>1578728268147830</v>
      </c>
      <c r="C4821" t="s">
        <v>37</v>
      </c>
      <c r="D4821">
        <v>6.1851139999999996</v>
      </c>
      <c r="E4821">
        <v>0.5810012</v>
      </c>
      <c r="F4821" t="s">
        <v>38</v>
      </c>
      <c r="G4821">
        <v>-353.80360000000002</v>
      </c>
      <c r="H4821">
        <v>1.031768</v>
      </c>
      <c r="I4821">
        <v>17.067799999999998</v>
      </c>
      <c r="J4821">
        <v>-354.26960000000003</v>
      </c>
      <c r="K4821">
        <v>1.1039729999999901</v>
      </c>
      <c r="L4821">
        <v>17.172000000000001</v>
      </c>
      <c r="M4821">
        <v>0.99983129999999998</v>
      </c>
      <c r="N4821">
        <v>0</v>
      </c>
      <c r="O4821">
        <v>1.4856390000000001E-2</v>
      </c>
      <c r="P4821">
        <v>0.995610199999999</v>
      </c>
      <c r="Q4821">
        <v>2.6891580000000002E-2</v>
      </c>
      <c r="R4821">
        <v>8.9650999999999995E-2</v>
      </c>
      <c r="S4821">
        <v>3.055634</v>
      </c>
      <c r="T4821">
        <v>-0.2671635</v>
      </c>
      <c r="U4821">
        <v>-0.3670349</v>
      </c>
      <c r="V4821">
        <v>-7.4817549999999997E-2</v>
      </c>
      <c r="W4821">
        <v>3.7731580000000001E-2</v>
      </c>
      <c r="X4821">
        <v>0.99648309999999996</v>
      </c>
      <c r="Y4821">
        <v>0.13344029999999901</v>
      </c>
      <c r="Z4821">
        <v>-7.093884E-3</v>
      </c>
      <c r="AA4821">
        <v>0.99103149999999995</v>
      </c>
      <c r="AB4821">
        <v>35</v>
      </c>
      <c r="AC4821">
        <v>0.46600000000000802</v>
      </c>
      <c r="AD4821">
        <v>-7.2204999999999797E-2</v>
      </c>
      <c r="AE4821">
        <v>-0.104200000000002</v>
      </c>
      <c r="AF4821">
        <v>0.108628182746749</v>
      </c>
      <c r="AG4821">
        <v>-7.2204999999999797E-2</v>
      </c>
      <c r="AH4821">
        <v>0.45401922934155098</v>
      </c>
      <c r="AI4821">
        <v>98.792251064197202</v>
      </c>
      <c r="AJ4821">
        <v>76.544417831965902</v>
      </c>
      <c r="AK4821">
        <v>0.47238448823363899</v>
      </c>
    </row>
    <row r="4822" spans="1:37" x14ac:dyDescent="0.2">
      <c r="A4822" t="str">
        <f>"20200111153748169"</f>
        <v>20200111153748169</v>
      </c>
      <c r="B4822" t="str">
        <f>"1578728268158565"</f>
        <v>1578728268158565</v>
      </c>
      <c r="C4822" t="s">
        <v>37</v>
      </c>
      <c r="D4822">
        <v>6.2500689999999999</v>
      </c>
      <c r="E4822">
        <v>0.56590039999999997</v>
      </c>
      <c r="F4822" t="s">
        <v>38</v>
      </c>
      <c r="G4822">
        <v>-353.48930000000001</v>
      </c>
      <c r="H4822">
        <v>1.0336879999999999</v>
      </c>
      <c r="I4822">
        <v>17.076409999999999</v>
      </c>
      <c r="J4822">
        <v>-354.05220000000003</v>
      </c>
      <c r="K4822">
        <v>1.103993</v>
      </c>
      <c r="L4822">
        <v>17.17502</v>
      </c>
      <c r="M4822">
        <v>0.99983169999999899</v>
      </c>
      <c r="N4822">
        <v>0</v>
      </c>
      <c r="O4822">
        <v>1.4645149999999999E-2</v>
      </c>
      <c r="P4822">
        <v>0.995745199999999</v>
      </c>
      <c r="Q4822">
        <v>2.5342460000000001E-2</v>
      </c>
      <c r="R4822">
        <v>8.8597659999999995E-2</v>
      </c>
      <c r="S4822">
        <v>3.05425999999999</v>
      </c>
      <c r="T4822">
        <v>-0.27507690000000001</v>
      </c>
      <c r="U4822">
        <v>-0.37332149999999997</v>
      </c>
      <c r="V4822">
        <v>-7.3973899999999995E-2</v>
      </c>
      <c r="W4822">
        <v>3.6423560000000001E-2</v>
      </c>
      <c r="X4822">
        <v>0.9965948</v>
      </c>
      <c r="Y4822">
        <v>0.1352536</v>
      </c>
      <c r="Z4822">
        <v>-7.367808E-3</v>
      </c>
      <c r="AA4822">
        <v>0.99078359999999999</v>
      </c>
      <c r="AB4822">
        <v>35</v>
      </c>
      <c r="AC4822">
        <v>0.56290000000001295</v>
      </c>
      <c r="AD4822">
        <v>-7.0305000000000006E-2</v>
      </c>
      <c r="AE4822">
        <v>-9.8610000000000697E-2</v>
      </c>
      <c r="AF4822">
        <v>0.10525071203007</v>
      </c>
      <c r="AG4822">
        <v>-7.0305000000000006E-2</v>
      </c>
      <c r="AH4822">
        <v>0.55302533971808798</v>
      </c>
      <c r="AI4822">
        <v>97.118605114491501</v>
      </c>
      <c r="AJ4822">
        <v>79.224445164587095</v>
      </c>
      <c r="AK4822">
        <v>0.56732489085015803</v>
      </c>
    </row>
    <row r="4823" spans="1:37" x14ac:dyDescent="0.2">
      <c r="A4823" t="str">
        <f>"20200111153748188"</f>
        <v>20200111153748188</v>
      </c>
      <c r="B4823" t="str">
        <f>"1578728268178088"</f>
        <v>1578728268178088</v>
      </c>
      <c r="C4823" t="s">
        <v>37</v>
      </c>
      <c r="D4823">
        <v>5.879613</v>
      </c>
      <c r="E4823">
        <v>0.55412720000000004</v>
      </c>
      <c r="F4823" t="s">
        <v>38</v>
      </c>
      <c r="G4823">
        <v>-353.1859</v>
      </c>
      <c r="H4823">
        <v>1.0144739999999901</v>
      </c>
      <c r="I4823">
        <v>17.10192</v>
      </c>
      <c r="J4823">
        <v>-353.75459999999998</v>
      </c>
      <c r="K4823">
        <v>1.1040239999999999</v>
      </c>
      <c r="L4823">
        <v>17.179079999999999</v>
      </c>
      <c r="M4823">
        <v>0.99983250000000001</v>
      </c>
      <c r="N4823">
        <v>0</v>
      </c>
      <c r="O4823">
        <v>1.435613E-2</v>
      </c>
      <c r="P4823">
        <v>0.99595449999999996</v>
      </c>
      <c r="Q4823">
        <v>2.2539940000000001E-2</v>
      </c>
      <c r="R4823">
        <v>8.6986649999999999E-2</v>
      </c>
      <c r="S4823">
        <v>3.0436399999999999</v>
      </c>
      <c r="T4823">
        <v>-0.31448969999999998</v>
      </c>
      <c r="U4823">
        <v>-0.25646970000000002</v>
      </c>
      <c r="V4823">
        <v>-7.2650569999999998E-2</v>
      </c>
      <c r="W4823">
        <v>3.3927430000000001E-2</v>
      </c>
      <c r="X4823">
        <v>0.99678020000000001</v>
      </c>
      <c r="Y4823">
        <v>9.7671859999999999E-2</v>
      </c>
      <c r="Z4823">
        <v>-6.5009519999999999E-3</v>
      </c>
      <c r="AA4823">
        <v>0.99519740000000001</v>
      </c>
      <c r="AB4823">
        <v>35</v>
      </c>
      <c r="AC4823">
        <v>0.568699999999978</v>
      </c>
      <c r="AD4823">
        <v>-8.9550000000000005E-2</v>
      </c>
      <c r="AE4823">
        <v>-7.7159999999999201E-2</v>
      </c>
      <c r="AF4823">
        <v>8.3289078157672794E-2</v>
      </c>
      <c r="AG4823">
        <v>-8.9550000000000005E-2</v>
      </c>
      <c r="AH4823">
        <v>0.55404436196626095</v>
      </c>
      <c r="AI4823">
        <v>99.080987043062393</v>
      </c>
      <c r="AJ4823">
        <v>81.450785279571093</v>
      </c>
      <c r="AK4823">
        <v>0.56738120172151996</v>
      </c>
    </row>
    <row r="4824" spans="1:37" x14ac:dyDescent="0.2">
      <c r="A4824" t="str">
        <f>"20200111153748210"</f>
        <v>20200111153748210</v>
      </c>
      <c r="B4824" t="str">
        <f>"1578728268197605"</f>
        <v>1578728268197605</v>
      </c>
      <c r="C4824" t="s">
        <v>37</v>
      </c>
      <c r="D4824">
        <v>6.0575989999999997</v>
      </c>
      <c r="E4824">
        <v>0.47058100000000003</v>
      </c>
      <c r="F4824" t="s">
        <v>38</v>
      </c>
      <c r="G4824">
        <v>-352.8802</v>
      </c>
      <c r="H4824">
        <v>1.000618</v>
      </c>
      <c r="I4824">
        <v>17.13043</v>
      </c>
      <c r="J4824">
        <v>-353.41640000000001</v>
      </c>
      <c r="K4824">
        <v>1.104053</v>
      </c>
      <c r="L4824">
        <v>17.18356</v>
      </c>
      <c r="M4824">
        <v>0.99983339999999998</v>
      </c>
      <c r="N4824">
        <v>0</v>
      </c>
      <c r="O4824">
        <v>1.4027919999999999E-2</v>
      </c>
      <c r="P4824">
        <v>0.99611970000000005</v>
      </c>
      <c r="Q4824">
        <v>2.0057820000000001E-2</v>
      </c>
      <c r="R4824">
        <v>8.5692920000000006E-2</v>
      </c>
      <c r="S4824">
        <v>3.0349430000000002</v>
      </c>
      <c r="T4824">
        <v>-0.35890470000000002</v>
      </c>
      <c r="U4824">
        <v>-0.167572</v>
      </c>
      <c r="V4824">
        <v>-7.1683670000000005E-2</v>
      </c>
      <c r="W4824">
        <v>3.1758999999999898E-2</v>
      </c>
      <c r="X4824">
        <v>0.99692169999999902</v>
      </c>
      <c r="Y4824">
        <v>6.8558540000000001E-2</v>
      </c>
      <c r="Z4824">
        <v>-5.6887980000000001E-3</v>
      </c>
      <c r="AA4824">
        <v>0.99763089999999999</v>
      </c>
      <c r="AB4824">
        <v>35</v>
      </c>
      <c r="AC4824">
        <v>0.536200000000008</v>
      </c>
      <c r="AD4824">
        <v>-0.103435</v>
      </c>
      <c r="AE4824">
        <v>-5.31299999999994E-2</v>
      </c>
      <c r="AF4824">
        <v>5.8491634553214801E-2</v>
      </c>
      <c r="AG4824">
        <v>-0.103435</v>
      </c>
      <c r="AH4824">
        <v>0.516373481220188</v>
      </c>
      <c r="AI4824">
        <v>101.25690139792</v>
      </c>
      <c r="AJ4824">
        <v>83.537430404089605</v>
      </c>
      <c r="AK4824">
        <v>0.52986945811696196</v>
      </c>
    </row>
    <row r="4825" spans="1:37" x14ac:dyDescent="0.2">
      <c r="A4825" t="str">
        <f>"20200111153748232"</f>
        <v>20200111153748232</v>
      </c>
      <c r="B4825" t="str">
        <f>"1578728268227861"</f>
        <v>1578728268227861</v>
      </c>
      <c r="C4825" t="s">
        <v>37</v>
      </c>
      <c r="D4825">
        <v>5.6594189999999998</v>
      </c>
      <c r="E4825">
        <v>0.47165799999999902</v>
      </c>
      <c r="F4825" t="s">
        <v>39</v>
      </c>
      <c r="G4825">
        <v>-343.2201</v>
      </c>
      <c r="H4825" s="1">
        <v>-3.0233220000000001E-6</v>
      </c>
      <c r="I4825">
        <v>18.869489999999999</v>
      </c>
      <c r="J4825">
        <v>-353.07029999999997</v>
      </c>
      <c r="K4825">
        <v>1.104079</v>
      </c>
      <c r="L4825">
        <v>17.188079999999999</v>
      </c>
      <c r="M4825">
        <v>0.99983480000000002</v>
      </c>
      <c r="N4825">
        <v>0</v>
      </c>
      <c r="O4825">
        <v>1.369217E-2</v>
      </c>
      <c r="P4825">
        <v>0.99621610000000005</v>
      </c>
      <c r="Q4825">
        <v>1.8408730000000002E-2</v>
      </c>
      <c r="R4825">
        <v>8.4940979999999999E-2</v>
      </c>
      <c r="S4825">
        <v>2.9758</v>
      </c>
      <c r="T4825">
        <v>-0.32222040000000002</v>
      </c>
      <c r="U4825">
        <v>0.49206539999999999</v>
      </c>
      <c r="V4825">
        <v>-7.126644E-2</v>
      </c>
      <c r="W4825">
        <v>3.0394939999999999E-2</v>
      </c>
      <c r="X4825">
        <v>0.996994099999999</v>
      </c>
      <c r="Y4825">
        <v>-0.148846799999999</v>
      </c>
      <c r="Z4825">
        <v>6.513334E-3</v>
      </c>
      <c r="AA4825">
        <v>0.98883880000000002</v>
      </c>
      <c r="AB4825">
        <v>35</v>
      </c>
      <c r="AC4825">
        <v>9.8501999999999708</v>
      </c>
      <c r="AD4825">
        <v>-1.1040820233219999</v>
      </c>
      <c r="AE4825">
        <v>1.6814099999999901</v>
      </c>
      <c r="AF4825">
        <v>-1.5277219144618599</v>
      </c>
      <c r="AG4825">
        <v>-1.1040820233219999</v>
      </c>
      <c r="AH4825">
        <v>9.7532343041392799</v>
      </c>
      <c r="AI4825">
        <v>96.3813257015358</v>
      </c>
      <c r="AJ4825">
        <v>98.902329000534706</v>
      </c>
      <c r="AK4825">
        <v>9.9337057915759193</v>
      </c>
    </row>
    <row r="4826" spans="1:37" x14ac:dyDescent="0.2">
      <c r="A4826" t="str">
        <f>"20200111153748258"</f>
        <v>20200111153748258</v>
      </c>
      <c r="B4826" t="str">
        <f>"1578728268248357"</f>
        <v>1578728268248357</v>
      </c>
      <c r="C4826" t="s">
        <v>37</v>
      </c>
      <c r="D4826">
        <v>5.9578749999999996</v>
      </c>
      <c r="E4826">
        <v>0.47248069999999998</v>
      </c>
      <c r="F4826" t="s">
        <v>39</v>
      </c>
      <c r="G4826">
        <v>-342.62979999999999</v>
      </c>
      <c r="H4826" s="1">
        <v>-3.2755619999999998E-6</v>
      </c>
      <c r="I4826">
        <v>18.875109999999999</v>
      </c>
      <c r="J4826">
        <v>-352.6533</v>
      </c>
      <c r="K4826">
        <v>1.1040939999999999</v>
      </c>
      <c r="L4826">
        <v>17.19333</v>
      </c>
      <c r="M4826">
        <v>0.99983659999999996</v>
      </c>
      <c r="N4826">
        <v>0</v>
      </c>
      <c r="O4826">
        <v>1.3288390000000001E-2</v>
      </c>
      <c r="P4826">
        <v>0.99633629999999995</v>
      </c>
      <c r="Q4826">
        <v>1.6778009999999999E-2</v>
      </c>
      <c r="R4826">
        <v>8.3861080000000005E-2</v>
      </c>
      <c r="S4826">
        <v>2.9761660000000001</v>
      </c>
      <c r="T4826">
        <v>-0.31472879999999998</v>
      </c>
      <c r="U4826">
        <v>0.48092649999999998</v>
      </c>
      <c r="V4826">
        <v>-7.0588919999999999E-2</v>
      </c>
      <c r="W4826">
        <v>2.9064679999999999E-2</v>
      </c>
      <c r="X4826">
        <v>0.99708200000000002</v>
      </c>
      <c r="Y4826">
        <v>-0.14567099999999999</v>
      </c>
      <c r="Z4826">
        <v>6.239746E-3</v>
      </c>
      <c r="AA4826">
        <v>0.98931340000000001</v>
      </c>
      <c r="AB4826">
        <v>35</v>
      </c>
      <c r="AC4826">
        <v>10.0235</v>
      </c>
      <c r="AD4826">
        <v>-1.104097275562</v>
      </c>
      <c r="AE4826">
        <v>1.6817799999999901</v>
      </c>
      <c r="AF4826">
        <v>-1.53036546137492</v>
      </c>
      <c r="AG4826">
        <v>-1.104097275562</v>
      </c>
      <c r="AH4826">
        <v>9.9278066230529305</v>
      </c>
      <c r="AI4826">
        <v>96.272451481188796</v>
      </c>
      <c r="AJ4826">
        <v>98.763134638442395</v>
      </c>
      <c r="AK4826">
        <v>10.105562507055501</v>
      </c>
    </row>
    <row r="4827" spans="1:37" x14ac:dyDescent="0.2">
      <c r="A4827" t="str">
        <f>"20200111153748271"</f>
        <v>20200111153748271</v>
      </c>
      <c r="B4827" t="str">
        <f>"1578728268267877"</f>
        <v>1578728268267877</v>
      </c>
      <c r="C4827" t="s">
        <v>37</v>
      </c>
      <c r="D4827">
        <v>5.9176449999999896</v>
      </c>
      <c r="E4827">
        <v>0.4730394</v>
      </c>
      <c r="F4827" t="s">
        <v>39</v>
      </c>
      <c r="G4827">
        <v>-342.1662</v>
      </c>
      <c r="H4827" s="1">
        <v>-3.47840599999999E-6</v>
      </c>
      <c r="I4827">
        <v>18.852879999999999</v>
      </c>
      <c r="J4827">
        <v>-352.45670000000001</v>
      </c>
      <c r="K4827">
        <v>1.104104</v>
      </c>
      <c r="L4827">
        <v>17.195740000000001</v>
      </c>
      <c r="M4827">
        <v>0.99983750000000005</v>
      </c>
      <c r="N4827">
        <v>0</v>
      </c>
      <c r="O4827">
        <v>1.3098530000000001E-2</v>
      </c>
      <c r="P4827">
        <v>0.99640509999999904</v>
      </c>
      <c r="Q4827">
        <v>1.558523E-2</v>
      </c>
      <c r="R4827">
        <v>8.3270650000000002E-2</v>
      </c>
      <c r="S4827">
        <v>2.9766539999999999</v>
      </c>
      <c r="T4827">
        <v>-0.31338549999999998</v>
      </c>
      <c r="U4827">
        <v>0.47106930000000002</v>
      </c>
      <c r="V4827">
        <v>-7.0187879999999994E-2</v>
      </c>
      <c r="W4827">
        <v>2.7994620000000001E-2</v>
      </c>
      <c r="X4827">
        <v>0.9971409</v>
      </c>
      <c r="Y4827">
        <v>-0.14265920000000001</v>
      </c>
      <c r="Z4827">
        <v>6.0765150000000002E-3</v>
      </c>
      <c r="AA4827">
        <v>0.989753199999999</v>
      </c>
      <c r="AB4827">
        <v>35</v>
      </c>
      <c r="AC4827">
        <v>10.2905</v>
      </c>
      <c r="AD4827">
        <v>-1.1041074784060001</v>
      </c>
      <c r="AE4827">
        <v>1.6571399999999901</v>
      </c>
      <c r="AF4827">
        <v>-1.5053060357778001</v>
      </c>
      <c r="AG4827">
        <v>-1.1041074784060001</v>
      </c>
      <c r="AH4827">
        <v>10.1969055003975</v>
      </c>
      <c r="AI4827">
        <v>96.114082730842199</v>
      </c>
      <c r="AJ4827">
        <v>98.397569607353304</v>
      </c>
      <c r="AK4827">
        <v>10.366382270071799</v>
      </c>
    </row>
    <row r="4828" spans="1:37" x14ac:dyDescent="0.2">
      <c r="A4828" t="str">
        <f>"20200111153748290"</f>
        <v>20200111153748290</v>
      </c>
      <c r="B4828" t="str">
        <f>"1578728268277638"</f>
        <v>1578728268277638</v>
      </c>
      <c r="C4828" t="s">
        <v>37</v>
      </c>
      <c r="D4828">
        <v>5.8424120000000004</v>
      </c>
      <c r="E4828">
        <v>0.473271099999999</v>
      </c>
      <c r="F4828" t="s">
        <v>39</v>
      </c>
      <c r="G4828">
        <v>-342.07080000000002</v>
      </c>
      <c r="H4828" s="1">
        <v>-3.5256000000000002E-6</v>
      </c>
      <c r="I4828">
        <v>18.817409999999999</v>
      </c>
      <c r="J4828">
        <v>-352.17149999999998</v>
      </c>
      <c r="K4828">
        <v>1.1041099999999999</v>
      </c>
      <c r="L4828">
        <v>17.199189999999899</v>
      </c>
      <c r="M4828">
        <v>0.99983909999999998</v>
      </c>
      <c r="N4828">
        <v>0</v>
      </c>
      <c r="O4828">
        <v>1.2822719999999999E-2</v>
      </c>
      <c r="P4828">
        <v>0.99649889999999997</v>
      </c>
      <c r="Q4828">
        <v>1.4536749999999999E-2</v>
      </c>
      <c r="R4828">
        <v>8.2332929999999999E-2</v>
      </c>
      <c r="S4828">
        <v>2.9768979999999998</v>
      </c>
      <c r="T4828">
        <v>-0.31647039999999999</v>
      </c>
      <c r="U4828">
        <v>0.46484379999999997</v>
      </c>
      <c r="V4828">
        <v>-6.9525340000000005E-2</v>
      </c>
      <c r="W4828">
        <v>2.711185E-2</v>
      </c>
      <c r="X4828">
        <v>0.99721170000000003</v>
      </c>
      <c r="Y4828">
        <v>-0.14089370000000001</v>
      </c>
      <c r="Z4828">
        <v>6.0725110000000001E-3</v>
      </c>
      <c r="AA4828">
        <v>0.9900061</v>
      </c>
      <c r="AB4828">
        <v>35</v>
      </c>
      <c r="AC4828">
        <v>10.1006999999999</v>
      </c>
      <c r="AD4828">
        <v>-1.1041135256000001</v>
      </c>
      <c r="AE4828">
        <v>1.61822</v>
      </c>
      <c r="AF4828">
        <v>-1.47141660018392</v>
      </c>
      <c r="AG4828">
        <v>-1.1041135256000001</v>
      </c>
      <c r="AH4828">
        <v>10.0040756506577</v>
      </c>
      <c r="AI4828">
        <v>96.231531315378405</v>
      </c>
      <c r="AJ4828">
        <v>98.367169920525697</v>
      </c>
      <c r="AK4828">
        <v>10.1718072687597</v>
      </c>
    </row>
    <row r="4829" spans="1:37" x14ac:dyDescent="0.2">
      <c r="A4829" t="str">
        <f>"20200111153748312"</f>
        <v>20200111153748312</v>
      </c>
      <c r="B4829" t="str">
        <f>"1578728268307893"</f>
        <v>1578728268307893</v>
      </c>
      <c r="C4829" t="s">
        <v>37</v>
      </c>
      <c r="D4829">
        <v>6.1825900000000003</v>
      </c>
      <c r="E4829">
        <v>0.47399999999999998</v>
      </c>
      <c r="F4829" t="s">
        <v>39</v>
      </c>
      <c r="G4829">
        <v>-342.00020000000001</v>
      </c>
      <c r="H4829" s="1">
        <v>-3.5638619999999899E-6</v>
      </c>
      <c r="I4829">
        <v>18.772489999999902</v>
      </c>
      <c r="J4829">
        <v>-351.82569999999998</v>
      </c>
      <c r="K4829">
        <v>1.104115</v>
      </c>
      <c r="L4829">
        <v>17.203250000000001</v>
      </c>
      <c r="M4829">
        <v>0.99984119999999999</v>
      </c>
      <c r="N4829">
        <v>0</v>
      </c>
      <c r="O4829">
        <v>1.248637E-2</v>
      </c>
      <c r="P4829">
        <v>0.9966064</v>
      </c>
      <c r="Q4829">
        <v>1.392213E-2</v>
      </c>
      <c r="R4829">
        <v>8.1131529999999993E-2</v>
      </c>
      <c r="S4829">
        <v>2.9772029999999998</v>
      </c>
      <c r="T4829">
        <v>-0.32318039999999998</v>
      </c>
      <c r="U4829">
        <v>0.46054079999999997</v>
      </c>
      <c r="V4829">
        <v>-6.8658280000000002E-2</v>
      </c>
      <c r="W4829">
        <v>2.6675219999999999E-2</v>
      </c>
      <c r="X4829">
        <v>0.99728349999999899</v>
      </c>
      <c r="Y4829">
        <v>-0.13978829999999901</v>
      </c>
      <c r="Z4829">
        <v>6.1772859999999997E-3</v>
      </c>
      <c r="AA4829">
        <v>0.99016209999999905</v>
      </c>
      <c r="AB4829">
        <v>35</v>
      </c>
      <c r="AC4829">
        <v>9.8254999999999697</v>
      </c>
      <c r="AD4829">
        <v>-1.1041185638619999</v>
      </c>
      <c r="AE4829">
        <v>1.56923999999999</v>
      </c>
      <c r="AF4829">
        <v>-1.4288289447149001</v>
      </c>
      <c r="AG4829">
        <v>-1.1041185638619999</v>
      </c>
      <c r="AH4829">
        <v>9.7245854431093601</v>
      </c>
      <c r="AI4829">
        <v>96.409327565629596</v>
      </c>
      <c r="AJ4829">
        <v>98.358635846968994</v>
      </c>
      <c r="AK4829">
        <v>9.8908135154118799</v>
      </c>
    </row>
    <row r="4830" spans="1:37" x14ac:dyDescent="0.2">
      <c r="A4830" t="str">
        <f>"20200111153748334"</f>
        <v>20200111153748334</v>
      </c>
      <c r="B4830" t="str">
        <f>"1578728268328389"</f>
        <v>1578728268328389</v>
      </c>
      <c r="C4830" t="s">
        <v>37</v>
      </c>
      <c r="D4830">
        <v>5.9046789999999998</v>
      </c>
      <c r="E4830">
        <v>0.47421560000000001</v>
      </c>
      <c r="F4830" t="s">
        <v>39</v>
      </c>
      <c r="G4830">
        <v>-341.37819999999999</v>
      </c>
      <c r="H4830" s="1">
        <v>-3.8282010000000003E-6</v>
      </c>
      <c r="I4830">
        <v>18.786570000000001</v>
      </c>
      <c r="J4830">
        <v>-351.4957</v>
      </c>
      <c r="K4830">
        <v>1.10412</v>
      </c>
      <c r="L4830">
        <v>17.207000000000001</v>
      </c>
      <c r="M4830">
        <v>0.99984319999999904</v>
      </c>
      <c r="N4830">
        <v>0</v>
      </c>
      <c r="O4830">
        <v>1.2158449999999999E-2</v>
      </c>
      <c r="P4830">
        <v>0.99669669999999899</v>
      </c>
      <c r="Q4830">
        <v>1.394184E-2</v>
      </c>
      <c r="R4830">
        <v>8.0009689999999994E-2</v>
      </c>
      <c r="S4830">
        <v>2.977875</v>
      </c>
      <c r="T4830">
        <v>-0.31471070000000001</v>
      </c>
      <c r="U4830">
        <v>0.45132449999999902</v>
      </c>
      <c r="V4830">
        <v>-6.786288E-2</v>
      </c>
      <c r="W4830">
        <v>2.6843490000000001E-2</v>
      </c>
      <c r="X4830">
        <v>0.99733349999999898</v>
      </c>
      <c r="Y4830">
        <v>-0.1371347</v>
      </c>
      <c r="Z4830">
        <v>5.9116400000000001E-3</v>
      </c>
      <c r="AA4830">
        <v>0.99053480000000005</v>
      </c>
      <c r="AB4830">
        <v>35</v>
      </c>
      <c r="AC4830">
        <v>10.1175</v>
      </c>
      <c r="AD4830">
        <v>-1.104123828201</v>
      </c>
      <c r="AE4830">
        <v>1.5795699999999999</v>
      </c>
      <c r="AF4830">
        <v>-1.4396920442679899</v>
      </c>
      <c r="AG4830">
        <v>-1.104123828201</v>
      </c>
      <c r="AH4830">
        <v>10.019472309089201</v>
      </c>
      <c r="AI4830">
        <v>96.225070543384106</v>
      </c>
      <c r="AJ4830">
        <v>98.176828472255707</v>
      </c>
      <c r="AK4830">
        <v>10.1824175893024</v>
      </c>
    </row>
    <row r="4831" spans="1:37" x14ac:dyDescent="0.2">
      <c r="A4831" t="str">
        <f>"20200111153748368"</f>
        <v>20200111153748368</v>
      </c>
      <c r="B4831" t="str">
        <f>"1578728268357669"</f>
        <v>1578728268357669</v>
      </c>
      <c r="C4831" t="s">
        <v>37</v>
      </c>
      <c r="D4831">
        <v>5.8550250000000004</v>
      </c>
      <c r="E4831">
        <v>0.47444439999999999</v>
      </c>
      <c r="F4831" t="s">
        <v>39</v>
      </c>
      <c r="G4831">
        <v>-340.8972</v>
      </c>
      <c r="H4831" s="1">
        <v>-4.0328209999999997E-6</v>
      </c>
      <c r="I4831">
        <v>18.796420000000001</v>
      </c>
      <c r="J4831">
        <v>-350.95170000000002</v>
      </c>
      <c r="K4831">
        <v>1.104125</v>
      </c>
      <c r="L4831">
        <v>17.21292</v>
      </c>
      <c r="M4831">
        <v>0.99984740000000005</v>
      </c>
      <c r="N4831">
        <v>0</v>
      </c>
      <c r="O4831">
        <v>1.158061E-2</v>
      </c>
      <c r="P4831">
        <v>0.99681869999999995</v>
      </c>
      <c r="Q4831">
        <v>1.494296E-2</v>
      </c>
      <c r="R4831">
        <v>7.8289479999999995E-2</v>
      </c>
      <c r="S4831">
        <v>2.978424</v>
      </c>
      <c r="T4831">
        <v>-0.310282</v>
      </c>
      <c r="U4831">
        <v>0.44668580000000002</v>
      </c>
      <c r="V4831">
        <v>-6.6714969999999998E-2</v>
      </c>
      <c r="W4831">
        <v>2.8051340000000001E-2</v>
      </c>
      <c r="X4831">
        <v>0.99737770000000003</v>
      </c>
      <c r="Y4831">
        <v>-0.13619239999999999</v>
      </c>
      <c r="Z4831">
        <v>5.8394989999999997E-3</v>
      </c>
      <c r="AA4831">
        <v>0.99066520000000002</v>
      </c>
      <c r="AB4831">
        <v>35</v>
      </c>
      <c r="AC4831">
        <v>10.054500000000001</v>
      </c>
      <c r="AD4831">
        <v>-1.1041290328210001</v>
      </c>
      <c r="AE4831">
        <v>1.5834999999999999</v>
      </c>
      <c r="AF4831">
        <v>-1.44988530904319</v>
      </c>
      <c r="AG4831">
        <v>-1.1041290328210001</v>
      </c>
      <c r="AH4831">
        <v>9.9550210700924602</v>
      </c>
      <c r="AI4831">
        <v>96.263362143842798</v>
      </c>
      <c r="AJ4831">
        <v>98.286501283810395</v>
      </c>
      <c r="AK4831">
        <v>10.12046010992</v>
      </c>
    </row>
    <row r="4832" spans="1:37" x14ac:dyDescent="0.2">
      <c r="A4832" t="str">
        <f>"20200111153748388"</f>
        <v>20200111153748388</v>
      </c>
      <c r="B4832" t="str">
        <f>"1578728268378168"</f>
        <v>1578728268378168</v>
      </c>
      <c r="C4832" t="s">
        <v>37</v>
      </c>
      <c r="D4832">
        <v>6.1412879999999896</v>
      </c>
      <c r="E4832">
        <v>0.47439619999999999</v>
      </c>
      <c r="F4832" t="s">
        <v>39</v>
      </c>
      <c r="G4832">
        <v>-340.03840000000002</v>
      </c>
      <c r="H4832" s="1">
        <v>-4.3959149999999999E-6</v>
      </c>
      <c r="I4832">
        <v>18.82638</v>
      </c>
      <c r="J4832">
        <v>-350.6293</v>
      </c>
      <c r="K4832">
        <v>1.104123</v>
      </c>
      <c r="L4832">
        <v>17.216279999999902</v>
      </c>
      <c r="M4832">
        <v>0.99985029999999997</v>
      </c>
      <c r="N4832">
        <v>0</v>
      </c>
      <c r="O4832">
        <v>1.1209169999999999E-2</v>
      </c>
      <c r="P4832">
        <v>0.99685999999999997</v>
      </c>
      <c r="Q4832">
        <v>1.6124889999999999E-2</v>
      </c>
      <c r="R4832">
        <v>7.7524880000000004E-2</v>
      </c>
      <c r="S4832">
        <v>2.979492</v>
      </c>
      <c r="T4832">
        <v>-0.30144330000000003</v>
      </c>
      <c r="U4832">
        <v>0.4405212</v>
      </c>
      <c r="V4832">
        <v>-6.6318740000000001E-2</v>
      </c>
      <c r="W4832">
        <v>2.9336359999999999E-2</v>
      </c>
      <c r="X4832">
        <v>0.99736709999999995</v>
      </c>
      <c r="Y4832">
        <v>-0.13454639999999901</v>
      </c>
      <c r="Z4832">
        <v>5.6275049999999997E-3</v>
      </c>
      <c r="AA4832">
        <v>0.99089130000000003</v>
      </c>
      <c r="AB4832">
        <v>35</v>
      </c>
      <c r="AC4832">
        <v>10.5908999999999</v>
      </c>
      <c r="AD4832">
        <v>-1.104127395915</v>
      </c>
      <c r="AE4832">
        <v>1.6101000000000001</v>
      </c>
      <c r="AF4832">
        <v>-1.4755979588135</v>
      </c>
      <c r="AG4832">
        <v>-1.104127395915</v>
      </c>
      <c r="AH4832">
        <v>10.496776143187899</v>
      </c>
      <c r="AI4832">
        <v>95.946660978801802</v>
      </c>
      <c r="AJ4832">
        <v>98.001992679518395</v>
      </c>
      <c r="AK4832">
        <v>10.6573353162347</v>
      </c>
    </row>
    <row r="4833" spans="1:37" x14ac:dyDescent="0.2">
      <c r="A4833" t="str">
        <f>"20200111153748422"</f>
        <v>20200111153748422</v>
      </c>
      <c r="B4833" t="str">
        <f>"1578728268418182"</f>
        <v>1578728268418182</v>
      </c>
      <c r="C4833" t="s">
        <v>37</v>
      </c>
      <c r="D4833">
        <v>5.8482609999999999</v>
      </c>
      <c r="E4833">
        <v>0.4736687</v>
      </c>
      <c r="F4833" t="s">
        <v>39</v>
      </c>
      <c r="G4833">
        <v>-339.41809999999998</v>
      </c>
      <c r="H4833" s="1">
        <v>-3.8319370000000001E-7</v>
      </c>
      <c r="I4833">
        <v>18.86796</v>
      </c>
      <c r="J4833">
        <v>-350.11930000000001</v>
      </c>
      <c r="K4833">
        <v>1.1041080000000001</v>
      </c>
      <c r="L4833">
        <v>17.221219999999999</v>
      </c>
      <c r="M4833">
        <v>0.99985550000000001</v>
      </c>
      <c r="N4833">
        <v>0</v>
      </c>
      <c r="O4833">
        <v>1.0575080000000001E-2</v>
      </c>
      <c r="P4833">
        <v>0.99701289999999998</v>
      </c>
      <c r="Q4833">
        <v>1.601375E-2</v>
      </c>
      <c r="R4833">
        <v>7.5559899999999999E-2</v>
      </c>
      <c r="S4833">
        <v>2.9800719999999998</v>
      </c>
      <c r="T4833">
        <v>-0.29348859999999999</v>
      </c>
      <c r="U4833">
        <v>0.43905640000000001</v>
      </c>
      <c r="V4833">
        <v>-6.4982250000000005E-2</v>
      </c>
      <c r="W4833">
        <v>2.9364959999999999E-2</v>
      </c>
      <c r="X4833">
        <v>0.99745430000000002</v>
      </c>
      <c r="Y4833">
        <v>-0.1346987</v>
      </c>
      <c r="Z4833">
        <v>5.5482389999999999E-3</v>
      </c>
      <c r="AA4833">
        <v>0.99087109999999901</v>
      </c>
      <c r="AB4833">
        <v>35</v>
      </c>
      <c r="AC4833">
        <v>10.7012</v>
      </c>
      <c r="AD4833">
        <v>-1.1041083831937</v>
      </c>
      <c r="AE4833">
        <v>1.6467399999999901</v>
      </c>
      <c r="AF4833">
        <v>-1.5176892862502001</v>
      </c>
      <c r="AG4833">
        <v>-1.1041083831937</v>
      </c>
      <c r="AH4833">
        <v>10.607707254726</v>
      </c>
      <c r="AI4833">
        <v>95.882782315791701</v>
      </c>
      <c r="AJ4833">
        <v>98.142290014072401</v>
      </c>
      <c r="AK4833">
        <v>10.7724597605841</v>
      </c>
    </row>
    <row r="4834" spans="1:37" x14ac:dyDescent="0.2">
      <c r="A4834" t="str">
        <f>"20200111153748436"</f>
        <v>20200111153748436</v>
      </c>
      <c r="B4834" t="str">
        <f>"1578728268427941"</f>
        <v>1578728268427941</v>
      </c>
      <c r="C4834" t="s">
        <v>37</v>
      </c>
      <c r="D4834">
        <v>6.1351459999999998</v>
      </c>
      <c r="E4834">
        <v>0.47364089999999998</v>
      </c>
      <c r="F4834" t="s">
        <v>39</v>
      </c>
      <c r="G4834">
        <v>-338.82929999999999</v>
      </c>
      <c r="H4834" s="1">
        <v>-6.1369200000000004E-7</v>
      </c>
      <c r="I4834">
        <v>18.888079999999999</v>
      </c>
      <c r="J4834">
        <v>-349.88650000000001</v>
      </c>
      <c r="K4834">
        <v>1.104104</v>
      </c>
      <c r="L4834">
        <v>17.22336</v>
      </c>
      <c r="M4834">
        <v>0.99985800000000002</v>
      </c>
      <c r="N4834">
        <v>0</v>
      </c>
      <c r="O4834">
        <v>1.0265710000000001E-2</v>
      </c>
      <c r="P4834">
        <v>0.99708560000000002</v>
      </c>
      <c r="Q4834">
        <v>1.5984350000000001E-2</v>
      </c>
      <c r="R4834">
        <v>7.4599910000000005E-2</v>
      </c>
      <c r="S4834">
        <v>2.980286</v>
      </c>
      <c r="T4834">
        <v>-0.29145939999999998</v>
      </c>
      <c r="U4834">
        <v>0.44003300000000001</v>
      </c>
      <c r="V4834">
        <v>-6.4329150000000002E-2</v>
      </c>
      <c r="W4834">
        <v>2.9390220000000002E-2</v>
      </c>
      <c r="X4834">
        <v>0.99749580000000004</v>
      </c>
      <c r="Y4834">
        <v>-0.13531650000000001</v>
      </c>
      <c r="Z4834">
        <v>5.5695290000000001E-3</v>
      </c>
      <c r="AA4834">
        <v>0.99078679999999997</v>
      </c>
      <c r="AB4834">
        <v>35</v>
      </c>
      <c r="AC4834">
        <v>11.0572</v>
      </c>
      <c r="AD4834">
        <v>-1.1041046136920001</v>
      </c>
      <c r="AE4834">
        <v>1.66471999999999</v>
      </c>
      <c r="AF4834">
        <v>-1.5361351004138899</v>
      </c>
      <c r="AG4834">
        <v>-1.1041046136920001</v>
      </c>
      <c r="AH4834">
        <v>10.9667843028951</v>
      </c>
      <c r="AI4834">
        <v>95.693790023430907</v>
      </c>
      <c r="AJ4834">
        <v>97.973634262354807</v>
      </c>
      <c r="AK4834">
        <v>11.1287517714669</v>
      </c>
    </row>
    <row r="4835" spans="1:37" x14ac:dyDescent="0.2">
      <c r="A4835" t="str">
        <f>"20200111153748449"</f>
        <v>20200111153748449</v>
      </c>
      <c r="B4835" t="str">
        <f>"1578728268437701"</f>
        <v>1578728268437701</v>
      </c>
      <c r="C4835" t="s">
        <v>37</v>
      </c>
      <c r="D4835">
        <v>6.1165389999999897</v>
      </c>
      <c r="E4835">
        <v>0.47353990000000001</v>
      </c>
      <c r="F4835" t="s">
        <v>39</v>
      </c>
      <c r="G4835">
        <v>-338.5369</v>
      </c>
      <c r="H4835" s="1">
        <v>-7.387056E-7</v>
      </c>
      <c r="I4835">
        <v>18.89057</v>
      </c>
      <c r="J4835">
        <v>-349.69229999999999</v>
      </c>
      <c r="K4835">
        <v>1.104098</v>
      </c>
      <c r="L4835">
        <v>17.225100000000001</v>
      </c>
      <c r="M4835">
        <v>0.99986019999999898</v>
      </c>
      <c r="N4835">
        <v>0</v>
      </c>
      <c r="O4835">
        <v>9.9977409999999992E-3</v>
      </c>
      <c r="P4835">
        <v>0.99714650000000005</v>
      </c>
      <c r="Q4835">
        <v>1.536593E-2</v>
      </c>
      <c r="R4835">
        <v>7.3912050000000007E-2</v>
      </c>
      <c r="S4835">
        <v>2.9806520000000001</v>
      </c>
      <c r="T4835">
        <v>-0.28996050000000001</v>
      </c>
      <c r="U4835">
        <v>0.43786619999999998</v>
      </c>
      <c r="V4835">
        <v>-6.3907850000000002E-2</v>
      </c>
      <c r="W4835">
        <v>2.8812540000000001E-2</v>
      </c>
      <c r="X4835">
        <v>0.99753979999999998</v>
      </c>
      <c r="Y4835">
        <v>-0.1348664</v>
      </c>
      <c r="Z4835">
        <v>5.54477099999999E-3</v>
      </c>
      <c r="AA4835">
        <v>0.99084830000000002</v>
      </c>
      <c r="AB4835">
        <v>35</v>
      </c>
      <c r="AC4835">
        <v>11.155399999999901</v>
      </c>
      <c r="AD4835">
        <v>-1.1040987387056</v>
      </c>
      <c r="AE4835">
        <v>1.66546999999999</v>
      </c>
      <c r="AF4835">
        <v>-1.5390997522688401</v>
      </c>
      <c r="AG4835">
        <v>-1.1040987387056</v>
      </c>
      <c r="AH4835">
        <v>11.0654617864621</v>
      </c>
      <c r="AI4835">
        <v>95.644067658951499</v>
      </c>
      <c r="AJ4835">
        <v>97.918490874904094</v>
      </c>
      <c r="AK4835">
        <v>11.2264111193158</v>
      </c>
    </row>
    <row r="4836" spans="1:37" x14ac:dyDescent="0.2">
      <c r="A4836" t="str">
        <f>"20200111153748467"</f>
        <v>20200111153748467</v>
      </c>
      <c r="B4836" t="str">
        <f>"1578728268458200"</f>
        <v>1578728268458200</v>
      </c>
      <c r="C4836" t="s">
        <v>37</v>
      </c>
      <c r="D4836">
        <v>5.9250989999999897</v>
      </c>
      <c r="E4836">
        <v>0.47288400000000003</v>
      </c>
      <c r="F4836" t="s">
        <v>39</v>
      </c>
      <c r="G4836">
        <v>-338.41570000000002</v>
      </c>
      <c r="H4836" s="1">
        <v>-7.928116E-7</v>
      </c>
      <c r="I4836">
        <v>18.878679999999999</v>
      </c>
      <c r="J4836">
        <v>-349.40530000000001</v>
      </c>
      <c r="K4836">
        <v>1.104082</v>
      </c>
      <c r="L4836">
        <v>17.227509999999999</v>
      </c>
      <c r="M4836">
        <v>0.99986339999999996</v>
      </c>
      <c r="N4836">
        <v>0</v>
      </c>
      <c r="O4836">
        <v>9.5924649999999997E-3</v>
      </c>
      <c r="P4836">
        <v>0.99725350000000001</v>
      </c>
      <c r="Q4836">
        <v>1.4147069999999999E-2</v>
      </c>
      <c r="R4836">
        <v>7.2700349999999997E-2</v>
      </c>
      <c r="S4836">
        <v>2.9806819999999998</v>
      </c>
      <c r="T4836">
        <v>-0.29183999999999999</v>
      </c>
      <c r="U4836">
        <v>0.43710329999999997</v>
      </c>
      <c r="V4836">
        <v>-6.3099849999999999E-2</v>
      </c>
      <c r="W4836">
        <v>2.7648570000000001E-2</v>
      </c>
      <c r="X4836">
        <v>0.99762419999999996</v>
      </c>
      <c r="Y4836">
        <v>-0.13500819999999999</v>
      </c>
      <c r="Z4836">
        <v>5.6268409999999996E-3</v>
      </c>
      <c r="AA4836">
        <v>0.9908285</v>
      </c>
      <c r="AB4836">
        <v>35</v>
      </c>
      <c r="AC4836">
        <v>10.9895999999999</v>
      </c>
      <c r="AD4836">
        <v>-1.1040827928115999</v>
      </c>
      <c r="AE4836">
        <v>1.65116999999999</v>
      </c>
      <c r="AF4836">
        <v>-1.5305595397479901</v>
      </c>
      <c r="AG4836">
        <v>-1.1040827928115999</v>
      </c>
      <c r="AH4836">
        <v>10.897370689999599</v>
      </c>
      <c r="AI4836">
        <v>95.729407079921401</v>
      </c>
      <c r="AJ4836">
        <v>97.995019146539093</v>
      </c>
      <c r="AK4836">
        <v>11.059579525161</v>
      </c>
    </row>
    <row r="4837" spans="1:37" x14ac:dyDescent="0.2">
      <c r="A4837" t="str">
        <f>"20200111153748489"</f>
        <v>20200111153748489</v>
      </c>
      <c r="B4837" t="str">
        <f>"1578728268477717"</f>
        <v>1578728268477717</v>
      </c>
      <c r="C4837" t="s">
        <v>37</v>
      </c>
      <c r="D4837">
        <v>5.9943689999999998</v>
      </c>
      <c r="E4837">
        <v>0.41877700000000001</v>
      </c>
      <c r="F4837" t="s">
        <v>39</v>
      </c>
      <c r="G4837">
        <v>-338.24119999999999</v>
      </c>
      <c r="H4837" s="1">
        <v>-8.6850739999999998E-7</v>
      </c>
      <c r="I4837">
        <v>18.873889999999999</v>
      </c>
      <c r="J4837">
        <v>-349.08069999999998</v>
      </c>
      <c r="K4837">
        <v>1.1040639999999999</v>
      </c>
      <c r="L4837">
        <v>17.230129999999999</v>
      </c>
      <c r="M4837">
        <v>0.99986710000000001</v>
      </c>
      <c r="N4837">
        <v>0</v>
      </c>
      <c r="O4837">
        <v>9.1212399999999992E-3</v>
      </c>
      <c r="P4837">
        <v>0.99734639999999997</v>
      </c>
      <c r="Q4837">
        <v>1.3348260000000001E-2</v>
      </c>
      <c r="R4837">
        <v>7.1568969999999996E-2</v>
      </c>
      <c r="S4837">
        <v>2.9804080000000002</v>
      </c>
      <c r="T4837">
        <v>-0.29475009999999902</v>
      </c>
      <c r="U4837">
        <v>0.43954470000000001</v>
      </c>
      <c r="V4837">
        <v>-6.2437960000000001E-2</v>
      </c>
      <c r="W4837">
        <v>2.690354E-2</v>
      </c>
      <c r="X4837">
        <v>0.99768609999999902</v>
      </c>
      <c r="Y4837">
        <v>-0.13626260000000001</v>
      </c>
      <c r="Z4837">
        <v>5.79063699999999E-3</v>
      </c>
      <c r="AA4837">
        <v>0.99065579999999998</v>
      </c>
      <c r="AB4837">
        <v>35</v>
      </c>
      <c r="AC4837">
        <v>10.8394999999999</v>
      </c>
      <c r="AD4837">
        <v>-1.1040648685073999</v>
      </c>
      <c r="AE4837">
        <v>1.6437600000000001</v>
      </c>
      <c r="AF4837">
        <v>-1.5293036661030299</v>
      </c>
      <c r="AG4837">
        <v>-1.1040648685073999</v>
      </c>
      <c r="AH4837">
        <v>10.745073735370701</v>
      </c>
      <c r="AI4837">
        <v>95.808469710526197</v>
      </c>
      <c r="AJ4837">
        <v>98.100278116359405</v>
      </c>
      <c r="AK4837">
        <v>10.909369299624201</v>
      </c>
    </row>
    <row r="4838" spans="1:37" x14ac:dyDescent="0.2">
      <c r="A4838" t="str">
        <f>"20200111153748511"</f>
        <v>20200111153748511</v>
      </c>
      <c r="B4838" t="str">
        <f>"1578728268507973"</f>
        <v>1578728268507973</v>
      </c>
      <c r="C4838" t="s">
        <v>37</v>
      </c>
      <c r="D4838">
        <v>5.8249870000000001</v>
      </c>
      <c r="E4838">
        <v>0.41217229999999999</v>
      </c>
      <c r="F4838" t="s">
        <v>39</v>
      </c>
      <c r="G4838">
        <v>-336.7774</v>
      </c>
      <c r="H4838" s="1">
        <v>-1.6919999999999899E-6</v>
      </c>
      <c r="I4838">
        <v>20.846039999999999</v>
      </c>
      <c r="J4838">
        <v>-348.731999999999</v>
      </c>
      <c r="K4838">
        <v>1.1040589999999999</v>
      </c>
      <c r="L4838">
        <v>17.232789999999898</v>
      </c>
      <c r="M4838">
        <v>0.99987109999999901</v>
      </c>
      <c r="N4838">
        <v>0</v>
      </c>
      <c r="O4838">
        <v>8.6056269999999994E-3</v>
      </c>
      <c r="P4838">
        <v>0.99748749999999997</v>
      </c>
      <c r="Q4838">
        <v>1.2049499999999999E-2</v>
      </c>
      <c r="R4838">
        <v>6.9809679999999999E-2</v>
      </c>
      <c r="S4838">
        <v>2.949341</v>
      </c>
      <c r="T4838">
        <v>-0.2646655</v>
      </c>
      <c r="U4838">
        <v>0.86682130000000002</v>
      </c>
      <c r="V4838">
        <v>-6.1192549999999998E-2</v>
      </c>
      <c r="W4838">
        <v>2.565514E-2</v>
      </c>
      <c r="X4838">
        <v>0.99779619999999902</v>
      </c>
      <c r="Y4838">
        <v>-0.272733</v>
      </c>
      <c r="Z4838">
        <v>1.120648E-2</v>
      </c>
      <c r="AA4838">
        <v>0.96202449999999995</v>
      </c>
      <c r="AB4838">
        <v>35</v>
      </c>
      <c r="AC4838">
        <v>11.9545999999999</v>
      </c>
      <c r="AD4838">
        <v>-1.104060692</v>
      </c>
      <c r="AE4838">
        <v>3.6132499999999999</v>
      </c>
      <c r="AF4838">
        <v>-3.4830088499082699</v>
      </c>
      <c r="AG4838">
        <v>-1.104060692</v>
      </c>
      <c r="AH4838">
        <v>11.892311415506301</v>
      </c>
      <c r="AI4838">
        <v>95.091356975840398</v>
      </c>
      <c r="AJ4838">
        <v>106.324202173307</v>
      </c>
      <c r="AK4838">
        <v>12.440955407987801</v>
      </c>
    </row>
    <row r="4839" spans="1:37" x14ac:dyDescent="0.2">
      <c r="A4839" t="str">
        <f>"20200111153748523"</f>
        <v>20200111153748523</v>
      </c>
      <c r="B4839" t="str">
        <f>"1578728268517733"</f>
        <v>1578728268517733</v>
      </c>
      <c r="C4839" t="s">
        <v>37</v>
      </c>
      <c r="D4839">
        <v>5.9032679999999997</v>
      </c>
      <c r="E4839">
        <v>0.4124003</v>
      </c>
      <c r="F4839" t="s">
        <v>39</v>
      </c>
      <c r="G4839">
        <v>-336.98500000000001</v>
      </c>
      <c r="H4839" s="1">
        <v>-1.612352E-6</v>
      </c>
      <c r="I4839">
        <v>20.881419999999999</v>
      </c>
      <c r="J4839">
        <v>-348.5471</v>
      </c>
      <c r="K4839">
        <v>1.10406</v>
      </c>
      <c r="L4839">
        <v>17.234069999999999</v>
      </c>
      <c r="M4839">
        <v>0.99987300000000001</v>
      </c>
      <c r="N4839">
        <v>0</v>
      </c>
      <c r="O4839">
        <v>8.33044199999999E-3</v>
      </c>
      <c r="P4839">
        <v>0.99757609999999997</v>
      </c>
      <c r="Q4839">
        <v>1.1718070000000001E-2</v>
      </c>
      <c r="R4839">
        <v>6.8590949999999998E-2</v>
      </c>
      <c r="S4839">
        <v>2.9468380000000001</v>
      </c>
      <c r="T4839">
        <v>-0.27696409999999899</v>
      </c>
      <c r="U4839">
        <v>0.91531369999999901</v>
      </c>
      <c r="V4839">
        <v>-6.024856E-2</v>
      </c>
      <c r="W4839">
        <v>2.5346730000000001E-2</v>
      </c>
      <c r="X4839">
        <v>0.99786160000000002</v>
      </c>
      <c r="Y4839">
        <v>-0.28754089999999999</v>
      </c>
      <c r="Z4839">
        <v>1.2411180000000001E-2</v>
      </c>
      <c r="AA4839">
        <v>0.95768790000000004</v>
      </c>
      <c r="AB4839">
        <v>35</v>
      </c>
      <c r="AC4839">
        <v>11.5620999999999</v>
      </c>
      <c r="AD4839">
        <v>-1.104061612352</v>
      </c>
      <c r="AE4839">
        <v>3.6473499999999999</v>
      </c>
      <c r="AF4839">
        <v>-3.5216916679844701</v>
      </c>
      <c r="AG4839">
        <v>-1.104061612352</v>
      </c>
      <c r="AH4839">
        <v>11.4967428704892</v>
      </c>
      <c r="AI4839">
        <v>95.246257801090593</v>
      </c>
      <c r="AJ4839">
        <v>107.03091685290801</v>
      </c>
      <c r="AK4839">
        <v>12.0746163863853</v>
      </c>
    </row>
    <row r="4840" spans="1:37" x14ac:dyDescent="0.2">
      <c r="A4840" t="str">
        <f>"20200111153748546"</f>
        <v>20200111153748546</v>
      </c>
      <c r="B4840" t="str">
        <f>"1578728268538232"</f>
        <v>1578728268538232</v>
      </c>
      <c r="C4840" t="s">
        <v>37</v>
      </c>
      <c r="D4840">
        <v>5.90381</v>
      </c>
      <c r="E4840">
        <v>0.41227340000000001</v>
      </c>
      <c r="F4840" t="s">
        <v>39</v>
      </c>
      <c r="G4840">
        <v>-336.87709999999998</v>
      </c>
      <c r="H4840" s="1">
        <v>-1.6467240000000001E-6</v>
      </c>
      <c r="I4840">
        <v>20.836670000000002</v>
      </c>
      <c r="J4840">
        <v>-348.19450000000001</v>
      </c>
      <c r="K4840">
        <v>1.1040589999999999</v>
      </c>
      <c r="L4840">
        <v>17.236450000000001</v>
      </c>
      <c r="M4840">
        <v>0.99987669999999995</v>
      </c>
      <c r="N4840">
        <v>0</v>
      </c>
      <c r="O4840">
        <v>7.8035319999999898E-3</v>
      </c>
      <c r="P4840">
        <v>0.99772439999999996</v>
      </c>
      <c r="Q4840">
        <v>1.1204159999999999E-2</v>
      </c>
      <c r="R4840">
        <v>6.6485730000000007E-2</v>
      </c>
      <c r="S4840">
        <v>2.948029</v>
      </c>
      <c r="T4840">
        <v>-0.27890419999999999</v>
      </c>
      <c r="U4840">
        <v>0.91009519999999899</v>
      </c>
      <c r="V4840">
        <v>-5.8668049999999999E-2</v>
      </c>
      <c r="W4840">
        <v>2.487195E-2</v>
      </c>
      <c r="X4840">
        <v>0.99796770000000001</v>
      </c>
      <c r="Y4840">
        <v>-0.28637560000000001</v>
      </c>
      <c r="Z4840">
        <v>1.2490970000000001E-2</v>
      </c>
      <c r="AA4840">
        <v>0.958036</v>
      </c>
      <c r="AB4840">
        <v>35</v>
      </c>
      <c r="AC4840">
        <v>11.317399999999999</v>
      </c>
      <c r="AD4840">
        <v>-1.1040606467239999</v>
      </c>
      <c r="AE4840">
        <v>3.6002200000000002</v>
      </c>
      <c r="AF4840">
        <v>-3.4816967070773002</v>
      </c>
      <c r="AG4840">
        <v>-1.1040606467239999</v>
      </c>
      <c r="AH4840">
        <v>11.247944622450399</v>
      </c>
      <c r="AI4840">
        <v>95.356803214396805</v>
      </c>
      <c r="AJ4840">
        <v>107.199424615355</v>
      </c>
      <c r="AK4840">
        <v>11.826132930989299</v>
      </c>
    </row>
    <row r="4841" spans="1:37" x14ac:dyDescent="0.2">
      <c r="A4841" t="str">
        <f>"20200111153748559"</f>
        <v>20200111153748559</v>
      </c>
      <c r="B4841" t="str">
        <f>"1578728268547989"</f>
        <v>1578728268547989</v>
      </c>
      <c r="C4841" t="s">
        <v>37</v>
      </c>
      <c r="D4841">
        <v>5.9027769999999897</v>
      </c>
      <c r="E4841">
        <v>0.41214600000000001</v>
      </c>
      <c r="F4841" t="s">
        <v>39</v>
      </c>
      <c r="G4841">
        <v>-336.53980000000001</v>
      </c>
      <c r="H4841" s="1">
        <v>-1.7850850000000001E-6</v>
      </c>
      <c r="I4841">
        <v>20.812760000000001</v>
      </c>
      <c r="J4841">
        <v>-347.99009999999998</v>
      </c>
      <c r="K4841">
        <v>1.1040589999999999</v>
      </c>
      <c r="L4841">
        <v>17.237760000000002</v>
      </c>
      <c r="M4841">
        <v>0.99987879999999996</v>
      </c>
      <c r="N4841">
        <v>0</v>
      </c>
      <c r="O4841">
        <v>7.4980539999999997E-3</v>
      </c>
      <c r="P4841">
        <v>0.9978051</v>
      </c>
      <c r="Q4841">
        <v>1.081756E-2</v>
      </c>
      <c r="R4841">
        <v>6.5331340000000002E-2</v>
      </c>
      <c r="S4841">
        <v>2.9497070000000001</v>
      </c>
      <c r="T4841">
        <v>-0.27942790000000001</v>
      </c>
      <c r="U4841">
        <v>0.90515140000000005</v>
      </c>
      <c r="V4841">
        <v>-5.7818649999999999E-2</v>
      </c>
      <c r="W4841">
        <v>2.4505369999999999E-2</v>
      </c>
      <c r="X4841">
        <v>0.99802630000000003</v>
      </c>
      <c r="Y4841">
        <v>-0.28504790000000002</v>
      </c>
      <c r="Z4841">
        <v>1.247741E-2</v>
      </c>
      <c r="AA4841">
        <v>0.95843210000000001</v>
      </c>
      <c r="AB4841">
        <v>34</v>
      </c>
      <c r="AC4841">
        <v>11.450299999999899</v>
      </c>
      <c r="AD4841">
        <v>-1.1040607850849999</v>
      </c>
      <c r="AE4841">
        <v>3.5750000000000002</v>
      </c>
      <c r="AF4841">
        <v>-3.45972777456634</v>
      </c>
      <c r="AG4841">
        <v>-1.1040607850849999</v>
      </c>
      <c r="AH4841">
        <v>11.380378323980199</v>
      </c>
      <c r="AI4841">
        <v>95.302996133960605</v>
      </c>
      <c r="AJ4841">
        <v>106.909699330819</v>
      </c>
      <c r="AK4841">
        <v>11.9457807316301</v>
      </c>
    </row>
    <row r="4842" spans="1:37" x14ac:dyDescent="0.2">
      <c r="A4842" t="str">
        <f>"20200111153748573"</f>
        <v>20200111153748573</v>
      </c>
      <c r="B4842" t="str">
        <f>"1578728268568485"</f>
        <v>1578728268568485</v>
      </c>
      <c r="C4842" t="s">
        <v>37</v>
      </c>
      <c r="D4842">
        <v>5.9265619999999997</v>
      </c>
      <c r="E4842">
        <v>0.41184120000000002</v>
      </c>
      <c r="F4842" t="s">
        <v>39</v>
      </c>
      <c r="G4842">
        <v>-336.41309999999999</v>
      </c>
      <c r="H4842" s="1">
        <v>-1.8308349999999901E-6</v>
      </c>
      <c r="I4842">
        <v>20.780360000000002</v>
      </c>
      <c r="J4842">
        <v>-347.77510000000001</v>
      </c>
      <c r="K4842">
        <v>1.1040589999999999</v>
      </c>
      <c r="L4842">
        <v>17.239039999999999</v>
      </c>
      <c r="M4842">
        <v>0.99988089999999996</v>
      </c>
      <c r="N4842">
        <v>0</v>
      </c>
      <c r="O4842">
        <v>7.1774019999999899E-3</v>
      </c>
      <c r="P4842">
        <v>0.99788220000000005</v>
      </c>
      <c r="Q4842">
        <v>1.025742E-2</v>
      </c>
      <c r="R4842">
        <v>6.4235139999999996E-2</v>
      </c>
      <c r="S4842">
        <v>2.9505619999999899</v>
      </c>
      <c r="T4842">
        <v>-0.28138299999999999</v>
      </c>
      <c r="U4842">
        <v>0.9028931</v>
      </c>
      <c r="V4842">
        <v>-5.7042710000000003E-2</v>
      </c>
      <c r="W4842">
        <v>2.396384E-2</v>
      </c>
      <c r="X4842">
        <v>0.99808410000000003</v>
      </c>
      <c r="Y4842">
        <v>-0.284591599999999</v>
      </c>
      <c r="Z4842">
        <v>1.257084E-2</v>
      </c>
      <c r="AA4842">
        <v>0.95856640000000004</v>
      </c>
      <c r="AB4842">
        <v>34</v>
      </c>
      <c r="AC4842">
        <v>11.362</v>
      </c>
      <c r="AD4842">
        <v>-1.104060830835</v>
      </c>
      <c r="AE4842">
        <v>3.5413199999999998</v>
      </c>
      <c r="AF4842">
        <v>-3.43015088331589</v>
      </c>
      <c r="AG4842">
        <v>-1.104060830835</v>
      </c>
      <c r="AH4842">
        <v>11.289963241398601</v>
      </c>
      <c r="AI4842">
        <v>95.345493813216507</v>
      </c>
      <c r="AJ4842">
        <v>106.899989708723</v>
      </c>
      <c r="AK4842">
        <v>11.8510824565787</v>
      </c>
    </row>
    <row r="4843" spans="1:37" x14ac:dyDescent="0.2">
      <c r="A4843" t="str">
        <f>"20200111153748588"</f>
        <v>20200111153748588</v>
      </c>
      <c r="B4843" t="str">
        <f>"1578728268578245"</f>
        <v>1578728268578245</v>
      </c>
      <c r="C4843" t="s">
        <v>37</v>
      </c>
      <c r="D4843">
        <v>5.9227189999999998</v>
      </c>
      <c r="E4843">
        <v>0.41171639999999998</v>
      </c>
      <c r="F4843" t="s">
        <v>39</v>
      </c>
      <c r="G4843">
        <v>-336.32889999999998</v>
      </c>
      <c r="H4843" s="1">
        <v>-1.85582E-6</v>
      </c>
      <c r="I4843">
        <v>20.738679999999999</v>
      </c>
      <c r="J4843">
        <v>-347.53489999999999</v>
      </c>
      <c r="K4843">
        <v>1.1040589999999999</v>
      </c>
      <c r="L4843">
        <v>17.240359999999999</v>
      </c>
      <c r="M4843">
        <v>0.99988330000000003</v>
      </c>
      <c r="N4843">
        <v>0</v>
      </c>
      <c r="O4843">
        <v>6.8196169999999896E-3</v>
      </c>
      <c r="P4843">
        <v>0.99798869999999895</v>
      </c>
      <c r="Q4843">
        <v>9.9022840000000008E-3</v>
      </c>
      <c r="R4843">
        <v>6.2617099999999995E-2</v>
      </c>
      <c r="S4843">
        <v>2.9512019999999999</v>
      </c>
      <c r="T4843">
        <v>-0.28466390000000003</v>
      </c>
      <c r="U4843">
        <v>0.90234380000000003</v>
      </c>
      <c r="V4843">
        <v>-5.5780969999999999E-2</v>
      </c>
      <c r="W4843">
        <v>2.3627769999999999E-2</v>
      </c>
      <c r="X4843">
        <v>0.99816340000000003</v>
      </c>
      <c r="Y4843">
        <v>-0.28468470000000001</v>
      </c>
      <c r="Z4843">
        <v>1.275252E-2</v>
      </c>
      <c r="AA4843">
        <v>0.95853639999999996</v>
      </c>
      <c r="AB4843">
        <v>34</v>
      </c>
      <c r="AC4843">
        <v>11.206</v>
      </c>
      <c r="AD4843">
        <v>-1.10406085582</v>
      </c>
      <c r="AE4843">
        <v>3.4983199999999899</v>
      </c>
      <c r="AF4843">
        <v>-3.39181037100392</v>
      </c>
      <c r="AG4843">
        <v>-1.10406085582</v>
      </c>
      <c r="AH4843">
        <v>11.131144055250701</v>
      </c>
      <c r="AI4843">
        <v>95.419975923615596</v>
      </c>
      <c r="AJ4843">
        <v>106.94668889867199</v>
      </c>
      <c r="AK4843">
        <v>11.688699497589401</v>
      </c>
    </row>
    <row r="4844" spans="1:37" x14ac:dyDescent="0.2">
      <c r="A4844" t="str">
        <f>"20200111153748602"</f>
        <v>20200111153748602</v>
      </c>
      <c r="B4844" t="str">
        <f>"1578728268597765"</f>
        <v>1578728268597765</v>
      </c>
      <c r="C4844" t="s">
        <v>37</v>
      </c>
      <c r="D4844">
        <v>5.9385389999999996</v>
      </c>
      <c r="E4844">
        <v>0.41126869999999999</v>
      </c>
      <c r="F4844" t="s">
        <v>39</v>
      </c>
      <c r="G4844">
        <v>-336.10910000000001</v>
      </c>
      <c r="H4844" s="1">
        <v>-1.944816E-6</v>
      </c>
      <c r="I4844">
        <v>20.71874</v>
      </c>
      <c r="J4844">
        <v>-347.3261</v>
      </c>
      <c r="K4844">
        <v>1.1040589999999999</v>
      </c>
      <c r="L4844">
        <v>17.24146</v>
      </c>
      <c r="M4844">
        <v>0.99988509999999997</v>
      </c>
      <c r="N4844">
        <v>0</v>
      </c>
      <c r="O4844">
        <v>6.5088389999999998E-3</v>
      </c>
      <c r="P4844">
        <v>0.99804439999999905</v>
      </c>
      <c r="Q4844">
        <v>1.0271809999999999E-2</v>
      </c>
      <c r="R4844">
        <v>6.1660300000000001E-2</v>
      </c>
      <c r="S4844">
        <v>2.952515</v>
      </c>
      <c r="T4844">
        <v>-0.28529850000000001</v>
      </c>
      <c r="U4844">
        <v>0.89886469999999896</v>
      </c>
      <c r="V4844">
        <v>-5.5134099999999998E-2</v>
      </c>
      <c r="W4844">
        <v>2.401199E-2</v>
      </c>
      <c r="X4844">
        <v>0.99819020000000003</v>
      </c>
      <c r="Y4844">
        <v>-0.28382750000000001</v>
      </c>
      <c r="Z4844">
        <v>1.276643E-2</v>
      </c>
      <c r="AA4844">
        <v>0.95879040000000004</v>
      </c>
      <c r="AB4844">
        <v>34</v>
      </c>
      <c r="AC4844">
        <v>11.216999999999899</v>
      </c>
      <c r="AD4844">
        <v>-1.1040609448159999</v>
      </c>
      <c r="AE4844">
        <v>3.4772799999999999</v>
      </c>
      <c r="AF4844">
        <v>-3.3743652572625198</v>
      </c>
      <c r="AG4844">
        <v>-1.1040609448159999</v>
      </c>
      <c r="AH4844">
        <v>11.140927600171</v>
      </c>
      <c r="AI4844">
        <v>95.417990722437807</v>
      </c>
      <c r="AJ4844">
        <v>106.850516201535</v>
      </c>
      <c r="AK4844">
        <v>11.692970505886899</v>
      </c>
    </row>
    <row r="4845" spans="1:37" x14ac:dyDescent="0.2">
      <c r="A4845" t="str">
        <f>"20200111153748615"</f>
        <v>20200111153748615</v>
      </c>
      <c r="B4845" t="str">
        <f>"1578728268608502"</f>
        <v>1578728268608502</v>
      </c>
      <c r="C4845" t="s">
        <v>37</v>
      </c>
      <c r="D4845">
        <v>5.9543080000000002</v>
      </c>
      <c r="E4845">
        <v>0.41101789999999999</v>
      </c>
      <c r="F4845" t="s">
        <v>39</v>
      </c>
      <c r="G4845">
        <v>-335.85199999999998</v>
      </c>
      <c r="H4845" s="1">
        <v>-2.0602140000000002E-6</v>
      </c>
      <c r="I4845">
        <v>20.737880000000001</v>
      </c>
      <c r="J4845">
        <v>-347.12630000000001</v>
      </c>
      <c r="K4845">
        <v>1.1040639999999999</v>
      </c>
      <c r="L4845">
        <v>17.242460000000001</v>
      </c>
      <c r="M4845">
        <v>0.99988679999999996</v>
      </c>
      <c r="N4845">
        <v>0</v>
      </c>
      <c r="O4845">
        <v>6.2119699999999998E-3</v>
      </c>
      <c r="P4845">
        <v>0.99810429999999895</v>
      </c>
      <c r="Q4845">
        <v>1.008069E-2</v>
      </c>
      <c r="R4845">
        <v>6.0715360000000003E-2</v>
      </c>
      <c r="S4845">
        <v>2.953217</v>
      </c>
      <c r="T4845">
        <v>-0.28416370000000002</v>
      </c>
      <c r="U4845">
        <v>0.89993289999999904</v>
      </c>
      <c r="V4845">
        <v>-5.448509E-2</v>
      </c>
      <c r="W4845">
        <v>2.3833699999999999E-2</v>
      </c>
      <c r="X4845">
        <v>0.99823009999999901</v>
      </c>
      <c r="Y4845">
        <v>-0.28437240000000003</v>
      </c>
      <c r="Z4845">
        <v>1.2765779999999999E-2</v>
      </c>
      <c r="AA4845">
        <v>0.95862890000000001</v>
      </c>
      <c r="AB4845">
        <v>34</v>
      </c>
      <c r="AC4845">
        <v>11.2743</v>
      </c>
      <c r="AD4845">
        <v>-1.104066060214</v>
      </c>
      <c r="AE4845">
        <v>3.4954200000000002</v>
      </c>
      <c r="AF4845">
        <v>-3.3956026429447399</v>
      </c>
      <c r="AG4845">
        <v>-1.104066060214</v>
      </c>
      <c r="AH4845">
        <v>11.1978294726617</v>
      </c>
      <c r="AI4845">
        <v>95.390114876506303</v>
      </c>
      <c r="AJ4845">
        <v>106.869275090117</v>
      </c>
      <c r="AK4845">
        <v>11.7533171518896</v>
      </c>
    </row>
    <row r="4846" spans="1:37" x14ac:dyDescent="0.2">
      <c r="A4846" t="str">
        <f>"20200111153748629"</f>
        <v>20200111153748629</v>
      </c>
      <c r="B4846" t="str">
        <f>"1578728268618261"</f>
        <v>1578728268618261</v>
      </c>
      <c r="C4846" t="s">
        <v>37</v>
      </c>
      <c r="D4846">
        <v>5.9750199999999998</v>
      </c>
      <c r="E4846">
        <v>0.41081269999999998</v>
      </c>
      <c r="F4846" t="s">
        <v>39</v>
      </c>
      <c r="G4846">
        <v>-335.63940000000002</v>
      </c>
      <c r="H4846" s="1">
        <v>-2.1519059999999998E-6</v>
      </c>
      <c r="I4846">
        <v>20.73978</v>
      </c>
      <c r="J4846">
        <v>-346.91079999999999</v>
      </c>
      <c r="K4846">
        <v>1.104069</v>
      </c>
      <c r="L4846">
        <v>17.243469999999999</v>
      </c>
      <c r="M4846">
        <v>0.99988849999999996</v>
      </c>
      <c r="N4846">
        <v>0</v>
      </c>
      <c r="O4846">
        <v>5.8921619999999899E-3</v>
      </c>
      <c r="P4846">
        <v>0.99815810000000005</v>
      </c>
      <c r="Q4846">
        <v>1.021973E-2</v>
      </c>
      <c r="R4846">
        <v>5.9800260000000001E-2</v>
      </c>
      <c r="S4846">
        <v>2.953827</v>
      </c>
      <c r="T4846">
        <v>-0.28390969999999999</v>
      </c>
      <c r="U4846">
        <v>0.89935299999999996</v>
      </c>
      <c r="V4846">
        <v>-5.3888949999999998E-2</v>
      </c>
      <c r="W4846">
        <v>2.39852999999999E-2</v>
      </c>
      <c r="X4846">
        <v>0.9982588</v>
      </c>
      <c r="Y4846">
        <v>-0.28445219999999999</v>
      </c>
      <c r="Z4846">
        <v>1.2785980000000001E-2</v>
      </c>
      <c r="AA4846">
        <v>0.95860499999999904</v>
      </c>
      <c r="AB4846">
        <v>34</v>
      </c>
      <c r="AC4846">
        <v>11.2713999999999</v>
      </c>
      <c r="AD4846">
        <v>-1.104071151906</v>
      </c>
      <c r="AE4846">
        <v>3.49630999999999</v>
      </c>
      <c r="AF4846">
        <v>-3.4000704187584998</v>
      </c>
      <c r="AG4846">
        <v>-1.104071151906</v>
      </c>
      <c r="AH4846">
        <v>11.1938311063406</v>
      </c>
      <c r="AI4846">
        <v>95.391297734727701</v>
      </c>
      <c r="AJ4846">
        <v>106.89589733509</v>
      </c>
      <c r="AK4846">
        <v>11.750800262036</v>
      </c>
    </row>
    <row r="4847" spans="1:37" x14ac:dyDescent="0.2">
      <c r="A4847" t="str">
        <f>"20200111153748647"</f>
        <v>20200111153748647</v>
      </c>
      <c r="B4847" t="str">
        <f>"1578728268637781"</f>
        <v>1578728268637781</v>
      </c>
      <c r="C4847" t="s">
        <v>37</v>
      </c>
      <c r="D4847">
        <v>5.968083</v>
      </c>
      <c r="E4847">
        <v>0.41029679999999902</v>
      </c>
      <c r="F4847" t="s">
        <v>39</v>
      </c>
      <c r="G4847">
        <v>-335.38639999999998</v>
      </c>
      <c r="H4847" s="1">
        <v>-2.2627520000000001E-6</v>
      </c>
      <c r="I4847">
        <v>20.7484</v>
      </c>
      <c r="J4847">
        <v>-346.64060000000001</v>
      </c>
      <c r="K4847">
        <v>1.10407099999999</v>
      </c>
      <c r="L4847">
        <v>17.244629999999901</v>
      </c>
      <c r="M4847">
        <v>0.99989059999999896</v>
      </c>
      <c r="N4847">
        <v>0</v>
      </c>
      <c r="O4847">
        <v>5.4913440000000004E-3</v>
      </c>
      <c r="P4847">
        <v>0.99824139999999995</v>
      </c>
      <c r="Q4847">
        <v>1.1005829999999999E-2</v>
      </c>
      <c r="R4847">
        <v>5.8249469999999998E-2</v>
      </c>
      <c r="S4847">
        <v>2.9545590000000002</v>
      </c>
      <c r="T4847">
        <v>-0.28305439999999998</v>
      </c>
      <c r="U4847">
        <v>0.89859009999999995</v>
      </c>
      <c r="V4847">
        <v>-5.2736890000000002E-2</v>
      </c>
      <c r="W4847">
        <v>2.4784710000000001E-2</v>
      </c>
      <c r="X4847">
        <v>0.99830090000000005</v>
      </c>
      <c r="Y4847">
        <v>-0.284549</v>
      </c>
      <c r="Z4847">
        <v>1.2787069999999999E-2</v>
      </c>
      <c r="AA4847">
        <v>0.95857619999999899</v>
      </c>
      <c r="AB4847">
        <v>34</v>
      </c>
      <c r="AC4847">
        <v>11.254200000000001</v>
      </c>
      <c r="AD4847">
        <v>-1.10407326275199</v>
      </c>
      <c r="AE4847">
        <v>3.5037699999999998</v>
      </c>
      <c r="AF4847">
        <v>-3.41197457478432</v>
      </c>
      <c r="AG4847">
        <v>-1.10407326275199</v>
      </c>
      <c r="AH4847">
        <v>11.175223033116801</v>
      </c>
      <c r="AI4847">
        <v>95.397882304675505</v>
      </c>
      <c r="AJ4847">
        <v>106.978269815172</v>
      </c>
      <c r="AK4847">
        <v>11.7365309230796</v>
      </c>
    </row>
    <row r="4848" spans="1:37" x14ac:dyDescent="0.2">
      <c r="A4848" t="str">
        <f>"20200111153748669"</f>
        <v>20200111153748669</v>
      </c>
      <c r="B4848" t="str">
        <f>"1578728268658277"</f>
        <v>1578728268658277</v>
      </c>
      <c r="C4848" t="s">
        <v>37</v>
      </c>
      <c r="D4848">
        <v>5.9764689999999998</v>
      </c>
      <c r="E4848">
        <v>0.40989140000000002</v>
      </c>
      <c r="F4848" t="s">
        <v>39</v>
      </c>
      <c r="G4848">
        <v>-335.01190000000003</v>
      </c>
      <c r="H4848" s="1">
        <v>-2.4320219999999999E-6</v>
      </c>
      <c r="I4848">
        <v>20.780809999999999</v>
      </c>
      <c r="J4848">
        <v>-346.31310000000002</v>
      </c>
      <c r="K4848">
        <v>1.104077</v>
      </c>
      <c r="L4848">
        <v>17.245909999999999</v>
      </c>
      <c r="M4848">
        <v>0.99989289999999997</v>
      </c>
      <c r="N4848">
        <v>0</v>
      </c>
      <c r="O4848">
        <v>5.0060109999999899E-3</v>
      </c>
      <c r="P4848">
        <v>0.9983476</v>
      </c>
      <c r="Q4848">
        <v>1.181489E-2</v>
      </c>
      <c r="R4848">
        <v>5.623537E-2</v>
      </c>
      <c r="S4848">
        <v>2.9559329999999999</v>
      </c>
      <c r="T4848">
        <v>-0.28064879999999998</v>
      </c>
      <c r="U4848">
        <v>0.89889529999999995</v>
      </c>
      <c r="V4848">
        <v>-5.1206299999999899E-2</v>
      </c>
      <c r="W4848">
        <v>2.5607950000000001E-2</v>
      </c>
      <c r="X4848">
        <v>0.99835969999999996</v>
      </c>
      <c r="Y4848">
        <v>-0.28499759999999902</v>
      </c>
      <c r="Z4848">
        <v>1.273878E-2</v>
      </c>
      <c r="AA4848">
        <v>0.95844359999999995</v>
      </c>
      <c r="AB4848">
        <v>34</v>
      </c>
      <c r="AC4848">
        <v>11.3011999999999</v>
      </c>
      <c r="AD4848">
        <v>-1.104079432022</v>
      </c>
      <c r="AE4848">
        <v>3.5348999999999902</v>
      </c>
      <c r="AF4848">
        <v>-3.4482973448777798</v>
      </c>
      <c r="AG4848">
        <v>-1.104079432022</v>
      </c>
      <c r="AH4848">
        <v>11.2212000601762</v>
      </c>
      <c r="AI4848">
        <v>95.372953593924905</v>
      </c>
      <c r="AJ4848">
        <v>107.082298419293</v>
      </c>
      <c r="AK4848">
        <v>11.790889566161001</v>
      </c>
    </row>
    <row r="4849" spans="1:37" x14ac:dyDescent="0.2">
      <c r="A4849" t="str">
        <f>"20200111153748684"</f>
        <v>20200111153748684</v>
      </c>
      <c r="B4849" t="str">
        <f>"1578728268677797"</f>
        <v>1578728268677797</v>
      </c>
      <c r="C4849" t="s">
        <v>37</v>
      </c>
      <c r="D4849">
        <v>5.9912510000000001</v>
      </c>
      <c r="E4849">
        <v>0.40939209999999998</v>
      </c>
      <c r="F4849" t="s">
        <v>39</v>
      </c>
      <c r="G4849">
        <v>-334.53919999999999</v>
      </c>
      <c r="H4849" s="1">
        <v>-2.6442789999999999E-6</v>
      </c>
      <c r="I4849">
        <v>20.81635</v>
      </c>
      <c r="J4849">
        <v>-346.07530000000003</v>
      </c>
      <c r="K4849">
        <v>1.1040809999999901</v>
      </c>
      <c r="L4849">
        <v>17.246700000000001</v>
      </c>
      <c r="M4849">
        <v>0.99989459999999997</v>
      </c>
      <c r="N4849">
        <v>0</v>
      </c>
      <c r="O4849">
        <v>4.6534549999999999E-3</v>
      </c>
      <c r="P4849">
        <v>0.99839409999999895</v>
      </c>
      <c r="Q4849">
        <v>1.220397E-2</v>
      </c>
      <c r="R4849">
        <v>5.5320550000000003E-2</v>
      </c>
      <c r="S4849">
        <v>2.9577939999999998</v>
      </c>
      <c r="T4849">
        <v>-0.27736270000000002</v>
      </c>
      <c r="U4849">
        <v>0.89697269999999896</v>
      </c>
      <c r="V4849">
        <v>-5.0642590000000001E-2</v>
      </c>
      <c r="W4849">
        <v>2.6005980000000001E-2</v>
      </c>
      <c r="X4849">
        <v>0.99837819999999899</v>
      </c>
      <c r="Y4849">
        <v>-0.28462490000000001</v>
      </c>
      <c r="Z4849">
        <v>1.2599050000000001E-2</v>
      </c>
      <c r="AA4849">
        <v>0.95855619999999997</v>
      </c>
      <c r="AB4849">
        <v>34</v>
      </c>
      <c r="AC4849">
        <v>11.536099999999999</v>
      </c>
      <c r="AD4849">
        <v>-1.1040836442790001</v>
      </c>
      <c r="AE4849">
        <v>3.5696500000000002</v>
      </c>
      <c r="AF4849">
        <v>-3.4867761978898599</v>
      </c>
      <c r="AG4849">
        <v>-1.1040836442790001</v>
      </c>
      <c r="AH4849">
        <v>11.456815779896299</v>
      </c>
      <c r="AI4849">
        <v>95.267438744069096</v>
      </c>
      <c r="AJ4849">
        <v>106.92714333497899</v>
      </c>
      <c r="AK4849">
        <v>12.0264390724028</v>
      </c>
    </row>
    <row r="4850" spans="1:37" x14ac:dyDescent="0.2">
      <c r="A4850" t="str">
        <f>"20200111153748701"</f>
        <v>20200111153748701</v>
      </c>
      <c r="B4850" t="str">
        <f>"1578728268698293"</f>
        <v>1578728268698293</v>
      </c>
      <c r="C4850" t="s">
        <v>37</v>
      </c>
      <c r="D4850">
        <v>5.9895750000000003</v>
      </c>
      <c r="E4850">
        <v>0.40886830000000002</v>
      </c>
      <c r="F4850" t="s">
        <v>39</v>
      </c>
      <c r="G4850">
        <v>-334.274</v>
      </c>
      <c r="H4850" s="1">
        <v>-2.7620119999999999E-6</v>
      </c>
      <c r="I4850">
        <v>20.83128</v>
      </c>
      <c r="J4850">
        <v>-345.81689999999998</v>
      </c>
      <c r="K4850">
        <v>1.10409</v>
      </c>
      <c r="L4850">
        <v>17.247499999999999</v>
      </c>
      <c r="M4850">
        <v>0.99989619999999901</v>
      </c>
      <c r="N4850">
        <v>0</v>
      </c>
      <c r="O4850">
        <v>4.2707459999999997E-3</v>
      </c>
      <c r="P4850">
        <v>0.99857859999999998</v>
      </c>
      <c r="Q4850">
        <v>1.217358E-2</v>
      </c>
      <c r="R4850">
        <v>5.1892710000000002E-2</v>
      </c>
      <c r="S4850">
        <v>2.958405</v>
      </c>
      <c r="T4850">
        <v>-0.276777299999999</v>
      </c>
      <c r="U4850">
        <v>0.89862059999999999</v>
      </c>
      <c r="V4850">
        <v>-4.7596529999999998E-2</v>
      </c>
      <c r="W4850">
        <v>2.5983099999999901E-2</v>
      </c>
      <c r="X4850">
        <v>0.99852870000000005</v>
      </c>
      <c r="Y4850">
        <v>-0.28542629999999902</v>
      </c>
      <c r="Z4850">
        <v>1.264063E-2</v>
      </c>
      <c r="AA4850">
        <v>0.95831730000000004</v>
      </c>
      <c r="AB4850">
        <v>34</v>
      </c>
      <c r="AC4850">
        <v>11.5428999999999</v>
      </c>
      <c r="AD4850">
        <v>-1.104092762012</v>
      </c>
      <c r="AE4850">
        <v>3.58378</v>
      </c>
      <c r="AF4850">
        <v>-3.5051957969646499</v>
      </c>
      <c r="AG4850">
        <v>-1.104092762012</v>
      </c>
      <c r="AH4850">
        <v>11.4624500685246</v>
      </c>
      <c r="AI4850">
        <v>95.262778369899394</v>
      </c>
      <c r="AJ4850">
        <v>107.003534110136</v>
      </c>
      <c r="AK4850">
        <v>12.0371583015098</v>
      </c>
    </row>
    <row r="4851" spans="1:37" x14ac:dyDescent="0.2">
      <c r="A4851" t="str">
        <f>"20200111153748714"</f>
        <v>20200111153748714</v>
      </c>
      <c r="B4851" t="str">
        <f>"1578728268708056"</f>
        <v>1578728268708056</v>
      </c>
      <c r="C4851" t="s">
        <v>37</v>
      </c>
      <c r="D4851">
        <v>6.0157559999999997</v>
      </c>
      <c r="E4851">
        <v>0.40852040000000001</v>
      </c>
      <c r="F4851" t="s">
        <v>39</v>
      </c>
      <c r="G4851">
        <v>-333.97739999999999</v>
      </c>
      <c r="H4851" s="1">
        <v>-2.8865919999999998E-6</v>
      </c>
      <c r="I4851">
        <v>20.821249999999999</v>
      </c>
      <c r="J4851">
        <v>-345.60219999999998</v>
      </c>
      <c r="K4851">
        <v>1.104095</v>
      </c>
      <c r="L4851">
        <v>17.248079999999899</v>
      </c>
      <c r="M4851">
        <v>0.99989740000000005</v>
      </c>
      <c r="N4851">
        <v>0</v>
      </c>
      <c r="O4851">
        <v>3.953387E-3</v>
      </c>
      <c r="P4851">
        <v>0.99867530000000004</v>
      </c>
      <c r="Q4851">
        <v>1.2374019999999999E-2</v>
      </c>
      <c r="R4851">
        <v>4.9947819999999997E-2</v>
      </c>
      <c r="S4851">
        <v>2.96121199999999</v>
      </c>
      <c r="T4851">
        <v>-0.27614699999999998</v>
      </c>
      <c r="U4851">
        <v>0.89385990000000004</v>
      </c>
      <c r="V4851">
        <v>-4.5968309999999998E-2</v>
      </c>
      <c r="W4851">
        <v>2.618902E-2</v>
      </c>
      <c r="X4851">
        <v>0.99859949999999997</v>
      </c>
      <c r="Y4851">
        <v>-0.28407659999999901</v>
      </c>
      <c r="Z4851">
        <v>1.257086E-2</v>
      </c>
      <c r="AA4851">
        <v>0.95871919999999899</v>
      </c>
      <c r="AB4851">
        <v>34</v>
      </c>
      <c r="AC4851">
        <v>11.624799999999899</v>
      </c>
      <c r="AD4851">
        <v>-1.1040978865919999</v>
      </c>
      <c r="AE4851">
        <v>3.5731700000000002</v>
      </c>
      <c r="AF4851">
        <v>-3.4983467398564501</v>
      </c>
      <c r="AG4851">
        <v>-1.1040978865919999</v>
      </c>
      <c r="AH4851">
        <v>11.5436926022126</v>
      </c>
      <c r="AI4851">
        <v>95.229946478291694</v>
      </c>
      <c r="AJ4851">
        <v>106.8595719432</v>
      </c>
      <c r="AK4851">
        <v>12.1125678924751</v>
      </c>
    </row>
    <row r="4852" spans="1:37" x14ac:dyDescent="0.2">
      <c r="A4852" t="str">
        <f>"20200111153748736"</f>
        <v>20200111153748736</v>
      </c>
      <c r="B4852" t="str">
        <f>"1578728268728549"</f>
        <v>1578728268728549</v>
      </c>
      <c r="C4852" t="s">
        <v>37</v>
      </c>
      <c r="D4852">
        <v>6.2013870000000004</v>
      </c>
      <c r="E4852">
        <v>0.40830679999999903</v>
      </c>
      <c r="F4852" t="s">
        <v>39</v>
      </c>
      <c r="G4852">
        <v>-333.72669999999999</v>
      </c>
      <c r="H4852" s="1">
        <v>-2.9941240000000001E-6</v>
      </c>
      <c r="I4852">
        <v>20.821089999999899</v>
      </c>
      <c r="J4852">
        <v>-345.27710000000002</v>
      </c>
      <c r="K4852">
        <v>1.1041019999999999</v>
      </c>
      <c r="L4852">
        <v>17.248839999999898</v>
      </c>
      <c r="M4852">
        <v>0.99989899999999998</v>
      </c>
      <c r="N4852">
        <v>0</v>
      </c>
      <c r="O4852">
        <v>3.4734919999999999E-3</v>
      </c>
      <c r="P4852">
        <v>0.99890029999999996</v>
      </c>
      <c r="Q4852">
        <v>1.278321E-2</v>
      </c>
      <c r="R4852">
        <v>4.5109009999999998E-2</v>
      </c>
      <c r="S4852">
        <v>2.9627379999999999</v>
      </c>
      <c r="T4852">
        <v>-0.27545140000000001</v>
      </c>
      <c r="U4852">
        <v>0.8914185</v>
      </c>
      <c r="V4852">
        <v>-4.1607150000000002E-2</v>
      </c>
      <c r="W4852">
        <v>2.6604679999999999E-2</v>
      </c>
      <c r="X4852">
        <v>0.9987798</v>
      </c>
      <c r="Y4852">
        <v>-0.28368159999999998</v>
      </c>
      <c r="Z4852">
        <v>1.256024E-2</v>
      </c>
      <c r="AA4852">
        <v>0.95883629999999997</v>
      </c>
      <c r="AB4852">
        <v>34</v>
      </c>
      <c r="AC4852">
        <v>11.5504</v>
      </c>
      <c r="AD4852">
        <v>-1.104104994124</v>
      </c>
      <c r="AE4852">
        <v>3.5722499999999999</v>
      </c>
      <c r="AF4852">
        <v>-3.5028910823001</v>
      </c>
      <c r="AG4852">
        <v>-1.104104994124</v>
      </c>
      <c r="AH4852">
        <v>11.4671065542394</v>
      </c>
      <c r="AI4852">
        <v>95.261186731116496</v>
      </c>
      <c r="AJ4852">
        <v>106.98649538039101</v>
      </c>
      <c r="AK4852">
        <v>12.0409229919798</v>
      </c>
    </row>
    <row r="4853" spans="1:37" x14ac:dyDescent="0.2">
      <c r="A4853" t="str">
        <f>"20200111153748749"</f>
        <v>20200111153748749</v>
      </c>
      <c r="B4853" t="str">
        <f>"1578728268738309"</f>
        <v>1578728268738309</v>
      </c>
      <c r="C4853" t="s">
        <v>37</v>
      </c>
      <c r="D4853">
        <v>6.1549809999999896</v>
      </c>
      <c r="E4853">
        <v>0.40830679999999903</v>
      </c>
      <c r="F4853" t="s">
        <v>39</v>
      </c>
      <c r="G4853">
        <v>-333.33580000000001</v>
      </c>
      <c r="H4853" s="1">
        <v>-3.1529139999999999E-6</v>
      </c>
      <c r="I4853">
        <v>20.787679999999899</v>
      </c>
      <c r="J4853">
        <v>-345.075999999999</v>
      </c>
      <c r="K4853">
        <v>1.1041080000000001</v>
      </c>
      <c r="L4853">
        <v>17.249210000000001</v>
      </c>
      <c r="M4853">
        <v>0.99989980000000001</v>
      </c>
      <c r="N4853">
        <v>0</v>
      </c>
      <c r="O4853">
        <v>3.1772549999999999E-3</v>
      </c>
      <c r="P4853">
        <v>0.9990116</v>
      </c>
      <c r="Q4853">
        <v>1.296637E-2</v>
      </c>
      <c r="R4853">
        <v>4.2517279999999998E-2</v>
      </c>
      <c r="S4853">
        <v>2.967133</v>
      </c>
      <c r="T4853">
        <v>-0.27434259999999999</v>
      </c>
      <c r="U4853">
        <v>0.87933349999999899</v>
      </c>
      <c r="V4853">
        <v>-3.9311289999999999E-2</v>
      </c>
      <c r="W4853">
        <v>2.679105E-2</v>
      </c>
      <c r="X4853">
        <v>0.99886779999999997</v>
      </c>
      <c r="Y4853">
        <v>-0.28000940000000002</v>
      </c>
      <c r="Z4853">
        <v>1.236018E-2</v>
      </c>
      <c r="AA4853">
        <v>0.95991769999999998</v>
      </c>
      <c r="AB4853">
        <v>34</v>
      </c>
      <c r="AC4853">
        <v>11.7401999999999</v>
      </c>
      <c r="AD4853">
        <v>-1.104111152914</v>
      </c>
      <c r="AE4853">
        <v>3.53846999999999</v>
      </c>
      <c r="AF4853">
        <v>-3.47298801875248</v>
      </c>
      <c r="AG4853">
        <v>-1.104111152914</v>
      </c>
      <c r="AH4853">
        <v>11.656870609331801</v>
      </c>
      <c r="AI4853">
        <v>95.186778688946305</v>
      </c>
      <c r="AJ4853">
        <v>106.59062825217801</v>
      </c>
      <c r="AK4853">
        <v>12.213244434591999</v>
      </c>
    </row>
    <row r="4854" spans="1:37" x14ac:dyDescent="0.2">
      <c r="A4854" t="str">
        <f>"20200111153748762"</f>
        <v>20200111153748762</v>
      </c>
      <c r="B4854" t="str">
        <f>"1578728268757829"</f>
        <v>1578728268757829</v>
      </c>
      <c r="C4854" t="s">
        <v>37</v>
      </c>
      <c r="D4854">
        <v>6.2367220000000003</v>
      </c>
      <c r="E4854">
        <v>0.46262599999999998</v>
      </c>
      <c r="F4854" t="s">
        <v>39</v>
      </c>
      <c r="G4854">
        <v>-333.08339999999998</v>
      </c>
      <c r="H4854" s="1">
        <v>-3.25659E-6</v>
      </c>
      <c r="I4854">
        <v>20.770440000000001</v>
      </c>
      <c r="J4854">
        <v>-344.88220000000001</v>
      </c>
      <c r="K4854">
        <v>1.104114</v>
      </c>
      <c r="L4854">
        <v>17.24954</v>
      </c>
      <c r="M4854">
        <v>0.99990080000000003</v>
      </c>
      <c r="N4854">
        <v>0</v>
      </c>
      <c r="O4854">
        <v>2.8919879999999999E-3</v>
      </c>
      <c r="P4854">
        <v>0.9991179</v>
      </c>
      <c r="Q4854">
        <v>1.3064660000000001E-2</v>
      </c>
      <c r="R4854">
        <v>3.9914860000000003E-2</v>
      </c>
      <c r="S4854">
        <v>2.9694210000000001</v>
      </c>
      <c r="T4854">
        <v>-0.2733816</v>
      </c>
      <c r="U4854">
        <v>0.87188719999999997</v>
      </c>
      <c r="V4854">
        <v>-3.6993430000000001E-2</v>
      </c>
      <c r="W4854">
        <v>2.689211E-2</v>
      </c>
      <c r="X4854">
        <v>0.9989536</v>
      </c>
      <c r="Y4854">
        <v>-0.27788170000000001</v>
      </c>
      <c r="Z4854">
        <v>1.224217E-2</v>
      </c>
      <c r="AA4854">
        <v>0.96053729999999904</v>
      </c>
      <c r="AB4854">
        <v>34</v>
      </c>
      <c r="AC4854">
        <v>11.7988</v>
      </c>
      <c r="AD4854">
        <v>-1.1041172565899999</v>
      </c>
      <c r="AE4854">
        <v>3.5209000000000001</v>
      </c>
      <c r="AF4854">
        <v>-3.45894684247394</v>
      </c>
      <c r="AG4854">
        <v>-1.1041172565899999</v>
      </c>
      <c r="AH4854">
        <v>11.7147364696491</v>
      </c>
      <c r="AI4854">
        <v>95.165063561172303</v>
      </c>
      <c r="AJ4854">
        <v>106.450004361632</v>
      </c>
      <c r="AK4854">
        <v>12.264519506637299</v>
      </c>
    </row>
    <row r="4855" spans="1:37" x14ac:dyDescent="0.2">
      <c r="A4855" t="str">
        <f>"20200111153748780"</f>
        <v>20200111153748780</v>
      </c>
      <c r="B4855" t="str">
        <f>"1578728268768565"</f>
        <v>1578728268768565</v>
      </c>
      <c r="C4855" t="s">
        <v>37</v>
      </c>
      <c r="D4855">
        <v>6.2022309999999896</v>
      </c>
      <c r="E4855">
        <v>0.5423578</v>
      </c>
      <c r="F4855" t="s">
        <v>39</v>
      </c>
      <c r="G4855">
        <v>-334.67579999999998</v>
      </c>
      <c r="H4855" s="1">
        <v>-2.4238489999999999E-6</v>
      </c>
      <c r="I4855">
        <v>18.728639999999999</v>
      </c>
      <c r="J4855">
        <v>-344.61160000000001</v>
      </c>
      <c r="K4855">
        <v>1.104123</v>
      </c>
      <c r="L4855">
        <v>17.249879999999902</v>
      </c>
      <c r="M4855">
        <v>0.9999017</v>
      </c>
      <c r="N4855">
        <v>0</v>
      </c>
      <c r="O4855">
        <v>2.4939519999999998E-3</v>
      </c>
      <c r="P4855">
        <v>0.99928169999999905</v>
      </c>
      <c r="Q4855">
        <v>1.369213E-2</v>
      </c>
      <c r="R4855">
        <v>3.5342279999999997E-2</v>
      </c>
      <c r="S4855">
        <v>2.9895320000000001</v>
      </c>
      <c r="T4855">
        <v>-0.32340099999999999</v>
      </c>
      <c r="U4855">
        <v>0.43325809999999998</v>
      </c>
      <c r="V4855">
        <v>-3.2817449999999998E-2</v>
      </c>
      <c r="W4855">
        <v>2.7521299999999901E-2</v>
      </c>
      <c r="X4855">
        <v>0.99908240000000004</v>
      </c>
      <c r="Y4855">
        <v>-0.14017109999999999</v>
      </c>
      <c r="Z4855">
        <v>7.253069E-3</v>
      </c>
      <c r="AA4855">
        <v>0.99010069999999994</v>
      </c>
      <c r="AB4855">
        <v>34</v>
      </c>
      <c r="AC4855">
        <v>9.9358000000000199</v>
      </c>
      <c r="AD4855">
        <v>-1.1041254238489999</v>
      </c>
      <c r="AE4855">
        <v>1.4787600000000001</v>
      </c>
      <c r="AF4855">
        <v>-1.4366173286057</v>
      </c>
      <c r="AG4855">
        <v>-1.1041254238489999</v>
      </c>
      <c r="AH4855">
        <v>9.8208085870917401</v>
      </c>
      <c r="AI4855">
        <v>96.347668011837399</v>
      </c>
      <c r="AJ4855">
        <v>98.322370749066707</v>
      </c>
      <c r="AK4855">
        <v>9.9865531393336493</v>
      </c>
    </row>
    <row r="4856" spans="1:37" x14ac:dyDescent="0.2">
      <c r="A4856" t="str">
        <f>"20200111153748793"</f>
        <v>20200111153748793</v>
      </c>
      <c r="B4856" t="str">
        <f>"1578728268787940"</f>
        <v>1578728268787940</v>
      </c>
      <c r="C4856" t="s">
        <v>37</v>
      </c>
      <c r="D4856">
        <v>6.1886070000000002</v>
      </c>
      <c r="E4856">
        <v>0.55600519999999998</v>
      </c>
      <c r="F4856" t="s">
        <v>38</v>
      </c>
      <c r="G4856">
        <v>-343.5847</v>
      </c>
      <c r="H4856">
        <v>1.0470740000000001</v>
      </c>
      <c r="I4856">
        <v>17.173459999999999</v>
      </c>
      <c r="J4856">
        <v>-344.39859999999999</v>
      </c>
      <c r="K4856">
        <v>1.104125</v>
      </c>
      <c r="L4856">
        <v>17.25009</v>
      </c>
      <c r="M4856">
        <v>0.99990239999999997</v>
      </c>
      <c r="N4856">
        <v>0</v>
      </c>
      <c r="O4856">
        <v>2.1810919999999999E-3</v>
      </c>
      <c r="P4856">
        <v>0.99936899999999995</v>
      </c>
      <c r="Q4856">
        <v>1.388488E-2</v>
      </c>
      <c r="R4856">
        <v>3.2692249999999999E-2</v>
      </c>
      <c r="S4856">
        <v>3.0123289999999998</v>
      </c>
      <c r="T4856">
        <v>-0.16733010000000001</v>
      </c>
      <c r="U4856">
        <v>-0.22286990000000001</v>
      </c>
      <c r="V4856">
        <v>-3.047998E-2</v>
      </c>
      <c r="W4856">
        <v>2.7715770000000001E-2</v>
      </c>
      <c r="X4856">
        <v>0.99915109999999996</v>
      </c>
      <c r="Y4856">
        <v>7.5839770000000001E-2</v>
      </c>
      <c r="Z4856">
        <v>-2.2228129999999902E-3</v>
      </c>
      <c r="AA4856">
        <v>0.99711749999999899</v>
      </c>
      <c r="AB4856">
        <v>34</v>
      </c>
      <c r="AC4856">
        <v>0.81389999999998897</v>
      </c>
      <c r="AD4856">
        <v>-5.70509999999999E-2</v>
      </c>
      <c r="AE4856">
        <v>-7.6629999999997894E-2</v>
      </c>
      <c r="AF4856">
        <v>7.8025175137069594E-2</v>
      </c>
      <c r="AG4856">
        <v>-5.70509999999999E-2</v>
      </c>
      <c r="AH4856">
        <v>0.80978704246833</v>
      </c>
      <c r="AI4856">
        <v>94.011418716781293</v>
      </c>
      <c r="AJ4856">
        <v>84.496386042295697</v>
      </c>
      <c r="AK4856">
        <v>0.815535283544357</v>
      </c>
    </row>
    <row r="4857" spans="1:37" x14ac:dyDescent="0.2">
      <c r="A4857" t="str">
        <f>"20200111153748806"</f>
        <v>20200111153748806</v>
      </c>
      <c r="B4857" t="str">
        <f>"1578728268797700"</f>
        <v>1578728268797700</v>
      </c>
      <c r="C4857" t="s">
        <v>37</v>
      </c>
      <c r="D4857">
        <v>6.1919559999999896</v>
      </c>
      <c r="E4857">
        <v>0.61853210000000003</v>
      </c>
      <c r="F4857" t="s">
        <v>39</v>
      </c>
      <c r="G4857">
        <v>-324.71839999999997</v>
      </c>
      <c r="H4857" s="1">
        <v>-3.2899270000000002E-6</v>
      </c>
      <c r="I4857">
        <v>15.034039999999999</v>
      </c>
      <c r="J4857">
        <v>-344.20310000000001</v>
      </c>
      <c r="K4857">
        <v>1.104123</v>
      </c>
      <c r="L4857">
        <v>17.250209999999999</v>
      </c>
      <c r="M4857">
        <v>0.99990290000000004</v>
      </c>
      <c r="N4857">
        <v>0</v>
      </c>
      <c r="O4857">
        <v>1.89416E-3</v>
      </c>
      <c r="P4857">
        <v>0.99944849999999996</v>
      </c>
      <c r="Q4857">
        <v>1.369189E-2</v>
      </c>
      <c r="R4857">
        <v>3.0251E-2</v>
      </c>
      <c r="S4857">
        <v>3.0153500000000002</v>
      </c>
      <c r="T4857">
        <v>-0.16917199999999999</v>
      </c>
      <c r="U4857">
        <v>-0.33953860000000002</v>
      </c>
      <c r="V4857">
        <v>-2.8325159999999999E-2</v>
      </c>
      <c r="W4857">
        <v>2.7524159999999999E-2</v>
      </c>
      <c r="X4857">
        <v>0.99921979999999999</v>
      </c>
      <c r="Y4857">
        <v>0.11359909999999999</v>
      </c>
      <c r="Z4857">
        <v>-3.280013E-3</v>
      </c>
      <c r="AA4857">
        <v>0.99352129999999905</v>
      </c>
      <c r="AB4857">
        <v>34</v>
      </c>
      <c r="AC4857">
        <v>19.4847</v>
      </c>
      <c r="AD4857">
        <v>-1.1041262899269999</v>
      </c>
      <c r="AE4857">
        <v>-2.21617</v>
      </c>
      <c r="AF4857">
        <v>2.2459568573968198</v>
      </c>
      <c r="AG4857">
        <v>-1.1041262899269999</v>
      </c>
      <c r="AH4857">
        <v>19.418907709626701</v>
      </c>
      <c r="AI4857">
        <v>93.232733544761601</v>
      </c>
      <c r="AJ4857">
        <v>83.402583781828</v>
      </c>
      <c r="AK4857">
        <v>19.579514644249901</v>
      </c>
    </row>
    <row r="4858" spans="1:37" x14ac:dyDescent="0.2">
      <c r="A4858" t="str">
        <f>"20200111153748825"</f>
        <v>20200111153748825</v>
      </c>
      <c r="B4858" t="str">
        <f>"1578728268818195"</f>
        <v>1578728268818195</v>
      </c>
      <c r="C4858" t="s">
        <v>37</v>
      </c>
      <c r="D4858">
        <v>6.5289699999999904</v>
      </c>
      <c r="E4858">
        <v>0.61064289999999999</v>
      </c>
      <c r="F4858" t="s">
        <v>39</v>
      </c>
      <c r="G4858">
        <v>-326.88229999999999</v>
      </c>
      <c r="H4858" s="1">
        <v>-3.0960250000000001E-6</v>
      </c>
      <c r="I4858">
        <v>12.420719999999999</v>
      </c>
      <c r="J4858">
        <v>-343.92099999999999</v>
      </c>
      <c r="K4858">
        <v>1.1041259999999999</v>
      </c>
      <c r="L4858">
        <v>17.250309999999999</v>
      </c>
      <c r="M4858">
        <v>0.9999036</v>
      </c>
      <c r="N4858">
        <v>0</v>
      </c>
      <c r="O4858">
        <v>1.480992E-3</v>
      </c>
      <c r="P4858">
        <v>0.99957750000000001</v>
      </c>
      <c r="Q4858">
        <v>1.2384869999999999E-2</v>
      </c>
      <c r="R4858">
        <v>2.629838E-2</v>
      </c>
      <c r="S4858">
        <v>3.0299070000000001</v>
      </c>
      <c r="T4858">
        <v>-0.19314389999999901</v>
      </c>
      <c r="U4858">
        <v>-0.84481810000000002</v>
      </c>
      <c r="V4858">
        <v>-2.4787150000000001E-2</v>
      </c>
      <c r="W4858">
        <v>2.621857E-2</v>
      </c>
      <c r="X4858">
        <v>0.99934889999999998</v>
      </c>
      <c r="Y4858">
        <v>0.2694975</v>
      </c>
      <c r="Z4858">
        <v>-8.5133959999999995E-3</v>
      </c>
      <c r="AA4858">
        <v>0.96296349999999997</v>
      </c>
      <c r="AB4858">
        <v>34</v>
      </c>
      <c r="AC4858">
        <v>17.038699999999999</v>
      </c>
      <c r="AD4858">
        <v>-1.1041290960250001</v>
      </c>
      <c r="AE4858">
        <v>-4.8295899999999996</v>
      </c>
      <c r="AF4858">
        <v>4.8360240662571998</v>
      </c>
      <c r="AG4858">
        <v>-1.1041290960250001</v>
      </c>
      <c r="AH4858">
        <v>16.965584242251101</v>
      </c>
      <c r="AI4858">
        <v>93.581326350994999</v>
      </c>
      <c r="AJ4858">
        <v>74.089847633264498</v>
      </c>
      <c r="AK4858">
        <v>17.6758954090316</v>
      </c>
    </row>
    <row r="4859" spans="1:37" x14ac:dyDescent="0.2">
      <c r="A4859" t="str">
        <f>"20200111153748837"</f>
        <v>20200111153748837</v>
      </c>
      <c r="B4859" t="str">
        <f>"1578728268827955"</f>
        <v>1578728268827955</v>
      </c>
      <c r="C4859" t="s">
        <v>37</v>
      </c>
      <c r="D4859">
        <v>6.5087679999999999</v>
      </c>
      <c r="E4859">
        <v>0.60625119999999999</v>
      </c>
      <c r="F4859" t="s">
        <v>39</v>
      </c>
      <c r="G4859">
        <v>-329.38729999999998</v>
      </c>
      <c r="H4859" s="1">
        <v>-1.8617509999999901E-6</v>
      </c>
      <c r="I4859">
        <v>13.444100000000001</v>
      </c>
      <c r="J4859">
        <v>-343.71730000000002</v>
      </c>
      <c r="K4859">
        <v>1.104123</v>
      </c>
      <c r="L4859">
        <v>17.250339999999898</v>
      </c>
      <c r="M4859">
        <v>0.99990409999999996</v>
      </c>
      <c r="N4859">
        <v>0</v>
      </c>
      <c r="O4859">
        <v>1.1829799999999999E-3</v>
      </c>
      <c r="P4859">
        <v>0.99964259999999905</v>
      </c>
      <c r="Q4859">
        <v>1.187945E-2</v>
      </c>
      <c r="R4859">
        <v>2.3954590000000001E-2</v>
      </c>
      <c r="S4859">
        <v>3.0249630000000001</v>
      </c>
      <c r="T4859">
        <v>-0.2298084</v>
      </c>
      <c r="U4859">
        <v>-0.79220579999999996</v>
      </c>
      <c r="V4859">
        <v>-2.2742149999999999E-2</v>
      </c>
      <c r="W4859">
        <v>2.571377E-2</v>
      </c>
      <c r="X4859">
        <v>0.99941059999999904</v>
      </c>
      <c r="Y4859">
        <v>0.25380209999999997</v>
      </c>
      <c r="Z4859">
        <v>-9.5561810000000004E-3</v>
      </c>
      <c r="AA4859">
        <v>0.96720899999999999</v>
      </c>
      <c r="AB4859">
        <v>34</v>
      </c>
      <c r="AC4859">
        <v>14.33</v>
      </c>
      <c r="AD4859">
        <v>-1.104124861751</v>
      </c>
      <c r="AE4859">
        <v>-3.8062399999999901</v>
      </c>
      <c r="AF4859">
        <v>3.8021066585940901</v>
      </c>
      <c r="AG4859">
        <v>-1.104124861751</v>
      </c>
      <c r="AH4859">
        <v>14.246483663941699</v>
      </c>
      <c r="AI4859">
        <v>94.282358412659804</v>
      </c>
      <c r="AJ4859">
        <v>75.057152679526993</v>
      </c>
      <c r="AK4859">
        <v>14.786392512733499</v>
      </c>
    </row>
    <row r="4860" spans="1:37" x14ac:dyDescent="0.2">
      <c r="A4860" t="str">
        <f>"20200111153748869"</f>
        <v>20200111153748869</v>
      </c>
      <c r="B4860" t="str">
        <f>"1578728268858211"</f>
        <v>1578728268858211</v>
      </c>
      <c r="C4860" t="s">
        <v>37</v>
      </c>
      <c r="D4860">
        <v>6.5781259999999904</v>
      </c>
      <c r="E4860">
        <v>0.60084190000000004</v>
      </c>
      <c r="F4860" t="s">
        <v>39</v>
      </c>
      <c r="G4860">
        <v>-331.113</v>
      </c>
      <c r="H4860" s="1">
        <v>-4.7788029999999998E-6</v>
      </c>
      <c r="I4860">
        <v>14.06889</v>
      </c>
      <c r="J4860">
        <v>-343.2466</v>
      </c>
      <c r="K4860">
        <v>1.104123</v>
      </c>
      <c r="L4860">
        <v>17.250060000000001</v>
      </c>
      <c r="M4860">
        <v>0.99990449999999997</v>
      </c>
      <c r="N4860">
        <v>0</v>
      </c>
      <c r="O4860">
        <v>5.0550949999999997E-4</v>
      </c>
      <c r="P4860">
        <v>0.99979899999999999</v>
      </c>
      <c r="Q4860">
        <v>1.146525E-2</v>
      </c>
      <c r="R4860">
        <v>1.6461719999999999E-2</v>
      </c>
      <c r="S4860">
        <v>3.0224609999999998</v>
      </c>
      <c r="T4860">
        <v>-0.26476539999999998</v>
      </c>
      <c r="U4860">
        <v>-0.76287839999999996</v>
      </c>
      <c r="V4860">
        <v>-1.5927569999999999E-2</v>
      </c>
      <c r="W4860">
        <v>2.5297150000000001E-2</v>
      </c>
      <c r="X4860">
        <v>0.99955309999999897</v>
      </c>
      <c r="Y4860">
        <v>0.24433649999999901</v>
      </c>
      <c r="Z4860">
        <v>-1.056092E-2</v>
      </c>
      <c r="AA4860">
        <v>0.96963299999999997</v>
      </c>
      <c r="AB4860">
        <v>34</v>
      </c>
      <c r="AC4860">
        <v>12.1335999999999</v>
      </c>
      <c r="AD4860">
        <v>-1.1041277788029999</v>
      </c>
      <c r="AE4860">
        <v>-3.1811699999999998</v>
      </c>
      <c r="AF4860">
        <v>3.16279854323265</v>
      </c>
      <c r="AG4860">
        <v>-1.1041277788029999</v>
      </c>
      <c r="AH4860">
        <v>12.0387145202952</v>
      </c>
      <c r="AI4860">
        <v>95.069130436095406</v>
      </c>
      <c r="AJ4860">
        <v>75.279960051010903</v>
      </c>
      <c r="AK4860">
        <v>12.496121001261301</v>
      </c>
    </row>
    <row r="4861" spans="1:37" x14ac:dyDescent="0.2">
      <c r="A4861" t="str">
        <f>"20200111153748881"</f>
        <v>20200111153748881</v>
      </c>
      <c r="B4861" t="str">
        <f>"1578728268878652"</f>
        <v>1578728268878652</v>
      </c>
      <c r="C4861" t="s">
        <v>37</v>
      </c>
      <c r="D4861">
        <v>6.4068800000000001</v>
      </c>
      <c r="E4861">
        <v>0.59512749999999903</v>
      </c>
      <c r="F4861" t="s">
        <v>39</v>
      </c>
      <c r="G4861">
        <v>-331.69389999999999</v>
      </c>
      <c r="H4861" s="1">
        <v>-4.4693620000000002E-6</v>
      </c>
      <c r="I4861">
        <v>14.408439999999899</v>
      </c>
      <c r="J4861">
        <v>-343.05680000000001</v>
      </c>
      <c r="K4861">
        <v>1.104125</v>
      </c>
      <c r="L4861">
        <v>17.249879999999902</v>
      </c>
      <c r="M4861">
        <v>0.99990449999999997</v>
      </c>
      <c r="N4861">
        <v>0</v>
      </c>
      <c r="O4861">
        <v>2.421057E-4</v>
      </c>
      <c r="P4861">
        <v>0.99984169999999895</v>
      </c>
      <c r="Q4861">
        <v>1.149467E-2</v>
      </c>
      <c r="R4861">
        <v>1.3581630000000001E-2</v>
      </c>
      <c r="S4861">
        <v>3.0161129999999998</v>
      </c>
      <c r="T4861">
        <v>-0.28825869999999998</v>
      </c>
      <c r="U4861">
        <v>-0.74185179999999995</v>
      </c>
      <c r="V4861">
        <v>-1.3310840000000001E-2</v>
      </c>
      <c r="W4861">
        <v>2.5332899999999998E-2</v>
      </c>
      <c r="X4861">
        <v>0.99959050000000005</v>
      </c>
      <c r="Y4861">
        <v>0.2380553</v>
      </c>
      <c r="Z4861">
        <v>-1.1207150000000001E-2</v>
      </c>
      <c r="AA4861">
        <v>0.97118689999999996</v>
      </c>
      <c r="AB4861">
        <v>34</v>
      </c>
      <c r="AC4861">
        <v>11.3629</v>
      </c>
      <c r="AD4861">
        <v>-1.1041294693619901</v>
      </c>
      <c r="AE4861">
        <v>-2.8414399999999902</v>
      </c>
      <c r="AF4861">
        <v>2.81913954808509</v>
      </c>
      <c r="AG4861">
        <v>-1.1041294693619901</v>
      </c>
      <c r="AH4861">
        <v>11.2621332399368</v>
      </c>
      <c r="AI4861">
        <v>95.432759534206397</v>
      </c>
      <c r="AJ4861">
        <v>75.946490414376996</v>
      </c>
      <c r="AK4861">
        <v>11.6620021776186</v>
      </c>
    </row>
    <row r="4862" spans="1:37" x14ac:dyDescent="0.2">
      <c r="A4862" t="str">
        <f>"20200111153748894"</f>
        <v>20200111153748894</v>
      </c>
      <c r="B4862" t="str">
        <f>"1578728268888398"</f>
        <v>1578728268888398</v>
      </c>
      <c r="C4862" t="s">
        <v>37</v>
      </c>
      <c r="D4862">
        <v>6.4254809999999898</v>
      </c>
      <c r="E4862">
        <v>0.59305640000000004</v>
      </c>
      <c r="F4862" t="s">
        <v>39</v>
      </c>
      <c r="G4862">
        <v>-333.0702</v>
      </c>
      <c r="H4862" s="1">
        <v>-3.78796699999999E-6</v>
      </c>
      <c r="I4862">
        <v>14.921389999999899</v>
      </c>
      <c r="J4862">
        <v>-342.86950000000002</v>
      </c>
      <c r="K4862">
        <v>1.104136</v>
      </c>
      <c r="L4862">
        <v>17.249659999999999</v>
      </c>
      <c r="M4862">
        <v>0.99990389999999996</v>
      </c>
      <c r="N4862">
        <v>0</v>
      </c>
      <c r="O4862" s="1">
        <v>-1.830736E-6</v>
      </c>
      <c r="P4862">
        <v>0.99987579999999998</v>
      </c>
      <c r="Q4862">
        <v>1.126186E-2</v>
      </c>
      <c r="R4862">
        <v>1.1043229999999999E-2</v>
      </c>
      <c r="S4862">
        <v>3.0138849999999899</v>
      </c>
      <c r="T4862">
        <v>-0.33321859999999998</v>
      </c>
      <c r="U4862">
        <v>-0.70269780000000004</v>
      </c>
      <c r="V4862">
        <v>-1.1017259999999999E-2</v>
      </c>
      <c r="W4862">
        <v>2.5140329999999999E-2</v>
      </c>
      <c r="X4862">
        <v>0.99962320000000005</v>
      </c>
      <c r="Y4862">
        <v>0.22575679999999901</v>
      </c>
      <c r="Z4862">
        <v>-1.227867E-2</v>
      </c>
      <c r="AA4862">
        <v>0.97410629999999998</v>
      </c>
      <c r="AB4862">
        <v>34</v>
      </c>
      <c r="AC4862">
        <v>9.7993000000000094</v>
      </c>
      <c r="AD4862">
        <v>-1.1041397879670001</v>
      </c>
      <c r="AE4862">
        <v>-2.3282699999999998</v>
      </c>
      <c r="AF4862">
        <v>2.3006049043217498</v>
      </c>
      <c r="AG4862">
        <v>-1.1041397879670001</v>
      </c>
      <c r="AH4862">
        <v>9.6829410566915399</v>
      </c>
      <c r="AI4862">
        <v>96.330564840904003</v>
      </c>
      <c r="AJ4862">
        <v>76.634704677002404</v>
      </c>
      <c r="AK4862">
        <v>10.0135535702628</v>
      </c>
    </row>
    <row r="4863" spans="1:37" x14ac:dyDescent="0.2">
      <c r="A4863" t="str">
        <f>"20200111153748914"</f>
        <v>20200111153748914</v>
      </c>
      <c r="B4863" t="str">
        <f>"1578728268907919"</f>
        <v>1578728268907919</v>
      </c>
      <c r="C4863" t="s">
        <v>37</v>
      </c>
      <c r="D4863">
        <v>6.4514879999999897</v>
      </c>
      <c r="E4863">
        <v>0.590225</v>
      </c>
      <c r="F4863" t="s">
        <v>38</v>
      </c>
      <c r="G4863">
        <v>-342.07530000000003</v>
      </c>
      <c r="H4863">
        <v>1.0118549999999999</v>
      </c>
      <c r="I4863">
        <v>17.06673</v>
      </c>
      <c r="J4863">
        <v>-342.56599999999997</v>
      </c>
      <c r="K4863">
        <v>1.1041840000000001</v>
      </c>
      <c r="L4863">
        <v>17.24924</v>
      </c>
      <c r="M4863">
        <v>0.99990199999999996</v>
      </c>
      <c r="N4863">
        <v>0</v>
      </c>
      <c r="O4863">
        <v>-3.7162919999999899E-4</v>
      </c>
      <c r="P4863">
        <v>0.99993209999999999</v>
      </c>
      <c r="Q4863">
        <v>9.5310919999999997E-3</v>
      </c>
      <c r="R4863">
        <v>6.7443199999999998E-3</v>
      </c>
      <c r="S4863">
        <v>3.0119929999999999</v>
      </c>
      <c r="T4863">
        <v>-0.34993750000000001</v>
      </c>
      <c r="U4863">
        <v>-0.69287109999999996</v>
      </c>
      <c r="V4863">
        <v>-7.0912299999999996E-3</v>
      </c>
      <c r="W4863">
        <v>2.3538150000000001E-2</v>
      </c>
      <c r="X4863">
        <v>0.99969779999999997</v>
      </c>
      <c r="Y4863">
        <v>0.222401499999999</v>
      </c>
      <c r="Z4863">
        <v>-1.266929E-2</v>
      </c>
      <c r="AA4863">
        <v>0.97487279999999998</v>
      </c>
      <c r="AB4863">
        <v>34</v>
      </c>
      <c r="AC4863">
        <v>0.49069999999994701</v>
      </c>
      <c r="AD4863">
        <v>-9.2329000000000105E-2</v>
      </c>
      <c r="AE4863">
        <v>-0.18251000000000001</v>
      </c>
      <c r="AF4863">
        <v>0.17682809820113701</v>
      </c>
      <c r="AG4863">
        <v>-9.2329000000000105E-2</v>
      </c>
      <c r="AH4863">
        <v>0.47596486348281403</v>
      </c>
      <c r="AI4863">
        <v>100.30601514245799</v>
      </c>
      <c r="AJ4863">
        <v>69.619212002254201</v>
      </c>
      <c r="AK4863">
        <v>0.51607690495181602</v>
      </c>
    </row>
    <row r="4864" spans="1:37" x14ac:dyDescent="0.2">
      <c r="A4864" t="str">
        <f>"20200111153748928"</f>
        <v>20200111153748928</v>
      </c>
      <c r="B4864" t="str">
        <f>"1578728268917678"</f>
        <v>1578728268917678</v>
      </c>
      <c r="C4864" t="s">
        <v>37</v>
      </c>
      <c r="D4864">
        <v>6.4454979999999997</v>
      </c>
      <c r="E4864">
        <v>0.5888504</v>
      </c>
      <c r="F4864" t="s">
        <v>38</v>
      </c>
      <c r="G4864">
        <v>-341.77780000000001</v>
      </c>
      <c r="H4864">
        <v>1.0059049999999901</v>
      </c>
      <c r="I4864">
        <v>17.070309999999999</v>
      </c>
      <c r="J4864">
        <v>-342.35649999999998</v>
      </c>
      <c r="K4864">
        <v>1.104233</v>
      </c>
      <c r="L4864">
        <v>17.24887</v>
      </c>
      <c r="M4864">
        <v>0.99990000000000001</v>
      </c>
      <c r="N4864">
        <v>0</v>
      </c>
      <c r="O4864">
        <v>-5.9754410000000002E-4</v>
      </c>
      <c r="P4864">
        <v>0.99994740000000004</v>
      </c>
      <c r="Q4864">
        <v>8.910945E-3</v>
      </c>
      <c r="R4864">
        <v>5.1307870000000004E-3</v>
      </c>
      <c r="S4864">
        <v>3.00839199999999</v>
      </c>
      <c r="T4864">
        <v>-0.37504019999999999</v>
      </c>
      <c r="U4864">
        <v>-0.68170169999999997</v>
      </c>
      <c r="V4864">
        <v>-5.7055419999999897E-3</v>
      </c>
      <c r="W4864">
        <v>2.304666E-2</v>
      </c>
      <c r="X4864">
        <v>0.99971810000000005</v>
      </c>
      <c r="Y4864">
        <v>0.21880749999999999</v>
      </c>
      <c r="Z4864">
        <v>-1.3344740000000001E-2</v>
      </c>
      <c r="AA4864">
        <v>0.97567680000000001</v>
      </c>
      <c r="AB4864">
        <v>34</v>
      </c>
      <c r="AC4864">
        <v>0.57869999999996902</v>
      </c>
      <c r="AD4864">
        <v>-9.8328000000000207E-2</v>
      </c>
      <c r="AE4864">
        <v>-0.17856</v>
      </c>
      <c r="AF4864">
        <v>0.173636995322727</v>
      </c>
      <c r="AG4864">
        <v>-9.8328000000000207E-2</v>
      </c>
      <c r="AH4864">
        <v>0.56394090080741199</v>
      </c>
      <c r="AI4864">
        <v>99.460762260824794</v>
      </c>
      <c r="AJ4864">
        <v>72.886438819094494</v>
      </c>
      <c r="AK4864">
        <v>0.59820359521836697</v>
      </c>
    </row>
    <row r="4865" spans="1:37" x14ac:dyDescent="0.2">
      <c r="A4865" t="str">
        <f>"20200111153748941"</f>
        <v>20200111153748941</v>
      </c>
      <c r="B4865" t="str">
        <f>"1578728268938174"</f>
        <v>1578728268938174</v>
      </c>
      <c r="C4865" t="s">
        <v>37</v>
      </c>
      <c r="D4865">
        <v>6.5045809999999999</v>
      </c>
      <c r="E4865">
        <v>0.58772709999999995</v>
      </c>
      <c r="F4865" t="s">
        <v>38</v>
      </c>
      <c r="G4865">
        <v>-341.48129999999998</v>
      </c>
      <c r="H4865">
        <v>0.99154349999999902</v>
      </c>
      <c r="I4865">
        <v>17.052229999999899</v>
      </c>
      <c r="J4865">
        <v>-342.15750000000003</v>
      </c>
      <c r="K4865">
        <v>1.1042799999999999</v>
      </c>
      <c r="L4865">
        <v>17.248539999999998</v>
      </c>
      <c r="M4865">
        <v>0.99989789999999901</v>
      </c>
      <c r="N4865">
        <v>0</v>
      </c>
      <c r="O4865">
        <v>-7.9232809999999995E-4</v>
      </c>
      <c r="P4865">
        <v>0.99995679999999998</v>
      </c>
      <c r="Q4865">
        <v>8.6021650000000002E-3</v>
      </c>
      <c r="R4865">
        <v>3.5482370000000001E-3</v>
      </c>
      <c r="S4865">
        <v>3.00705</v>
      </c>
      <c r="T4865">
        <v>-0.38718439999999998</v>
      </c>
      <c r="U4865">
        <v>-0.67495729999999998</v>
      </c>
      <c r="V4865">
        <v>-4.3197799999999996E-3</v>
      </c>
      <c r="W4865">
        <v>2.287457E-2</v>
      </c>
      <c r="X4865">
        <v>0.99972899999999998</v>
      </c>
      <c r="Y4865">
        <v>0.21654000000000001</v>
      </c>
      <c r="Z4865">
        <v>-1.361448E-2</v>
      </c>
      <c r="AA4865">
        <v>0.97617880000000001</v>
      </c>
      <c r="AB4865">
        <v>34</v>
      </c>
      <c r="AC4865">
        <v>0.67620000000005098</v>
      </c>
      <c r="AD4865">
        <v>-0.1127365</v>
      </c>
      <c r="AE4865">
        <v>-0.19631000000000001</v>
      </c>
      <c r="AF4865">
        <v>0.19088084485835799</v>
      </c>
      <c r="AG4865">
        <v>-0.1127365</v>
      </c>
      <c r="AH4865">
        <v>0.65945021399438197</v>
      </c>
      <c r="AI4865">
        <v>99.325559810570496</v>
      </c>
      <c r="AJ4865">
        <v>73.856674381630498</v>
      </c>
      <c r="AK4865">
        <v>0.69571517167827102</v>
      </c>
    </row>
    <row r="4866" spans="1:37" x14ac:dyDescent="0.2">
      <c r="A4866" t="str">
        <f>"20200111153748958"</f>
        <v>20200111153748958</v>
      </c>
      <c r="B4866" t="str">
        <f>"1578728268947938"</f>
        <v>1578728268947938</v>
      </c>
      <c r="C4866" t="s">
        <v>37</v>
      </c>
      <c r="D4866">
        <v>6.4283229999999998</v>
      </c>
      <c r="E4866">
        <v>0.58706599999999998</v>
      </c>
      <c r="F4866" t="s">
        <v>38</v>
      </c>
      <c r="G4866">
        <v>-341.18150000000003</v>
      </c>
      <c r="H4866">
        <v>0.97900469999999895</v>
      </c>
      <c r="I4866">
        <v>17.030529999999999</v>
      </c>
      <c r="J4866">
        <v>-341.89409999999998</v>
      </c>
      <c r="K4866">
        <v>1.104352</v>
      </c>
      <c r="L4866">
        <v>17.24811</v>
      </c>
      <c r="M4866">
        <v>0.99989490000000003</v>
      </c>
      <c r="N4866">
        <v>0</v>
      </c>
      <c r="O4866">
        <v>-9.9487019999999998E-4</v>
      </c>
      <c r="P4866">
        <v>0.99997719999999901</v>
      </c>
      <c r="Q4866">
        <v>6.4339540000000004E-3</v>
      </c>
      <c r="R4866">
        <v>2.0407469999999999E-3</v>
      </c>
      <c r="S4866">
        <v>3.0058590000000001</v>
      </c>
      <c r="T4866">
        <v>-0.3858299</v>
      </c>
      <c r="U4866">
        <v>-0.67068479999999997</v>
      </c>
      <c r="V4866">
        <v>-3.0189709999999901E-3</v>
      </c>
      <c r="W4866">
        <v>2.0899029999999999E-2</v>
      </c>
      <c r="X4866">
        <v>0.99977700000000003</v>
      </c>
      <c r="Y4866">
        <v>0.21512590000000001</v>
      </c>
      <c r="Z4866">
        <v>-1.34596E-2</v>
      </c>
      <c r="AA4866">
        <v>0.97649359999999996</v>
      </c>
      <c r="AB4866">
        <v>34</v>
      </c>
      <c r="AC4866">
        <v>0.71259999999995205</v>
      </c>
      <c r="AD4866">
        <v>-0.12534729999999999</v>
      </c>
      <c r="AE4866">
        <v>-0.21758000000000099</v>
      </c>
      <c r="AF4866">
        <v>0.21090178743357799</v>
      </c>
      <c r="AG4866">
        <v>-0.12534729999999999</v>
      </c>
      <c r="AH4866">
        <v>0.69319680512665405</v>
      </c>
      <c r="AI4866">
        <v>99.814770111290997</v>
      </c>
      <c r="AJ4866">
        <v>73.077869647496698</v>
      </c>
      <c r="AK4866">
        <v>0.73533211557619904</v>
      </c>
    </row>
    <row r="4867" spans="1:37" x14ac:dyDescent="0.2">
      <c r="A4867" t="str">
        <f>"20200111153748973"</f>
        <v>20200111153748973</v>
      </c>
      <c r="B4867" t="str">
        <f>"1578728268968432"</f>
        <v>1578728268968432</v>
      </c>
      <c r="C4867" t="s">
        <v>37</v>
      </c>
      <c r="D4867">
        <v>6.4141949999999897</v>
      </c>
      <c r="E4867">
        <v>0.58588739999999995</v>
      </c>
      <c r="F4867" t="s">
        <v>38</v>
      </c>
      <c r="G4867">
        <v>-341.17250000000001</v>
      </c>
      <c r="H4867">
        <v>1.0092110000000001</v>
      </c>
      <c r="I4867">
        <v>17.0871</v>
      </c>
      <c r="J4867">
        <v>-341.6832</v>
      </c>
      <c r="K4867">
        <v>1.104411</v>
      </c>
      <c r="L4867">
        <v>17.247710000000001</v>
      </c>
      <c r="M4867">
        <v>0.99989249999999996</v>
      </c>
      <c r="N4867">
        <v>0</v>
      </c>
      <c r="O4867">
        <v>-1.109849E-3</v>
      </c>
      <c r="P4867">
        <v>0.99998690000000001</v>
      </c>
      <c r="Q4867">
        <v>4.7856460000000002E-3</v>
      </c>
      <c r="R4867">
        <v>1.807807E-3</v>
      </c>
      <c r="S4867">
        <v>3.0039980000000002</v>
      </c>
      <c r="T4867">
        <v>-0.39610269999999997</v>
      </c>
      <c r="U4867">
        <v>-0.66928100000000001</v>
      </c>
      <c r="V4867">
        <v>-2.9046429999999902E-3</v>
      </c>
      <c r="W4867">
        <v>1.9406360000000001E-2</v>
      </c>
      <c r="X4867">
        <v>0.99980749999999996</v>
      </c>
      <c r="Y4867">
        <v>0.21462029999999899</v>
      </c>
      <c r="Z4867">
        <v>-1.377631E-2</v>
      </c>
      <c r="AA4867">
        <v>0.97660040000000004</v>
      </c>
      <c r="AB4867">
        <v>34</v>
      </c>
      <c r="AC4867">
        <v>0.51069999999998505</v>
      </c>
      <c r="AD4867">
        <v>-9.5199999999999896E-2</v>
      </c>
      <c r="AE4867">
        <v>-0.160610000000001</v>
      </c>
      <c r="AF4867">
        <v>0.15513736446158</v>
      </c>
      <c r="AG4867">
        <v>-9.5199999999999896E-2</v>
      </c>
      <c r="AH4867">
        <v>0.49521840853431598</v>
      </c>
      <c r="AI4867">
        <v>100.395182001005</v>
      </c>
      <c r="AJ4867">
        <v>72.605760560527202</v>
      </c>
      <c r="AK4867">
        <v>0.52760962273573597</v>
      </c>
    </row>
    <row r="4868" spans="1:37" x14ac:dyDescent="0.2">
      <c r="A4868" t="str">
        <f>"20200111153749003"</f>
        <v>20200111153749003</v>
      </c>
      <c r="B4868" t="str">
        <f>"1578728268997710"</f>
        <v>1578728268997710</v>
      </c>
      <c r="C4868" t="s">
        <v>37</v>
      </c>
      <c r="D4868">
        <v>6.2628459999999997</v>
      </c>
      <c r="E4868">
        <v>0.58533919999999995</v>
      </c>
      <c r="F4868" t="s">
        <v>38</v>
      </c>
      <c r="G4868">
        <v>-340.87729999999999</v>
      </c>
      <c r="H4868">
        <v>0.99571379999999998</v>
      </c>
      <c r="I4868">
        <v>17.07037</v>
      </c>
      <c r="J4868">
        <v>-341.22739999999999</v>
      </c>
      <c r="K4868">
        <v>1.104535</v>
      </c>
      <c r="L4868">
        <v>17.246979999999901</v>
      </c>
      <c r="M4868">
        <v>0.99988750000000004</v>
      </c>
      <c r="N4868">
        <v>0</v>
      </c>
      <c r="O4868">
        <v>-1.2702989999999999E-3</v>
      </c>
      <c r="P4868">
        <v>0.99999799999999905</v>
      </c>
      <c r="Q4868">
        <v>3.8673910000000002E-4</v>
      </c>
      <c r="R4868">
        <v>1.9764039999999902E-3</v>
      </c>
      <c r="S4868">
        <v>3.0031430000000001</v>
      </c>
      <c r="T4868">
        <v>-0.4050145</v>
      </c>
      <c r="U4868">
        <v>-0.66018679999999996</v>
      </c>
      <c r="V4868">
        <v>-3.2400240000000002E-3</v>
      </c>
      <c r="W4868">
        <v>1.5341459999999999E-2</v>
      </c>
      <c r="X4868">
        <v>0.99987700000000002</v>
      </c>
      <c r="Y4868">
        <v>0.21164720000000001</v>
      </c>
      <c r="Z4868">
        <v>-1.3873440000000001E-2</v>
      </c>
      <c r="AA4868">
        <v>0.97724769999999905</v>
      </c>
      <c r="AB4868">
        <v>34</v>
      </c>
      <c r="AC4868">
        <v>0.35009999999999702</v>
      </c>
      <c r="AD4868">
        <v>-0.10882119999999899</v>
      </c>
      <c r="AE4868">
        <v>-0.17660999999999599</v>
      </c>
      <c r="AF4868">
        <v>0.16356775416189001</v>
      </c>
      <c r="AG4868">
        <v>-0.10882119999999899</v>
      </c>
      <c r="AH4868">
        <v>0.325272896871384</v>
      </c>
      <c r="AI4868">
        <v>106.640915873949</v>
      </c>
      <c r="AJ4868">
        <v>63.303861962664797</v>
      </c>
      <c r="AK4868">
        <v>0.379998580536963</v>
      </c>
    </row>
    <row r="4869" spans="1:37" x14ac:dyDescent="0.2">
      <c r="A4869" t="str">
        <f>"20200111153749015"</f>
        <v>20200111153749015</v>
      </c>
      <c r="B4869" t="str">
        <f>"1578728269008447"</f>
        <v>1578728269008447</v>
      </c>
      <c r="C4869" t="s">
        <v>37</v>
      </c>
      <c r="D4869">
        <v>6.2537039999999999</v>
      </c>
      <c r="E4869">
        <v>0.58530709999999997</v>
      </c>
      <c r="F4869" t="s">
        <v>38</v>
      </c>
      <c r="G4869">
        <v>-340.28629999999998</v>
      </c>
      <c r="H4869">
        <v>0.97460190000000002</v>
      </c>
      <c r="I4869">
        <v>17.04128</v>
      </c>
      <c r="J4869">
        <v>-341.03859999999997</v>
      </c>
      <c r="K4869">
        <v>1.1045860000000001</v>
      </c>
      <c r="L4869">
        <v>17.246670000000002</v>
      </c>
      <c r="M4869">
        <v>0.99988529999999998</v>
      </c>
      <c r="N4869">
        <v>0</v>
      </c>
      <c r="O4869">
        <v>-1.2977939999999999E-3</v>
      </c>
      <c r="P4869">
        <v>0.99999709999999997</v>
      </c>
      <c r="Q4869">
        <v>-7.7861550000000003E-4</v>
      </c>
      <c r="R4869">
        <v>2.2973160000000002E-3</v>
      </c>
      <c r="S4869">
        <v>3.0014340000000002</v>
      </c>
      <c r="T4869">
        <v>-0.41450589999999998</v>
      </c>
      <c r="U4869">
        <v>-0.65551759999999903</v>
      </c>
      <c r="V4869">
        <v>-3.5900329999999999E-3</v>
      </c>
      <c r="W4869">
        <v>1.4320660000000001E-2</v>
      </c>
      <c r="X4869">
        <v>0.99989099999999997</v>
      </c>
      <c r="Y4869">
        <v>0.210210799999999</v>
      </c>
      <c r="Z4869">
        <v>-1.4104449999999999E-2</v>
      </c>
      <c r="AA4869">
        <v>0.97755429999999999</v>
      </c>
      <c r="AB4869">
        <v>34</v>
      </c>
      <c r="AC4869">
        <v>0.75229999999999098</v>
      </c>
      <c r="AD4869">
        <v>-0.12998409999999999</v>
      </c>
      <c r="AE4869">
        <v>-0.20539000000000099</v>
      </c>
      <c r="AF4869">
        <v>0.19888771956144199</v>
      </c>
      <c r="AG4869">
        <v>-0.12998409999999999</v>
      </c>
      <c r="AH4869">
        <v>0.73222272329563098</v>
      </c>
      <c r="AI4869">
        <v>99.721131810294395</v>
      </c>
      <c r="AJ4869">
        <v>74.803846973612806</v>
      </c>
      <c r="AK4869">
        <v>0.76980666907713402</v>
      </c>
    </row>
    <row r="4870" spans="1:37" x14ac:dyDescent="0.2">
      <c r="A4870" t="str">
        <f>"20200111153749027"</f>
        <v>20200111153749027</v>
      </c>
      <c r="B4870" t="str">
        <f>"1578728269018206"</f>
        <v>1578728269018206</v>
      </c>
      <c r="C4870" t="s">
        <v>37</v>
      </c>
      <c r="D4870">
        <v>6.2598320000000003</v>
      </c>
      <c r="E4870">
        <v>0.58528359999999902</v>
      </c>
      <c r="F4870" t="s">
        <v>38</v>
      </c>
      <c r="G4870">
        <v>-340.27569999999997</v>
      </c>
      <c r="H4870">
        <v>0.99952070000000004</v>
      </c>
      <c r="I4870">
        <v>17.080089999999998</v>
      </c>
      <c r="J4870">
        <v>-340.85090000000002</v>
      </c>
      <c r="K4870">
        <v>1.1046339999999999</v>
      </c>
      <c r="L4870">
        <v>17.24643</v>
      </c>
      <c r="M4870">
        <v>0.99988310000000002</v>
      </c>
      <c r="N4870">
        <v>0</v>
      </c>
      <c r="O4870">
        <v>-1.304744E-3</v>
      </c>
      <c r="P4870">
        <v>0.99999459999999996</v>
      </c>
      <c r="Q4870">
        <v>-1.2306159999999999E-3</v>
      </c>
      <c r="R4870">
        <v>3.049997E-3</v>
      </c>
      <c r="S4870">
        <v>3.0011899999999998</v>
      </c>
      <c r="T4870">
        <v>-0.41339340000000002</v>
      </c>
      <c r="U4870">
        <v>-0.65460209999999996</v>
      </c>
      <c r="V4870">
        <v>-4.3510010000000002E-3</v>
      </c>
      <c r="W4870">
        <v>1.401123E-2</v>
      </c>
      <c r="X4870">
        <v>0.99989240000000001</v>
      </c>
      <c r="Y4870">
        <v>0.2099481</v>
      </c>
      <c r="Z4870">
        <v>-1.404974E-2</v>
      </c>
      <c r="AA4870">
        <v>0.97761160000000003</v>
      </c>
      <c r="AB4870">
        <v>34</v>
      </c>
      <c r="AC4870">
        <v>0.575200000000052</v>
      </c>
      <c r="AD4870">
        <v>-0.10511330000000001</v>
      </c>
      <c r="AE4870">
        <v>-0.16634000000000099</v>
      </c>
      <c r="AF4870">
        <v>0.16063880017238699</v>
      </c>
      <c r="AG4870">
        <v>-0.10511330000000001</v>
      </c>
      <c r="AH4870">
        <v>0.55821382546518605</v>
      </c>
      <c r="AI4870">
        <v>100.25718978431</v>
      </c>
      <c r="AJ4870">
        <v>73.945616528611893</v>
      </c>
      <c r="AK4870">
        <v>0.59030187607544604</v>
      </c>
    </row>
    <row r="4871" spans="1:37" x14ac:dyDescent="0.2">
      <c r="A4871" t="str">
        <f>"20200111153749040"</f>
        <v>20200111153749040</v>
      </c>
      <c r="B4871" t="str">
        <f>"1578728269037727"</f>
        <v>1578728269037727</v>
      </c>
      <c r="C4871" t="s">
        <v>37</v>
      </c>
      <c r="D4871">
        <v>6.3525720000000003</v>
      </c>
      <c r="E4871">
        <v>0.58469559999999998</v>
      </c>
      <c r="F4871" t="s">
        <v>38</v>
      </c>
      <c r="G4871">
        <v>-339.98259999999999</v>
      </c>
      <c r="H4871">
        <v>0.98625419999999997</v>
      </c>
      <c r="I4871">
        <v>17.057500000000001</v>
      </c>
      <c r="J4871">
        <v>-340.66309999999999</v>
      </c>
      <c r="K4871">
        <v>1.104684</v>
      </c>
      <c r="L4871">
        <v>17.24615</v>
      </c>
      <c r="M4871">
        <v>0.99988099999999902</v>
      </c>
      <c r="N4871">
        <v>0</v>
      </c>
      <c r="O4871">
        <v>-1.3007750000000001E-3</v>
      </c>
      <c r="P4871">
        <v>0.9999924</v>
      </c>
      <c r="Q4871">
        <v>-1.221782E-3</v>
      </c>
      <c r="R4871">
        <v>3.7301499999999998E-3</v>
      </c>
      <c r="S4871">
        <v>3.0014949999999998</v>
      </c>
      <c r="T4871">
        <v>-0.40926669999999998</v>
      </c>
      <c r="U4871">
        <v>-0.65240480000000001</v>
      </c>
      <c r="V4871">
        <v>-5.0280239999999999E-3</v>
      </c>
      <c r="W4871">
        <v>1.416189E-2</v>
      </c>
      <c r="X4871">
        <v>0.99988699999999997</v>
      </c>
      <c r="Y4871">
        <v>0.2092909</v>
      </c>
      <c r="Z4871">
        <v>-1.386687E-2</v>
      </c>
      <c r="AA4871">
        <v>0.97775509999999999</v>
      </c>
      <c r="AB4871">
        <v>33</v>
      </c>
      <c r="AC4871">
        <v>0.680499999999994</v>
      </c>
      <c r="AD4871">
        <v>-0.1184298</v>
      </c>
      <c r="AE4871">
        <v>-0.18864999999999901</v>
      </c>
      <c r="AF4871">
        <v>0.18262794601700399</v>
      </c>
      <c r="AG4871">
        <v>-0.1184298</v>
      </c>
      <c r="AH4871">
        <v>0.66212193484163995</v>
      </c>
      <c r="AI4871">
        <v>99.783051137112594</v>
      </c>
      <c r="AJ4871">
        <v>74.579960093455895</v>
      </c>
      <c r="AK4871">
        <v>0.69698209503032904</v>
      </c>
    </row>
    <row r="4872" spans="1:37" x14ac:dyDescent="0.2">
      <c r="A4872" t="str">
        <f>"20200111153749054"</f>
        <v>20200111153749054</v>
      </c>
      <c r="B4872" t="str">
        <f>"1578728269048463"</f>
        <v>1578728269048463</v>
      </c>
      <c r="C4872" t="s">
        <v>37</v>
      </c>
      <c r="D4872">
        <v>6.3774379999999997</v>
      </c>
      <c r="E4872">
        <v>0.58421829999999997</v>
      </c>
      <c r="F4872" t="s">
        <v>38</v>
      </c>
      <c r="G4872">
        <v>-339.69060000000002</v>
      </c>
      <c r="H4872">
        <v>0.97204159999999995</v>
      </c>
      <c r="I4872">
        <v>17.036819999999999</v>
      </c>
      <c r="J4872">
        <v>-340.45420000000001</v>
      </c>
      <c r="K4872">
        <v>1.1047340000000001</v>
      </c>
      <c r="L4872">
        <v>17.24588</v>
      </c>
      <c r="M4872">
        <v>0.99987859999999995</v>
      </c>
      <c r="N4872">
        <v>0</v>
      </c>
      <c r="O4872">
        <v>-1.275048E-3</v>
      </c>
      <c r="P4872">
        <v>0.99998909999999996</v>
      </c>
      <c r="Q4872">
        <v>-7.9013970000000005E-4</v>
      </c>
      <c r="R4872">
        <v>4.6454809999999999E-3</v>
      </c>
      <c r="S4872">
        <v>3.0019230000000001</v>
      </c>
      <c r="T4872">
        <v>-0.40947440000000002</v>
      </c>
      <c r="U4872">
        <v>-0.64593509999999998</v>
      </c>
      <c r="V4872">
        <v>-5.9186029999999997E-3</v>
      </c>
      <c r="W4872">
        <v>1.4748819999999999E-2</v>
      </c>
      <c r="X4872">
        <v>0.99987369999999898</v>
      </c>
      <c r="Y4872">
        <v>0.20728869999999999</v>
      </c>
      <c r="Z4872">
        <v>-1.3744060000000001E-2</v>
      </c>
      <c r="AA4872">
        <v>0.97818329999999998</v>
      </c>
      <c r="AB4872">
        <v>33</v>
      </c>
      <c r="AC4872">
        <v>0.76359999999999595</v>
      </c>
      <c r="AD4872">
        <v>-0.13269239999999999</v>
      </c>
      <c r="AE4872">
        <v>-0.209059999999997</v>
      </c>
      <c r="AF4872">
        <v>0.20240042781801301</v>
      </c>
      <c r="AG4872">
        <v>-0.13269239999999999</v>
      </c>
      <c r="AH4872">
        <v>0.74299441498977004</v>
      </c>
      <c r="AI4872">
        <v>99.776759549092304</v>
      </c>
      <c r="AJ4872">
        <v>74.761707839419003</v>
      </c>
      <c r="AK4872">
        <v>0.78141788238091003</v>
      </c>
    </row>
    <row r="4873" spans="1:37" x14ac:dyDescent="0.2">
      <c r="A4873" t="str">
        <f>"20200111153749070"</f>
        <v>20200111153749070</v>
      </c>
      <c r="B4873" t="str">
        <f>"1578728269067982"</f>
        <v>1578728269067982</v>
      </c>
      <c r="C4873" t="s">
        <v>37</v>
      </c>
      <c r="D4873">
        <v>6.3192729999999999</v>
      </c>
      <c r="E4873">
        <v>0.58343730000000005</v>
      </c>
      <c r="F4873" t="s">
        <v>38</v>
      </c>
      <c r="G4873">
        <v>-339.67939999999999</v>
      </c>
      <c r="H4873">
        <v>0.99836429999999998</v>
      </c>
      <c r="I4873">
        <v>17.080850000000002</v>
      </c>
      <c r="J4873">
        <v>-340.2251</v>
      </c>
      <c r="K4873">
        <v>1.104792</v>
      </c>
      <c r="L4873">
        <v>17.245609999999999</v>
      </c>
      <c r="M4873">
        <v>0.99987569999999903</v>
      </c>
      <c r="N4873">
        <v>0</v>
      </c>
      <c r="O4873">
        <v>-1.236189E-3</v>
      </c>
      <c r="P4873">
        <v>0.99997939999999996</v>
      </c>
      <c r="Q4873">
        <v>1.5453750000000001E-3</v>
      </c>
      <c r="R4873">
        <v>6.24601699999999E-3</v>
      </c>
      <c r="S4873">
        <v>3.0027159999999999</v>
      </c>
      <c r="T4873">
        <v>-0.41230099999999997</v>
      </c>
      <c r="U4873">
        <v>-0.63934329999999995</v>
      </c>
      <c r="V4873">
        <v>-7.4811699999999997E-3</v>
      </c>
      <c r="W4873">
        <v>1.7260950000000001E-2</v>
      </c>
      <c r="X4873">
        <v>0.99982299999999902</v>
      </c>
      <c r="Y4873">
        <v>0.205212799999999</v>
      </c>
      <c r="Z4873">
        <v>-1.3702590000000001E-2</v>
      </c>
      <c r="AA4873">
        <v>0.97862139999999997</v>
      </c>
      <c r="AB4873">
        <v>33</v>
      </c>
      <c r="AC4873">
        <v>0.54570000000000995</v>
      </c>
      <c r="AD4873">
        <v>-0.1064277</v>
      </c>
      <c r="AE4873">
        <v>-0.16475999999999699</v>
      </c>
      <c r="AF4873">
        <v>0.15855804275662799</v>
      </c>
      <c r="AG4873">
        <v>-0.1064277</v>
      </c>
      <c r="AH4873">
        <v>0.527514698218436</v>
      </c>
      <c r="AI4873">
        <v>100.935579953748</v>
      </c>
      <c r="AJ4873">
        <v>73.270504599870506</v>
      </c>
      <c r="AK4873">
        <v>0.56101627880712202</v>
      </c>
    </row>
    <row r="4874" spans="1:37" x14ac:dyDescent="0.2">
      <c r="A4874" t="str">
        <f>"20200111153749084"</f>
        <v>20200111153749084</v>
      </c>
      <c r="B4874" t="str">
        <f>"1578728269077743"</f>
        <v>1578728269077743</v>
      </c>
      <c r="C4874" t="s">
        <v>37</v>
      </c>
      <c r="D4874">
        <v>6.3488309999999997</v>
      </c>
      <c r="E4874">
        <v>0.58330780000000004</v>
      </c>
      <c r="F4874" t="s">
        <v>38</v>
      </c>
      <c r="G4874">
        <v>-339.38569999999999</v>
      </c>
      <c r="H4874">
        <v>0.9906142</v>
      </c>
      <c r="I4874">
        <v>17.069779999999898</v>
      </c>
      <c r="J4874">
        <v>-340.01510000000002</v>
      </c>
      <c r="K4874">
        <v>1.1048359999999999</v>
      </c>
      <c r="L4874">
        <v>17.245360000000002</v>
      </c>
      <c r="M4874">
        <v>0.99987320000000002</v>
      </c>
      <c r="N4874">
        <v>0</v>
      </c>
      <c r="O4874">
        <v>-1.194599E-3</v>
      </c>
      <c r="P4874">
        <v>0.99997349999999996</v>
      </c>
      <c r="Q4874">
        <v>2.6468409999999901E-3</v>
      </c>
      <c r="R4874">
        <v>6.7975509999999998E-3</v>
      </c>
      <c r="S4874">
        <v>3.0046080000000002</v>
      </c>
      <c r="T4874">
        <v>-0.40878029999999999</v>
      </c>
      <c r="U4874">
        <v>-0.62878420000000002</v>
      </c>
      <c r="V4874">
        <v>-7.9915909999999993E-3</v>
      </c>
      <c r="W4874">
        <v>1.8525320000000001E-2</v>
      </c>
      <c r="X4874">
        <v>0.99979649999999998</v>
      </c>
      <c r="Y4874">
        <v>0.20189470000000001</v>
      </c>
      <c r="Z4874">
        <v>-1.336641E-2</v>
      </c>
      <c r="AA4874">
        <v>0.97931599999999996</v>
      </c>
      <c r="AB4874">
        <v>33</v>
      </c>
      <c r="AC4874">
        <v>0.62940000000003204</v>
      </c>
      <c r="AD4874">
        <v>-0.1142218</v>
      </c>
      <c r="AE4874">
        <v>-0.17558000000000301</v>
      </c>
      <c r="AF4874">
        <v>0.169644233423899</v>
      </c>
      <c r="AG4874">
        <v>-0.1142218</v>
      </c>
      <c r="AH4874">
        <v>0.61094134137325695</v>
      </c>
      <c r="AI4874">
        <v>100.21198321867</v>
      </c>
      <c r="AJ4874">
        <v>74.481260584080104</v>
      </c>
      <c r="AK4874">
        <v>0.64426322891204701</v>
      </c>
    </row>
    <row r="4875" spans="1:37" x14ac:dyDescent="0.2">
      <c r="A4875" t="str">
        <f>"20200111153749104"</f>
        <v>20200111153749104</v>
      </c>
      <c r="B4875" t="str">
        <f>"1578728269098238"</f>
        <v>1578728269098238</v>
      </c>
      <c r="C4875" t="s">
        <v>37</v>
      </c>
      <c r="D4875">
        <v>6.3422109999999998</v>
      </c>
      <c r="E4875">
        <v>0.58313729999999997</v>
      </c>
      <c r="F4875" t="s">
        <v>38</v>
      </c>
      <c r="G4875">
        <v>-339.09390000000002</v>
      </c>
      <c r="H4875">
        <v>0.98043880000000005</v>
      </c>
      <c r="I4875">
        <v>17.05321</v>
      </c>
      <c r="J4875">
        <v>-339.72239999999999</v>
      </c>
      <c r="K4875">
        <v>1.1048910000000001</v>
      </c>
      <c r="L4875">
        <v>17.24503</v>
      </c>
      <c r="M4875">
        <v>0.99986960000000003</v>
      </c>
      <c r="N4875">
        <v>0</v>
      </c>
      <c r="O4875">
        <v>-1.130505E-3</v>
      </c>
      <c r="P4875">
        <v>0.99996810000000003</v>
      </c>
      <c r="Q4875">
        <v>4.0355190000000004E-3</v>
      </c>
      <c r="R4875">
        <v>6.9058189999999997E-3</v>
      </c>
      <c r="S4875">
        <v>3.0054020000000001</v>
      </c>
      <c r="T4875">
        <v>-0.4058696</v>
      </c>
      <c r="U4875">
        <v>-0.62625120000000001</v>
      </c>
      <c r="V4875">
        <v>-8.0361519999999995E-3</v>
      </c>
      <c r="W4875">
        <v>2.0140539999999998E-2</v>
      </c>
      <c r="X4875">
        <v>0.99976489999999996</v>
      </c>
      <c r="Y4875">
        <v>0.2011462</v>
      </c>
      <c r="Z4875">
        <v>-1.3228520000000001E-2</v>
      </c>
      <c r="AA4875">
        <v>0.97947189999999995</v>
      </c>
      <c r="AB4875">
        <v>33</v>
      </c>
      <c r="AC4875">
        <v>0.62849999999997397</v>
      </c>
      <c r="AD4875">
        <v>-0.1244522</v>
      </c>
      <c r="AE4875">
        <v>-0.19181999999999899</v>
      </c>
      <c r="AF4875">
        <v>0.184491787129066</v>
      </c>
      <c r="AG4875">
        <v>-0.1244522</v>
      </c>
      <c r="AH4875">
        <v>0.60694612745873999</v>
      </c>
      <c r="AI4875">
        <v>101.099516977508</v>
      </c>
      <c r="AJ4875">
        <v>73.0924422814644</v>
      </c>
      <c r="AK4875">
        <v>0.64645894783820401</v>
      </c>
    </row>
    <row r="4876" spans="1:37" x14ac:dyDescent="0.2">
      <c r="A4876" t="str">
        <f>"20200111153749117"</f>
        <v>20200111153749117</v>
      </c>
      <c r="B4876" t="str">
        <f>"1578728269107998"</f>
        <v>1578728269107998</v>
      </c>
      <c r="C4876" t="s">
        <v>37</v>
      </c>
      <c r="D4876">
        <v>6.309596</v>
      </c>
      <c r="E4876">
        <v>0.58306089999999999</v>
      </c>
      <c r="F4876" t="s">
        <v>38</v>
      </c>
      <c r="G4876">
        <v>-338.79820000000001</v>
      </c>
      <c r="H4876">
        <v>0.98138939999999997</v>
      </c>
      <c r="I4876">
        <v>17.052720000000001</v>
      </c>
      <c r="J4876">
        <v>-339.51029999999997</v>
      </c>
      <c r="K4876">
        <v>1.104924</v>
      </c>
      <c r="L4876">
        <v>17.24484</v>
      </c>
      <c r="M4876">
        <v>0.99986710000000001</v>
      </c>
      <c r="N4876">
        <v>0</v>
      </c>
      <c r="O4876">
        <v>-1.08339E-3</v>
      </c>
      <c r="P4876">
        <v>0.99997049999999998</v>
      </c>
      <c r="Q4876">
        <v>4.1659549999999998E-3</v>
      </c>
      <c r="R4876">
        <v>6.488939E-3</v>
      </c>
      <c r="S4876">
        <v>3.0060419999999999</v>
      </c>
      <c r="T4876">
        <v>-0.40173359999999902</v>
      </c>
      <c r="U4876">
        <v>-0.625</v>
      </c>
      <c r="V4876">
        <v>-7.5727299999999997E-3</v>
      </c>
      <c r="W4876">
        <v>2.043946E-2</v>
      </c>
      <c r="X4876">
        <v>0.99976239999999905</v>
      </c>
      <c r="Y4876">
        <v>0.20079810000000001</v>
      </c>
      <c r="Z4876">
        <v>-1.3075989999999999E-2</v>
      </c>
      <c r="AA4876">
        <v>0.97954540000000001</v>
      </c>
      <c r="AB4876">
        <v>33</v>
      </c>
      <c r="AC4876">
        <v>0.71209999999996398</v>
      </c>
      <c r="AD4876">
        <v>-0.123534599999999</v>
      </c>
      <c r="AE4876">
        <v>-0.19211999999999901</v>
      </c>
      <c r="AF4876">
        <v>0.18612686447021601</v>
      </c>
      <c r="AG4876">
        <v>-0.123534599999999</v>
      </c>
      <c r="AH4876">
        <v>0.69287057144479203</v>
      </c>
      <c r="AI4876">
        <v>99.769914323461194</v>
      </c>
      <c r="AJ4876">
        <v>74.963531364695001</v>
      </c>
      <c r="AK4876">
        <v>0.727992881729559</v>
      </c>
    </row>
    <row r="4877" spans="1:37" x14ac:dyDescent="0.2">
      <c r="A4877" t="str">
        <f>"20200111153749137"</f>
        <v>20200111153749137</v>
      </c>
      <c r="B4877" t="str">
        <f>"1578728269128494"</f>
        <v>1578728269128494</v>
      </c>
      <c r="C4877" t="s">
        <v>37</v>
      </c>
      <c r="D4877">
        <v>6.2490540000000001</v>
      </c>
      <c r="E4877">
        <v>0.58304049999999996</v>
      </c>
      <c r="F4877" t="s">
        <v>38</v>
      </c>
      <c r="G4877">
        <v>-338.78649999999999</v>
      </c>
      <c r="H4877">
        <v>1.0081180000000001</v>
      </c>
      <c r="I4877">
        <v>17.093979999999998</v>
      </c>
      <c r="J4877">
        <v>-339.22820000000002</v>
      </c>
      <c r="K4877">
        <v>1.104959</v>
      </c>
      <c r="L4877">
        <v>17.24457</v>
      </c>
      <c r="M4877">
        <v>0.99986339999999996</v>
      </c>
      <c r="N4877">
        <v>0</v>
      </c>
      <c r="O4877">
        <v>-1.02205E-3</v>
      </c>
      <c r="P4877">
        <v>0.99997409999999998</v>
      </c>
      <c r="Q4877">
        <v>4.3091479999999996E-3</v>
      </c>
      <c r="R4877">
        <v>5.7642240000000001E-3</v>
      </c>
      <c r="S4877">
        <v>3.005798</v>
      </c>
      <c r="T4877">
        <v>-0.40208359999999999</v>
      </c>
      <c r="U4877">
        <v>-0.62585449999999998</v>
      </c>
      <c r="V4877">
        <v>-6.7875119999999999E-3</v>
      </c>
      <c r="W4877">
        <v>2.0802729999999998E-2</v>
      </c>
      <c r="X4877">
        <v>0.9997606</v>
      </c>
      <c r="Y4877">
        <v>0.20113439999999999</v>
      </c>
      <c r="Z4877">
        <v>-1.311819E-2</v>
      </c>
      <c r="AA4877">
        <v>0.97947580000000001</v>
      </c>
      <c r="AB4877">
        <v>33</v>
      </c>
      <c r="AC4877">
        <v>0.44170000000002502</v>
      </c>
      <c r="AD4877">
        <v>-9.6840999999999899E-2</v>
      </c>
      <c r="AE4877">
        <v>-0.150590000000001</v>
      </c>
      <c r="AF4877">
        <v>0.14393988356670401</v>
      </c>
      <c r="AG4877">
        <v>-9.6840999999999899E-2</v>
      </c>
      <c r="AH4877">
        <v>0.42361155832966602</v>
      </c>
      <c r="AI4877">
        <v>102.21345905206201</v>
      </c>
      <c r="AJ4877">
        <v>71.232642192657295</v>
      </c>
      <c r="AK4877">
        <v>0.45775934912646499</v>
      </c>
    </row>
    <row r="4878" spans="1:37" x14ac:dyDescent="0.2">
      <c r="A4878" t="str">
        <f>"20200111153749150"</f>
        <v>20200111153749150</v>
      </c>
      <c r="B4878" t="str">
        <f>"1578728269148014"</f>
        <v>1578728269148014</v>
      </c>
      <c r="C4878" t="s">
        <v>37</v>
      </c>
      <c r="D4878">
        <v>6.1692989999999996</v>
      </c>
      <c r="E4878">
        <v>0.54553039999999997</v>
      </c>
      <c r="F4878" t="s">
        <v>38</v>
      </c>
      <c r="G4878">
        <v>-338.49250000000001</v>
      </c>
      <c r="H4878">
        <v>1.00742</v>
      </c>
      <c r="I4878">
        <v>17.090529999999902</v>
      </c>
      <c r="J4878">
        <v>-339.03859999999997</v>
      </c>
      <c r="K4878">
        <v>1.104976</v>
      </c>
      <c r="L4878">
        <v>17.244420000000002</v>
      </c>
      <c r="M4878">
        <v>0.99986119999999901</v>
      </c>
      <c r="N4878">
        <v>0</v>
      </c>
      <c r="O4878">
        <v>-9.8286639999999991E-4</v>
      </c>
      <c r="P4878">
        <v>0.99997590000000003</v>
      </c>
      <c r="Q4878">
        <v>4.5691689999999997E-3</v>
      </c>
      <c r="R4878">
        <v>5.2783459999999997E-3</v>
      </c>
      <c r="S4878">
        <v>3.0054319999999999</v>
      </c>
      <c r="T4878">
        <v>-0.39849319999999999</v>
      </c>
      <c r="U4878">
        <v>-0.62881469999999995</v>
      </c>
      <c r="V4878">
        <v>-6.2630619999999998E-3</v>
      </c>
      <c r="W4878">
        <v>2.120795E-2</v>
      </c>
      <c r="X4878">
        <v>0.99975539999999996</v>
      </c>
      <c r="Y4878">
        <v>0.2021425</v>
      </c>
      <c r="Z4878">
        <v>-1.307326E-2</v>
      </c>
      <c r="AA4878">
        <v>0.97926880000000005</v>
      </c>
      <c r="AB4878">
        <v>33</v>
      </c>
      <c r="AC4878">
        <v>0.54609999999996695</v>
      </c>
      <c r="AD4878">
        <v>-9.7555999999999907E-2</v>
      </c>
      <c r="AE4878">
        <v>-0.153890000000004</v>
      </c>
      <c r="AF4878">
        <v>0.148949426333468</v>
      </c>
      <c r="AG4878">
        <v>-9.7555999999999907E-2</v>
      </c>
      <c r="AH4878">
        <v>0.53056488820106396</v>
      </c>
      <c r="AI4878">
        <v>100.03895707433</v>
      </c>
      <c r="AJ4878">
        <v>74.318580810832302</v>
      </c>
      <c r="AK4878">
        <v>0.55964471348604505</v>
      </c>
    </row>
    <row r="4879" spans="1:37" x14ac:dyDescent="0.2">
      <c r="A4879" t="str">
        <f>"20200111153749163"</f>
        <v>20200111153749163</v>
      </c>
      <c r="B4879" t="str">
        <f>"1578728269158751"</f>
        <v>1578728269158751</v>
      </c>
      <c r="C4879" t="s">
        <v>37</v>
      </c>
      <c r="D4879">
        <v>6.2136719999999999</v>
      </c>
      <c r="E4879">
        <v>0.54043390000000002</v>
      </c>
      <c r="F4879" t="s">
        <v>38</v>
      </c>
      <c r="G4879">
        <v>-338.18979999999999</v>
      </c>
      <c r="H4879">
        <v>1.0282639999999901</v>
      </c>
      <c r="I4879">
        <v>17.14922</v>
      </c>
      <c r="J4879">
        <v>-338.84309999999999</v>
      </c>
      <c r="K4879">
        <v>1.1049959999999901</v>
      </c>
      <c r="L4879">
        <v>17.244260000000001</v>
      </c>
      <c r="M4879">
        <v>0.99985869999999999</v>
      </c>
      <c r="N4879">
        <v>0</v>
      </c>
      <c r="O4879">
        <v>-9.429083E-4</v>
      </c>
      <c r="P4879">
        <v>0.99997879999999995</v>
      </c>
      <c r="Q4879">
        <v>4.5141649999999997E-3</v>
      </c>
      <c r="R4879">
        <v>4.687882E-3</v>
      </c>
      <c r="S4879">
        <v>3.0030519999999998</v>
      </c>
      <c r="T4879">
        <v>-0.27139439999999998</v>
      </c>
      <c r="U4879">
        <v>-0.3364258</v>
      </c>
      <c r="V4879">
        <v>-5.632349E-3</v>
      </c>
      <c r="W4879">
        <v>2.130282E-2</v>
      </c>
      <c r="X4879">
        <v>0.99975720000000001</v>
      </c>
      <c r="Y4879">
        <v>0.1099555</v>
      </c>
      <c r="Z4879">
        <v>-4.8582410000000001E-3</v>
      </c>
      <c r="AA4879">
        <v>0.99392459999999905</v>
      </c>
      <c r="AB4879">
        <v>33</v>
      </c>
      <c r="AC4879">
        <v>0.65330000000000099</v>
      </c>
      <c r="AD4879">
        <v>-7.6731999999999995E-2</v>
      </c>
      <c r="AE4879">
        <v>-9.5040000000000902E-2</v>
      </c>
      <c r="AF4879">
        <v>9.3165272540437299E-2</v>
      </c>
      <c r="AG4879">
        <v>-7.6731999999999995E-2</v>
      </c>
      <c r="AH4879">
        <v>0.64468016658648497</v>
      </c>
      <c r="AI4879">
        <v>96.718459369655207</v>
      </c>
      <c r="AJ4879">
        <v>81.776890224968199</v>
      </c>
      <c r="AK4879">
        <v>0.65588115159799398</v>
      </c>
    </row>
    <row r="4880" spans="1:37" x14ac:dyDescent="0.2">
      <c r="A4880" t="str">
        <f>"20200111153749181"</f>
        <v>20200111153749181</v>
      </c>
      <c r="B4880" t="str">
        <f>"1578728269178270"</f>
        <v>1578728269178270</v>
      </c>
      <c r="C4880" t="s">
        <v>37</v>
      </c>
      <c r="D4880">
        <v>6.0627059999999897</v>
      </c>
      <c r="E4880">
        <v>0.53951990000000005</v>
      </c>
      <c r="F4880" t="s">
        <v>38</v>
      </c>
      <c r="G4880">
        <v>-337.90390000000002</v>
      </c>
      <c r="H4880">
        <v>1.015549</v>
      </c>
      <c r="I4880">
        <v>17.151239999999898</v>
      </c>
      <c r="J4880">
        <v>-338.57810000000001</v>
      </c>
      <c r="K4880">
        <v>1.105024</v>
      </c>
      <c r="L4880">
        <v>17.244050000000001</v>
      </c>
      <c r="M4880">
        <v>0.99985519999999894</v>
      </c>
      <c r="N4880">
        <v>0</v>
      </c>
      <c r="O4880">
        <v>-8.9114509999999904E-4</v>
      </c>
      <c r="P4880">
        <v>0.99998390000000004</v>
      </c>
      <c r="Q4880">
        <v>4.027531E-3</v>
      </c>
      <c r="R4880">
        <v>4.0215540000000001E-3</v>
      </c>
      <c r="S4880">
        <v>3.0027159999999999</v>
      </c>
      <c r="T4880">
        <v>-0.28601090000000001</v>
      </c>
      <c r="U4880">
        <v>-0.29724119999999998</v>
      </c>
      <c r="V4880">
        <v>-4.9144339999999996E-3</v>
      </c>
      <c r="W4880">
        <v>2.101917E-2</v>
      </c>
      <c r="X4880">
        <v>0.99976699999999996</v>
      </c>
      <c r="Y4880">
        <v>9.7190719999999994E-2</v>
      </c>
      <c r="Z4880">
        <v>-4.5226119999999996E-3</v>
      </c>
      <c r="AA4880">
        <v>0.99525549999999996</v>
      </c>
      <c r="AB4880">
        <v>33</v>
      </c>
      <c r="AC4880">
        <v>0.67419999999998403</v>
      </c>
      <c r="AD4880">
        <v>-8.9474999999999902E-2</v>
      </c>
      <c r="AE4880">
        <v>-9.2810000000003598E-2</v>
      </c>
      <c r="AF4880">
        <v>9.0642301149844298E-2</v>
      </c>
      <c r="AG4880">
        <v>-8.9474999999999902E-2</v>
      </c>
      <c r="AH4880">
        <v>0.66282541880706503</v>
      </c>
      <c r="AI4880">
        <v>97.617845360474803</v>
      </c>
      <c r="AJ4880">
        <v>82.213023723160603</v>
      </c>
      <c r="AK4880">
        <v>0.67495135987677002</v>
      </c>
    </row>
    <row r="4881" spans="1:37" x14ac:dyDescent="0.2">
      <c r="A4881" t="str">
        <f>"20200111153749195"</f>
        <v>20200111153749195</v>
      </c>
      <c r="B4881" t="str">
        <f>"1578728269187741"</f>
        <v>1578728269187741</v>
      </c>
      <c r="C4881" t="s">
        <v>37</v>
      </c>
      <c r="D4881">
        <v>6.0508889999999997</v>
      </c>
      <c r="E4881">
        <v>0.53992519999999999</v>
      </c>
      <c r="F4881" t="s">
        <v>38</v>
      </c>
      <c r="G4881">
        <v>-337.61680000000001</v>
      </c>
      <c r="H4881">
        <v>1.007466</v>
      </c>
      <c r="I4881">
        <v>17.150579999999898</v>
      </c>
      <c r="J4881">
        <v>-338.37709999999998</v>
      </c>
      <c r="K4881">
        <v>1.10504</v>
      </c>
      <c r="L4881">
        <v>17.243929999999999</v>
      </c>
      <c r="M4881">
        <v>0.99985270000000004</v>
      </c>
      <c r="N4881">
        <v>0</v>
      </c>
      <c r="O4881">
        <v>-8.5309190000000003E-4</v>
      </c>
      <c r="P4881">
        <v>0.99998659999999995</v>
      </c>
      <c r="Q4881">
        <v>3.5165420000000001E-3</v>
      </c>
      <c r="R4881">
        <v>3.8497649999999998E-3</v>
      </c>
      <c r="S4881">
        <v>3.0024410000000001</v>
      </c>
      <c r="T4881">
        <v>-0.3047009</v>
      </c>
      <c r="U4881">
        <v>-0.29107670000000002</v>
      </c>
      <c r="V4881">
        <v>-4.7047089999999996E-3</v>
      </c>
      <c r="W4881">
        <v>2.0663049999999999E-2</v>
      </c>
      <c r="X4881">
        <v>0.99977539999999998</v>
      </c>
      <c r="Y4881">
        <v>9.5165070000000004E-2</v>
      </c>
      <c r="Z4881">
        <v>-4.7191709999999899E-3</v>
      </c>
      <c r="AA4881">
        <v>0.99545030000000001</v>
      </c>
      <c r="AB4881">
        <v>33</v>
      </c>
      <c r="AC4881">
        <v>0.760299999999972</v>
      </c>
      <c r="AD4881">
        <v>-9.7573999999999994E-2</v>
      </c>
      <c r="AE4881">
        <v>-9.3350000000000904E-2</v>
      </c>
      <c r="AF4881">
        <v>9.1221149368603205E-2</v>
      </c>
      <c r="AG4881">
        <v>-9.7573999999999994E-2</v>
      </c>
      <c r="AH4881">
        <v>0.748238767158528</v>
      </c>
      <c r="AI4881">
        <v>97.375721247445895</v>
      </c>
      <c r="AJ4881">
        <v>83.0491160219417</v>
      </c>
      <c r="AK4881">
        <v>0.76006791554902697</v>
      </c>
    </row>
    <row r="4882" spans="1:37" x14ac:dyDescent="0.2">
      <c r="A4882" t="str">
        <f>"20200111153749207"</f>
        <v>20200111153749207</v>
      </c>
      <c r="B4882" t="str">
        <f>"1578728269198476"</f>
        <v>1578728269198476</v>
      </c>
      <c r="C4882" t="s">
        <v>37</v>
      </c>
      <c r="D4882">
        <v>6.1192989999999998</v>
      </c>
      <c r="E4882">
        <v>0.54031019999999996</v>
      </c>
      <c r="F4882" t="s">
        <v>38</v>
      </c>
      <c r="G4882">
        <v>-337.60759999999999</v>
      </c>
      <c r="H4882">
        <v>1.0259400000000001</v>
      </c>
      <c r="I4882">
        <v>17.168129999999898</v>
      </c>
      <c r="J4882">
        <v>-338.2056</v>
      </c>
      <c r="K4882">
        <v>1.1050519999999999</v>
      </c>
      <c r="L4882">
        <v>17.2438</v>
      </c>
      <c r="M4882">
        <v>0.99985049999999998</v>
      </c>
      <c r="N4882">
        <v>0</v>
      </c>
      <c r="O4882">
        <v>-8.2114979999999905E-4</v>
      </c>
      <c r="P4882">
        <v>0.99998729999999902</v>
      </c>
      <c r="Q4882">
        <v>3.3580999999999902E-3</v>
      </c>
      <c r="R4882">
        <v>3.787899E-3</v>
      </c>
      <c r="S4882">
        <v>3.00228899999999</v>
      </c>
      <c r="T4882">
        <v>-0.30867800000000001</v>
      </c>
      <c r="U4882">
        <v>-0.29467769999999999</v>
      </c>
      <c r="V4882">
        <v>-4.6112740000000003E-3</v>
      </c>
      <c r="W4882">
        <v>2.0632060000000001E-2</v>
      </c>
      <c r="X4882">
        <v>0.99977649999999996</v>
      </c>
      <c r="Y4882">
        <v>9.6365409999999999E-2</v>
      </c>
      <c r="Z4882">
        <v>-4.8450790000000004E-3</v>
      </c>
      <c r="AA4882">
        <v>0.99533419999999895</v>
      </c>
      <c r="AB4882">
        <v>33</v>
      </c>
      <c r="AC4882">
        <v>0.59800000000001297</v>
      </c>
      <c r="AD4882">
        <v>-7.9112000000000002E-2</v>
      </c>
      <c r="AE4882">
        <v>-7.5670000000002305E-2</v>
      </c>
      <c r="AF4882">
        <v>7.3905755770512796E-2</v>
      </c>
      <c r="AG4882">
        <v>-7.9112000000000002E-2</v>
      </c>
      <c r="AH4882">
        <v>0.58793421058015205</v>
      </c>
      <c r="AI4882">
        <v>97.604509079821</v>
      </c>
      <c r="AJ4882">
        <v>82.835264350303305</v>
      </c>
      <c r="AK4882">
        <v>0.597818873280626</v>
      </c>
    </row>
    <row r="4883" spans="1:37" x14ac:dyDescent="0.2">
      <c r="A4883" t="str">
        <f>"20200111153749219"</f>
        <v>20200111153749219</v>
      </c>
      <c r="B4883" t="str">
        <f>"1578728269208237"</f>
        <v>1578728269208237</v>
      </c>
      <c r="C4883" t="s">
        <v>37</v>
      </c>
      <c r="D4883">
        <v>6.0633319999999999</v>
      </c>
      <c r="E4883">
        <v>0.54080760000000005</v>
      </c>
      <c r="F4883" t="s">
        <v>38</v>
      </c>
      <c r="G4883">
        <v>-337.32350000000002</v>
      </c>
      <c r="H4883">
        <v>1.013641</v>
      </c>
      <c r="I4883">
        <v>17.15606</v>
      </c>
      <c r="J4883">
        <v>-338.02249999999998</v>
      </c>
      <c r="K4883">
        <v>1.1050679999999999</v>
      </c>
      <c r="L4883">
        <v>17.243679999999902</v>
      </c>
      <c r="M4883">
        <v>0.99984819999999996</v>
      </c>
      <c r="N4883">
        <v>0</v>
      </c>
      <c r="O4883">
        <v>-7.8736469999999995E-4</v>
      </c>
      <c r="P4883">
        <v>0.99998770000000003</v>
      </c>
      <c r="Q4883">
        <v>2.8094979999999901E-3</v>
      </c>
      <c r="R4883">
        <v>4.1133790000000003E-3</v>
      </c>
      <c r="S4883">
        <v>3.0021969999999998</v>
      </c>
      <c r="T4883">
        <v>-0.31107950000000001</v>
      </c>
      <c r="U4883">
        <v>-0.29775999999999903</v>
      </c>
      <c r="V4883">
        <v>-4.9025969999999999E-3</v>
      </c>
      <c r="W4883">
        <v>2.0217300000000001E-2</v>
      </c>
      <c r="X4883">
        <v>0.999783599999999</v>
      </c>
      <c r="Y4883">
        <v>9.7400559999999997E-2</v>
      </c>
      <c r="Z4883">
        <v>-4.9393199999999996E-3</v>
      </c>
      <c r="AA4883">
        <v>0.99523300000000003</v>
      </c>
      <c r="AB4883">
        <v>33</v>
      </c>
      <c r="AC4883">
        <v>0.69899999999995499</v>
      </c>
      <c r="AD4883">
        <v>-9.1426999999999897E-2</v>
      </c>
      <c r="AE4883">
        <v>-8.7619999999997505E-2</v>
      </c>
      <c r="AF4883">
        <v>8.5627287057323198E-2</v>
      </c>
      <c r="AG4883">
        <v>-9.1426999999999897E-2</v>
      </c>
      <c r="AH4883">
        <v>0.68748928760943195</v>
      </c>
      <c r="AI4883">
        <v>97.517720005676594</v>
      </c>
      <c r="AJ4883">
        <v>82.900330764299795</v>
      </c>
      <c r="AK4883">
        <v>0.69880787717048698</v>
      </c>
    </row>
    <row r="4884" spans="1:37" x14ac:dyDescent="0.2">
      <c r="A4884" t="str">
        <f>"20200111153749237"</f>
        <v>20200111153749237</v>
      </c>
      <c r="B4884" t="str">
        <f>"1578728269227759"</f>
        <v>1578728269227759</v>
      </c>
      <c r="C4884" t="s">
        <v>37</v>
      </c>
      <c r="D4884">
        <v>6.0212399999999997</v>
      </c>
      <c r="E4884">
        <v>0.54022729999999997</v>
      </c>
      <c r="F4884" t="s">
        <v>38</v>
      </c>
      <c r="G4884">
        <v>-337.04</v>
      </c>
      <c r="H4884">
        <v>1.00217</v>
      </c>
      <c r="I4884">
        <v>17.144880000000001</v>
      </c>
      <c r="J4884">
        <v>-337.76479999999998</v>
      </c>
      <c r="K4884">
        <v>1.105086</v>
      </c>
      <c r="L4884">
        <v>17.24353</v>
      </c>
      <c r="M4884">
        <v>0.99984509999999904</v>
      </c>
      <c r="N4884">
        <v>0</v>
      </c>
      <c r="O4884">
        <v>-7.4084390000000002E-4</v>
      </c>
      <c r="P4884">
        <v>0.99998279999999995</v>
      </c>
      <c r="Q4884">
        <v>2.560189E-3</v>
      </c>
      <c r="R4884">
        <v>5.31451199999999E-3</v>
      </c>
      <c r="S4884">
        <v>3.002167</v>
      </c>
      <c r="T4884">
        <v>-0.3144498</v>
      </c>
      <c r="U4884">
        <v>-0.3006897</v>
      </c>
      <c r="V4884">
        <v>-6.0572519999999999E-3</v>
      </c>
      <c r="W4884">
        <v>2.014293E-2</v>
      </c>
      <c r="X4884">
        <v>0.99977870000000002</v>
      </c>
      <c r="Y4884">
        <v>9.8392750000000001E-2</v>
      </c>
      <c r="Z4884">
        <v>-5.0488950000000003E-3</v>
      </c>
      <c r="AA4884">
        <v>0.99513479999999999</v>
      </c>
      <c r="AB4884">
        <v>32</v>
      </c>
      <c r="AC4884">
        <v>0.72479999999995903</v>
      </c>
      <c r="AD4884">
        <v>-0.10291599999999999</v>
      </c>
      <c r="AE4884">
        <v>-9.8649999999999197E-2</v>
      </c>
      <c r="AF4884">
        <v>9.6208469759121798E-2</v>
      </c>
      <c r="AG4884">
        <v>-0.10291599999999999</v>
      </c>
      <c r="AH4884">
        <v>0.71080248890377895</v>
      </c>
      <c r="AI4884">
        <v>98.165080514686494</v>
      </c>
      <c r="AJ4884">
        <v>82.291751465365294</v>
      </c>
      <c r="AK4884">
        <v>0.72462952668325498</v>
      </c>
    </row>
    <row r="4885" spans="1:37" x14ac:dyDescent="0.2">
      <c r="A4885" t="str">
        <f>"20200111153749259"</f>
        <v>20200111153749259</v>
      </c>
      <c r="B4885" t="str">
        <f>"1578728269248253"</f>
        <v>1578728269248253</v>
      </c>
      <c r="C4885" t="s">
        <v>37</v>
      </c>
      <c r="D4885">
        <v>6.1811850000000002</v>
      </c>
      <c r="E4885">
        <v>0.4827687</v>
      </c>
      <c r="F4885" t="s">
        <v>38</v>
      </c>
      <c r="G4885">
        <v>-337.02719999999999</v>
      </c>
      <c r="H4885">
        <v>1.0281119999999999</v>
      </c>
      <c r="I4885">
        <v>17.171250000000001</v>
      </c>
      <c r="J4885">
        <v>-337.45069999999998</v>
      </c>
      <c r="K4885">
        <v>1.1051010000000001</v>
      </c>
      <c r="L4885">
        <v>17.243379999999998</v>
      </c>
      <c r="M4885">
        <v>0.9998418</v>
      </c>
      <c r="N4885">
        <v>0</v>
      </c>
      <c r="O4885">
        <v>-6.8488239999999997E-4</v>
      </c>
      <c r="P4885">
        <v>0.99997349999999996</v>
      </c>
      <c r="Q4885">
        <v>2.2012720000000002E-3</v>
      </c>
      <c r="R4885">
        <v>6.9554609999999996E-3</v>
      </c>
      <c r="S4885">
        <v>3.0024109999999999</v>
      </c>
      <c r="T4885">
        <v>-0.31333739999999999</v>
      </c>
      <c r="U4885">
        <v>-0.29263309999999998</v>
      </c>
      <c r="V4885">
        <v>-7.6424010000000001E-3</v>
      </c>
      <c r="W4885">
        <v>1.9980830000000002E-2</v>
      </c>
      <c r="X4885">
        <v>0.99977119999999997</v>
      </c>
      <c r="Y4885">
        <v>9.581278E-2</v>
      </c>
      <c r="Z4885">
        <v>-4.9032470000000003E-3</v>
      </c>
      <c r="AA4885">
        <v>0.99538729999999997</v>
      </c>
      <c r="AB4885">
        <v>32</v>
      </c>
      <c r="AC4885">
        <v>0.42349999999999</v>
      </c>
      <c r="AD4885">
        <v>-7.6988999999999905E-2</v>
      </c>
      <c r="AE4885">
        <v>-7.2129999999997793E-2</v>
      </c>
      <c r="AF4885">
        <v>6.9604421837649602E-2</v>
      </c>
      <c r="AG4885">
        <v>-7.6988999999999905E-2</v>
      </c>
      <c r="AH4885">
        <v>0.41036957261141099</v>
      </c>
      <c r="AI4885">
        <v>100.47939841537899</v>
      </c>
      <c r="AJ4885">
        <v>80.373451407186593</v>
      </c>
      <c r="AK4885">
        <v>0.42329099657992397</v>
      </c>
    </row>
    <row r="4886" spans="1:37" x14ac:dyDescent="0.2">
      <c r="A4886" t="str">
        <f>"20200111153749274"</f>
        <v>20200111153749274</v>
      </c>
      <c r="B4886" t="str">
        <f>"1578728269267773"</f>
        <v>1578728269267773</v>
      </c>
      <c r="C4886" t="s">
        <v>37</v>
      </c>
      <c r="D4886">
        <v>5.5706730000000002</v>
      </c>
      <c r="E4886">
        <v>0.47975079999999998</v>
      </c>
      <c r="F4886" t="s">
        <v>38</v>
      </c>
      <c r="G4886">
        <v>-336.46210000000002</v>
      </c>
      <c r="H4886">
        <v>0.99850049999999901</v>
      </c>
      <c r="I4886">
        <v>17.29955</v>
      </c>
      <c r="J4886">
        <v>-337.24400000000003</v>
      </c>
      <c r="K4886">
        <v>1.105108</v>
      </c>
      <c r="L4886">
        <v>17.243289999999998</v>
      </c>
      <c r="M4886">
        <v>0.999839699999999</v>
      </c>
      <c r="N4886">
        <v>0</v>
      </c>
      <c r="O4886">
        <v>-6.485013E-4</v>
      </c>
      <c r="P4886">
        <v>0.99996859999999999</v>
      </c>
      <c r="Q4886">
        <v>2.082637E-3</v>
      </c>
      <c r="R4886">
        <v>7.6528519999999999E-3</v>
      </c>
      <c r="S4886">
        <v>2.999603</v>
      </c>
      <c r="T4886">
        <v>-0.32343559999999999</v>
      </c>
      <c r="U4886">
        <v>0.17126459999999999</v>
      </c>
      <c r="V4886">
        <v>-8.3031459999999904E-3</v>
      </c>
      <c r="W4886">
        <v>1.9979879999999998E-2</v>
      </c>
      <c r="X4886">
        <v>0.99976589999999999</v>
      </c>
      <c r="Y4886">
        <v>-5.7315579999999998E-2</v>
      </c>
      <c r="Z4886">
        <v>3.1483219999999998E-3</v>
      </c>
      <c r="AA4886">
        <v>0.99835119999999899</v>
      </c>
      <c r="AB4886">
        <v>32</v>
      </c>
      <c r="AC4886">
        <v>0.78190000000000703</v>
      </c>
      <c r="AD4886">
        <v>-0.10660749999999999</v>
      </c>
      <c r="AE4886">
        <v>5.6260000000001698E-2</v>
      </c>
      <c r="AF4886">
        <v>-5.5736345499957797E-2</v>
      </c>
      <c r="AG4886">
        <v>-0.10660749999999999</v>
      </c>
      <c r="AH4886">
        <v>0.76766614052369597</v>
      </c>
      <c r="AI4886">
        <v>97.885730392636603</v>
      </c>
      <c r="AJ4886">
        <v>94.152669324711994</v>
      </c>
      <c r="AK4886">
        <v>0.77703474991308397</v>
      </c>
    </row>
    <row r="4887" spans="1:37" x14ac:dyDescent="0.2">
      <c r="A4887" t="str">
        <f>"20200111153749295"</f>
        <v>20200111153749295</v>
      </c>
      <c r="B4887" t="str">
        <f>"1578728269288268"</f>
        <v>1578728269288268</v>
      </c>
      <c r="C4887" t="s">
        <v>37</v>
      </c>
      <c r="D4887">
        <v>5.9687449999999904</v>
      </c>
      <c r="E4887">
        <v>0.48054200000000002</v>
      </c>
      <c r="F4887" t="s">
        <v>39</v>
      </c>
      <c r="G4887">
        <v>-327.32190000000003</v>
      </c>
      <c r="H4887" s="1">
        <v>-1.5512770000000001E-6</v>
      </c>
      <c r="I4887">
        <v>17.897679999999902</v>
      </c>
      <c r="J4887">
        <v>-336.95760000000001</v>
      </c>
      <c r="K4887">
        <v>1.1051219999999999</v>
      </c>
      <c r="L4887">
        <v>17.24316</v>
      </c>
      <c r="M4887">
        <v>0.99983699999999998</v>
      </c>
      <c r="N4887">
        <v>0</v>
      </c>
      <c r="O4887">
        <v>-5.9800870000000005E-4</v>
      </c>
      <c r="P4887">
        <v>0.9999593</v>
      </c>
      <c r="Q4887">
        <v>1.824301E-3</v>
      </c>
      <c r="R4887">
        <v>8.8450930000000001E-3</v>
      </c>
      <c r="S4887">
        <v>2.999298</v>
      </c>
      <c r="T4887">
        <v>-0.33405949999999901</v>
      </c>
      <c r="U4887">
        <v>0.19781489999999999</v>
      </c>
      <c r="V4887">
        <v>-9.4449169999999902E-3</v>
      </c>
      <c r="W4887">
        <v>1.987357E-2</v>
      </c>
      <c r="X4887">
        <v>0.99975789999999998</v>
      </c>
      <c r="Y4887">
        <v>-6.5997529999999999E-2</v>
      </c>
      <c r="Z4887">
        <v>3.7264479999999998E-3</v>
      </c>
      <c r="AA4887">
        <v>0.99781280000000006</v>
      </c>
      <c r="AB4887">
        <v>32</v>
      </c>
      <c r="AC4887">
        <v>9.6356999999999804</v>
      </c>
      <c r="AD4887">
        <v>-1.1051235512769999</v>
      </c>
      <c r="AE4887">
        <v>0.65451999999999699</v>
      </c>
      <c r="AF4887">
        <v>-0.65174937055613902</v>
      </c>
      <c r="AG4887">
        <v>-1.1051235512769999</v>
      </c>
      <c r="AH4887">
        <v>9.5107773995719196</v>
      </c>
      <c r="AI4887">
        <v>96.612503367766394</v>
      </c>
      <c r="AJ4887">
        <v>93.920205176032198</v>
      </c>
      <c r="AK4887">
        <v>9.5969246141571496</v>
      </c>
    </row>
    <row r="4888" spans="1:37" x14ac:dyDescent="0.2">
      <c r="A4888" t="str">
        <f>"20200111153749316"</f>
        <v>20200111153749316</v>
      </c>
      <c r="B4888" t="str">
        <f>"1578728269307788"</f>
        <v>1578728269307788</v>
      </c>
      <c r="C4888" t="s">
        <v>37</v>
      </c>
      <c r="D4888">
        <v>5.9445269999999999</v>
      </c>
      <c r="E4888">
        <v>0.48141319999999999</v>
      </c>
      <c r="F4888" t="s">
        <v>39</v>
      </c>
      <c r="G4888">
        <v>-327.01350000000002</v>
      </c>
      <c r="H4888" s="1">
        <v>-1.6986529999999999E-6</v>
      </c>
      <c r="I4888">
        <v>17.888760000000001</v>
      </c>
      <c r="J4888">
        <v>-336.64249999999998</v>
      </c>
      <c r="K4888">
        <v>1.105135</v>
      </c>
      <c r="L4888">
        <v>17.243069999999999</v>
      </c>
      <c r="M4888">
        <v>0.99983419999999901</v>
      </c>
      <c r="N4888">
        <v>0</v>
      </c>
      <c r="O4888">
        <v>-5.4238680000000001E-4</v>
      </c>
      <c r="P4888">
        <v>0.99994939999999999</v>
      </c>
      <c r="Q4888">
        <v>1.8439929999999999E-3</v>
      </c>
      <c r="R4888">
        <v>9.9005340000000008E-3</v>
      </c>
      <c r="S4888">
        <v>2.99902299999999</v>
      </c>
      <c r="T4888">
        <v>-0.33329159999999902</v>
      </c>
      <c r="U4888">
        <v>0.19470209999999999</v>
      </c>
      <c r="V4888">
        <v>-1.0445039999999999E-2</v>
      </c>
      <c r="W4888">
        <v>2.0042339999999999E-2</v>
      </c>
      <c r="X4888">
        <v>0.99974459999999998</v>
      </c>
      <c r="Y4888">
        <v>-6.4925430000000006E-2</v>
      </c>
      <c r="Z4888">
        <v>3.6529129999999998E-3</v>
      </c>
      <c r="AA4888">
        <v>0.99788339999999998</v>
      </c>
      <c r="AB4888">
        <v>32</v>
      </c>
      <c r="AC4888">
        <v>9.6289999999999605</v>
      </c>
      <c r="AD4888">
        <v>-1.105136698653</v>
      </c>
      <c r="AE4888">
        <v>0.64569000000000099</v>
      </c>
      <c r="AF4888">
        <v>-0.64248809604854795</v>
      </c>
      <c r="AG4888">
        <v>-1.105136698653</v>
      </c>
      <c r="AH4888">
        <v>9.5040166628566496</v>
      </c>
      <c r="AI4888">
        <v>96.617654882881894</v>
      </c>
      <c r="AJ4888">
        <v>93.867410399373895</v>
      </c>
      <c r="AK4888">
        <v>9.5896011806607806</v>
      </c>
    </row>
    <row r="4889" spans="1:37" x14ac:dyDescent="0.2">
      <c r="A4889" t="str">
        <f>"20200111153749339"</f>
        <v>20200111153749339</v>
      </c>
      <c r="B4889" t="str">
        <f>"1578728269328284"</f>
        <v>1578728269328284</v>
      </c>
      <c r="C4889" t="s">
        <v>37</v>
      </c>
      <c r="D4889">
        <v>5.9091940000000003</v>
      </c>
      <c r="E4889">
        <v>0.4824639</v>
      </c>
      <c r="F4889" t="s">
        <v>39</v>
      </c>
      <c r="G4889">
        <v>-326.82729999999998</v>
      </c>
      <c r="H4889" s="1">
        <v>-1.7903790000000001E-6</v>
      </c>
      <c r="I4889">
        <v>17.86795</v>
      </c>
      <c r="J4889">
        <v>-336.31619999999998</v>
      </c>
      <c r="K4889">
        <v>1.1051409999999999</v>
      </c>
      <c r="L4889">
        <v>17.24295</v>
      </c>
      <c r="M4889">
        <v>0.99983169999999899</v>
      </c>
      <c r="N4889">
        <v>0</v>
      </c>
      <c r="O4889">
        <v>-4.829476E-4</v>
      </c>
      <c r="P4889">
        <v>0.99993209999999999</v>
      </c>
      <c r="Q4889">
        <v>1.977E-3</v>
      </c>
      <c r="R4889">
        <v>1.1489890000000001E-2</v>
      </c>
      <c r="S4889">
        <v>2.99884</v>
      </c>
      <c r="T4889">
        <v>-0.33765070000000003</v>
      </c>
      <c r="U4889">
        <v>0.190918</v>
      </c>
      <c r="V4889">
        <v>-1.1974739999999999E-2</v>
      </c>
      <c r="W4889">
        <v>2.031169E-2</v>
      </c>
      <c r="X4889">
        <v>0.999721999999999</v>
      </c>
      <c r="Y4889">
        <v>-6.3613980000000001E-2</v>
      </c>
      <c r="Z4889">
        <v>3.620575E-3</v>
      </c>
      <c r="AA4889">
        <v>0.99796799999999997</v>
      </c>
      <c r="AB4889">
        <v>32</v>
      </c>
      <c r="AC4889">
        <v>9.4888999999999992</v>
      </c>
      <c r="AD4889">
        <v>-1.1051427903790001</v>
      </c>
      <c r="AE4889">
        <v>0.625</v>
      </c>
      <c r="AF4889">
        <v>-0.62119353351393602</v>
      </c>
      <c r="AG4889">
        <v>-1.1051427903790001</v>
      </c>
      <c r="AH4889">
        <v>9.3621522830071893</v>
      </c>
      <c r="AI4889">
        <v>96.717613968272005</v>
      </c>
      <c r="AJ4889">
        <v>93.796100822133099</v>
      </c>
      <c r="AK4889">
        <v>9.4475984971538107</v>
      </c>
    </row>
    <row r="4890" spans="1:37" x14ac:dyDescent="0.2">
      <c r="A4890" t="str">
        <f>"20200111153749372"</f>
        <v>20200111153749372</v>
      </c>
      <c r="B4890" t="str">
        <f>"1578728269358540"</f>
        <v>1578728269358540</v>
      </c>
      <c r="C4890" t="s">
        <v>37</v>
      </c>
      <c r="D4890">
        <v>5.9078919999999897</v>
      </c>
      <c r="E4890">
        <v>0.48334099999999902</v>
      </c>
      <c r="F4890" t="s">
        <v>39</v>
      </c>
      <c r="G4890">
        <v>-326.62290000000002</v>
      </c>
      <c r="H4890" s="1">
        <v>-1.8906120000000001E-6</v>
      </c>
      <c r="I4890">
        <v>17.847460000000002</v>
      </c>
      <c r="J4890">
        <v>-335.85599999999999</v>
      </c>
      <c r="K4890">
        <v>1.1051610000000001</v>
      </c>
      <c r="L4890">
        <v>17.24286</v>
      </c>
      <c r="M4890">
        <v>0.99982890000000002</v>
      </c>
      <c r="N4890">
        <v>0</v>
      </c>
      <c r="O4890">
        <v>-3.807867E-4</v>
      </c>
      <c r="P4890">
        <v>0.99991229999999998</v>
      </c>
      <c r="Q4890">
        <v>1.530556E-3</v>
      </c>
      <c r="R4890">
        <v>1.317114E-2</v>
      </c>
      <c r="S4890">
        <v>2.9987180000000002</v>
      </c>
      <c r="T4890">
        <v>-0.3418872</v>
      </c>
      <c r="U4890">
        <v>0.1870117</v>
      </c>
      <c r="V4890">
        <v>-1.3554129999999999E-2</v>
      </c>
      <c r="W4890">
        <v>2.0025169999999998E-2</v>
      </c>
      <c r="X4890">
        <v>0.99970759999999903</v>
      </c>
      <c r="Y4890">
        <v>-6.2219099999999999E-2</v>
      </c>
      <c r="Z4890">
        <v>3.575225E-3</v>
      </c>
      <c r="AA4890">
        <v>0.9980561</v>
      </c>
      <c r="AB4890">
        <v>32</v>
      </c>
      <c r="AC4890">
        <v>9.2330999999999808</v>
      </c>
      <c r="AD4890">
        <v>-1.1051628906119999</v>
      </c>
      <c r="AE4890">
        <v>0.60460000000000103</v>
      </c>
      <c r="AF4890">
        <v>-0.59956308983502404</v>
      </c>
      <c r="AG4890">
        <v>-1.1051628906119999</v>
      </c>
      <c r="AH4890">
        <v>9.1030064523572101</v>
      </c>
      <c r="AI4890">
        <v>96.907373670152495</v>
      </c>
      <c r="AJ4890">
        <v>93.768303236036203</v>
      </c>
      <c r="AK4890">
        <v>9.1894280227408807</v>
      </c>
    </row>
    <row r="4891" spans="1:37" x14ac:dyDescent="0.2">
      <c r="A4891" t="str">
        <f>"20200111153749388"</f>
        <v>20200111153749388</v>
      </c>
      <c r="B4891" t="str">
        <f>"1578728269378061"</f>
        <v>1578728269378061</v>
      </c>
      <c r="C4891" t="s">
        <v>37</v>
      </c>
      <c r="D4891">
        <v>5.9584760000000001</v>
      </c>
      <c r="E4891">
        <v>0.484255199999999</v>
      </c>
      <c r="F4891" t="s">
        <v>38</v>
      </c>
      <c r="G4891">
        <v>-335.02980000000002</v>
      </c>
      <c r="H4891">
        <v>1.0089779999999999</v>
      </c>
      <c r="I4891">
        <v>17.293669999999999</v>
      </c>
      <c r="J4891">
        <v>-335.62029999999999</v>
      </c>
      <c r="K4891">
        <v>1.1051770000000001</v>
      </c>
      <c r="L4891">
        <v>17.24286</v>
      </c>
      <c r="M4891">
        <v>0.99982760000000004</v>
      </c>
      <c r="N4891">
        <v>0</v>
      </c>
      <c r="O4891">
        <v>-3.1342069999999999E-4</v>
      </c>
      <c r="P4891">
        <v>0.99990800000000002</v>
      </c>
      <c r="Q4891">
        <v>1.2156160000000001E-3</v>
      </c>
      <c r="R4891">
        <v>1.3522799999999899E-2</v>
      </c>
      <c r="S4891">
        <v>2.9983219999999999</v>
      </c>
      <c r="T4891">
        <v>-0.34908519999999998</v>
      </c>
      <c r="U4891">
        <v>0.1848755</v>
      </c>
      <c r="V4891">
        <v>-1.383878E-2</v>
      </c>
      <c r="W4891">
        <v>1.9780610000000001E-2</v>
      </c>
      <c r="X4891">
        <v>0.99970859999999995</v>
      </c>
      <c r="Y4891">
        <v>-6.1440109999999999E-2</v>
      </c>
      <c r="Z4891">
        <v>3.5975920000000002E-3</v>
      </c>
      <c r="AA4891">
        <v>0.99810429999999895</v>
      </c>
      <c r="AB4891">
        <v>32</v>
      </c>
      <c r="AC4891">
        <v>0.59049999999996305</v>
      </c>
      <c r="AD4891">
        <v>-9.6198999999999896E-2</v>
      </c>
      <c r="AE4891">
        <v>5.0810000000001999E-2</v>
      </c>
      <c r="AF4891">
        <v>-4.9686124892619997E-2</v>
      </c>
      <c r="AG4891">
        <v>-9.6198999999999896E-2</v>
      </c>
      <c r="AH4891">
        <v>0.57532706932617395</v>
      </c>
      <c r="AI4891">
        <v>99.457904467162393</v>
      </c>
      <c r="AJ4891">
        <v>94.935904212550795</v>
      </c>
      <c r="AK4891">
        <v>0.58542650717856004</v>
      </c>
    </row>
    <row r="4892" spans="1:37" x14ac:dyDescent="0.2">
      <c r="A4892" t="str">
        <f>"20200111153749405"</f>
        <v>20200111153749405</v>
      </c>
      <c r="B4892" t="str">
        <f>"1578728269398555"</f>
        <v>1578728269398555</v>
      </c>
      <c r="C4892" t="s">
        <v>37</v>
      </c>
      <c r="D4892">
        <v>6.1541790000000001</v>
      </c>
      <c r="E4892">
        <v>0.48493249999999999</v>
      </c>
      <c r="F4892" t="s">
        <v>38</v>
      </c>
      <c r="G4892">
        <v>-334.75869999999998</v>
      </c>
      <c r="H4892">
        <v>1.00532</v>
      </c>
      <c r="I4892">
        <v>17.293890000000001</v>
      </c>
      <c r="J4892">
        <v>-335.38209999999998</v>
      </c>
      <c r="K4892">
        <v>1.105199</v>
      </c>
      <c r="L4892">
        <v>17.24286</v>
      </c>
      <c r="M4892">
        <v>0.9998264</v>
      </c>
      <c r="N4892">
        <v>0</v>
      </c>
      <c r="O4892">
        <v>-2.3196809999999999E-4</v>
      </c>
      <c r="P4892">
        <v>0.99990409999999996</v>
      </c>
      <c r="Q4892">
        <v>1.12243E-3</v>
      </c>
      <c r="R4892">
        <v>1.3819680000000001E-2</v>
      </c>
      <c r="S4892">
        <v>2.9982599999999899</v>
      </c>
      <c r="T4892">
        <v>-0.34750229999999999</v>
      </c>
      <c r="U4892">
        <v>0.17846679999999901</v>
      </c>
      <c r="V4892">
        <v>-1.405521E-2</v>
      </c>
      <c r="W4892">
        <v>1.9751520000000002E-2</v>
      </c>
      <c r="X4892">
        <v>0.99970609999999904</v>
      </c>
      <c r="Y4892">
        <v>-5.9253069999999998E-2</v>
      </c>
      <c r="Z4892">
        <v>3.4460799999999998E-3</v>
      </c>
      <c r="AA4892">
        <v>0.99823709999999899</v>
      </c>
      <c r="AB4892">
        <v>31</v>
      </c>
      <c r="AC4892">
        <v>0.62340000000000295</v>
      </c>
      <c r="AD4892">
        <v>-9.9878999999999996E-2</v>
      </c>
      <c r="AE4892">
        <v>5.1030000000000797E-2</v>
      </c>
      <c r="AF4892">
        <v>-4.9902201965796901E-2</v>
      </c>
      <c r="AG4892">
        <v>-9.9878999999999996E-2</v>
      </c>
      <c r="AH4892">
        <v>0.60788792120322599</v>
      </c>
      <c r="AI4892">
        <v>99.299879462498595</v>
      </c>
      <c r="AJ4892">
        <v>94.692951887682497</v>
      </c>
      <c r="AK4892">
        <v>0.618056444952089</v>
      </c>
    </row>
    <row r="4893" spans="1:37" x14ac:dyDescent="0.2">
      <c r="A4893" t="str">
        <f>"20200111153749419"</f>
        <v>20200111153749419</v>
      </c>
      <c r="B4893" t="str">
        <f>"1578728269408316"</f>
        <v>1578728269408316</v>
      </c>
      <c r="C4893" t="s">
        <v>37</v>
      </c>
      <c r="D4893">
        <v>6.1506280000000002</v>
      </c>
      <c r="E4893">
        <v>0.48513509999999999</v>
      </c>
      <c r="F4893" t="s">
        <v>38</v>
      </c>
      <c r="G4893">
        <v>-334.48169999999999</v>
      </c>
      <c r="H4893">
        <v>1.001782</v>
      </c>
      <c r="I4893">
        <v>17.294989999999999</v>
      </c>
      <c r="J4893">
        <v>-335.1952</v>
      </c>
      <c r="K4893">
        <v>1.1052169999999999</v>
      </c>
      <c r="L4893">
        <v>17.242889999999999</v>
      </c>
      <c r="M4893">
        <v>0.99982569999999904</v>
      </c>
      <c r="N4893">
        <v>0</v>
      </c>
      <c r="O4893">
        <v>-1.5894269999999999E-4</v>
      </c>
      <c r="P4893">
        <v>0.99990230000000002</v>
      </c>
      <c r="Q4893">
        <v>1.1252759999999999E-3</v>
      </c>
      <c r="R4893">
        <v>1.3934210000000001E-2</v>
      </c>
      <c r="S4893">
        <v>2.99823</v>
      </c>
      <c r="T4893">
        <v>-0.34436050000000001</v>
      </c>
      <c r="U4893">
        <v>0.1738586</v>
      </c>
      <c r="V4893">
        <v>-1.409667E-2</v>
      </c>
      <c r="W4893">
        <v>1.9799669999999998E-2</v>
      </c>
      <c r="X4893">
        <v>0.99970460000000005</v>
      </c>
      <c r="Y4893">
        <v>-5.7669650000000003E-2</v>
      </c>
      <c r="Z4893">
        <v>3.316402E-3</v>
      </c>
      <c r="AA4893">
        <v>0.99833019999999995</v>
      </c>
      <c r="AB4893">
        <v>31</v>
      </c>
      <c r="AC4893">
        <v>0.71350000000001002</v>
      </c>
      <c r="AD4893">
        <v>-0.103435</v>
      </c>
      <c r="AE4893">
        <v>5.20999999999993E-2</v>
      </c>
      <c r="AF4893">
        <v>-5.1144284434436499E-2</v>
      </c>
      <c r="AG4893">
        <v>-0.103435</v>
      </c>
      <c r="AH4893">
        <v>0.69888200359522901</v>
      </c>
      <c r="AI4893">
        <v>98.396568228522995</v>
      </c>
      <c r="AJ4893">
        <v>94.185452437356304</v>
      </c>
      <c r="AK4893">
        <v>0.70834355506674296</v>
      </c>
    </row>
    <row r="4894" spans="1:37" x14ac:dyDescent="0.2">
      <c r="A4894" t="str">
        <f>"20200111153749431"</f>
        <v>20200111153749431</v>
      </c>
      <c r="B4894" t="str">
        <f>"1578728269427836"</f>
        <v>1578728269427836</v>
      </c>
      <c r="C4894" t="s">
        <v>37</v>
      </c>
      <c r="D4894">
        <v>6.1579519999999999</v>
      </c>
      <c r="E4894">
        <v>0.48552519999999999</v>
      </c>
      <c r="F4894" t="s">
        <v>39</v>
      </c>
      <c r="G4894">
        <v>-325.50299999999999</v>
      </c>
      <c r="H4894" s="1">
        <v>-2.4282759999999999E-6</v>
      </c>
      <c r="I4894">
        <v>17.80077</v>
      </c>
      <c r="J4894">
        <v>-335.01900000000001</v>
      </c>
      <c r="K4894">
        <v>1.105237</v>
      </c>
      <c r="L4894">
        <v>17.242920000000002</v>
      </c>
      <c r="M4894">
        <v>0.99982490000000002</v>
      </c>
      <c r="N4894">
        <v>0</v>
      </c>
      <c r="O4894" s="1">
        <v>-7.2025210000000004E-5</v>
      </c>
      <c r="P4894">
        <v>0.99990299999999999</v>
      </c>
      <c r="Q4894">
        <v>1.013573E-3</v>
      </c>
      <c r="R4894">
        <v>1.38989E-2</v>
      </c>
      <c r="S4894">
        <v>2.99823</v>
      </c>
      <c r="T4894">
        <v>-0.34189340000000001</v>
      </c>
      <c r="U4894">
        <v>0.17257690000000001</v>
      </c>
      <c r="V4894">
        <v>-1.3975130000000001E-2</v>
      </c>
      <c r="W4894">
        <v>1.9726250000000001E-2</v>
      </c>
      <c r="X4894">
        <v>0.99970780000000004</v>
      </c>
      <c r="Y4894">
        <v>-5.7166679999999997E-2</v>
      </c>
      <c r="Z4894">
        <v>3.2544009999999901E-3</v>
      </c>
      <c r="AA4894">
        <v>0.99835929999999995</v>
      </c>
      <c r="AB4894">
        <v>31</v>
      </c>
      <c r="AC4894">
        <v>9.5160000000000196</v>
      </c>
      <c r="AD4894">
        <v>-1.1052394282760001</v>
      </c>
      <c r="AE4894">
        <v>0.55784999999999796</v>
      </c>
      <c r="AF4894">
        <v>-0.55112641533611895</v>
      </c>
      <c r="AG4894">
        <v>-1.1052394282760001</v>
      </c>
      <c r="AH4894">
        <v>9.3897285106739297</v>
      </c>
      <c r="AI4894">
        <v>96.701811300954205</v>
      </c>
      <c r="AJ4894">
        <v>93.359099311800605</v>
      </c>
      <c r="AK4894">
        <v>9.4706016716816901</v>
      </c>
    </row>
    <row r="4895" spans="1:37" x14ac:dyDescent="0.2">
      <c r="A4895" t="str">
        <f>"20200111153749449"</f>
        <v>20200111153749449</v>
      </c>
      <c r="B4895" t="str">
        <f>"1578728269438572"</f>
        <v>1578728269438572</v>
      </c>
      <c r="C4895" t="s">
        <v>37</v>
      </c>
      <c r="D4895">
        <v>6.2190560000000001</v>
      </c>
      <c r="E4895">
        <v>0.48566300000000001</v>
      </c>
      <c r="F4895" t="s">
        <v>38</v>
      </c>
      <c r="G4895">
        <v>-334.1918</v>
      </c>
      <c r="H4895">
        <v>1.012392</v>
      </c>
      <c r="I4895">
        <v>17.289549999999998</v>
      </c>
      <c r="J4895">
        <v>-334.77499999999998</v>
      </c>
      <c r="K4895">
        <v>1.1052629999999899</v>
      </c>
      <c r="L4895">
        <v>17.243040000000001</v>
      </c>
      <c r="M4895">
        <v>0.99982399999999905</v>
      </c>
      <c r="N4895">
        <v>0</v>
      </c>
      <c r="O4895" s="1">
        <v>6.9473639999999994E-5</v>
      </c>
      <c r="P4895">
        <v>0.99991369999999902</v>
      </c>
      <c r="Q4895">
        <v>1.0946910000000001E-3</v>
      </c>
      <c r="R4895">
        <v>1.3102249999999999E-2</v>
      </c>
      <c r="S4895">
        <v>2.998291</v>
      </c>
      <c r="T4895">
        <v>-0.33654050000000002</v>
      </c>
      <c r="U4895">
        <v>0.16934199999999999</v>
      </c>
      <c r="V4895">
        <v>-1.303791E-2</v>
      </c>
      <c r="W4895">
        <v>1.9856410000000001E-2</v>
      </c>
      <c r="X4895">
        <v>0.99971779999999999</v>
      </c>
      <c r="Y4895">
        <v>-5.5970350000000002E-2</v>
      </c>
      <c r="Z4895">
        <v>3.1211009999999998E-3</v>
      </c>
      <c r="AA4895">
        <v>0.99842759999999997</v>
      </c>
      <c r="AB4895">
        <v>31</v>
      </c>
      <c r="AC4895">
        <v>0.58319999999997596</v>
      </c>
      <c r="AD4895">
        <v>-9.2870999999999898E-2</v>
      </c>
      <c r="AE4895">
        <v>4.6509999999997803E-2</v>
      </c>
      <c r="AF4895">
        <v>-4.532730316427E-2</v>
      </c>
      <c r="AG4895">
        <v>-9.2870999999999898E-2</v>
      </c>
      <c r="AH4895">
        <v>0.56886868670811896</v>
      </c>
      <c r="AI4895">
        <v>99.243272538213503</v>
      </c>
      <c r="AJ4895">
        <v>94.555687351098399</v>
      </c>
      <c r="AK4895">
        <v>0.578179184829552</v>
      </c>
    </row>
    <row r="4896" spans="1:37" x14ac:dyDescent="0.2">
      <c r="A4896" t="str">
        <f>"20200111153749462"</f>
        <v>20200111153749462</v>
      </c>
      <c r="B4896" t="str">
        <f>"1578728269458092"</f>
        <v>1578728269458092</v>
      </c>
      <c r="C4896" t="s">
        <v>37</v>
      </c>
      <c r="D4896">
        <v>6.2785169999999999</v>
      </c>
      <c r="E4896">
        <v>0.48591679999999998</v>
      </c>
      <c r="F4896" t="s">
        <v>38</v>
      </c>
      <c r="G4896">
        <v>-333.92099999999999</v>
      </c>
      <c r="H4896">
        <v>1.010076</v>
      </c>
      <c r="I4896">
        <v>17.29007</v>
      </c>
      <c r="J4896">
        <v>-334.58780000000002</v>
      </c>
      <c r="K4896">
        <v>1.105289</v>
      </c>
      <c r="L4896">
        <v>17.24316</v>
      </c>
      <c r="M4896">
        <v>0.99982340000000003</v>
      </c>
      <c r="N4896">
        <v>0</v>
      </c>
      <c r="O4896">
        <v>1.9806889999999901E-4</v>
      </c>
      <c r="P4896">
        <v>0.99991980000000003</v>
      </c>
      <c r="Q4896">
        <v>8.3650649999999897E-4</v>
      </c>
      <c r="R4896">
        <v>1.2650450000000001E-2</v>
      </c>
      <c r="S4896">
        <v>2.9984439999999899</v>
      </c>
      <c r="T4896">
        <v>-0.3342022</v>
      </c>
      <c r="U4896">
        <v>0.16592409999999999</v>
      </c>
      <c r="V4896">
        <v>-1.2458759999999999E-2</v>
      </c>
      <c r="W4896">
        <v>1.963233E-2</v>
      </c>
      <c r="X4896">
        <v>0.9997296</v>
      </c>
      <c r="Y4896">
        <v>-5.4717830000000002E-2</v>
      </c>
      <c r="Z4896">
        <v>3.0156750000000002E-3</v>
      </c>
      <c r="AA4896">
        <v>0.99849730000000003</v>
      </c>
      <c r="AB4896">
        <v>31</v>
      </c>
      <c r="AC4896">
        <v>0.66680000000002304</v>
      </c>
      <c r="AD4896">
        <v>-9.5213000000000006E-2</v>
      </c>
      <c r="AE4896">
        <v>4.6910000000000403E-2</v>
      </c>
      <c r="AF4896">
        <v>-4.58477066964545E-2</v>
      </c>
      <c r="AG4896">
        <v>-9.5213000000000006E-2</v>
      </c>
      <c r="AH4896">
        <v>0.65354951934373395</v>
      </c>
      <c r="AI4896">
        <v>98.268838045367104</v>
      </c>
      <c r="AJ4896">
        <v>94.012830688765504</v>
      </c>
      <c r="AK4896">
        <v>0.66203814226428803</v>
      </c>
    </row>
    <row r="4897" spans="1:37" x14ac:dyDescent="0.2">
      <c r="A4897" t="str">
        <f>"20200111153749475"</f>
        <v>20200111153749475</v>
      </c>
      <c r="B4897" t="str">
        <f>"1578728269467852"</f>
        <v>1578728269467852</v>
      </c>
      <c r="C4897" t="s">
        <v>37</v>
      </c>
      <c r="D4897">
        <v>6.1526059999999996</v>
      </c>
      <c r="E4897">
        <v>0.48598009999999903</v>
      </c>
      <c r="F4897" t="s">
        <v>38</v>
      </c>
      <c r="G4897">
        <v>-333.65010000000001</v>
      </c>
      <c r="H4897">
        <v>1.001943</v>
      </c>
      <c r="I4897">
        <v>17.293579999999999</v>
      </c>
      <c r="J4897">
        <v>-334.3999</v>
      </c>
      <c r="K4897">
        <v>1.1053090000000001</v>
      </c>
      <c r="L4897">
        <v>17.24335</v>
      </c>
      <c r="M4897">
        <v>0.99982260000000001</v>
      </c>
      <c r="N4897">
        <v>0</v>
      </c>
      <c r="O4897">
        <v>3.5001219999999998E-4</v>
      </c>
      <c r="P4897">
        <v>0.99992689999999995</v>
      </c>
      <c r="Q4897">
        <v>4.5144739999999998E-4</v>
      </c>
      <c r="R4897">
        <v>1.2083389999999999E-2</v>
      </c>
      <c r="S4897">
        <v>2.9984739999999999</v>
      </c>
      <c r="T4897">
        <v>-0.33046389999999998</v>
      </c>
      <c r="U4897">
        <v>0.16244510000000001</v>
      </c>
      <c r="V4897">
        <v>-1.174092E-2</v>
      </c>
      <c r="W4897">
        <v>1.9277639999999999E-2</v>
      </c>
      <c r="X4897">
        <v>0.999745199999999</v>
      </c>
      <c r="Y4897">
        <v>-5.3426590000000003E-2</v>
      </c>
      <c r="Z4897">
        <v>2.8946359999999999E-3</v>
      </c>
      <c r="AA4897">
        <v>0.9985676</v>
      </c>
      <c r="AB4897">
        <v>31</v>
      </c>
      <c r="AC4897">
        <v>0.74979999999999303</v>
      </c>
      <c r="AD4897">
        <v>-0.103366</v>
      </c>
      <c r="AE4897">
        <v>5.0229999999999102E-2</v>
      </c>
      <c r="AF4897">
        <v>-4.9039683109888502E-2</v>
      </c>
      <c r="AG4897">
        <v>-0.103366</v>
      </c>
      <c r="AH4897">
        <v>0.73589445553406996</v>
      </c>
      <c r="AI4897">
        <v>97.978164467050405</v>
      </c>
      <c r="AJ4897">
        <v>93.812528635997097</v>
      </c>
      <c r="AK4897">
        <v>0.74473489925026604</v>
      </c>
    </row>
    <row r="4898" spans="1:37" x14ac:dyDescent="0.2">
      <c r="A4898" t="str">
        <f>"20200111153749494"</f>
        <v>20200111153749494</v>
      </c>
      <c r="B4898" t="str">
        <f>"1578728269488348"</f>
        <v>1578728269488348</v>
      </c>
      <c r="C4898" t="s">
        <v>37</v>
      </c>
      <c r="D4898">
        <v>6.1481129999999897</v>
      </c>
      <c r="E4898">
        <v>0.48610730000000002</v>
      </c>
      <c r="F4898" t="s">
        <v>39</v>
      </c>
      <c r="G4898">
        <v>-324.37400000000002</v>
      </c>
      <c r="H4898" s="1">
        <v>-2.9658469999999999E-6</v>
      </c>
      <c r="I4898">
        <v>17.778970000000001</v>
      </c>
      <c r="J4898">
        <v>-334.15679999999998</v>
      </c>
      <c r="K4898">
        <v>1.1053440000000001</v>
      </c>
      <c r="L4898">
        <v>17.243679999999902</v>
      </c>
      <c r="M4898">
        <v>0.99982199999999999</v>
      </c>
      <c r="N4898">
        <v>0</v>
      </c>
      <c r="O4898">
        <v>5.8165470000000005E-4</v>
      </c>
      <c r="P4898">
        <v>0.99993539999999903</v>
      </c>
      <c r="Q4898">
        <v>-4.9247590000000001E-4</v>
      </c>
      <c r="R4898">
        <v>1.136591E-2</v>
      </c>
      <c r="S4898">
        <v>2.9984439999999899</v>
      </c>
      <c r="T4898">
        <v>-0.33056459999999999</v>
      </c>
      <c r="U4898">
        <v>0.16018679999999999</v>
      </c>
      <c r="V4898">
        <v>-1.0792909999999999E-2</v>
      </c>
      <c r="W4898">
        <v>1.8368470000000001E-2</v>
      </c>
      <c r="X4898">
        <v>0.99977299999999902</v>
      </c>
      <c r="Y4898">
        <v>-5.245292E-2</v>
      </c>
      <c r="Z4898">
        <v>2.816682E-3</v>
      </c>
      <c r="AA4898">
        <v>0.99861939999999905</v>
      </c>
      <c r="AB4898">
        <v>31</v>
      </c>
      <c r="AC4898">
        <v>9.7827999999999502</v>
      </c>
      <c r="AD4898">
        <v>-1.1053469658470001</v>
      </c>
      <c r="AE4898">
        <v>0.53529000000000304</v>
      </c>
      <c r="AF4898">
        <v>-0.52294248383841802</v>
      </c>
      <c r="AG4898">
        <v>-1.1053469658470001</v>
      </c>
      <c r="AH4898">
        <v>9.6601518320758295</v>
      </c>
      <c r="AI4898">
        <v>96.518124741585794</v>
      </c>
      <c r="AJ4898">
        <v>93.098624222313703</v>
      </c>
      <c r="AK4898">
        <v>9.7372375022420101</v>
      </c>
    </row>
    <row r="4899" spans="1:37" x14ac:dyDescent="0.2">
      <c r="A4899" t="str">
        <f>"20200111153749517"</f>
        <v>20200111153749517</v>
      </c>
      <c r="B4899" t="str">
        <f>"1578728269507868"</f>
        <v>1578728269507868</v>
      </c>
      <c r="C4899" t="s">
        <v>37</v>
      </c>
      <c r="D4899">
        <v>6.1499899999999998</v>
      </c>
      <c r="E4899">
        <v>0.48635450000000002</v>
      </c>
      <c r="F4899" t="s">
        <v>38</v>
      </c>
      <c r="G4899">
        <v>-333.35539999999997</v>
      </c>
      <c r="H4899">
        <v>1.0171239999999999</v>
      </c>
      <c r="I4899">
        <v>17.285769999999999</v>
      </c>
      <c r="J4899">
        <v>-333.83870000000002</v>
      </c>
      <c r="K4899">
        <v>1.1054010000000001</v>
      </c>
      <c r="L4899">
        <v>17.244229999999899</v>
      </c>
      <c r="M4899">
        <v>0.99982090000000001</v>
      </c>
      <c r="N4899">
        <v>0</v>
      </c>
      <c r="O4899">
        <v>9.4424739999999997E-4</v>
      </c>
      <c r="P4899">
        <v>0.99994019999999995</v>
      </c>
      <c r="Q4899">
        <v>-1.0375339999999999E-3</v>
      </c>
      <c r="R4899">
        <v>1.08827E-2</v>
      </c>
      <c r="S4899">
        <v>2.9982599999999899</v>
      </c>
      <c r="T4899">
        <v>-0.33010519999999999</v>
      </c>
      <c r="U4899">
        <v>0.1568909</v>
      </c>
      <c r="V4899">
        <v>-9.9487099999999995E-3</v>
      </c>
      <c r="W4899">
        <v>1.7863099999999899E-2</v>
      </c>
      <c r="X4899">
        <v>0.99979099999999999</v>
      </c>
      <c r="Y4899">
        <v>-5.1010960000000001E-2</v>
      </c>
      <c r="Z4899">
        <v>2.694175E-3</v>
      </c>
      <c r="AA4899">
        <v>0.99869449999999904</v>
      </c>
      <c r="AB4899">
        <v>31</v>
      </c>
      <c r="AC4899">
        <v>0.48330000000004197</v>
      </c>
      <c r="AD4899">
        <v>-8.8277000000000105E-2</v>
      </c>
      <c r="AE4899">
        <v>4.1540000000001201E-2</v>
      </c>
      <c r="AF4899">
        <v>-3.9766553802027302E-2</v>
      </c>
      <c r="AG4899">
        <v>-8.8277000000000105E-2</v>
      </c>
      <c r="AH4899">
        <v>0.46784489724920397</v>
      </c>
      <c r="AI4899">
        <v>100.647916839072</v>
      </c>
      <c r="AJ4899">
        <v>94.858431006282103</v>
      </c>
      <c r="AK4899">
        <v>0.47775836508888803</v>
      </c>
    </row>
    <row r="4900" spans="1:37" x14ac:dyDescent="0.2">
      <c r="A4900" t="str">
        <f>"20200111153749530"</f>
        <v>20200111153749530</v>
      </c>
      <c r="B4900" t="str">
        <f>"1578728269518604"</f>
        <v>1578728269518604</v>
      </c>
      <c r="C4900" t="s">
        <v>37</v>
      </c>
      <c r="D4900">
        <v>6.146185</v>
      </c>
      <c r="E4900">
        <v>0.48641369999999901</v>
      </c>
      <c r="F4900" t="s">
        <v>39</v>
      </c>
      <c r="G4900">
        <v>-323.77269999999999</v>
      </c>
      <c r="H4900" s="1">
        <v>-3.253614E-6</v>
      </c>
      <c r="I4900">
        <v>17.75909</v>
      </c>
      <c r="J4900">
        <v>-333.66719999999998</v>
      </c>
      <c r="K4900">
        <v>1.1054329999999899</v>
      </c>
      <c r="L4900">
        <v>17.244629999999901</v>
      </c>
      <c r="M4900">
        <v>0.99982019999999905</v>
      </c>
      <c r="N4900">
        <v>0</v>
      </c>
      <c r="O4900">
        <v>1.1775310000000001E-3</v>
      </c>
      <c r="P4900">
        <v>0.99994119999999997</v>
      </c>
      <c r="Q4900">
        <v>-1.0736229999999999E-3</v>
      </c>
      <c r="R4900">
        <v>1.080512E-2</v>
      </c>
      <c r="S4900">
        <v>2.9981689999999999</v>
      </c>
      <c r="T4900">
        <v>-0.32924439999999999</v>
      </c>
      <c r="U4900">
        <v>0.15335079999999901</v>
      </c>
      <c r="V4900">
        <v>-9.639313E-3</v>
      </c>
      <c r="W4900">
        <v>1.7844990000000002E-2</v>
      </c>
      <c r="X4900">
        <v>0.99979430000000002</v>
      </c>
      <c r="Y4900">
        <v>-4.9614720000000001E-2</v>
      </c>
      <c r="Z4900">
        <v>2.58544E-3</v>
      </c>
      <c r="AA4900">
        <v>0.99876509999999996</v>
      </c>
      <c r="AB4900">
        <v>31</v>
      </c>
      <c r="AC4900">
        <v>9.8944999999999901</v>
      </c>
      <c r="AD4900">
        <v>-1.1054362536139899</v>
      </c>
      <c r="AE4900">
        <v>0.51446000000000303</v>
      </c>
      <c r="AF4900">
        <v>-0.49662438672894299</v>
      </c>
      <c r="AG4900">
        <v>-1.1054362536139899</v>
      </c>
      <c r="AH4900">
        <v>9.7734371585182895</v>
      </c>
      <c r="AI4900">
        <v>96.444837611554206</v>
      </c>
      <c r="AJ4900">
        <v>92.908907956925802</v>
      </c>
      <c r="AK4900">
        <v>9.8482840629118797</v>
      </c>
    </row>
    <row r="4901" spans="1:37" x14ac:dyDescent="0.2">
      <c r="A4901" t="str">
        <f>"20200111153749549"</f>
        <v>20200111153749549</v>
      </c>
      <c r="B4901" t="str">
        <f>"1578728269538124"</f>
        <v>1578728269538124</v>
      </c>
      <c r="C4901" t="s">
        <v>37</v>
      </c>
      <c r="D4901">
        <v>6.0043430000000004</v>
      </c>
      <c r="E4901">
        <v>0.48685099999999998</v>
      </c>
      <c r="F4901" t="s">
        <v>38</v>
      </c>
      <c r="G4901">
        <v>-332.82190000000003</v>
      </c>
      <c r="H4901">
        <v>1.0126809999999999</v>
      </c>
      <c r="I4901">
        <v>17.28754</v>
      </c>
      <c r="J4901">
        <v>-333.39359999999999</v>
      </c>
      <c r="K4901">
        <v>1.105486</v>
      </c>
      <c r="L4901">
        <v>17.245360000000002</v>
      </c>
      <c r="M4901">
        <v>0.99981919999999902</v>
      </c>
      <c r="N4901">
        <v>0</v>
      </c>
      <c r="O4901">
        <v>1.5910950000000001E-3</v>
      </c>
      <c r="P4901">
        <v>0.99994519999999998</v>
      </c>
      <c r="Q4901">
        <v>-1.295296E-3</v>
      </c>
      <c r="R4901">
        <v>1.038653E-2</v>
      </c>
      <c r="S4901">
        <v>2.998138</v>
      </c>
      <c r="T4901">
        <v>-0.3289666</v>
      </c>
      <c r="U4901">
        <v>0.1526489</v>
      </c>
      <c r="V4901">
        <v>-8.8088609999999994E-3</v>
      </c>
      <c r="W4901">
        <v>1.764951E-2</v>
      </c>
      <c r="X4901">
        <v>0.99980550000000001</v>
      </c>
      <c r="Y4901">
        <v>-4.8975669999999999E-2</v>
      </c>
      <c r="Z4901">
        <v>2.5031609999999998E-3</v>
      </c>
      <c r="AA4901">
        <v>0.99879680000000004</v>
      </c>
      <c r="AB4901">
        <v>31</v>
      </c>
      <c r="AC4901">
        <v>0.57169999999996401</v>
      </c>
      <c r="AD4901">
        <v>-9.2804999999999999E-2</v>
      </c>
      <c r="AE4901">
        <v>4.2179999999998302E-2</v>
      </c>
      <c r="AF4901">
        <v>-4.02161338304097E-2</v>
      </c>
      <c r="AG4901">
        <v>-9.2804999999999999E-2</v>
      </c>
      <c r="AH4901">
        <v>0.55716375445952504</v>
      </c>
      <c r="AI4901">
        <v>99.432659163332502</v>
      </c>
      <c r="AJ4901">
        <v>94.128455151520896</v>
      </c>
      <c r="AK4901">
        <v>0.56626986033930804</v>
      </c>
    </row>
    <row r="4902" spans="1:37" x14ac:dyDescent="0.2">
      <c r="A4902" t="str">
        <f>"20200111153749565"</f>
        <v>20200111153749565</v>
      </c>
      <c r="B4902" t="str">
        <f>"1578728269558620"</f>
        <v>1578728269558620</v>
      </c>
      <c r="C4902" t="s">
        <v>37</v>
      </c>
      <c r="D4902">
        <v>6.096679</v>
      </c>
      <c r="E4902">
        <v>0.51308229999999999</v>
      </c>
      <c r="F4902" t="s">
        <v>38</v>
      </c>
      <c r="G4902">
        <v>-332.55040000000002</v>
      </c>
      <c r="H4902">
        <v>1.0126090000000001</v>
      </c>
      <c r="I4902">
        <v>17.28687</v>
      </c>
      <c r="J4902">
        <v>-333.19529999999997</v>
      </c>
      <c r="K4902">
        <v>1.1055299999999999</v>
      </c>
      <c r="L4902">
        <v>17.246029999999902</v>
      </c>
      <c r="M4902">
        <v>0.99981830000000005</v>
      </c>
      <c r="N4902">
        <v>0</v>
      </c>
      <c r="O4902">
        <v>1.92536799999999E-3</v>
      </c>
      <c r="P4902">
        <v>0.99994519999999998</v>
      </c>
      <c r="Q4902">
        <v>-1.3303010000000001E-3</v>
      </c>
      <c r="R4902">
        <v>1.038416E-2</v>
      </c>
      <c r="S4902">
        <v>2.9981689999999999</v>
      </c>
      <c r="T4902">
        <v>-0.330262099999999</v>
      </c>
      <c r="U4902">
        <v>0.14791869999999999</v>
      </c>
      <c r="V4902">
        <v>-8.4737110000000001E-3</v>
      </c>
      <c r="W4902">
        <v>1.7630440000000001E-2</v>
      </c>
      <c r="X4902">
        <v>0.99980869999999999</v>
      </c>
      <c r="Y4902">
        <v>-4.7080490000000003E-2</v>
      </c>
      <c r="Z4902">
        <v>2.3723339999999998E-3</v>
      </c>
      <c r="AA4902">
        <v>0.99888829999999995</v>
      </c>
      <c r="AB4902">
        <v>31</v>
      </c>
      <c r="AC4902">
        <v>0.64489999999994996</v>
      </c>
      <c r="AD4902">
        <v>-9.2920999999999795E-2</v>
      </c>
      <c r="AE4902">
        <v>4.0840000000002798E-2</v>
      </c>
      <c r="AF4902">
        <v>-3.8795818088599297E-2</v>
      </c>
      <c r="AG4902">
        <v>-9.2920999999999795E-2</v>
      </c>
      <c r="AH4902">
        <v>0.63191090922575899</v>
      </c>
      <c r="AI4902">
        <v>98.349759000446099</v>
      </c>
      <c r="AJ4902">
        <v>93.513232762074296</v>
      </c>
      <c r="AK4902">
        <v>0.63988344637182804</v>
      </c>
    </row>
    <row r="4903" spans="1:37" x14ac:dyDescent="0.2">
      <c r="A4903" t="str">
        <f>"20200111153749578"</f>
        <v>20200111153749578</v>
      </c>
      <c r="B4903" t="str">
        <f>"1578728269568381"</f>
        <v>1578728269568381</v>
      </c>
      <c r="C4903" t="s">
        <v>37</v>
      </c>
      <c r="D4903">
        <v>6.0571169999999999</v>
      </c>
      <c r="E4903">
        <v>0.51738790000000001</v>
      </c>
      <c r="F4903" t="s">
        <v>38</v>
      </c>
      <c r="G4903">
        <v>-332.27870000000001</v>
      </c>
      <c r="H4903">
        <v>1.0215620000000001</v>
      </c>
      <c r="I4903">
        <v>17.22645</v>
      </c>
      <c r="J4903">
        <v>-333.00319999999999</v>
      </c>
      <c r="K4903">
        <v>1.1055729999999999</v>
      </c>
      <c r="L4903">
        <v>17.246729999999999</v>
      </c>
      <c r="M4903">
        <v>0.99981739999999997</v>
      </c>
      <c r="N4903">
        <v>0</v>
      </c>
      <c r="O4903">
        <v>2.2740439999999998E-3</v>
      </c>
      <c r="P4903">
        <v>0.99994559999999999</v>
      </c>
      <c r="Q4903">
        <v>-1.4677760000000001E-3</v>
      </c>
      <c r="R4903">
        <v>1.034263E-2</v>
      </c>
      <c r="S4903">
        <v>3.0004270000000002</v>
      </c>
      <c r="T4903">
        <v>-0.27490940000000003</v>
      </c>
      <c r="U4903">
        <v>-6.3415529999999998E-2</v>
      </c>
      <c r="V4903">
        <v>-8.0851789999999996E-3</v>
      </c>
      <c r="W4903">
        <v>1.7507439999999999E-2</v>
      </c>
      <c r="X4903">
        <v>0.99981399999999998</v>
      </c>
      <c r="Y4903">
        <v>2.3297600000000002E-2</v>
      </c>
      <c r="Z4903">
        <v>-1.27289E-3</v>
      </c>
      <c r="AA4903">
        <v>0.99972780000000006</v>
      </c>
      <c r="AB4903">
        <v>30</v>
      </c>
      <c r="AC4903">
        <v>0.72449999999997705</v>
      </c>
      <c r="AD4903">
        <v>-8.4010999999999794E-2</v>
      </c>
      <c r="AE4903">
        <v>-2.02799999999996E-2</v>
      </c>
      <c r="AF4903">
        <v>2.16370829950242E-2</v>
      </c>
      <c r="AG4903">
        <v>-8.4010999999999794E-2</v>
      </c>
      <c r="AH4903">
        <v>0.71484763064041701</v>
      </c>
      <c r="AI4903">
        <v>96.699782270899306</v>
      </c>
      <c r="AJ4903">
        <v>88.266294661667899</v>
      </c>
      <c r="AK4903">
        <v>0.72009245692046397</v>
      </c>
    </row>
    <row r="4904" spans="1:37" x14ac:dyDescent="0.2">
      <c r="A4904" t="str">
        <f>"20200111153749596"</f>
        <v>20200111153749596</v>
      </c>
      <c r="B4904" t="str">
        <f>"1578728269587899"</f>
        <v>1578728269587899</v>
      </c>
      <c r="C4904" t="s">
        <v>37</v>
      </c>
      <c r="D4904">
        <v>6.0665709999999997</v>
      </c>
      <c r="E4904">
        <v>0.52171229999999902</v>
      </c>
      <c r="F4904" t="s">
        <v>38</v>
      </c>
      <c r="G4904">
        <v>-332.267</v>
      </c>
      <c r="H4904">
        <v>1.0413859999999999</v>
      </c>
      <c r="I4904">
        <v>17.222370000000002</v>
      </c>
      <c r="J4904">
        <v>-332.76119999999997</v>
      </c>
      <c r="K4904">
        <v>1.1056299999999999</v>
      </c>
      <c r="L4904">
        <v>17.247769999999999</v>
      </c>
      <c r="M4904">
        <v>0.99981580000000003</v>
      </c>
      <c r="N4904">
        <v>0</v>
      </c>
      <c r="O4904">
        <v>2.7555629999999999E-3</v>
      </c>
      <c r="P4904">
        <v>0.99994869999999902</v>
      </c>
      <c r="Q4904">
        <v>-1.653999E-3</v>
      </c>
      <c r="R4904">
        <v>1.000555E-2</v>
      </c>
      <c r="S4904">
        <v>3.0007929999999998</v>
      </c>
      <c r="T4904">
        <v>-0.2616733</v>
      </c>
      <c r="U4904">
        <v>-9.8449709999999996E-2</v>
      </c>
      <c r="V4904">
        <v>-7.2675739999999997E-3</v>
      </c>
      <c r="W4904">
        <v>1.733676E-2</v>
      </c>
      <c r="X4904">
        <v>0.99982329999999997</v>
      </c>
      <c r="Y4904">
        <v>3.5400059999999997E-2</v>
      </c>
      <c r="Z4904">
        <v>-1.779947E-3</v>
      </c>
      <c r="AA4904">
        <v>0.99937160000000003</v>
      </c>
      <c r="AB4904">
        <v>30</v>
      </c>
      <c r="AC4904">
        <v>0.49419999999997699</v>
      </c>
      <c r="AD4904">
        <v>-6.4243999999999704E-2</v>
      </c>
      <c r="AE4904">
        <v>-2.5400000000001199E-2</v>
      </c>
      <c r="AF4904">
        <v>2.6318367514171399E-2</v>
      </c>
      <c r="AG4904">
        <v>-6.4243999999999704E-2</v>
      </c>
      <c r="AH4904">
        <v>0.48593791465908298</v>
      </c>
      <c r="AI4904">
        <v>97.520286354305597</v>
      </c>
      <c r="AJ4904">
        <v>86.899892925027004</v>
      </c>
      <c r="AK4904">
        <v>0.49087228981460002</v>
      </c>
    </row>
    <row r="4905" spans="1:37" x14ac:dyDescent="0.2">
      <c r="A4905" t="str">
        <f>"20200111153749618"</f>
        <v>20200111153749618</v>
      </c>
      <c r="B4905" t="str">
        <f>"1578728269608395"</f>
        <v>1578728269608395</v>
      </c>
      <c r="C4905" t="s">
        <v>37</v>
      </c>
      <c r="D4905">
        <v>6.3469089999999904</v>
      </c>
      <c r="E4905">
        <v>0.53059080000000003</v>
      </c>
      <c r="F4905" t="s">
        <v>38</v>
      </c>
      <c r="G4905">
        <v>-331.99939999999998</v>
      </c>
      <c r="H4905">
        <v>1.0396299999999901</v>
      </c>
      <c r="I4905">
        <v>17.213290000000001</v>
      </c>
      <c r="J4905">
        <v>-332.4692</v>
      </c>
      <c r="K4905">
        <v>1.1056889999999999</v>
      </c>
      <c r="L4905">
        <v>17.24924</v>
      </c>
      <c r="M4905">
        <v>0.99981359999999997</v>
      </c>
      <c r="N4905">
        <v>0</v>
      </c>
      <c r="O4905">
        <v>3.38061E-3</v>
      </c>
      <c r="P4905">
        <v>0.99995560000000006</v>
      </c>
      <c r="Q4905">
        <v>-1.2165639999999901E-3</v>
      </c>
      <c r="R4905">
        <v>9.3587310000000003E-3</v>
      </c>
      <c r="S4905">
        <v>3.0010680000000001</v>
      </c>
      <c r="T4905">
        <v>-0.26017620000000002</v>
      </c>
      <c r="U4905">
        <v>-0.13415529999999901</v>
      </c>
      <c r="V4905">
        <v>-5.9979279999999996E-3</v>
      </c>
      <c r="W4905">
        <v>1.7790630000000002E-2</v>
      </c>
      <c r="X4905">
        <v>0.99982369999999898</v>
      </c>
      <c r="Y4905">
        <v>4.7843740000000003E-2</v>
      </c>
      <c r="Z4905">
        <v>-2.3614310000000002E-3</v>
      </c>
      <c r="AA4905">
        <v>0.99885199999999996</v>
      </c>
      <c r="AB4905">
        <v>30</v>
      </c>
      <c r="AC4905">
        <v>0.46980000000001998</v>
      </c>
      <c r="AD4905">
        <v>-6.6059000000000007E-2</v>
      </c>
      <c r="AE4905">
        <v>-3.5949999999999697E-2</v>
      </c>
      <c r="AF4905">
        <v>3.6814651339845399E-2</v>
      </c>
      <c r="AG4905">
        <v>-6.6059000000000007E-2</v>
      </c>
      <c r="AH4905">
        <v>0.46062163107058801</v>
      </c>
      <c r="AI4905">
        <v>98.135701002515702</v>
      </c>
      <c r="AJ4905">
        <v>85.4304144409857</v>
      </c>
      <c r="AK4905">
        <v>0.46678838572141301</v>
      </c>
    </row>
    <row r="4906" spans="1:37" x14ac:dyDescent="0.2">
      <c r="A4906" t="str">
        <f>"20200111153749632"</f>
        <v>20200111153749632</v>
      </c>
      <c r="B4906" t="str">
        <f>"1578728269627916"</f>
        <v>1578728269627916</v>
      </c>
      <c r="C4906" t="s">
        <v>37</v>
      </c>
      <c r="D4906">
        <v>6.3655689999999998</v>
      </c>
      <c r="E4906">
        <v>0.59765699999999999</v>
      </c>
      <c r="F4906" t="s">
        <v>38</v>
      </c>
      <c r="G4906">
        <v>-331.73090000000002</v>
      </c>
      <c r="H4906">
        <v>1.0402279999999999</v>
      </c>
      <c r="I4906">
        <v>17.198139999999999</v>
      </c>
      <c r="J4906">
        <v>-332.28870000000001</v>
      </c>
      <c r="K4906">
        <v>1.105715</v>
      </c>
      <c r="L4906">
        <v>17.250309999999999</v>
      </c>
      <c r="M4906">
        <v>0.99981209999999898</v>
      </c>
      <c r="N4906">
        <v>0</v>
      </c>
      <c r="O4906">
        <v>3.793102E-3</v>
      </c>
      <c r="P4906">
        <v>0.99995780000000001</v>
      </c>
      <c r="Q4906">
        <v>-9.0796500000000005E-4</v>
      </c>
      <c r="R4906">
        <v>9.1371600000000001E-3</v>
      </c>
      <c r="S4906">
        <v>3.0017399999999999</v>
      </c>
      <c r="T4906">
        <v>-0.26614399999999999</v>
      </c>
      <c r="U4906">
        <v>-0.20697019999999999</v>
      </c>
      <c r="V4906">
        <v>-5.3652459999999997E-3</v>
      </c>
      <c r="W4906">
        <v>1.8092899999999999E-2</v>
      </c>
      <c r="X4906">
        <v>0.99982190000000004</v>
      </c>
      <c r="Y4906">
        <v>7.2274069999999996E-2</v>
      </c>
      <c r="Z4906">
        <v>-3.5293109999999998E-3</v>
      </c>
      <c r="AA4906">
        <v>0.9973786</v>
      </c>
      <c r="AB4906">
        <v>30</v>
      </c>
      <c r="AC4906">
        <v>0.55779999999998597</v>
      </c>
      <c r="AD4906">
        <v>-6.5486999999999795E-2</v>
      </c>
      <c r="AE4906">
        <v>-5.2170000000000202E-2</v>
      </c>
      <c r="AF4906">
        <v>5.35540488010035E-2</v>
      </c>
      <c r="AG4906">
        <v>-6.5486999999999795E-2</v>
      </c>
      <c r="AH4906">
        <v>0.55008186917847701</v>
      </c>
      <c r="AI4906">
        <v>96.757432363970906</v>
      </c>
      <c r="AJ4906">
        <v>84.439407214418097</v>
      </c>
      <c r="AK4906">
        <v>0.55654887126906305</v>
      </c>
    </row>
    <row r="4907" spans="1:37" x14ac:dyDescent="0.2">
      <c r="A4907" t="str">
        <f>"20200111153749646"</f>
        <v>20200111153749646</v>
      </c>
      <c r="B4907" t="str">
        <f>"1578728269638317"</f>
        <v>1578728269638317</v>
      </c>
      <c r="C4907" t="s">
        <v>37</v>
      </c>
      <c r="D4907">
        <v>6.4525579999999998</v>
      </c>
      <c r="E4907">
        <v>0.60084199999999999</v>
      </c>
      <c r="F4907" t="s">
        <v>38</v>
      </c>
      <c r="G4907">
        <v>-331.48239999999998</v>
      </c>
      <c r="H4907">
        <v>0.99016949999999904</v>
      </c>
      <c r="I4907">
        <v>17.05227</v>
      </c>
      <c r="J4907">
        <v>-332.10599999999999</v>
      </c>
      <c r="K4907">
        <v>1.1057410000000001</v>
      </c>
      <c r="L4907">
        <v>17.251429999999999</v>
      </c>
      <c r="M4907">
        <v>0.9998108</v>
      </c>
      <c r="N4907">
        <v>0</v>
      </c>
      <c r="O4907">
        <v>4.2192640000000003E-3</v>
      </c>
      <c r="P4907">
        <v>0.99995829999999997</v>
      </c>
      <c r="Q4907">
        <v>-6.8292579999999997E-4</v>
      </c>
      <c r="R4907">
        <v>9.1018209999999995E-3</v>
      </c>
      <c r="S4907">
        <v>3.0064700000000002</v>
      </c>
      <c r="T4907">
        <v>-0.4308304</v>
      </c>
      <c r="U4907">
        <v>-0.73739619999999995</v>
      </c>
      <c r="V4907">
        <v>-4.9046849999999998E-3</v>
      </c>
      <c r="W4907">
        <v>1.8303630000000001E-2</v>
      </c>
      <c r="X4907">
        <v>0.9998205</v>
      </c>
      <c r="Y4907">
        <v>0.23995179999999999</v>
      </c>
      <c r="Z4907">
        <v>-1.7452249999999999E-2</v>
      </c>
      <c r="AA4907">
        <v>0.97062789999999999</v>
      </c>
      <c r="AB4907">
        <v>30</v>
      </c>
      <c r="AC4907">
        <v>0.62360000000001004</v>
      </c>
      <c r="AD4907">
        <v>-0.11557149999999999</v>
      </c>
      <c r="AE4907">
        <v>-0.199159999999999</v>
      </c>
      <c r="AF4907">
        <v>0.19569055767059801</v>
      </c>
      <c r="AG4907">
        <v>-0.11557149999999999</v>
      </c>
      <c r="AH4907">
        <v>0.603930696325647</v>
      </c>
      <c r="AI4907">
        <v>100.317539285439</v>
      </c>
      <c r="AJ4907">
        <v>72.046215074722099</v>
      </c>
      <c r="AK4907">
        <v>0.645278119835208</v>
      </c>
    </row>
    <row r="4908" spans="1:37" x14ac:dyDescent="0.2">
      <c r="A4908" t="str">
        <f>"20200111153749662"</f>
        <v>20200111153749662</v>
      </c>
      <c r="B4908" t="str">
        <f>"1578728269657837"</f>
        <v>1578728269657837</v>
      </c>
      <c r="C4908" t="s">
        <v>37</v>
      </c>
      <c r="D4908">
        <v>6.3479359999999998</v>
      </c>
      <c r="E4908">
        <v>0.60248889999999999</v>
      </c>
      <c r="F4908" t="s">
        <v>39</v>
      </c>
      <c r="G4908">
        <v>-325.17579999999998</v>
      </c>
      <c r="H4908" s="1">
        <v>-2.9916930000000001E-6</v>
      </c>
      <c r="I4908">
        <v>15.496429999999901</v>
      </c>
      <c r="J4908">
        <v>-331.88659999999999</v>
      </c>
      <c r="K4908">
        <v>1.1057649999999899</v>
      </c>
      <c r="L4908">
        <v>17.2529</v>
      </c>
      <c r="M4908">
        <v>0.99980899999999995</v>
      </c>
      <c r="N4908">
        <v>0</v>
      </c>
      <c r="O4908">
        <v>4.7430099999999998E-3</v>
      </c>
      <c r="P4908">
        <v>0.99996289999999999</v>
      </c>
      <c r="Q4908">
        <v>1.698658E-4</v>
      </c>
      <c r="R4908">
        <v>8.6124159999999995E-3</v>
      </c>
      <c r="S4908">
        <v>3.0066830000000002</v>
      </c>
      <c r="T4908">
        <v>-0.47973149999999998</v>
      </c>
      <c r="U4908">
        <v>-0.76141359999999902</v>
      </c>
      <c r="V4908">
        <v>-3.8939090000000001E-3</v>
      </c>
      <c r="W4908">
        <v>1.9124599999999999E-2</v>
      </c>
      <c r="X4908">
        <v>0.99980949999999902</v>
      </c>
      <c r="Y4908">
        <v>0.24709139999999999</v>
      </c>
      <c r="Z4908">
        <v>-2.0030349999999999E-2</v>
      </c>
      <c r="AA4908">
        <v>0.96878519999999901</v>
      </c>
      <c r="AB4908">
        <v>30</v>
      </c>
      <c r="AC4908">
        <v>6.7107999999999999</v>
      </c>
      <c r="AD4908">
        <v>-1.1057679916930001</v>
      </c>
      <c r="AE4908">
        <v>-1.75647</v>
      </c>
      <c r="AF4908">
        <v>1.7439712909715299</v>
      </c>
      <c r="AG4908">
        <v>-1.1057679916930001</v>
      </c>
      <c r="AH4908">
        <v>6.5363054581068001</v>
      </c>
      <c r="AI4908">
        <v>99.2831958332753</v>
      </c>
      <c r="AJ4908">
        <v>75.0607552711338</v>
      </c>
      <c r="AK4908">
        <v>6.8547390728504398</v>
      </c>
    </row>
    <row r="4909" spans="1:37" x14ac:dyDescent="0.2">
      <c r="A4909" t="str">
        <f>"20200111153749685"</f>
        <v>20200111153749685</v>
      </c>
      <c r="B4909" t="str">
        <f>"1578728269678334"</f>
        <v>1578728269678334</v>
      </c>
      <c r="C4909" t="s">
        <v>37</v>
      </c>
      <c r="D4909">
        <v>6.2721029999999898</v>
      </c>
      <c r="E4909">
        <v>0.60184150000000003</v>
      </c>
      <c r="F4909" t="s">
        <v>39</v>
      </c>
      <c r="G4909">
        <v>-325.16579999999999</v>
      </c>
      <c r="H4909" s="1">
        <v>-2.9925109999999998E-6</v>
      </c>
      <c r="I4909">
        <v>15.518479999999901</v>
      </c>
      <c r="J4909">
        <v>-331.57940000000002</v>
      </c>
      <c r="K4909">
        <v>1.10578</v>
      </c>
      <c r="L4909">
        <v>17.255220000000001</v>
      </c>
      <c r="M4909">
        <v>0.9998068</v>
      </c>
      <c r="N4909">
        <v>0</v>
      </c>
      <c r="O4909">
        <v>5.4924750000000001E-3</v>
      </c>
      <c r="P4909">
        <v>0.99996669999999999</v>
      </c>
      <c r="Q4909">
        <v>5.0389580000000003E-4</v>
      </c>
      <c r="R4909">
        <v>8.1568309999999998E-3</v>
      </c>
      <c r="S4909">
        <v>3.006866</v>
      </c>
      <c r="T4909">
        <v>-0.49471609999999999</v>
      </c>
      <c r="U4909">
        <v>-0.77597050000000001</v>
      </c>
      <c r="V4909">
        <v>-2.6891549999999999E-3</v>
      </c>
      <c r="W4909">
        <v>1.937823E-2</v>
      </c>
      <c r="X4909">
        <v>0.99980859999999905</v>
      </c>
      <c r="Y4909">
        <v>0.25194739999999999</v>
      </c>
      <c r="Z4909">
        <v>-2.1146189999999999E-2</v>
      </c>
      <c r="AA4909">
        <v>0.96750990000000003</v>
      </c>
      <c r="AB4909">
        <v>30</v>
      </c>
      <c r="AC4909">
        <v>6.4136000000000299</v>
      </c>
      <c r="AD4909">
        <v>-1.1057829925110001</v>
      </c>
      <c r="AE4909">
        <v>-1.73674</v>
      </c>
      <c r="AF4909">
        <v>1.7241947570598399</v>
      </c>
      <c r="AG4909">
        <v>-1.1057829925110001</v>
      </c>
      <c r="AH4909">
        <v>6.2313833630079101</v>
      </c>
      <c r="AI4909">
        <v>99.705260095814296</v>
      </c>
      <c r="AJ4909">
        <v>74.533481386065802</v>
      </c>
      <c r="AK4909">
        <v>6.55940105524666</v>
      </c>
    </row>
    <row r="4910" spans="1:37" x14ac:dyDescent="0.2">
      <c r="A4910" t="str">
        <f>"20200111153749697"</f>
        <v>20200111153749697</v>
      </c>
      <c r="B4910" t="str">
        <f>"1578728269688093"</f>
        <v>1578728269688093</v>
      </c>
      <c r="C4910" t="s">
        <v>37</v>
      </c>
      <c r="D4910">
        <v>6.2901319999999998</v>
      </c>
      <c r="E4910">
        <v>0.60187819999999903</v>
      </c>
      <c r="F4910" t="s">
        <v>39</v>
      </c>
      <c r="G4910">
        <v>-324.94740000000002</v>
      </c>
      <c r="H4910" s="1">
        <v>-3.089812E-6</v>
      </c>
      <c r="I4910">
        <v>15.55189</v>
      </c>
      <c r="J4910">
        <v>-331.40199999999999</v>
      </c>
      <c r="K4910">
        <v>1.1057790000000001</v>
      </c>
      <c r="L4910">
        <v>17.25665</v>
      </c>
      <c r="M4910">
        <v>0.99980539999999996</v>
      </c>
      <c r="N4910">
        <v>0</v>
      </c>
      <c r="O4910">
        <v>5.9290899999999997E-3</v>
      </c>
      <c r="P4910">
        <v>0.99996749999999901</v>
      </c>
      <c r="Q4910">
        <v>7.1977450000000002E-4</v>
      </c>
      <c r="R4910">
        <v>8.0289100000000002E-3</v>
      </c>
      <c r="S4910">
        <v>3.006653</v>
      </c>
      <c r="T4910">
        <v>-0.50131499999999996</v>
      </c>
      <c r="U4910">
        <v>-0.77221680000000004</v>
      </c>
      <c r="V4910">
        <v>-2.1251579999999998E-3</v>
      </c>
      <c r="W4910">
        <v>1.953508E-2</v>
      </c>
      <c r="X4910">
        <v>0.99980689999999905</v>
      </c>
      <c r="Y4910">
        <v>0.25116929999999998</v>
      </c>
      <c r="Z4910">
        <v>-2.1437069999999999E-2</v>
      </c>
      <c r="AA4910">
        <v>0.96770579999999995</v>
      </c>
      <c r="AB4910">
        <v>30</v>
      </c>
      <c r="AC4910">
        <v>6.4545999999999699</v>
      </c>
      <c r="AD4910">
        <v>-1.1057820898120001</v>
      </c>
      <c r="AE4910">
        <v>-1.7047600000000001</v>
      </c>
      <c r="AF4910">
        <v>1.69646313121951</v>
      </c>
      <c r="AG4910">
        <v>-1.1057820898120001</v>
      </c>
      <c r="AH4910">
        <v>6.2722925995356</v>
      </c>
      <c r="AI4910">
        <v>99.658150640120695</v>
      </c>
      <c r="AJ4910">
        <v>74.865361324544807</v>
      </c>
      <c r="AK4910">
        <v>6.5910845571821604</v>
      </c>
    </row>
    <row r="4911" spans="1:37" x14ac:dyDescent="0.2">
      <c r="A4911" t="str">
        <f>"20200111153749710"</f>
        <v>20200111153749710</v>
      </c>
      <c r="B4911" t="str">
        <f>"1578728269697853"</f>
        <v>1578728269697853</v>
      </c>
      <c r="C4911" t="s">
        <v>37</v>
      </c>
      <c r="D4911">
        <v>6.3216919999999996</v>
      </c>
      <c r="E4911">
        <v>0.60202339999999999</v>
      </c>
      <c r="F4911" t="s">
        <v>38</v>
      </c>
      <c r="G4911">
        <v>-330.6884</v>
      </c>
      <c r="H4911">
        <v>0.98682649999999905</v>
      </c>
      <c r="I4911">
        <v>17.0731</v>
      </c>
      <c r="J4911">
        <v>-331.2509</v>
      </c>
      <c r="K4911">
        <v>1.105774</v>
      </c>
      <c r="L4911">
        <v>17.257929999999899</v>
      </c>
      <c r="M4911">
        <v>0.99980429999999998</v>
      </c>
      <c r="N4911">
        <v>0</v>
      </c>
      <c r="O4911">
        <v>6.30059E-3</v>
      </c>
      <c r="P4911">
        <v>0.99996960000000001</v>
      </c>
      <c r="Q4911">
        <v>6.8662689999999995E-4</v>
      </c>
      <c r="R4911">
        <v>7.7880240000000002E-3</v>
      </c>
      <c r="S4911">
        <v>3.006653</v>
      </c>
      <c r="T4911">
        <v>-0.50117909999999999</v>
      </c>
      <c r="U4911">
        <v>-0.77313229999999999</v>
      </c>
      <c r="V4911">
        <v>-1.5130199999999999E-3</v>
      </c>
      <c r="W4911">
        <v>1.9436869999999998E-2</v>
      </c>
      <c r="X4911">
        <v>0.99980990000000003</v>
      </c>
      <c r="Y4911">
        <v>0.25179410000000002</v>
      </c>
      <c r="Z4911">
        <v>-2.154203E-2</v>
      </c>
      <c r="AA4911">
        <v>0.96754099999999998</v>
      </c>
      <c r="AB4911">
        <v>30</v>
      </c>
      <c r="AC4911">
        <v>0.5625</v>
      </c>
      <c r="AD4911">
        <v>-0.1189475</v>
      </c>
      <c r="AE4911">
        <v>-0.184829999999998</v>
      </c>
      <c r="AF4911">
        <v>0.181063534130117</v>
      </c>
      <c r="AG4911">
        <v>-0.1189475</v>
      </c>
      <c r="AH4911">
        <v>0.53954857269919099</v>
      </c>
      <c r="AI4911">
        <v>101.805045409166</v>
      </c>
      <c r="AJ4911">
        <v>71.449103201008995</v>
      </c>
      <c r="AK4911">
        <v>0.58141652319973902</v>
      </c>
    </row>
    <row r="4912" spans="1:37" x14ac:dyDescent="0.2">
      <c r="A4912" t="str">
        <f>"20200111153749723"</f>
        <v>20200111153749723</v>
      </c>
      <c r="B4912" t="str">
        <f>"1578728269718349"</f>
        <v>1578728269718349</v>
      </c>
      <c r="C4912" t="s">
        <v>37</v>
      </c>
      <c r="D4912">
        <v>6.2624339999999998</v>
      </c>
      <c r="E4912">
        <v>0.60244379999999997</v>
      </c>
      <c r="F4912" t="s">
        <v>38</v>
      </c>
      <c r="G4912">
        <v>-330.42880000000002</v>
      </c>
      <c r="H4912">
        <v>0.96889599999999898</v>
      </c>
      <c r="I4912">
        <v>17.045719999999999</v>
      </c>
      <c r="J4912">
        <v>-331.07470000000001</v>
      </c>
      <c r="K4912">
        <v>1.1057600000000001</v>
      </c>
      <c r="L4912">
        <v>17.25949</v>
      </c>
      <c r="M4912">
        <v>0.99980309999999994</v>
      </c>
      <c r="N4912">
        <v>0</v>
      </c>
      <c r="O4912">
        <v>6.7290989999999997E-3</v>
      </c>
      <c r="P4912">
        <v>0.999969199999999</v>
      </c>
      <c r="Q4912">
        <v>9.8972949999999991E-4</v>
      </c>
      <c r="R4912">
        <v>7.8010900000000001E-3</v>
      </c>
      <c r="S4912">
        <v>3.0064700000000002</v>
      </c>
      <c r="T4912">
        <v>-0.50053499999999995</v>
      </c>
      <c r="U4912">
        <v>-0.77532959999999995</v>
      </c>
      <c r="V4912">
        <v>-1.097769E-3</v>
      </c>
      <c r="W4912">
        <v>1.965712E-2</v>
      </c>
      <c r="X4912">
        <v>0.99980619999999998</v>
      </c>
      <c r="Y4912">
        <v>0.25287500000000002</v>
      </c>
      <c r="Z4912">
        <v>-2.167179E-2</v>
      </c>
      <c r="AA4912">
        <v>0.96725620000000001</v>
      </c>
      <c r="AB4912">
        <v>30</v>
      </c>
      <c r="AC4912">
        <v>0.64589999999998304</v>
      </c>
      <c r="AD4912">
        <v>-0.13686400000000001</v>
      </c>
      <c r="AE4912">
        <v>-0.21376999999999599</v>
      </c>
      <c r="AF4912">
        <v>0.20962908541479799</v>
      </c>
      <c r="AG4912">
        <v>-0.13686400000000001</v>
      </c>
      <c r="AH4912">
        <v>0.61938183466636698</v>
      </c>
      <c r="AI4912">
        <v>101.821683890762</v>
      </c>
      <c r="AJ4912">
        <v>71.301668163532497</v>
      </c>
      <c r="AK4912">
        <v>0.66806434200795395</v>
      </c>
    </row>
    <row r="4913" spans="1:37" x14ac:dyDescent="0.2">
      <c r="A4913" t="str">
        <f>"20200111153749739"</f>
        <v>20200111153749739</v>
      </c>
      <c r="B4913" t="str">
        <f>"1578728269728109"</f>
        <v>1578728269728109</v>
      </c>
      <c r="C4913" t="s">
        <v>37</v>
      </c>
      <c r="D4913">
        <v>6.2368920000000001</v>
      </c>
      <c r="E4913">
        <v>0.60254629999999998</v>
      </c>
      <c r="F4913" t="s">
        <v>39</v>
      </c>
      <c r="G4913">
        <v>-324.41919999999999</v>
      </c>
      <c r="H4913" s="1">
        <v>-3.34254599999999E-6</v>
      </c>
      <c r="I4913">
        <v>15.5348399999999</v>
      </c>
      <c r="J4913">
        <v>-330.85559999999998</v>
      </c>
      <c r="K4913">
        <v>1.105734</v>
      </c>
      <c r="L4913">
        <v>17.261569999999999</v>
      </c>
      <c r="M4913">
        <v>0.99980170000000002</v>
      </c>
      <c r="N4913">
        <v>0</v>
      </c>
      <c r="O4913">
        <v>7.24641E-3</v>
      </c>
      <c r="P4913">
        <v>0.99996799999999997</v>
      </c>
      <c r="Q4913">
        <v>1.6659889999999899E-3</v>
      </c>
      <c r="R4913">
        <v>7.8411260000000003E-3</v>
      </c>
      <c r="S4913">
        <v>3.0066220000000001</v>
      </c>
      <c r="T4913">
        <v>-0.49952940000000001</v>
      </c>
      <c r="U4913">
        <v>-0.77911379999999997</v>
      </c>
      <c r="V4913">
        <v>-6.2054030000000004E-4</v>
      </c>
      <c r="W4913">
        <v>2.0216339999999999E-2</v>
      </c>
      <c r="X4913">
        <v>0.9997954</v>
      </c>
      <c r="Y4913">
        <v>0.25449149999999998</v>
      </c>
      <c r="Z4913">
        <v>-2.1839770000000001E-2</v>
      </c>
      <c r="AA4913">
        <v>0.96682839999999903</v>
      </c>
      <c r="AB4913">
        <v>30</v>
      </c>
      <c r="AC4913">
        <v>6.4363999999999901</v>
      </c>
      <c r="AD4913">
        <v>-1.105737342546</v>
      </c>
      <c r="AE4913">
        <v>-1.7267300000000001</v>
      </c>
      <c r="AF4913">
        <v>1.7258185852750401</v>
      </c>
      <c r="AG4913">
        <v>-1.105737342546</v>
      </c>
      <c r="AH4913">
        <v>6.2515984828454201</v>
      </c>
      <c r="AI4913">
        <v>99.675627005761996</v>
      </c>
      <c r="AJ4913">
        <v>74.567280935521794</v>
      </c>
      <c r="AK4913">
        <v>6.5790264059887003</v>
      </c>
    </row>
    <row r="4914" spans="1:37" x14ac:dyDescent="0.2">
      <c r="A4914" t="str">
        <f>"20200111153749752"</f>
        <v>20200111153749752</v>
      </c>
      <c r="B4914" t="str">
        <f>"1578728269747629"</f>
        <v>1578728269747629</v>
      </c>
      <c r="C4914" t="s">
        <v>37</v>
      </c>
      <c r="D4914">
        <v>6.2658180000000003</v>
      </c>
      <c r="E4914">
        <v>0.60305149999999996</v>
      </c>
      <c r="F4914" t="s">
        <v>39</v>
      </c>
      <c r="G4914">
        <v>-324.15460000000002</v>
      </c>
      <c r="H4914" s="1">
        <v>-3.4698100000000001E-6</v>
      </c>
      <c r="I4914">
        <v>15.52239</v>
      </c>
      <c r="J4914">
        <v>-330.68579999999997</v>
      </c>
      <c r="K4914">
        <v>1.1056979999999901</v>
      </c>
      <c r="L4914">
        <v>17.263210000000001</v>
      </c>
      <c r="M4914">
        <v>0.99980100000000005</v>
      </c>
      <c r="N4914">
        <v>0</v>
      </c>
      <c r="O4914">
        <v>7.6236280000000003E-3</v>
      </c>
      <c r="P4914">
        <v>0.99996600000000002</v>
      </c>
      <c r="Q4914">
        <v>1.9625699999999999E-3</v>
      </c>
      <c r="R4914">
        <v>8.0175070000000001E-3</v>
      </c>
      <c r="S4914">
        <v>3.00705</v>
      </c>
      <c r="T4914">
        <v>-0.496201</v>
      </c>
      <c r="U4914">
        <v>-0.7804565</v>
      </c>
      <c r="V4914">
        <v>-4.19354599999999E-4</v>
      </c>
      <c r="W4914">
        <v>2.039798E-2</v>
      </c>
      <c r="X4914">
        <v>0.99979189999999996</v>
      </c>
      <c r="Y4914">
        <v>0.25525819999999999</v>
      </c>
      <c r="Z4914">
        <v>-2.1814690000000001E-2</v>
      </c>
      <c r="AA4914">
        <v>0.96662680000000001</v>
      </c>
      <c r="AB4914">
        <v>30</v>
      </c>
      <c r="AC4914">
        <v>6.5311999999999504</v>
      </c>
      <c r="AD4914">
        <v>-1.1057014698099901</v>
      </c>
      <c r="AE4914">
        <v>-1.74082</v>
      </c>
      <c r="AF4914">
        <v>1.74390280512315</v>
      </c>
      <c r="AG4914">
        <v>-1.1057014698099901</v>
      </c>
      <c r="AH4914">
        <v>6.3478688151043698</v>
      </c>
      <c r="AI4914">
        <v>99.534502192463194</v>
      </c>
      <c r="AJ4914">
        <v>74.638528032221402</v>
      </c>
      <c r="AK4914">
        <v>6.6752686258929597</v>
      </c>
    </row>
    <row r="4915" spans="1:37" x14ac:dyDescent="0.2">
      <c r="A4915" t="str">
        <f>"20200111153749765"</f>
        <v>20200111153749765</v>
      </c>
      <c r="B4915" t="str">
        <f>"1578728269758365"</f>
        <v>1578728269758365</v>
      </c>
      <c r="C4915" t="s">
        <v>37</v>
      </c>
      <c r="D4915">
        <v>6.2858589999999896</v>
      </c>
      <c r="E4915">
        <v>0.60340389999999999</v>
      </c>
      <c r="F4915" t="s">
        <v>38</v>
      </c>
      <c r="G4915">
        <v>-329.89960000000002</v>
      </c>
      <c r="H4915">
        <v>0.97588680000000005</v>
      </c>
      <c r="I4915">
        <v>17.05799</v>
      </c>
      <c r="J4915">
        <v>-330.52099999999899</v>
      </c>
      <c r="K4915">
        <v>1.1056549999999901</v>
      </c>
      <c r="L4915">
        <v>17.264859999999999</v>
      </c>
      <c r="M4915">
        <v>0.99980059999999904</v>
      </c>
      <c r="N4915">
        <v>0</v>
      </c>
      <c r="O4915">
        <v>7.977039E-3</v>
      </c>
      <c r="P4915">
        <v>0.99996689999999999</v>
      </c>
      <c r="Q4915">
        <v>1.692762E-3</v>
      </c>
      <c r="R4915">
        <v>7.9760230000000005E-3</v>
      </c>
      <c r="S4915">
        <v>3.007355</v>
      </c>
      <c r="T4915">
        <v>-0.4965174</v>
      </c>
      <c r="U4915">
        <v>-0.78414919999999899</v>
      </c>
      <c r="V4915" s="1">
        <v>-2.2757649999999899E-5</v>
      </c>
      <c r="W4915">
        <v>2.0009909999999999E-2</v>
      </c>
      <c r="X4915">
        <v>0.99979979999999902</v>
      </c>
      <c r="Y4915">
        <v>0.25666250000000002</v>
      </c>
      <c r="Z4915">
        <v>-2.19934E-2</v>
      </c>
      <c r="AA4915">
        <v>0.96625079999999997</v>
      </c>
      <c r="AB4915">
        <v>30</v>
      </c>
      <c r="AC4915">
        <v>0.621399999999937</v>
      </c>
      <c r="AD4915">
        <v>-0.129768199999999</v>
      </c>
      <c r="AE4915">
        <v>-0.206870000000002</v>
      </c>
      <c r="AF4915">
        <v>0.203819294897715</v>
      </c>
      <c r="AG4915">
        <v>-0.129768199999999</v>
      </c>
      <c r="AH4915">
        <v>0.59631845383966398</v>
      </c>
      <c r="AI4915">
        <v>101.635677931766</v>
      </c>
      <c r="AJ4915">
        <v>71.129774262269606</v>
      </c>
      <c r="AK4915">
        <v>0.64341105764011397</v>
      </c>
    </row>
    <row r="4916" spans="1:37" x14ac:dyDescent="0.2">
      <c r="A4916" t="str">
        <f>"20200111153749776"</f>
        <v>20200111153749776</v>
      </c>
      <c r="B4916" t="str">
        <f>"1578728269768127"</f>
        <v>1578728269768127</v>
      </c>
      <c r="C4916" t="s">
        <v>37</v>
      </c>
      <c r="D4916">
        <v>6.2648849999999996</v>
      </c>
      <c r="E4916">
        <v>0.60374410000000001</v>
      </c>
      <c r="F4916" t="s">
        <v>39</v>
      </c>
      <c r="G4916">
        <v>-323.84910000000002</v>
      </c>
      <c r="H4916" s="1">
        <v>-3.6150449999999999E-6</v>
      </c>
      <c r="I4916">
        <v>15.51789</v>
      </c>
      <c r="J4916">
        <v>-330.35820000000001</v>
      </c>
      <c r="K4916">
        <v>1.105612</v>
      </c>
      <c r="L4916">
        <v>17.266539999999999</v>
      </c>
      <c r="M4916">
        <v>0.99979989999999996</v>
      </c>
      <c r="N4916">
        <v>0</v>
      </c>
      <c r="O4916">
        <v>8.3120759999999998E-3</v>
      </c>
      <c r="P4916">
        <v>0.99996739999999995</v>
      </c>
      <c r="Q4916">
        <v>1.502406E-3</v>
      </c>
      <c r="R4916">
        <v>7.9309649999999999E-3</v>
      </c>
      <c r="S4916">
        <v>3.0072329999999998</v>
      </c>
      <c r="T4916">
        <v>-0.49835370000000001</v>
      </c>
      <c r="U4916">
        <v>-0.78741459999999996</v>
      </c>
      <c r="V4916">
        <v>3.5882509999999999E-4</v>
      </c>
      <c r="W4916">
        <v>1.969431E-2</v>
      </c>
      <c r="X4916">
        <v>0.99980599999999997</v>
      </c>
      <c r="Y4916">
        <v>0.25793310000000003</v>
      </c>
      <c r="Z4916">
        <v>-2.222878E-2</v>
      </c>
      <c r="AA4916">
        <v>0.96590699999999996</v>
      </c>
      <c r="AB4916">
        <v>29</v>
      </c>
      <c r="AC4916">
        <v>6.5090999999999797</v>
      </c>
      <c r="AD4916">
        <v>-1.1056156150450001</v>
      </c>
      <c r="AE4916">
        <v>-1.74864999999999</v>
      </c>
      <c r="AF4916">
        <v>1.7554643569134201</v>
      </c>
      <c r="AG4916">
        <v>-1.1056156150450001</v>
      </c>
      <c r="AH4916">
        <v>6.3241590878129399</v>
      </c>
      <c r="AI4916">
        <v>99.561973400276898</v>
      </c>
      <c r="AJ4916">
        <v>74.486373656337904</v>
      </c>
      <c r="AK4916">
        <v>6.6557515852525402</v>
      </c>
    </row>
    <row r="4917" spans="1:37" x14ac:dyDescent="0.2">
      <c r="A4917" t="str">
        <f>"20200111153749790"</f>
        <v>20200111153749790</v>
      </c>
      <c r="B4917" t="str">
        <f>"1578728269777886"</f>
        <v>1578728269777886</v>
      </c>
      <c r="C4917" t="s">
        <v>37</v>
      </c>
      <c r="D4917">
        <v>6.2530159999999997</v>
      </c>
      <c r="E4917">
        <v>0.60399219999999998</v>
      </c>
      <c r="F4917" t="s">
        <v>38</v>
      </c>
      <c r="G4917">
        <v>-329.63440000000003</v>
      </c>
      <c r="H4917">
        <v>0.98577420000000004</v>
      </c>
      <c r="I4917">
        <v>17.076149999999998</v>
      </c>
      <c r="J4917">
        <v>-330.19830000000002</v>
      </c>
      <c r="K4917">
        <v>1.105564</v>
      </c>
      <c r="L4917">
        <v>17.268219999999999</v>
      </c>
      <c r="M4917">
        <v>0.99979969999999996</v>
      </c>
      <c r="N4917">
        <v>0</v>
      </c>
      <c r="O4917">
        <v>8.6065900000000008E-3</v>
      </c>
      <c r="P4917">
        <v>0.99997039999999904</v>
      </c>
      <c r="Q4917">
        <v>8.3039050000000003E-4</v>
      </c>
      <c r="R4917">
        <v>7.646496E-3</v>
      </c>
      <c r="S4917">
        <v>3.0071110000000001</v>
      </c>
      <c r="T4917">
        <v>-0.49789640000000002</v>
      </c>
      <c r="U4917">
        <v>-0.79046629999999996</v>
      </c>
      <c r="V4917">
        <v>9.4014619999999995E-4</v>
      </c>
      <c r="W4917">
        <v>1.8900520000000001E-2</v>
      </c>
      <c r="X4917">
        <v>0.99982090000000001</v>
      </c>
      <c r="Y4917">
        <v>0.25913179999999902</v>
      </c>
      <c r="Z4917">
        <v>-2.2351380000000001E-2</v>
      </c>
      <c r="AA4917">
        <v>0.96558330000000003</v>
      </c>
      <c r="AB4917">
        <v>29</v>
      </c>
      <c r="AC4917">
        <v>0.56389999999998897</v>
      </c>
      <c r="AD4917">
        <v>-0.119789799999999</v>
      </c>
      <c r="AE4917">
        <v>-0.19207000000000099</v>
      </c>
      <c r="AF4917">
        <v>0.18926390658506401</v>
      </c>
      <c r="AG4917">
        <v>-0.119789799999999</v>
      </c>
      <c r="AH4917">
        <v>0.54037529585936395</v>
      </c>
      <c r="AI4917">
        <v>101.816830615749</v>
      </c>
      <c r="AJ4917">
        <v>70.697433984955296</v>
      </c>
      <c r="AK4917">
        <v>0.58495801806195902</v>
      </c>
    </row>
    <row r="4918" spans="1:37" x14ac:dyDescent="0.2">
      <c r="A4918" t="str">
        <f>"20200111153749807"</f>
        <v>20200111153749807</v>
      </c>
      <c r="B4918" t="str">
        <f>"1578728269798381"</f>
        <v>1578728269798381</v>
      </c>
      <c r="C4918" t="s">
        <v>37</v>
      </c>
      <c r="D4918">
        <v>6.2433959999999997</v>
      </c>
      <c r="E4918">
        <v>0.60451540000000004</v>
      </c>
      <c r="F4918" t="s">
        <v>39</v>
      </c>
      <c r="G4918">
        <v>-323.54840000000002</v>
      </c>
      <c r="H4918" s="1">
        <v>-3.7580339999999999E-6</v>
      </c>
      <c r="I4918">
        <v>15.512979999999899</v>
      </c>
      <c r="J4918">
        <v>-329.971</v>
      </c>
      <c r="K4918">
        <v>1.1054790000000001</v>
      </c>
      <c r="L4918">
        <v>17.270630000000001</v>
      </c>
      <c r="M4918">
        <v>0.99979959999999901</v>
      </c>
      <c r="N4918">
        <v>0</v>
      </c>
      <c r="O4918">
        <v>8.9812099999999999E-3</v>
      </c>
      <c r="P4918">
        <v>0.99997190000000002</v>
      </c>
      <c r="Q4918">
        <v>-9.7816529999999991E-4</v>
      </c>
      <c r="R4918">
        <v>7.4300360000000001E-3</v>
      </c>
      <c r="S4918">
        <v>3.006561</v>
      </c>
      <c r="T4918">
        <v>-0.49985029999999903</v>
      </c>
      <c r="U4918">
        <v>-0.79357909999999998</v>
      </c>
      <c r="V4918">
        <v>1.5356009999999999E-3</v>
      </c>
      <c r="W4918">
        <v>1.691148E-2</v>
      </c>
      <c r="X4918">
        <v>0.99985579999999996</v>
      </c>
      <c r="Y4918">
        <v>0.26042300000000002</v>
      </c>
      <c r="Z4918">
        <v>-2.260473E-2</v>
      </c>
      <c r="AA4918">
        <v>0.96522999999999903</v>
      </c>
      <c r="AB4918">
        <v>29</v>
      </c>
      <c r="AC4918">
        <v>6.4225999999999797</v>
      </c>
      <c r="AD4918">
        <v>-1.1054827580340001</v>
      </c>
      <c r="AE4918">
        <v>-1.7576499999999999</v>
      </c>
      <c r="AF4918">
        <v>1.7665798821890899</v>
      </c>
      <c r="AG4918">
        <v>-1.1054827580340001</v>
      </c>
      <c r="AH4918">
        <v>6.2347090630305901</v>
      </c>
      <c r="AI4918">
        <v>99.681182457179304</v>
      </c>
      <c r="AJ4918">
        <v>74.1801341717984</v>
      </c>
      <c r="AK4918">
        <v>6.5737731714063203</v>
      </c>
    </row>
    <row r="4919" spans="1:37" x14ac:dyDescent="0.2">
      <c r="A4919" t="str">
        <f>"20200111153749819"</f>
        <v>20200111153749819</v>
      </c>
      <c r="B4919" t="str">
        <f>"1578728269808141"</f>
        <v>1578728269808141</v>
      </c>
      <c r="C4919" t="s">
        <v>37</v>
      </c>
      <c r="D4919">
        <v>6.2606659999999996</v>
      </c>
      <c r="E4919">
        <v>0.6048924</v>
      </c>
      <c r="F4919" t="s">
        <v>39</v>
      </c>
      <c r="G4919">
        <v>-323.37920000000003</v>
      </c>
      <c r="H4919" s="1">
        <v>-3.8372570000000004E-6</v>
      </c>
      <c r="I4919">
        <v>15.517329999999999</v>
      </c>
      <c r="J4919">
        <v>-329.81119999999999</v>
      </c>
      <c r="K4919">
        <v>1.1054189999999999</v>
      </c>
      <c r="L4919">
        <v>17.27234</v>
      </c>
      <c r="M4919">
        <v>0.99980000000000002</v>
      </c>
      <c r="N4919">
        <v>0</v>
      </c>
      <c r="O4919">
        <v>9.2130419999999994E-3</v>
      </c>
      <c r="P4919">
        <v>0.99997099999999906</v>
      </c>
      <c r="Q4919">
        <v>-1.5197939999999899E-3</v>
      </c>
      <c r="R4919">
        <v>7.4861060000000002E-3</v>
      </c>
      <c r="S4919">
        <v>3.005493</v>
      </c>
      <c r="T4919">
        <v>-0.5040384</v>
      </c>
      <c r="U4919">
        <v>-0.79940800000000001</v>
      </c>
      <c r="V4919">
        <v>1.713682E-3</v>
      </c>
      <c r="W4919">
        <v>1.6236850000000001E-2</v>
      </c>
      <c r="X4919">
        <v>0.9998667</v>
      </c>
      <c r="Y4919">
        <v>0.26239289999999998</v>
      </c>
      <c r="Z4919">
        <v>-2.2993220000000002E-2</v>
      </c>
      <c r="AA4919">
        <v>0.96468709999999902</v>
      </c>
      <c r="AB4919">
        <v>29</v>
      </c>
      <c r="AC4919">
        <v>6.4319999999999498</v>
      </c>
      <c r="AD4919">
        <v>-1.1054228372570001</v>
      </c>
      <c r="AE4919">
        <v>-1.75501</v>
      </c>
      <c r="AF4919">
        <v>1.7656645857750599</v>
      </c>
      <c r="AG4919">
        <v>-1.1054228372570001</v>
      </c>
      <c r="AH4919">
        <v>6.2439088964681204</v>
      </c>
      <c r="AI4919">
        <v>99.668075488248107</v>
      </c>
      <c r="AJ4919">
        <v>74.210055806476404</v>
      </c>
      <c r="AK4919">
        <v>6.5822434918486001</v>
      </c>
    </row>
    <row r="4920" spans="1:37" x14ac:dyDescent="0.2">
      <c r="A4920" t="str">
        <f>"20200111153749832"</f>
        <v>20200111153749832</v>
      </c>
      <c r="B4920" t="str">
        <f>"1578728269827661"</f>
        <v>1578728269827661</v>
      </c>
      <c r="C4920" t="s">
        <v>37</v>
      </c>
      <c r="D4920">
        <v>6.36592</v>
      </c>
      <c r="E4920">
        <v>0.60569859999999998</v>
      </c>
      <c r="F4920" t="s">
        <v>39</v>
      </c>
      <c r="G4920">
        <v>-323.23919999999998</v>
      </c>
      <c r="H4920" s="1">
        <v>-3.9035599999999999E-6</v>
      </c>
      <c r="I4920">
        <v>15.51661</v>
      </c>
      <c r="J4920">
        <v>-329.64229999999998</v>
      </c>
      <c r="K4920">
        <v>1.105351</v>
      </c>
      <c r="L4920">
        <v>17.274170000000002</v>
      </c>
      <c r="M4920">
        <v>0.99980069999999999</v>
      </c>
      <c r="N4920">
        <v>0</v>
      </c>
      <c r="O4920">
        <v>9.3945480000000008E-3</v>
      </c>
      <c r="P4920">
        <v>0.9999709</v>
      </c>
      <c r="Q4920">
        <v>-2.030614E-3</v>
      </c>
      <c r="R4920">
        <v>7.369319E-3</v>
      </c>
      <c r="S4920">
        <v>3.005341</v>
      </c>
      <c r="T4920">
        <v>-0.50550589999999995</v>
      </c>
      <c r="U4920">
        <v>-0.80288700000000002</v>
      </c>
      <c r="V4920">
        <v>2.0144629999999902E-3</v>
      </c>
      <c r="W4920">
        <v>1.558414E-2</v>
      </c>
      <c r="X4920">
        <v>0.9998766</v>
      </c>
      <c r="Y4920">
        <v>0.26358470000000001</v>
      </c>
      <c r="Z4920">
        <v>-2.3184759999999999E-2</v>
      </c>
      <c r="AA4920">
        <v>0.96435759999999904</v>
      </c>
      <c r="AB4920">
        <v>29</v>
      </c>
      <c r="AC4920">
        <v>6.4030999999999896</v>
      </c>
      <c r="AD4920">
        <v>-1.1053549035600001</v>
      </c>
      <c r="AE4920">
        <v>-1.75756</v>
      </c>
      <c r="AF4920">
        <v>1.7686326998464299</v>
      </c>
      <c r="AG4920">
        <v>-1.1053549035600001</v>
      </c>
      <c r="AH4920">
        <v>6.2140950267247304</v>
      </c>
      <c r="AI4920">
        <v>99.708405530793499</v>
      </c>
      <c r="AJ4920">
        <v>74.112783274109205</v>
      </c>
      <c r="AK4920">
        <v>6.5547576683623596</v>
      </c>
    </row>
    <row r="4921" spans="1:37" x14ac:dyDescent="0.2">
      <c r="A4921" t="str">
        <f>"20200111153749851"</f>
        <v>20200111153749851</v>
      </c>
      <c r="B4921" t="str">
        <f>"1578728269848157"</f>
        <v>1578728269848157</v>
      </c>
      <c r="C4921" t="s">
        <v>37</v>
      </c>
      <c r="D4921">
        <v>6.3774499999999996</v>
      </c>
      <c r="E4921">
        <v>0.60640509999999903</v>
      </c>
      <c r="F4921" t="s">
        <v>38</v>
      </c>
      <c r="G4921">
        <v>-328.84809999999999</v>
      </c>
      <c r="H4921">
        <v>0.97252689999999997</v>
      </c>
      <c r="I4921">
        <v>17.05959</v>
      </c>
      <c r="J4921">
        <v>-329.39359999999999</v>
      </c>
      <c r="K4921">
        <v>1.1052519999999999</v>
      </c>
      <c r="L4921">
        <v>17.276820000000001</v>
      </c>
      <c r="M4921">
        <v>0.99980230000000003</v>
      </c>
      <c r="N4921">
        <v>0</v>
      </c>
      <c r="O4921">
        <v>9.6019620000000003E-3</v>
      </c>
      <c r="P4921">
        <v>0.99997519999999995</v>
      </c>
      <c r="Q4921">
        <v>-2.3699250000000002E-3</v>
      </c>
      <c r="R4921">
        <v>6.6227289999999999E-3</v>
      </c>
      <c r="S4921">
        <v>3.0050659999999998</v>
      </c>
      <c r="T4921">
        <v>-0.50255260000000002</v>
      </c>
      <c r="U4921">
        <v>-0.8102722</v>
      </c>
      <c r="V4921">
        <v>2.9720100000000002E-3</v>
      </c>
      <c r="W4921">
        <v>1.5044419999999999E-2</v>
      </c>
      <c r="X4921">
        <v>0.99988239999999995</v>
      </c>
      <c r="Y4921">
        <v>0.26602569999999998</v>
      </c>
      <c r="Z4921">
        <v>-2.32791E-2</v>
      </c>
      <c r="AA4921">
        <v>0.96368480000000001</v>
      </c>
      <c r="AB4921">
        <v>29</v>
      </c>
      <c r="AC4921">
        <v>0.54550000000000398</v>
      </c>
      <c r="AD4921">
        <v>-0.13272510000000001</v>
      </c>
      <c r="AE4921">
        <v>-0.21723000000000001</v>
      </c>
      <c r="AF4921">
        <v>0.211644379901959</v>
      </c>
      <c r="AG4921">
        <v>-0.13272510000000001</v>
      </c>
      <c r="AH4921">
        <v>0.51697322076657204</v>
      </c>
      <c r="AI4921">
        <v>103.365383614374</v>
      </c>
      <c r="AJ4921">
        <v>67.736230309720895</v>
      </c>
      <c r="AK4921">
        <v>0.57416949301043296</v>
      </c>
    </row>
    <row r="4922" spans="1:37" x14ac:dyDescent="0.2">
      <c r="A4922" t="str">
        <f>"20200111153749864"</f>
        <v>20200111153749864</v>
      </c>
      <c r="B4922" t="str">
        <f>"1578728269857917"</f>
        <v>1578728269857917</v>
      </c>
      <c r="C4922" t="s">
        <v>37</v>
      </c>
      <c r="D4922">
        <v>6.3121159999999996</v>
      </c>
      <c r="E4922">
        <v>0.60687150000000001</v>
      </c>
      <c r="F4922" t="s">
        <v>39</v>
      </c>
      <c r="G4922">
        <v>-322.7466</v>
      </c>
      <c r="H4922" s="1">
        <v>-4.1454909999999999E-6</v>
      </c>
      <c r="I4922">
        <v>15.465579999999999</v>
      </c>
      <c r="J4922">
        <v>-329.22629999999998</v>
      </c>
      <c r="K4922">
        <v>1.105186</v>
      </c>
      <c r="L4922">
        <v>17.278559999999999</v>
      </c>
      <c r="M4922">
        <v>0.99980369999999996</v>
      </c>
      <c r="N4922">
        <v>0</v>
      </c>
      <c r="O4922">
        <v>9.6916580000000006E-3</v>
      </c>
      <c r="P4922">
        <v>0.99997919999999996</v>
      </c>
      <c r="Q4922">
        <v>-1.7759620000000001E-3</v>
      </c>
      <c r="R4922">
        <v>6.2240840000000004E-3</v>
      </c>
      <c r="S4922">
        <v>3.00430299999999</v>
      </c>
      <c r="T4922">
        <v>-0.49954599999999999</v>
      </c>
      <c r="U4922">
        <v>-0.81863399999999997</v>
      </c>
      <c r="V4922">
        <v>3.4619870000000001E-3</v>
      </c>
      <c r="W4922">
        <v>1.550881E-2</v>
      </c>
      <c r="X4922">
        <v>0.99987380000000003</v>
      </c>
      <c r="Y4922">
        <v>0.26867970000000002</v>
      </c>
      <c r="Z4922">
        <v>-2.3368980000000001E-2</v>
      </c>
      <c r="AA4922">
        <v>0.96294609999999903</v>
      </c>
      <c r="AB4922">
        <v>29</v>
      </c>
      <c r="AC4922">
        <v>6.4796999999999798</v>
      </c>
      <c r="AD4922">
        <v>-1.105190145491</v>
      </c>
      <c r="AE4922">
        <v>-1.81298</v>
      </c>
      <c r="AF4922">
        <v>1.82642749213742</v>
      </c>
      <c r="AG4922">
        <v>-1.105190145491</v>
      </c>
      <c r="AH4922">
        <v>6.2920665768138297</v>
      </c>
      <c r="AI4922">
        <v>99.574815520244101</v>
      </c>
      <c r="AJ4922">
        <v>73.813325943504495</v>
      </c>
      <c r="AK4922">
        <v>6.6443498138481196</v>
      </c>
    </row>
    <row r="4923" spans="1:37" x14ac:dyDescent="0.2">
      <c r="A4923" t="str">
        <f>"20200111153749876"</f>
        <v>20200111153749876</v>
      </c>
      <c r="B4923" t="str">
        <f>"1578728269867678"</f>
        <v>1578728269867678</v>
      </c>
      <c r="C4923" t="s">
        <v>37</v>
      </c>
      <c r="D4923">
        <v>6.3069360000000003</v>
      </c>
      <c r="E4923">
        <v>0.60733110000000001</v>
      </c>
      <c r="F4923" t="s">
        <v>39</v>
      </c>
      <c r="G4923">
        <v>-322.51089999999999</v>
      </c>
      <c r="H4923" s="1">
        <v>-4.261922E-6</v>
      </c>
      <c r="I4923">
        <v>15.437339999999899</v>
      </c>
      <c r="J4923">
        <v>-329.05739999999997</v>
      </c>
      <c r="K4923">
        <v>1.1051249999999999</v>
      </c>
      <c r="L4923">
        <v>17.2803</v>
      </c>
      <c r="M4923">
        <v>0.99980539999999996</v>
      </c>
      <c r="N4923">
        <v>0</v>
      </c>
      <c r="O4923">
        <v>9.7384829999999992E-3</v>
      </c>
      <c r="P4923">
        <v>0.99998259999999894</v>
      </c>
      <c r="Q4923">
        <v>-1.2695969999999999E-3</v>
      </c>
      <c r="R4923">
        <v>5.7572250000000004E-3</v>
      </c>
      <c r="S4923">
        <v>3.0042719999999998</v>
      </c>
      <c r="T4923">
        <v>-0.4944229</v>
      </c>
      <c r="U4923">
        <v>-0.82369999999999999</v>
      </c>
      <c r="V4923">
        <v>3.9778799999999996E-3</v>
      </c>
      <c r="W4923">
        <v>1.5889279999999999E-2</v>
      </c>
      <c r="X4923">
        <v>0.99986580000000003</v>
      </c>
      <c r="Y4923">
        <v>0.2702909</v>
      </c>
      <c r="Z4923">
        <v>-2.32645E-2</v>
      </c>
      <c r="AA4923">
        <v>0.96249759999999995</v>
      </c>
      <c r="AB4923">
        <v>29</v>
      </c>
      <c r="AC4923">
        <v>6.5464999999999796</v>
      </c>
      <c r="AD4923">
        <v>-1.1051292619219999</v>
      </c>
      <c r="AE4923">
        <v>-1.8429599999999999</v>
      </c>
      <c r="AF4923">
        <v>1.8575855619734301</v>
      </c>
      <c r="AG4923">
        <v>-1.1051292619219999</v>
      </c>
      <c r="AH4923">
        <v>6.3602961410288996</v>
      </c>
      <c r="AI4923">
        <v>99.469006360279394</v>
      </c>
      <c r="AJ4923">
        <v>73.719048988749805</v>
      </c>
      <c r="AK4923">
        <v>6.7175368854361697</v>
      </c>
    </row>
    <row r="4924" spans="1:37" x14ac:dyDescent="0.2">
      <c r="A4924" t="str">
        <f>"20200111153749890"</f>
        <v>20200111153749890</v>
      </c>
      <c r="B4924" t="str">
        <f>"1578728269878413"</f>
        <v>1578728269878413</v>
      </c>
      <c r="C4924" t="s">
        <v>37</v>
      </c>
      <c r="D4924">
        <v>6.3287319999999996</v>
      </c>
      <c r="E4924">
        <v>0.60780339999999999</v>
      </c>
      <c r="F4924" t="s">
        <v>38</v>
      </c>
      <c r="G4924">
        <v>-328.32479999999998</v>
      </c>
      <c r="H4924">
        <v>0.98579839999999996</v>
      </c>
      <c r="I4924">
        <v>17.0778</v>
      </c>
      <c r="J4924">
        <v>-328.89420000000001</v>
      </c>
      <c r="K4924">
        <v>1.105059</v>
      </c>
      <c r="L4924">
        <v>17.281949999999998</v>
      </c>
      <c r="M4924">
        <v>0.99980769999999997</v>
      </c>
      <c r="N4924">
        <v>0</v>
      </c>
      <c r="O4924">
        <v>9.7142530000000008E-3</v>
      </c>
      <c r="P4924">
        <v>0.99998560000000003</v>
      </c>
      <c r="Q4924">
        <v>-3.629401E-4</v>
      </c>
      <c r="R4924">
        <v>5.3797109999999997E-3</v>
      </c>
      <c r="S4924">
        <v>3.0042110000000002</v>
      </c>
      <c r="T4924">
        <v>-0.48925350000000001</v>
      </c>
      <c r="U4924">
        <v>-0.82897949999999998</v>
      </c>
      <c r="V4924">
        <v>4.3334840000000003E-3</v>
      </c>
      <c r="W4924">
        <v>1.6674999999999999E-2</v>
      </c>
      <c r="X4924">
        <v>0.99985159999999995</v>
      </c>
      <c r="Y4924">
        <v>0.27189970000000002</v>
      </c>
      <c r="Z4924">
        <v>-2.3143489999999999E-2</v>
      </c>
      <c r="AA4924">
        <v>0.96204730000000005</v>
      </c>
      <c r="AB4924">
        <v>29</v>
      </c>
      <c r="AC4924">
        <v>0.56940000000002999</v>
      </c>
      <c r="AD4924">
        <v>-0.119260599999999</v>
      </c>
      <c r="AE4924">
        <v>-0.204149999999998</v>
      </c>
      <c r="AF4924">
        <v>0.201827002106267</v>
      </c>
      <c r="AG4924">
        <v>-0.119260599999999</v>
      </c>
      <c r="AH4924">
        <v>0.54615925762788298</v>
      </c>
      <c r="AI4924">
        <v>101.575471290783</v>
      </c>
      <c r="AJ4924">
        <v>69.718775833756297</v>
      </c>
      <c r="AK4924">
        <v>0.59434599702883795</v>
      </c>
    </row>
    <row r="4925" spans="1:37" x14ac:dyDescent="0.2">
      <c r="A4925" t="str">
        <f>"20200111153749903"</f>
        <v>20200111153749903</v>
      </c>
      <c r="B4925" t="str">
        <f>"1578728269897933"</f>
        <v>1578728269897933</v>
      </c>
      <c r="C4925" t="s">
        <v>37</v>
      </c>
      <c r="D4925">
        <v>6.307938</v>
      </c>
      <c r="E4925">
        <v>0.60826219999999998</v>
      </c>
      <c r="F4925" t="s">
        <v>39</v>
      </c>
      <c r="G4925">
        <v>-322.03309999999999</v>
      </c>
      <c r="H4925" s="1">
        <v>-4.4984059999999997E-6</v>
      </c>
      <c r="I4925">
        <v>15.377289999999901</v>
      </c>
      <c r="J4925">
        <v>-328.72269999999997</v>
      </c>
      <c r="K4925">
        <v>1.1049799999999901</v>
      </c>
      <c r="L4925">
        <v>17.283629999999999</v>
      </c>
      <c r="M4925">
        <v>0.99981049999999905</v>
      </c>
      <c r="N4925">
        <v>0</v>
      </c>
      <c r="O4925">
        <v>9.6417169999999993E-3</v>
      </c>
      <c r="P4925">
        <v>0.99998430000000005</v>
      </c>
      <c r="Q4925">
        <v>7.8636869999999998E-4</v>
      </c>
      <c r="R4925">
        <v>5.5725319999999998E-3</v>
      </c>
      <c r="S4925">
        <v>3.0043329999999999</v>
      </c>
      <c r="T4925">
        <v>-0.48388540000000002</v>
      </c>
      <c r="U4925">
        <v>-0.834014899999999</v>
      </c>
      <c r="V4925">
        <v>4.071135E-3</v>
      </c>
      <c r="W4925">
        <v>1.7697669999999999E-2</v>
      </c>
      <c r="X4925">
        <v>0.99983509999999998</v>
      </c>
      <c r="Y4925">
        <v>0.27337739999999999</v>
      </c>
      <c r="Z4925">
        <v>-2.2991499999999901E-2</v>
      </c>
      <c r="AA4925">
        <v>0.96163209999999999</v>
      </c>
      <c r="AB4925">
        <v>29</v>
      </c>
      <c r="AC4925">
        <v>6.68959999999998</v>
      </c>
      <c r="AD4925">
        <v>-1.10498449840599</v>
      </c>
      <c r="AE4925">
        <v>-1.9063399999999999</v>
      </c>
      <c r="AF4925">
        <v>1.9222518611633901</v>
      </c>
      <c r="AG4925">
        <v>-1.10498449840599</v>
      </c>
      <c r="AH4925">
        <v>6.5067093621435204</v>
      </c>
      <c r="AI4925">
        <v>99.250197101171693</v>
      </c>
      <c r="AJ4925">
        <v>73.541483422411901</v>
      </c>
      <c r="AK4925">
        <v>6.8741042822225102</v>
      </c>
    </row>
    <row r="4926" spans="1:37" x14ac:dyDescent="0.2">
      <c r="A4926" t="str">
        <f>"20200111153749918"</f>
        <v>20200111153749918</v>
      </c>
      <c r="B4926" t="str">
        <f>"1578728269907694"</f>
        <v>1578728269907694</v>
      </c>
      <c r="C4926" t="s">
        <v>37</v>
      </c>
      <c r="D4926">
        <v>6.2703220000000002</v>
      </c>
      <c r="E4926">
        <v>0.62283069999999996</v>
      </c>
      <c r="F4926" t="s">
        <v>39</v>
      </c>
      <c r="G4926">
        <v>-321.76330000000002</v>
      </c>
      <c r="H4926" s="1">
        <v>-4.6318280000000002E-6</v>
      </c>
      <c r="I4926">
        <v>15.34423</v>
      </c>
      <c r="J4926">
        <v>-328.52010000000001</v>
      </c>
      <c r="K4926">
        <v>1.1048610000000001</v>
      </c>
      <c r="L4926">
        <v>17.285520000000002</v>
      </c>
      <c r="M4926">
        <v>0.99981489999999995</v>
      </c>
      <c r="N4926">
        <v>0</v>
      </c>
      <c r="O4926">
        <v>9.4556469999999993E-3</v>
      </c>
      <c r="P4926">
        <v>0.99997649999999905</v>
      </c>
      <c r="Q4926">
        <v>2.4552739999999999E-3</v>
      </c>
      <c r="R4926">
        <v>6.4490909999999997E-3</v>
      </c>
      <c r="S4926">
        <v>3.005096</v>
      </c>
      <c r="T4926">
        <v>-0.47713329999999998</v>
      </c>
      <c r="U4926">
        <v>-0.83743289999999904</v>
      </c>
      <c r="V4926">
        <v>3.0130729999999998E-3</v>
      </c>
      <c r="W4926">
        <v>1.9215179999999998E-2</v>
      </c>
      <c r="X4926">
        <v>0.9998108</v>
      </c>
      <c r="Y4926">
        <v>0.27423909999999901</v>
      </c>
      <c r="Z4926">
        <v>-2.2703540000000001E-2</v>
      </c>
      <c r="AA4926">
        <v>0.96139349999999901</v>
      </c>
      <c r="AB4926">
        <v>29</v>
      </c>
      <c r="AC4926">
        <v>6.7567999999999904</v>
      </c>
      <c r="AD4926">
        <v>-1.1048656318279999</v>
      </c>
      <c r="AE4926">
        <v>-1.94129</v>
      </c>
      <c r="AF4926">
        <v>1.9567705891709599</v>
      </c>
      <c r="AG4926">
        <v>-1.1048656318279999</v>
      </c>
      <c r="AH4926">
        <v>6.5757213130469703</v>
      </c>
      <c r="AI4926">
        <v>99.148531965420304</v>
      </c>
      <c r="AJ4926">
        <v>73.428308100769897</v>
      </c>
      <c r="AK4926">
        <v>6.9490855506245799</v>
      </c>
    </row>
    <row r="4927" spans="1:37" x14ac:dyDescent="0.2">
      <c r="A4927" t="str">
        <f>"20200111153749932"</f>
        <v>20200111153749932</v>
      </c>
      <c r="B4927" t="str">
        <f>"1578728269928190"</f>
        <v>1578728269928190</v>
      </c>
      <c r="C4927" t="s">
        <v>37</v>
      </c>
      <c r="D4927">
        <v>6.2823519999999897</v>
      </c>
      <c r="E4927">
        <v>0.62359989999999998</v>
      </c>
      <c r="F4927" t="s">
        <v>39</v>
      </c>
      <c r="G4927">
        <v>-320.08019999999999</v>
      </c>
      <c r="H4927" s="1">
        <v>-5.5577290000000003E-6</v>
      </c>
      <c r="I4927">
        <v>14.609589999999899</v>
      </c>
      <c r="J4927">
        <v>-328.34870000000001</v>
      </c>
      <c r="K4927">
        <v>1.1047469999999999</v>
      </c>
      <c r="L4927">
        <v>17.286929999999899</v>
      </c>
      <c r="M4927">
        <v>0.99981980000000004</v>
      </c>
      <c r="N4927">
        <v>0</v>
      </c>
      <c r="O4927">
        <v>9.1831949999999999E-3</v>
      </c>
      <c r="P4927">
        <v>0.999973</v>
      </c>
      <c r="Q4927">
        <v>2.7750779999999998E-3</v>
      </c>
      <c r="R4927">
        <v>6.860344E-3</v>
      </c>
      <c r="S4927">
        <v>3.0072019999999999</v>
      </c>
      <c r="T4927">
        <v>-0.39367459999999999</v>
      </c>
      <c r="U4927">
        <v>-0.95346070000000005</v>
      </c>
      <c r="V4927">
        <v>2.334207E-3</v>
      </c>
      <c r="W4927">
        <v>1.940064E-2</v>
      </c>
      <c r="X4927">
        <v>0.99980910000000001</v>
      </c>
      <c r="Y4927">
        <v>0.308508</v>
      </c>
      <c r="Z4927">
        <v>-2.0801360000000001E-2</v>
      </c>
      <c r="AA4927">
        <v>0.95099429999999996</v>
      </c>
      <c r="AB4927">
        <v>29</v>
      </c>
      <c r="AC4927">
        <v>8.2685000000000102</v>
      </c>
      <c r="AD4927">
        <v>-1.1047525577289901</v>
      </c>
      <c r="AE4927">
        <v>-2.6773399999999898</v>
      </c>
      <c r="AF4927">
        <v>2.7093917577809301</v>
      </c>
      <c r="AG4927">
        <v>-1.1047525577289901</v>
      </c>
      <c r="AH4927">
        <v>8.1124837165252099</v>
      </c>
      <c r="AI4927">
        <v>97.359919160513201</v>
      </c>
      <c r="AJ4927">
        <v>71.531810333337106</v>
      </c>
      <c r="AK4927">
        <v>8.62401727513498</v>
      </c>
    </row>
    <row r="4928" spans="1:37" x14ac:dyDescent="0.2">
      <c r="A4928" t="str">
        <f>"20200111153749946"</f>
        <v>20200111153749946</v>
      </c>
      <c r="B4928" t="str">
        <f>"1578728269937949"</f>
        <v>1578728269937949</v>
      </c>
      <c r="C4928" t="s">
        <v>37</v>
      </c>
      <c r="D4928">
        <v>6.3074329999999996</v>
      </c>
      <c r="E4928">
        <v>0.6239365</v>
      </c>
      <c r="F4928" t="s">
        <v>39</v>
      </c>
      <c r="G4928">
        <v>-320.02679999999998</v>
      </c>
      <c r="H4928" s="1">
        <v>-5.5786079999999996E-6</v>
      </c>
      <c r="I4928">
        <v>14.63425</v>
      </c>
      <c r="J4928">
        <v>-328.16430000000003</v>
      </c>
      <c r="K4928">
        <v>1.1046100000000001</v>
      </c>
      <c r="L4928">
        <v>17.288360000000001</v>
      </c>
      <c r="M4928">
        <v>0.99982539999999998</v>
      </c>
      <c r="N4928">
        <v>0</v>
      </c>
      <c r="O4928">
        <v>8.8041209999999998E-3</v>
      </c>
      <c r="P4928">
        <v>0.99997199999999997</v>
      </c>
      <c r="Q4928">
        <v>2.4908230000000001E-3</v>
      </c>
      <c r="R4928">
        <v>7.0559289999999998E-3</v>
      </c>
      <c r="S4928">
        <v>3.0078130000000001</v>
      </c>
      <c r="T4928">
        <v>-0.39929599999999998</v>
      </c>
      <c r="U4928">
        <v>-0.95877080000000003</v>
      </c>
      <c r="V4928">
        <v>1.7651279999999999E-3</v>
      </c>
      <c r="W4928">
        <v>1.8972510000000001E-2</v>
      </c>
      <c r="X4928">
        <v>0.9998184</v>
      </c>
      <c r="Y4928">
        <v>0.30954349999999897</v>
      </c>
      <c r="Z4928">
        <v>-2.1104359999999999E-2</v>
      </c>
      <c r="AA4928">
        <v>0.95065100000000002</v>
      </c>
      <c r="AB4928">
        <v>29</v>
      </c>
      <c r="AC4928">
        <v>8.1375000000000401</v>
      </c>
      <c r="AD4928">
        <v>-1.1046155786080001</v>
      </c>
      <c r="AE4928">
        <v>-2.6541100000000002</v>
      </c>
      <c r="AF4928">
        <v>2.6810090154663202</v>
      </c>
      <c r="AG4928">
        <v>-1.1046155786080001</v>
      </c>
      <c r="AH4928">
        <v>7.9808949620299403</v>
      </c>
      <c r="AI4928">
        <v>97.474647332162405</v>
      </c>
      <c r="AJ4928">
        <v>71.431339463098595</v>
      </c>
      <c r="AK4928">
        <v>8.4913290663164194</v>
      </c>
    </row>
    <row r="4929" spans="1:37" x14ac:dyDescent="0.2">
      <c r="A4929" t="str">
        <f>"20200111153749959"</f>
        <v>20200111153749959</v>
      </c>
      <c r="B4929" t="str">
        <f>"1578728269947709"</f>
        <v>1578728269947709</v>
      </c>
      <c r="C4929" t="s">
        <v>37</v>
      </c>
      <c r="D4929">
        <v>6.3169490000000001</v>
      </c>
      <c r="E4929">
        <v>0.6239365</v>
      </c>
      <c r="F4929" t="s">
        <v>40</v>
      </c>
      <c r="G4929">
        <v>-319.45850000000002</v>
      </c>
      <c r="H4929">
        <v>-0.05</v>
      </c>
      <c r="I4929">
        <v>14.506550000000001</v>
      </c>
      <c r="J4929">
        <v>-327.99169999999998</v>
      </c>
      <c r="K4929">
        <v>1.1044700000000001</v>
      </c>
      <c r="L4929">
        <v>17.28952</v>
      </c>
      <c r="M4929">
        <v>0.99983129999999998</v>
      </c>
      <c r="N4929">
        <v>0</v>
      </c>
      <c r="O4929">
        <v>8.3660809999999992E-3</v>
      </c>
      <c r="P4929">
        <v>0.99997139999999995</v>
      </c>
      <c r="Q4929">
        <v>2.386385E-3</v>
      </c>
      <c r="R4929">
        <v>7.1948380000000003E-3</v>
      </c>
      <c r="S4929">
        <v>3.0078740000000002</v>
      </c>
      <c r="T4929">
        <v>-0.39891900000000002</v>
      </c>
      <c r="U4929">
        <v>-0.96112059999999999</v>
      </c>
      <c r="V4929">
        <v>1.193344E-3</v>
      </c>
      <c r="W4929">
        <v>1.873557E-2</v>
      </c>
      <c r="X4929">
        <v>0.99982369999999898</v>
      </c>
      <c r="Y4929">
        <v>0.30980279999999999</v>
      </c>
      <c r="Z4929">
        <v>-2.104199E-2</v>
      </c>
      <c r="AA4929">
        <v>0.95056799999999997</v>
      </c>
      <c r="AB4929">
        <v>29</v>
      </c>
      <c r="AC4929">
        <v>8.5331999999999599</v>
      </c>
      <c r="AD4929">
        <v>-1.1544700000000001</v>
      </c>
      <c r="AE4929">
        <v>-2.78296999999999</v>
      </c>
      <c r="AF4929">
        <v>2.80781869142037</v>
      </c>
      <c r="AG4929">
        <v>-1.1544700000000001</v>
      </c>
      <c r="AH4929">
        <v>8.3711228000079991</v>
      </c>
      <c r="AI4929">
        <v>97.449272812249703</v>
      </c>
      <c r="AJ4929">
        <v>71.4576606058355</v>
      </c>
      <c r="AK4929">
        <v>8.9046248499082399</v>
      </c>
    </row>
    <row r="4930" spans="1:37" x14ac:dyDescent="0.2">
      <c r="A4930" t="str">
        <f>"20200111153749975"</f>
        <v>20200111153749975</v>
      </c>
      <c r="B4930" t="str">
        <f>"1578728269968205"</f>
        <v>1578728269968205</v>
      </c>
      <c r="C4930" t="s">
        <v>37</v>
      </c>
      <c r="D4930">
        <v>6.3210430000000004</v>
      </c>
      <c r="E4930">
        <v>0.62492250000000005</v>
      </c>
      <c r="F4930" t="s">
        <v>40</v>
      </c>
      <c r="G4930">
        <v>-319.27890000000002</v>
      </c>
      <c r="H4930">
        <v>-0.05</v>
      </c>
      <c r="I4930">
        <v>14.505750000000001</v>
      </c>
      <c r="J4930">
        <v>-327.77980000000002</v>
      </c>
      <c r="K4930">
        <v>1.104271</v>
      </c>
      <c r="L4930">
        <v>17.290620000000001</v>
      </c>
      <c r="M4930">
        <v>0.99984030000000002</v>
      </c>
      <c r="N4930">
        <v>0</v>
      </c>
      <c r="O4930">
        <v>7.6179350000000002E-3</v>
      </c>
      <c r="P4930">
        <v>0.99997780000000003</v>
      </c>
      <c r="Q4930">
        <v>1.555985E-3</v>
      </c>
      <c r="R4930">
        <v>6.4828000000000004E-3</v>
      </c>
      <c r="S4930">
        <v>3.0079959999999999</v>
      </c>
      <c r="T4930">
        <v>-0.39856550000000002</v>
      </c>
      <c r="U4930">
        <v>-0.96105959999999901</v>
      </c>
      <c r="V4930">
        <v>1.1638760000000001E-3</v>
      </c>
      <c r="W4930">
        <v>1.7726269999999999E-2</v>
      </c>
      <c r="X4930">
        <v>0.99984219999999902</v>
      </c>
      <c r="Y4930">
        <v>0.30907960000000001</v>
      </c>
      <c r="Z4930">
        <v>-2.0879789999999999E-2</v>
      </c>
      <c r="AA4930">
        <v>0.95080699999999996</v>
      </c>
      <c r="AB4930">
        <v>29</v>
      </c>
      <c r="AC4930">
        <v>8.5008999999999997</v>
      </c>
      <c r="AD4930">
        <v>-1.1542709999999901</v>
      </c>
      <c r="AE4930">
        <v>-2.7848700000000002</v>
      </c>
      <c r="AF4930">
        <v>2.8028890045249</v>
      </c>
      <c r="AG4930">
        <v>-1.1542709999999901</v>
      </c>
      <c r="AH4930">
        <v>8.34056561801928</v>
      </c>
      <c r="AI4930">
        <v>97.473560146024397</v>
      </c>
      <c r="AJ4930">
        <v>71.424818550694894</v>
      </c>
      <c r="AK4930">
        <v>8.8743204326648595</v>
      </c>
    </row>
    <row r="4931" spans="1:37" x14ac:dyDescent="0.2">
      <c r="A4931" t="str">
        <f>"20200111153750097"</f>
        <v>20200111153750097</v>
      </c>
      <c r="B4931" t="str">
        <f>"1578728270088256"</f>
        <v>1578728270088256</v>
      </c>
      <c r="C4931" t="s">
        <v>37</v>
      </c>
      <c r="D4931">
        <v>6.234756</v>
      </c>
      <c r="E4931">
        <v>0.62492250000000005</v>
      </c>
      <c r="F4931" t="s">
        <v>40</v>
      </c>
      <c r="G4931">
        <v>-319.25479999999999</v>
      </c>
      <c r="H4931">
        <v>-0.05</v>
      </c>
      <c r="I4931">
        <v>14.5374</v>
      </c>
      <c r="J4931">
        <v>-326.2038</v>
      </c>
      <c r="K4931">
        <v>1.102616</v>
      </c>
      <c r="L4931">
        <v>17.285060000000001</v>
      </c>
      <c r="M4931">
        <v>0.99988049999999995</v>
      </c>
      <c r="N4931">
        <v>0</v>
      </c>
      <c r="O4931">
        <v>-3.9892349999999998E-3</v>
      </c>
      <c r="P4931">
        <v>0.99993909999999997</v>
      </c>
      <c r="Q4931">
        <v>-1.485896E-3</v>
      </c>
      <c r="R4931">
        <v>-1.0932799999999999E-2</v>
      </c>
      <c r="S4931">
        <v>3.0069889999999999</v>
      </c>
      <c r="T4931">
        <v>-0.4071419</v>
      </c>
      <c r="U4931">
        <v>-0.97113039999999995</v>
      </c>
      <c r="V4931">
        <v>7.01316599999999E-3</v>
      </c>
      <c r="W4931">
        <v>1.3415710000000001E-2</v>
      </c>
      <c r="X4931">
        <v>0.99988539999999904</v>
      </c>
      <c r="Y4931">
        <v>0.3010738</v>
      </c>
      <c r="Z4931">
        <v>-1.92687E-2</v>
      </c>
      <c r="AA4931">
        <v>0.95340619999999998</v>
      </c>
      <c r="AB4931">
        <v>29</v>
      </c>
      <c r="AC4931">
        <v>6.9490000000000096</v>
      </c>
      <c r="AD4931">
        <v>-1.1526160000000001</v>
      </c>
      <c r="AE4931">
        <v>-2.7476600000000002</v>
      </c>
      <c r="AF4931">
        <v>2.6567045636367701</v>
      </c>
      <c r="AG4931">
        <v>-1.1526160000000001</v>
      </c>
      <c r="AH4931">
        <v>6.79816261936271</v>
      </c>
      <c r="AI4931">
        <v>98.973907718438497</v>
      </c>
      <c r="AJ4931">
        <v>68.654569009959701</v>
      </c>
      <c r="AK4931">
        <v>7.3892907495377997</v>
      </c>
    </row>
    <row r="4932" spans="1:37" x14ac:dyDescent="0.2">
      <c r="A4932" t="str">
        <f>"20200111153750109"</f>
        <v>20200111153750109</v>
      </c>
      <c r="B4932" t="str">
        <f>"1578728270098013"</f>
        <v>1578728270098013</v>
      </c>
      <c r="C4932" t="s">
        <v>37</v>
      </c>
      <c r="D4932">
        <v>5.8505229999999999</v>
      </c>
      <c r="E4932">
        <v>0.62473269999999903</v>
      </c>
      <c r="F4932" t="s">
        <v>40</v>
      </c>
      <c r="G4932">
        <v>-317.86149999999998</v>
      </c>
      <c r="H4932">
        <v>-0.05</v>
      </c>
      <c r="I4932">
        <v>14.423929999999901</v>
      </c>
      <c r="J4932">
        <v>-326.05700000000002</v>
      </c>
      <c r="K4932">
        <v>1.102474</v>
      </c>
      <c r="L4932">
        <v>17.282810000000001</v>
      </c>
      <c r="M4932">
        <v>0.99987369999999898</v>
      </c>
      <c r="N4932">
        <v>0</v>
      </c>
      <c r="O4932">
        <v>-5.660768E-3</v>
      </c>
      <c r="P4932">
        <v>0.99990299999999999</v>
      </c>
      <c r="Q4932">
        <v>-1.469267E-3</v>
      </c>
      <c r="R4932">
        <v>-1.385642E-2</v>
      </c>
      <c r="S4932">
        <v>2.9883730000000002</v>
      </c>
      <c r="T4932">
        <v>-0.412887</v>
      </c>
      <c r="U4932">
        <v>-1.024902</v>
      </c>
      <c r="V4932">
        <v>8.2691819999999999E-3</v>
      </c>
      <c r="W4932">
        <v>1.333895E-2</v>
      </c>
      <c r="X4932">
        <v>0.99987689999999996</v>
      </c>
      <c r="Y4932">
        <v>0.31641249999999999</v>
      </c>
      <c r="Z4932">
        <v>-2.0401510000000001E-2</v>
      </c>
      <c r="AA4932">
        <v>0.94840230000000003</v>
      </c>
      <c r="AB4932">
        <v>29</v>
      </c>
      <c r="AC4932">
        <v>8.1955000000000293</v>
      </c>
      <c r="AD4932">
        <v>-1.152474</v>
      </c>
      <c r="AE4932">
        <v>-2.8588800000000001</v>
      </c>
      <c r="AF4932">
        <v>2.7637133550729098</v>
      </c>
      <c r="AG4932">
        <v>-1.152474</v>
      </c>
      <c r="AH4932">
        <v>8.06929623286584</v>
      </c>
      <c r="AI4932">
        <v>97.6950261942102</v>
      </c>
      <c r="AJ4932">
        <v>71.093798907536197</v>
      </c>
      <c r="AK4932">
        <v>8.6069651749863194</v>
      </c>
    </row>
    <row r="4933" spans="1:37" x14ac:dyDescent="0.2">
      <c r="A4933" t="str">
        <f>"20200111153750130"</f>
        <v>20200111153750130</v>
      </c>
      <c r="B4933" t="str">
        <f>"1578728270118509"</f>
        <v>1578728270118509</v>
      </c>
      <c r="C4933" t="s">
        <v>37</v>
      </c>
      <c r="D4933">
        <v>6.0473929999999996</v>
      </c>
      <c r="E4933">
        <v>0.61728019999999995</v>
      </c>
      <c r="F4933" t="s">
        <v>40</v>
      </c>
      <c r="G4933">
        <v>-317.72989999999999</v>
      </c>
      <c r="H4933">
        <v>-0.05</v>
      </c>
      <c r="I4933">
        <v>14.404689999999899</v>
      </c>
      <c r="J4933">
        <v>-325.78339999999997</v>
      </c>
      <c r="K4933">
        <v>1.1022129999999899</v>
      </c>
      <c r="L4933">
        <v>17.277889999999999</v>
      </c>
      <c r="M4933">
        <v>0.99985159999999995</v>
      </c>
      <c r="N4933">
        <v>0</v>
      </c>
      <c r="O4933">
        <v>-8.9679149999999999E-3</v>
      </c>
      <c r="P4933">
        <v>0.99979629999999997</v>
      </c>
      <c r="Q4933">
        <v>-1.4117029999999901E-3</v>
      </c>
      <c r="R4933">
        <v>-2.0136560000000001E-2</v>
      </c>
      <c r="S4933">
        <v>2.9853519999999998</v>
      </c>
      <c r="T4933">
        <v>-0.41317189999999998</v>
      </c>
      <c r="U4933">
        <v>-1.03183</v>
      </c>
      <c r="V4933">
        <v>1.125026E-2</v>
      </c>
      <c r="W4933">
        <v>1.3226430000000001E-2</v>
      </c>
      <c r="X4933">
        <v>0.99984930000000005</v>
      </c>
      <c r="Y4933">
        <v>0.3155693</v>
      </c>
      <c r="Z4933">
        <v>-1.9928350000000001E-2</v>
      </c>
      <c r="AA4933">
        <v>0.94869319999999902</v>
      </c>
      <c r="AB4933">
        <v>29</v>
      </c>
      <c r="AC4933">
        <v>8.0534999999999801</v>
      </c>
      <c r="AD4933">
        <v>-1.1522129999999999</v>
      </c>
      <c r="AE4933">
        <v>-2.8732000000000002</v>
      </c>
      <c r="AF4933">
        <v>2.7509030635106302</v>
      </c>
      <c r="AG4933">
        <v>-1.1522129999999999</v>
      </c>
      <c r="AH4933">
        <v>7.9348654689762297</v>
      </c>
      <c r="AI4933">
        <v>97.812083087408595</v>
      </c>
      <c r="AJ4933">
        <v>70.8793086905835</v>
      </c>
      <c r="AK4933">
        <v>8.4768598238352801</v>
      </c>
    </row>
    <row r="4934" spans="1:37" x14ac:dyDescent="0.2">
      <c r="A4934" t="str">
        <f>"20200111153750141"</f>
        <v>20200111153750141</v>
      </c>
      <c r="B4934" t="str">
        <f>"1578728270138030"</f>
        <v>1578728270138030</v>
      </c>
      <c r="C4934" t="s">
        <v>37</v>
      </c>
      <c r="D4934">
        <v>5.7809290000000004</v>
      </c>
      <c r="E4934">
        <v>0.61530569999999996</v>
      </c>
      <c r="F4934" t="s">
        <v>40</v>
      </c>
      <c r="G4934">
        <v>-316.99239999999998</v>
      </c>
      <c r="H4934">
        <v>-0.05</v>
      </c>
      <c r="I4934">
        <v>14.35365</v>
      </c>
      <c r="J4934">
        <v>-325.63470000000001</v>
      </c>
      <c r="K4934">
        <v>1.102079</v>
      </c>
      <c r="L4934">
        <v>17.27478</v>
      </c>
      <c r="M4934">
        <v>0.99983379999999999</v>
      </c>
      <c r="N4934">
        <v>0</v>
      </c>
      <c r="O4934">
        <v>-1.087509E-2</v>
      </c>
      <c r="P4934">
        <v>0.99972150000000004</v>
      </c>
      <c r="Q4934">
        <v>-1.43650299999999E-3</v>
      </c>
      <c r="R4934">
        <v>-2.3563150000000001E-2</v>
      </c>
      <c r="S4934">
        <v>2.9801329999999999</v>
      </c>
      <c r="T4934">
        <v>-0.3905942</v>
      </c>
      <c r="U4934">
        <v>-0.99130249999999998</v>
      </c>
      <c r="V4934">
        <v>1.2773720000000001E-2</v>
      </c>
      <c r="W4934">
        <v>1.311533E-2</v>
      </c>
      <c r="X4934">
        <v>0.99983239999999995</v>
      </c>
      <c r="Y4934">
        <v>0.30304530000000002</v>
      </c>
      <c r="Z4934">
        <v>-1.7880400000000001E-2</v>
      </c>
      <c r="AA4934">
        <v>0.9528084</v>
      </c>
      <c r="AB4934">
        <v>29</v>
      </c>
      <c r="AC4934">
        <v>8.6423000000000307</v>
      </c>
      <c r="AD4934">
        <v>-1.1520790000000001</v>
      </c>
      <c r="AE4934">
        <v>-2.9211299999999998</v>
      </c>
      <c r="AF4934">
        <v>2.7825828635778298</v>
      </c>
      <c r="AG4934">
        <v>-1.1520790000000001</v>
      </c>
      <c r="AH4934">
        <v>8.5373995843271206</v>
      </c>
      <c r="AI4934">
        <v>97.311230290882705</v>
      </c>
      <c r="AJ4934">
        <v>71.947728532504101</v>
      </c>
      <c r="AK4934">
        <v>9.0530240846573999</v>
      </c>
    </row>
    <row r="4935" spans="1:37" x14ac:dyDescent="0.2">
      <c r="A4935" t="str">
        <f>"20200111153750154"</f>
        <v>20200111153750154</v>
      </c>
      <c r="B4935" t="str">
        <f>"1578728270147792"</f>
        <v>1578728270147792</v>
      </c>
      <c r="C4935" t="s">
        <v>37</v>
      </c>
      <c r="D4935">
        <v>5.790133</v>
      </c>
      <c r="E4935">
        <v>0.61439169999999999</v>
      </c>
      <c r="F4935" t="s">
        <v>40</v>
      </c>
      <c r="G4935">
        <v>-316.32659999999998</v>
      </c>
      <c r="H4935">
        <v>-0.05</v>
      </c>
      <c r="I4935">
        <v>14.19182</v>
      </c>
      <c r="J4935">
        <v>-325.46359999999999</v>
      </c>
      <c r="K4935">
        <v>1.1019299999999901</v>
      </c>
      <c r="L4935">
        <v>17.270630000000001</v>
      </c>
      <c r="M4935">
        <v>0.99980689999999905</v>
      </c>
      <c r="N4935">
        <v>0</v>
      </c>
      <c r="O4935">
        <v>-1.3194930000000001E-2</v>
      </c>
      <c r="P4935">
        <v>0.99961769999999905</v>
      </c>
      <c r="Q4935">
        <v>-1.2969839999999999E-3</v>
      </c>
      <c r="R4935">
        <v>-2.7619589999999999E-2</v>
      </c>
      <c r="S4935">
        <v>2.9770810000000001</v>
      </c>
      <c r="T4935">
        <v>-0.36848029999999998</v>
      </c>
      <c r="U4935">
        <v>-0.98605350000000003</v>
      </c>
      <c r="V4935">
        <v>1.451616E-2</v>
      </c>
      <c r="W4935">
        <v>1.316206E-2</v>
      </c>
      <c r="X4935">
        <v>0.99980800000000003</v>
      </c>
      <c r="Y4935">
        <v>0.29989280000000001</v>
      </c>
      <c r="Z4935">
        <v>-1.6428410000000001E-2</v>
      </c>
      <c r="AA4935">
        <v>0.9538314</v>
      </c>
      <c r="AB4935">
        <v>29</v>
      </c>
      <c r="AC4935">
        <v>9.1370000000000005</v>
      </c>
      <c r="AD4935">
        <v>-1.1519299999999999</v>
      </c>
      <c r="AE4935">
        <v>-3.0788099999999901</v>
      </c>
      <c r="AF4935">
        <v>2.9163399403456198</v>
      </c>
      <c r="AG4935">
        <v>-1.1519299999999999</v>
      </c>
      <c r="AH4935">
        <v>9.0476889222673407</v>
      </c>
      <c r="AI4935">
        <v>96.909307784148098</v>
      </c>
      <c r="AJ4935">
        <v>72.134321091082597</v>
      </c>
      <c r="AK4935">
        <v>9.5756282408348596</v>
      </c>
    </row>
    <row r="4936" spans="1:37" x14ac:dyDescent="0.2">
      <c r="A4936" t="str">
        <f>"20200111153750168"</f>
        <v>20200111153750168</v>
      </c>
      <c r="B4936" t="str">
        <f>"1578728270158525"</f>
        <v>1578728270158525</v>
      </c>
      <c r="C4936" t="s">
        <v>37</v>
      </c>
      <c r="D4936">
        <v>5.8809969999999998</v>
      </c>
      <c r="E4936">
        <v>0.61403819999999998</v>
      </c>
      <c r="F4936" t="s">
        <v>40</v>
      </c>
      <c r="G4936">
        <v>-315.92660000000001</v>
      </c>
      <c r="H4936">
        <v>-0.05</v>
      </c>
      <c r="I4936">
        <v>14.092879999999999</v>
      </c>
      <c r="J4936">
        <v>-325.30029999999999</v>
      </c>
      <c r="K4936">
        <v>1.1017980000000001</v>
      </c>
      <c r="L4936">
        <v>17.266200000000001</v>
      </c>
      <c r="M4936">
        <v>0.99977490000000002</v>
      </c>
      <c r="N4936">
        <v>0</v>
      </c>
      <c r="O4936">
        <v>-1.5504399999999899E-2</v>
      </c>
      <c r="P4936">
        <v>0.99948780000000004</v>
      </c>
      <c r="Q4936">
        <v>-1.0896839999999901E-3</v>
      </c>
      <c r="R4936">
        <v>-3.1993489999999999E-2</v>
      </c>
      <c r="S4936">
        <v>2.973328</v>
      </c>
      <c r="T4936">
        <v>-0.35913499999999998</v>
      </c>
      <c r="U4936">
        <v>-0.99072269999999896</v>
      </c>
      <c r="V4936">
        <v>1.6586819999999999E-2</v>
      </c>
      <c r="W4936">
        <v>1.328317E-2</v>
      </c>
      <c r="X4936">
        <v>0.99977419999999995</v>
      </c>
      <c r="Y4936">
        <v>0.29951169999999999</v>
      </c>
      <c r="Z4936">
        <v>-1.5737080000000001E-2</v>
      </c>
      <c r="AA4936">
        <v>0.95396289999999995</v>
      </c>
      <c r="AB4936">
        <v>29</v>
      </c>
      <c r="AC4936">
        <v>9.3736999999999799</v>
      </c>
      <c r="AD4936">
        <v>-1.1517980000000001</v>
      </c>
      <c r="AE4936">
        <v>-3.1733199999999999</v>
      </c>
      <c r="AF4936">
        <v>2.98712619589854</v>
      </c>
      <c r="AG4936">
        <v>-1.1517980000000001</v>
      </c>
      <c r="AH4936">
        <v>9.2958574414715098</v>
      </c>
      <c r="AI4936">
        <v>96.727726455389401</v>
      </c>
      <c r="AJ4936">
        <v>72.185736654315207</v>
      </c>
      <c r="AK4936">
        <v>9.8317102843395698</v>
      </c>
    </row>
    <row r="4937" spans="1:37" x14ac:dyDescent="0.2">
      <c r="A4937" t="str">
        <f>"20200111153750179"</f>
        <v>20200111153750179</v>
      </c>
      <c r="B4937" t="str">
        <f>"1578728270168286"</f>
        <v>1578728270168286</v>
      </c>
      <c r="C4937" t="s">
        <v>37</v>
      </c>
      <c r="D4937">
        <v>6.3216400000000004</v>
      </c>
      <c r="E4937">
        <v>0.61286090000000004</v>
      </c>
      <c r="F4937" t="s">
        <v>40</v>
      </c>
      <c r="G4937">
        <v>-315.4357</v>
      </c>
      <c r="H4937">
        <v>-0.05</v>
      </c>
      <c r="I4937">
        <v>13.9397</v>
      </c>
      <c r="J4937">
        <v>-325.14449999999999</v>
      </c>
      <c r="K4937">
        <v>1.101674</v>
      </c>
      <c r="L4937">
        <v>17.261689999999899</v>
      </c>
      <c r="M4937">
        <v>0.99973829999999997</v>
      </c>
      <c r="N4937">
        <v>0</v>
      </c>
      <c r="O4937">
        <v>-1.7758650000000001E-2</v>
      </c>
      <c r="P4937">
        <v>0.99934230000000002</v>
      </c>
      <c r="Q4937">
        <v>-9.623314E-4</v>
      </c>
      <c r="R4937">
        <v>-3.6255849999999999E-2</v>
      </c>
      <c r="S4937">
        <v>2.9690859999999999</v>
      </c>
      <c r="T4937">
        <v>-0.34667120000000001</v>
      </c>
      <c r="U4937">
        <v>-1.0012209999999999</v>
      </c>
      <c r="V4937">
        <v>1.8601099999999999E-2</v>
      </c>
      <c r="W4937">
        <v>1.332989E-2</v>
      </c>
      <c r="X4937">
        <v>0.99973809999999996</v>
      </c>
      <c r="Y4937">
        <v>0.30093120000000001</v>
      </c>
      <c r="Z4937">
        <v>-1.503203E-2</v>
      </c>
      <c r="AA4937">
        <v>0.95352739999999903</v>
      </c>
      <c r="AB4937">
        <v>29</v>
      </c>
      <c r="AC4937">
        <v>9.7087999999999894</v>
      </c>
      <c r="AD4937">
        <v>-1.1516740000000001</v>
      </c>
      <c r="AE4937">
        <v>-3.3219899999999898</v>
      </c>
      <c r="AF4937">
        <v>3.1098599521015302</v>
      </c>
      <c r="AG4937">
        <v>-1.1516740000000001</v>
      </c>
      <c r="AH4937">
        <v>9.6447795746251899</v>
      </c>
      <c r="AI4937">
        <v>96.483692537543305</v>
      </c>
      <c r="AJ4937">
        <v>72.128617497711502</v>
      </c>
      <c r="AK4937">
        <v>10.1989879383725</v>
      </c>
    </row>
    <row r="4938" spans="1:37" x14ac:dyDescent="0.2">
      <c r="A4938" t="str">
        <f>"20200111153750191"</f>
        <v>20200111153750191</v>
      </c>
      <c r="B4938" t="str">
        <f>"1578728270187805"</f>
        <v>1578728270187805</v>
      </c>
      <c r="C4938" t="s">
        <v>37</v>
      </c>
      <c r="D4938">
        <v>6.1302890000000003</v>
      </c>
      <c r="E4938">
        <v>0.61557410000000001</v>
      </c>
      <c r="F4938" t="s">
        <v>40</v>
      </c>
      <c r="G4938">
        <v>-315.48500000000001</v>
      </c>
      <c r="H4938">
        <v>-0.05</v>
      </c>
      <c r="I4938">
        <v>13.98991</v>
      </c>
      <c r="J4938">
        <v>-324.98770000000002</v>
      </c>
      <c r="K4938">
        <v>1.101556</v>
      </c>
      <c r="L4938">
        <v>17.256439999999898</v>
      </c>
      <c r="M4938">
        <v>0.99969359999999996</v>
      </c>
      <c r="N4938">
        <v>0</v>
      </c>
      <c r="O4938">
        <v>-2.015196E-2</v>
      </c>
      <c r="P4938">
        <v>0.99915919999999903</v>
      </c>
      <c r="Q4938">
        <v>-8.1048350000000003E-4</v>
      </c>
      <c r="R4938">
        <v>-4.0993330000000001E-2</v>
      </c>
      <c r="S4938">
        <v>2.965179</v>
      </c>
      <c r="T4938">
        <v>-0.35352919999999999</v>
      </c>
      <c r="U4938">
        <v>-1.0043329999999999</v>
      </c>
      <c r="V4938">
        <v>2.0952120000000001E-2</v>
      </c>
      <c r="W4938">
        <v>1.340379E-2</v>
      </c>
      <c r="X4938">
        <v>0.99969069999999904</v>
      </c>
      <c r="Y4938">
        <v>0.29987789999999998</v>
      </c>
      <c r="Z4938">
        <v>-1.500688E-2</v>
      </c>
      <c r="AA4938">
        <v>0.95385959999999903</v>
      </c>
      <c r="AB4938">
        <v>29</v>
      </c>
      <c r="AC4938">
        <v>9.5027000000000008</v>
      </c>
      <c r="AD4938">
        <v>-1.151556</v>
      </c>
      <c r="AE4938">
        <v>-3.2665299999999902</v>
      </c>
      <c r="AF4938">
        <v>3.0344960061419601</v>
      </c>
      <c r="AG4938">
        <v>-1.151556</v>
      </c>
      <c r="AH4938">
        <v>9.4425920230479292</v>
      </c>
      <c r="AI4938">
        <v>96.622692693385105</v>
      </c>
      <c r="AJ4938">
        <v>72.184536625446199</v>
      </c>
      <c r="AK4938">
        <v>9.9848280579164701</v>
      </c>
    </row>
    <row r="4939" spans="1:37" x14ac:dyDescent="0.2">
      <c r="A4939" t="str">
        <f>"20200111153750210"</f>
        <v>20200111153750210</v>
      </c>
      <c r="B4939" t="str">
        <f>"1578728270198541"</f>
        <v>1578728270198541</v>
      </c>
      <c r="C4939" t="s">
        <v>37</v>
      </c>
      <c r="D4939">
        <v>6.0656210000000002</v>
      </c>
      <c r="E4939">
        <v>0.61668420000000002</v>
      </c>
      <c r="F4939" t="s">
        <v>40</v>
      </c>
      <c r="G4939">
        <v>-315.35419999999999</v>
      </c>
      <c r="H4939">
        <v>-0.05</v>
      </c>
      <c r="I4939">
        <v>13.871729999999999</v>
      </c>
      <c r="J4939">
        <v>-324.76510000000002</v>
      </c>
      <c r="K4939">
        <v>1.101394</v>
      </c>
      <c r="L4939">
        <v>17.248379999999901</v>
      </c>
      <c r="M4939">
        <v>0.99961800000000001</v>
      </c>
      <c r="N4939">
        <v>0</v>
      </c>
      <c r="O4939">
        <v>-2.3647439999999999E-2</v>
      </c>
      <c r="P4939">
        <v>0.99876290000000001</v>
      </c>
      <c r="Q4939">
        <v>-2.0874519999999999E-4</v>
      </c>
      <c r="R4939">
        <v>-4.9727470000000003E-2</v>
      </c>
      <c r="S4939">
        <v>2.9595639999999999</v>
      </c>
      <c r="T4939">
        <v>-0.35377399999999998</v>
      </c>
      <c r="U4939">
        <v>-1.039825</v>
      </c>
      <c r="V4939">
        <v>2.6206529999999999E-2</v>
      </c>
      <c r="W4939">
        <v>1.388297E-2</v>
      </c>
      <c r="X4939">
        <v>0.99956009999999995</v>
      </c>
      <c r="Y4939">
        <v>0.3072802</v>
      </c>
      <c r="Z4939">
        <v>-1.5040339999999999E-2</v>
      </c>
      <c r="AA4939">
        <v>0.95150020000000002</v>
      </c>
      <c r="AB4939">
        <v>29</v>
      </c>
      <c r="AC4939">
        <v>9.4109000000000194</v>
      </c>
      <c r="AD4939">
        <v>-1.151394</v>
      </c>
      <c r="AE4939">
        <v>-3.3766499999999899</v>
      </c>
      <c r="AF4939">
        <v>3.1118710648263201</v>
      </c>
      <c r="AG4939">
        <v>-1.151394</v>
      </c>
      <c r="AH4939">
        <v>9.3639452912199701</v>
      </c>
      <c r="AI4939">
        <v>96.655500271167199</v>
      </c>
      <c r="AJ4939">
        <v>71.617074134642706</v>
      </c>
      <c r="AK4939">
        <v>9.9344310901178403</v>
      </c>
    </row>
    <row r="4940" spans="1:37" x14ac:dyDescent="0.2">
      <c r="A4940" t="str">
        <f>"20200111153750223"</f>
        <v>20200111153750223</v>
      </c>
      <c r="B4940" t="str">
        <f>"1578728270218061"</f>
        <v>1578728270218061</v>
      </c>
      <c r="C4940" t="s">
        <v>37</v>
      </c>
      <c r="D4940">
        <v>6.2223439999999997</v>
      </c>
      <c r="E4940">
        <v>0.61742030000000003</v>
      </c>
      <c r="F4940" t="s">
        <v>40</v>
      </c>
      <c r="G4940">
        <v>-315.0847</v>
      </c>
      <c r="H4940">
        <v>-0.05</v>
      </c>
      <c r="I4940">
        <v>13.72247</v>
      </c>
      <c r="J4940">
        <v>-324.59059999999999</v>
      </c>
      <c r="K4940">
        <v>1.1012759999999999</v>
      </c>
      <c r="L4940">
        <v>17.241489999999999</v>
      </c>
      <c r="M4940">
        <v>0.99954779999999999</v>
      </c>
      <c r="N4940">
        <v>0</v>
      </c>
      <c r="O4940">
        <v>-2.6474549999999999E-2</v>
      </c>
      <c r="P4940">
        <v>0.99847699999999995</v>
      </c>
      <c r="Q4940">
        <v>2.4593480000000001E-4</v>
      </c>
      <c r="R4940">
        <v>-5.5167859999999999E-2</v>
      </c>
      <c r="S4940">
        <v>2.9501650000000001</v>
      </c>
      <c r="T4940">
        <v>-0.35089769999999998</v>
      </c>
      <c r="U4940">
        <v>-1.074554</v>
      </c>
      <c r="V4940">
        <v>2.8832420000000001E-2</v>
      </c>
      <c r="W4940">
        <v>1.425773E-2</v>
      </c>
      <c r="X4940">
        <v>0.999482599999999</v>
      </c>
      <c r="Y4940">
        <v>0.31544719999999998</v>
      </c>
      <c r="Z4940">
        <v>-1.5080059999999999E-2</v>
      </c>
      <c r="AA4940">
        <v>0.94882330000000004</v>
      </c>
      <c r="AB4940">
        <v>29</v>
      </c>
      <c r="AC4940">
        <v>9.5058999999999898</v>
      </c>
      <c r="AD4940">
        <v>-1.151276</v>
      </c>
      <c r="AE4940">
        <v>-3.51901999999999</v>
      </c>
      <c r="AF4940">
        <v>3.2244996777693098</v>
      </c>
      <c r="AG4940">
        <v>-1.151276</v>
      </c>
      <c r="AH4940">
        <v>9.4735311442210595</v>
      </c>
      <c r="AI4940">
        <v>96.562690927960105</v>
      </c>
      <c r="AJ4940">
        <v>71.2029993560691</v>
      </c>
      <c r="AK4940">
        <v>10.0732629738648</v>
      </c>
    </row>
    <row r="4941" spans="1:37" x14ac:dyDescent="0.2">
      <c r="A4941" t="str">
        <f>"20200111153750236"</f>
        <v>20200111153750236</v>
      </c>
      <c r="B4941" t="str">
        <f>"1578728270227824"</f>
        <v>1578728270227824</v>
      </c>
      <c r="C4941" t="s">
        <v>37</v>
      </c>
      <c r="D4941">
        <v>6.2185610000000002</v>
      </c>
      <c r="E4941">
        <v>0.61758880000000005</v>
      </c>
      <c r="F4941" t="s">
        <v>40</v>
      </c>
      <c r="G4941">
        <v>-314.92939999999999</v>
      </c>
      <c r="H4941">
        <v>-0.05</v>
      </c>
      <c r="I4941">
        <v>13.64264</v>
      </c>
      <c r="J4941">
        <v>-324.42020000000002</v>
      </c>
      <c r="K4941">
        <v>1.1011679999999999</v>
      </c>
      <c r="L4941">
        <v>17.234159999999999</v>
      </c>
      <c r="M4941">
        <v>0.99946889999999999</v>
      </c>
      <c r="N4941">
        <v>0</v>
      </c>
      <c r="O4941">
        <v>-2.9323479999999999E-2</v>
      </c>
      <c r="P4941">
        <v>0.99817199999999995</v>
      </c>
      <c r="Q4941">
        <v>4.813191E-4</v>
      </c>
      <c r="R4941">
        <v>-6.0433590000000002E-2</v>
      </c>
      <c r="S4941">
        <v>2.944061</v>
      </c>
      <c r="T4941">
        <v>-0.35082839999999998</v>
      </c>
      <c r="U4941">
        <v>-1.0966799999999901</v>
      </c>
      <c r="V4941">
        <v>3.126081E-2</v>
      </c>
      <c r="W4941">
        <v>1.4419360000000001E-2</v>
      </c>
      <c r="X4941">
        <v>0.99940720000000005</v>
      </c>
      <c r="Y4941">
        <v>0.31964199999999998</v>
      </c>
      <c r="Z4941">
        <v>-1.5002039999999999E-2</v>
      </c>
      <c r="AA4941">
        <v>0.94741960000000003</v>
      </c>
      <c r="AB4941">
        <v>29</v>
      </c>
      <c r="AC4941">
        <v>9.4908000000000303</v>
      </c>
      <c r="AD4941">
        <v>-1.151168</v>
      </c>
      <c r="AE4941">
        <v>-3.5915199999999898</v>
      </c>
      <c r="AF4941">
        <v>3.2695674100346501</v>
      </c>
      <c r="AG4941">
        <v>-1.151168</v>
      </c>
      <c r="AH4941">
        <v>9.4701716969178005</v>
      </c>
      <c r="AI4941">
        <v>96.554654974443096</v>
      </c>
      <c r="AJ4941">
        <v>70.952816895303798</v>
      </c>
      <c r="AK4941">
        <v>10.0846125747144</v>
      </c>
    </row>
    <row r="4942" spans="1:37" x14ac:dyDescent="0.2">
      <c r="A4942" t="str">
        <f>"20200111153750248"</f>
        <v>20200111153750248</v>
      </c>
      <c r="B4942" t="str">
        <f>"1578728270238557"</f>
        <v>1578728270238557</v>
      </c>
      <c r="C4942" t="s">
        <v>37</v>
      </c>
      <c r="D4942">
        <v>6.2395769999999997</v>
      </c>
      <c r="E4942">
        <v>0.61771899999999902</v>
      </c>
      <c r="F4942" t="s">
        <v>40</v>
      </c>
      <c r="G4942">
        <v>-314.76679999999999</v>
      </c>
      <c r="H4942">
        <v>-0.05</v>
      </c>
      <c r="I4942">
        <v>13.57536</v>
      </c>
      <c r="J4942">
        <v>-324.26319999999998</v>
      </c>
      <c r="K4942">
        <v>1.101067</v>
      </c>
      <c r="L4942">
        <v>17.22681</v>
      </c>
      <c r="M4942">
        <v>0.99938640000000001</v>
      </c>
      <c r="N4942">
        <v>0</v>
      </c>
      <c r="O4942">
        <v>-3.2031169999999998E-2</v>
      </c>
      <c r="P4942">
        <v>0.99783750000000004</v>
      </c>
      <c r="Q4942">
        <v>7.6687520000000005E-4</v>
      </c>
      <c r="R4942">
        <v>-6.5726649999999998E-2</v>
      </c>
      <c r="S4942">
        <v>2.9382630000000001</v>
      </c>
      <c r="T4942">
        <v>-0.350387</v>
      </c>
      <c r="U4942">
        <v>-1.1136469999999901</v>
      </c>
      <c r="V4942">
        <v>3.3859210000000001E-2</v>
      </c>
      <c r="W4942">
        <v>1.4637249999999999E-2</v>
      </c>
      <c r="X4942">
        <v>0.99931939999999997</v>
      </c>
      <c r="Y4942">
        <v>0.32248169999999998</v>
      </c>
      <c r="Z4942">
        <v>-1.4849289999999999E-2</v>
      </c>
      <c r="AA4942">
        <v>0.94645919999999895</v>
      </c>
      <c r="AB4942">
        <v>29</v>
      </c>
      <c r="AC4942">
        <v>9.4963999999999906</v>
      </c>
      <c r="AD4942">
        <v>-1.1510670000000001</v>
      </c>
      <c r="AE4942">
        <v>-3.6514500000000001</v>
      </c>
      <c r="AF4942">
        <v>3.3030861529756002</v>
      </c>
      <c r="AG4942">
        <v>-1.1510670000000001</v>
      </c>
      <c r="AH4942">
        <v>9.4870666631414693</v>
      </c>
      <c r="AI4942">
        <v>96.536658916194199</v>
      </c>
      <c r="AJ4942">
        <v>70.803554960271001</v>
      </c>
      <c r="AK4942">
        <v>10.111368218167</v>
      </c>
    </row>
    <row r="4943" spans="1:37" x14ac:dyDescent="0.2">
      <c r="A4943" t="str">
        <f>"20200111153750264"</f>
        <v>20200111153750264</v>
      </c>
      <c r="B4943" t="str">
        <f>"1578728270258078"</f>
        <v>1578728270258078</v>
      </c>
      <c r="C4943" t="s">
        <v>37</v>
      </c>
      <c r="D4943">
        <v>6.2607619999999997</v>
      </c>
      <c r="E4943">
        <v>0.61788719999999997</v>
      </c>
      <c r="F4943" t="s">
        <v>40</v>
      </c>
      <c r="G4943">
        <v>-314.62779999999998</v>
      </c>
      <c r="H4943">
        <v>-0.05</v>
      </c>
      <c r="I4943">
        <v>13.51239</v>
      </c>
      <c r="J4943">
        <v>-324.05560000000003</v>
      </c>
      <c r="K4943">
        <v>1.1009329999999999</v>
      </c>
      <c r="L4943">
        <v>17.216429999999999</v>
      </c>
      <c r="M4943">
        <v>0.99926280000000001</v>
      </c>
      <c r="N4943">
        <v>0</v>
      </c>
      <c r="O4943">
        <v>-3.5695099999999903E-2</v>
      </c>
      <c r="P4943">
        <v>0.9972375</v>
      </c>
      <c r="Q4943">
        <v>8.2474619999999997E-4</v>
      </c>
      <c r="R4943">
        <v>-7.4276439999999999E-2</v>
      </c>
      <c r="S4943">
        <v>2.932312</v>
      </c>
      <c r="T4943">
        <v>-0.35030099999999997</v>
      </c>
      <c r="U4943">
        <v>-1.1304019999999999</v>
      </c>
      <c r="V4943">
        <v>3.8765010000000003E-2</v>
      </c>
      <c r="W4943">
        <v>1.4594340000000001E-2</v>
      </c>
      <c r="X4943">
        <v>0.99914179999999997</v>
      </c>
      <c r="Y4943">
        <v>0.32437630000000001</v>
      </c>
      <c r="Z4943">
        <v>-1.454838E-2</v>
      </c>
      <c r="AA4943">
        <v>0.9458162</v>
      </c>
      <c r="AB4943">
        <v>29</v>
      </c>
      <c r="AC4943">
        <v>9.4278000000000404</v>
      </c>
      <c r="AD4943">
        <v>-1.150933</v>
      </c>
      <c r="AE4943">
        <v>-3.7040399999999898</v>
      </c>
      <c r="AF4943">
        <v>3.3222279808547901</v>
      </c>
      <c r="AG4943">
        <v>-1.150933</v>
      </c>
      <c r="AH4943">
        <v>9.4322462212277607</v>
      </c>
      <c r="AI4943">
        <v>96.565326894738902</v>
      </c>
      <c r="AJ4943">
        <v>70.596704848016003</v>
      </c>
      <c r="AK4943">
        <v>10.0662363525365</v>
      </c>
    </row>
    <row r="4944" spans="1:37" x14ac:dyDescent="0.2">
      <c r="A4944" t="str">
        <f>"20200111153750287"</f>
        <v>20200111153750287</v>
      </c>
      <c r="B4944" t="str">
        <f>"1578728270278573"</f>
        <v>1578728270278573</v>
      </c>
      <c r="C4944" t="s">
        <v>37</v>
      </c>
      <c r="D4944">
        <v>6.2228159999999999</v>
      </c>
      <c r="E4944">
        <v>0.6179538</v>
      </c>
      <c r="F4944" t="s">
        <v>40</v>
      </c>
      <c r="G4944">
        <v>-314.43779999999998</v>
      </c>
      <c r="H4944">
        <v>-0.05</v>
      </c>
      <c r="I4944">
        <v>13.40907</v>
      </c>
      <c r="J4944">
        <v>-323.7679</v>
      </c>
      <c r="K4944">
        <v>1.1007469999999999</v>
      </c>
      <c r="L4944">
        <v>17.200559999999999</v>
      </c>
      <c r="M4944">
        <v>0.99906049999999902</v>
      </c>
      <c r="N4944">
        <v>0</v>
      </c>
      <c r="O4944">
        <v>-4.0984279999999998E-2</v>
      </c>
      <c r="P4944">
        <v>0.99646449999999998</v>
      </c>
      <c r="Q4944">
        <v>5.9831239999999996E-4</v>
      </c>
      <c r="R4944">
        <v>-8.4012870000000003E-2</v>
      </c>
      <c r="S4944">
        <v>2.9224239999999999</v>
      </c>
      <c r="T4944">
        <v>-0.34971799999999997</v>
      </c>
      <c r="U4944">
        <v>-1.1568909999999999</v>
      </c>
      <c r="V4944">
        <v>4.3238140000000001E-2</v>
      </c>
      <c r="W4944">
        <v>1.425534E-2</v>
      </c>
      <c r="X4944">
        <v>0.99896309999999999</v>
      </c>
      <c r="Y4944">
        <v>0.32789190000000001</v>
      </c>
      <c r="Z4944">
        <v>-1.4143640000000001E-2</v>
      </c>
      <c r="AA4944">
        <v>0.94460940000000004</v>
      </c>
      <c r="AB4944">
        <v>29</v>
      </c>
      <c r="AC4944">
        <v>9.3301000000000105</v>
      </c>
      <c r="AD4944">
        <v>-1.150747</v>
      </c>
      <c r="AE4944">
        <v>-3.7914899999999898</v>
      </c>
      <c r="AF4944">
        <v>3.36198433093961</v>
      </c>
      <c r="AG4944">
        <v>-1.150747</v>
      </c>
      <c r="AH4944">
        <v>9.3555205641572794</v>
      </c>
      <c r="AI4944">
        <v>96.602864462781596</v>
      </c>
      <c r="AJ4944">
        <v>70.233676743663295</v>
      </c>
      <c r="AK4944">
        <v>10.007643195371299</v>
      </c>
    </row>
    <row r="4945" spans="1:37" x14ac:dyDescent="0.2">
      <c r="A4945" t="str">
        <f>"20200111153750300"</f>
        <v>20200111153750300</v>
      </c>
      <c r="B4945" t="str">
        <f>"1578728270288333"</f>
        <v>1578728270288333</v>
      </c>
      <c r="C4945" t="s">
        <v>37</v>
      </c>
      <c r="D4945">
        <v>6.1521470000000003</v>
      </c>
      <c r="E4945">
        <v>0.61799190000000004</v>
      </c>
      <c r="F4945" t="s">
        <v>40</v>
      </c>
      <c r="G4945">
        <v>-314.18509999999998</v>
      </c>
      <c r="H4945">
        <v>-0.05</v>
      </c>
      <c r="I4945">
        <v>13.296250000000001</v>
      </c>
      <c r="J4945">
        <v>-323.61079999999998</v>
      </c>
      <c r="K4945">
        <v>1.100646</v>
      </c>
      <c r="L4945">
        <v>17.191310000000001</v>
      </c>
      <c r="M4945">
        <v>0.99893529999999997</v>
      </c>
      <c r="N4945">
        <v>0</v>
      </c>
      <c r="O4945">
        <v>-4.3940369999999999E-2</v>
      </c>
      <c r="P4945">
        <v>0.99602089999999999</v>
      </c>
      <c r="Q4945">
        <v>5.3317610000000004E-4</v>
      </c>
      <c r="R4945">
        <v>-8.9118699999999995E-2</v>
      </c>
      <c r="S4945">
        <v>2.9108580000000002</v>
      </c>
      <c r="T4945">
        <v>-0.34955009999999997</v>
      </c>
      <c r="U4945">
        <v>-1.1859740000000001</v>
      </c>
      <c r="V4945">
        <v>4.5404380000000001E-2</v>
      </c>
      <c r="W4945">
        <v>1.413329E-2</v>
      </c>
      <c r="X4945">
        <v>0.99886869999999905</v>
      </c>
      <c r="Y4945">
        <v>0.33447139999999997</v>
      </c>
      <c r="Z4945">
        <v>-1.4203830000000001E-2</v>
      </c>
      <c r="AA4945">
        <v>0.94229879999999999</v>
      </c>
      <c r="AB4945">
        <v>29</v>
      </c>
      <c r="AC4945">
        <v>9.4257000000000009</v>
      </c>
      <c r="AD4945">
        <v>-1.1506459999999901</v>
      </c>
      <c r="AE4945">
        <v>-3.89506</v>
      </c>
      <c r="AF4945">
        <v>3.4333848410522698</v>
      </c>
      <c r="AG4945">
        <v>-1.1506459999999901</v>
      </c>
      <c r="AH4945">
        <v>9.46725527813072</v>
      </c>
      <c r="AI4945">
        <v>96.518228637392099</v>
      </c>
      <c r="AJ4945">
        <v>70.066370425313394</v>
      </c>
      <c r="AK4945">
        <v>10.1361255016587</v>
      </c>
    </row>
    <row r="4946" spans="1:37" x14ac:dyDescent="0.2">
      <c r="A4946" t="str">
        <f>"20200111153750311"</f>
        <v>20200111153750311</v>
      </c>
      <c r="B4946" t="str">
        <f>"1578728270307853"</f>
        <v>1578728270307853</v>
      </c>
      <c r="C4946" t="s">
        <v>37</v>
      </c>
      <c r="D4946">
        <v>6.145054</v>
      </c>
      <c r="E4946">
        <v>0.61807380000000001</v>
      </c>
      <c r="F4946" t="s">
        <v>40</v>
      </c>
      <c r="G4946">
        <v>-314.07389999999998</v>
      </c>
      <c r="H4946">
        <v>-0.05</v>
      </c>
      <c r="I4946">
        <v>13.247179999999901</v>
      </c>
      <c r="J4946">
        <v>-323.44970000000001</v>
      </c>
      <c r="K4946">
        <v>1.1005450000000001</v>
      </c>
      <c r="L4946">
        <v>17.18094</v>
      </c>
      <c r="M4946">
        <v>0.99879269999999998</v>
      </c>
      <c r="N4946">
        <v>0</v>
      </c>
      <c r="O4946">
        <v>-4.7076850000000003E-2</v>
      </c>
      <c r="P4946">
        <v>0.99555729999999998</v>
      </c>
      <c r="Q4946">
        <v>3.1392650000000002E-4</v>
      </c>
      <c r="R4946">
        <v>-9.4158309999999995E-2</v>
      </c>
      <c r="S4946">
        <v>2.9047239999999999</v>
      </c>
      <c r="T4946">
        <v>-0.35046149999999998</v>
      </c>
      <c r="U4946">
        <v>-1.2012940000000001</v>
      </c>
      <c r="V4946">
        <v>4.7323869999999997E-2</v>
      </c>
      <c r="W4946">
        <v>1.3862950000000001E-2</v>
      </c>
      <c r="X4946">
        <v>0.99878339999999999</v>
      </c>
      <c r="Y4946">
        <v>0.33645629999999999</v>
      </c>
      <c r="Z4946">
        <v>-1.400903E-2</v>
      </c>
      <c r="AA4946">
        <v>0.94159479999999995</v>
      </c>
      <c r="AB4946">
        <v>28</v>
      </c>
      <c r="AC4946">
        <v>9.3758000000000195</v>
      </c>
      <c r="AD4946">
        <v>-1.1505449999999999</v>
      </c>
      <c r="AE4946">
        <v>-3.9337599999999999</v>
      </c>
      <c r="AF4946">
        <v>3.4438732171521602</v>
      </c>
      <c r="AG4946">
        <v>-1.1505449999999999</v>
      </c>
      <c r="AH4946">
        <v>9.4298631735715404</v>
      </c>
      <c r="AI4946">
        <v>96.537967957796894</v>
      </c>
      <c r="AJ4946">
        <v>69.937339115953705</v>
      </c>
      <c r="AK4946">
        <v>10.1047679837353</v>
      </c>
    </row>
    <row r="4947" spans="1:37" x14ac:dyDescent="0.2">
      <c r="A4947" t="str">
        <f>"20200111153750325"</f>
        <v>20200111153750325</v>
      </c>
      <c r="B4947" t="str">
        <f>"1578728270318589"</f>
        <v>1578728270318589</v>
      </c>
      <c r="C4947" t="s">
        <v>37</v>
      </c>
      <c r="D4947">
        <v>6.166461</v>
      </c>
      <c r="E4947">
        <v>0.6181451</v>
      </c>
      <c r="F4947" t="s">
        <v>40</v>
      </c>
      <c r="G4947">
        <v>-313.99380000000002</v>
      </c>
      <c r="H4947">
        <v>-0.05</v>
      </c>
      <c r="I4947">
        <v>13.211869999999999</v>
      </c>
      <c r="J4947">
        <v>-323.28500000000003</v>
      </c>
      <c r="K4947">
        <v>1.1004430000000001</v>
      </c>
      <c r="L4947">
        <v>17.169920000000001</v>
      </c>
      <c r="M4947">
        <v>0.99863400000000002</v>
      </c>
      <c r="N4947">
        <v>0</v>
      </c>
      <c r="O4947">
        <v>-5.033323E-2</v>
      </c>
      <c r="P4947">
        <v>0.99504130000000002</v>
      </c>
      <c r="Q4947" s="1">
        <v>5.3102149999999998E-5</v>
      </c>
      <c r="R4947">
        <v>-9.9462289999999995E-2</v>
      </c>
      <c r="S4947">
        <v>2.8984679999999998</v>
      </c>
      <c r="T4947">
        <v>-0.35266979999999998</v>
      </c>
      <c r="U4947">
        <v>-1.2166139999999901</v>
      </c>
      <c r="V4947">
        <v>4.9390179999999999E-2</v>
      </c>
      <c r="W4947">
        <v>1.3549220000000001E-2</v>
      </c>
      <c r="X4947">
        <v>0.99868760000000001</v>
      </c>
      <c r="Y4947">
        <v>0.33832829999999903</v>
      </c>
      <c r="Z4947">
        <v>-1.3843319999999999E-2</v>
      </c>
      <c r="AA4947">
        <v>0.94092629999999999</v>
      </c>
      <c r="AB4947">
        <v>28</v>
      </c>
      <c r="AC4947">
        <v>9.2911999999999999</v>
      </c>
      <c r="AD4947">
        <v>-1.1504430000000001</v>
      </c>
      <c r="AE4947">
        <v>-3.9580500000000001</v>
      </c>
      <c r="AF4947">
        <v>3.4406815642117601</v>
      </c>
      <c r="AG4947">
        <v>-1.1504430000000001</v>
      </c>
      <c r="AH4947">
        <v>9.3572365903825592</v>
      </c>
      <c r="AI4947">
        <v>96.582431136198807</v>
      </c>
      <c r="AJ4947">
        <v>69.8113864466075</v>
      </c>
      <c r="AK4947">
        <v>10.0359197551071</v>
      </c>
    </row>
    <row r="4948" spans="1:37" x14ac:dyDescent="0.2">
      <c r="A4948" t="str">
        <f>"20200111153750337"</f>
        <v>20200111153750337</v>
      </c>
      <c r="B4948" t="str">
        <f>"1578728270328349"</f>
        <v>1578728270328349</v>
      </c>
      <c r="C4948" t="s">
        <v>37</v>
      </c>
      <c r="D4948">
        <v>6.1320259999999998</v>
      </c>
      <c r="E4948">
        <v>0.61820200000000003</v>
      </c>
      <c r="F4948" t="s">
        <v>40</v>
      </c>
      <c r="G4948">
        <v>-313.86369999999999</v>
      </c>
      <c r="H4948">
        <v>-0.05</v>
      </c>
      <c r="I4948">
        <v>13.154019999999999</v>
      </c>
      <c r="J4948">
        <v>-323.11680000000001</v>
      </c>
      <c r="K4948">
        <v>1.100336</v>
      </c>
      <c r="L4948">
        <v>17.158110000000001</v>
      </c>
      <c r="M4948">
        <v>0.998457699999999</v>
      </c>
      <c r="N4948">
        <v>0</v>
      </c>
      <c r="O4948">
        <v>-5.3723439999999997E-2</v>
      </c>
      <c r="P4948">
        <v>0.99452359999999995</v>
      </c>
      <c r="Q4948">
        <v>-3.9079970000000002E-4</v>
      </c>
      <c r="R4948">
        <v>-0.1045126</v>
      </c>
      <c r="S4948">
        <v>2.8917540000000002</v>
      </c>
      <c r="T4948">
        <v>-0.3531147</v>
      </c>
      <c r="U4948">
        <v>-1.2326349999999999</v>
      </c>
      <c r="V4948">
        <v>5.1067809999999998E-2</v>
      </c>
      <c r="W4948">
        <v>1.3057640000000001E-2</v>
      </c>
      <c r="X4948">
        <v>0.99860979999999999</v>
      </c>
      <c r="Y4948">
        <v>0.34033649999999999</v>
      </c>
      <c r="Z4948">
        <v>-1.3600249999999999E-2</v>
      </c>
      <c r="AA4948">
        <v>0.94020539999999997</v>
      </c>
      <c r="AB4948">
        <v>28</v>
      </c>
      <c r="AC4948">
        <v>9.2531000000000105</v>
      </c>
      <c r="AD4948">
        <v>-1.150336</v>
      </c>
      <c r="AE4948">
        <v>-4.0040899999999997</v>
      </c>
      <c r="AF4948">
        <v>3.4561583920393999</v>
      </c>
      <c r="AG4948">
        <v>-1.150336</v>
      </c>
      <c r="AH4948">
        <v>9.3333710207577596</v>
      </c>
      <c r="AI4948">
        <v>96.592988646592204</v>
      </c>
      <c r="AJ4948">
        <v>69.680348876375703</v>
      </c>
      <c r="AK4948">
        <v>10.018987890744301</v>
      </c>
    </row>
    <row r="4949" spans="1:37" x14ac:dyDescent="0.2">
      <c r="A4949" t="str">
        <f>"20200111153750354"</f>
        <v>20200111153750354</v>
      </c>
      <c r="B4949" t="str">
        <f>"1578728270347869"</f>
        <v>1578728270347869</v>
      </c>
      <c r="C4949" t="s">
        <v>37</v>
      </c>
      <c r="D4949">
        <v>6.1440769999999896</v>
      </c>
      <c r="E4949">
        <v>0.61826599999999998</v>
      </c>
      <c r="F4949" t="s">
        <v>40</v>
      </c>
      <c r="G4949">
        <v>-313.75549999999998</v>
      </c>
      <c r="H4949">
        <v>-0.05</v>
      </c>
      <c r="I4949">
        <v>13.10941</v>
      </c>
      <c r="J4949">
        <v>-322.91289999999998</v>
      </c>
      <c r="K4949">
        <v>1.100206</v>
      </c>
      <c r="L4949">
        <v>17.142669999999999</v>
      </c>
      <c r="M4949">
        <v>0.99822</v>
      </c>
      <c r="N4949">
        <v>0</v>
      </c>
      <c r="O4949">
        <v>-5.7976550000000002E-2</v>
      </c>
      <c r="P4949">
        <v>0.99365170000000003</v>
      </c>
      <c r="Q4949">
        <v>-1.1317569999999999E-3</v>
      </c>
      <c r="R4949">
        <v>-0.1124955</v>
      </c>
      <c r="S4949">
        <v>2.8852540000000002</v>
      </c>
      <c r="T4949">
        <v>-0.35454859999999999</v>
      </c>
      <c r="U4949">
        <v>-1.2478639999999901</v>
      </c>
      <c r="V4949">
        <v>5.4828269999999998E-2</v>
      </c>
      <c r="W4949">
        <v>1.224136E-2</v>
      </c>
      <c r="X4949">
        <v>0.9984208</v>
      </c>
      <c r="Y4949">
        <v>0.34128979999999998</v>
      </c>
      <c r="Z4949">
        <v>-1.323062E-2</v>
      </c>
      <c r="AA4949">
        <v>0.93986499999999995</v>
      </c>
      <c r="AB4949">
        <v>28</v>
      </c>
      <c r="AC4949">
        <v>9.1573999999999902</v>
      </c>
      <c r="AD4949">
        <v>-1.1502059999999901</v>
      </c>
      <c r="AE4949">
        <v>-4.0332600000000003</v>
      </c>
      <c r="AF4949">
        <v>3.4499235977023299</v>
      </c>
      <c r="AG4949">
        <v>-1.1502059999999901</v>
      </c>
      <c r="AH4949">
        <v>9.2535816712055308</v>
      </c>
      <c r="AI4949">
        <v>96.643168147121202</v>
      </c>
      <c r="AJ4949">
        <v>69.553520939231404</v>
      </c>
      <c r="AK4949">
        <v>9.9425208281446604</v>
      </c>
    </row>
    <row r="4950" spans="1:37" x14ac:dyDescent="0.2">
      <c r="A4950" t="str">
        <f>"20200111153750366"</f>
        <v>20200111153750366</v>
      </c>
      <c r="B4950" t="str">
        <f>"1578728270358605"</f>
        <v>1578728270358605</v>
      </c>
      <c r="C4950" t="s">
        <v>37</v>
      </c>
      <c r="D4950">
        <v>6.1902119999999998</v>
      </c>
      <c r="E4950">
        <v>0.61829440000000002</v>
      </c>
      <c r="F4950" t="s">
        <v>40</v>
      </c>
      <c r="G4950">
        <v>-313.63929999999999</v>
      </c>
      <c r="H4950">
        <v>-0.05</v>
      </c>
      <c r="I4950">
        <v>13.040389999999899</v>
      </c>
      <c r="J4950">
        <v>-322.75119999999998</v>
      </c>
      <c r="K4950">
        <v>1.1001030000000001</v>
      </c>
      <c r="L4950">
        <v>17.12979</v>
      </c>
      <c r="M4950">
        <v>0.99801309999999999</v>
      </c>
      <c r="N4950">
        <v>0</v>
      </c>
      <c r="O4950">
        <v>-6.1436440000000002E-2</v>
      </c>
      <c r="P4950">
        <v>0.99304629999999905</v>
      </c>
      <c r="Q4950">
        <v>-1.3204339999999899E-3</v>
      </c>
      <c r="R4950">
        <v>-0.117718499999999</v>
      </c>
      <c r="S4950">
        <v>2.8747859999999998</v>
      </c>
      <c r="T4950">
        <v>-0.35656070000000001</v>
      </c>
      <c r="U4950">
        <v>-1.271698</v>
      </c>
      <c r="V4950">
        <v>5.6617439999999998E-2</v>
      </c>
      <c r="W4950">
        <v>1.2007250000000001E-2</v>
      </c>
      <c r="X4950">
        <v>0.99832369999999904</v>
      </c>
      <c r="Y4950">
        <v>0.34578219999999998</v>
      </c>
      <c r="Z4950">
        <v>-1.31884999999999E-2</v>
      </c>
      <c r="AA4950">
        <v>0.93822209999999995</v>
      </c>
      <c r="AB4950">
        <v>28</v>
      </c>
      <c r="AC4950">
        <v>9.1118999999999897</v>
      </c>
      <c r="AD4950">
        <v>-1.1501030000000001</v>
      </c>
      <c r="AE4950">
        <v>-4.0894000000000004</v>
      </c>
      <c r="AF4950">
        <v>3.47572622181029</v>
      </c>
      <c r="AG4950">
        <v>-1.1501030000000001</v>
      </c>
      <c r="AH4950">
        <v>9.2236366350346302</v>
      </c>
      <c r="AI4950">
        <v>96.655257358555502</v>
      </c>
      <c r="AJ4950">
        <v>69.352176951721404</v>
      </c>
      <c r="AK4950">
        <v>9.9236526770510007</v>
      </c>
    </row>
    <row r="4951" spans="1:37" x14ac:dyDescent="0.2">
      <c r="A4951" t="str">
        <f>"20200111153750380"</f>
        <v>20200111153750380</v>
      </c>
      <c r="B4951" t="str">
        <f>"1578728270368366"</f>
        <v>1578728270368366</v>
      </c>
      <c r="C4951" t="s">
        <v>37</v>
      </c>
      <c r="D4951">
        <v>6.1842449999999998</v>
      </c>
      <c r="E4951">
        <v>0.61830980000000002</v>
      </c>
      <c r="F4951" t="s">
        <v>40</v>
      </c>
      <c r="G4951">
        <v>-313.50220000000002</v>
      </c>
      <c r="H4951">
        <v>-0.05</v>
      </c>
      <c r="I4951">
        <v>12.978819999999899</v>
      </c>
      <c r="J4951">
        <v>-322.58679999999998</v>
      </c>
      <c r="K4951">
        <v>1.099993</v>
      </c>
      <c r="L4951">
        <v>17.116239999999902</v>
      </c>
      <c r="M4951">
        <v>0.99778659999999997</v>
      </c>
      <c r="N4951">
        <v>0</v>
      </c>
      <c r="O4951">
        <v>-6.5016370000000004E-2</v>
      </c>
      <c r="P4951">
        <v>0.99239880000000003</v>
      </c>
      <c r="Q4951">
        <v>-1.3252139999999999E-3</v>
      </c>
      <c r="R4951">
        <v>-0.12305869999999999</v>
      </c>
      <c r="S4951">
        <v>2.86795</v>
      </c>
      <c r="T4951">
        <v>-0.35662459999999901</v>
      </c>
      <c r="U4951">
        <v>-1.28714</v>
      </c>
      <c r="V4951">
        <v>5.8409269999999999E-2</v>
      </c>
      <c r="W4951">
        <v>1.1956710000000001E-2</v>
      </c>
      <c r="X4951">
        <v>0.99822109999999997</v>
      </c>
      <c r="Y4951">
        <v>0.34746729999999998</v>
      </c>
      <c r="Z4951">
        <v>-1.288575E-2</v>
      </c>
      <c r="AA4951">
        <v>0.93760359999999998</v>
      </c>
      <c r="AB4951">
        <v>28</v>
      </c>
      <c r="AC4951">
        <v>9.0845999999999592</v>
      </c>
      <c r="AD4951">
        <v>-1.149993</v>
      </c>
      <c r="AE4951">
        <v>-4.1374199999999899</v>
      </c>
      <c r="AF4951">
        <v>3.4916199528653298</v>
      </c>
      <c r="AG4951">
        <v>-1.149993</v>
      </c>
      <c r="AH4951">
        <v>9.2121420607504394</v>
      </c>
      <c r="AI4951">
        <v>96.658063041962393</v>
      </c>
      <c r="AJ4951">
        <v>69.242105649062196</v>
      </c>
      <c r="AK4951">
        <v>9.9185409785282204</v>
      </c>
    </row>
    <row r="4952" spans="1:37" x14ac:dyDescent="0.2">
      <c r="A4952" t="str">
        <f>"20200111153750391"</f>
        <v>20200111153750391</v>
      </c>
      <c r="B4952" t="str">
        <f>"1578728270387886"</f>
        <v>1578728270387886</v>
      </c>
      <c r="C4952" t="s">
        <v>37</v>
      </c>
      <c r="D4952">
        <v>6.0347099999999996</v>
      </c>
      <c r="E4952">
        <v>0.61823240000000002</v>
      </c>
      <c r="F4952" t="s">
        <v>40</v>
      </c>
      <c r="G4952">
        <v>-313.34710000000001</v>
      </c>
      <c r="H4952">
        <v>-0.05</v>
      </c>
      <c r="I4952">
        <v>12.908580000000001</v>
      </c>
      <c r="J4952">
        <v>-322.42930000000001</v>
      </c>
      <c r="K4952">
        <v>1.0998840000000001</v>
      </c>
      <c r="L4952">
        <v>17.102260000000001</v>
      </c>
      <c r="M4952">
        <v>0.99754849999999995</v>
      </c>
      <c r="N4952">
        <v>0</v>
      </c>
      <c r="O4952">
        <v>-6.8573040000000002E-2</v>
      </c>
      <c r="P4952">
        <v>0.99175049999999898</v>
      </c>
      <c r="Q4952">
        <v>-1.070868E-3</v>
      </c>
      <c r="R4952">
        <v>-0.12818060000000001</v>
      </c>
      <c r="S4952">
        <v>2.8609619999999998</v>
      </c>
      <c r="T4952">
        <v>-0.35608229999999902</v>
      </c>
      <c r="U4952">
        <v>-1.302856</v>
      </c>
      <c r="V4952">
        <v>6.0010269999999998E-2</v>
      </c>
      <c r="W4952">
        <v>1.217127E-2</v>
      </c>
      <c r="X4952">
        <v>0.99812350000000005</v>
      </c>
      <c r="Y4952">
        <v>0.34927039999999998</v>
      </c>
      <c r="Z4952">
        <v>-1.257115E-2</v>
      </c>
      <c r="AA4952">
        <v>0.93693760000000004</v>
      </c>
      <c r="AB4952">
        <v>28</v>
      </c>
      <c r="AC4952">
        <v>9.0822000000000003</v>
      </c>
      <c r="AD4952">
        <v>-1.1498839999999999</v>
      </c>
      <c r="AE4952">
        <v>-4.1936799999999996</v>
      </c>
      <c r="AF4952">
        <v>3.5145158020598002</v>
      </c>
      <c r="AG4952">
        <v>-1.1498839999999999</v>
      </c>
      <c r="AH4952">
        <v>9.2265119808063893</v>
      </c>
      <c r="AI4952">
        <v>96.643026384107699</v>
      </c>
      <c r="AJ4952">
        <v>69.147417794588605</v>
      </c>
      <c r="AK4952">
        <v>9.9399485847939903</v>
      </c>
    </row>
    <row r="4953" spans="1:37" x14ac:dyDescent="0.2">
      <c r="A4953" t="str">
        <f>"20200111153750405"</f>
        <v>20200111153750405</v>
      </c>
      <c r="B4953" t="str">
        <f>"1578728270398621"</f>
        <v>1578728270398621</v>
      </c>
      <c r="C4953" t="s">
        <v>37</v>
      </c>
      <c r="D4953">
        <v>6.0607699999999998</v>
      </c>
      <c r="E4953">
        <v>0.61808200000000002</v>
      </c>
      <c r="F4953" t="s">
        <v>40</v>
      </c>
      <c r="G4953">
        <v>-313.23270000000002</v>
      </c>
      <c r="H4953">
        <v>-0.05</v>
      </c>
      <c r="I4953">
        <v>12.85866</v>
      </c>
      <c r="J4953">
        <v>-322.25380000000001</v>
      </c>
      <c r="K4953">
        <v>1.099761</v>
      </c>
      <c r="L4953">
        <v>17.08615</v>
      </c>
      <c r="M4953">
        <v>0.99726380000000003</v>
      </c>
      <c r="N4953">
        <v>0</v>
      </c>
      <c r="O4953">
        <v>-7.2597170000000003E-2</v>
      </c>
      <c r="P4953">
        <v>0.99095299999999997</v>
      </c>
      <c r="Q4953">
        <v>-6.2319079999999998E-4</v>
      </c>
      <c r="R4953">
        <v>-0.13420969999999999</v>
      </c>
      <c r="S4953">
        <v>2.8543090000000002</v>
      </c>
      <c r="T4953">
        <v>-0.35688629999999999</v>
      </c>
      <c r="U4953">
        <v>-1.317078</v>
      </c>
      <c r="V4953">
        <v>6.2062289999999999E-2</v>
      </c>
      <c r="W4953">
        <v>1.257131E-2</v>
      </c>
      <c r="X4953">
        <v>0.99799309999999997</v>
      </c>
      <c r="Y4953">
        <v>0.35018159999999998</v>
      </c>
      <c r="Z4953">
        <v>-1.219513E-2</v>
      </c>
      <c r="AA4953">
        <v>0.9366025</v>
      </c>
      <c r="AB4953">
        <v>28</v>
      </c>
      <c r="AC4953">
        <v>9.0210999999999899</v>
      </c>
      <c r="AD4953">
        <v>-1.149761</v>
      </c>
      <c r="AE4953">
        <v>-4.2274900000000004</v>
      </c>
      <c r="AF4953">
        <v>3.5145520677223399</v>
      </c>
      <c r="AG4953">
        <v>-1.149761</v>
      </c>
      <c r="AH4953">
        <v>9.1819300264287609</v>
      </c>
      <c r="AI4953">
        <v>96.670198968163405</v>
      </c>
      <c r="AJ4953">
        <v>69.054736485716404</v>
      </c>
      <c r="AK4953">
        <v>9.8985789689271293</v>
      </c>
    </row>
    <row r="4954" spans="1:37" x14ac:dyDescent="0.2">
      <c r="A4954" t="str">
        <f>"20200111153750421"</f>
        <v>20200111153750421</v>
      </c>
      <c r="B4954" t="str">
        <f>"1578728270408381"</f>
        <v>1578728270408381</v>
      </c>
      <c r="C4954" t="s">
        <v>37</v>
      </c>
      <c r="D4954">
        <v>6.0689199999999897</v>
      </c>
      <c r="E4954">
        <v>0.61793180000000003</v>
      </c>
      <c r="F4954" t="s">
        <v>40</v>
      </c>
      <c r="G4954">
        <v>-313.0849</v>
      </c>
      <c r="H4954">
        <v>-0.05</v>
      </c>
      <c r="I4954">
        <v>12.791410000000001</v>
      </c>
      <c r="J4954">
        <v>-322.06110000000001</v>
      </c>
      <c r="K4954">
        <v>1.0996349999999999</v>
      </c>
      <c r="L4954">
        <v>17.067629999999902</v>
      </c>
      <c r="M4954">
        <v>0.99692510000000001</v>
      </c>
      <c r="N4954">
        <v>0</v>
      </c>
      <c r="O4954">
        <v>-7.7106759999999996E-2</v>
      </c>
      <c r="P4954">
        <v>0.98990579999999995</v>
      </c>
      <c r="Q4954">
        <v>8.2074939999999999E-4</v>
      </c>
      <c r="R4954">
        <v>-0.141724499999999</v>
      </c>
      <c r="S4954">
        <v>2.8465579999999999</v>
      </c>
      <c r="T4954">
        <v>-0.35695369999999998</v>
      </c>
      <c r="U4954">
        <v>-1.3333440000000001</v>
      </c>
      <c r="V4954">
        <v>6.5141909999999997E-2</v>
      </c>
      <c r="W4954">
        <v>1.395306E-2</v>
      </c>
      <c r="X4954">
        <v>0.99777850000000001</v>
      </c>
      <c r="Y4954">
        <v>0.35133449999999999</v>
      </c>
      <c r="Z4954">
        <v>-1.1752240000000001E-2</v>
      </c>
      <c r="AA4954">
        <v>0.93617619999999901</v>
      </c>
      <c r="AB4954">
        <v>28</v>
      </c>
      <c r="AC4954">
        <v>8.9762000000000004</v>
      </c>
      <c r="AD4954">
        <v>-1.149635</v>
      </c>
      <c r="AE4954">
        <v>-4.2762199999999897</v>
      </c>
      <c r="AF4954">
        <v>3.5241777532671099</v>
      </c>
      <c r="AG4954">
        <v>-1.149635</v>
      </c>
      <c r="AH4954">
        <v>9.1568091219534598</v>
      </c>
      <c r="AI4954">
        <v>96.682949252971397</v>
      </c>
      <c r="AJ4954">
        <v>68.949800003943395</v>
      </c>
      <c r="AK4954">
        <v>9.8786964102424903</v>
      </c>
    </row>
    <row r="4955" spans="1:37" x14ac:dyDescent="0.2">
      <c r="A4955" t="str">
        <f>"20200111153750434"</f>
        <v>20200111153750434</v>
      </c>
      <c r="B4955" t="str">
        <f>"1578728270427901"</f>
        <v>1578728270427901</v>
      </c>
      <c r="C4955" t="s">
        <v>37</v>
      </c>
      <c r="D4955">
        <v>6.0803440000000002</v>
      </c>
      <c r="E4955">
        <v>0.6176604</v>
      </c>
      <c r="F4955" t="s">
        <v>40</v>
      </c>
      <c r="G4955">
        <v>-312.83539999999999</v>
      </c>
      <c r="H4955">
        <v>-0.05</v>
      </c>
      <c r="I4955">
        <v>12.66499</v>
      </c>
      <c r="J4955">
        <v>-321.8895</v>
      </c>
      <c r="K4955">
        <v>1.0995200000000001</v>
      </c>
      <c r="L4955">
        <v>17.050049999999999</v>
      </c>
      <c r="M4955">
        <v>0.99659589999999998</v>
      </c>
      <c r="N4955">
        <v>0</v>
      </c>
      <c r="O4955">
        <v>-8.1253199999999998E-2</v>
      </c>
      <c r="P4955">
        <v>0.9890909</v>
      </c>
      <c r="Q4955">
        <v>1.5783289999999901E-3</v>
      </c>
      <c r="R4955">
        <v>-0.14729809999999999</v>
      </c>
      <c r="S4955">
        <v>2.8370669999999998</v>
      </c>
      <c r="T4955">
        <v>-0.35353179999999901</v>
      </c>
      <c r="U4955">
        <v>-1.353882</v>
      </c>
      <c r="V4955">
        <v>6.6624849999999999E-2</v>
      </c>
      <c r="W4955">
        <v>1.4672050000000001E-2</v>
      </c>
      <c r="X4955">
        <v>0.99767019999999995</v>
      </c>
      <c r="Y4955">
        <v>0.3542169</v>
      </c>
      <c r="Z4955">
        <v>-1.1345650000000001E-2</v>
      </c>
      <c r="AA4955">
        <v>0.93509449999999905</v>
      </c>
      <c r="AB4955">
        <v>28</v>
      </c>
      <c r="AC4955">
        <v>9.0541</v>
      </c>
      <c r="AD4955">
        <v>-1.1495200000000001</v>
      </c>
      <c r="AE4955">
        <v>-4.3850599999999904</v>
      </c>
      <c r="AF4955">
        <v>3.5879652622512901</v>
      </c>
      <c r="AG4955">
        <v>-1.1495200000000001</v>
      </c>
      <c r="AH4955">
        <v>9.2595930231350501</v>
      </c>
      <c r="AI4955">
        <v>96.603013896383601</v>
      </c>
      <c r="AJ4955">
        <v>68.819333933764597</v>
      </c>
      <c r="AK4955">
        <v>9.9967471663343197</v>
      </c>
    </row>
    <row r="4956" spans="1:37" x14ac:dyDescent="0.2">
      <c r="A4956" t="str">
        <f>"20200111153750447"</f>
        <v>20200111153750447</v>
      </c>
      <c r="B4956" t="str">
        <f>"1578728270438637"</f>
        <v>1578728270438637</v>
      </c>
      <c r="C4956" t="s">
        <v>37</v>
      </c>
      <c r="D4956">
        <v>6.0732900000000001</v>
      </c>
      <c r="E4956">
        <v>0.61752719999999905</v>
      </c>
      <c r="F4956" t="s">
        <v>40</v>
      </c>
      <c r="G4956">
        <v>-312.70639999999997</v>
      </c>
      <c r="H4956">
        <v>-0.05</v>
      </c>
      <c r="I4956">
        <v>12.61139</v>
      </c>
      <c r="J4956">
        <v>-321.72120000000001</v>
      </c>
      <c r="K4956">
        <v>1.0994090000000001</v>
      </c>
      <c r="L4956">
        <v>17.032070000000001</v>
      </c>
      <c r="M4956">
        <v>0.99624899999999905</v>
      </c>
      <c r="N4956">
        <v>0</v>
      </c>
      <c r="O4956">
        <v>-8.5401710000000006E-2</v>
      </c>
      <c r="P4956">
        <v>0.98826859999999905</v>
      </c>
      <c r="Q4956">
        <v>2.3170869999999998E-3</v>
      </c>
      <c r="R4956">
        <v>-0.15270880000000001</v>
      </c>
      <c r="S4956">
        <v>2.8299560000000001</v>
      </c>
      <c r="T4956">
        <v>-0.35424659999999902</v>
      </c>
      <c r="U4956">
        <v>-1.3678589999999999</v>
      </c>
      <c r="V4956">
        <v>6.7944480000000002E-2</v>
      </c>
      <c r="W4956">
        <v>1.537579E-2</v>
      </c>
      <c r="X4956">
        <v>0.99757059999999997</v>
      </c>
      <c r="Y4956">
        <v>0.35500169999999998</v>
      </c>
      <c r="Z4956">
        <v>-1.09449E-2</v>
      </c>
      <c r="AA4956">
        <v>0.93480160000000001</v>
      </c>
      <c r="AB4956">
        <v>28</v>
      </c>
      <c r="AC4956">
        <v>9.0148000000000295</v>
      </c>
      <c r="AD4956">
        <v>-1.1494089999999999</v>
      </c>
      <c r="AE4956">
        <v>-4.4206799999999999</v>
      </c>
      <c r="AF4956">
        <v>3.5875558366758402</v>
      </c>
      <c r="AG4956">
        <v>-1.1494089999999999</v>
      </c>
      <c r="AH4956">
        <v>9.2383570462027294</v>
      </c>
      <c r="AI4956">
        <v>96.615552733588402</v>
      </c>
      <c r="AJ4956">
        <v>68.777182260064805</v>
      </c>
      <c r="AK4956">
        <v>9.9769203085757692</v>
      </c>
    </row>
    <row r="4957" spans="1:37" x14ac:dyDescent="0.2">
      <c r="A4957" t="str">
        <f>"20200111153750460"</f>
        <v>20200111153750460</v>
      </c>
      <c r="B4957" t="str">
        <f>"1578728270448398"</f>
        <v>1578728270448398</v>
      </c>
      <c r="C4957" t="s">
        <v>37</v>
      </c>
      <c r="D4957">
        <v>6.0927540000000002</v>
      </c>
      <c r="E4957">
        <v>0.61744790000000005</v>
      </c>
      <c r="F4957" t="s">
        <v>40</v>
      </c>
      <c r="G4957">
        <v>-312.53840000000002</v>
      </c>
      <c r="H4957">
        <v>-0.05</v>
      </c>
      <c r="I4957">
        <v>12.5340899999999</v>
      </c>
      <c r="J4957">
        <v>-321.56709999999998</v>
      </c>
      <c r="K4957">
        <v>1.0993090000000001</v>
      </c>
      <c r="L4957">
        <v>17.015170000000001</v>
      </c>
      <c r="M4957">
        <v>0.9959114</v>
      </c>
      <c r="N4957">
        <v>0</v>
      </c>
      <c r="O4957">
        <v>-8.9250830000000003E-2</v>
      </c>
      <c r="P4957">
        <v>0.98744880000000002</v>
      </c>
      <c r="Q4957">
        <v>2.7782659999999902E-3</v>
      </c>
      <c r="R4957">
        <v>-0.1579161</v>
      </c>
      <c r="S4957">
        <v>2.8228149999999999</v>
      </c>
      <c r="T4957">
        <v>-0.3533307</v>
      </c>
      <c r="U4957">
        <v>-1.38269</v>
      </c>
      <c r="V4957">
        <v>6.9357779999999994E-2</v>
      </c>
      <c r="W4957">
        <v>1.5802030000000002E-2</v>
      </c>
      <c r="X4957">
        <v>0.99746669999999904</v>
      </c>
      <c r="Y4957">
        <v>0.3563093</v>
      </c>
      <c r="Z4957">
        <v>-1.055883E-2</v>
      </c>
      <c r="AA4957">
        <v>0.93430840000000004</v>
      </c>
      <c r="AB4957">
        <v>28</v>
      </c>
      <c r="AC4957">
        <v>9.0286999999999509</v>
      </c>
      <c r="AD4957">
        <v>-1.1493089999999999</v>
      </c>
      <c r="AE4957">
        <v>-4.4810800000000004</v>
      </c>
      <c r="AF4957">
        <v>3.6103561407520202</v>
      </c>
      <c r="AG4957">
        <v>-1.1493089999999999</v>
      </c>
      <c r="AH4957">
        <v>9.2720898474478393</v>
      </c>
      <c r="AI4957">
        <v>96.588820046886994</v>
      </c>
      <c r="AJ4957">
        <v>68.725111198745594</v>
      </c>
      <c r="AK4957">
        <v>10.0163482756787</v>
      </c>
    </row>
    <row r="4958" spans="1:37" x14ac:dyDescent="0.2">
      <c r="A4958" t="str">
        <f>"20200111153750476"</f>
        <v>20200111153750476</v>
      </c>
      <c r="B4958" t="str">
        <f>"1578728270467920"</f>
        <v>1578728270467920</v>
      </c>
      <c r="C4958" t="s">
        <v>37</v>
      </c>
      <c r="D4958">
        <v>6.077909</v>
      </c>
      <c r="E4958">
        <v>0.61724029999999996</v>
      </c>
      <c r="F4958" t="s">
        <v>40</v>
      </c>
      <c r="G4958">
        <v>-312.40910000000002</v>
      </c>
      <c r="H4958">
        <v>-0.05</v>
      </c>
      <c r="I4958">
        <v>12.471039999999901</v>
      </c>
      <c r="J4958">
        <v>-321.34219999999999</v>
      </c>
      <c r="K4958">
        <v>1.0991569999999999</v>
      </c>
      <c r="L4958">
        <v>16.988889999999898</v>
      </c>
      <c r="M4958">
        <v>0.99537369999999903</v>
      </c>
      <c r="N4958">
        <v>0</v>
      </c>
      <c r="O4958">
        <v>-9.505885E-2</v>
      </c>
      <c r="P4958">
        <v>0.98607429999999996</v>
      </c>
      <c r="Q4958">
        <v>3.2734750000000001E-3</v>
      </c>
      <c r="R4958">
        <v>-0.1662729</v>
      </c>
      <c r="S4958">
        <v>2.8157040000000002</v>
      </c>
      <c r="T4958">
        <v>-0.3533618</v>
      </c>
      <c r="U4958">
        <v>-1.397125</v>
      </c>
      <c r="V4958">
        <v>7.1998850000000003E-2</v>
      </c>
      <c r="W4958">
        <v>1.6239710000000001E-2</v>
      </c>
      <c r="X4958">
        <v>0.99727250000000001</v>
      </c>
      <c r="Y4958">
        <v>0.35568329999999998</v>
      </c>
      <c r="Z4958">
        <v>-9.8587999999999992E-3</v>
      </c>
      <c r="AA4958">
        <v>0.93455460000000001</v>
      </c>
      <c r="AB4958">
        <v>28</v>
      </c>
      <c r="AC4958">
        <v>8.9330999999999605</v>
      </c>
      <c r="AD4958">
        <v>-1.149157</v>
      </c>
      <c r="AE4958">
        <v>-4.5178499999999904</v>
      </c>
      <c r="AF4958">
        <v>3.60068554579885</v>
      </c>
      <c r="AG4958">
        <v>-1.149157</v>
      </c>
      <c r="AH4958">
        <v>9.2008960446914791</v>
      </c>
      <c r="AI4958">
        <v>96.634107821919301</v>
      </c>
      <c r="AJ4958">
        <v>68.627569084689199</v>
      </c>
      <c r="AK4958">
        <v>9.9469586424993803</v>
      </c>
    </row>
    <row r="4959" spans="1:37" x14ac:dyDescent="0.2">
      <c r="A4959" t="str">
        <f>"20200111153750489"</f>
        <v>20200111153750489</v>
      </c>
      <c r="B4959" t="str">
        <f>"1578728270478653"</f>
        <v>1578728270478653</v>
      </c>
      <c r="C4959" t="s">
        <v>37</v>
      </c>
      <c r="D4959">
        <v>6.1297189999999997</v>
      </c>
      <c r="E4959">
        <v>0.61714169999999902</v>
      </c>
      <c r="F4959" t="s">
        <v>40</v>
      </c>
      <c r="G4959">
        <v>-312.21960000000001</v>
      </c>
      <c r="H4959">
        <v>-0.05</v>
      </c>
      <c r="I4959">
        <v>12.37125</v>
      </c>
      <c r="J4959">
        <v>-321.19099999999997</v>
      </c>
      <c r="K4959">
        <v>1.0990359999999999</v>
      </c>
      <c r="L4959">
        <v>16.970459999999999</v>
      </c>
      <c r="M4959">
        <v>0.99493430000000005</v>
      </c>
      <c r="N4959">
        <v>0</v>
      </c>
      <c r="O4959">
        <v>-9.9585770000000004E-2</v>
      </c>
      <c r="P4959">
        <v>0.98507239999999996</v>
      </c>
      <c r="Q4959">
        <v>3.797103E-3</v>
      </c>
      <c r="R4959">
        <v>-0.1721</v>
      </c>
      <c r="S4959">
        <v>2.8041990000000001</v>
      </c>
      <c r="T4959">
        <v>-0.35324220000000001</v>
      </c>
      <c r="U4959">
        <v>-1.4194340000000001</v>
      </c>
      <c r="V4959">
        <v>7.3365159999999999E-2</v>
      </c>
      <c r="W4959">
        <v>1.6502409999999999E-2</v>
      </c>
      <c r="X4959">
        <v>0.99716859999999996</v>
      </c>
      <c r="Y4959">
        <v>0.35890100000000003</v>
      </c>
      <c r="Z4959">
        <v>-9.5385769999999995E-3</v>
      </c>
      <c r="AA4959">
        <v>0.93332689999999996</v>
      </c>
      <c r="AB4959">
        <v>28</v>
      </c>
      <c r="AC4959">
        <v>8.9713999999999601</v>
      </c>
      <c r="AD4959">
        <v>-1.1490359999999999</v>
      </c>
      <c r="AE4959">
        <v>-4.5992099999999896</v>
      </c>
      <c r="AF4959">
        <v>3.6356085436882402</v>
      </c>
      <c r="AG4959">
        <v>-1.1490359999999999</v>
      </c>
      <c r="AH4959">
        <v>9.2645079778079005</v>
      </c>
      <c r="AI4959">
        <v>96.5858698743898</v>
      </c>
      <c r="AJ4959">
        <v>68.573802084592401</v>
      </c>
      <c r="AK4959">
        <v>10.0184350715618</v>
      </c>
    </row>
    <row r="4960" spans="1:37" x14ac:dyDescent="0.2">
      <c r="A4960" t="str">
        <f>"20200111153750503"</f>
        <v>20200111153750503</v>
      </c>
      <c r="B4960" t="str">
        <f>"1578728270498174"</f>
        <v>1578728270498174</v>
      </c>
      <c r="C4960" t="s">
        <v>37</v>
      </c>
      <c r="D4960">
        <v>6.0610400000000002</v>
      </c>
      <c r="E4960">
        <v>0.61681280000000005</v>
      </c>
      <c r="F4960" t="s">
        <v>40</v>
      </c>
      <c r="G4960">
        <v>-312.1146</v>
      </c>
      <c r="H4960">
        <v>-0.05</v>
      </c>
      <c r="I4960">
        <v>12.31218</v>
      </c>
      <c r="J4960">
        <v>-321.0163</v>
      </c>
      <c r="K4960">
        <v>1.0988469999999999</v>
      </c>
      <c r="L4960">
        <v>16.948550000000001</v>
      </c>
      <c r="M4960">
        <v>0.99439029999999995</v>
      </c>
      <c r="N4960">
        <v>0</v>
      </c>
      <c r="O4960">
        <v>-0.10491730000000001</v>
      </c>
      <c r="P4960">
        <v>0.9838983</v>
      </c>
      <c r="Q4960">
        <v>4.254936E-3</v>
      </c>
      <c r="R4960">
        <v>-0.17867829999999901</v>
      </c>
      <c r="S4960">
        <v>2.7960820000000002</v>
      </c>
      <c r="T4960">
        <v>-0.35397259999999903</v>
      </c>
      <c r="U4960">
        <v>-1.435028</v>
      </c>
      <c r="V4960">
        <v>7.4690030000000004E-2</v>
      </c>
      <c r="W4960">
        <v>1.6618270000000001E-2</v>
      </c>
      <c r="X4960">
        <v>0.99706830000000002</v>
      </c>
      <c r="Y4960">
        <v>0.359145099999999</v>
      </c>
      <c r="Z4960">
        <v>-8.9635219999999998E-3</v>
      </c>
      <c r="AA4960">
        <v>0.93323869999999898</v>
      </c>
      <c r="AB4960">
        <v>28</v>
      </c>
      <c r="AC4960">
        <v>8.9016999999999999</v>
      </c>
      <c r="AD4960">
        <v>-1.148847</v>
      </c>
      <c r="AE4960">
        <v>-4.6363700000000003</v>
      </c>
      <c r="AF4960">
        <v>3.6292005588051599</v>
      </c>
      <c r="AG4960">
        <v>-1.148847</v>
      </c>
      <c r="AH4960">
        <v>9.2182634264429808</v>
      </c>
      <c r="AI4960">
        <v>96.614694122591601</v>
      </c>
      <c r="AJ4960">
        <v>68.510600369073302</v>
      </c>
      <c r="AK4960">
        <v>9.9733307738556896</v>
      </c>
    </row>
    <row r="4961" spans="1:37" x14ac:dyDescent="0.2">
      <c r="A4961" t="str">
        <f>"20200111153750515"</f>
        <v>20200111153750515</v>
      </c>
      <c r="B4961" t="str">
        <f>"1578728270507933"</f>
        <v>1578728270507933</v>
      </c>
      <c r="C4961" t="s">
        <v>37</v>
      </c>
      <c r="D4961">
        <v>6.2287189999999999</v>
      </c>
      <c r="E4961">
        <v>0.61672910000000003</v>
      </c>
      <c r="F4961" t="s">
        <v>40</v>
      </c>
      <c r="G4961">
        <v>-312.05329999999998</v>
      </c>
      <c r="H4961">
        <v>-0.05</v>
      </c>
      <c r="I4961">
        <v>12.282169999999899</v>
      </c>
      <c r="J4961">
        <v>-320.84840000000003</v>
      </c>
      <c r="K4961">
        <v>1.0985339999999999</v>
      </c>
      <c r="L4961">
        <v>16.92661</v>
      </c>
      <c r="M4961">
        <v>0.99385089999999998</v>
      </c>
      <c r="N4961">
        <v>0</v>
      </c>
      <c r="O4961">
        <v>-0.109941</v>
      </c>
      <c r="P4961">
        <v>0.98272610000000005</v>
      </c>
      <c r="Q4961">
        <v>4.7513329999999999E-3</v>
      </c>
      <c r="R4961">
        <v>-0.18500559999999999</v>
      </c>
      <c r="S4961">
        <v>2.7871700000000001</v>
      </c>
      <c r="T4961">
        <v>-0.357251599999999</v>
      </c>
      <c r="U4961">
        <v>-1.4510799999999999</v>
      </c>
      <c r="V4961">
        <v>7.6079389999999997E-2</v>
      </c>
      <c r="W4961">
        <v>1.6798960000000002E-2</v>
      </c>
      <c r="X4961">
        <v>0.99696019999999896</v>
      </c>
      <c r="Y4961">
        <v>0.359877</v>
      </c>
      <c r="Z4961">
        <v>-8.5123909999999994E-3</v>
      </c>
      <c r="AA4961">
        <v>0.93296089999999998</v>
      </c>
      <c r="AB4961">
        <v>28</v>
      </c>
      <c r="AC4961">
        <v>8.7951000000000406</v>
      </c>
      <c r="AD4961">
        <v>-1.1485339999999999</v>
      </c>
      <c r="AE4961">
        <v>-4.6444400000000003</v>
      </c>
      <c r="AF4961">
        <v>3.6012337394654299</v>
      </c>
      <c r="AG4961">
        <v>-1.1485339999999999</v>
      </c>
      <c r="AH4961">
        <v>9.13067957868323</v>
      </c>
      <c r="AI4961">
        <v>96.674161018394202</v>
      </c>
      <c r="AJ4961">
        <v>68.475214926530199</v>
      </c>
      <c r="AK4961">
        <v>9.8821720468732597</v>
      </c>
    </row>
    <row r="4962" spans="1:37" x14ac:dyDescent="0.2">
      <c r="A4962" t="str">
        <f>"20200111153750536"</f>
        <v>20200111153750536</v>
      </c>
      <c r="B4962" t="str">
        <f>"1578728270528429"</f>
        <v>1578728270528429</v>
      </c>
      <c r="C4962" t="s">
        <v>37</v>
      </c>
      <c r="D4962">
        <v>6.0617359999999998</v>
      </c>
      <c r="E4962">
        <v>0.61708050000000003</v>
      </c>
      <c r="F4962" t="s">
        <v>40</v>
      </c>
      <c r="G4962">
        <v>-311.86849999999998</v>
      </c>
      <c r="H4962">
        <v>-0.05</v>
      </c>
      <c r="I4962">
        <v>12.18027</v>
      </c>
      <c r="J4962">
        <v>-320.59519999999998</v>
      </c>
      <c r="K4962">
        <v>1.0979950000000001</v>
      </c>
      <c r="L4962">
        <v>16.891779999999901</v>
      </c>
      <c r="M4962">
        <v>0.99303069999999904</v>
      </c>
      <c r="N4962">
        <v>0</v>
      </c>
      <c r="O4962">
        <v>-0.117109199999999</v>
      </c>
      <c r="P4962">
        <v>0.98082479999999905</v>
      </c>
      <c r="Q4962">
        <v>6.0322919999999999E-3</v>
      </c>
      <c r="R4962">
        <v>-0.19479859999999999</v>
      </c>
      <c r="S4962">
        <v>2.7780149999999999</v>
      </c>
      <c r="T4962">
        <v>-0.35530970000000001</v>
      </c>
      <c r="U4962">
        <v>-1.468323</v>
      </c>
      <c r="V4962">
        <v>7.8867499999999993E-2</v>
      </c>
      <c r="W4962">
        <v>1.805095E-2</v>
      </c>
      <c r="X4962">
        <v>0.99672169999999904</v>
      </c>
      <c r="Y4962">
        <v>0.35901070000000002</v>
      </c>
      <c r="Z4962">
        <v>-7.5873429999999999E-3</v>
      </c>
      <c r="AA4962">
        <v>0.93330259999999998</v>
      </c>
      <c r="AB4962">
        <v>28</v>
      </c>
      <c r="AC4962">
        <v>8.7266999999999904</v>
      </c>
      <c r="AD4962">
        <v>-1.1479950000000001</v>
      </c>
      <c r="AE4962">
        <v>-4.7115099999999899</v>
      </c>
      <c r="AF4962">
        <v>3.6086636634753102</v>
      </c>
      <c r="AG4962">
        <v>-1.1479950000000001</v>
      </c>
      <c r="AH4962">
        <v>9.0965612970046408</v>
      </c>
      <c r="AI4962">
        <v>96.690642450669699</v>
      </c>
      <c r="AJ4962">
        <v>68.361457836087595</v>
      </c>
      <c r="AK4962">
        <v>9.8533128127688503</v>
      </c>
    </row>
    <row r="4963" spans="1:37" x14ac:dyDescent="0.2">
      <c r="A4963" t="str">
        <f>"20200111153750549"</f>
        <v>20200111153750549</v>
      </c>
      <c r="B4963" t="str">
        <f>"1578728270538191"</f>
        <v>1578728270538191</v>
      </c>
      <c r="C4963" t="s">
        <v>37</v>
      </c>
      <c r="D4963">
        <v>6.0197199999999897</v>
      </c>
      <c r="E4963">
        <v>0.66034979999999999</v>
      </c>
      <c r="F4963" t="s">
        <v>40</v>
      </c>
      <c r="G4963">
        <v>-311.541</v>
      </c>
      <c r="H4963">
        <v>-0.05</v>
      </c>
      <c r="I4963">
        <v>11.97992</v>
      </c>
      <c r="J4963">
        <v>-320.42489999999998</v>
      </c>
      <c r="K4963">
        <v>1.0975299999999999</v>
      </c>
      <c r="L4963">
        <v>16.867100000000001</v>
      </c>
      <c r="M4963">
        <v>0.99244920000000003</v>
      </c>
      <c r="N4963">
        <v>0</v>
      </c>
      <c r="O4963">
        <v>-0.1219105</v>
      </c>
      <c r="P4963">
        <v>0.97958529999999999</v>
      </c>
      <c r="Q4963">
        <v>6.3059650000000002E-3</v>
      </c>
      <c r="R4963">
        <v>-0.2009309</v>
      </c>
      <c r="S4963">
        <v>2.7630619999999899</v>
      </c>
      <c r="T4963">
        <v>-0.35033520000000001</v>
      </c>
      <c r="U4963">
        <v>-1.4989619999999999</v>
      </c>
      <c r="V4963">
        <v>8.0302739999999997E-2</v>
      </c>
      <c r="W4963">
        <v>1.8504820000000002E-2</v>
      </c>
      <c r="X4963">
        <v>0.99659869999999995</v>
      </c>
      <c r="Y4963">
        <v>0.36464359999999901</v>
      </c>
      <c r="Z4963">
        <v>-7.2780550000000003E-3</v>
      </c>
      <c r="AA4963">
        <v>0.93111869999999997</v>
      </c>
      <c r="AB4963">
        <v>28</v>
      </c>
      <c r="AC4963">
        <v>8.8838999999999793</v>
      </c>
      <c r="AD4963">
        <v>-1.1475299999999999</v>
      </c>
      <c r="AE4963">
        <v>-4.8871799999999999</v>
      </c>
      <c r="AF4963">
        <v>3.7199338423511201</v>
      </c>
      <c r="AG4963">
        <v>-1.1475299999999999</v>
      </c>
      <c r="AH4963">
        <v>9.2944283818994808</v>
      </c>
      <c r="AI4963">
        <v>96.5389626950234</v>
      </c>
      <c r="AJ4963">
        <v>68.187099426031907</v>
      </c>
      <c r="AK4963">
        <v>10.076761971914699</v>
      </c>
    </row>
    <row r="4964" spans="1:37" x14ac:dyDescent="0.2">
      <c r="A4964" t="str">
        <f>"20200111153750567"</f>
        <v>20200111153750567</v>
      </c>
      <c r="B4964" t="str">
        <f>"1578728270558686"</f>
        <v>1578728270558686</v>
      </c>
      <c r="C4964" t="s">
        <v>37</v>
      </c>
      <c r="D4964">
        <v>5.9888479999999999</v>
      </c>
      <c r="E4964">
        <v>0.66556090000000001</v>
      </c>
      <c r="F4964" t="s">
        <v>40</v>
      </c>
      <c r="G4964">
        <v>-309.94850000000002</v>
      </c>
      <c r="H4964">
        <v>-0.05</v>
      </c>
      <c r="I4964">
        <v>9.6278380000000006</v>
      </c>
      <c r="J4964">
        <v>-320.20319999999998</v>
      </c>
      <c r="K4964">
        <v>1.096803</v>
      </c>
      <c r="L4964">
        <v>16.833829999999999</v>
      </c>
      <c r="M4964">
        <v>0.99164560000000002</v>
      </c>
      <c r="N4964">
        <v>0</v>
      </c>
      <c r="O4964">
        <v>-0.1282314</v>
      </c>
      <c r="P4964">
        <v>0.97780080000000003</v>
      </c>
      <c r="Q4964">
        <v>5.9792040000000001E-3</v>
      </c>
      <c r="R4964">
        <v>-0.20945149999999901</v>
      </c>
      <c r="S4964">
        <v>2.6839900000000001</v>
      </c>
      <c r="T4964">
        <v>-0.29398869999999999</v>
      </c>
      <c r="U4964">
        <v>-1.8546450000000001</v>
      </c>
      <c r="V4964">
        <v>8.2647520000000002E-2</v>
      </c>
      <c r="W4964">
        <v>1.853724E-2</v>
      </c>
      <c r="X4964">
        <v>0.99640640000000003</v>
      </c>
      <c r="Y4964">
        <v>0.4569782</v>
      </c>
      <c r="Z4964">
        <v>-1.0040200000000001E-2</v>
      </c>
      <c r="AA4964">
        <v>0.88942119999999902</v>
      </c>
      <c r="AB4964">
        <v>28</v>
      </c>
      <c r="AC4964">
        <v>10.2546999999999</v>
      </c>
      <c r="AD4964">
        <v>-1.146803</v>
      </c>
      <c r="AE4964">
        <v>-7.2059919999999904</v>
      </c>
      <c r="AF4964">
        <v>5.7829698947257304</v>
      </c>
      <c r="AG4964">
        <v>-1.146803</v>
      </c>
      <c r="AH4964">
        <v>11.0020364167721</v>
      </c>
      <c r="AI4964">
        <v>95.271532042578599</v>
      </c>
      <c r="AJ4964">
        <v>62.272362025194703</v>
      </c>
      <c r="AK4964">
        <v>12.4820953064817</v>
      </c>
    </row>
    <row r="4965" spans="1:37" x14ac:dyDescent="0.2">
      <c r="A4965" t="str">
        <f>"20200111153750580"</f>
        <v>20200111153750580</v>
      </c>
      <c r="B4965" t="str">
        <f>"1578728270568445"</f>
        <v>1578728270568445</v>
      </c>
      <c r="C4965" t="s">
        <v>37</v>
      </c>
      <c r="D4965">
        <v>5.9708329999999998</v>
      </c>
      <c r="E4965">
        <v>0.66600809999999999</v>
      </c>
      <c r="F4965" t="s">
        <v>40</v>
      </c>
      <c r="G4965">
        <v>-308.88279999999997</v>
      </c>
      <c r="H4965">
        <v>-0.05</v>
      </c>
      <c r="I4965">
        <v>8.6622769999999996</v>
      </c>
      <c r="J4965">
        <v>-320.0419</v>
      </c>
      <c r="K4965">
        <v>1.096184</v>
      </c>
      <c r="L4965">
        <v>16.80884</v>
      </c>
      <c r="M4965">
        <v>0.99102769999999996</v>
      </c>
      <c r="N4965">
        <v>0</v>
      </c>
      <c r="O4965">
        <v>-0.1328772</v>
      </c>
      <c r="P4965">
        <v>0.97650170000000003</v>
      </c>
      <c r="Q4965">
        <v>5.2298739999999998E-3</v>
      </c>
      <c r="R4965">
        <v>-0.2154471</v>
      </c>
      <c r="S4965">
        <v>2.6586609999999999</v>
      </c>
      <c r="T4965">
        <v>-0.26933259999999998</v>
      </c>
      <c r="U4965">
        <v>-1.9191279999999999</v>
      </c>
      <c r="V4965">
        <v>8.4097160000000004E-2</v>
      </c>
      <c r="W4965">
        <v>1.8131520000000002E-2</v>
      </c>
      <c r="X4965">
        <v>0.99629259999999997</v>
      </c>
      <c r="Y4965">
        <v>0.471228799999999</v>
      </c>
      <c r="Z4965">
        <v>-9.4549649999999992E-3</v>
      </c>
      <c r="AA4965">
        <v>0.88196030000000003</v>
      </c>
      <c r="AB4965">
        <v>28</v>
      </c>
      <c r="AC4965">
        <v>11.1591</v>
      </c>
      <c r="AD4965">
        <v>-1.1461840000000001</v>
      </c>
      <c r="AE4965">
        <v>-8.1465630000000004</v>
      </c>
      <c r="AF4965">
        <v>6.54631196497572</v>
      </c>
      <c r="AG4965">
        <v>-1.1461840000000001</v>
      </c>
      <c r="AH4965">
        <v>12.0597347694932</v>
      </c>
      <c r="AI4965">
        <v>94.774794917254695</v>
      </c>
      <c r="AJ4965">
        <v>61.505833626482598</v>
      </c>
      <c r="AK4965">
        <v>13.769718254748801</v>
      </c>
    </row>
    <row r="4966" spans="1:37" x14ac:dyDescent="0.2">
      <c r="A4966" t="str">
        <f>"20200111153750592"</f>
        <v>20200111153750592</v>
      </c>
      <c r="B4966" t="str">
        <f>"1578728270587965"</f>
        <v>1578728270587965</v>
      </c>
      <c r="C4966" t="s">
        <v>37</v>
      </c>
      <c r="D4966">
        <v>5.9858289999999998</v>
      </c>
      <c r="E4966">
        <v>0.66483490000000001</v>
      </c>
      <c r="F4966" t="s">
        <v>40</v>
      </c>
      <c r="G4966">
        <v>-308.57589999999999</v>
      </c>
      <c r="H4966">
        <v>-0.05</v>
      </c>
      <c r="I4966">
        <v>8.4056549999999994</v>
      </c>
      <c r="J4966">
        <v>-319.87279999999998</v>
      </c>
      <c r="K4966">
        <v>1.095423</v>
      </c>
      <c r="L4966">
        <v>16.78125</v>
      </c>
      <c r="M4966">
        <v>0.99036599999999997</v>
      </c>
      <c r="N4966">
        <v>0</v>
      </c>
      <c r="O4966">
        <v>-0.1376513</v>
      </c>
      <c r="P4966">
        <v>0.97503390000000001</v>
      </c>
      <c r="Q4966">
        <v>4.6665229999999997E-3</v>
      </c>
      <c r="R4966">
        <v>-0.22200719999999999</v>
      </c>
      <c r="S4966">
        <v>2.645813</v>
      </c>
      <c r="T4966">
        <v>-0.26448480000000002</v>
      </c>
      <c r="U4966">
        <v>-1.9390559999999999</v>
      </c>
      <c r="V4966">
        <v>8.6006750000000007E-2</v>
      </c>
      <c r="W4966">
        <v>1.8136289999999999E-2</v>
      </c>
      <c r="X4966">
        <v>0.9961295</v>
      </c>
      <c r="Y4966">
        <v>0.47339110000000001</v>
      </c>
      <c r="Z4966">
        <v>-8.9877769999999902E-3</v>
      </c>
      <c r="AA4966">
        <v>0.88080650000000005</v>
      </c>
      <c r="AB4966">
        <v>28</v>
      </c>
      <c r="AC4966">
        <v>11.2968999999999</v>
      </c>
      <c r="AD4966">
        <v>-1.1454230000000001</v>
      </c>
      <c r="AE4966">
        <v>-8.3755950000000006</v>
      </c>
      <c r="AF4966">
        <v>6.6962155281261202</v>
      </c>
      <c r="AG4966">
        <v>-1.1454230000000001</v>
      </c>
      <c r="AH4966">
        <v>12.261041270800201</v>
      </c>
      <c r="AI4966">
        <v>94.687151291747</v>
      </c>
      <c r="AJ4966">
        <v>61.359387195147498</v>
      </c>
      <c r="AK4966">
        <v>14.0172903691232</v>
      </c>
    </row>
    <row r="4967" spans="1:37" x14ac:dyDescent="0.2">
      <c r="A4967" t="str">
        <f>"20200111153750611"</f>
        <v>20200111153750611</v>
      </c>
      <c r="B4967" t="str">
        <f>"1578728270598702"</f>
        <v>1578728270598702</v>
      </c>
      <c r="C4967" t="s">
        <v>37</v>
      </c>
      <c r="D4967">
        <v>5.985652</v>
      </c>
      <c r="E4967">
        <v>0.66431189999999996</v>
      </c>
      <c r="F4967" t="s">
        <v>40</v>
      </c>
      <c r="G4967">
        <v>-308.4846</v>
      </c>
      <c r="H4967">
        <v>-0.05</v>
      </c>
      <c r="I4967">
        <v>8.362717</v>
      </c>
      <c r="J4967">
        <v>-319.65120000000002</v>
      </c>
      <c r="K4967">
        <v>1.094344</v>
      </c>
      <c r="L4967">
        <v>16.7439</v>
      </c>
      <c r="M4967">
        <v>0.98946730000000005</v>
      </c>
      <c r="N4967">
        <v>0</v>
      </c>
      <c r="O4967">
        <v>-0.14386189999999999</v>
      </c>
      <c r="P4967">
        <v>0.97278549999999997</v>
      </c>
      <c r="Q4967">
        <v>3.4588750000000001E-3</v>
      </c>
      <c r="R4967">
        <v>-0.231681199999999</v>
      </c>
      <c r="S4967">
        <v>2.6346129999999999</v>
      </c>
      <c r="T4967">
        <v>-0.26498969999999999</v>
      </c>
      <c r="U4967">
        <v>-1.9476009999999999</v>
      </c>
      <c r="V4967">
        <v>8.9659039999999995E-2</v>
      </c>
      <c r="W4967">
        <v>1.7764410000000001E-2</v>
      </c>
      <c r="X4967">
        <v>0.99581409999999904</v>
      </c>
      <c r="Y4967">
        <v>0.47151609999999999</v>
      </c>
      <c r="Z4967">
        <v>-8.4054619999999903E-3</v>
      </c>
      <c r="AA4967">
        <v>0.88181739999999997</v>
      </c>
      <c r="AB4967">
        <v>28</v>
      </c>
      <c r="AC4967">
        <v>11.166600000000001</v>
      </c>
      <c r="AD4967">
        <v>-1.144344</v>
      </c>
      <c r="AE4967">
        <v>-8.381183</v>
      </c>
      <c r="AF4967">
        <v>6.6426982254693803</v>
      </c>
      <c r="AG4967">
        <v>-1.144344</v>
      </c>
      <c r="AH4967">
        <v>12.1745165964689</v>
      </c>
      <c r="AI4967">
        <v>94.716902287299604</v>
      </c>
      <c r="AJ4967">
        <v>61.382095167318603</v>
      </c>
      <c r="AK4967">
        <v>13.9159554922645</v>
      </c>
    </row>
    <row r="4968" spans="1:37" x14ac:dyDescent="0.2">
      <c r="A4968" t="str">
        <f>"20200111153750627"</f>
        <v>20200111153750627</v>
      </c>
      <c r="B4968" t="str">
        <f>"1578728270618222"</f>
        <v>1578728270618222</v>
      </c>
      <c r="C4968" t="s">
        <v>37</v>
      </c>
      <c r="D4968">
        <v>6.0342979999999997</v>
      </c>
      <c r="E4968">
        <v>0.66351249999999995</v>
      </c>
      <c r="F4968" t="s">
        <v>40</v>
      </c>
      <c r="G4968">
        <v>-308.6037</v>
      </c>
      <c r="H4968">
        <v>-0.05</v>
      </c>
      <c r="I4968">
        <v>8.4265589999999992</v>
      </c>
      <c r="J4968">
        <v>-319.45830000000001</v>
      </c>
      <c r="K4968">
        <v>1.0933280000000001</v>
      </c>
      <c r="L4968">
        <v>16.71002</v>
      </c>
      <c r="M4968">
        <v>0.98864269999999999</v>
      </c>
      <c r="N4968">
        <v>0</v>
      </c>
      <c r="O4968">
        <v>-0.14931739999999999</v>
      </c>
      <c r="P4968">
        <v>0.97104109999999999</v>
      </c>
      <c r="Q4968">
        <v>2.9984149999999999E-3</v>
      </c>
      <c r="R4968">
        <v>-0.23889389999999999</v>
      </c>
      <c r="S4968">
        <v>2.6158450000000002</v>
      </c>
      <c r="T4968">
        <v>-0.27095910000000001</v>
      </c>
      <c r="U4968">
        <v>-1.9693909999999999</v>
      </c>
      <c r="V4968">
        <v>9.1573849999999998E-2</v>
      </c>
      <c r="W4968">
        <v>1.8160119999999998E-2</v>
      </c>
      <c r="X4968">
        <v>0.99563269999999904</v>
      </c>
      <c r="Y4968">
        <v>0.47433049999999999</v>
      </c>
      <c r="Z4968">
        <v>-8.2704509999999998E-3</v>
      </c>
      <c r="AA4968">
        <v>0.88030799999999998</v>
      </c>
      <c r="AB4968">
        <v>28</v>
      </c>
      <c r="AC4968">
        <v>10.8546</v>
      </c>
      <c r="AD4968">
        <v>-1.1433279999999999</v>
      </c>
      <c r="AE4968">
        <v>-8.2834610000000009</v>
      </c>
      <c r="AF4968">
        <v>6.5238136950552397</v>
      </c>
      <c r="AG4968">
        <v>-1.1433279999999999</v>
      </c>
      <c r="AH4968">
        <v>11.8865792201285</v>
      </c>
      <c r="AI4968">
        <v>94.819860223757203</v>
      </c>
      <c r="AJ4968">
        <v>61.240319500632502</v>
      </c>
      <c r="AK4968">
        <v>13.6072814918986</v>
      </c>
    </row>
    <row r="4969" spans="1:37" x14ac:dyDescent="0.2">
      <c r="A4969" t="str">
        <f>"20200111153750645"</f>
        <v>20200111153750645</v>
      </c>
      <c r="B4969" t="str">
        <f>"1578728270638718"</f>
        <v>1578728270638718</v>
      </c>
      <c r="C4969" t="s">
        <v>37</v>
      </c>
      <c r="D4969">
        <v>6.0263229999999997</v>
      </c>
      <c r="E4969">
        <v>0.66247590000000001</v>
      </c>
      <c r="F4969" t="s">
        <v>40</v>
      </c>
      <c r="G4969">
        <v>-308.68639999999999</v>
      </c>
      <c r="H4969">
        <v>-0.05</v>
      </c>
      <c r="I4969">
        <v>8.5048680000000001</v>
      </c>
      <c r="J4969">
        <v>-319.22109999999998</v>
      </c>
      <c r="K4969">
        <v>1.0920219999999901</v>
      </c>
      <c r="L4969">
        <v>16.666529999999899</v>
      </c>
      <c r="M4969">
        <v>0.98754209999999998</v>
      </c>
      <c r="N4969">
        <v>0</v>
      </c>
      <c r="O4969">
        <v>-0.15628629999999999</v>
      </c>
      <c r="P4969">
        <v>0.96851430000000005</v>
      </c>
      <c r="Q4969">
        <v>2.9651879999999901E-3</v>
      </c>
      <c r="R4969">
        <v>-0.24893989999999999</v>
      </c>
      <c r="S4969">
        <v>2.6026310000000001</v>
      </c>
      <c r="T4969">
        <v>-0.27624399999999999</v>
      </c>
      <c r="U4969">
        <v>-1.982483</v>
      </c>
      <c r="V4969">
        <v>9.4896960000000002E-2</v>
      </c>
      <c r="W4969">
        <v>1.9280490000000001E-2</v>
      </c>
      <c r="X4969">
        <v>0.99530039999999997</v>
      </c>
      <c r="Y4969">
        <v>0.47305710000000001</v>
      </c>
      <c r="Z4969">
        <v>-7.7631069999999896E-3</v>
      </c>
      <c r="AA4969">
        <v>0.88099749999999999</v>
      </c>
      <c r="AB4969">
        <v>28</v>
      </c>
      <c r="AC4969">
        <v>10.5346999999999</v>
      </c>
      <c r="AD4969">
        <v>-1.1420219999999901</v>
      </c>
      <c r="AE4969">
        <v>-8.1616619999999909</v>
      </c>
      <c r="AF4969">
        <v>6.3678660318885703</v>
      </c>
      <c r="AG4969">
        <v>-1.1420219999999901</v>
      </c>
      <c r="AH4969">
        <v>11.595815601920901</v>
      </c>
      <c r="AI4969">
        <v>94.933862443546303</v>
      </c>
      <c r="AJ4969">
        <v>61.226519688874397</v>
      </c>
      <c r="AK4969">
        <v>13.278436335740601</v>
      </c>
    </row>
    <row r="4970" spans="1:37" x14ac:dyDescent="0.2">
      <c r="A4970" t="str">
        <f>"20200111153750658"</f>
        <v>20200111153750658</v>
      </c>
      <c r="B4970" t="str">
        <f>"1578728270648477"</f>
        <v>1578728270648477</v>
      </c>
      <c r="C4970" t="s">
        <v>37</v>
      </c>
      <c r="D4970">
        <v>6.0302819999999997</v>
      </c>
      <c r="E4970">
        <v>0.66200740000000002</v>
      </c>
      <c r="F4970" t="s">
        <v>40</v>
      </c>
      <c r="G4970">
        <v>-308.44740000000002</v>
      </c>
      <c r="H4970">
        <v>-0.05</v>
      </c>
      <c r="I4970">
        <v>8.3196720000000006</v>
      </c>
      <c r="J4970">
        <v>-319.0557</v>
      </c>
      <c r="K4970">
        <v>1.0911109999999999</v>
      </c>
      <c r="L4970">
        <v>16.635100000000001</v>
      </c>
      <c r="M4970">
        <v>0.98670249999999904</v>
      </c>
      <c r="N4970">
        <v>0</v>
      </c>
      <c r="O4970">
        <v>-0.1613906</v>
      </c>
      <c r="P4970">
        <v>0.96678439999999999</v>
      </c>
      <c r="Q4970">
        <v>3.000997E-3</v>
      </c>
      <c r="R4970">
        <v>-0.25557649999999998</v>
      </c>
      <c r="S4970">
        <v>2.5838619999999999</v>
      </c>
      <c r="T4970">
        <v>-0.27389200000000002</v>
      </c>
      <c r="U4970">
        <v>-2.0018310000000001</v>
      </c>
      <c r="V4970">
        <v>9.6598600000000007E-2</v>
      </c>
      <c r="W4970">
        <v>2.021396E-2</v>
      </c>
      <c r="X4970">
        <v>0.99511810000000001</v>
      </c>
      <c r="Y4970">
        <v>0.47573509999999902</v>
      </c>
      <c r="Z4970">
        <v>-7.3933779999999999E-3</v>
      </c>
      <c r="AA4970">
        <v>0.87955749999999999</v>
      </c>
      <c r="AB4970">
        <v>28</v>
      </c>
      <c r="AC4970">
        <v>10.6082999999999</v>
      </c>
      <c r="AD4970">
        <v>-1.141111</v>
      </c>
      <c r="AE4970">
        <v>-8.3154280000000007</v>
      </c>
      <c r="AF4970">
        <v>6.4477675089427002</v>
      </c>
      <c r="AG4970">
        <v>-1.141111</v>
      </c>
      <c r="AH4970">
        <v>11.727409330870399</v>
      </c>
      <c r="AI4970">
        <v>94.873561926675094</v>
      </c>
      <c r="AJ4970">
        <v>61.197862785579403</v>
      </c>
      <c r="AK4970">
        <v>13.4316033956295</v>
      </c>
    </row>
    <row r="4971" spans="1:37" x14ac:dyDescent="0.2">
      <c r="A4971" t="str">
        <f>"20200111153750671"</f>
        <v>20200111153750671</v>
      </c>
      <c r="B4971" t="str">
        <f>"1578728270667998"</f>
        <v>1578728270667998</v>
      </c>
      <c r="C4971" t="s">
        <v>37</v>
      </c>
      <c r="D4971">
        <v>5.9830059999999996</v>
      </c>
      <c r="E4971">
        <v>0.66101659999999995</v>
      </c>
      <c r="F4971" t="s">
        <v>40</v>
      </c>
      <c r="G4971">
        <v>-308.27999999999997</v>
      </c>
      <c r="H4971">
        <v>-0.05</v>
      </c>
      <c r="I4971">
        <v>8.1846920000000001</v>
      </c>
      <c r="J4971">
        <v>-318.88619999999997</v>
      </c>
      <c r="K4971">
        <v>1.0901609999999999</v>
      </c>
      <c r="L4971">
        <v>16.60153</v>
      </c>
      <c r="M4971">
        <v>0.98574879999999998</v>
      </c>
      <c r="N4971">
        <v>0</v>
      </c>
      <c r="O4971">
        <v>-0.1669966</v>
      </c>
      <c r="P4971">
        <v>0.96490259999999894</v>
      </c>
      <c r="Q4971">
        <v>2.98195599999999E-3</v>
      </c>
      <c r="R4971">
        <v>-0.26259090000000002</v>
      </c>
      <c r="S4971">
        <v>2.5709230000000001</v>
      </c>
      <c r="T4971">
        <v>-0.27225260000000001</v>
      </c>
      <c r="U4971">
        <v>-2.0161439999999899</v>
      </c>
      <c r="V4971">
        <v>9.8188739999999997E-2</v>
      </c>
      <c r="W4971">
        <v>2.1156939999999999E-2</v>
      </c>
      <c r="X4971">
        <v>0.99494289999999996</v>
      </c>
      <c r="Y4971">
        <v>0.4759428</v>
      </c>
      <c r="Z4971">
        <v>-6.8761999999999998E-3</v>
      </c>
      <c r="AA4971">
        <v>0.87944940000000005</v>
      </c>
      <c r="AB4971">
        <v>28</v>
      </c>
      <c r="AC4971">
        <v>10.606199999999999</v>
      </c>
      <c r="AD4971">
        <v>-1.140161</v>
      </c>
      <c r="AE4971">
        <v>-8.4168380000000003</v>
      </c>
      <c r="AF4971">
        <v>6.4810762626878002</v>
      </c>
      <c r="AG4971">
        <v>-1.140161</v>
      </c>
      <c r="AH4971">
        <v>11.779547972334701</v>
      </c>
      <c r="AI4971">
        <v>94.847270608243505</v>
      </c>
      <c r="AJ4971">
        <v>61.180525047687901</v>
      </c>
      <c r="AK4971">
        <v>13.4930377254802</v>
      </c>
    </row>
    <row r="4972" spans="1:37" x14ac:dyDescent="0.2">
      <c r="A4972" t="str">
        <f>"20200111153750689"</f>
        <v>20200111153750689</v>
      </c>
      <c r="B4972" t="str">
        <f>"1578728270677758"</f>
        <v>1578728270677758</v>
      </c>
      <c r="C4972" t="s">
        <v>37</v>
      </c>
      <c r="D4972">
        <v>5.9741599999999897</v>
      </c>
      <c r="E4972">
        <v>0.66048600000000002</v>
      </c>
      <c r="F4972" t="s">
        <v>40</v>
      </c>
      <c r="G4972">
        <v>-307.92079999999999</v>
      </c>
      <c r="H4972">
        <v>-0.05</v>
      </c>
      <c r="I4972">
        <v>7.9128879999999997</v>
      </c>
      <c r="J4972">
        <v>-318.66669999999999</v>
      </c>
      <c r="K4972">
        <v>1.088913</v>
      </c>
      <c r="L4972">
        <v>16.556699999999999</v>
      </c>
      <c r="M4972">
        <v>0.98435569999999895</v>
      </c>
      <c r="N4972">
        <v>0</v>
      </c>
      <c r="O4972">
        <v>-0.17488299999999901</v>
      </c>
      <c r="P4972">
        <v>0.96200849999999904</v>
      </c>
      <c r="Q4972">
        <v>2.9169259999999998E-3</v>
      </c>
      <c r="R4972">
        <v>-0.27300429999999998</v>
      </c>
      <c r="S4972">
        <v>2.5582889999999998</v>
      </c>
      <c r="T4972">
        <v>-0.26600439999999997</v>
      </c>
      <c r="U4972">
        <v>-2.0270999999999999</v>
      </c>
      <c r="V4972">
        <v>0.1009959</v>
      </c>
      <c r="W4972">
        <v>2.2179520000000001E-2</v>
      </c>
      <c r="X4972">
        <v>0.99463959999999996</v>
      </c>
      <c r="Y4972">
        <v>0.47340109999999902</v>
      </c>
      <c r="Z4972">
        <v>-5.9316849999999999E-3</v>
      </c>
      <c r="AA4972">
        <v>0.88082700000000003</v>
      </c>
      <c r="AB4972">
        <v>28</v>
      </c>
      <c r="AC4972">
        <v>10.745900000000001</v>
      </c>
      <c r="AD4972">
        <v>-1.1389129999999901</v>
      </c>
      <c r="AE4972">
        <v>-8.6438119999999898</v>
      </c>
      <c r="AF4972">
        <v>6.5859180291035502</v>
      </c>
      <c r="AG4972">
        <v>-1.1389129999999901</v>
      </c>
      <c r="AH4972">
        <v>12.010311868541899</v>
      </c>
      <c r="AI4972">
        <v>94.753062927877593</v>
      </c>
      <c r="AJ4972">
        <v>61.261605851623202</v>
      </c>
      <c r="AK4972">
        <v>13.744781929418799</v>
      </c>
    </row>
    <row r="4973" spans="1:37" x14ac:dyDescent="0.2">
      <c r="A4973" t="str">
        <f>"20200111153750702"</f>
        <v>20200111153750702</v>
      </c>
      <c r="B4973" t="str">
        <f>"1578728270698255"</f>
        <v>1578728270698255</v>
      </c>
      <c r="C4973" t="s">
        <v>37</v>
      </c>
      <c r="D4973">
        <v>5.9855669999999996</v>
      </c>
      <c r="E4973">
        <v>0.65936410000000001</v>
      </c>
      <c r="F4973" t="s">
        <v>40</v>
      </c>
      <c r="G4973">
        <v>-307.58170000000001</v>
      </c>
      <c r="H4973">
        <v>-0.05</v>
      </c>
      <c r="I4973">
        <v>7.5965579999999999</v>
      </c>
      <c r="J4973">
        <v>-318.50749999999999</v>
      </c>
      <c r="K4973">
        <v>1.0879719999999999</v>
      </c>
      <c r="L4973">
        <v>16.52328</v>
      </c>
      <c r="M4973">
        <v>0.98324269999999903</v>
      </c>
      <c r="N4973">
        <v>0</v>
      </c>
      <c r="O4973">
        <v>-0.1809492</v>
      </c>
      <c r="P4973">
        <v>0.95997429999999995</v>
      </c>
      <c r="Q4973">
        <v>2.6627E-3</v>
      </c>
      <c r="R4973">
        <v>-0.2800762</v>
      </c>
      <c r="S4973">
        <v>2.5372619999999899</v>
      </c>
      <c r="T4973">
        <v>-0.26068760000000002</v>
      </c>
      <c r="U4973">
        <v>-2.0509029999999999</v>
      </c>
      <c r="V4973">
        <v>0.102188899999999</v>
      </c>
      <c r="W4973">
        <v>2.2614760000000001E-2</v>
      </c>
      <c r="X4973">
        <v>0.9945079</v>
      </c>
      <c r="Y4973">
        <v>0.47657250000000001</v>
      </c>
      <c r="Z4973">
        <v>-5.4601950000000002E-3</v>
      </c>
      <c r="AA4973">
        <v>0.87911819999999896</v>
      </c>
      <c r="AB4973">
        <v>28</v>
      </c>
      <c r="AC4973">
        <v>10.925799999999899</v>
      </c>
      <c r="AD4973">
        <v>-1.137972</v>
      </c>
      <c r="AE4973">
        <v>-8.9267219999999998</v>
      </c>
      <c r="AF4973">
        <v>6.7578271221993003</v>
      </c>
      <c r="AG4973">
        <v>-1.137972</v>
      </c>
      <c r="AH4973">
        <v>12.2811375431563</v>
      </c>
      <c r="AI4973">
        <v>94.641171207189601</v>
      </c>
      <c r="AJ4973">
        <v>61.177740350353098</v>
      </c>
      <c r="AK4973">
        <v>14.063767171005001</v>
      </c>
    </row>
    <row r="4974" spans="1:37" x14ac:dyDescent="0.2">
      <c r="A4974" t="str">
        <f>"20200111153750713"</f>
        <v>20200111153750713</v>
      </c>
      <c r="B4974" t="str">
        <f>"1578728270708013"</f>
        <v>1578728270708013</v>
      </c>
      <c r="C4974" t="s">
        <v>37</v>
      </c>
      <c r="D4974">
        <v>5.9468189999999996</v>
      </c>
      <c r="E4974">
        <v>0.65877350000000001</v>
      </c>
      <c r="F4974" t="s">
        <v>40</v>
      </c>
      <c r="G4974">
        <v>-307.3845</v>
      </c>
      <c r="H4974">
        <v>-0.05</v>
      </c>
      <c r="I4974">
        <v>7.4421689999999998</v>
      </c>
      <c r="J4974">
        <v>-318.35239999999999</v>
      </c>
      <c r="K4974">
        <v>1.086929</v>
      </c>
      <c r="L4974">
        <v>16.489529999999998</v>
      </c>
      <c r="M4974">
        <v>0.98209979999999997</v>
      </c>
      <c r="N4974">
        <v>0</v>
      </c>
      <c r="O4974">
        <v>-0.18698299999999901</v>
      </c>
      <c r="P4974">
        <v>0.95784570000000002</v>
      </c>
      <c r="Q4974">
        <v>2.3564279999999998E-3</v>
      </c>
      <c r="R4974">
        <v>-0.28727390000000003</v>
      </c>
      <c r="S4974">
        <v>2.5245060000000001</v>
      </c>
      <c r="T4974">
        <v>-0.25827620000000001</v>
      </c>
      <c r="U4974">
        <v>-2.0610659999999998</v>
      </c>
      <c r="V4974">
        <v>0.103554199999999</v>
      </c>
      <c r="W4974">
        <v>2.2833570000000001E-2</v>
      </c>
      <c r="X4974">
        <v>0.99436170000000002</v>
      </c>
      <c r="Y4974">
        <v>0.47550490000000001</v>
      </c>
      <c r="Z4974">
        <v>-4.864841E-3</v>
      </c>
      <c r="AA4974">
        <v>0.87969959999999903</v>
      </c>
      <c r="AB4974">
        <v>28</v>
      </c>
      <c r="AC4974">
        <v>10.967899999999901</v>
      </c>
      <c r="AD4974">
        <v>-1.1369290000000001</v>
      </c>
      <c r="AE4974">
        <v>-9.0473610000000004</v>
      </c>
      <c r="AF4974">
        <v>6.7929330399001104</v>
      </c>
      <c r="AG4974">
        <v>-1.1369290000000001</v>
      </c>
      <c r="AH4974">
        <v>12.3872920111775</v>
      </c>
      <c r="AI4974">
        <v>94.601006123542106</v>
      </c>
      <c r="AJ4974">
        <v>61.260553419814002</v>
      </c>
      <c r="AK4974">
        <v>14.1732688609858</v>
      </c>
    </row>
    <row r="4975" spans="1:37" x14ac:dyDescent="0.2">
      <c r="A4975" t="str">
        <f>"20200111153750725"</f>
        <v>20200111153750725</v>
      </c>
      <c r="B4975" t="str">
        <f>"1578728270717774"</f>
        <v>1578728270717774</v>
      </c>
      <c r="C4975" t="s">
        <v>37</v>
      </c>
      <c r="D4975">
        <v>5.9406179999999997</v>
      </c>
      <c r="E4975">
        <v>0.65826770000000001</v>
      </c>
      <c r="F4975" t="s">
        <v>40</v>
      </c>
      <c r="G4975">
        <v>-307.332999999999</v>
      </c>
      <c r="H4975">
        <v>-0.05</v>
      </c>
      <c r="I4975">
        <v>7.3779300000000001</v>
      </c>
      <c r="J4975">
        <v>-318.20979999999997</v>
      </c>
      <c r="K4975">
        <v>1.085866</v>
      </c>
      <c r="L4975">
        <v>16.457699999999999</v>
      </c>
      <c r="M4975">
        <v>0.981037099999999</v>
      </c>
      <c r="N4975">
        <v>0</v>
      </c>
      <c r="O4975">
        <v>-0.19242229999999999</v>
      </c>
      <c r="P4975">
        <v>0.95585359999999997</v>
      </c>
      <c r="Q4975">
        <v>1.7719189999999901E-3</v>
      </c>
      <c r="R4975">
        <v>-0.2938385</v>
      </c>
      <c r="S4975">
        <v>2.5101619999999998</v>
      </c>
      <c r="T4975">
        <v>-0.25898870000000002</v>
      </c>
      <c r="U4975">
        <v>-2.0755919999999999</v>
      </c>
      <c r="V4975">
        <v>0.104869</v>
      </c>
      <c r="W4975">
        <v>2.2668629999999999E-2</v>
      </c>
      <c r="X4975">
        <v>0.99422759999999999</v>
      </c>
      <c r="Y4975">
        <v>0.4761263</v>
      </c>
      <c r="Z4975">
        <v>-4.4569479999999996E-3</v>
      </c>
      <c r="AA4975">
        <v>0.87936559999999897</v>
      </c>
      <c r="AB4975">
        <v>28</v>
      </c>
      <c r="AC4975">
        <v>10.876799999999999</v>
      </c>
      <c r="AD4975">
        <v>-1.135866</v>
      </c>
      <c r="AE4975">
        <v>-9.0797699999999999</v>
      </c>
      <c r="AF4975">
        <v>6.7729630882198801</v>
      </c>
      <c r="AG4975">
        <v>-1.135866</v>
      </c>
      <c r="AH4975">
        <v>12.341728156586401</v>
      </c>
      <c r="AI4975">
        <v>94.612832781247107</v>
      </c>
      <c r="AJ4975">
        <v>61.242652575179498</v>
      </c>
      <c r="AK4975">
        <v>14.1237910794313</v>
      </c>
    </row>
    <row r="4976" spans="1:37" x14ac:dyDescent="0.2">
      <c r="A4976" t="str">
        <f>"20200111153750737"</f>
        <v>20200111153750737</v>
      </c>
      <c r="B4976" t="str">
        <f>"1578728270728509"</f>
        <v>1578728270728509</v>
      </c>
      <c r="C4976" t="s">
        <v>37</v>
      </c>
      <c r="D4976">
        <v>5.9352450000000001</v>
      </c>
      <c r="E4976">
        <v>0.65776000000000001</v>
      </c>
      <c r="F4976" t="s">
        <v>40</v>
      </c>
      <c r="G4976">
        <v>-307.3159</v>
      </c>
      <c r="H4976">
        <v>-0.05</v>
      </c>
      <c r="I4976">
        <v>7.3423610000000004</v>
      </c>
      <c r="J4976">
        <v>-318.06020000000001</v>
      </c>
      <c r="K4976">
        <v>1.08466</v>
      </c>
      <c r="L4976">
        <v>16.423579999999902</v>
      </c>
      <c r="M4976">
        <v>0.97990699999999997</v>
      </c>
      <c r="N4976">
        <v>0</v>
      </c>
      <c r="O4976">
        <v>-0.19804099999999999</v>
      </c>
      <c r="P4976">
        <v>0.95379340000000001</v>
      </c>
      <c r="Q4976">
        <v>1.2652099999999999E-3</v>
      </c>
      <c r="R4976">
        <v>-0.30046050000000002</v>
      </c>
      <c r="S4976">
        <v>2.4967959999999998</v>
      </c>
      <c r="T4976">
        <v>-0.26033249999999902</v>
      </c>
      <c r="U4976">
        <v>-2.089172</v>
      </c>
      <c r="V4976">
        <v>0.10607519999999999</v>
      </c>
      <c r="W4976">
        <v>2.2552309999999999E-2</v>
      </c>
      <c r="X4976">
        <v>0.99410229999999999</v>
      </c>
      <c r="Y4976">
        <v>0.476220799999999</v>
      </c>
      <c r="Z4976">
        <v>-4.0150400000000001E-3</v>
      </c>
      <c r="AA4976">
        <v>0.879316599999999</v>
      </c>
      <c r="AB4976">
        <v>28</v>
      </c>
      <c r="AC4976">
        <v>10.744300000000001</v>
      </c>
      <c r="AD4976">
        <v>-1.13466</v>
      </c>
      <c r="AE4976">
        <v>-9.0812189999999902</v>
      </c>
      <c r="AF4976">
        <v>6.7290671334810401</v>
      </c>
      <c r="AG4976">
        <v>-1.13466</v>
      </c>
      <c r="AH4976">
        <v>12.2506399634046</v>
      </c>
      <c r="AI4976">
        <v>94.641099485304906</v>
      </c>
      <c r="AJ4976">
        <v>61.2207600649607</v>
      </c>
      <c r="AK4976">
        <v>14.023051640618799</v>
      </c>
    </row>
    <row r="4977" spans="1:37" x14ac:dyDescent="0.2">
      <c r="A4977" t="str">
        <f>"20200111153750749"</f>
        <v>20200111153750749</v>
      </c>
      <c r="B4977" t="str">
        <f>"1578728270738270"</f>
        <v>1578728270738270</v>
      </c>
      <c r="C4977" t="s">
        <v>37</v>
      </c>
      <c r="D4977">
        <v>5.9421419999999996</v>
      </c>
      <c r="E4977">
        <v>0.65730140000000004</v>
      </c>
      <c r="F4977" t="s">
        <v>40</v>
      </c>
      <c r="G4977">
        <v>-307.3021</v>
      </c>
      <c r="H4977">
        <v>-0.05</v>
      </c>
      <c r="I4977">
        <v>7.3143310000000001</v>
      </c>
      <c r="J4977">
        <v>-317.92140000000001</v>
      </c>
      <c r="K4977">
        <v>1.0834109999999999</v>
      </c>
      <c r="L4977">
        <v>16.390629999999899</v>
      </c>
      <c r="M4977">
        <v>0.97885949999999899</v>
      </c>
      <c r="N4977">
        <v>0</v>
      </c>
      <c r="O4977">
        <v>-0.20311129999999999</v>
      </c>
      <c r="P4977">
        <v>0.95180889999999996</v>
      </c>
      <c r="Q4977">
        <v>9.7794159999999995E-4</v>
      </c>
      <c r="R4977">
        <v>-0.30669009999999902</v>
      </c>
      <c r="S4977">
        <v>2.4833069999999999</v>
      </c>
      <c r="T4977">
        <v>-0.26191399999999998</v>
      </c>
      <c r="U4977">
        <v>-2.1026919999999998</v>
      </c>
      <c r="V4977">
        <v>0.1074422</v>
      </c>
      <c r="W4977">
        <v>2.2534200000000001E-2</v>
      </c>
      <c r="X4977">
        <v>0.9939559</v>
      </c>
      <c r="Y4977">
        <v>0.47681079999999998</v>
      </c>
      <c r="Z4977">
        <v>-3.6404919999999999E-3</v>
      </c>
      <c r="AA4977">
        <v>0.87899850000000002</v>
      </c>
      <c r="AB4977">
        <v>28</v>
      </c>
      <c r="AC4977">
        <v>10.619300000000001</v>
      </c>
      <c r="AD4977">
        <v>-1.1334109999999999</v>
      </c>
      <c r="AE4977">
        <v>-9.0762990000000006</v>
      </c>
      <c r="AF4977">
        <v>6.6854641802859103</v>
      </c>
      <c r="AG4977">
        <v>-1.1334109999999999</v>
      </c>
      <c r="AH4977">
        <v>12.1617931240585</v>
      </c>
      <c r="AI4977">
        <v>94.668892951647706</v>
      </c>
      <c r="AJ4977">
        <v>61.201946990312997</v>
      </c>
      <c r="AK4977">
        <v>13.9244125116</v>
      </c>
    </row>
    <row r="4978" spans="1:37" x14ac:dyDescent="0.2">
      <c r="A4978" t="str">
        <f>"20200111153750761"</f>
        <v>20200111153750761</v>
      </c>
      <c r="B4978" t="str">
        <f>"1578728270757789"</f>
        <v>1578728270757789</v>
      </c>
      <c r="C4978" t="s">
        <v>37</v>
      </c>
      <c r="D4978">
        <v>5.9520629999999999</v>
      </c>
      <c r="E4978">
        <v>0.65634419999999905</v>
      </c>
      <c r="F4978" t="s">
        <v>40</v>
      </c>
      <c r="G4978">
        <v>-307.29660000000001</v>
      </c>
      <c r="H4978">
        <v>-0.05</v>
      </c>
      <c r="I4978">
        <v>7.2910159999999999</v>
      </c>
      <c r="J4978">
        <v>-317.7713</v>
      </c>
      <c r="K4978">
        <v>1.0820209999999999</v>
      </c>
      <c r="L4978">
        <v>16.354489999999998</v>
      </c>
      <c r="M4978">
        <v>0.9777034</v>
      </c>
      <c r="N4978">
        <v>0</v>
      </c>
      <c r="O4978">
        <v>-0.20856250000000001</v>
      </c>
      <c r="P4978">
        <v>0.94968850000000005</v>
      </c>
      <c r="Q4978">
        <v>5.2514740000000003E-4</v>
      </c>
      <c r="R4978">
        <v>-0.31319599999999997</v>
      </c>
      <c r="S4978">
        <v>2.4704280000000001</v>
      </c>
      <c r="T4978">
        <v>-0.26353389999999999</v>
      </c>
      <c r="U4978">
        <v>-2.1157840000000001</v>
      </c>
      <c r="V4978">
        <v>0.1087173</v>
      </c>
      <c r="W4978">
        <v>2.2341130000000001E-2</v>
      </c>
      <c r="X4978">
        <v>0.99382159999999997</v>
      </c>
      <c r="Y4978">
        <v>0.47686649999999903</v>
      </c>
      <c r="Z4978">
        <v>-3.2022169999999998E-3</v>
      </c>
      <c r="AA4978">
        <v>0.87896980000000002</v>
      </c>
      <c r="AB4978">
        <v>28</v>
      </c>
      <c r="AC4978">
        <v>10.474699999999901</v>
      </c>
      <c r="AD4978">
        <v>-1.1320209999999999</v>
      </c>
      <c r="AE4978">
        <v>-9.0634739999999994</v>
      </c>
      <c r="AF4978">
        <v>6.6344446943677999</v>
      </c>
      <c r="AG4978">
        <v>-1.1320209999999999</v>
      </c>
      <c r="AH4978">
        <v>12.0545655919063</v>
      </c>
      <c r="AI4978">
        <v>94.703186969527806</v>
      </c>
      <c r="AJ4978">
        <v>61.173029769301799</v>
      </c>
      <c r="AK4978">
        <v>13.806153684377</v>
      </c>
    </row>
    <row r="4979" spans="1:37" x14ac:dyDescent="0.2">
      <c r="A4979" t="str">
        <f>"20200111153750772"</f>
        <v>20200111153750772</v>
      </c>
      <c r="B4979" t="str">
        <f>"1578728270768526"</f>
        <v>1578728270768526</v>
      </c>
      <c r="C4979" t="s">
        <v>37</v>
      </c>
      <c r="D4979">
        <v>5.9415750000000003</v>
      </c>
      <c r="E4979">
        <v>0.65600480000000005</v>
      </c>
      <c r="F4979" t="s">
        <v>40</v>
      </c>
      <c r="G4979">
        <v>-307.34129999999999</v>
      </c>
      <c r="H4979">
        <v>-0.05</v>
      </c>
      <c r="I4979">
        <v>7.3339229999999898</v>
      </c>
      <c r="J4979">
        <v>-317.62329999999997</v>
      </c>
      <c r="K4979">
        <v>1.0805530000000001</v>
      </c>
      <c r="L4979">
        <v>16.31738</v>
      </c>
      <c r="M4979">
        <v>0.97654259999999904</v>
      </c>
      <c r="N4979">
        <v>0</v>
      </c>
      <c r="O4979">
        <v>-0.2139007</v>
      </c>
      <c r="P4979">
        <v>0.94757760000000002</v>
      </c>
      <c r="Q4979">
        <v>3.7500609999999997E-4</v>
      </c>
      <c r="R4979">
        <v>-0.31952529999999901</v>
      </c>
      <c r="S4979">
        <v>2.458008</v>
      </c>
      <c r="T4979">
        <v>-0.26678039999999997</v>
      </c>
      <c r="U4979">
        <v>-2.1258539999999999</v>
      </c>
      <c r="V4979">
        <v>0.1099371</v>
      </c>
      <c r="W4979">
        <v>2.234208E-2</v>
      </c>
      <c r="X4979">
        <v>0.9936874</v>
      </c>
      <c r="Y4979">
        <v>0.47631449999999997</v>
      </c>
      <c r="Z4979">
        <v>-2.7557649999999999E-3</v>
      </c>
      <c r="AA4979">
        <v>0.87927069999999996</v>
      </c>
      <c r="AB4979">
        <v>28</v>
      </c>
      <c r="AC4979">
        <v>10.281999999999901</v>
      </c>
      <c r="AD4979">
        <v>-1.1305529999999999</v>
      </c>
      <c r="AE4979">
        <v>-8.9834569999999996</v>
      </c>
      <c r="AF4979">
        <v>6.5306352272577302</v>
      </c>
      <c r="AG4979">
        <v>-1.1305529999999999</v>
      </c>
      <c r="AH4979">
        <v>11.8845520978634</v>
      </c>
      <c r="AI4979">
        <v>94.765727744071398</v>
      </c>
      <c r="AJ4979">
        <v>61.2109319830722</v>
      </c>
      <c r="AK4979">
        <v>13.607715646799001</v>
      </c>
    </row>
    <row r="4980" spans="1:37" x14ac:dyDescent="0.2">
      <c r="A4980" t="str">
        <f>"20200111153750789"</f>
        <v>20200111153750789</v>
      </c>
      <c r="B4980" t="str">
        <f>"1578728270778285"</f>
        <v>1578728270778285</v>
      </c>
      <c r="C4980" t="s">
        <v>37</v>
      </c>
      <c r="D4980">
        <v>5.9507810000000001</v>
      </c>
      <c r="E4980">
        <v>0.65569709999999903</v>
      </c>
      <c r="F4980" t="s">
        <v>40</v>
      </c>
      <c r="G4980">
        <v>-307.30700000000002</v>
      </c>
      <c r="H4980">
        <v>-0.05</v>
      </c>
      <c r="I4980">
        <v>7.2878879999999997</v>
      </c>
      <c r="J4980">
        <v>-317.42779999999999</v>
      </c>
      <c r="K4980">
        <v>1.078573</v>
      </c>
      <c r="L4980">
        <v>16.266970000000001</v>
      </c>
      <c r="M4980">
        <v>0.97496830000000001</v>
      </c>
      <c r="N4980">
        <v>0</v>
      </c>
      <c r="O4980">
        <v>-0.2209344</v>
      </c>
      <c r="P4980">
        <v>0.94440190000000002</v>
      </c>
      <c r="Q4980">
        <v>6.6357850000000002E-4</v>
      </c>
      <c r="R4980">
        <v>-0.32879330000000001</v>
      </c>
      <c r="S4980">
        <v>2.44457999999999</v>
      </c>
      <c r="T4980">
        <v>-0.26789829999999998</v>
      </c>
      <c r="U4980">
        <v>-2.13964799999999</v>
      </c>
      <c r="V4980">
        <v>0.112543</v>
      </c>
      <c r="W4980">
        <v>2.2732990000000002E-2</v>
      </c>
      <c r="X4980">
        <v>0.99338680000000001</v>
      </c>
      <c r="Y4980">
        <v>0.475195799999999</v>
      </c>
      <c r="Z4980">
        <v>-2.1016770000000001E-3</v>
      </c>
      <c r="AA4980">
        <v>0.87987760000000004</v>
      </c>
      <c r="AB4980">
        <v>28</v>
      </c>
      <c r="AC4980">
        <v>10.1207999999999</v>
      </c>
      <c r="AD4980">
        <v>-1.128573</v>
      </c>
      <c r="AE4980">
        <v>-8.979082</v>
      </c>
      <c r="AF4980">
        <v>6.4752703644397096</v>
      </c>
      <c r="AG4980">
        <v>-1.128573</v>
      </c>
      <c r="AH4980">
        <v>11.773035621804899</v>
      </c>
      <c r="AI4980">
        <v>94.801259473834307</v>
      </c>
      <c r="AJ4980">
        <v>61.1888297295475</v>
      </c>
      <c r="AK4980">
        <v>13.4835889532871</v>
      </c>
    </row>
    <row r="4981" spans="1:37" x14ac:dyDescent="0.2">
      <c r="A4981" t="str">
        <f>"20200111153750801"</f>
        <v>20200111153750801</v>
      </c>
      <c r="B4981" t="str">
        <f>"1578728270797805"</f>
        <v>1578728270797805</v>
      </c>
      <c r="C4981" t="s">
        <v>37</v>
      </c>
      <c r="D4981">
        <v>5.9218500000000001</v>
      </c>
      <c r="E4981">
        <v>0.6549355</v>
      </c>
      <c r="F4981" t="s">
        <v>40</v>
      </c>
      <c r="G4981">
        <v>-307.12180000000001</v>
      </c>
      <c r="H4981">
        <v>-0.05</v>
      </c>
      <c r="I4981">
        <v>7.07782</v>
      </c>
      <c r="J4981">
        <v>-317.27330000000001</v>
      </c>
      <c r="K4981">
        <v>1.076983</v>
      </c>
      <c r="L4981">
        <v>16.226140000000001</v>
      </c>
      <c r="M4981">
        <v>0.97368960000000004</v>
      </c>
      <c r="N4981">
        <v>0</v>
      </c>
      <c r="O4981">
        <v>-0.22648389999999999</v>
      </c>
      <c r="P4981">
        <v>0.94212369999999901</v>
      </c>
      <c r="Q4981">
        <v>8.3528550000000002E-4</v>
      </c>
      <c r="R4981">
        <v>-0.33526459999999902</v>
      </c>
      <c r="S4981">
        <v>2.4243160000000001</v>
      </c>
      <c r="T4981">
        <v>-0.26547769999999998</v>
      </c>
      <c r="U4981">
        <v>-2.161591</v>
      </c>
      <c r="V4981">
        <v>0.1137243</v>
      </c>
      <c r="W4981">
        <v>2.2961329999999999E-2</v>
      </c>
      <c r="X4981">
        <v>0.99324699999999899</v>
      </c>
      <c r="Y4981">
        <v>0.4782903</v>
      </c>
      <c r="Z4981">
        <v>-1.7526600000000001E-3</v>
      </c>
      <c r="AA4981">
        <v>0.87820010000000004</v>
      </c>
      <c r="AB4981">
        <v>28</v>
      </c>
      <c r="AC4981">
        <v>10.1515</v>
      </c>
      <c r="AD4981">
        <v>-1.1269830000000001</v>
      </c>
      <c r="AE4981">
        <v>-9.14832</v>
      </c>
      <c r="AF4981">
        <v>6.5659111450049803</v>
      </c>
      <c r="AG4981">
        <v>-1.1269830000000001</v>
      </c>
      <c r="AH4981">
        <v>11.879352760142501</v>
      </c>
      <c r="AI4981">
        <v>94.746402091360906</v>
      </c>
      <c r="AJ4981">
        <v>61.069858584776597</v>
      </c>
      <c r="AK4981">
        <v>13.619849552997801</v>
      </c>
    </row>
    <row r="4982" spans="1:37" x14ac:dyDescent="0.2">
      <c r="A4982" t="str">
        <f>"20200111153750813"</f>
        <v>20200111153750813</v>
      </c>
      <c r="B4982" t="str">
        <f>"1578728270808541"</f>
        <v>1578728270808541</v>
      </c>
      <c r="C4982" t="s">
        <v>37</v>
      </c>
      <c r="D4982">
        <v>5.9337279999999897</v>
      </c>
      <c r="E4982">
        <v>0.65455640000000004</v>
      </c>
      <c r="F4982" t="s">
        <v>40</v>
      </c>
      <c r="G4982">
        <v>-307.11489999999998</v>
      </c>
      <c r="H4982">
        <v>-0.05</v>
      </c>
      <c r="I4982">
        <v>7.0724789999999897</v>
      </c>
      <c r="J4982">
        <v>-317.1216</v>
      </c>
      <c r="K4982">
        <v>1.075412</v>
      </c>
      <c r="L4982">
        <v>16.184570000000001</v>
      </c>
      <c r="M4982">
        <v>0.97240459999999995</v>
      </c>
      <c r="N4982">
        <v>0</v>
      </c>
      <c r="O4982">
        <v>-0.23192660000000001</v>
      </c>
      <c r="P4982">
        <v>0.93984909999999999</v>
      </c>
      <c r="Q4982">
        <v>1.3377809999999999E-3</v>
      </c>
      <c r="R4982">
        <v>-0.34158739999999999</v>
      </c>
      <c r="S4982">
        <v>2.4113159999999998</v>
      </c>
      <c r="T4982">
        <v>-0.26751449999999999</v>
      </c>
      <c r="U4982">
        <v>-2.1728209999999999</v>
      </c>
      <c r="V4982">
        <v>0.1148721</v>
      </c>
      <c r="W4982">
        <v>2.347523E-2</v>
      </c>
      <c r="X4982">
        <v>0.99310279999999995</v>
      </c>
      <c r="Y4982">
        <v>0.47799199999999997</v>
      </c>
      <c r="Z4982">
        <v>-1.2778169999999899E-3</v>
      </c>
      <c r="AA4982">
        <v>0.87836329999999996</v>
      </c>
      <c r="AB4982">
        <v>28</v>
      </c>
      <c r="AC4982">
        <v>10.0067</v>
      </c>
      <c r="AD4982">
        <v>-1.1254120000000001</v>
      </c>
      <c r="AE4982">
        <v>-9.1120909999999995</v>
      </c>
      <c r="AF4982">
        <v>6.4969852641863097</v>
      </c>
      <c r="AG4982">
        <v>-1.1254120000000001</v>
      </c>
      <c r="AH4982">
        <v>11.7663230997067</v>
      </c>
      <c r="AI4982">
        <v>94.786242697266303</v>
      </c>
      <c r="AJ4982">
        <v>61.093932067548302</v>
      </c>
      <c r="AK4982">
        <v>13.4879104749212</v>
      </c>
    </row>
    <row r="4983" spans="1:37" x14ac:dyDescent="0.2">
      <c r="A4983" t="str">
        <f>"20200111153750826"</f>
        <v>20200111153750826</v>
      </c>
      <c r="B4983" t="str">
        <f>"1578728270818301"</f>
        <v>1578728270818301</v>
      </c>
      <c r="C4983" t="s">
        <v>37</v>
      </c>
      <c r="D4983">
        <v>5.9338579999999999</v>
      </c>
      <c r="E4983">
        <v>0.65455640000000004</v>
      </c>
      <c r="F4983" t="s">
        <v>40</v>
      </c>
      <c r="G4983">
        <v>-306.98820000000001</v>
      </c>
      <c r="H4983">
        <v>-0.05</v>
      </c>
      <c r="I4983">
        <v>6.9425350000000003</v>
      </c>
      <c r="J4983">
        <v>-316.97210000000001</v>
      </c>
      <c r="K4983">
        <v>1.0738780000000001</v>
      </c>
      <c r="L4983">
        <v>16.14264</v>
      </c>
      <c r="M4983">
        <v>0.97110010000000002</v>
      </c>
      <c r="N4983">
        <v>0</v>
      </c>
      <c r="O4983">
        <v>-0.23732329999999899</v>
      </c>
      <c r="P4983">
        <v>0.93754699999999902</v>
      </c>
      <c r="Q4983">
        <v>1.914425E-3</v>
      </c>
      <c r="R4983">
        <v>-0.34785379999999999</v>
      </c>
      <c r="S4983">
        <v>2.3976139999999999</v>
      </c>
      <c r="T4983">
        <v>-0.26627770000000001</v>
      </c>
      <c r="U4983">
        <v>-2.1867070000000002</v>
      </c>
      <c r="V4983">
        <v>0.116014899999999</v>
      </c>
      <c r="W4983">
        <v>2.4022470000000001E-2</v>
      </c>
      <c r="X4983">
        <v>0.99295689999999903</v>
      </c>
      <c r="Y4983">
        <v>0.478411799999999</v>
      </c>
      <c r="Z4983">
        <v>-8.2300979999999895E-4</v>
      </c>
      <c r="AA4983">
        <v>0.87813519999999901</v>
      </c>
      <c r="AB4983">
        <v>28</v>
      </c>
      <c r="AC4983">
        <v>9.9839000000000002</v>
      </c>
      <c r="AD4983">
        <v>-1.1238779999999999</v>
      </c>
      <c r="AE4983">
        <v>-9.2001050000000006</v>
      </c>
      <c r="AF4983">
        <v>6.5222246910842596</v>
      </c>
      <c r="AG4983">
        <v>-1.1238779999999999</v>
      </c>
      <c r="AH4983">
        <v>11.8017077039511</v>
      </c>
      <c r="AI4983">
        <v>94.764514398315001</v>
      </c>
      <c r="AJ4983">
        <v>61.072725003932597</v>
      </c>
      <c r="AK4983">
        <v>13.5308100795692</v>
      </c>
    </row>
    <row r="4984" spans="1:37" x14ac:dyDescent="0.2">
      <c r="A4984" t="str">
        <f>"20200111153750837"</f>
        <v>20200111153750837</v>
      </c>
      <c r="B4984" t="str">
        <f>"1578728270828061"</f>
        <v>1578728270828061</v>
      </c>
      <c r="C4984" t="s">
        <v>37</v>
      </c>
      <c r="D4984">
        <v>5.918679</v>
      </c>
      <c r="E4984">
        <v>0.64211660000000004</v>
      </c>
      <c r="F4984" t="s">
        <v>40</v>
      </c>
      <c r="G4984">
        <v>-306.81110000000001</v>
      </c>
      <c r="H4984">
        <v>-0.05</v>
      </c>
      <c r="I4984">
        <v>6.7500460000000002</v>
      </c>
      <c r="J4984">
        <v>-316.82319999999999</v>
      </c>
      <c r="K4984">
        <v>1.072362</v>
      </c>
      <c r="L4984">
        <v>16.100100000000001</v>
      </c>
      <c r="M4984">
        <v>0.9697635</v>
      </c>
      <c r="N4984">
        <v>0</v>
      </c>
      <c r="O4984">
        <v>-0.24272460000000001</v>
      </c>
      <c r="P4984">
        <v>0.9352433</v>
      </c>
      <c r="Q4984">
        <v>2.0222450000000002E-3</v>
      </c>
      <c r="R4984">
        <v>-0.35400009999999998</v>
      </c>
      <c r="S4984">
        <v>2.383057</v>
      </c>
      <c r="T4984">
        <v>-0.26358369999999998</v>
      </c>
      <c r="U4984">
        <v>-2.2028500000000002</v>
      </c>
      <c r="V4984">
        <v>0.1170192</v>
      </c>
      <c r="W4984">
        <v>2.4071579999999999E-2</v>
      </c>
      <c r="X4984">
        <v>0.99283790000000005</v>
      </c>
      <c r="Y4984">
        <v>0.47943520000000001</v>
      </c>
      <c r="Z4984">
        <v>-3.9770269999999899E-4</v>
      </c>
      <c r="AA4984">
        <v>0.87757719999999995</v>
      </c>
      <c r="AB4984">
        <v>28</v>
      </c>
      <c r="AC4984">
        <v>10.012099999999901</v>
      </c>
      <c r="AD4984">
        <v>-1.1223620000000001</v>
      </c>
      <c r="AE4984">
        <v>-9.3500540000000001</v>
      </c>
      <c r="AF4984">
        <v>6.5950259502121398</v>
      </c>
      <c r="AG4984">
        <v>-1.1223620000000001</v>
      </c>
      <c r="AH4984">
        <v>11.902816381807501</v>
      </c>
      <c r="AI4984">
        <v>94.715054325149396</v>
      </c>
      <c r="AJ4984">
        <v>61.010358824167</v>
      </c>
      <c r="AK4984">
        <v>13.653977499690001</v>
      </c>
    </row>
    <row r="4985" spans="1:37" x14ac:dyDescent="0.2">
      <c r="A4985" t="str">
        <f>"20200111153750850"</f>
        <v>20200111153750850</v>
      </c>
      <c r="B4985" t="str">
        <f>"1578728270837821"</f>
        <v>1578728270837821</v>
      </c>
      <c r="C4985" t="s">
        <v>37</v>
      </c>
      <c r="D4985">
        <v>5.9087430000000003</v>
      </c>
      <c r="E4985">
        <v>0.64198069999999996</v>
      </c>
      <c r="F4985" t="s">
        <v>40</v>
      </c>
      <c r="G4985">
        <v>-307.834</v>
      </c>
      <c r="H4985">
        <v>-0.05</v>
      </c>
      <c r="I4985">
        <v>8.1477199999999996</v>
      </c>
      <c r="J4985">
        <v>-316.6807</v>
      </c>
      <c r="K4985">
        <v>1.0709629999999899</v>
      </c>
      <c r="L4985">
        <v>16.057950000000002</v>
      </c>
      <c r="M4985">
        <v>0.96842999999999901</v>
      </c>
      <c r="N4985">
        <v>0</v>
      </c>
      <c r="O4985">
        <v>-0.24799879999999999</v>
      </c>
      <c r="P4985">
        <v>0.93292799999999998</v>
      </c>
      <c r="Q4985">
        <v>2.2890429999999902E-3</v>
      </c>
      <c r="R4985">
        <v>-0.3600563</v>
      </c>
      <c r="S4985">
        <v>2.4035340000000001</v>
      </c>
      <c r="T4985">
        <v>-0.30009789999999997</v>
      </c>
      <c r="U4985">
        <v>-2.126312</v>
      </c>
      <c r="V4985">
        <v>0.1180638</v>
      </c>
      <c r="W4985">
        <v>2.421125E-2</v>
      </c>
      <c r="X4985">
        <v>0.9927108</v>
      </c>
      <c r="Y4985">
        <v>0.4551982</v>
      </c>
      <c r="Z4985">
        <v>1.382049E-3</v>
      </c>
      <c r="AA4985">
        <v>0.89038909999999905</v>
      </c>
      <c r="AB4985">
        <v>28</v>
      </c>
      <c r="AC4985">
        <v>8.8466999999999896</v>
      </c>
      <c r="AD4985">
        <v>-1.1209629999999999</v>
      </c>
      <c r="AE4985">
        <v>-7.9102300000000003</v>
      </c>
      <c r="AF4985">
        <v>5.4199256224092203</v>
      </c>
      <c r="AG4985">
        <v>-1.1209629999999999</v>
      </c>
      <c r="AH4985">
        <v>10.439366244434099</v>
      </c>
      <c r="AI4985">
        <v>95.443840021819</v>
      </c>
      <c r="AJ4985">
        <v>62.5624964461609</v>
      </c>
      <c r="AK4985">
        <v>11.815774176296999</v>
      </c>
    </row>
    <row r="4986" spans="1:37" x14ac:dyDescent="0.2">
      <c r="A4986" t="str">
        <f>"20200111153750863"</f>
        <v>20200111153750863</v>
      </c>
      <c r="B4986" t="str">
        <f>"1578728270858318"</f>
        <v>1578728270858318</v>
      </c>
      <c r="C4986" t="s">
        <v>37</v>
      </c>
      <c r="D4986">
        <v>5.9367470000000004</v>
      </c>
      <c r="E4986">
        <v>0.64126090000000002</v>
      </c>
      <c r="F4986" t="s">
        <v>40</v>
      </c>
      <c r="G4986">
        <v>-307.67469999999997</v>
      </c>
      <c r="H4986">
        <v>-0.05</v>
      </c>
      <c r="I4986">
        <v>7.9912720000000004</v>
      </c>
      <c r="J4986">
        <v>-316.5301</v>
      </c>
      <c r="K4986">
        <v>1.06951</v>
      </c>
      <c r="L4986">
        <v>16.012820000000001</v>
      </c>
      <c r="M4986">
        <v>0.96697440000000001</v>
      </c>
      <c r="N4986">
        <v>0</v>
      </c>
      <c r="O4986">
        <v>-0.25362610000000002</v>
      </c>
      <c r="P4986">
        <v>0.93051980000000001</v>
      </c>
      <c r="Q4986">
        <v>2.8061219999999999E-3</v>
      </c>
      <c r="R4986">
        <v>-0.36623109999999998</v>
      </c>
      <c r="S4986">
        <v>2.39013699999999</v>
      </c>
      <c r="T4986">
        <v>-0.2974945</v>
      </c>
      <c r="U4986">
        <v>-2.1408390000000002</v>
      </c>
      <c r="V4986">
        <v>0.1188863</v>
      </c>
      <c r="W4986">
        <v>2.4574970000000002E-2</v>
      </c>
      <c r="X4986">
        <v>0.99260369999999998</v>
      </c>
      <c r="Y4986">
        <v>0.4555399</v>
      </c>
      <c r="Z4986">
        <v>1.9053329999999999E-3</v>
      </c>
      <c r="AA4986">
        <v>0.89021340000000004</v>
      </c>
      <c r="AB4986">
        <v>28</v>
      </c>
      <c r="AC4986">
        <v>8.8554000000000297</v>
      </c>
      <c r="AD4986">
        <v>-1.11951</v>
      </c>
      <c r="AE4986">
        <v>-8.0215479999999992</v>
      </c>
      <c r="AF4986">
        <v>5.4644478234408496</v>
      </c>
      <c r="AG4986">
        <v>-1.11951</v>
      </c>
      <c r="AH4986">
        <v>10.5085285271263</v>
      </c>
      <c r="AI4986">
        <v>95.399455101231098</v>
      </c>
      <c r="AJ4986">
        <v>62.525512626024401</v>
      </c>
      <c r="AK4986">
        <v>11.897170439252999</v>
      </c>
    </row>
    <row r="4987" spans="1:37" x14ac:dyDescent="0.2">
      <c r="A4987" t="str">
        <f>"20200111153750874"</f>
        <v>20200111153750874</v>
      </c>
      <c r="B4987" t="str">
        <f>"1578728270868078"</f>
        <v>1578728270868078</v>
      </c>
      <c r="C4987" t="s">
        <v>37</v>
      </c>
      <c r="D4987">
        <v>5.9157320000000002</v>
      </c>
      <c r="E4987">
        <v>0.64083250000000003</v>
      </c>
      <c r="F4987" t="s">
        <v>40</v>
      </c>
      <c r="G4987">
        <v>-307.68669999999997</v>
      </c>
      <c r="H4987">
        <v>-0.05</v>
      </c>
      <c r="I4987">
        <v>8.0102840000000004</v>
      </c>
      <c r="J4987">
        <v>-316.37520000000001</v>
      </c>
      <c r="K4987">
        <v>1.068085</v>
      </c>
      <c r="L4987">
        <v>15.965059999999999</v>
      </c>
      <c r="M4987">
        <v>0.96540780000000004</v>
      </c>
      <c r="N4987">
        <v>0</v>
      </c>
      <c r="O4987">
        <v>-0.2595442</v>
      </c>
      <c r="P4987">
        <v>0.92796350000000005</v>
      </c>
      <c r="Q4987">
        <v>2.9233699999999998E-3</v>
      </c>
      <c r="R4987">
        <v>-0.37265999999999999</v>
      </c>
      <c r="S4987">
        <v>2.3779599999999999</v>
      </c>
      <c r="T4987">
        <v>-0.30103259999999998</v>
      </c>
      <c r="U4987">
        <v>-2.1518549999999999</v>
      </c>
      <c r="V4987">
        <v>0.1196728</v>
      </c>
      <c r="W4987">
        <v>2.447916E-2</v>
      </c>
      <c r="X4987">
        <v>0.99251160000000005</v>
      </c>
      <c r="Y4987">
        <v>0.45462900000000001</v>
      </c>
      <c r="Z4987">
        <v>2.5676919999999999E-3</v>
      </c>
      <c r="AA4987">
        <v>0.89067719999999995</v>
      </c>
      <c r="AB4987">
        <v>28</v>
      </c>
      <c r="AC4987">
        <v>8.6885000000000296</v>
      </c>
      <c r="AD4987">
        <v>-1.118085</v>
      </c>
      <c r="AE4987">
        <v>-7.9547759999999998</v>
      </c>
      <c r="AF4987">
        <v>5.3778012414527998</v>
      </c>
      <c r="AG4987">
        <v>-1.118085</v>
      </c>
      <c r="AH4987">
        <v>10.362475731534699</v>
      </c>
      <c r="AI4987">
        <v>95.470467089408004</v>
      </c>
      <c r="AJ4987">
        <v>62.572097264419597</v>
      </c>
      <c r="AK4987">
        <v>11.7282463969019</v>
      </c>
    </row>
    <row r="4988" spans="1:37" x14ac:dyDescent="0.2">
      <c r="A4988" t="str">
        <f>"20200111153750889"</f>
        <v>20200111153750889</v>
      </c>
      <c r="B4988" t="str">
        <f>"1578728270877837"</f>
        <v>1578728270877837</v>
      </c>
      <c r="C4988" t="s">
        <v>37</v>
      </c>
      <c r="D4988">
        <v>5.9612809999999996</v>
      </c>
      <c r="E4988">
        <v>0.64106629999999998</v>
      </c>
      <c r="F4988" t="s">
        <v>40</v>
      </c>
      <c r="G4988">
        <v>-307.6678</v>
      </c>
      <c r="H4988">
        <v>-0.05</v>
      </c>
      <c r="I4988">
        <v>7.9916529999999897</v>
      </c>
      <c r="J4988">
        <v>-316.2088</v>
      </c>
      <c r="K4988">
        <v>1.0666229999999901</v>
      </c>
      <c r="L4988">
        <v>15.91245</v>
      </c>
      <c r="M4988">
        <v>0.96364680000000003</v>
      </c>
      <c r="N4988">
        <v>0</v>
      </c>
      <c r="O4988">
        <v>-0.26603309999999902</v>
      </c>
      <c r="P4988">
        <v>0.92498950000000002</v>
      </c>
      <c r="Q4988">
        <v>3.8473969999999998E-3</v>
      </c>
      <c r="R4988">
        <v>-0.37997340000000002</v>
      </c>
      <c r="S4988">
        <v>2.3643800000000001</v>
      </c>
      <c r="T4988">
        <v>-0.30360110000000001</v>
      </c>
      <c r="U4988">
        <v>-2.1650700000000001</v>
      </c>
      <c r="V4988">
        <v>0.12084689999999999</v>
      </c>
      <c r="W4988">
        <v>2.5114109999999999E-2</v>
      </c>
      <c r="X4988">
        <v>0.99235339999999905</v>
      </c>
      <c r="Y4988">
        <v>0.45390799999999998</v>
      </c>
      <c r="Z4988">
        <v>3.2827609999999999E-3</v>
      </c>
      <c r="AA4988">
        <v>0.89104249999999996</v>
      </c>
      <c r="AB4988">
        <v>28</v>
      </c>
      <c r="AC4988">
        <v>8.5409999999999897</v>
      </c>
      <c r="AD4988">
        <v>-1.1166229999999999</v>
      </c>
      <c r="AE4988">
        <v>-7.9207970000000003</v>
      </c>
      <c r="AF4988">
        <v>5.31347502263728</v>
      </c>
      <c r="AG4988">
        <v>-1.1166229999999999</v>
      </c>
      <c r="AH4988">
        <v>10.2467044106585</v>
      </c>
      <c r="AI4988">
        <v>95.525634377677903</v>
      </c>
      <c r="AJ4988">
        <v>62.590798332935101</v>
      </c>
      <c r="AK4988">
        <v>11.596327652309901</v>
      </c>
    </row>
    <row r="4989" spans="1:37" x14ac:dyDescent="0.2">
      <c r="A4989" t="str">
        <f>"20200111153750901"</f>
        <v>20200111153750901</v>
      </c>
      <c r="B4989" t="str">
        <f>"1578728270898507"</f>
        <v>1578728270898507</v>
      </c>
      <c r="C4989" t="s">
        <v>37</v>
      </c>
      <c r="D4989">
        <v>5.8173190000000004</v>
      </c>
      <c r="E4989">
        <v>0.66842869999999999</v>
      </c>
      <c r="F4989" t="s">
        <v>40</v>
      </c>
      <c r="G4989">
        <v>-307.41809999999998</v>
      </c>
      <c r="H4989">
        <v>-0.05</v>
      </c>
      <c r="I4989">
        <v>7.725784</v>
      </c>
      <c r="J4989">
        <v>-316.06229999999999</v>
      </c>
      <c r="K4989">
        <v>1.0653790000000001</v>
      </c>
      <c r="L4989">
        <v>15.865329999999901</v>
      </c>
      <c r="M4989">
        <v>0.96203709999999898</v>
      </c>
      <c r="N4989">
        <v>0</v>
      </c>
      <c r="O4989">
        <v>-0.27182089999999998</v>
      </c>
      <c r="P4989">
        <v>0.92243399999999998</v>
      </c>
      <c r="Q4989">
        <v>4.5251750000000002E-3</v>
      </c>
      <c r="R4989">
        <v>-0.38612759999999902</v>
      </c>
      <c r="S4989">
        <v>2.3467410000000002</v>
      </c>
      <c r="T4989">
        <v>-0.29809029999999997</v>
      </c>
      <c r="U4989">
        <v>-2.185486</v>
      </c>
      <c r="V4989">
        <v>0.1215021</v>
      </c>
      <c r="W4989">
        <v>2.552691E-2</v>
      </c>
      <c r="X4989">
        <v>0.99226289999999995</v>
      </c>
      <c r="Y4989">
        <v>0.45608969999999999</v>
      </c>
      <c r="Z4989">
        <v>3.6796849999999998E-3</v>
      </c>
      <c r="AA4989">
        <v>0.889926199999999</v>
      </c>
      <c r="AB4989">
        <v>28</v>
      </c>
      <c r="AC4989">
        <v>8.6442000000000103</v>
      </c>
      <c r="AD4989">
        <v>-1.1153789999999999</v>
      </c>
      <c r="AE4989">
        <v>-8.1395459999999993</v>
      </c>
      <c r="AF4989">
        <v>5.4345517571640398</v>
      </c>
      <c r="AG4989">
        <v>-1.1153789999999999</v>
      </c>
      <c r="AH4989">
        <v>10.4395623466238</v>
      </c>
      <c r="AI4989">
        <v>95.413717350723701</v>
      </c>
      <c r="AJ4989">
        <v>62.4997427364749</v>
      </c>
      <c r="AK4989">
        <v>11.822135386806499</v>
      </c>
    </row>
    <row r="4990" spans="1:37" x14ac:dyDescent="0.2">
      <c r="A4990" t="str">
        <f>"20200111153750914"</f>
        <v>20200111153750914</v>
      </c>
      <c r="B4990" t="str">
        <f>"1578728270908267"</f>
        <v>1578728270908267</v>
      </c>
      <c r="C4990" t="s">
        <v>37</v>
      </c>
      <c r="D4990">
        <v>5.7931169999999996</v>
      </c>
      <c r="E4990">
        <v>0.67639919999999998</v>
      </c>
      <c r="F4990" t="s">
        <v>40</v>
      </c>
      <c r="G4990">
        <v>-305.17259999999999</v>
      </c>
      <c r="H4990">
        <v>-0.05</v>
      </c>
      <c r="I4990">
        <v>4.23407</v>
      </c>
      <c r="J4990">
        <v>-315.91090000000003</v>
      </c>
      <c r="K4990">
        <v>1.0641579999999999</v>
      </c>
      <c r="L4990">
        <v>15.815250000000001</v>
      </c>
      <c r="M4990">
        <v>0.96028919999999995</v>
      </c>
      <c r="N4990">
        <v>0</v>
      </c>
      <c r="O4990">
        <v>-0.27796079999999901</v>
      </c>
      <c r="P4990">
        <v>0.91962679999999997</v>
      </c>
      <c r="Q4990">
        <v>5.1657999999999999E-3</v>
      </c>
      <c r="R4990">
        <v>-0.39275949999999998</v>
      </c>
      <c r="S4990">
        <v>2.2481990000000001</v>
      </c>
      <c r="T4990">
        <v>-0.23027310000000001</v>
      </c>
      <c r="U4990">
        <v>-2.4013059999999999</v>
      </c>
      <c r="V4990">
        <v>0.1223113</v>
      </c>
      <c r="W4990">
        <v>2.5860589999999999E-2</v>
      </c>
      <c r="X4990">
        <v>0.9921548</v>
      </c>
      <c r="Y4990">
        <v>0.5106366</v>
      </c>
      <c r="Z4990">
        <v>1.0000619999999999E-3</v>
      </c>
      <c r="AA4990">
        <v>0.85979599999999901</v>
      </c>
      <c r="AB4990">
        <v>28</v>
      </c>
      <c r="AC4990">
        <v>10.738300000000001</v>
      </c>
      <c r="AD4990">
        <v>-1.114158</v>
      </c>
      <c r="AE4990">
        <v>-11.58118</v>
      </c>
      <c r="AF4990">
        <v>8.0985227205158097</v>
      </c>
      <c r="AG4990">
        <v>-1.114158</v>
      </c>
      <c r="AH4990">
        <v>13.4679048760716</v>
      </c>
      <c r="AI4990">
        <v>94.055279528055493</v>
      </c>
      <c r="AJ4990">
        <v>58.980658491747</v>
      </c>
      <c r="AK4990">
        <v>15.754741510243401</v>
      </c>
    </row>
    <row r="4991" spans="1:37" x14ac:dyDescent="0.2">
      <c r="A4991" t="str">
        <f>"20200111153750925"</f>
        <v>20200111153750925</v>
      </c>
      <c r="B4991" t="str">
        <f>"1578728270918027"</f>
        <v>1578728270918027</v>
      </c>
      <c r="C4991" t="s">
        <v>37</v>
      </c>
      <c r="D4991">
        <v>5.7917300000000003</v>
      </c>
      <c r="E4991">
        <v>0.6797839</v>
      </c>
      <c r="F4991" t="s">
        <v>40</v>
      </c>
      <c r="G4991">
        <v>-302.9554</v>
      </c>
      <c r="H4991">
        <v>-0.05</v>
      </c>
      <c r="I4991">
        <v>1.2784420000000001</v>
      </c>
      <c r="J4991">
        <v>-315.7681</v>
      </c>
      <c r="K4991">
        <v>1.0630489999999999</v>
      </c>
      <c r="L4991">
        <v>15.767060000000001</v>
      </c>
      <c r="M4991">
        <v>0.95856869999999905</v>
      </c>
      <c r="N4991">
        <v>0</v>
      </c>
      <c r="O4991">
        <v>-0.28386499999999998</v>
      </c>
      <c r="P4991">
        <v>0.91684219999999905</v>
      </c>
      <c r="Q4991">
        <v>5.5160309999999898E-3</v>
      </c>
      <c r="R4991">
        <v>-0.39921240000000002</v>
      </c>
      <c r="S4991">
        <v>2.2060550000000001</v>
      </c>
      <c r="T4991">
        <v>-0.18971789999999999</v>
      </c>
      <c r="U4991">
        <v>-2.475311</v>
      </c>
      <c r="V4991">
        <v>0.1231729</v>
      </c>
      <c r="W4991">
        <v>2.5914929999999999E-2</v>
      </c>
      <c r="X4991">
        <v>0.99204680000000001</v>
      </c>
      <c r="Y4991">
        <v>0.52651689999999995</v>
      </c>
      <c r="Z4991">
        <v>6.3350799999999997E-4</v>
      </c>
      <c r="AA4991">
        <v>0.85016449999999999</v>
      </c>
      <c r="AB4991">
        <v>28</v>
      </c>
      <c r="AC4991">
        <v>12.8127</v>
      </c>
      <c r="AD4991">
        <v>-1.113049</v>
      </c>
      <c r="AE4991">
        <v>-14.488618000000001</v>
      </c>
      <c r="AF4991">
        <v>10.2203174488494</v>
      </c>
      <c r="AG4991">
        <v>-1.113049</v>
      </c>
      <c r="AH4991">
        <v>16.345181013940099</v>
      </c>
      <c r="AI4991">
        <v>93.304498545987599</v>
      </c>
      <c r="AJ4991">
        <v>57.983075120401203</v>
      </c>
      <c r="AK4991">
        <v>19.309549689470401</v>
      </c>
    </row>
    <row r="4992" spans="1:37" x14ac:dyDescent="0.2">
      <c r="A4992" t="str">
        <f>"20200111153750936"</f>
        <v>20200111153750936</v>
      </c>
      <c r="B4992" t="str">
        <f>"1578728270927787"</f>
        <v>1578728270927787</v>
      </c>
      <c r="C4992" t="s">
        <v>37</v>
      </c>
      <c r="D4992">
        <v>5.8100719999999999</v>
      </c>
      <c r="E4992">
        <v>0.68144689999999997</v>
      </c>
      <c r="F4992" t="s">
        <v>40</v>
      </c>
      <c r="G4992">
        <v>-301.69420000000002</v>
      </c>
      <c r="H4992">
        <v>-0.05</v>
      </c>
      <c r="I4992">
        <v>-0.48715209999999998</v>
      </c>
      <c r="J4992">
        <v>-315.63040000000001</v>
      </c>
      <c r="K4992">
        <v>1.062014</v>
      </c>
      <c r="L4992">
        <v>15.719939999999999</v>
      </c>
      <c r="M4992">
        <v>0.95684959999999997</v>
      </c>
      <c r="N4992">
        <v>0</v>
      </c>
      <c r="O4992">
        <v>-0.28963159999999999</v>
      </c>
      <c r="P4992">
        <v>0.91419249999999996</v>
      </c>
      <c r="Q4992">
        <v>5.472574E-3</v>
      </c>
      <c r="R4992">
        <v>-0.40524349999999998</v>
      </c>
      <c r="S4992">
        <v>2.1779169999999999</v>
      </c>
      <c r="T4992">
        <v>-0.17224310000000001</v>
      </c>
      <c r="U4992">
        <v>-2.51532</v>
      </c>
      <c r="V4992">
        <v>0.1237185</v>
      </c>
      <c r="W4992">
        <v>2.5592219999999999E-2</v>
      </c>
      <c r="X4992">
        <v>0.99198729999999902</v>
      </c>
      <c r="Y4992">
        <v>0.5336166</v>
      </c>
      <c r="Z4992">
        <v>6.7263100000000003E-4</v>
      </c>
      <c r="AA4992">
        <v>0.84572630000000004</v>
      </c>
      <c r="AB4992">
        <v>28</v>
      </c>
      <c r="AC4992">
        <v>13.9361999999999</v>
      </c>
      <c r="AD4992">
        <v>-1.1120139999999901</v>
      </c>
      <c r="AE4992">
        <v>-16.207092100000001</v>
      </c>
      <c r="AF4992">
        <v>11.443582994662901</v>
      </c>
      <c r="AG4992">
        <v>-1.1120139999999901</v>
      </c>
      <c r="AH4992">
        <v>17.985237476463499</v>
      </c>
      <c r="AI4992">
        <v>92.986129355453301</v>
      </c>
      <c r="AJ4992">
        <v>57.532363540966799</v>
      </c>
      <c r="AK4992">
        <v>21.346215917036002</v>
      </c>
    </row>
    <row r="4993" spans="1:37" x14ac:dyDescent="0.2">
      <c r="A4993" t="str">
        <f>"20200111153750948"</f>
        <v>20200111153750948</v>
      </c>
      <c r="B4993" t="str">
        <f>"1578728270938523"</f>
        <v>1578728270938523</v>
      </c>
      <c r="C4993" t="s">
        <v>37</v>
      </c>
      <c r="D4993">
        <v>5.8091239999999997</v>
      </c>
      <c r="E4993">
        <v>0.68221869999999996</v>
      </c>
      <c r="F4993" t="s">
        <v>39</v>
      </c>
      <c r="G4993">
        <v>-301.42329999999998</v>
      </c>
      <c r="H4993" s="1">
        <v>-4.293222E-6</v>
      </c>
      <c r="I4993">
        <v>-1.0274449999999999</v>
      </c>
      <c r="J4993">
        <v>-315.49849999999998</v>
      </c>
      <c r="K4993">
        <v>1.0610619999999999</v>
      </c>
      <c r="L4993">
        <v>15.6734299999999</v>
      </c>
      <c r="M4993">
        <v>0.95512839999999999</v>
      </c>
      <c r="N4993">
        <v>0</v>
      </c>
      <c r="O4993">
        <v>-0.2952823</v>
      </c>
      <c r="P4993">
        <v>0.91163280000000002</v>
      </c>
      <c r="Q4993">
        <v>5.5360590000000003E-3</v>
      </c>
      <c r="R4993">
        <v>-0.41096880000000002</v>
      </c>
      <c r="S4993">
        <v>2.1559750000000002</v>
      </c>
      <c r="T4993">
        <v>-0.161165</v>
      </c>
      <c r="U4993">
        <v>-2.5414729999999999</v>
      </c>
      <c r="V4993">
        <v>0.1240637</v>
      </c>
      <c r="W4993">
        <v>2.538439E-2</v>
      </c>
      <c r="X4993">
        <v>0.99194950000000004</v>
      </c>
      <c r="Y4993">
        <v>0.53720999999999997</v>
      </c>
      <c r="Z4993">
        <v>8.190917E-4</v>
      </c>
      <c r="AA4993">
        <v>0.84344809999999903</v>
      </c>
      <c r="AB4993">
        <v>28</v>
      </c>
      <c r="AC4993">
        <v>14.075199999999899</v>
      </c>
      <c r="AD4993">
        <v>-1.0610662932220001</v>
      </c>
      <c r="AE4993">
        <v>-16.7008749999999</v>
      </c>
      <c r="AF4993">
        <v>11.7707168053206</v>
      </c>
      <c r="AG4993">
        <v>-1.0610662932220001</v>
      </c>
      <c r="AH4993">
        <v>18.3367644343307</v>
      </c>
      <c r="AI4993">
        <v>92.787872758205793</v>
      </c>
      <c r="AJ4993">
        <v>57.302825113967003</v>
      </c>
      <c r="AK4993">
        <v>21.8154203651868</v>
      </c>
    </row>
    <row r="4994" spans="1:37" x14ac:dyDescent="0.2">
      <c r="A4994" t="str">
        <f>"20200111153750961"</f>
        <v>20200111153750961</v>
      </c>
      <c r="B4994" t="str">
        <f>"1578728270958042"</f>
        <v>1578728270958042</v>
      </c>
      <c r="C4994" t="s">
        <v>37</v>
      </c>
      <c r="D4994">
        <v>5.7965540000000004</v>
      </c>
      <c r="E4994">
        <v>0.68212499999999998</v>
      </c>
      <c r="F4994" t="s">
        <v>39</v>
      </c>
      <c r="G4994">
        <v>-300.8614</v>
      </c>
      <c r="H4994" s="1">
        <v>-3.8238919999999997E-6</v>
      </c>
      <c r="I4994">
        <v>-1.8581799999999999</v>
      </c>
      <c r="J4994">
        <v>-315.34699999999998</v>
      </c>
      <c r="K4994">
        <v>1.0599829999999999</v>
      </c>
      <c r="L4994">
        <v>15.619479999999999</v>
      </c>
      <c r="M4994">
        <v>0.95309580000000005</v>
      </c>
      <c r="N4994">
        <v>0</v>
      </c>
      <c r="O4994">
        <v>-0.30180499999999999</v>
      </c>
      <c r="P4994">
        <v>0.90848419999999896</v>
      </c>
      <c r="Q4994">
        <v>5.7147839999999997E-3</v>
      </c>
      <c r="R4994">
        <v>-0.41788019999999998</v>
      </c>
      <c r="S4994">
        <v>2.137543</v>
      </c>
      <c r="T4994">
        <v>-0.1549536</v>
      </c>
      <c r="U4994">
        <v>-2.5602419999999899</v>
      </c>
      <c r="V4994">
        <v>0.1248051</v>
      </c>
      <c r="W4994">
        <v>2.5237559999999999E-2</v>
      </c>
      <c r="X4994">
        <v>0.99186030000000003</v>
      </c>
      <c r="Y4994">
        <v>0.53809709999999999</v>
      </c>
      <c r="Z4994">
        <v>1.0921629999999999E-3</v>
      </c>
      <c r="AA4994">
        <v>0.84288209999999997</v>
      </c>
      <c r="AB4994">
        <v>28</v>
      </c>
      <c r="AC4994">
        <v>14.4855999999999</v>
      </c>
      <c r="AD4994">
        <v>-1.0599868238919901</v>
      </c>
      <c r="AE4994">
        <v>-17.47766</v>
      </c>
      <c r="AF4994">
        <v>12.2625291569898</v>
      </c>
      <c r="AG4994">
        <v>-1.0599868238919901</v>
      </c>
      <c r="AH4994">
        <v>19.044468205694301</v>
      </c>
      <c r="AI4994">
        <v>92.6793022382776</v>
      </c>
      <c r="AJ4994">
        <v>57.222948566321001</v>
      </c>
      <c r="AK4994">
        <v>22.675646906550501</v>
      </c>
    </row>
    <row r="4995" spans="1:37" x14ac:dyDescent="0.2">
      <c r="A4995" t="str">
        <f>"20200111153750974"</f>
        <v>20200111153750974</v>
      </c>
      <c r="B4995" t="str">
        <f>"1578728270967803"</f>
        <v>1578728270967803</v>
      </c>
      <c r="C4995" t="s">
        <v>37</v>
      </c>
      <c r="D4995">
        <v>5.7906899999999997</v>
      </c>
      <c r="E4995">
        <v>0.68203440000000004</v>
      </c>
      <c r="F4995" t="s">
        <v>39</v>
      </c>
      <c r="G4995">
        <v>-300.3931</v>
      </c>
      <c r="H4995" s="1">
        <v>-3.3661169999999899E-6</v>
      </c>
      <c r="I4995">
        <v>-2.5629979999999999</v>
      </c>
      <c r="J4995">
        <v>-315.18270000000001</v>
      </c>
      <c r="K4995">
        <v>1.058843</v>
      </c>
      <c r="L4995">
        <v>15.5593</v>
      </c>
      <c r="M4995">
        <v>0.95080969999999998</v>
      </c>
      <c r="N4995">
        <v>0</v>
      </c>
      <c r="O4995">
        <v>-0.30896069999999998</v>
      </c>
      <c r="P4995">
        <v>0.90522979999999997</v>
      </c>
      <c r="Q4995">
        <v>5.6317880000000004E-3</v>
      </c>
      <c r="R4995">
        <v>-0.42488559999999997</v>
      </c>
      <c r="S4995">
        <v>2.1183779999999999</v>
      </c>
      <c r="T4995">
        <v>-0.1501585</v>
      </c>
      <c r="U4995">
        <v>-2.575745</v>
      </c>
      <c r="V4995">
        <v>0.1249943</v>
      </c>
      <c r="W4995">
        <v>2.4802350000000001E-2</v>
      </c>
      <c r="X4995">
        <v>0.99184740000000005</v>
      </c>
      <c r="Y4995">
        <v>0.53801480000000002</v>
      </c>
      <c r="Z4995">
        <v>1.412911E-3</v>
      </c>
      <c r="AA4995">
        <v>0.84293419999999897</v>
      </c>
      <c r="AB4995">
        <v>28</v>
      </c>
      <c r="AC4995">
        <v>14.7896</v>
      </c>
      <c r="AD4995">
        <v>-1.058846366117</v>
      </c>
      <c r="AE4995">
        <v>-18.122298000000001</v>
      </c>
      <c r="AF4995">
        <v>12.6387468765398</v>
      </c>
      <c r="AG4995">
        <v>-1.058846366117</v>
      </c>
      <c r="AH4995">
        <v>19.625916343915801</v>
      </c>
      <c r="AI4995">
        <v>92.597130711521402</v>
      </c>
      <c r="AJ4995">
        <v>57.2191730835439</v>
      </c>
      <c r="AK4995">
        <v>23.367406158464998</v>
      </c>
    </row>
    <row r="4996" spans="1:37" x14ac:dyDescent="0.2">
      <c r="A4996" t="str">
        <f>"20200111153750989"</f>
        <v>20200111153750989</v>
      </c>
      <c r="B4996" t="str">
        <f>"1578728270978539"</f>
        <v>1578728270978539</v>
      </c>
      <c r="C4996" t="s">
        <v>37</v>
      </c>
      <c r="D4996">
        <v>5.8011499999999998</v>
      </c>
      <c r="E4996">
        <v>0.68184290000000003</v>
      </c>
      <c r="F4996" t="s">
        <v>39</v>
      </c>
      <c r="G4996">
        <v>-300.33940000000001</v>
      </c>
      <c r="H4996" s="1">
        <v>-3.25444799999999E-6</v>
      </c>
      <c r="I4996">
        <v>-2.7689870000000001</v>
      </c>
      <c r="J4996">
        <v>-315.0213</v>
      </c>
      <c r="K4996">
        <v>1.0577540000000001</v>
      </c>
      <c r="L4996">
        <v>15.49869</v>
      </c>
      <c r="M4996">
        <v>0.94849910000000004</v>
      </c>
      <c r="N4996">
        <v>0</v>
      </c>
      <c r="O4996">
        <v>-0.31601020000000002</v>
      </c>
      <c r="P4996">
        <v>0.90190159999999997</v>
      </c>
      <c r="Q4996">
        <v>5.5525039999999998E-3</v>
      </c>
      <c r="R4996">
        <v>-0.43190630000000002</v>
      </c>
      <c r="S4996">
        <v>2.0986940000000001</v>
      </c>
      <c r="T4996">
        <v>-0.14970990000000001</v>
      </c>
      <c r="U4996">
        <v>-2.591431</v>
      </c>
      <c r="V4996">
        <v>0.12532370000000001</v>
      </c>
      <c r="W4996">
        <v>2.435903E-2</v>
      </c>
      <c r="X4996">
        <v>0.99181679999999905</v>
      </c>
      <c r="Y4996">
        <v>0.53812919999999997</v>
      </c>
      <c r="Z4996">
        <v>1.7523529999999999E-3</v>
      </c>
      <c r="AA4996">
        <v>0.84286059999999996</v>
      </c>
      <c r="AB4996">
        <v>28</v>
      </c>
      <c r="AC4996">
        <v>14.681899999999899</v>
      </c>
      <c r="AD4996">
        <v>-1.0577572544480001</v>
      </c>
      <c r="AE4996">
        <v>-18.267676999999999</v>
      </c>
      <c r="AF4996">
        <v>12.6645380278816</v>
      </c>
      <c r="AG4996">
        <v>-1.0577572544480001</v>
      </c>
      <c r="AH4996">
        <v>19.663285713490701</v>
      </c>
      <c r="AI4996">
        <v>92.589435707118696</v>
      </c>
      <c r="AJ4996">
        <v>57.2156183741074</v>
      </c>
      <c r="AK4996">
        <v>23.412692688355399</v>
      </c>
    </row>
    <row r="4997" spans="1:37" x14ac:dyDescent="0.2">
      <c r="A4997" t="str">
        <f>"20200111153751013"</f>
        <v>20200111153751013</v>
      </c>
      <c r="B4997" t="str">
        <f>"1578728271007819"</f>
        <v>1578728271007819</v>
      </c>
      <c r="C4997" t="s">
        <v>37</v>
      </c>
      <c r="D4997">
        <v>5.8161199999999997</v>
      </c>
      <c r="E4997">
        <v>0.68114019999999897</v>
      </c>
      <c r="F4997" t="s">
        <v>39</v>
      </c>
      <c r="G4997">
        <v>-300.37090000000001</v>
      </c>
      <c r="H4997" s="1">
        <v>-3.2176150000000001E-6</v>
      </c>
      <c r="I4997">
        <v>-2.8646569999999998</v>
      </c>
      <c r="J4997">
        <v>-314.74290000000002</v>
      </c>
      <c r="K4997">
        <v>1.055958</v>
      </c>
      <c r="L4997">
        <v>15.391170000000001</v>
      </c>
      <c r="M4997">
        <v>0.94437119999999997</v>
      </c>
      <c r="N4997">
        <v>0</v>
      </c>
      <c r="O4997">
        <v>-0.328185</v>
      </c>
      <c r="P4997">
        <v>0.89598129999999998</v>
      </c>
      <c r="Q4997">
        <v>5.965929E-3</v>
      </c>
      <c r="R4997">
        <v>-0.44405220000000001</v>
      </c>
      <c r="S4997">
        <v>2.0791930000000001</v>
      </c>
      <c r="T4997">
        <v>-0.1501178</v>
      </c>
      <c r="U4997">
        <v>-2.6061399999999999</v>
      </c>
      <c r="V4997">
        <v>0.12595819999999999</v>
      </c>
      <c r="W4997">
        <v>2.4124489999999998E-2</v>
      </c>
      <c r="X4997">
        <v>0.99174219999999902</v>
      </c>
      <c r="Y4997">
        <v>0.53346959999999999</v>
      </c>
      <c r="Z4997">
        <v>2.4870000000000001E-3</v>
      </c>
      <c r="AA4997">
        <v>0.845815599999999</v>
      </c>
      <c r="AB4997">
        <v>28</v>
      </c>
      <c r="AC4997">
        <v>14.372</v>
      </c>
      <c r="AD4997">
        <v>-1.0559612176149999</v>
      </c>
      <c r="AE4997">
        <v>-18.255827</v>
      </c>
      <c r="AF4997">
        <v>12.5006481570909</v>
      </c>
      <c r="AG4997">
        <v>-1.0559612176149999</v>
      </c>
      <c r="AH4997">
        <v>19.527933367246</v>
      </c>
      <c r="AI4997">
        <v>92.607584570849795</v>
      </c>
      <c r="AJ4997">
        <v>57.374989954998497</v>
      </c>
      <c r="AK4997">
        <v>23.2103735436569</v>
      </c>
    </row>
    <row r="4998" spans="1:37" x14ac:dyDescent="0.2">
      <c r="A4998" t="str">
        <f>"20200111153751026"</f>
        <v>20200111153751026</v>
      </c>
      <c r="B4998" t="str">
        <f>"1578728271018557"</f>
        <v>1578728271018557</v>
      </c>
      <c r="C4998" t="s">
        <v>37</v>
      </c>
      <c r="D4998">
        <v>5.8243529999999897</v>
      </c>
      <c r="E4998">
        <v>0.68082500000000001</v>
      </c>
      <c r="F4998" t="s">
        <v>39</v>
      </c>
      <c r="G4998">
        <v>-300.08339999999998</v>
      </c>
      <c r="H4998" s="1">
        <v>-2.86739E-6</v>
      </c>
      <c r="I4998">
        <v>-3.4437139999999999</v>
      </c>
      <c r="J4998">
        <v>-314.59199999999998</v>
      </c>
      <c r="K4998">
        <v>1.0550549999999901</v>
      </c>
      <c r="L4998">
        <v>15.331049999999999</v>
      </c>
      <c r="M4998">
        <v>0.94205490000000003</v>
      </c>
      <c r="N4998">
        <v>0</v>
      </c>
      <c r="O4998">
        <v>-0.33479910000000002</v>
      </c>
      <c r="P4998">
        <v>0.89276160000000004</v>
      </c>
      <c r="Q4998">
        <v>6.3017500000000001E-3</v>
      </c>
      <c r="R4998">
        <v>-0.4504861</v>
      </c>
      <c r="S4998">
        <v>2.046265</v>
      </c>
      <c r="T4998">
        <v>-0.14739749999999999</v>
      </c>
      <c r="U4998">
        <v>-2.629089</v>
      </c>
      <c r="V4998">
        <v>0.126138</v>
      </c>
      <c r="W4998">
        <v>2.4110670000000001E-2</v>
      </c>
      <c r="X4998">
        <v>0.99171969999999998</v>
      </c>
      <c r="Y4998">
        <v>0.53771119999999994</v>
      </c>
      <c r="Z4998">
        <v>2.652368E-3</v>
      </c>
      <c r="AA4998">
        <v>0.84312489999999995</v>
      </c>
      <c r="AB4998">
        <v>27</v>
      </c>
      <c r="AC4998">
        <v>14.508599999999999</v>
      </c>
      <c r="AD4998">
        <v>-1.05505786739</v>
      </c>
      <c r="AE4998">
        <v>-18.774764000000001</v>
      </c>
      <c r="AF4998">
        <v>12.8069074217745</v>
      </c>
      <c r="AG4998">
        <v>-1.05505786739</v>
      </c>
      <c r="AH4998">
        <v>19.9187010290151</v>
      </c>
      <c r="AI4998">
        <v>92.551049112391098</v>
      </c>
      <c r="AJ4998">
        <v>57.2606458561566</v>
      </c>
      <c r="AK4998">
        <v>23.7041067221849</v>
      </c>
    </row>
    <row r="4999" spans="1:37" x14ac:dyDescent="0.2">
      <c r="A4999" t="str">
        <f>"20200111153751039"</f>
        <v>20200111153751039</v>
      </c>
      <c r="B4999" t="str">
        <f>"1578728271028315"</f>
        <v>1578728271028315</v>
      </c>
      <c r="C4999" t="s">
        <v>37</v>
      </c>
      <c r="D4999">
        <v>5.8145899999999999</v>
      </c>
      <c r="E4999">
        <v>0.68045119999999903</v>
      </c>
      <c r="F4999" t="s">
        <v>39</v>
      </c>
      <c r="G4999">
        <v>-300.1422</v>
      </c>
      <c r="H4999" s="1">
        <v>-2.8636980000000002E-6</v>
      </c>
      <c r="I4999">
        <v>-3.4846620000000001</v>
      </c>
      <c r="J4999">
        <v>-314.44499999999999</v>
      </c>
      <c r="K4999">
        <v>1.054214</v>
      </c>
      <c r="L4999">
        <v>15.27155</v>
      </c>
      <c r="M4999">
        <v>0.93974389999999997</v>
      </c>
      <c r="N4999">
        <v>0</v>
      </c>
      <c r="O4999">
        <v>-0.34125290000000003</v>
      </c>
      <c r="P4999">
        <v>0.889536199999999</v>
      </c>
      <c r="Q4999">
        <v>6.7295619999999997E-3</v>
      </c>
      <c r="R4999">
        <v>-0.45681549999999999</v>
      </c>
      <c r="S4999">
        <v>2.0285340000000001</v>
      </c>
      <c r="T4999">
        <v>-0.14811450000000001</v>
      </c>
      <c r="U4999">
        <v>-2.6414490000000002</v>
      </c>
      <c r="V4999">
        <v>0.1263823</v>
      </c>
      <c r="W4999">
        <v>2.4195999999999999E-2</v>
      </c>
      <c r="X4999">
        <v>0.99168650000000003</v>
      </c>
      <c r="Y4999">
        <v>0.53739820000000005</v>
      </c>
      <c r="Z4999">
        <v>2.9914070000000002E-3</v>
      </c>
      <c r="AA4999">
        <v>0.8433233</v>
      </c>
      <c r="AB4999">
        <v>27</v>
      </c>
      <c r="AC4999">
        <v>14.3027999999999</v>
      </c>
      <c r="AD4999">
        <v>-1.0542168636980001</v>
      </c>
      <c r="AE4999">
        <v>-18.756211999999898</v>
      </c>
      <c r="AF4999">
        <v>12.7224773861091</v>
      </c>
      <c r="AG4999">
        <v>-1.0542168636980001</v>
      </c>
      <c r="AH4999">
        <v>19.806262686444299</v>
      </c>
      <c r="AI4999">
        <v>92.564183189580305</v>
      </c>
      <c r="AJ4999">
        <v>57.285493272760398</v>
      </c>
      <c r="AK4999">
        <v>23.5639734688401</v>
      </c>
    </row>
    <row r="5000" spans="1:37" x14ac:dyDescent="0.2">
      <c r="A5000" t="str">
        <f>"20200111153751052"</f>
        <v>20200111153751052</v>
      </c>
      <c r="B5000" t="str">
        <f>"1578728271047835"</f>
        <v>1578728271047835</v>
      </c>
      <c r="C5000" t="s">
        <v>37</v>
      </c>
      <c r="D5000">
        <v>5.7803019999999998</v>
      </c>
      <c r="E5000">
        <v>0.67987330000000001</v>
      </c>
      <c r="F5000" t="s">
        <v>39</v>
      </c>
      <c r="G5000">
        <v>-300.08539999999999</v>
      </c>
      <c r="H5000" s="1">
        <v>-2.759946E-6</v>
      </c>
      <c r="I5000">
        <v>-3.6721439999999999</v>
      </c>
      <c r="J5000">
        <v>-314.29250000000002</v>
      </c>
      <c r="K5000">
        <v>1.053426</v>
      </c>
      <c r="L5000">
        <v>15.20792</v>
      </c>
      <c r="M5000">
        <v>0.93727680000000002</v>
      </c>
      <c r="N5000">
        <v>0</v>
      </c>
      <c r="O5000">
        <v>-0.34799259999999999</v>
      </c>
      <c r="P5000">
        <v>0.88613809999999904</v>
      </c>
      <c r="Q5000">
        <v>6.9684569999999999E-3</v>
      </c>
      <c r="R5000">
        <v>-0.46336880000000003</v>
      </c>
      <c r="S5000">
        <v>2.011139</v>
      </c>
      <c r="T5000">
        <v>-0.1476488</v>
      </c>
      <c r="U5000">
        <v>-2.653168</v>
      </c>
      <c r="V5000">
        <v>0.12657869999999999</v>
      </c>
      <c r="W5000">
        <v>2.4093989999999999E-2</v>
      </c>
      <c r="X5000">
        <v>0.99166390000000004</v>
      </c>
      <c r="Y5000">
        <v>0.53665439999999998</v>
      </c>
      <c r="Z5000">
        <v>3.3336559999999999E-3</v>
      </c>
      <c r="AA5000">
        <v>0.84379550000000003</v>
      </c>
      <c r="AB5000">
        <v>27</v>
      </c>
      <c r="AC5000">
        <v>14.207100000000001</v>
      </c>
      <c r="AD5000">
        <v>-1.0534287599459999</v>
      </c>
      <c r="AE5000">
        <v>-18.880064000000001</v>
      </c>
      <c r="AF5000">
        <v>12.729215162435001</v>
      </c>
      <c r="AG5000">
        <v>-1.0534287599459999</v>
      </c>
      <c r="AH5000">
        <v>19.850762298279001</v>
      </c>
      <c r="AI5000">
        <v>92.557810151774603</v>
      </c>
      <c r="AJ5000">
        <v>57.330153442800402</v>
      </c>
      <c r="AK5000">
        <v>23.604986647457</v>
      </c>
    </row>
    <row r="5001" spans="1:37" x14ac:dyDescent="0.2">
      <c r="A5001" t="str">
        <f>"20200111153751068"</f>
        <v>20200111153751068</v>
      </c>
      <c r="B5001" t="str">
        <f>"1578728271058571"</f>
        <v>1578728271058571</v>
      </c>
      <c r="C5001" t="s">
        <v>37</v>
      </c>
      <c r="D5001">
        <v>5.7836439999999998</v>
      </c>
      <c r="E5001">
        <v>0.67952860000000004</v>
      </c>
      <c r="F5001" t="s">
        <v>39</v>
      </c>
      <c r="G5001">
        <v>-300.07619999999997</v>
      </c>
      <c r="H5001" s="1">
        <v>-2.7040190000000002E-6</v>
      </c>
      <c r="I5001">
        <v>-3.7852839999999999</v>
      </c>
      <c r="J5001">
        <v>-314.11680000000001</v>
      </c>
      <c r="K5001">
        <v>1.0525709999999999</v>
      </c>
      <c r="L5001">
        <v>15.13327</v>
      </c>
      <c r="M5001">
        <v>0.93435029999999997</v>
      </c>
      <c r="N5001">
        <v>0</v>
      </c>
      <c r="O5001">
        <v>-0.35579759999999999</v>
      </c>
      <c r="P5001">
        <v>0.88202230000000004</v>
      </c>
      <c r="Q5001">
        <v>7.6064359999999899E-3</v>
      </c>
      <c r="R5001">
        <v>-0.47114620000000001</v>
      </c>
      <c r="S5001">
        <v>1.993744</v>
      </c>
      <c r="T5001">
        <v>-0.14773610000000001</v>
      </c>
      <c r="U5001">
        <v>-2.6636660000000001</v>
      </c>
      <c r="V5001">
        <v>0.1270394</v>
      </c>
      <c r="W5001">
        <v>2.4344729999999998E-2</v>
      </c>
      <c r="X5001">
        <v>0.9915988</v>
      </c>
      <c r="Y5001">
        <v>0.53475019999999995</v>
      </c>
      <c r="Z5001">
        <v>3.7726529999999999E-3</v>
      </c>
      <c r="AA5001">
        <v>0.84500180000000003</v>
      </c>
      <c r="AB5001">
        <v>27</v>
      </c>
      <c r="AC5001">
        <v>14.0406</v>
      </c>
      <c r="AD5001">
        <v>-1.052573704019</v>
      </c>
      <c r="AE5001">
        <v>-18.918554</v>
      </c>
      <c r="AF5001">
        <v>12.6581999680722</v>
      </c>
      <c r="AG5001">
        <v>-1.052573704019</v>
      </c>
      <c r="AH5001">
        <v>19.8144114553713</v>
      </c>
      <c r="AI5001">
        <v>92.563215927339897</v>
      </c>
      <c r="AJ5001">
        <v>57.428011454712703</v>
      </c>
      <c r="AK5001">
        <v>23.536117758815799</v>
      </c>
    </row>
    <row r="5002" spans="1:37" x14ac:dyDescent="0.2">
      <c r="A5002" t="str">
        <f>"20200111153751081"</f>
        <v>20200111153751081</v>
      </c>
      <c r="B5002" t="str">
        <f>"1578728271078093"</f>
        <v>1578728271078093</v>
      </c>
      <c r="C5002" t="s">
        <v>37</v>
      </c>
      <c r="D5002">
        <v>5.7887219999999999</v>
      </c>
      <c r="E5002">
        <v>0.67882369999999903</v>
      </c>
      <c r="F5002" t="s">
        <v>39</v>
      </c>
      <c r="G5002">
        <v>-300.00349999999997</v>
      </c>
      <c r="H5002" s="1">
        <v>-2.5619520000000001E-6</v>
      </c>
      <c r="I5002">
        <v>-4.0448949999999897</v>
      </c>
      <c r="J5002">
        <v>-313.959</v>
      </c>
      <c r="K5002">
        <v>1.05186</v>
      </c>
      <c r="L5002">
        <v>15.06494</v>
      </c>
      <c r="M5002">
        <v>0.93164309999999995</v>
      </c>
      <c r="N5002">
        <v>0</v>
      </c>
      <c r="O5002">
        <v>-0.362846</v>
      </c>
      <c r="P5002">
        <v>0.87839</v>
      </c>
      <c r="Q5002">
        <v>8.1041120000000001E-3</v>
      </c>
      <c r="R5002">
        <v>-0.47787619999999997</v>
      </c>
      <c r="S5002">
        <v>1.971527</v>
      </c>
      <c r="T5002">
        <v>-0.14703669999999999</v>
      </c>
      <c r="U5002">
        <v>-2.6790470000000002</v>
      </c>
      <c r="V5002">
        <v>0.127135199999999</v>
      </c>
      <c r="W5002">
        <v>2.4516329999999999E-2</v>
      </c>
      <c r="X5002">
        <v>0.99158239999999997</v>
      </c>
      <c r="Y5002">
        <v>0.53523559999999903</v>
      </c>
      <c r="Z5002">
        <v>4.0891E-3</v>
      </c>
      <c r="AA5002">
        <v>0.84469289999999997</v>
      </c>
      <c r="AB5002">
        <v>27</v>
      </c>
      <c r="AC5002">
        <v>13.955500000000001</v>
      </c>
      <c r="AD5002">
        <v>-1.0518625619519999</v>
      </c>
      <c r="AE5002">
        <v>-19.109835</v>
      </c>
      <c r="AF5002">
        <v>12.717166340442301</v>
      </c>
      <c r="AG5002">
        <v>-1.0518625619519999</v>
      </c>
      <c r="AH5002">
        <v>19.8999790442173</v>
      </c>
      <c r="AI5002">
        <v>92.550237098873097</v>
      </c>
      <c r="AJ5002">
        <v>57.419214860129998</v>
      </c>
      <c r="AK5002">
        <v>23.639837151300402</v>
      </c>
    </row>
    <row r="5003" spans="1:37" x14ac:dyDescent="0.2">
      <c r="A5003" t="str">
        <f>"20200111153751094"</f>
        <v>20200111153751094</v>
      </c>
      <c r="B5003" t="str">
        <f>"1578728271087851"</f>
        <v>1578728271087851</v>
      </c>
      <c r="C5003" t="s">
        <v>37</v>
      </c>
      <c r="D5003">
        <v>5.7743279999999997</v>
      </c>
      <c r="E5003">
        <v>0.67848549999999996</v>
      </c>
      <c r="F5003" t="s">
        <v>39</v>
      </c>
      <c r="G5003">
        <v>-299.88139999999999</v>
      </c>
      <c r="H5003" s="1">
        <v>-2.4379329999999998E-6</v>
      </c>
      <c r="I5003">
        <v>-4.3101709999999898</v>
      </c>
      <c r="J5003">
        <v>-313.8039</v>
      </c>
      <c r="K5003">
        <v>1.051231</v>
      </c>
      <c r="L5003">
        <v>14.996029999999999</v>
      </c>
      <c r="M5003">
        <v>0.92889940000000004</v>
      </c>
      <c r="N5003">
        <v>0</v>
      </c>
      <c r="O5003">
        <v>-0.3698302</v>
      </c>
      <c r="P5003">
        <v>0.87471599999999905</v>
      </c>
      <c r="Q5003">
        <v>8.6871199999999996E-3</v>
      </c>
      <c r="R5003">
        <v>-0.48455859999999901</v>
      </c>
      <c r="S5003">
        <v>1.9537959999999901</v>
      </c>
      <c r="T5003">
        <v>-0.14598549999999999</v>
      </c>
      <c r="U5003">
        <v>-2.6890259999999899</v>
      </c>
      <c r="V5003">
        <v>0.12725829999999999</v>
      </c>
      <c r="W5003">
        <v>2.479663E-2</v>
      </c>
      <c r="X5003">
        <v>0.99155959999999999</v>
      </c>
      <c r="Y5003">
        <v>0.53403659999999997</v>
      </c>
      <c r="Z5003">
        <v>4.4357579999999997E-3</v>
      </c>
      <c r="AA5003">
        <v>0.84544969999999997</v>
      </c>
      <c r="AB5003">
        <v>27</v>
      </c>
      <c r="AC5003">
        <v>13.922499999999999</v>
      </c>
      <c r="AD5003">
        <v>-1.0512334379329999</v>
      </c>
      <c r="AE5003">
        <v>-19.306201000000001</v>
      </c>
      <c r="AF5003">
        <v>12.7620406435531</v>
      </c>
      <c r="AG5003">
        <v>-1.0512334379329999</v>
      </c>
      <c r="AH5003">
        <v>20.037264986401599</v>
      </c>
      <c r="AI5003">
        <v>92.533726983566396</v>
      </c>
      <c r="AJ5003">
        <v>57.506315865674303</v>
      </c>
      <c r="AK5003">
        <v>23.779545018019299</v>
      </c>
    </row>
    <row r="5004" spans="1:37" x14ac:dyDescent="0.2">
      <c r="A5004" t="str">
        <f>"20200111153751106"</f>
        <v>20200111153751106</v>
      </c>
      <c r="B5004" t="str">
        <f>"1578728271098588"</f>
        <v>1578728271098588</v>
      </c>
      <c r="C5004" t="s">
        <v>37</v>
      </c>
      <c r="D5004">
        <v>5.7871930000000003</v>
      </c>
      <c r="E5004">
        <v>0.67814430000000003</v>
      </c>
      <c r="F5004" t="s">
        <v>39</v>
      </c>
      <c r="G5004">
        <v>-299.86810000000003</v>
      </c>
      <c r="H5004" s="1">
        <v>-2.3678480000000001E-6</v>
      </c>
      <c r="I5004">
        <v>-4.4634140000000002</v>
      </c>
      <c r="J5004">
        <v>-313.66800000000001</v>
      </c>
      <c r="K5004">
        <v>1.0507219999999999</v>
      </c>
      <c r="L5004">
        <v>14.93445</v>
      </c>
      <c r="M5004">
        <v>0.92642839999999904</v>
      </c>
      <c r="N5004">
        <v>0</v>
      </c>
      <c r="O5004">
        <v>-0.3759904</v>
      </c>
      <c r="P5004">
        <v>0.87136469999999899</v>
      </c>
      <c r="Q5004">
        <v>9.3554829999999995E-3</v>
      </c>
      <c r="R5004">
        <v>-0.49054700000000001</v>
      </c>
      <c r="S5004">
        <v>1.934631</v>
      </c>
      <c r="T5004">
        <v>-0.14593689999999901</v>
      </c>
      <c r="U5004">
        <v>-2.7014469999999999</v>
      </c>
      <c r="V5004">
        <v>0.1274873</v>
      </c>
      <c r="W5004">
        <v>2.5208970000000001E-2</v>
      </c>
      <c r="X5004">
        <v>0.99151979999999995</v>
      </c>
      <c r="Y5004">
        <v>0.53423149999999997</v>
      </c>
      <c r="Z5004">
        <v>4.7325550000000003E-3</v>
      </c>
      <c r="AA5004">
        <v>0.84532499999999999</v>
      </c>
      <c r="AB5004">
        <v>27</v>
      </c>
      <c r="AC5004">
        <v>13.7998999999999</v>
      </c>
      <c r="AD5004">
        <v>-1.0507243678479901</v>
      </c>
      <c r="AE5004">
        <v>-19.397863999999998</v>
      </c>
      <c r="AF5004">
        <v>12.7595570514607</v>
      </c>
      <c r="AG5004">
        <v>-1.0507243678479901</v>
      </c>
      <c r="AH5004">
        <v>20.0426161908944</v>
      </c>
      <c r="AI5004">
        <v>92.532163109020004</v>
      </c>
      <c r="AJ5004">
        <v>57.518299749021097</v>
      </c>
      <c r="AK5004">
        <v>23.7826992080835</v>
      </c>
    </row>
    <row r="5005" spans="1:37" x14ac:dyDescent="0.2">
      <c r="A5005" t="str">
        <f>"20200111153751121"</f>
        <v>20200111153751121</v>
      </c>
      <c r="B5005" t="str">
        <f>"1578728271118108"</f>
        <v>1578728271118108</v>
      </c>
      <c r="C5005" t="s">
        <v>37</v>
      </c>
      <c r="D5005">
        <v>5.7658120000000004</v>
      </c>
      <c r="E5005">
        <v>0.67748090000000005</v>
      </c>
      <c r="F5005" t="s">
        <v>39</v>
      </c>
      <c r="G5005">
        <v>-299.90879999999999</v>
      </c>
      <c r="H5005" s="1">
        <v>-2.330293E-6</v>
      </c>
      <c r="I5005">
        <v>-4.5275850000000002</v>
      </c>
      <c r="J5005">
        <v>-313.517</v>
      </c>
      <c r="K5005">
        <v>1.0501849999999999</v>
      </c>
      <c r="L5005">
        <v>14.86511</v>
      </c>
      <c r="M5005">
        <v>0.92361749999999998</v>
      </c>
      <c r="N5005">
        <v>0</v>
      </c>
      <c r="O5005">
        <v>-0.38285720000000001</v>
      </c>
      <c r="P5005">
        <v>0.86765829999999999</v>
      </c>
      <c r="Q5005">
        <v>9.8154090000000006E-3</v>
      </c>
      <c r="R5005">
        <v>-0.49706430000000001</v>
      </c>
      <c r="S5005">
        <v>1.917511</v>
      </c>
      <c r="T5005">
        <v>-0.1464317</v>
      </c>
      <c r="U5005">
        <v>-2.7122799999999998</v>
      </c>
      <c r="V5005">
        <v>0.12756489999999901</v>
      </c>
      <c r="W5005">
        <v>2.5398690000000002E-2</v>
      </c>
      <c r="X5005">
        <v>0.99150499999999997</v>
      </c>
      <c r="Y5005">
        <v>0.5331108</v>
      </c>
      <c r="Z5005">
        <v>5.1178090000000001E-3</v>
      </c>
      <c r="AA5005">
        <v>0.8460299</v>
      </c>
      <c r="AB5005">
        <v>27</v>
      </c>
      <c r="AC5005">
        <v>13.6082</v>
      </c>
      <c r="AD5005">
        <v>-1.050187330293</v>
      </c>
      <c r="AE5005">
        <v>-19.392695</v>
      </c>
      <c r="AF5005">
        <v>12.678751156106401</v>
      </c>
      <c r="AG5005">
        <v>-1.050187330293</v>
      </c>
      <c r="AH5005">
        <v>19.9576976011139</v>
      </c>
      <c r="AI5005">
        <v>92.543165885543203</v>
      </c>
      <c r="AJ5005">
        <v>57.572970115354401</v>
      </c>
      <c r="AK5005">
        <v>23.6677696001268</v>
      </c>
    </row>
    <row r="5006" spans="1:37" x14ac:dyDescent="0.2">
      <c r="A5006" t="str">
        <f>"20200111153751135"</f>
        <v>20200111153751135</v>
      </c>
      <c r="B5006" t="str">
        <f>"1578728271127867"</f>
        <v>1578728271127867</v>
      </c>
      <c r="C5006" t="s">
        <v>37</v>
      </c>
      <c r="D5006">
        <v>5.7531499999999998</v>
      </c>
      <c r="E5006">
        <v>0.67712479999999997</v>
      </c>
      <c r="F5006" t="s">
        <v>39</v>
      </c>
      <c r="G5006">
        <v>-300.02350000000001</v>
      </c>
      <c r="H5006" s="1">
        <v>-2.3672829999999999E-6</v>
      </c>
      <c r="I5006">
        <v>-4.4679789999999997</v>
      </c>
      <c r="J5006">
        <v>-313.34750000000003</v>
      </c>
      <c r="K5006">
        <v>1.0496459999999901</v>
      </c>
      <c r="L5006">
        <v>14.785220000000001</v>
      </c>
      <c r="M5006">
        <v>0.92036079999999998</v>
      </c>
      <c r="N5006">
        <v>0</v>
      </c>
      <c r="O5006">
        <v>-0.39063550000000002</v>
      </c>
      <c r="P5006">
        <v>0.86309740000000001</v>
      </c>
      <c r="Q5006">
        <v>1.029396E-2</v>
      </c>
      <c r="R5006">
        <v>-0.50493319999999997</v>
      </c>
      <c r="S5006">
        <v>1.8998409999999999</v>
      </c>
      <c r="T5006">
        <v>-0.14786340000000001</v>
      </c>
      <c r="U5006">
        <v>-2.72204599999999</v>
      </c>
      <c r="V5006">
        <v>0.1282229</v>
      </c>
      <c r="W5006">
        <v>2.557887E-2</v>
      </c>
      <c r="X5006">
        <v>0.99141539999999995</v>
      </c>
      <c r="Y5006">
        <v>0.53109319999999904</v>
      </c>
      <c r="Z5006">
        <v>5.6122280000000004E-3</v>
      </c>
      <c r="AA5006">
        <v>0.84729480000000001</v>
      </c>
      <c r="AB5006">
        <v>27</v>
      </c>
      <c r="AC5006">
        <v>13.324</v>
      </c>
      <c r="AD5006">
        <v>-1.0496483672829999</v>
      </c>
      <c r="AE5006">
        <v>-19.253198999999999</v>
      </c>
      <c r="AF5006">
        <v>12.492084057506601</v>
      </c>
      <c r="AG5006">
        <v>-1.0496483672829999</v>
      </c>
      <c r="AH5006">
        <v>19.7475463085573</v>
      </c>
      <c r="AI5006">
        <v>92.572001594533504</v>
      </c>
      <c r="AJ5006">
        <v>57.682997618010397</v>
      </c>
      <c r="AK5006">
        <v>23.390585948269099</v>
      </c>
    </row>
    <row r="5007" spans="1:37" x14ac:dyDescent="0.2">
      <c r="A5007" t="str">
        <f>"20200111153751147"</f>
        <v>20200111153751147</v>
      </c>
      <c r="B5007" t="str">
        <f>"1578728271138603"</f>
        <v>1578728271138603</v>
      </c>
      <c r="C5007" t="s">
        <v>37</v>
      </c>
      <c r="D5007">
        <v>5.7681979999999999</v>
      </c>
      <c r="E5007">
        <v>0.67676689999999995</v>
      </c>
      <c r="F5007" t="s">
        <v>39</v>
      </c>
      <c r="G5007">
        <v>-300.12869999999998</v>
      </c>
      <c r="H5007" s="1">
        <v>-2.3836989999999999E-6</v>
      </c>
      <c r="I5007">
        <v>-4.4924739999999996</v>
      </c>
      <c r="J5007">
        <v>-313.2122</v>
      </c>
      <c r="K5007">
        <v>1.049245</v>
      </c>
      <c r="L5007">
        <v>14.72006</v>
      </c>
      <c r="M5007">
        <v>0.91768729999999998</v>
      </c>
      <c r="N5007">
        <v>0</v>
      </c>
      <c r="O5007">
        <v>-0.3968855</v>
      </c>
      <c r="P5007">
        <v>0.85937909999999995</v>
      </c>
      <c r="Q5007">
        <v>1.0679299999999999E-2</v>
      </c>
      <c r="R5007">
        <v>-0.51122820000000002</v>
      </c>
      <c r="S5007">
        <v>1.876587</v>
      </c>
      <c r="T5007">
        <v>-0.14901159999999999</v>
      </c>
      <c r="U5007">
        <v>-2.7367249999999999</v>
      </c>
      <c r="V5007">
        <v>0.12873319999999999</v>
      </c>
      <c r="W5007">
        <v>2.5738090000000002E-2</v>
      </c>
      <c r="X5007">
        <v>0.99134519999999904</v>
      </c>
      <c r="Y5007">
        <v>0.53234789999999998</v>
      </c>
      <c r="Z5007">
        <v>5.9397030000000002E-3</v>
      </c>
      <c r="AA5007">
        <v>0.84650479999999995</v>
      </c>
      <c r="AB5007">
        <v>27</v>
      </c>
      <c r="AC5007">
        <v>13.083500000000001</v>
      </c>
      <c r="AD5007">
        <v>-1.0492473836989999</v>
      </c>
      <c r="AE5007">
        <v>-19.212533999999899</v>
      </c>
      <c r="AF5007">
        <v>12.4152144302605</v>
      </c>
      <c r="AG5007">
        <v>-1.0492473836989999</v>
      </c>
      <c r="AH5007">
        <v>19.595069710540798</v>
      </c>
      <c r="AI5007">
        <v>92.589830720264104</v>
      </c>
      <c r="AJ5007">
        <v>57.642115626061504</v>
      </c>
      <c r="AK5007">
        <v>23.2207929748857</v>
      </c>
    </row>
    <row r="5008" spans="1:37" x14ac:dyDescent="0.2">
      <c r="A5008" t="str">
        <f>"20200111153751168"</f>
        <v>20200111153751168</v>
      </c>
      <c r="B5008" t="str">
        <f>"1578728271158123"</f>
        <v>1578728271158123</v>
      </c>
      <c r="C5008" t="s">
        <v>37</v>
      </c>
      <c r="D5008">
        <v>5.733981</v>
      </c>
      <c r="E5008">
        <v>0.6760775</v>
      </c>
      <c r="F5008" t="s">
        <v>39</v>
      </c>
      <c r="G5008">
        <v>-300.22379999999998</v>
      </c>
      <c r="H5008" s="1">
        <v>-2.4103719999999999E-6</v>
      </c>
      <c r="I5008">
        <v>-4.4895350000000001</v>
      </c>
      <c r="J5008">
        <v>-312.9828</v>
      </c>
      <c r="K5008">
        <v>1.048632</v>
      </c>
      <c r="L5008">
        <v>14.60721</v>
      </c>
      <c r="M5008">
        <v>0.91300870000000001</v>
      </c>
      <c r="N5008">
        <v>0</v>
      </c>
      <c r="O5008">
        <v>-0.40754819999999897</v>
      </c>
      <c r="P5008">
        <v>0.85288889999999995</v>
      </c>
      <c r="Q5008">
        <v>1.143192E-2</v>
      </c>
      <c r="R5008">
        <v>-0.52196750000000003</v>
      </c>
      <c r="S5008">
        <v>1.8580319999999999</v>
      </c>
      <c r="T5008">
        <v>-0.1500977</v>
      </c>
      <c r="U5008">
        <v>-2.747986</v>
      </c>
      <c r="V5008">
        <v>0.129636</v>
      </c>
      <c r="W5008">
        <v>2.6128479999999999E-2</v>
      </c>
      <c r="X5008">
        <v>0.99121729999999997</v>
      </c>
      <c r="Y5008">
        <v>0.52802360000000004</v>
      </c>
      <c r="Z5008">
        <v>6.6421800000000001E-3</v>
      </c>
      <c r="AA5008">
        <v>0.84920370000000001</v>
      </c>
      <c r="AB5008">
        <v>27</v>
      </c>
      <c r="AC5008">
        <v>12.759</v>
      </c>
      <c r="AD5008">
        <v>-1.048634410372</v>
      </c>
      <c r="AE5008">
        <v>-19.096744999999999</v>
      </c>
      <c r="AF5008">
        <v>12.212083865849999</v>
      </c>
      <c r="AG5008">
        <v>-1.048634410372</v>
      </c>
      <c r="AH5008">
        <v>19.3945958493243</v>
      </c>
      <c r="AI5008">
        <v>92.619668392239106</v>
      </c>
      <c r="AJ5008">
        <v>57.802845153186702</v>
      </c>
      <c r="AK5008">
        <v>22.943081193069901</v>
      </c>
    </row>
    <row r="5009" spans="1:37" x14ac:dyDescent="0.2">
      <c r="A5009" t="str">
        <f>"20200111153751181"</f>
        <v>20200111153751181</v>
      </c>
      <c r="B5009" t="str">
        <f>"1578728271178619"</f>
        <v>1578728271178619</v>
      </c>
      <c r="C5009" t="s">
        <v>37</v>
      </c>
      <c r="D5009">
        <v>5.7150509999999999</v>
      </c>
      <c r="E5009">
        <v>0.67541130000000005</v>
      </c>
      <c r="F5009" t="s">
        <v>39</v>
      </c>
      <c r="G5009">
        <v>-300.28719999999998</v>
      </c>
      <c r="H5009" s="1">
        <v>-2.36594799999999E-6</v>
      </c>
      <c r="I5009">
        <v>-4.6192440000000001</v>
      </c>
      <c r="J5009">
        <v>-312.83839999999998</v>
      </c>
      <c r="K5009">
        <v>1.0482739999999999</v>
      </c>
      <c r="L5009">
        <v>14.53473</v>
      </c>
      <c r="M5009">
        <v>0.90997030000000001</v>
      </c>
      <c r="N5009">
        <v>0</v>
      </c>
      <c r="O5009">
        <v>-0.41429679999999902</v>
      </c>
      <c r="P5009">
        <v>0.84873089999999995</v>
      </c>
      <c r="Q5009">
        <v>1.173422E-2</v>
      </c>
      <c r="R5009">
        <v>-0.52869500000000003</v>
      </c>
      <c r="S5009">
        <v>1.8265689999999899</v>
      </c>
      <c r="T5009">
        <v>-0.15087220000000001</v>
      </c>
      <c r="U5009">
        <v>-2.7662049999999998</v>
      </c>
      <c r="V5009">
        <v>0.13014029999999999</v>
      </c>
      <c r="W5009">
        <v>2.6215720000000001E-2</v>
      </c>
      <c r="X5009">
        <v>0.9911489</v>
      </c>
      <c r="Y5009">
        <v>0.53102729999999998</v>
      </c>
      <c r="Z5009">
        <v>6.9482540000000001E-3</v>
      </c>
      <c r="AA5009">
        <v>0.84732619999999903</v>
      </c>
      <c r="AB5009">
        <v>27</v>
      </c>
      <c r="AC5009">
        <v>12.5511999999999</v>
      </c>
      <c r="AD5009">
        <v>-1.0482763659479899</v>
      </c>
      <c r="AE5009">
        <v>-19.153973999999899</v>
      </c>
      <c r="AF5009">
        <v>12.2059577524854</v>
      </c>
      <c r="AG5009">
        <v>-1.0482763659479899</v>
      </c>
      <c r="AH5009">
        <v>19.319188877928799</v>
      </c>
      <c r="AI5009">
        <v>92.626447962537597</v>
      </c>
      <c r="AJ5009">
        <v>57.715103010124999</v>
      </c>
      <c r="AK5009">
        <v>22.876086791581098</v>
      </c>
    </row>
    <row r="5010" spans="1:37" x14ac:dyDescent="0.2">
      <c r="A5010" t="str">
        <f>"20200111153751193"</f>
        <v>20200111153751193</v>
      </c>
      <c r="B5010" t="str">
        <f>"1578728271188379"</f>
        <v>1578728271188379</v>
      </c>
      <c r="C5010" t="s">
        <v>37</v>
      </c>
      <c r="D5010">
        <v>5.6933509999999998</v>
      </c>
      <c r="E5010">
        <v>0.67502359999999995</v>
      </c>
      <c r="F5010" t="s">
        <v>39</v>
      </c>
      <c r="G5010">
        <v>-300.40640000000002</v>
      </c>
      <c r="H5010" s="1">
        <v>-2.4248679999999998E-6</v>
      </c>
      <c r="I5010">
        <v>-4.5616859999999999</v>
      </c>
      <c r="J5010">
        <v>-312.69560000000001</v>
      </c>
      <c r="K5010">
        <v>1.0479499999999999</v>
      </c>
      <c r="L5010">
        <v>14.461179999999899</v>
      </c>
      <c r="M5010">
        <v>0.90687629999999997</v>
      </c>
      <c r="N5010">
        <v>0</v>
      </c>
      <c r="O5010">
        <v>-0.42103370000000001</v>
      </c>
      <c r="P5010">
        <v>0.84449629999999998</v>
      </c>
      <c r="Q5010">
        <v>1.234763E-2</v>
      </c>
      <c r="R5010">
        <v>-0.53541919999999898</v>
      </c>
      <c r="S5010">
        <v>1.807404</v>
      </c>
      <c r="T5010">
        <v>-0.15240219999999999</v>
      </c>
      <c r="U5010">
        <v>-2.7763059999999999</v>
      </c>
      <c r="V5010">
        <v>0.1306775</v>
      </c>
      <c r="W5010">
        <v>2.6629940000000001E-2</v>
      </c>
      <c r="X5010">
        <v>0.99106719999999904</v>
      </c>
      <c r="Y5010">
        <v>0.53026229999999996</v>
      </c>
      <c r="Z5010">
        <v>7.3939990000000001E-3</v>
      </c>
      <c r="AA5010">
        <v>0.84780140000000004</v>
      </c>
      <c r="AB5010">
        <v>27</v>
      </c>
      <c r="AC5010">
        <v>12.2891999999999</v>
      </c>
      <c r="AD5010">
        <v>-1.0479524248680001</v>
      </c>
      <c r="AE5010">
        <v>-19.022866</v>
      </c>
      <c r="AF5010">
        <v>12.0532588834881</v>
      </c>
      <c r="AG5010">
        <v>-1.0479524248680001</v>
      </c>
      <c r="AH5010">
        <v>19.116051985829401</v>
      </c>
      <c r="AI5010">
        <v>92.655023390137401</v>
      </c>
      <c r="AJ5010">
        <v>57.767307426713501</v>
      </c>
      <c r="AK5010">
        <v>22.623056767866402</v>
      </c>
    </row>
    <row r="5011" spans="1:37" x14ac:dyDescent="0.2">
      <c r="A5011" t="str">
        <f>"20200111153751206"</f>
        <v>20200111153751206</v>
      </c>
      <c r="B5011" t="str">
        <f>"1578728271198751"</f>
        <v>1578728271198751</v>
      </c>
      <c r="C5011" t="s">
        <v>37</v>
      </c>
      <c r="D5011">
        <v>5.7086569999999996</v>
      </c>
      <c r="E5011">
        <v>0.67463719999999905</v>
      </c>
      <c r="F5011" t="s">
        <v>39</v>
      </c>
      <c r="G5011">
        <v>-300.42529999999999</v>
      </c>
      <c r="H5011" s="1">
        <v>-2.3745579999999998E-6</v>
      </c>
      <c r="I5011">
        <v>-4.678763</v>
      </c>
      <c r="J5011">
        <v>-312.56290000000001</v>
      </c>
      <c r="K5011">
        <v>1.047674</v>
      </c>
      <c r="L5011">
        <v>14.391779999999899</v>
      </c>
      <c r="M5011">
        <v>0.90393440000000003</v>
      </c>
      <c r="N5011">
        <v>0</v>
      </c>
      <c r="O5011">
        <v>-0.42731999999999998</v>
      </c>
      <c r="P5011">
        <v>0.84044180000000002</v>
      </c>
      <c r="Q5011">
        <v>1.270142E-2</v>
      </c>
      <c r="R5011">
        <v>-0.54175319999999905</v>
      </c>
      <c r="S5011">
        <v>1.7871699999999999</v>
      </c>
      <c r="T5011">
        <v>-0.1526352</v>
      </c>
      <c r="U5011">
        <v>-2.78775</v>
      </c>
      <c r="V5011">
        <v>0.13125619999999999</v>
      </c>
      <c r="W5011">
        <v>2.680488E-2</v>
      </c>
      <c r="X5011">
        <v>0.99098600000000003</v>
      </c>
      <c r="Y5011">
        <v>0.53032139999999905</v>
      </c>
      <c r="Z5011">
        <v>7.7352509999999899E-3</v>
      </c>
      <c r="AA5011">
        <v>0.8477614</v>
      </c>
      <c r="AB5011">
        <v>27</v>
      </c>
      <c r="AC5011">
        <v>12.137600000000001</v>
      </c>
      <c r="AD5011">
        <v>-1.047676374558</v>
      </c>
      <c r="AE5011">
        <v>-19.070543000000001</v>
      </c>
      <c r="AF5011">
        <v>12.027854687484</v>
      </c>
      <c r="AG5011">
        <v>-1.047676374558</v>
      </c>
      <c r="AH5011">
        <v>19.0827004616145</v>
      </c>
      <c r="AI5011">
        <v>92.659232046836195</v>
      </c>
      <c r="AJ5011">
        <v>57.776707600256699</v>
      </c>
      <c r="AK5011">
        <v>22.581327929879201</v>
      </c>
    </row>
    <row r="5012" spans="1:37" x14ac:dyDescent="0.2">
      <c r="A5012" t="str">
        <f>"20200111153751220"</f>
        <v>20200111153751220</v>
      </c>
      <c r="B5012" t="str">
        <f>"1578728271208511"</f>
        <v>1578728271208511</v>
      </c>
      <c r="C5012" t="s">
        <v>37</v>
      </c>
      <c r="D5012">
        <v>5.7385380000000001</v>
      </c>
      <c r="E5012">
        <v>0.67437639999999999</v>
      </c>
      <c r="F5012" t="s">
        <v>39</v>
      </c>
      <c r="G5012">
        <v>-300.47969999999998</v>
      </c>
      <c r="H5012" s="1">
        <v>-2.361103E-6</v>
      </c>
      <c r="I5012">
        <v>-4.7378309999999999</v>
      </c>
      <c r="J5012">
        <v>-312.41520000000003</v>
      </c>
      <c r="K5012">
        <v>1.0473790000000001</v>
      </c>
      <c r="L5012">
        <v>14.31345</v>
      </c>
      <c r="M5012">
        <v>0.90058379999999905</v>
      </c>
      <c r="N5012">
        <v>0</v>
      </c>
      <c r="O5012">
        <v>-0.43434430000000002</v>
      </c>
      <c r="P5012">
        <v>0.83602799999999999</v>
      </c>
      <c r="Q5012">
        <v>1.302027E-2</v>
      </c>
      <c r="R5012">
        <v>-0.54853260000000004</v>
      </c>
      <c r="S5012">
        <v>1.767822</v>
      </c>
      <c r="T5012">
        <v>-0.1532791</v>
      </c>
      <c r="U5012">
        <v>-2.798737</v>
      </c>
      <c r="V5012">
        <v>0.13156379999999901</v>
      </c>
      <c r="W5012">
        <v>2.694073E-2</v>
      </c>
      <c r="X5012">
        <v>0.99094150000000003</v>
      </c>
      <c r="Y5012">
        <v>0.5294179</v>
      </c>
      <c r="Z5012">
        <v>8.164035E-3</v>
      </c>
      <c r="AA5012">
        <v>0.84832189999999996</v>
      </c>
      <c r="AB5012">
        <v>27</v>
      </c>
      <c r="AC5012">
        <v>11.935499999999999</v>
      </c>
      <c r="AD5012">
        <v>-1.0473813611030001</v>
      </c>
      <c r="AE5012">
        <v>-19.051280999999999</v>
      </c>
      <c r="AF5012">
        <v>11.948982420499901</v>
      </c>
      <c r="AG5012">
        <v>-1.0473813611030001</v>
      </c>
      <c r="AH5012">
        <v>18.985320496595101</v>
      </c>
      <c r="AI5012">
        <v>92.673209480741406</v>
      </c>
      <c r="AJ5012">
        <v>57.814506502223203</v>
      </c>
      <c r="AK5012">
        <v>22.457016341433999</v>
      </c>
    </row>
    <row r="5013" spans="1:37" x14ac:dyDescent="0.2">
      <c r="A5013" t="str">
        <f>"20200111153751248"</f>
        <v>20200111153751248</v>
      </c>
      <c r="B5013" t="str">
        <f>"1578728271237791"</f>
        <v>1578728271237791</v>
      </c>
      <c r="C5013" t="s">
        <v>37</v>
      </c>
      <c r="D5013">
        <v>5.4742220000000001</v>
      </c>
      <c r="E5013">
        <v>0.70645709999999995</v>
      </c>
      <c r="F5013" t="s">
        <v>39</v>
      </c>
      <c r="G5013">
        <v>-300.28109999999998</v>
      </c>
      <c r="H5013" s="1">
        <v>-2.0804419999999999E-6</v>
      </c>
      <c r="I5013">
        <v>-5.2197800000000001</v>
      </c>
      <c r="J5013">
        <v>-312.10489999999999</v>
      </c>
      <c r="K5013">
        <v>1.0468389999999901</v>
      </c>
      <c r="L5013">
        <v>14.142760000000001</v>
      </c>
      <c r="M5013">
        <v>0.89322169999999901</v>
      </c>
      <c r="N5013">
        <v>0</v>
      </c>
      <c r="O5013">
        <v>-0.44930130000000001</v>
      </c>
      <c r="P5013">
        <v>0.82560149999999999</v>
      </c>
      <c r="Q5013">
        <v>1.400563E-2</v>
      </c>
      <c r="R5013">
        <v>-0.56408019999999903</v>
      </c>
      <c r="S5013">
        <v>1.7462770000000001</v>
      </c>
      <c r="T5013">
        <v>-0.15073399999999901</v>
      </c>
      <c r="U5013">
        <v>-2.8111269999999999</v>
      </c>
      <c r="V5013">
        <v>0.1336107</v>
      </c>
      <c r="W5013">
        <v>2.754322E-2</v>
      </c>
      <c r="X5013">
        <v>0.99065110000000001</v>
      </c>
      <c r="Y5013">
        <v>0.52163919999999997</v>
      </c>
      <c r="Z5013">
        <v>9.0086119999999992E-3</v>
      </c>
      <c r="AA5013">
        <v>0.85311859999999995</v>
      </c>
      <c r="AB5013">
        <v>27</v>
      </c>
      <c r="AC5013">
        <v>11.8238</v>
      </c>
      <c r="AD5013">
        <v>-1.0468410804420001</v>
      </c>
      <c r="AE5013">
        <v>-19.362539999999999</v>
      </c>
      <c r="AF5013">
        <v>11.958828399123201</v>
      </c>
      <c r="AG5013">
        <v>-1.0468410804420001</v>
      </c>
      <c r="AH5013">
        <v>19.222691081943299</v>
      </c>
      <c r="AI5013">
        <v>92.647502825787399</v>
      </c>
      <c r="AJ5013">
        <v>58.113413803918803</v>
      </c>
      <c r="AK5013">
        <v>22.663214806359601</v>
      </c>
    </row>
    <row r="5014" spans="1:37" x14ac:dyDescent="0.2">
      <c r="A5014" t="str">
        <f>"20200111153751275"</f>
        <v>20200111153751275</v>
      </c>
      <c r="B5014" t="str">
        <f>"1578728271268047"</f>
        <v>1578728271268047</v>
      </c>
      <c r="C5014" t="s">
        <v>37</v>
      </c>
      <c r="D5014">
        <v>5.4453170000000002</v>
      </c>
      <c r="E5014">
        <v>0.71195640000000004</v>
      </c>
      <c r="F5014" t="s">
        <v>57</v>
      </c>
      <c r="G5014">
        <v>-258.78449999999998</v>
      </c>
      <c r="H5014">
        <v>2.722391</v>
      </c>
      <c r="I5014">
        <v>-90.976819999999904</v>
      </c>
      <c r="J5014">
        <v>-311.80889999999999</v>
      </c>
      <c r="K5014">
        <v>1.0463910000000001</v>
      </c>
      <c r="L5014">
        <v>13.97397</v>
      </c>
      <c r="M5014">
        <v>0.885818199999999</v>
      </c>
      <c r="N5014">
        <v>0</v>
      </c>
      <c r="O5014">
        <v>-0.46373609999999998</v>
      </c>
      <c r="P5014">
        <v>0.8152684</v>
      </c>
      <c r="Q5014">
        <v>1.4753169999999999E-2</v>
      </c>
      <c r="R5014">
        <v>-0.57889489999999999</v>
      </c>
      <c r="S5014">
        <v>1.5479129999999901</v>
      </c>
      <c r="T5014">
        <v>4.8642400000000002E-2</v>
      </c>
      <c r="U5014">
        <v>-3.051666</v>
      </c>
      <c r="V5014">
        <v>0.13544639999999999</v>
      </c>
      <c r="W5014">
        <v>2.796363E-2</v>
      </c>
      <c r="X5014">
        <v>0.99038999999999999</v>
      </c>
      <c r="Y5014">
        <v>0.58028789999999997</v>
      </c>
      <c r="Z5014">
        <v>-2.5651350000000001E-3</v>
      </c>
      <c r="AA5014">
        <v>0.8144074</v>
      </c>
      <c r="AB5014">
        <v>27</v>
      </c>
      <c r="AC5014">
        <v>53.0244</v>
      </c>
      <c r="AD5014">
        <v>1.6759999999999999</v>
      </c>
      <c r="AE5014">
        <v>-104.950789999999</v>
      </c>
      <c r="AF5014">
        <v>68.373502566834503</v>
      </c>
      <c r="AG5014">
        <v>1.6759999999999999</v>
      </c>
      <c r="AH5014">
        <v>95.633170099599397</v>
      </c>
      <c r="AI5014">
        <v>89.183223631891195</v>
      </c>
      <c r="AJ5014">
        <v>54.436902690299497</v>
      </c>
      <c r="AK5014">
        <v>117.57316042599101</v>
      </c>
    </row>
    <row r="5015" spans="1:37" x14ac:dyDescent="0.2">
      <c r="A5015" t="str">
        <f>"20200111153751291"</f>
        <v>20200111153751291</v>
      </c>
      <c r="B5015" t="str">
        <f>"1578728271288543"</f>
        <v>1578728271288543</v>
      </c>
      <c r="C5015" t="s">
        <v>37</v>
      </c>
      <c r="D5015">
        <v>5.6239160000000004</v>
      </c>
      <c r="E5015">
        <v>0.71151989999999998</v>
      </c>
      <c r="F5015" t="s">
        <v>57</v>
      </c>
      <c r="G5015">
        <v>-262.1035</v>
      </c>
      <c r="H5015">
        <v>4.883032</v>
      </c>
      <c r="I5015">
        <v>-91.564989999999995</v>
      </c>
      <c r="J5015">
        <v>-311.65370000000001</v>
      </c>
      <c r="K5015">
        <v>1.0461879999999999</v>
      </c>
      <c r="L5015">
        <v>13.882479999999999</v>
      </c>
      <c r="M5015">
        <v>0.88176580000000004</v>
      </c>
      <c r="N5015">
        <v>0</v>
      </c>
      <c r="O5015">
        <v>-0.4714004</v>
      </c>
      <c r="P5015">
        <v>0.80925509999999901</v>
      </c>
      <c r="Q5015">
        <v>1.5766680000000002E-2</v>
      </c>
      <c r="R5015">
        <v>-0.58724580000000004</v>
      </c>
      <c r="S5015">
        <v>1.466583</v>
      </c>
      <c r="T5015">
        <v>0.1132026</v>
      </c>
      <c r="U5015">
        <v>-3.1139830000000002</v>
      </c>
      <c r="V5015">
        <v>0.1370731</v>
      </c>
      <c r="W5015">
        <v>2.8803479999999999E-2</v>
      </c>
      <c r="X5015">
        <v>0.99014199999999997</v>
      </c>
      <c r="Y5015">
        <v>0.59687619999999997</v>
      </c>
      <c r="Z5015">
        <v>-5.8987199999999997E-3</v>
      </c>
      <c r="AA5015">
        <v>0.80231169999999996</v>
      </c>
      <c r="AB5015">
        <v>27</v>
      </c>
      <c r="AC5015">
        <v>49.550199999999997</v>
      </c>
      <c r="AD5015">
        <v>3.8368440000000001</v>
      </c>
      <c r="AE5015">
        <v>-105.44747</v>
      </c>
      <c r="AF5015">
        <v>69.555981996379799</v>
      </c>
      <c r="AG5015">
        <v>3.8368440000000001</v>
      </c>
      <c r="AH5015">
        <v>93.311101701990793</v>
      </c>
      <c r="AI5015">
        <v>88.111790993477001</v>
      </c>
      <c r="AJ5015">
        <v>53.298409166032997</v>
      </c>
      <c r="AK5015">
        <v>116.446200900674</v>
      </c>
    </row>
    <row r="5016" spans="1:37" x14ac:dyDescent="0.2">
      <c r="A5016" t="str">
        <f>"20200111153751304"</f>
        <v>20200111153751304</v>
      </c>
      <c r="B5016" t="str">
        <f>"1578728271298124"</f>
        <v>1578728271298124</v>
      </c>
      <c r="C5016" t="s">
        <v>37</v>
      </c>
      <c r="D5016">
        <v>5.7752080000000001</v>
      </c>
      <c r="E5016">
        <v>0.71168469999999995</v>
      </c>
      <c r="F5016" t="s">
        <v>57</v>
      </c>
      <c r="G5016">
        <v>-263.20330000000001</v>
      </c>
      <c r="H5016">
        <v>4.640917</v>
      </c>
      <c r="I5016">
        <v>-91.564989999999995</v>
      </c>
      <c r="J5016">
        <v>-311.50760000000002</v>
      </c>
      <c r="K5016">
        <v>1.0460020000000001</v>
      </c>
      <c r="L5016">
        <v>13.794889999999899</v>
      </c>
      <c r="M5016">
        <v>0.87784869999999904</v>
      </c>
      <c r="N5016">
        <v>0</v>
      </c>
      <c r="O5016">
        <v>-0.47865930000000001</v>
      </c>
      <c r="P5016">
        <v>0.80384929999999999</v>
      </c>
      <c r="Q5016">
        <v>1.6340960000000002E-2</v>
      </c>
      <c r="R5016">
        <v>-0.5946089</v>
      </c>
      <c r="S5016">
        <v>1.4364319999999999</v>
      </c>
      <c r="T5016">
        <v>0.10657509999999901</v>
      </c>
      <c r="U5016">
        <v>-3.1262509999999999</v>
      </c>
      <c r="V5016">
        <v>0.13796320000000001</v>
      </c>
      <c r="W5016">
        <v>2.9237220000000001E-2</v>
      </c>
      <c r="X5016">
        <v>0.99000569999999899</v>
      </c>
      <c r="Y5016">
        <v>0.59784769999999998</v>
      </c>
      <c r="Z5016">
        <v>-5.8028469999999999E-3</v>
      </c>
      <c r="AA5016">
        <v>0.80158879999999999</v>
      </c>
      <c r="AB5016">
        <v>27</v>
      </c>
      <c r="AC5016">
        <v>48.304299999999998</v>
      </c>
      <c r="AD5016">
        <v>3.5949149999999999</v>
      </c>
      <c r="AE5016">
        <v>-105.35988</v>
      </c>
      <c r="AF5016">
        <v>69.311314619820706</v>
      </c>
      <c r="AG5016">
        <v>3.5949149999999999</v>
      </c>
      <c r="AH5016">
        <v>92.758513350282499</v>
      </c>
      <c r="AI5016">
        <v>88.221775685561596</v>
      </c>
      <c r="AJ5016">
        <v>53.232060879894597</v>
      </c>
      <c r="AK5016">
        <v>115.849572926012</v>
      </c>
    </row>
    <row r="5017" spans="1:37" x14ac:dyDescent="0.2">
      <c r="A5017" t="str">
        <f>"20200111153751316"</f>
        <v>20200111153751316</v>
      </c>
      <c r="B5017" t="str">
        <f>"1578728271307884"</f>
        <v>1578728271307884</v>
      </c>
      <c r="C5017" t="s">
        <v>37</v>
      </c>
      <c r="D5017">
        <v>5.4764280000000003</v>
      </c>
      <c r="E5017">
        <v>0.71223409999999998</v>
      </c>
      <c r="F5017" t="s">
        <v>57</v>
      </c>
      <c r="G5017">
        <v>-264.29649999999998</v>
      </c>
      <c r="H5017">
        <v>4.6419269999999999</v>
      </c>
      <c r="I5017">
        <v>-91.564989999999995</v>
      </c>
      <c r="J5017">
        <v>-311.37889999999999</v>
      </c>
      <c r="K5017">
        <v>1.0458510000000001</v>
      </c>
      <c r="L5017">
        <v>13.7164299999999</v>
      </c>
      <c r="M5017">
        <v>0.87431270000000005</v>
      </c>
      <c r="N5017">
        <v>0</v>
      </c>
      <c r="O5017">
        <v>-0.48509079999999899</v>
      </c>
      <c r="P5017">
        <v>0.79894100000000001</v>
      </c>
      <c r="Q5017">
        <v>1.6746939999999998E-2</v>
      </c>
      <c r="R5017">
        <v>-0.6011765</v>
      </c>
      <c r="S5017">
        <v>1.4070739999999999</v>
      </c>
      <c r="T5017">
        <v>0.10717309999999999</v>
      </c>
      <c r="U5017">
        <v>-3.14013699999999</v>
      </c>
      <c r="V5017">
        <v>0.13882349999999999</v>
      </c>
      <c r="W5017">
        <v>2.952368E-2</v>
      </c>
      <c r="X5017">
        <v>0.98987689999999995</v>
      </c>
      <c r="Y5017">
        <v>0.59952799999999995</v>
      </c>
      <c r="Z5017">
        <v>-6.0396059999999899E-3</v>
      </c>
      <c r="AA5017">
        <v>0.80033100000000001</v>
      </c>
      <c r="AB5017">
        <v>27</v>
      </c>
      <c r="AC5017">
        <v>47.0824</v>
      </c>
      <c r="AD5017">
        <v>3.5960760000000001</v>
      </c>
      <c r="AE5017">
        <v>-105.28142</v>
      </c>
      <c r="AF5017">
        <v>69.151556284658994</v>
      </c>
      <c r="AG5017">
        <v>3.5960760000000001</v>
      </c>
      <c r="AH5017">
        <v>92.158375608944098</v>
      </c>
      <c r="AI5017">
        <v>88.212312646459694</v>
      </c>
      <c r="AJ5017">
        <v>53.117063760044303</v>
      </c>
      <c r="AK5017">
        <v>115.273742431081</v>
      </c>
    </row>
    <row r="5018" spans="1:37" x14ac:dyDescent="0.2">
      <c r="A5018" t="str">
        <f>"20200111153751329"</f>
        <v>20200111153751329</v>
      </c>
      <c r="B5018" t="str">
        <f>"1578728271317644"</f>
        <v>1578728271317644</v>
      </c>
      <c r="C5018" t="s">
        <v>37</v>
      </c>
      <c r="D5018">
        <v>5.5077959999999999</v>
      </c>
      <c r="E5018">
        <v>0.71086780000000005</v>
      </c>
      <c r="F5018" t="s">
        <v>57</v>
      </c>
      <c r="G5018">
        <v>-265.3809</v>
      </c>
      <c r="H5018">
        <v>4.995533</v>
      </c>
      <c r="I5018">
        <v>-91.564989999999995</v>
      </c>
      <c r="J5018">
        <v>-311.24950000000001</v>
      </c>
      <c r="K5018">
        <v>1.0457080000000001</v>
      </c>
      <c r="L5018">
        <v>13.63571</v>
      </c>
      <c r="M5018">
        <v>0.8706564</v>
      </c>
      <c r="N5018">
        <v>0</v>
      </c>
      <c r="O5018">
        <v>-0.491625599999999</v>
      </c>
      <c r="P5018">
        <v>0.79386749999999995</v>
      </c>
      <c r="Q5018">
        <v>1.739661E-2</v>
      </c>
      <c r="R5018">
        <v>-0.60784209999999905</v>
      </c>
      <c r="S5018">
        <v>1.3784479999999999</v>
      </c>
      <c r="T5018">
        <v>0.1183627</v>
      </c>
      <c r="U5018">
        <v>-3.1550289999999999</v>
      </c>
      <c r="V5018">
        <v>0.13971839999999999</v>
      </c>
      <c r="W5018">
        <v>3.00594E-2</v>
      </c>
      <c r="X5018">
        <v>0.98973489999999997</v>
      </c>
      <c r="Y5018">
        <v>0.60100940000000003</v>
      </c>
      <c r="Z5018">
        <v>-6.901468E-3</v>
      </c>
      <c r="AA5018">
        <v>0.79921219999999904</v>
      </c>
      <c r="AB5018">
        <v>27</v>
      </c>
      <c r="AC5018">
        <v>45.868600000000001</v>
      </c>
      <c r="AD5018">
        <v>3.9498250000000001</v>
      </c>
      <c r="AE5018">
        <v>-105.2007</v>
      </c>
      <c r="AF5018">
        <v>68.970825364485705</v>
      </c>
      <c r="AG5018">
        <v>3.9498250000000001</v>
      </c>
      <c r="AH5018">
        <v>91.558692164263107</v>
      </c>
      <c r="AI5018">
        <v>88.026525462203097</v>
      </c>
      <c r="AJ5018">
        <v>53.009419940047103</v>
      </c>
      <c r="AK5018">
        <v>114.69773310671501</v>
      </c>
    </row>
    <row r="5019" spans="1:37" x14ac:dyDescent="0.2">
      <c r="A5019" t="str">
        <f>"20200111153751347"</f>
        <v>20200111153751347</v>
      </c>
      <c r="B5019" t="str">
        <f>"1578728271338193"</f>
        <v>1578728271338193</v>
      </c>
      <c r="C5019" t="s">
        <v>37</v>
      </c>
      <c r="D5019">
        <v>5.5063760000000004</v>
      </c>
      <c r="E5019">
        <v>0.70835439999999905</v>
      </c>
      <c r="F5019" t="s">
        <v>46</v>
      </c>
      <c r="G5019">
        <v>-285.50319999999999</v>
      </c>
      <c r="H5019">
        <v>3.0551140000000001</v>
      </c>
      <c r="I5019">
        <v>-46.192869999999999</v>
      </c>
      <c r="J5019">
        <v>-311.05889999999999</v>
      </c>
      <c r="K5019">
        <v>1.045517</v>
      </c>
      <c r="L5019">
        <v>13.514709999999999</v>
      </c>
      <c r="M5019">
        <v>0.86511689999999997</v>
      </c>
      <c r="N5019">
        <v>0</v>
      </c>
      <c r="O5019">
        <v>-0.5013128</v>
      </c>
      <c r="P5019">
        <v>0.78604269999999998</v>
      </c>
      <c r="Q5019">
        <v>1.8407570000000002E-2</v>
      </c>
      <c r="R5019">
        <v>-0.61789839999999996</v>
      </c>
      <c r="S5019">
        <v>1.358887</v>
      </c>
      <c r="T5019">
        <v>0.106056199999999</v>
      </c>
      <c r="U5019">
        <v>-3.1577449999999998</v>
      </c>
      <c r="V5019">
        <v>0.1413094</v>
      </c>
      <c r="W5019">
        <v>3.0902059999999999E-2</v>
      </c>
      <c r="X5019">
        <v>0.98948309999999995</v>
      </c>
      <c r="Y5019">
        <v>0.59651960000000004</v>
      </c>
      <c r="Z5019">
        <v>-6.6327449999999998E-3</v>
      </c>
      <c r="AA5019">
        <v>0.80257109999999998</v>
      </c>
      <c r="AB5019">
        <v>27</v>
      </c>
      <c r="AC5019">
        <v>25.555700000000002</v>
      </c>
      <c r="AD5019">
        <v>2.0095969999999999</v>
      </c>
      <c r="AE5019">
        <v>-59.70758</v>
      </c>
      <c r="AF5019">
        <v>38.810495131407997</v>
      </c>
      <c r="AG5019">
        <v>2.0095969999999999</v>
      </c>
      <c r="AH5019">
        <v>51.9977788387557</v>
      </c>
      <c r="AI5019">
        <v>88.226012580072805</v>
      </c>
      <c r="AJ5019">
        <v>53.262797949675402</v>
      </c>
      <c r="AK5019">
        <v>64.915807139799199</v>
      </c>
    </row>
    <row r="5020" spans="1:37" x14ac:dyDescent="0.2">
      <c r="A5020" t="str">
        <f>"20200111153751369"</f>
        <v>20200111153751369</v>
      </c>
      <c r="B5020" t="str">
        <f>"1578728271357660"</f>
        <v>1578728271357660</v>
      </c>
      <c r="C5020" t="s">
        <v>37</v>
      </c>
      <c r="D5020">
        <v>5.7578519999999997</v>
      </c>
      <c r="E5020">
        <v>0.70742380000000005</v>
      </c>
      <c r="F5020" t="s">
        <v>57</v>
      </c>
      <c r="G5020">
        <v>-266.7894</v>
      </c>
      <c r="H5020">
        <v>3.6978559999999998</v>
      </c>
      <c r="I5020">
        <v>-91.564989999999995</v>
      </c>
      <c r="J5020">
        <v>-310.83589999999998</v>
      </c>
      <c r="K5020">
        <v>1.045304</v>
      </c>
      <c r="L5020">
        <v>13.369020000000001</v>
      </c>
      <c r="M5020">
        <v>0.85836780000000001</v>
      </c>
      <c r="N5020">
        <v>0</v>
      </c>
      <c r="O5020">
        <v>-0.51278659999999998</v>
      </c>
      <c r="P5020">
        <v>0.77673630000000005</v>
      </c>
      <c r="Q5020">
        <v>1.9656E-2</v>
      </c>
      <c r="R5020">
        <v>-0.62951969999999902</v>
      </c>
      <c r="S5020">
        <v>1.3310850000000001</v>
      </c>
      <c r="T5020">
        <v>7.9750420000000002E-2</v>
      </c>
      <c r="U5020">
        <v>-3.1595149999999999</v>
      </c>
      <c r="V5020">
        <v>0.142901</v>
      </c>
      <c r="W5020">
        <v>3.1974410000000002E-2</v>
      </c>
      <c r="X5020">
        <v>0.9892204</v>
      </c>
      <c r="Y5020">
        <v>0.59199360000000001</v>
      </c>
      <c r="Z5020">
        <v>-5.3827429999999997E-3</v>
      </c>
      <c r="AA5020">
        <v>0.80592469999999905</v>
      </c>
      <c r="AB5020">
        <v>27</v>
      </c>
      <c r="AC5020">
        <v>44.046499999999902</v>
      </c>
      <c r="AD5020">
        <v>2.652552</v>
      </c>
      <c r="AE5020">
        <v>-104.93401</v>
      </c>
      <c r="AF5020">
        <v>67.457465970497594</v>
      </c>
      <c r="AG5020">
        <v>2.652552</v>
      </c>
      <c r="AH5020">
        <v>91.578765533596098</v>
      </c>
      <c r="AI5020">
        <v>88.664056734941298</v>
      </c>
      <c r="AJ5020">
        <v>53.624417654201302</v>
      </c>
      <c r="AK5020">
        <v>113.77265068517499</v>
      </c>
    </row>
    <row r="5021" spans="1:37" x14ac:dyDescent="0.2">
      <c r="A5021" t="str">
        <f>"20200111153751383"</f>
        <v>20200111153751383</v>
      </c>
      <c r="B5021" t="str">
        <f>"1578728271378156"</f>
        <v>1578728271378156</v>
      </c>
      <c r="C5021" t="s">
        <v>37</v>
      </c>
      <c r="D5021">
        <v>5.6064069999999999</v>
      </c>
      <c r="E5021">
        <v>0.70706059999999904</v>
      </c>
      <c r="F5021" t="s">
        <v>57</v>
      </c>
      <c r="G5021">
        <v>-272.74</v>
      </c>
      <c r="H5021">
        <v>3.0045630000000001</v>
      </c>
      <c r="I5021">
        <v>-80.464519999999993</v>
      </c>
      <c r="J5021">
        <v>-310.7002</v>
      </c>
      <c r="K5021">
        <v>1.045183</v>
      </c>
      <c r="L5021">
        <v>13.27844</v>
      </c>
      <c r="M5021">
        <v>0.85412379999999999</v>
      </c>
      <c r="N5021">
        <v>0</v>
      </c>
      <c r="O5021">
        <v>-0.51982640000000002</v>
      </c>
      <c r="P5021">
        <v>0.77120040000000001</v>
      </c>
      <c r="Q5021">
        <v>2.011348E-2</v>
      </c>
      <c r="R5021">
        <v>-0.63627480000000003</v>
      </c>
      <c r="S5021">
        <v>1.288483</v>
      </c>
      <c r="T5021">
        <v>6.6266660000000005E-2</v>
      </c>
      <c r="U5021">
        <v>-3.173645</v>
      </c>
      <c r="V5021">
        <v>0.1434222</v>
      </c>
      <c r="W5021">
        <v>3.2342330000000002E-2</v>
      </c>
      <c r="X5021">
        <v>0.98913300000000004</v>
      </c>
      <c r="Y5021">
        <v>0.59589859999999994</v>
      </c>
      <c r="Z5021">
        <v>-4.59575E-3</v>
      </c>
      <c r="AA5021">
        <v>0.8030465</v>
      </c>
      <c r="AB5021">
        <v>27</v>
      </c>
      <c r="AC5021">
        <v>37.960199999999901</v>
      </c>
      <c r="AD5021">
        <v>1.9593799999999999</v>
      </c>
      <c r="AE5021">
        <v>-93.742959999999997</v>
      </c>
      <c r="AF5021">
        <v>60.320374243844299</v>
      </c>
      <c r="AG5021">
        <v>1.9593799999999999</v>
      </c>
      <c r="AH5021">
        <v>81.132593730558696</v>
      </c>
      <c r="AI5021">
        <v>88.889702710929299</v>
      </c>
      <c r="AJ5021">
        <v>53.369974727848501</v>
      </c>
      <c r="AK5021">
        <v>101.11817089103999</v>
      </c>
    </row>
    <row r="5022" spans="1:37" x14ac:dyDescent="0.2">
      <c r="A5022" t="str">
        <f>"20200111153751394"</f>
        <v>20200111153751394</v>
      </c>
      <c r="B5022" t="str">
        <f>"1578728271387916"</f>
        <v>1578728271387916</v>
      </c>
      <c r="C5022" t="s">
        <v>37</v>
      </c>
      <c r="D5022">
        <v>5.6483410000000003</v>
      </c>
      <c r="E5022">
        <v>0.70640599999999998</v>
      </c>
      <c r="F5022" t="s">
        <v>57</v>
      </c>
      <c r="G5022">
        <v>-273.5104</v>
      </c>
      <c r="H5022">
        <v>2.7897430000000001</v>
      </c>
      <c r="I5022">
        <v>-80.464519999999993</v>
      </c>
      <c r="J5022">
        <v>-310.570999999999</v>
      </c>
      <c r="K5022">
        <v>1.0450709999999901</v>
      </c>
      <c r="L5022">
        <v>13.19037</v>
      </c>
      <c r="M5022">
        <v>0.84996749999999899</v>
      </c>
      <c r="N5022">
        <v>0</v>
      </c>
      <c r="O5022">
        <v>-0.52659650000000002</v>
      </c>
      <c r="P5022">
        <v>0.76572220000000002</v>
      </c>
      <c r="Q5022">
        <v>2.0781350000000001E-2</v>
      </c>
      <c r="R5022">
        <v>-0.64283590000000002</v>
      </c>
      <c r="S5022">
        <v>1.262634</v>
      </c>
      <c r="T5022">
        <v>5.9230209999999998E-2</v>
      </c>
      <c r="U5022">
        <v>-3.1826779999999899</v>
      </c>
      <c r="V5022">
        <v>0.1440372</v>
      </c>
      <c r="W5022">
        <v>3.292664E-2</v>
      </c>
      <c r="X5022">
        <v>0.98902429999999997</v>
      </c>
      <c r="Y5022">
        <v>0.59593680000000004</v>
      </c>
      <c r="Z5022">
        <v>-4.2498290000000001E-3</v>
      </c>
      <c r="AA5022">
        <v>0.80302010000000001</v>
      </c>
      <c r="AB5022">
        <v>27</v>
      </c>
      <c r="AC5022">
        <v>37.060599999999901</v>
      </c>
      <c r="AD5022">
        <v>1.744672</v>
      </c>
      <c r="AE5022">
        <v>-93.654889999999995</v>
      </c>
      <c r="AF5022">
        <v>60.0771582742642</v>
      </c>
      <c r="AG5022">
        <v>1.744672</v>
      </c>
      <c r="AH5022">
        <v>80.804557575664106</v>
      </c>
      <c r="AI5022">
        <v>89.007334143227496</v>
      </c>
      <c r="AJ5022">
        <v>53.369667860741103</v>
      </c>
      <c r="AK5022">
        <v>100.705935037103</v>
      </c>
    </row>
    <row r="5023" spans="1:37" x14ac:dyDescent="0.2">
      <c r="A5023" t="str">
        <f>"20200111153751407"</f>
        <v>20200111153751407</v>
      </c>
      <c r="B5023" t="str">
        <f>"1578728271398236"</f>
        <v>1578728271398236</v>
      </c>
      <c r="C5023" t="s">
        <v>37</v>
      </c>
      <c r="D5023">
        <v>5.5896150000000002</v>
      </c>
      <c r="E5023">
        <v>0.7058951</v>
      </c>
      <c r="F5023" t="s">
        <v>57</v>
      </c>
      <c r="G5023">
        <v>-274.19959999999998</v>
      </c>
      <c r="H5023">
        <v>2.6846899999999998</v>
      </c>
      <c r="I5023">
        <v>-80.464519999999993</v>
      </c>
      <c r="J5023">
        <v>-310.45339999999999</v>
      </c>
      <c r="K5023">
        <v>1.044977</v>
      </c>
      <c r="L5023">
        <v>13.108700000000001</v>
      </c>
      <c r="M5023">
        <v>0.84608470000000002</v>
      </c>
      <c r="N5023">
        <v>0</v>
      </c>
      <c r="O5023">
        <v>-0.53281400000000001</v>
      </c>
      <c r="P5023">
        <v>0.76086529999999997</v>
      </c>
      <c r="Q5023">
        <v>2.1333390000000001E-2</v>
      </c>
      <c r="R5023">
        <v>-0.64855949999999996</v>
      </c>
      <c r="S5023">
        <v>1.2386779999999999</v>
      </c>
      <c r="T5023">
        <v>5.5839899999999998E-2</v>
      </c>
      <c r="U5023">
        <v>-3.1895449999999999</v>
      </c>
      <c r="V5023">
        <v>0.1442273</v>
      </c>
      <c r="W5023">
        <v>3.3416550000000003E-2</v>
      </c>
      <c r="X5023">
        <v>0.98898019999999998</v>
      </c>
      <c r="Y5023">
        <v>0.59587219999999996</v>
      </c>
      <c r="Z5023">
        <v>-4.1324029999999998E-3</v>
      </c>
      <c r="AA5023">
        <v>0.80306869999999997</v>
      </c>
      <c r="AB5023">
        <v>27</v>
      </c>
      <c r="AC5023">
        <v>36.253799999999998</v>
      </c>
      <c r="AD5023">
        <v>1.639713</v>
      </c>
      <c r="AE5023">
        <v>-93.573219999999907</v>
      </c>
      <c r="AF5023">
        <v>59.845840233144301</v>
      </c>
      <c r="AG5023">
        <v>1.639713</v>
      </c>
      <c r="AH5023">
        <v>80.5194744003945</v>
      </c>
      <c r="AI5023">
        <v>89.063631382215306</v>
      </c>
      <c r="AJ5023">
        <v>53.378541900846102</v>
      </c>
      <c r="AK5023">
        <v>100.33742576750301</v>
      </c>
    </row>
    <row r="5024" spans="1:37" x14ac:dyDescent="0.2">
      <c r="A5024" t="str">
        <f>"20200111153751421"</f>
        <v>20200111153751421</v>
      </c>
      <c r="B5024" t="str">
        <f>"1578728271417754"</f>
        <v>1578728271417754</v>
      </c>
      <c r="C5024" t="s">
        <v>37</v>
      </c>
      <c r="D5024">
        <v>5.6108279999999997</v>
      </c>
      <c r="E5024">
        <v>0.70432589999999995</v>
      </c>
      <c r="F5024" t="s">
        <v>57</v>
      </c>
      <c r="G5024">
        <v>-274.80040000000002</v>
      </c>
      <c r="H5024">
        <v>2.6655009999999999</v>
      </c>
      <c r="I5024">
        <v>-80.464519999999993</v>
      </c>
      <c r="J5024">
        <v>-310.3109</v>
      </c>
      <c r="K5024">
        <v>1.0448599999999999</v>
      </c>
      <c r="L5024">
        <v>13.00836</v>
      </c>
      <c r="M5024">
        <v>0.84126809999999996</v>
      </c>
      <c r="N5024">
        <v>0</v>
      </c>
      <c r="O5024">
        <v>-0.54038799999999998</v>
      </c>
      <c r="P5024">
        <v>0.75465749999999998</v>
      </c>
      <c r="Q5024">
        <v>2.163377E-2</v>
      </c>
      <c r="R5024">
        <v>-0.65576230000000002</v>
      </c>
      <c r="S5024">
        <v>1.2175290000000001</v>
      </c>
      <c r="T5024">
        <v>5.534029E-2</v>
      </c>
      <c r="U5024">
        <v>-3.195465</v>
      </c>
      <c r="V5024">
        <v>0.144765899999999</v>
      </c>
      <c r="W5024">
        <v>3.3635770000000002E-2</v>
      </c>
      <c r="X5024">
        <v>0.98889400000000005</v>
      </c>
      <c r="Y5024">
        <v>0.59379519999999997</v>
      </c>
      <c r="Z5024">
        <v>-4.2657479999999998E-3</v>
      </c>
      <c r="AA5024">
        <v>0.80460489999999996</v>
      </c>
      <c r="AB5024">
        <v>27</v>
      </c>
      <c r="AC5024">
        <v>35.510499999999901</v>
      </c>
      <c r="AD5024">
        <v>1.62064099999999</v>
      </c>
      <c r="AE5024">
        <v>-93.472880000000004</v>
      </c>
      <c r="AF5024">
        <v>59.438086260817698</v>
      </c>
      <c r="AG5024">
        <v>1.62064099999999</v>
      </c>
      <c r="AH5024">
        <v>80.374361098935395</v>
      </c>
      <c r="AI5024">
        <v>89.071193776460504</v>
      </c>
      <c r="AJ5024">
        <v>53.516500164917304</v>
      </c>
      <c r="AK5024">
        <v>99.977750012997106</v>
      </c>
    </row>
    <row r="5025" spans="1:37" x14ac:dyDescent="0.2">
      <c r="A5025" t="str">
        <f>"20200111153751436"</f>
        <v>20200111153751436</v>
      </c>
      <c r="B5025" t="str">
        <f>"1578728271428491"</f>
        <v>1578728271428491</v>
      </c>
      <c r="C5025" t="s">
        <v>37</v>
      </c>
      <c r="D5025">
        <v>5.6486349999999996</v>
      </c>
      <c r="E5025">
        <v>0.70331690000000002</v>
      </c>
      <c r="F5025" t="s">
        <v>57</v>
      </c>
      <c r="G5025">
        <v>-274.8399</v>
      </c>
      <c r="H5025">
        <v>2.4262199999999998</v>
      </c>
      <c r="I5025">
        <v>-81.882300000000001</v>
      </c>
      <c r="J5025">
        <v>-310.1542</v>
      </c>
      <c r="K5025">
        <v>1.0447329999999999</v>
      </c>
      <c r="L5025">
        <v>12.8953899999999</v>
      </c>
      <c r="M5025">
        <v>0.83579300000000001</v>
      </c>
      <c r="N5025">
        <v>0</v>
      </c>
      <c r="O5025">
        <v>-0.54881939999999996</v>
      </c>
      <c r="P5025">
        <v>0.74800559999999905</v>
      </c>
      <c r="Q5025">
        <v>2.216771E-2</v>
      </c>
      <c r="R5025">
        <v>-0.66332209999999903</v>
      </c>
      <c r="S5025">
        <v>1.1953129999999901</v>
      </c>
      <c r="T5025">
        <v>4.6550040000000001E-2</v>
      </c>
      <c r="U5025">
        <v>-3.1976619999999998</v>
      </c>
      <c r="V5025">
        <v>0.14480029999999999</v>
      </c>
      <c r="W5025">
        <v>3.410233E-2</v>
      </c>
      <c r="X5025">
        <v>0.98887309999999995</v>
      </c>
      <c r="Y5025">
        <v>0.59078310000000001</v>
      </c>
      <c r="Z5025">
        <v>-3.7574800000000001E-3</v>
      </c>
      <c r="AA5025">
        <v>0.80682169999999998</v>
      </c>
      <c r="AB5025">
        <v>27</v>
      </c>
      <c r="AC5025">
        <v>35.314300000000003</v>
      </c>
      <c r="AD5025">
        <v>1.3814869999999999</v>
      </c>
      <c r="AE5025">
        <v>-94.777690000000007</v>
      </c>
      <c r="AF5025">
        <v>59.829595613115302</v>
      </c>
      <c r="AG5025">
        <v>1.3814869999999999</v>
      </c>
      <c r="AH5025">
        <v>81.526154393728206</v>
      </c>
      <c r="AI5025">
        <v>89.217314079408496</v>
      </c>
      <c r="AJ5025">
        <v>53.726173327525899</v>
      </c>
      <c r="AK5025">
        <v>101.133589216392</v>
      </c>
    </row>
    <row r="5026" spans="1:37" x14ac:dyDescent="0.2">
      <c r="A5026" t="str">
        <f>"20200111153751458"</f>
        <v>20200111153751458</v>
      </c>
      <c r="B5026" t="str">
        <f>"1578728271448010"</f>
        <v>1578728271448010</v>
      </c>
      <c r="C5026" t="s">
        <v>37</v>
      </c>
      <c r="D5026">
        <v>5.655532</v>
      </c>
      <c r="E5026">
        <v>0.70149729999999999</v>
      </c>
      <c r="F5026" t="s">
        <v>57</v>
      </c>
      <c r="G5026">
        <v>-272.04820000000001</v>
      </c>
      <c r="H5026">
        <v>2.3823460000000001</v>
      </c>
      <c r="I5026">
        <v>-91.564989999999995</v>
      </c>
      <c r="J5026">
        <v>-309.9418</v>
      </c>
      <c r="K5026">
        <v>1.0445679999999999</v>
      </c>
      <c r="L5026">
        <v>12.73837</v>
      </c>
      <c r="M5026">
        <v>0.82808909999999902</v>
      </c>
      <c r="N5026">
        <v>0</v>
      </c>
      <c r="O5026">
        <v>-0.56037720000000002</v>
      </c>
      <c r="P5026">
        <v>0.73857810000000002</v>
      </c>
      <c r="Q5026">
        <v>2.2911170000000002E-2</v>
      </c>
      <c r="R5026">
        <v>-0.67377889999999996</v>
      </c>
      <c r="S5026">
        <v>1.1686099999999999</v>
      </c>
      <c r="T5026">
        <v>4.1021469999999997E-2</v>
      </c>
      <c r="U5026">
        <v>-3.203522</v>
      </c>
      <c r="V5026">
        <v>0.1450129</v>
      </c>
      <c r="W5026">
        <v>3.475806E-2</v>
      </c>
      <c r="X5026">
        <v>0.98881909999999895</v>
      </c>
      <c r="Y5026">
        <v>0.585970199999999</v>
      </c>
      <c r="Z5026">
        <v>-3.5170409999999998E-3</v>
      </c>
      <c r="AA5026">
        <v>0.81032499999999996</v>
      </c>
      <c r="AB5026">
        <v>27</v>
      </c>
      <c r="AC5026">
        <v>37.8935999999999</v>
      </c>
      <c r="AD5026">
        <v>1.3377779999999999</v>
      </c>
      <c r="AE5026">
        <v>-104.30336</v>
      </c>
      <c r="AF5026">
        <v>65.136308429745398</v>
      </c>
      <c r="AG5026">
        <v>1.3377779999999999</v>
      </c>
      <c r="AH5026">
        <v>89.826491819019097</v>
      </c>
      <c r="AI5026">
        <v>89.309236315938307</v>
      </c>
      <c r="AJ5026">
        <v>54.052828778311998</v>
      </c>
      <c r="AK5026">
        <v>110.965431366459</v>
      </c>
    </row>
    <row r="5027" spans="1:37" x14ac:dyDescent="0.2">
      <c r="A5027" t="str">
        <f>"20200111153751481"</f>
        <v>20200111153751481</v>
      </c>
      <c r="B5027" t="str">
        <f>"1578728271478268"</f>
        <v>1578728271478268</v>
      </c>
      <c r="C5027" t="s">
        <v>37</v>
      </c>
      <c r="D5027">
        <v>5.6884610000000002</v>
      </c>
      <c r="E5027">
        <v>0.69891789999999998</v>
      </c>
      <c r="F5027" t="s">
        <v>57</v>
      </c>
      <c r="G5027">
        <v>-273.11739999999998</v>
      </c>
      <c r="H5027">
        <v>2.0195419999999999</v>
      </c>
      <c r="I5027">
        <v>-91.564989999999995</v>
      </c>
      <c r="J5027">
        <v>-309.72269999999997</v>
      </c>
      <c r="K5027">
        <v>1.0444059999999999</v>
      </c>
      <c r="L5027">
        <v>12.57108</v>
      </c>
      <c r="M5027">
        <v>0.81975869999999995</v>
      </c>
      <c r="N5027">
        <v>0</v>
      </c>
      <c r="O5027">
        <v>-0.57249539999999999</v>
      </c>
      <c r="P5027">
        <v>0.7288519</v>
      </c>
      <c r="Q5027">
        <v>2.3222219999999998E-2</v>
      </c>
      <c r="R5027">
        <v>-0.68427759999999904</v>
      </c>
      <c r="S5027">
        <v>1.133087</v>
      </c>
      <c r="T5027">
        <v>3.0000329999999999E-2</v>
      </c>
      <c r="U5027">
        <v>-3.2094119999999999</v>
      </c>
      <c r="V5027">
        <v>0.14464109999999999</v>
      </c>
      <c r="W5027">
        <v>3.5003970000000002E-2</v>
      </c>
      <c r="X5027">
        <v>0.98886479999999999</v>
      </c>
      <c r="Y5027">
        <v>0.58247579999999999</v>
      </c>
      <c r="Z5027">
        <v>-2.7248279999999999E-3</v>
      </c>
      <c r="AA5027">
        <v>0.81284350000000005</v>
      </c>
      <c r="AB5027">
        <v>27</v>
      </c>
      <c r="AC5027">
        <v>36.6053</v>
      </c>
      <c r="AD5027">
        <v>0.975136</v>
      </c>
      <c r="AE5027">
        <v>-104.13607</v>
      </c>
      <c r="AF5027">
        <v>64.412938279513497</v>
      </c>
      <c r="AG5027">
        <v>0.975136</v>
      </c>
      <c r="AH5027">
        <v>89.628906539707998</v>
      </c>
      <c r="AI5027">
        <v>89.493813364196896</v>
      </c>
      <c r="AJ5027">
        <v>54.296612619561401</v>
      </c>
      <c r="AK5027">
        <v>110.378070265441</v>
      </c>
    </row>
    <row r="5028" spans="1:37" x14ac:dyDescent="0.2">
      <c r="A5028" t="str">
        <f>"20200111153751504"</f>
        <v>20200111153751504</v>
      </c>
      <c r="B5028" t="str">
        <f>"1578728271498397"</f>
        <v>1578728271498397</v>
      </c>
      <c r="C5028" t="s">
        <v>37</v>
      </c>
      <c r="D5028">
        <v>5.7077400000000003</v>
      </c>
      <c r="E5028">
        <v>0.69726690000000002</v>
      </c>
      <c r="F5028" t="s">
        <v>57</v>
      </c>
      <c r="G5028">
        <v>-273.98910000000001</v>
      </c>
      <c r="H5028">
        <v>1.595</v>
      </c>
      <c r="I5028">
        <v>-91.564989999999995</v>
      </c>
      <c r="J5028">
        <v>-309.50420000000003</v>
      </c>
      <c r="K5028">
        <v>1.044244</v>
      </c>
      <c r="L5028">
        <v>12.398619999999999</v>
      </c>
      <c r="M5028">
        <v>0.8110446</v>
      </c>
      <c r="N5028">
        <v>0</v>
      </c>
      <c r="O5028">
        <v>-0.58477559999999995</v>
      </c>
      <c r="P5028">
        <v>0.71895290000000001</v>
      </c>
      <c r="Q5028">
        <v>2.3318269999999999E-2</v>
      </c>
      <c r="R5028">
        <v>-0.69466759999999905</v>
      </c>
      <c r="S5028">
        <v>1.101593</v>
      </c>
      <c r="T5028">
        <v>1.6974090000000001E-2</v>
      </c>
      <c r="U5028">
        <v>-3.2102970000000002</v>
      </c>
      <c r="V5028">
        <v>0.143955</v>
      </c>
      <c r="W5028">
        <v>3.5054479999999999E-2</v>
      </c>
      <c r="X5028">
        <v>0.98896319999999904</v>
      </c>
      <c r="Y5028">
        <v>0.57740800000000003</v>
      </c>
      <c r="Z5028">
        <v>-1.6353800000000001E-3</v>
      </c>
      <c r="AA5028">
        <v>0.81645419999999902</v>
      </c>
      <c r="AB5028">
        <v>27</v>
      </c>
      <c r="AC5028">
        <v>35.515099999999997</v>
      </c>
      <c r="AD5028">
        <v>0.55075600000000002</v>
      </c>
      <c r="AE5028">
        <v>-103.96361</v>
      </c>
      <c r="AF5028">
        <v>63.556922810253099</v>
      </c>
      <c r="AG5028">
        <v>0.55075600000000002</v>
      </c>
      <c r="AH5028">
        <v>89.608400575277798</v>
      </c>
      <c r="AI5028">
        <v>89.712763301238397</v>
      </c>
      <c r="AJ5028">
        <v>54.652907201913699</v>
      </c>
      <c r="AK5028">
        <v>109.86105416816</v>
      </c>
    </row>
    <row r="5029" spans="1:37" x14ac:dyDescent="0.2">
      <c r="A5029" t="str">
        <f>"20200111153751516"</f>
        <v>20200111153751516</v>
      </c>
      <c r="B5029" t="str">
        <f>"1578728271508157"</f>
        <v>1578728271508157</v>
      </c>
      <c r="C5029" t="s">
        <v>37</v>
      </c>
      <c r="D5029">
        <v>5.6808449999999997</v>
      </c>
      <c r="E5029">
        <v>0.69726690000000002</v>
      </c>
      <c r="F5029" t="s">
        <v>57</v>
      </c>
      <c r="G5029">
        <v>-275.28829999999999</v>
      </c>
      <c r="H5029">
        <v>1.3695949999999999</v>
      </c>
      <c r="I5029">
        <v>-90.976819999999904</v>
      </c>
      <c r="J5029">
        <v>-309.38060000000002</v>
      </c>
      <c r="K5029">
        <v>1.044157</v>
      </c>
      <c r="L5029">
        <v>12.2988</v>
      </c>
      <c r="M5029">
        <v>0.80594429999999995</v>
      </c>
      <c r="N5029">
        <v>0</v>
      </c>
      <c r="O5029">
        <v>-0.59178569999999997</v>
      </c>
      <c r="P5029">
        <v>0.71334489999999995</v>
      </c>
      <c r="Q5029">
        <v>2.322608E-2</v>
      </c>
      <c r="R5029">
        <v>-0.70042839999999995</v>
      </c>
      <c r="S5029">
        <v>1.0646059999999999</v>
      </c>
      <c r="T5029">
        <v>1.0123490000000001E-2</v>
      </c>
      <c r="U5029">
        <v>-3.2164609999999998</v>
      </c>
      <c r="V5029">
        <v>0.143336299999999</v>
      </c>
      <c r="W5029">
        <v>3.4947249999999999E-2</v>
      </c>
      <c r="X5029">
        <v>0.98905679999999996</v>
      </c>
      <c r="Y5029">
        <v>0.57924119999999901</v>
      </c>
      <c r="Z5029">
        <v>-9.9989190000000002E-4</v>
      </c>
      <c r="AA5029">
        <v>0.81515559999999998</v>
      </c>
      <c r="AB5029">
        <v>27</v>
      </c>
      <c r="AC5029">
        <v>34.092300000000002</v>
      </c>
      <c r="AD5029">
        <v>0.32543800000000001</v>
      </c>
      <c r="AE5029">
        <v>-103.27561999999899</v>
      </c>
      <c r="AF5029">
        <v>63.066174864362203</v>
      </c>
      <c r="AG5029">
        <v>0.32543800000000001</v>
      </c>
      <c r="AH5029">
        <v>88.603523500554601</v>
      </c>
      <c r="AI5029">
        <v>89.828550870437397</v>
      </c>
      <c r="AJ5029">
        <v>54.5575170937067</v>
      </c>
      <c r="AK5029">
        <v>108.756759323857</v>
      </c>
    </row>
    <row r="5030" spans="1:37" x14ac:dyDescent="0.2">
      <c r="A5030" t="str">
        <f>"20200111153751538"</f>
        <v>20200111153751538</v>
      </c>
      <c r="B5030" t="str">
        <f>"1578728271528653"</f>
        <v>1578728271528653</v>
      </c>
      <c r="C5030" t="s">
        <v>37</v>
      </c>
      <c r="D5030">
        <v>5.7269489999999896</v>
      </c>
      <c r="E5030">
        <v>0.67469609999999902</v>
      </c>
      <c r="F5030" t="s">
        <v>57</v>
      </c>
      <c r="G5030">
        <v>-276.11</v>
      </c>
      <c r="H5030">
        <v>1.390674</v>
      </c>
      <c r="I5030">
        <v>-90.976819999999904</v>
      </c>
      <c r="J5030">
        <v>-309.1891</v>
      </c>
      <c r="K5030">
        <v>1.0440240000000001</v>
      </c>
      <c r="L5030">
        <v>12.140319999999999</v>
      </c>
      <c r="M5030">
        <v>0.79777509999999996</v>
      </c>
      <c r="N5030">
        <v>0</v>
      </c>
      <c r="O5030">
        <v>-0.60275349999999905</v>
      </c>
      <c r="P5030">
        <v>0.70422769999999901</v>
      </c>
      <c r="Q5030">
        <v>2.2618820000000001E-2</v>
      </c>
      <c r="R5030">
        <v>-0.70961419999999997</v>
      </c>
      <c r="S5030">
        <v>1.0388489999999999</v>
      </c>
      <c r="T5030">
        <v>1.0820150000000001E-2</v>
      </c>
      <c r="U5030">
        <v>-3.224701</v>
      </c>
      <c r="V5030">
        <v>0.1426055</v>
      </c>
      <c r="W5030">
        <v>3.4317260000000002E-2</v>
      </c>
      <c r="X5030">
        <v>0.98918449999999902</v>
      </c>
      <c r="Y5030">
        <v>0.57458869999999995</v>
      </c>
      <c r="Z5030">
        <v>-1.1200989999999901E-3</v>
      </c>
      <c r="AA5030">
        <v>0.81844159999999999</v>
      </c>
      <c r="AB5030">
        <v>27</v>
      </c>
      <c r="AC5030">
        <v>33.079099999999897</v>
      </c>
      <c r="AD5030">
        <v>0.34664999999999901</v>
      </c>
      <c r="AE5030">
        <v>-103.11714000000001</v>
      </c>
      <c r="AF5030">
        <v>62.332681999261503</v>
      </c>
      <c r="AG5030">
        <v>0.34664999999999901</v>
      </c>
      <c r="AH5030">
        <v>88.553756806910101</v>
      </c>
      <c r="AI5030">
        <v>89.816592764988997</v>
      </c>
      <c r="AJ5030">
        <v>54.858418599891699</v>
      </c>
      <c r="AK5030">
        <v>108.29243397422</v>
      </c>
    </row>
    <row r="5031" spans="1:37" x14ac:dyDescent="0.2">
      <c r="A5031" t="str">
        <f>"20200111153751558"</f>
        <v>20200111153751558</v>
      </c>
      <c r="B5031" t="str">
        <f>"1578728271548173"</f>
        <v>1578728271548173</v>
      </c>
      <c r="C5031" t="s">
        <v>37</v>
      </c>
      <c r="D5031">
        <v>5.693416</v>
      </c>
      <c r="E5031">
        <v>0.67345569999999999</v>
      </c>
      <c r="F5031" t="s">
        <v>39</v>
      </c>
      <c r="G5031">
        <v>-299.16899999999998</v>
      </c>
      <c r="H5031" s="1">
        <v>-2.206219E-6</v>
      </c>
      <c r="I5031">
        <v>-15.568049999999999</v>
      </c>
      <c r="J5031">
        <v>-308.99110000000002</v>
      </c>
      <c r="K5031">
        <v>1.043903</v>
      </c>
      <c r="L5031">
        <v>11.97156</v>
      </c>
      <c r="M5031">
        <v>0.78896980000000005</v>
      </c>
      <c r="N5031">
        <v>0</v>
      </c>
      <c r="O5031">
        <v>-0.61423430000000001</v>
      </c>
      <c r="P5031">
        <v>0.69440170000000001</v>
      </c>
      <c r="Q5031">
        <v>2.240174E-2</v>
      </c>
      <c r="R5031">
        <v>-0.71923899999999996</v>
      </c>
      <c r="S5031">
        <v>1.1260680000000001</v>
      </c>
      <c r="T5031">
        <v>-0.11732860000000001</v>
      </c>
      <c r="U5031">
        <v>-3.1138919999999999</v>
      </c>
      <c r="V5031">
        <v>0.14190259999999999</v>
      </c>
      <c r="W5031">
        <v>3.4080409999999998E-2</v>
      </c>
      <c r="X5031">
        <v>0.9892938</v>
      </c>
      <c r="Y5031">
        <v>0.53312099999999996</v>
      </c>
      <c r="Z5031">
        <v>1.368669E-2</v>
      </c>
      <c r="AA5031">
        <v>0.84592829999999997</v>
      </c>
      <c r="AB5031">
        <v>27</v>
      </c>
      <c r="AC5031">
        <v>9.8220999999999705</v>
      </c>
      <c r="AD5031">
        <v>-1.043905206219</v>
      </c>
      <c r="AE5031">
        <v>-27.53961</v>
      </c>
      <c r="AF5031">
        <v>15.676773160221099</v>
      </c>
      <c r="AG5031">
        <v>-1.043905206219</v>
      </c>
      <c r="AH5031">
        <v>24.636705028318001</v>
      </c>
      <c r="AI5031">
        <v>92.0473562584897</v>
      </c>
      <c r="AJ5031">
        <v>57.530678301483299</v>
      </c>
      <c r="AK5031">
        <v>29.2201675123355</v>
      </c>
    </row>
    <row r="5032" spans="1:37" x14ac:dyDescent="0.2">
      <c r="A5032" t="str">
        <f>"20200111153751582"</f>
        <v>20200111153751582</v>
      </c>
      <c r="B5032" t="str">
        <f>"1578728271578429"</f>
        <v>1578728271578429</v>
      </c>
      <c r="C5032" t="s">
        <v>37</v>
      </c>
      <c r="D5032">
        <v>5.6840320000000002</v>
      </c>
      <c r="E5032">
        <v>0.67188590000000004</v>
      </c>
      <c r="F5032" t="s">
        <v>39</v>
      </c>
      <c r="G5032">
        <v>-298.92290000000003</v>
      </c>
      <c r="H5032" s="1">
        <v>-1.6962979999999999E-6</v>
      </c>
      <c r="I5032">
        <v>-16.858450000000001</v>
      </c>
      <c r="J5032">
        <v>-308.78550000000001</v>
      </c>
      <c r="K5032">
        <v>1.043787</v>
      </c>
      <c r="L5032">
        <v>11.79053</v>
      </c>
      <c r="M5032">
        <v>0.77941830000000001</v>
      </c>
      <c r="N5032">
        <v>0</v>
      </c>
      <c r="O5032">
        <v>-0.62631000000000003</v>
      </c>
      <c r="P5032">
        <v>0.68350489999999997</v>
      </c>
      <c r="Q5032">
        <v>2.1614419999999999E-2</v>
      </c>
      <c r="R5032">
        <v>-0.72962579999999999</v>
      </c>
      <c r="S5032">
        <v>1.090271</v>
      </c>
      <c r="T5032">
        <v>-0.113043699999999</v>
      </c>
      <c r="U5032">
        <v>-3.1219790000000001</v>
      </c>
      <c r="V5032">
        <v>0.14155390000000001</v>
      </c>
      <c r="W5032">
        <v>3.3269769999999997E-2</v>
      </c>
      <c r="X5032">
        <v>0.98937129999999995</v>
      </c>
      <c r="Y5032">
        <v>0.52940880000000001</v>
      </c>
      <c r="Z5032">
        <v>1.3774710000000001E-2</v>
      </c>
      <c r="AA5032">
        <v>0.84825499999999998</v>
      </c>
      <c r="AB5032">
        <v>27</v>
      </c>
      <c r="AC5032">
        <v>9.8625999999999792</v>
      </c>
      <c r="AD5032">
        <v>-1.0437886962980001</v>
      </c>
      <c r="AE5032">
        <v>-28.648980000000002</v>
      </c>
      <c r="AF5032">
        <v>16.135307467314899</v>
      </c>
      <c r="AG5032">
        <v>-1.0437886962980001</v>
      </c>
      <c r="AH5032">
        <v>25.6029621305021</v>
      </c>
      <c r="AI5032">
        <v>91.975370654264907</v>
      </c>
      <c r="AJ5032">
        <v>57.780356016915697</v>
      </c>
      <c r="AK5032">
        <v>30.281170911364001</v>
      </c>
    </row>
    <row r="5033" spans="1:37" x14ac:dyDescent="0.2">
      <c r="A5033" t="str">
        <f>"20200111153751604"</f>
        <v>20200111153751604</v>
      </c>
      <c r="B5033" t="str">
        <f>"1578728271597952"</f>
        <v>1578728271597952</v>
      </c>
      <c r="C5033" t="s">
        <v>37</v>
      </c>
      <c r="D5033">
        <v>5.7315889999999996</v>
      </c>
      <c r="E5033">
        <v>0.6707516</v>
      </c>
      <c r="F5033" t="s">
        <v>39</v>
      </c>
      <c r="G5033">
        <v>-299.1429</v>
      </c>
      <c r="H5033" s="1">
        <v>-1.6413700000000001E-6</v>
      </c>
      <c r="I5033">
        <v>-16.895529999999901</v>
      </c>
      <c r="J5033">
        <v>-308.57679999999999</v>
      </c>
      <c r="K5033">
        <v>1.0436889999999901</v>
      </c>
      <c r="L5033">
        <v>11.600489999999899</v>
      </c>
      <c r="M5033">
        <v>0.76928390000000002</v>
      </c>
      <c r="N5033">
        <v>0</v>
      </c>
      <c r="O5033">
        <v>-0.63871719999999998</v>
      </c>
      <c r="P5033">
        <v>0.67214200000000002</v>
      </c>
      <c r="Q5033">
        <v>2.1234090000000001E-2</v>
      </c>
      <c r="R5033">
        <v>-0.7401181</v>
      </c>
      <c r="S5033">
        <v>1.051971</v>
      </c>
      <c r="T5033">
        <v>-0.11387360000000001</v>
      </c>
      <c r="U5033">
        <v>-3.1295470000000001</v>
      </c>
      <c r="V5033">
        <v>0.1410045</v>
      </c>
      <c r="W5033">
        <v>3.2879449999999998E-2</v>
      </c>
      <c r="X5033">
        <v>0.98946279999999998</v>
      </c>
      <c r="Y5033">
        <v>0.52574730000000003</v>
      </c>
      <c r="Z5033">
        <v>1.4487430000000001E-2</v>
      </c>
      <c r="AA5033">
        <v>0.85051749999999904</v>
      </c>
      <c r="AB5033">
        <v>27</v>
      </c>
      <c r="AC5033">
        <v>9.4338999999999906</v>
      </c>
      <c r="AD5033">
        <v>-1.04369064136999</v>
      </c>
      <c r="AE5033">
        <v>-28.496019999999898</v>
      </c>
      <c r="AF5033">
        <v>15.8786673748738</v>
      </c>
      <c r="AG5033">
        <v>-1.04369064136999</v>
      </c>
      <c r="AH5033">
        <v>25.4305900732233</v>
      </c>
      <c r="AI5033">
        <v>91.993775214729197</v>
      </c>
      <c r="AJ5033">
        <v>58.0196573018424</v>
      </c>
      <c r="AK5033">
        <v>29.998937968353001</v>
      </c>
    </row>
    <row r="5034" spans="1:37" x14ac:dyDescent="0.2">
      <c r="A5034" t="str">
        <f>"20200111153751627"</f>
        <v>20200111153751627</v>
      </c>
      <c r="B5034" t="str">
        <f>"1578728271618445"</f>
        <v>1578728271618445</v>
      </c>
      <c r="C5034" t="s">
        <v>37</v>
      </c>
      <c r="D5034">
        <v>5.732653</v>
      </c>
      <c r="E5034">
        <v>0.66960940000000002</v>
      </c>
      <c r="F5034" t="s">
        <v>39</v>
      </c>
      <c r="G5034">
        <v>-299.71679999999998</v>
      </c>
      <c r="H5034" s="1">
        <v>-1.95200899999999E-6</v>
      </c>
      <c r="I5034">
        <v>-15.934139999999999</v>
      </c>
      <c r="J5034">
        <v>-308.37959999999998</v>
      </c>
      <c r="K5034">
        <v>1.0436080000000001</v>
      </c>
      <c r="L5034">
        <v>11.41522</v>
      </c>
      <c r="M5034">
        <v>0.75931349999999997</v>
      </c>
      <c r="N5034">
        <v>0</v>
      </c>
      <c r="O5034">
        <v>-0.65053859999999997</v>
      </c>
      <c r="P5034">
        <v>0.66069619999999996</v>
      </c>
      <c r="Q5034">
        <v>2.0697099999999899E-2</v>
      </c>
      <c r="R5034">
        <v>-0.75036829999999999</v>
      </c>
      <c r="S5034">
        <v>1.0101929999999999</v>
      </c>
      <c r="T5034">
        <v>-0.1189992</v>
      </c>
      <c r="U5034">
        <v>-3.13943499999999</v>
      </c>
      <c r="V5034">
        <v>0.140899</v>
      </c>
      <c r="W5034">
        <v>3.2326609999999999E-2</v>
      </c>
      <c r="X5034">
        <v>0.98949609999999899</v>
      </c>
      <c r="Y5034">
        <v>0.52361970000000002</v>
      </c>
      <c r="Z5034">
        <v>1.5721180000000001E-2</v>
      </c>
      <c r="AA5034">
        <v>0.85180710000000004</v>
      </c>
      <c r="AB5034">
        <v>27</v>
      </c>
      <c r="AC5034">
        <v>8.6628000000000007</v>
      </c>
      <c r="AD5034">
        <v>-1.0436099520090001</v>
      </c>
      <c r="AE5034">
        <v>-27.349359999999901</v>
      </c>
      <c r="AF5034">
        <v>15.1130885468366</v>
      </c>
      <c r="AG5034">
        <v>-1.0436099520090001</v>
      </c>
      <c r="AH5034">
        <v>24.340341482102001</v>
      </c>
      <c r="AI5034">
        <v>92.086099165623907</v>
      </c>
      <c r="AJ5034">
        <v>58.163564429929501</v>
      </c>
      <c r="AK5034">
        <v>28.669614413552701</v>
      </c>
    </row>
    <row r="5035" spans="1:37" x14ac:dyDescent="0.2">
      <c r="A5035" t="str">
        <f>"20200111153751649"</f>
        <v>20200111153751649</v>
      </c>
      <c r="B5035" t="str">
        <f>"1578728271637965"</f>
        <v>1578728271637965</v>
      </c>
      <c r="C5035" t="s">
        <v>37</v>
      </c>
      <c r="D5035">
        <v>5.7302470000000003</v>
      </c>
      <c r="E5035">
        <v>0.66848920000000001</v>
      </c>
      <c r="F5035" t="s">
        <v>39</v>
      </c>
      <c r="G5035">
        <v>-300.56349999999998</v>
      </c>
      <c r="H5035" s="1">
        <v>-2.900843E-6</v>
      </c>
      <c r="I5035">
        <v>-13.99845</v>
      </c>
      <c r="J5035">
        <v>-308.18790000000001</v>
      </c>
      <c r="K5035">
        <v>1.0435459999999901</v>
      </c>
      <c r="L5035">
        <v>11.229339999999899</v>
      </c>
      <c r="M5035">
        <v>0.74923649999999997</v>
      </c>
      <c r="N5035">
        <v>0</v>
      </c>
      <c r="O5035">
        <v>-0.66211929999999997</v>
      </c>
      <c r="P5035">
        <v>0.64867229999999998</v>
      </c>
      <c r="Q5035">
        <v>2.0541230000000001E-2</v>
      </c>
      <c r="R5035">
        <v>-0.760791</v>
      </c>
      <c r="S5035">
        <v>0.96844479999999999</v>
      </c>
      <c r="T5035">
        <v>-0.12930800000000001</v>
      </c>
      <c r="U5035">
        <v>-3.1488649999999998</v>
      </c>
      <c r="V5035">
        <v>0.14145550000000001</v>
      </c>
      <c r="W5035">
        <v>3.2140269999999999E-2</v>
      </c>
      <c r="X5035">
        <v>0.98942269999999899</v>
      </c>
      <c r="Y5035">
        <v>0.52156659999999999</v>
      </c>
      <c r="Z5035">
        <v>1.770414E-2</v>
      </c>
      <c r="AA5035">
        <v>0.85302690000000003</v>
      </c>
      <c r="AB5035">
        <v>26</v>
      </c>
      <c r="AC5035">
        <v>7.6244000000000298</v>
      </c>
      <c r="AD5035">
        <v>-1.0435489008429999</v>
      </c>
      <c r="AE5035">
        <v>-25.227789999999999</v>
      </c>
      <c r="AF5035">
        <v>13.833311373744101</v>
      </c>
      <c r="AG5035">
        <v>-1.0435489008429999</v>
      </c>
      <c r="AH5035">
        <v>22.383911252400001</v>
      </c>
      <c r="AI5035">
        <v>92.271064054523706</v>
      </c>
      <c r="AJ5035">
        <v>58.283834341349198</v>
      </c>
      <c r="AK5035">
        <v>26.334178947267901</v>
      </c>
    </row>
    <row r="5036" spans="1:37" x14ac:dyDescent="0.2">
      <c r="A5036" t="str">
        <f>"20200111153751671"</f>
        <v>20200111153751671</v>
      </c>
      <c r="B5036" t="str">
        <f>"1578728271668221"</f>
        <v>1578728271668221</v>
      </c>
      <c r="C5036" t="s">
        <v>37</v>
      </c>
      <c r="D5036">
        <v>5.7449500000000002</v>
      </c>
      <c r="E5036">
        <v>0.66702950000000005</v>
      </c>
      <c r="F5036" t="s">
        <v>39</v>
      </c>
      <c r="G5036">
        <v>-301.44240000000002</v>
      </c>
      <c r="H5036" s="1">
        <v>-4.0763639999999902E-6</v>
      </c>
      <c r="I5036">
        <v>-11.78646</v>
      </c>
      <c r="J5036">
        <v>-307.99959999999999</v>
      </c>
      <c r="K5036">
        <v>1.0435049999999999</v>
      </c>
      <c r="L5036">
        <v>11.04105</v>
      </c>
      <c r="M5036">
        <v>0.7389637</v>
      </c>
      <c r="N5036">
        <v>0</v>
      </c>
      <c r="O5036">
        <v>-0.67356510000000003</v>
      </c>
      <c r="P5036">
        <v>0.63652219999999904</v>
      </c>
      <c r="Q5036">
        <v>2.050066E-2</v>
      </c>
      <c r="R5036">
        <v>-0.77098610000000001</v>
      </c>
      <c r="S5036">
        <v>0.925537099999999</v>
      </c>
      <c r="T5036">
        <v>-0.1431837</v>
      </c>
      <c r="U5036">
        <v>-3.157959</v>
      </c>
      <c r="V5036">
        <v>0.14193449999999999</v>
      </c>
      <c r="W5036">
        <v>3.2075930000000002E-2</v>
      </c>
      <c r="X5036">
        <v>0.98935620000000002</v>
      </c>
      <c r="Y5036">
        <v>0.51977379999999995</v>
      </c>
      <c r="Z5036">
        <v>2.0282689999999999E-2</v>
      </c>
      <c r="AA5036">
        <v>0.85406309999999996</v>
      </c>
      <c r="AB5036">
        <v>26</v>
      </c>
      <c r="AC5036">
        <v>6.5571999999999599</v>
      </c>
      <c r="AD5036">
        <v>-1.04350907636399</v>
      </c>
      <c r="AE5036">
        <v>-22.82751</v>
      </c>
      <c r="AF5036">
        <v>12.4295178680795</v>
      </c>
      <c r="AG5036">
        <v>-1.04350907636399</v>
      </c>
      <c r="AH5036">
        <v>20.184836825267698</v>
      </c>
      <c r="AI5036">
        <v>92.520583618720593</v>
      </c>
      <c r="AJ5036">
        <v>58.375865452119498</v>
      </c>
      <c r="AK5036">
        <v>23.727820449591299</v>
      </c>
    </row>
    <row r="5037" spans="1:37" x14ac:dyDescent="0.2">
      <c r="A5037" t="str">
        <f>"20200111153751693"</f>
        <v>20200111153751693</v>
      </c>
      <c r="B5037" t="str">
        <f>"1578728271688717"</f>
        <v>1578728271688717</v>
      </c>
      <c r="C5037" t="s">
        <v>37</v>
      </c>
      <c r="D5037">
        <v>5.7289019999999997</v>
      </c>
      <c r="E5037">
        <v>0.65552200000000005</v>
      </c>
      <c r="F5037" t="s">
        <v>39</v>
      </c>
      <c r="G5037">
        <v>-302.2824</v>
      </c>
      <c r="H5037" s="1">
        <v>-6.2827789999999996E-7</v>
      </c>
      <c r="I5037">
        <v>-9.4182810000000003</v>
      </c>
      <c r="J5037">
        <v>-307.81060000000002</v>
      </c>
      <c r="K5037">
        <v>1.043479</v>
      </c>
      <c r="L5037">
        <v>10.84601</v>
      </c>
      <c r="M5037">
        <v>0.72826610000000003</v>
      </c>
      <c r="N5037">
        <v>0</v>
      </c>
      <c r="O5037">
        <v>-0.68511730000000004</v>
      </c>
      <c r="P5037">
        <v>0.62413200000000002</v>
      </c>
      <c r="Q5037">
        <v>2.076221E-2</v>
      </c>
      <c r="R5037">
        <v>-0.7810433</v>
      </c>
      <c r="S5037">
        <v>0.88449100000000003</v>
      </c>
      <c r="T5037">
        <v>-0.1614372</v>
      </c>
      <c r="U5037">
        <v>-3.1651919999999998</v>
      </c>
      <c r="V5037">
        <v>0.142155</v>
      </c>
      <c r="W5037">
        <v>3.2325180000000002E-2</v>
      </c>
      <c r="X5037">
        <v>0.98931650000000004</v>
      </c>
      <c r="Y5037">
        <v>0.51709579999999999</v>
      </c>
      <c r="Z5037">
        <v>2.3668459999999999E-2</v>
      </c>
      <c r="AA5037">
        <v>0.85560020000000003</v>
      </c>
      <c r="AB5037">
        <v>26</v>
      </c>
      <c r="AC5037">
        <v>5.5282000000000204</v>
      </c>
      <c r="AD5037">
        <v>-1.0434796282779</v>
      </c>
      <c r="AE5037">
        <v>-20.264291</v>
      </c>
      <c r="AF5037">
        <v>10.944652150708899</v>
      </c>
      <c r="AG5037">
        <v>-1.0434796282779</v>
      </c>
      <c r="AH5037">
        <v>17.867495905137599</v>
      </c>
      <c r="AI5037">
        <v>92.851014760971395</v>
      </c>
      <c r="AJ5037">
        <v>58.510639728936503</v>
      </c>
      <c r="AK5037">
        <v>20.979076966224198</v>
      </c>
    </row>
    <row r="5038" spans="1:37" x14ac:dyDescent="0.2">
      <c r="A5038" t="str">
        <f>"20200111153751717"</f>
        <v>20200111153751717</v>
      </c>
      <c r="B5038" t="str">
        <f>"1578728271708237"</f>
        <v>1578728271708237</v>
      </c>
      <c r="C5038" t="s">
        <v>37</v>
      </c>
      <c r="D5038">
        <v>5.738607</v>
      </c>
      <c r="E5038">
        <v>0.65445489999999995</v>
      </c>
      <c r="F5038" t="s">
        <v>39</v>
      </c>
      <c r="G5038">
        <v>-303.47019999999998</v>
      </c>
      <c r="H5038" s="1">
        <v>-3.4517759999999999E-6</v>
      </c>
      <c r="I5038">
        <v>-4.1138329999999996</v>
      </c>
      <c r="J5038">
        <v>-307.6191</v>
      </c>
      <c r="K5038">
        <v>1.0434619999999999</v>
      </c>
      <c r="L5038">
        <v>10.641970000000001</v>
      </c>
      <c r="M5038">
        <v>0.717028</v>
      </c>
      <c r="N5038">
        <v>0</v>
      </c>
      <c r="O5038">
        <v>-0.69687010000000005</v>
      </c>
      <c r="P5038">
        <v>0.61135269999999897</v>
      </c>
      <c r="Q5038">
        <v>2.0907800000000001E-2</v>
      </c>
      <c r="R5038">
        <v>-0.79108210000000001</v>
      </c>
      <c r="S5038">
        <v>0.90603639999999996</v>
      </c>
      <c r="T5038">
        <v>-0.2178225</v>
      </c>
      <c r="U5038">
        <v>-3.12280299999999</v>
      </c>
      <c r="V5038">
        <v>0.1421502</v>
      </c>
      <c r="W5038">
        <v>3.2468160000000003E-2</v>
      </c>
      <c r="X5038">
        <v>0.98931250000000004</v>
      </c>
      <c r="Y5038">
        <v>0.494600599999999</v>
      </c>
      <c r="Z5038">
        <v>3.3918610000000002E-2</v>
      </c>
      <c r="AA5038">
        <v>0.86845830000000002</v>
      </c>
      <c r="AB5038">
        <v>26</v>
      </c>
      <c r="AC5038">
        <v>4.1489000000000198</v>
      </c>
      <c r="AD5038">
        <v>-1.043465451776</v>
      </c>
      <c r="AE5038">
        <v>-14.755803</v>
      </c>
      <c r="AF5038">
        <v>7.6545400142599398</v>
      </c>
      <c r="AG5038">
        <v>-1.043465451776</v>
      </c>
      <c r="AH5038">
        <v>13.198201206318799</v>
      </c>
      <c r="AI5038">
        <v>93.9124421448237</v>
      </c>
      <c r="AJ5038">
        <v>59.887620434413897</v>
      </c>
      <c r="AK5038">
        <v>15.292917251506699</v>
      </c>
    </row>
    <row r="5039" spans="1:37" x14ac:dyDescent="0.2">
      <c r="A5039" t="str">
        <f>"20200111153751738"</f>
        <v>20200111153751738</v>
      </c>
      <c r="B5039" t="str">
        <f>"1578728271727757"</f>
        <v>1578728271727757</v>
      </c>
      <c r="C5039" t="s">
        <v>37</v>
      </c>
      <c r="D5039">
        <v>5.7744790000000004</v>
      </c>
      <c r="E5039">
        <v>0.65308549999999999</v>
      </c>
      <c r="F5039" t="s">
        <v>39</v>
      </c>
      <c r="G5039">
        <v>-303.45310000000001</v>
      </c>
      <c r="H5039" s="1">
        <v>-3.2635629999999898E-6</v>
      </c>
      <c r="I5039">
        <v>-4.5023660000000003</v>
      </c>
      <c r="J5039">
        <v>-307.4425</v>
      </c>
      <c r="K5039">
        <v>1.0434639999999999</v>
      </c>
      <c r="L5039">
        <v>10.4476</v>
      </c>
      <c r="M5039">
        <v>0.70628590000000002</v>
      </c>
      <c r="N5039">
        <v>0</v>
      </c>
      <c r="O5039">
        <v>-0.70775529999999998</v>
      </c>
      <c r="P5039">
        <v>0.59919739999999999</v>
      </c>
      <c r="Q5039">
        <v>2.1592940000000001E-2</v>
      </c>
      <c r="R5039">
        <v>-0.80031039999999998</v>
      </c>
      <c r="S5039">
        <v>0.8616028</v>
      </c>
      <c r="T5039">
        <v>-0.21580659999999999</v>
      </c>
      <c r="U5039">
        <v>-3.1321110000000001</v>
      </c>
      <c r="V5039">
        <v>0.1421367</v>
      </c>
      <c r="W5039">
        <v>3.3153479999999999E-2</v>
      </c>
      <c r="X5039">
        <v>0.9892917</v>
      </c>
      <c r="Y5039">
        <v>0.49341949999999901</v>
      </c>
      <c r="Z5039">
        <v>3.4581880000000002E-2</v>
      </c>
      <c r="AA5039">
        <v>0.86910370000000003</v>
      </c>
      <c r="AB5039">
        <v>26</v>
      </c>
      <c r="AC5039">
        <v>3.9893999999999799</v>
      </c>
      <c r="AD5039">
        <v>-1.043467263563</v>
      </c>
      <c r="AE5039">
        <v>-14.949966</v>
      </c>
      <c r="AF5039">
        <v>7.7013456034535404</v>
      </c>
      <c r="AG5039">
        <v>-1.043467263563</v>
      </c>
      <c r="AH5039">
        <v>13.339534832421901</v>
      </c>
      <c r="AI5039">
        <v>93.875535506092803</v>
      </c>
      <c r="AJ5039">
        <v>60.000768058951799</v>
      </c>
      <c r="AK5039">
        <v>15.438352813022499</v>
      </c>
    </row>
    <row r="5040" spans="1:37" x14ac:dyDescent="0.2">
      <c r="A5040" t="str">
        <f>"20200111153751760"</f>
        <v>20200111153751760</v>
      </c>
      <c r="B5040" t="str">
        <f>"1578728271748253"</f>
        <v>1578728271748253</v>
      </c>
      <c r="C5040" t="s">
        <v>37</v>
      </c>
      <c r="D5040">
        <v>5.7680639999999999</v>
      </c>
      <c r="E5040">
        <v>0.65216680000000005</v>
      </c>
      <c r="F5040" t="s">
        <v>39</v>
      </c>
      <c r="G5040">
        <v>-303.49169999999998</v>
      </c>
      <c r="H5040" s="1">
        <v>-3.2153209999999999E-6</v>
      </c>
      <c r="I5040">
        <v>-4.6261190000000001</v>
      </c>
      <c r="J5040">
        <v>-307.26819999999998</v>
      </c>
      <c r="K5040">
        <v>1.043469</v>
      </c>
      <c r="L5040">
        <v>10.24966</v>
      </c>
      <c r="M5040">
        <v>0.69532349999999998</v>
      </c>
      <c r="N5040">
        <v>0</v>
      </c>
      <c r="O5040">
        <v>-0.7185281</v>
      </c>
      <c r="P5040">
        <v>0.58721610000000002</v>
      </c>
      <c r="Q5040">
        <v>2.2166890000000002E-2</v>
      </c>
      <c r="R5040">
        <v>-0.80912689999999998</v>
      </c>
      <c r="S5040">
        <v>0.82260129999999998</v>
      </c>
      <c r="T5040">
        <v>-0.2172618</v>
      </c>
      <c r="U5040">
        <v>-3.1385190000000001</v>
      </c>
      <c r="V5040">
        <v>0.1416625</v>
      </c>
      <c r="W5040">
        <v>3.3743000000000002E-2</v>
      </c>
      <c r="X5040">
        <v>0.98933979999999999</v>
      </c>
      <c r="Y5040">
        <v>0.49058959999999902</v>
      </c>
      <c r="Z5040">
        <v>3.5849890000000002E-2</v>
      </c>
      <c r="AA5040">
        <v>0.87065300000000001</v>
      </c>
      <c r="AB5040">
        <v>26</v>
      </c>
      <c r="AC5040">
        <v>3.7764999999999902</v>
      </c>
      <c r="AD5040">
        <v>-1.0434722153210001</v>
      </c>
      <c r="AE5040">
        <v>-14.875779</v>
      </c>
      <c r="AF5040">
        <v>7.5957715483135901</v>
      </c>
      <c r="AG5040">
        <v>-1.0434722153210001</v>
      </c>
      <c r="AH5040">
        <v>13.254898945598899</v>
      </c>
      <c r="AI5040">
        <v>93.907420586907605</v>
      </c>
      <c r="AJ5040">
        <v>60.184966289390303</v>
      </c>
      <c r="AK5040">
        <v>15.312639411164801</v>
      </c>
    </row>
    <row r="5041" spans="1:37" x14ac:dyDescent="0.2">
      <c r="A5041" t="str">
        <f>"20200111153751783"</f>
        <v>20200111153751783</v>
      </c>
      <c r="B5041" t="str">
        <f>"1578728271778510"</f>
        <v>1578728271778510</v>
      </c>
      <c r="C5041" t="s">
        <v>37</v>
      </c>
      <c r="D5041">
        <v>5.8303900000000004</v>
      </c>
      <c r="E5041">
        <v>0.65101699999999996</v>
      </c>
      <c r="F5041" t="s">
        <v>39</v>
      </c>
      <c r="G5041">
        <v>-303.53410000000002</v>
      </c>
      <c r="H5041" s="1">
        <v>-3.1539980000000002E-6</v>
      </c>
      <c r="I5041">
        <v>-4.7797419999999997</v>
      </c>
      <c r="J5041">
        <v>-307.08920000000001</v>
      </c>
      <c r="K5041">
        <v>1.0434829999999999</v>
      </c>
      <c r="L5041">
        <v>10.039489999999899</v>
      </c>
      <c r="M5041">
        <v>0.68366459999999996</v>
      </c>
      <c r="N5041">
        <v>0</v>
      </c>
      <c r="O5041">
        <v>-0.72962989999999905</v>
      </c>
      <c r="P5041">
        <v>0.57559119999999997</v>
      </c>
      <c r="Q5041">
        <v>2.2463070000000002E-2</v>
      </c>
      <c r="R5041">
        <v>-0.81742879999999996</v>
      </c>
      <c r="S5041">
        <v>0.78170779999999995</v>
      </c>
      <c r="T5041">
        <v>-0.218447899999999</v>
      </c>
      <c r="U5041">
        <v>-3.1463619999999999</v>
      </c>
      <c r="V5041">
        <v>0.13987459999999999</v>
      </c>
      <c r="W5041">
        <v>3.4094230000000003E-2</v>
      </c>
      <c r="X5041">
        <v>0.98958210000000002</v>
      </c>
      <c r="Y5041">
        <v>0.4877281</v>
      </c>
      <c r="Z5041">
        <v>3.7104959999999999E-2</v>
      </c>
      <c r="AA5041">
        <v>0.872206699999999</v>
      </c>
      <c r="AB5041">
        <v>26</v>
      </c>
      <c r="AC5041">
        <v>3.5550999999999799</v>
      </c>
      <c r="AD5041">
        <v>-1.043486153998</v>
      </c>
      <c r="AE5041">
        <v>-14.819232</v>
      </c>
      <c r="AF5041">
        <v>7.5032149902469403</v>
      </c>
      <c r="AG5041">
        <v>-1.043486153998</v>
      </c>
      <c r="AH5041">
        <v>13.182853672333</v>
      </c>
      <c r="AI5041">
        <v>93.935325549553994</v>
      </c>
      <c r="AJ5041">
        <v>60.352995538615701</v>
      </c>
      <c r="AK5041">
        <v>15.204431245186299</v>
      </c>
    </row>
    <row r="5042" spans="1:37" x14ac:dyDescent="0.2">
      <c r="A5042" t="str">
        <f>"20200111153751806"</f>
        <v>20200111153751806</v>
      </c>
      <c r="B5042" t="str">
        <f>"1578728271798029"</f>
        <v>1578728271798029</v>
      </c>
      <c r="C5042" t="s">
        <v>37</v>
      </c>
      <c r="D5042">
        <v>5.9022199999999998</v>
      </c>
      <c r="E5042">
        <v>0.64376829999999996</v>
      </c>
      <c r="F5042" t="s">
        <v>39</v>
      </c>
      <c r="G5042">
        <v>-303.60149999999999</v>
      </c>
      <c r="H5042" s="1">
        <v>-3.1894380000000001E-6</v>
      </c>
      <c r="I5042">
        <v>-4.7426830000000004</v>
      </c>
      <c r="J5042">
        <v>-306.91160000000002</v>
      </c>
      <c r="K5042">
        <v>1.043496</v>
      </c>
      <c r="L5042">
        <v>9.8240049999999997</v>
      </c>
      <c r="M5042">
        <v>0.67169000000000001</v>
      </c>
      <c r="N5042">
        <v>0</v>
      </c>
      <c r="O5042">
        <v>-0.74066869999999996</v>
      </c>
      <c r="P5042">
        <v>0.56375159999999902</v>
      </c>
      <c r="Q5042">
        <v>2.2542489999999998E-2</v>
      </c>
      <c r="R5042">
        <v>-0.82563709999999901</v>
      </c>
      <c r="S5042">
        <v>0.74377439999999995</v>
      </c>
      <c r="T5042">
        <v>-0.22253100000000001</v>
      </c>
      <c r="U5042">
        <v>-3.1524049999999999</v>
      </c>
      <c r="V5042">
        <v>0.13801579999999999</v>
      </c>
      <c r="W5042">
        <v>3.4230999999999998E-2</v>
      </c>
      <c r="X5042">
        <v>0.98983829999999995</v>
      </c>
      <c r="Y5042">
        <v>0.48382709999999901</v>
      </c>
      <c r="Z5042">
        <v>3.8911229999999998E-2</v>
      </c>
      <c r="AA5042">
        <v>0.87429820000000003</v>
      </c>
      <c r="AB5042">
        <v>26</v>
      </c>
      <c r="AC5042">
        <v>3.31010000000003</v>
      </c>
      <c r="AD5042">
        <v>-1.0434991894379999</v>
      </c>
      <c r="AE5042">
        <v>-14.566687999999999</v>
      </c>
      <c r="AF5042">
        <v>7.2978883451426499</v>
      </c>
      <c r="AG5042">
        <v>-1.0434991894379999</v>
      </c>
      <c r="AH5042">
        <v>12.9508317613394</v>
      </c>
      <c r="AI5042">
        <v>94.015348963908906</v>
      </c>
      <c r="AJ5042">
        <v>60.598422851895499</v>
      </c>
      <c r="AK5042">
        <v>14.9020840209363</v>
      </c>
    </row>
    <row r="5043" spans="1:37" x14ac:dyDescent="0.2">
      <c r="A5043" t="str">
        <f>"20200111153751827"</f>
        <v>20200111153751827</v>
      </c>
      <c r="B5043" t="str">
        <f>"1578728271818525"</f>
        <v>1578728271818525</v>
      </c>
      <c r="C5043" t="s">
        <v>37</v>
      </c>
      <c r="D5043">
        <v>5.584517</v>
      </c>
      <c r="E5043">
        <v>0.65481690000000004</v>
      </c>
      <c r="F5043" t="s">
        <v>39</v>
      </c>
      <c r="G5043">
        <v>-303.67759999999998</v>
      </c>
      <c r="H5043" s="1">
        <v>-3.6481009999999899E-6</v>
      </c>
      <c r="I5043">
        <v>-3.748678</v>
      </c>
      <c r="J5043">
        <v>-306.7518</v>
      </c>
      <c r="K5043">
        <v>1.0435110000000001</v>
      </c>
      <c r="L5043">
        <v>9.6240229999999993</v>
      </c>
      <c r="M5043">
        <v>0.66055559999999902</v>
      </c>
      <c r="N5043">
        <v>0</v>
      </c>
      <c r="O5043">
        <v>-0.75061580000000006</v>
      </c>
      <c r="P5043">
        <v>0.5525873</v>
      </c>
      <c r="Q5043">
        <v>2.250829E-2</v>
      </c>
      <c r="R5043">
        <v>-0.83315119999999898</v>
      </c>
      <c r="S5043">
        <v>0.74597170000000002</v>
      </c>
      <c r="T5043">
        <v>-0.2407031</v>
      </c>
      <c r="U5043">
        <v>-3.130798</v>
      </c>
      <c r="V5043">
        <v>0.1365566</v>
      </c>
      <c r="W5043">
        <v>3.4241489999999999E-2</v>
      </c>
      <c r="X5043">
        <v>0.99004029999999998</v>
      </c>
      <c r="Y5043">
        <v>0.46880769999999999</v>
      </c>
      <c r="Z5043">
        <v>4.3746109999999998E-2</v>
      </c>
      <c r="AA5043">
        <v>0.88221629999999995</v>
      </c>
      <c r="AB5043">
        <v>26</v>
      </c>
      <c r="AC5043">
        <v>3.07420000000001</v>
      </c>
      <c r="AD5043">
        <v>-1.043514648101</v>
      </c>
      <c r="AE5043">
        <v>-13.372700999999999</v>
      </c>
      <c r="AF5043">
        <v>6.4891298300468199</v>
      </c>
      <c r="AG5043">
        <v>-1.043514648101</v>
      </c>
      <c r="AH5043">
        <v>12.000497277198299</v>
      </c>
      <c r="AI5043">
        <v>94.374001933245907</v>
      </c>
      <c r="AJ5043">
        <v>61.598207672669297</v>
      </c>
      <c r="AK5043">
        <v>13.6824582466766</v>
      </c>
    </row>
    <row r="5044" spans="1:37" x14ac:dyDescent="0.2">
      <c r="A5044" t="str">
        <f>"20200111153751849"</f>
        <v>20200111153751849</v>
      </c>
      <c r="B5044" t="str">
        <f>"1578728271838046"</f>
        <v>1578728271838046</v>
      </c>
      <c r="C5044" t="s">
        <v>37</v>
      </c>
      <c r="D5044">
        <v>5.5933310000000001</v>
      </c>
      <c r="E5044">
        <v>0.65609629999999997</v>
      </c>
      <c r="F5044" t="s">
        <v>39</v>
      </c>
      <c r="G5044">
        <v>-303.32639999999998</v>
      </c>
      <c r="H5044" s="1">
        <v>-1.7142700000000001E-6</v>
      </c>
      <c r="I5044">
        <v>-7.7085080000000001</v>
      </c>
      <c r="J5044">
        <v>-306.58859999999999</v>
      </c>
      <c r="K5044">
        <v>1.043528</v>
      </c>
      <c r="L5044">
        <v>9.4131769999999992</v>
      </c>
      <c r="M5044">
        <v>0.64879609999999999</v>
      </c>
      <c r="N5044">
        <v>0</v>
      </c>
      <c r="O5044">
        <v>-0.76080319999999901</v>
      </c>
      <c r="P5044">
        <v>0.54091750000000005</v>
      </c>
      <c r="Q5044">
        <v>2.1933290000000001E-2</v>
      </c>
      <c r="R5044">
        <v>-0.84078969999999897</v>
      </c>
      <c r="S5044">
        <v>0.63006589999999996</v>
      </c>
      <c r="T5044">
        <v>-0.19193969999999999</v>
      </c>
      <c r="U5044">
        <v>-3.1880799999999998</v>
      </c>
      <c r="V5044">
        <v>0.13494700000000001</v>
      </c>
      <c r="W5044">
        <v>3.3716790000000003E-2</v>
      </c>
      <c r="X5044">
        <v>0.99027900000000002</v>
      </c>
      <c r="Y5044">
        <v>0.48910519999999902</v>
      </c>
      <c r="Z5044">
        <v>3.4878859999999998E-2</v>
      </c>
      <c r="AA5044">
        <v>0.8715271</v>
      </c>
      <c r="AB5044">
        <v>26</v>
      </c>
      <c r="AC5044">
        <v>3.2622</v>
      </c>
      <c r="AD5044">
        <v>-1.04352971427</v>
      </c>
      <c r="AE5044">
        <v>-17.121684999999999</v>
      </c>
      <c r="AF5044">
        <v>8.5968193160228807</v>
      </c>
      <c r="AG5044">
        <v>-1.04352971427</v>
      </c>
      <c r="AH5044">
        <v>15.0904767850058</v>
      </c>
      <c r="AI5044">
        <v>93.438507313382303</v>
      </c>
      <c r="AJ5044">
        <v>60.3304809495678</v>
      </c>
      <c r="AK5044">
        <v>17.398757030768198</v>
      </c>
    </row>
    <row r="5045" spans="1:37" x14ac:dyDescent="0.2">
      <c r="A5045" t="str">
        <f>"20200111153751872"</f>
        <v>20200111153751872</v>
      </c>
      <c r="B5045" t="str">
        <f>"1578728271868301"</f>
        <v>1578728271868301</v>
      </c>
      <c r="C5045" t="s">
        <v>37</v>
      </c>
      <c r="D5045">
        <v>5.8402750000000001</v>
      </c>
      <c r="E5045">
        <v>0.63848169999999904</v>
      </c>
      <c r="F5045" t="s">
        <v>39</v>
      </c>
      <c r="G5045">
        <v>-303.2713</v>
      </c>
      <c r="H5045" s="1">
        <v>-1.0925459999999999E-6</v>
      </c>
      <c r="I5045">
        <v>-8.9927580000000003</v>
      </c>
      <c r="J5045">
        <v>-306.42869999999999</v>
      </c>
      <c r="K5045">
        <v>1.0435430000000001</v>
      </c>
      <c r="L5045">
        <v>9.1998289999999994</v>
      </c>
      <c r="M5045">
        <v>0.63687899999999997</v>
      </c>
      <c r="N5045">
        <v>0</v>
      </c>
      <c r="O5045">
        <v>-0.77080709999999997</v>
      </c>
      <c r="P5045">
        <v>0.52827299999999999</v>
      </c>
      <c r="Q5045">
        <v>2.1848179999999998E-2</v>
      </c>
      <c r="R5045">
        <v>-0.84879389999999999</v>
      </c>
      <c r="S5045">
        <v>0.57702640000000005</v>
      </c>
      <c r="T5045">
        <v>-0.18151539999999999</v>
      </c>
      <c r="U5045">
        <v>-3.2015989999999999</v>
      </c>
      <c r="V5045">
        <v>0.1343558</v>
      </c>
      <c r="W5045">
        <v>3.3651029999999998E-2</v>
      </c>
      <c r="X5045">
        <v>0.99036159999999995</v>
      </c>
      <c r="Y5045">
        <v>0.49017299999999903</v>
      </c>
      <c r="Z5045">
        <v>3.3662129999999998E-2</v>
      </c>
      <c r="AA5045">
        <v>0.8709749</v>
      </c>
      <c r="AB5045">
        <v>26</v>
      </c>
      <c r="AC5045">
        <v>3.1573999999999902</v>
      </c>
      <c r="AD5045">
        <v>-1.043544092546</v>
      </c>
      <c r="AE5045">
        <v>-18.192587</v>
      </c>
      <c r="AF5045">
        <v>9.1246910166473203</v>
      </c>
      <c r="AG5045">
        <v>-1.043544092546</v>
      </c>
      <c r="AH5045">
        <v>15.9847374839245</v>
      </c>
      <c r="AI5045">
        <v>93.245002965251899</v>
      </c>
      <c r="AJ5045">
        <v>60.28064559896</v>
      </c>
      <c r="AK5045">
        <v>18.4353140155613</v>
      </c>
    </row>
    <row r="5046" spans="1:37" x14ac:dyDescent="0.2">
      <c r="A5046" t="str">
        <f>"20200111153751894"</f>
        <v>20200111153751894</v>
      </c>
      <c r="B5046" t="str">
        <f>"1578728271887821"</f>
        <v>1578728271887821</v>
      </c>
      <c r="C5046" t="s">
        <v>37</v>
      </c>
      <c r="D5046">
        <v>5.7758669999999999</v>
      </c>
      <c r="E5046">
        <v>0.63883380000000001</v>
      </c>
      <c r="F5046" t="s">
        <v>39</v>
      </c>
      <c r="G5046">
        <v>-300.86759999999998</v>
      </c>
      <c r="H5046" s="1">
        <v>-1.39596E-6</v>
      </c>
      <c r="I5046">
        <v>-17.694970000000001</v>
      </c>
      <c r="J5046">
        <v>-306.2672</v>
      </c>
      <c r="K5046">
        <v>1.0435649999999901</v>
      </c>
      <c r="L5046">
        <v>8.9771729999999899</v>
      </c>
      <c r="M5046">
        <v>0.6244189</v>
      </c>
      <c r="N5046">
        <v>0</v>
      </c>
      <c r="O5046">
        <v>-0.78093459999999904</v>
      </c>
      <c r="P5046">
        <v>0.51500329999999905</v>
      </c>
      <c r="Q5046">
        <v>2.158438E-2</v>
      </c>
      <c r="R5046">
        <v>-0.85691640000000002</v>
      </c>
      <c r="S5046">
        <v>0.64807130000000002</v>
      </c>
      <c r="T5046">
        <v>-0.1216107</v>
      </c>
      <c r="U5046">
        <v>-3.1342159999999999</v>
      </c>
      <c r="V5046">
        <v>0.13385529999999901</v>
      </c>
      <c r="W5046">
        <v>3.3405110000000002E-2</v>
      </c>
      <c r="X5046">
        <v>0.99043769999999998</v>
      </c>
      <c r="Y5046">
        <v>0.45345239999999998</v>
      </c>
      <c r="Z5046">
        <v>2.3973169999999999E-2</v>
      </c>
      <c r="AA5046">
        <v>0.89095800000000003</v>
      </c>
      <c r="AB5046">
        <v>26</v>
      </c>
      <c r="AC5046">
        <v>5.3996000000000199</v>
      </c>
      <c r="AD5046">
        <v>-1.0435663959599999</v>
      </c>
      <c r="AE5046">
        <v>-26.672142999999998</v>
      </c>
      <c r="AF5046">
        <v>12.4210962731936</v>
      </c>
      <c r="AG5046">
        <v>-1.0435663959599999</v>
      </c>
      <c r="AH5046">
        <v>24.168202107881601</v>
      </c>
      <c r="AI5046">
        <v>92.199316471974598</v>
      </c>
      <c r="AJ5046">
        <v>62.799385751087499</v>
      </c>
      <c r="AK5046">
        <v>27.1932832989717</v>
      </c>
    </row>
    <row r="5047" spans="1:37" x14ac:dyDescent="0.2">
      <c r="A5047" t="str">
        <f>"20200111153751917"</f>
        <v>20200111153751917</v>
      </c>
      <c r="B5047" t="str">
        <f>"1578728271908320"</f>
        <v>1578728271908320</v>
      </c>
      <c r="C5047" t="s">
        <v>37</v>
      </c>
      <c r="D5047">
        <v>5.8747920000000002</v>
      </c>
      <c r="E5047">
        <v>0.63813790000000004</v>
      </c>
      <c r="F5047" t="s">
        <v>39</v>
      </c>
      <c r="G5047">
        <v>-301.2971</v>
      </c>
      <c r="H5047" s="1">
        <v>-1.713993E-6</v>
      </c>
      <c r="I5047">
        <v>-17.220020000000002</v>
      </c>
      <c r="J5047">
        <v>-306.11750000000001</v>
      </c>
      <c r="K5047">
        <v>1.043579</v>
      </c>
      <c r="L5047">
        <v>8.7637940000000008</v>
      </c>
      <c r="M5047">
        <v>0.61245930000000004</v>
      </c>
      <c r="N5047">
        <v>0</v>
      </c>
      <c r="O5047">
        <v>-0.79034910000000003</v>
      </c>
      <c r="P5047">
        <v>0.50216689999999997</v>
      </c>
      <c r="Q5047">
        <v>2.1596560000000001E-2</v>
      </c>
      <c r="R5047">
        <v>-0.86450119999999897</v>
      </c>
      <c r="S5047">
        <v>0.59674069999999901</v>
      </c>
      <c r="T5047">
        <v>-0.12529779999999999</v>
      </c>
      <c r="U5047">
        <v>-3.145416</v>
      </c>
      <c r="V5047">
        <v>0.13354749999999899</v>
      </c>
      <c r="W5047">
        <v>3.3428939999999997E-2</v>
      </c>
      <c r="X5047">
        <v>0.99047850000000004</v>
      </c>
      <c r="Y5047">
        <v>0.45450990000000002</v>
      </c>
      <c r="Z5047">
        <v>2.515657E-2</v>
      </c>
      <c r="AA5047">
        <v>0.89038639999999902</v>
      </c>
      <c r="AB5047">
        <v>26</v>
      </c>
      <c r="AC5047">
        <v>4.8204000000000002</v>
      </c>
      <c r="AD5047">
        <v>-1.043580713993</v>
      </c>
      <c r="AE5047">
        <v>-25.983813999999999</v>
      </c>
      <c r="AF5047">
        <v>12.086846093391699</v>
      </c>
      <c r="AG5047">
        <v>-1.043580713993</v>
      </c>
      <c r="AH5047">
        <v>23.454849401428199</v>
      </c>
      <c r="AI5047">
        <v>92.264897597452403</v>
      </c>
      <c r="AJ5047">
        <v>62.7368635405833</v>
      </c>
      <c r="AK5047">
        <v>26.406644422107799</v>
      </c>
    </row>
    <row r="5048" spans="1:37" x14ac:dyDescent="0.2">
      <c r="A5048" t="str">
        <f>"20200111153751938"</f>
        <v>20200111153751938</v>
      </c>
      <c r="B5048" t="str">
        <f>"1578728271927837"</f>
        <v>1578728271927837</v>
      </c>
      <c r="C5048" t="s">
        <v>37</v>
      </c>
      <c r="D5048">
        <v>6.0073040000000004</v>
      </c>
      <c r="E5048">
        <v>0.63316289999999997</v>
      </c>
      <c r="F5048" t="s">
        <v>39</v>
      </c>
      <c r="G5048">
        <v>-301.94510000000002</v>
      </c>
      <c r="H5048" s="1">
        <v>-2.8569149999999999E-6</v>
      </c>
      <c r="I5048">
        <v>-14.9577299999999</v>
      </c>
      <c r="J5048">
        <v>-305.97309999999999</v>
      </c>
      <c r="K5048">
        <v>1.0436019999999999</v>
      </c>
      <c r="L5048">
        <v>8.5511780000000002</v>
      </c>
      <c r="M5048">
        <v>0.60052190000000005</v>
      </c>
      <c r="N5048">
        <v>0</v>
      </c>
      <c r="O5048">
        <v>-0.79945739999999998</v>
      </c>
      <c r="P5048">
        <v>0.4897184</v>
      </c>
      <c r="Q5048">
        <v>2.112375E-2</v>
      </c>
      <c r="R5048">
        <v>-0.87162510000000004</v>
      </c>
      <c r="S5048">
        <v>0.55435179999999995</v>
      </c>
      <c r="T5048">
        <v>-0.1386503</v>
      </c>
      <c r="U5048">
        <v>-3.1516419999999998</v>
      </c>
      <c r="V5048">
        <v>0.1328693</v>
      </c>
      <c r="W5048">
        <v>3.297858E-2</v>
      </c>
      <c r="X5048">
        <v>0.99058469999999998</v>
      </c>
      <c r="Y5048">
        <v>0.453055599999999</v>
      </c>
      <c r="Z5048">
        <v>2.8387229999999999E-2</v>
      </c>
      <c r="AA5048">
        <v>0.89103019999999999</v>
      </c>
      <c r="AB5048">
        <v>26</v>
      </c>
      <c r="AC5048">
        <v>4.0279999999999596</v>
      </c>
      <c r="AD5048">
        <v>-1.0436048569149901</v>
      </c>
      <c r="AE5048">
        <v>-23.508907999999899</v>
      </c>
      <c r="AF5048">
        <v>10.877889733632101</v>
      </c>
      <c r="AG5048">
        <v>-1.0436048569149901</v>
      </c>
      <c r="AH5048">
        <v>21.175293888806198</v>
      </c>
      <c r="AI5048">
        <v>92.510128091243502</v>
      </c>
      <c r="AJ5048">
        <v>62.810131867030897</v>
      </c>
      <c r="AK5048">
        <v>23.828778135518199</v>
      </c>
    </row>
    <row r="5049" spans="1:37" x14ac:dyDescent="0.2">
      <c r="A5049" t="str">
        <f>"20200111153751961"</f>
        <v>20200111153751961</v>
      </c>
      <c r="B5049" t="str">
        <f>"1578728271958093"</f>
        <v>1578728271958093</v>
      </c>
      <c r="C5049" t="s">
        <v>37</v>
      </c>
      <c r="D5049">
        <v>5.8752120000000003</v>
      </c>
      <c r="E5049">
        <v>0.62774739999999996</v>
      </c>
      <c r="F5049" t="s">
        <v>39</v>
      </c>
      <c r="G5049">
        <v>-302.92</v>
      </c>
      <c r="H5049" s="1">
        <v>-9.5558439999999996E-7</v>
      </c>
      <c r="I5049">
        <v>-9.0847569999999997</v>
      </c>
      <c r="J5049">
        <v>-305.8227</v>
      </c>
      <c r="K5049">
        <v>1.043641</v>
      </c>
      <c r="L5049">
        <v>8.3217770000000009</v>
      </c>
      <c r="M5049">
        <v>0.58762689999999995</v>
      </c>
      <c r="N5049">
        <v>0</v>
      </c>
      <c r="O5049">
        <v>-0.8089826</v>
      </c>
      <c r="P5049">
        <v>0.4762499</v>
      </c>
      <c r="Q5049">
        <v>2.116239E-2</v>
      </c>
      <c r="R5049">
        <v>-0.87905529999999998</v>
      </c>
      <c r="S5049">
        <v>0.54373169999999904</v>
      </c>
      <c r="T5049">
        <v>-0.18585850000000001</v>
      </c>
      <c r="U5049">
        <v>-3.1408390000000002</v>
      </c>
      <c r="V5049">
        <v>0.13222600000000001</v>
      </c>
      <c r="W5049">
        <v>3.3039099999999898E-2</v>
      </c>
      <c r="X5049">
        <v>0.99066880000000002</v>
      </c>
      <c r="Y5049">
        <v>0.44117399999999901</v>
      </c>
      <c r="Z5049">
        <v>3.9150599999999897E-2</v>
      </c>
      <c r="AA5049">
        <v>0.89656719999999901</v>
      </c>
      <c r="AB5049">
        <v>26</v>
      </c>
      <c r="AC5049">
        <v>2.9026999999999799</v>
      </c>
      <c r="AD5049">
        <v>-1.0436419555844001</v>
      </c>
      <c r="AE5049">
        <v>-17.406534000000001</v>
      </c>
      <c r="AF5049">
        <v>7.8537974500795897</v>
      </c>
      <c r="AG5049">
        <v>-1.0436419555844001</v>
      </c>
      <c r="AH5049">
        <v>15.7341652845904</v>
      </c>
      <c r="AI5049">
        <v>93.396354047094803</v>
      </c>
      <c r="AJ5049">
        <v>63.473664190907897</v>
      </c>
      <c r="AK5049">
        <v>17.616335604237999</v>
      </c>
    </row>
    <row r="5050" spans="1:37" x14ac:dyDescent="0.2">
      <c r="A5050" t="str">
        <f>"20200111153751983"</f>
        <v>20200111153751983</v>
      </c>
      <c r="B5050" t="str">
        <f>"1578728271978589"</f>
        <v>1578728271978589</v>
      </c>
      <c r="C5050" t="s">
        <v>37</v>
      </c>
      <c r="D5050">
        <v>5.9079790000000001</v>
      </c>
      <c r="E5050">
        <v>0.62536950000000002</v>
      </c>
      <c r="F5050" t="s">
        <v>39</v>
      </c>
      <c r="G5050">
        <v>-303.601</v>
      </c>
      <c r="H5050" s="1">
        <v>-3.2026289999999998E-6</v>
      </c>
      <c r="I5050">
        <v>-4.7145099999999998</v>
      </c>
      <c r="J5050">
        <v>-305.68169999999998</v>
      </c>
      <c r="K5050">
        <v>1.043679</v>
      </c>
      <c r="L5050">
        <v>8.0991210000000002</v>
      </c>
      <c r="M5050">
        <v>0.57509399999999999</v>
      </c>
      <c r="N5050">
        <v>0</v>
      </c>
      <c r="O5050">
        <v>-0.81793990000000005</v>
      </c>
      <c r="P5050">
        <v>0.46323039999999999</v>
      </c>
      <c r="Q5050">
        <v>2.1323829999999998E-2</v>
      </c>
      <c r="R5050">
        <v>-0.88598169999999898</v>
      </c>
      <c r="S5050">
        <v>0.53338619999999903</v>
      </c>
      <c r="T5050">
        <v>-0.2505638</v>
      </c>
      <c r="U5050">
        <v>-3.1298219999999999</v>
      </c>
      <c r="V5050">
        <v>0.13157769999999999</v>
      </c>
      <c r="W5050">
        <v>3.3221630000000002E-2</v>
      </c>
      <c r="X5050">
        <v>0.99074899999999999</v>
      </c>
      <c r="Y5050">
        <v>0.42976059999999999</v>
      </c>
      <c r="Z5050">
        <v>5.4161279999999999E-2</v>
      </c>
      <c r="AA5050">
        <v>0.90131700000000003</v>
      </c>
      <c r="AB5050">
        <v>26</v>
      </c>
      <c r="AC5050">
        <v>2.0806999999999798</v>
      </c>
      <c r="AD5050">
        <v>-1.043682202629</v>
      </c>
      <c r="AE5050">
        <v>-12.813631000000001</v>
      </c>
      <c r="AF5050">
        <v>5.6314377837014504</v>
      </c>
      <c r="AG5050">
        <v>-1.043682202629</v>
      </c>
      <c r="AH5050">
        <v>11.6037820255148</v>
      </c>
      <c r="AI5050">
        <v>94.626154743115805</v>
      </c>
      <c r="AJ5050">
        <v>64.112211914250295</v>
      </c>
      <c r="AK5050">
        <v>12.940251981605501</v>
      </c>
    </row>
    <row r="5051" spans="1:37" x14ac:dyDescent="0.2">
      <c r="A5051" t="str">
        <f>"20200111153752006"</f>
        <v>20200111153752006</v>
      </c>
      <c r="B5051" t="str">
        <f>"1578728271998111"</f>
        <v>1578728271998111</v>
      </c>
      <c r="C5051" t="s">
        <v>37</v>
      </c>
      <c r="D5051">
        <v>5.9778519999999897</v>
      </c>
      <c r="E5051">
        <v>0.62446159999999995</v>
      </c>
      <c r="F5051" t="s">
        <v>39</v>
      </c>
      <c r="G5051">
        <v>-303.78559999999999</v>
      </c>
      <c r="H5051" s="1">
        <v>-3.6983810000000001E-6</v>
      </c>
      <c r="I5051">
        <v>-3.6676019999999898</v>
      </c>
      <c r="J5051">
        <v>-305.54199999999997</v>
      </c>
      <c r="K5051">
        <v>1.0437239999999901</v>
      </c>
      <c r="L5051">
        <v>7.8706360000000002</v>
      </c>
      <c r="M5051">
        <v>0.5622085</v>
      </c>
      <c r="N5051">
        <v>0</v>
      </c>
      <c r="O5051">
        <v>-0.82684979999999997</v>
      </c>
      <c r="P5051">
        <v>0.4503838</v>
      </c>
      <c r="Q5051">
        <v>2.183736E-2</v>
      </c>
      <c r="R5051">
        <v>-0.89256819999999903</v>
      </c>
      <c r="S5051">
        <v>0.50424190000000002</v>
      </c>
      <c r="T5051">
        <v>-0.27754899999999999</v>
      </c>
      <c r="U5051">
        <v>-3.1291500000000001</v>
      </c>
      <c r="V5051">
        <v>0.13037119999999999</v>
      </c>
      <c r="W5051">
        <v>3.3772549999999998E-2</v>
      </c>
      <c r="X5051">
        <v>0.99088989999999999</v>
      </c>
      <c r="Y5051">
        <v>0.42380010000000001</v>
      </c>
      <c r="Z5051">
        <v>6.1259580000000001E-2</v>
      </c>
      <c r="AA5051">
        <v>0.90368179999999998</v>
      </c>
      <c r="AB5051">
        <v>26</v>
      </c>
      <c r="AC5051">
        <v>1.7564000000000399</v>
      </c>
      <c r="AD5051">
        <v>-1.04372769838099</v>
      </c>
      <c r="AE5051">
        <v>-11.538238</v>
      </c>
      <c r="AF5051">
        <v>4.9952742874873204</v>
      </c>
      <c r="AG5051">
        <v>-1.04372769838099</v>
      </c>
      <c r="AH5051">
        <v>10.4455845763149</v>
      </c>
      <c r="AI5051">
        <v>95.150900539015694</v>
      </c>
      <c r="AJ5051">
        <v>64.441999391870993</v>
      </c>
      <c r="AK5051">
        <v>11.625505144145199</v>
      </c>
    </row>
    <row r="5052" spans="1:37" x14ac:dyDescent="0.2">
      <c r="A5052" t="str">
        <f>"20200111153752028"</f>
        <v>20200111153752028</v>
      </c>
      <c r="B5052" t="str">
        <f>"1578728272018605"</f>
        <v>1578728272018605</v>
      </c>
      <c r="C5052" t="s">
        <v>37</v>
      </c>
      <c r="D5052">
        <v>6.0039509999999998</v>
      </c>
      <c r="E5052">
        <v>0.60616759999999903</v>
      </c>
      <c r="F5052" t="s">
        <v>39</v>
      </c>
      <c r="G5052">
        <v>-303.8338</v>
      </c>
      <c r="H5052" s="1">
        <v>-3.7222129999999998E-6</v>
      </c>
      <c r="I5052">
        <v>-3.6278229999999998</v>
      </c>
      <c r="J5052">
        <v>-305.40910000000002</v>
      </c>
      <c r="K5052">
        <v>1.043776</v>
      </c>
      <c r="L5052">
        <v>7.6457519999999999</v>
      </c>
      <c r="M5052">
        <v>0.5495101</v>
      </c>
      <c r="N5052">
        <v>0</v>
      </c>
      <c r="O5052">
        <v>-0.83534279999999905</v>
      </c>
      <c r="P5052">
        <v>0.43793589999999999</v>
      </c>
      <c r="Q5052">
        <v>2.249408E-2</v>
      </c>
      <c r="R5052">
        <v>-0.89872469999999904</v>
      </c>
      <c r="S5052">
        <v>0.46545409999999998</v>
      </c>
      <c r="T5052">
        <v>-0.28440479999999901</v>
      </c>
      <c r="U5052">
        <v>-3.1332089999999999</v>
      </c>
      <c r="V5052">
        <v>0.12900899999999901</v>
      </c>
      <c r="W5052">
        <v>3.4471179999999997E-2</v>
      </c>
      <c r="X5052">
        <v>0.99104409999999898</v>
      </c>
      <c r="Y5052">
        <v>0.4210914</v>
      </c>
      <c r="Z5052">
        <v>6.3888039999999993E-2</v>
      </c>
      <c r="AA5052">
        <v>0.90476540000000005</v>
      </c>
      <c r="AB5052">
        <v>26</v>
      </c>
      <c r="AC5052">
        <v>1.5753000000000199</v>
      </c>
      <c r="AD5052">
        <v>-1.0437797222130001</v>
      </c>
      <c r="AE5052">
        <v>-11.273574999999999</v>
      </c>
      <c r="AF5052">
        <v>4.8389299217802098</v>
      </c>
      <c r="AG5052">
        <v>-1.0437797222130001</v>
      </c>
      <c r="AH5052">
        <v>10.198433441383701</v>
      </c>
      <c r="AI5052">
        <v>95.282918366952799</v>
      </c>
      <c r="AJ5052">
        <v>64.616700311779695</v>
      </c>
      <c r="AK5052">
        <v>11.3363470110409</v>
      </c>
    </row>
    <row r="5053" spans="1:37" x14ac:dyDescent="0.2">
      <c r="A5053" t="str">
        <f>"20200111153752050"</f>
        <v>20200111153752050</v>
      </c>
      <c r="B5053" t="str">
        <f>"1578728272038125"</f>
        <v>1578728272038125</v>
      </c>
      <c r="C5053" t="s">
        <v>37</v>
      </c>
      <c r="D5053">
        <v>5.8903949999999998</v>
      </c>
      <c r="E5053">
        <v>0.60367950000000004</v>
      </c>
      <c r="F5053" t="s">
        <v>40</v>
      </c>
      <c r="G5053">
        <v>-304.0077</v>
      </c>
      <c r="H5053">
        <v>-0.05</v>
      </c>
      <c r="I5053">
        <v>-0.1602478</v>
      </c>
      <c r="J5053">
        <v>-305.27769999999998</v>
      </c>
      <c r="K5053">
        <v>1.0438270000000001</v>
      </c>
      <c r="L5053">
        <v>7.4153440000000002</v>
      </c>
      <c r="M5053">
        <v>0.53647699999999998</v>
      </c>
      <c r="N5053">
        <v>0</v>
      </c>
      <c r="O5053">
        <v>-0.84377219999999997</v>
      </c>
      <c r="P5053">
        <v>0.42562029999999901</v>
      </c>
      <c r="Q5053">
        <v>2.4142549999999999E-2</v>
      </c>
      <c r="R5053">
        <v>-0.90457989999999999</v>
      </c>
      <c r="S5053">
        <v>0.55288700000000002</v>
      </c>
      <c r="T5053">
        <v>-0.43149549999999998</v>
      </c>
      <c r="U5053">
        <v>-3.0794679999999999</v>
      </c>
      <c r="V5053">
        <v>0.12717870000000001</v>
      </c>
      <c r="W5053">
        <v>3.6174329999999998E-2</v>
      </c>
      <c r="X5053">
        <v>0.99121990000000004</v>
      </c>
      <c r="Y5053">
        <v>0.37982880000000002</v>
      </c>
      <c r="Z5053">
        <v>0.100934</v>
      </c>
      <c r="AA5053">
        <v>0.91953379999999996</v>
      </c>
      <c r="AB5053">
        <v>26</v>
      </c>
      <c r="AC5053">
        <v>1.26999999999998</v>
      </c>
      <c r="AD5053">
        <v>-1.0938270000000001</v>
      </c>
      <c r="AE5053">
        <v>-7.5755917999999998</v>
      </c>
      <c r="AF5053">
        <v>2.9334165207902898</v>
      </c>
      <c r="AG5053">
        <v>-1.0938270000000001</v>
      </c>
      <c r="AH5053">
        <v>6.9336505524479302</v>
      </c>
      <c r="AI5053">
        <v>98.266590719097906</v>
      </c>
      <c r="AJ5053">
        <v>67.068257161183695</v>
      </c>
      <c r="AK5053">
        <v>7.6076869003551799</v>
      </c>
    </row>
    <row r="5054" spans="1:37" x14ac:dyDescent="0.2">
      <c r="A5054" t="str">
        <f>"20200111153752073"</f>
        <v>20200111153752073</v>
      </c>
      <c r="B5054" t="str">
        <f>"1578728272068381"</f>
        <v>1578728272068381</v>
      </c>
      <c r="C5054" t="s">
        <v>37</v>
      </c>
      <c r="D5054">
        <v>5.8882909999999997</v>
      </c>
      <c r="E5054">
        <v>0.60132669999999999</v>
      </c>
      <c r="F5054" t="s">
        <v>40</v>
      </c>
      <c r="G5054">
        <v>-303.88670000000002</v>
      </c>
      <c r="H5054">
        <v>-0.05</v>
      </c>
      <c r="I5054">
        <v>-0.67604059999999999</v>
      </c>
      <c r="J5054">
        <v>-305.15069999999997</v>
      </c>
      <c r="K5054">
        <v>1.0438769999999999</v>
      </c>
      <c r="L5054">
        <v>7.1842649999999901</v>
      </c>
      <c r="M5054">
        <v>0.52338980000000002</v>
      </c>
      <c r="N5054">
        <v>0</v>
      </c>
      <c r="O5054">
        <v>-0.85195219999999905</v>
      </c>
      <c r="P5054">
        <v>0.413197599999999</v>
      </c>
      <c r="Q5054">
        <v>2.4780409999999999E-2</v>
      </c>
      <c r="R5054">
        <v>-0.91030419999999901</v>
      </c>
      <c r="S5054">
        <v>0.52926640000000003</v>
      </c>
      <c r="T5054">
        <v>-0.41617189999999998</v>
      </c>
      <c r="U5054">
        <v>-3.0785520000000002</v>
      </c>
      <c r="V5054">
        <v>0.12545319999999999</v>
      </c>
      <c r="W5054">
        <v>3.6863859999999998E-2</v>
      </c>
      <c r="X5054">
        <v>0.99141440000000003</v>
      </c>
      <c r="Y5054">
        <v>0.37231340000000002</v>
      </c>
      <c r="Z5054">
        <v>9.9267659999999994E-2</v>
      </c>
      <c r="AA5054">
        <v>0.92278309999999997</v>
      </c>
      <c r="AB5054">
        <v>26</v>
      </c>
      <c r="AC5054">
        <v>1.2639999999999501</v>
      </c>
      <c r="AD5054">
        <v>-1.093877</v>
      </c>
      <c r="AE5054">
        <v>-7.8603055999999896</v>
      </c>
      <c r="AF5054">
        <v>2.9812202386493998</v>
      </c>
      <c r="AG5054">
        <v>-1.093877</v>
      </c>
      <c r="AH5054">
        <v>7.2226999362502999</v>
      </c>
      <c r="AI5054">
        <v>97.969240747217995</v>
      </c>
      <c r="AJ5054">
        <v>67.571267953108404</v>
      </c>
      <c r="AK5054">
        <v>7.8899705558114697</v>
      </c>
    </row>
    <row r="5055" spans="1:37" x14ac:dyDescent="0.2">
      <c r="A5055" t="str">
        <f>"20200111153752095"</f>
        <v>20200111153752095</v>
      </c>
      <c r="B5055" t="str">
        <f>"1578728272087904"</f>
        <v>1578728272087904</v>
      </c>
      <c r="C5055" t="s">
        <v>37</v>
      </c>
      <c r="D5055">
        <v>6.014615</v>
      </c>
      <c r="E5055">
        <v>0.60017880000000001</v>
      </c>
      <c r="F5055" t="s">
        <v>39</v>
      </c>
      <c r="G5055">
        <v>-303.875</v>
      </c>
      <c r="H5055" s="1">
        <v>-4.8934949999999902E-6</v>
      </c>
      <c r="I5055">
        <v>-0.59677219999999997</v>
      </c>
      <c r="J5055">
        <v>-305.0258</v>
      </c>
      <c r="K5055">
        <v>1.043936</v>
      </c>
      <c r="L5055">
        <v>6.9487610000000002</v>
      </c>
      <c r="M5055">
        <v>0.51003569999999998</v>
      </c>
      <c r="N5055">
        <v>0</v>
      </c>
      <c r="O5055">
        <v>-0.86001349999999999</v>
      </c>
      <c r="P5055">
        <v>0.40108349999999998</v>
      </c>
      <c r="Q5055">
        <v>2.5055589999999999E-2</v>
      </c>
      <c r="R5055">
        <v>-0.91569899999999904</v>
      </c>
      <c r="S5055">
        <v>0.50457759999999996</v>
      </c>
      <c r="T5055">
        <v>-0.41290749999999998</v>
      </c>
      <c r="U5055">
        <v>-3.0777890000000001</v>
      </c>
      <c r="V5055">
        <v>0.123140899999999</v>
      </c>
      <c r="W5055">
        <v>3.7206950000000003E-2</v>
      </c>
      <c r="X5055">
        <v>0.99169149999999995</v>
      </c>
      <c r="Y5055">
        <v>0.36500479999999902</v>
      </c>
      <c r="Z5055">
        <v>0.1003169</v>
      </c>
      <c r="AA5055">
        <v>0.925585199999999</v>
      </c>
      <c r="AB5055">
        <v>26</v>
      </c>
      <c r="AC5055">
        <v>1.1508</v>
      </c>
      <c r="AD5055">
        <v>-1.0439408934950001</v>
      </c>
      <c r="AE5055">
        <v>-7.5455331999999897</v>
      </c>
      <c r="AF5055">
        <v>2.8066300088129399</v>
      </c>
      <c r="AG5055">
        <v>-1.0439408934950001</v>
      </c>
      <c r="AH5055">
        <v>6.9471060875627799</v>
      </c>
      <c r="AI5055">
        <v>97.931905804989995</v>
      </c>
      <c r="AJ5055">
        <v>68.001297807919599</v>
      </c>
      <c r="AK5055">
        <v>7.5650028147603701</v>
      </c>
    </row>
    <row r="5056" spans="1:37" x14ac:dyDescent="0.2">
      <c r="A5056" t="str">
        <f>"20200111153752119"</f>
        <v>20200111153752119</v>
      </c>
      <c r="B5056" t="str">
        <f>"1578728272108397"</f>
        <v>1578728272108397</v>
      </c>
      <c r="C5056" t="s">
        <v>37</v>
      </c>
      <c r="D5056">
        <v>5.9513030000000002</v>
      </c>
      <c r="E5056">
        <v>0.59796329999999998</v>
      </c>
      <c r="F5056" t="s">
        <v>39</v>
      </c>
      <c r="G5056">
        <v>-303.8245</v>
      </c>
      <c r="H5056" s="1">
        <v>-4.7709920000000003E-6</v>
      </c>
      <c r="I5056">
        <v>-0.89241599999999999</v>
      </c>
      <c r="J5056">
        <v>-304.89980000000003</v>
      </c>
      <c r="K5056">
        <v>1.0439909999999999</v>
      </c>
      <c r="L5056">
        <v>6.7019039999999901</v>
      </c>
      <c r="M5056">
        <v>0.49603000000000003</v>
      </c>
      <c r="N5056">
        <v>0</v>
      </c>
      <c r="O5056">
        <v>-0.86816719999999903</v>
      </c>
      <c r="P5056">
        <v>0.38806550000000001</v>
      </c>
      <c r="Q5056">
        <v>2.4236890000000001E-2</v>
      </c>
      <c r="R5056">
        <v>-0.92131339999999995</v>
      </c>
      <c r="S5056">
        <v>0.47198489999999999</v>
      </c>
      <c r="T5056">
        <v>-0.41014970000000001</v>
      </c>
      <c r="U5056">
        <v>-3.0806879999999999</v>
      </c>
      <c r="V5056">
        <v>0.12110799999999999</v>
      </c>
      <c r="W5056">
        <v>3.6447859999999999E-2</v>
      </c>
      <c r="X5056">
        <v>0.99196989999999996</v>
      </c>
      <c r="Y5056">
        <v>0.35961700000000002</v>
      </c>
      <c r="Z5056">
        <v>0.1013265</v>
      </c>
      <c r="AA5056">
        <v>0.92758209999999996</v>
      </c>
      <c r="AB5056">
        <v>26</v>
      </c>
      <c r="AC5056">
        <v>1.0753000000000199</v>
      </c>
      <c r="AD5056">
        <v>-1.04399577099199</v>
      </c>
      <c r="AE5056">
        <v>-7.59431999999999</v>
      </c>
      <c r="AF5056">
        <v>2.7822641005685802</v>
      </c>
      <c r="AG5056">
        <v>-1.04399577099199</v>
      </c>
      <c r="AH5056">
        <v>6.9977306561633998</v>
      </c>
      <c r="AI5056">
        <v>97.892872543306396</v>
      </c>
      <c r="AJ5056">
        <v>68.317469136094701</v>
      </c>
      <c r="AK5056">
        <v>7.6025755524934402</v>
      </c>
    </row>
    <row r="5057" spans="1:37" x14ac:dyDescent="0.2">
      <c r="A5057" t="str">
        <f>"20200111153752141"</f>
        <v>20200111153752141</v>
      </c>
      <c r="B5057" t="str">
        <f>"1578728272127917"</f>
        <v>1578728272127917</v>
      </c>
      <c r="C5057" t="s">
        <v>37</v>
      </c>
      <c r="D5057">
        <v>5.9760879999999998</v>
      </c>
      <c r="E5057">
        <v>0.59617349999999902</v>
      </c>
      <c r="F5057" t="s">
        <v>39</v>
      </c>
      <c r="G5057">
        <v>-303.79610000000002</v>
      </c>
      <c r="H5057" s="1">
        <v>-4.7417419999999997E-6</v>
      </c>
      <c r="I5057">
        <v>-0.95549680000000003</v>
      </c>
      <c r="J5057">
        <v>-304.78710000000001</v>
      </c>
      <c r="K5057">
        <v>1.044035</v>
      </c>
      <c r="L5057">
        <v>6.4718929999999997</v>
      </c>
      <c r="M5057">
        <v>0.48299029999999998</v>
      </c>
      <c r="N5057">
        <v>0</v>
      </c>
      <c r="O5057">
        <v>-0.87548859999999995</v>
      </c>
      <c r="P5057">
        <v>0.37607489999999999</v>
      </c>
      <c r="Q5057">
        <v>2.2740980000000001E-2</v>
      </c>
      <c r="R5057">
        <v>-0.92631019999999897</v>
      </c>
      <c r="S5057">
        <v>0.44396970000000002</v>
      </c>
      <c r="T5057">
        <v>-0.41995690000000002</v>
      </c>
      <c r="U5057">
        <v>-3.0802610000000001</v>
      </c>
      <c r="V5057">
        <v>0.1191218</v>
      </c>
      <c r="W5057">
        <v>3.501112E-2</v>
      </c>
      <c r="X5057">
        <v>0.99226219999999998</v>
      </c>
      <c r="Y5057">
        <v>0.35394829999999999</v>
      </c>
      <c r="Z5057">
        <v>0.1053615</v>
      </c>
      <c r="AA5057">
        <v>0.92931129999999995</v>
      </c>
      <c r="AB5057">
        <v>26</v>
      </c>
      <c r="AC5057">
        <v>0.990999999999985</v>
      </c>
      <c r="AD5057">
        <v>-1.044039741742</v>
      </c>
      <c r="AE5057">
        <v>-7.4273897999999896</v>
      </c>
      <c r="AF5057">
        <v>2.6682746839688098</v>
      </c>
      <c r="AG5057">
        <v>-1.044039741742</v>
      </c>
      <c r="AH5057">
        <v>6.8491131311117996</v>
      </c>
      <c r="AI5057">
        <v>98.084007469007702</v>
      </c>
      <c r="AJ5057">
        <v>68.715127031216497</v>
      </c>
      <c r="AK5057">
        <v>7.4242884813437602</v>
      </c>
    </row>
    <row r="5058" spans="1:37" x14ac:dyDescent="0.2">
      <c r="A5058" t="str">
        <f>"20200111153752163"</f>
        <v>20200111153752163</v>
      </c>
      <c r="B5058" t="str">
        <f>"1578728272158174"</f>
        <v>1578728272158174</v>
      </c>
      <c r="C5058" t="s">
        <v>37</v>
      </c>
      <c r="D5058">
        <v>5.6499689999999996</v>
      </c>
      <c r="E5058">
        <v>0.59590369999999904</v>
      </c>
      <c r="F5058" t="s">
        <v>39</v>
      </c>
      <c r="G5058">
        <v>-303.7672</v>
      </c>
      <c r="H5058" s="1">
        <v>-4.6918179999999998E-6</v>
      </c>
      <c r="I5058">
        <v>-1.0721510000000001</v>
      </c>
      <c r="J5058">
        <v>-304.67829999999998</v>
      </c>
      <c r="K5058">
        <v>1.044089</v>
      </c>
      <c r="L5058">
        <v>6.2409669999999897</v>
      </c>
      <c r="M5058">
        <v>0.46991959999999999</v>
      </c>
      <c r="N5058">
        <v>0</v>
      </c>
      <c r="O5058">
        <v>-0.88257350000000001</v>
      </c>
      <c r="P5058">
        <v>0.364595</v>
      </c>
      <c r="Q5058">
        <v>2.1610239999999999E-2</v>
      </c>
      <c r="R5058">
        <v>-0.93091550000000001</v>
      </c>
      <c r="S5058">
        <v>0.41641239999999902</v>
      </c>
      <c r="T5058">
        <v>-0.42625999999999997</v>
      </c>
      <c r="U5058">
        <v>-3.0800779999999999</v>
      </c>
      <c r="V5058">
        <v>0.1166124</v>
      </c>
      <c r="W5058">
        <v>3.395364E-2</v>
      </c>
      <c r="X5058">
        <v>0.9925969</v>
      </c>
      <c r="Y5058">
        <v>0.34822839999999999</v>
      </c>
      <c r="Z5058">
        <v>0.1085361</v>
      </c>
      <c r="AA5058">
        <v>0.93110519999999997</v>
      </c>
      <c r="AB5058">
        <v>26</v>
      </c>
      <c r="AC5058">
        <v>0.91109999999997604</v>
      </c>
      <c r="AD5058">
        <v>-1.0440936918179999</v>
      </c>
      <c r="AE5058">
        <v>-7.3131179999999896</v>
      </c>
      <c r="AF5058">
        <v>2.5809755388913902</v>
      </c>
      <c r="AG5058">
        <v>-1.0440936918179999</v>
      </c>
      <c r="AH5058">
        <v>6.7478906968694297</v>
      </c>
      <c r="AI5058">
        <v>98.223358964247595</v>
      </c>
      <c r="AJ5058">
        <v>69.068833758825093</v>
      </c>
      <c r="AK5058">
        <v>7.2996982969535704</v>
      </c>
    </row>
    <row r="5059" spans="1:37" x14ac:dyDescent="0.2">
      <c r="A5059" t="str">
        <f>"20200111153752185"</f>
        <v>20200111153752185</v>
      </c>
      <c r="B5059" t="str">
        <f>"1578728272178669"</f>
        <v>1578728272178669</v>
      </c>
      <c r="C5059" t="s">
        <v>37</v>
      </c>
      <c r="D5059">
        <v>5.5909300000000002</v>
      </c>
      <c r="E5059">
        <v>0.59718319999999903</v>
      </c>
      <c r="F5059" t="s">
        <v>39</v>
      </c>
      <c r="G5059">
        <v>-303.72430000000003</v>
      </c>
      <c r="H5059" s="1">
        <v>-4.5104159999999996E-6</v>
      </c>
      <c r="I5059">
        <v>-1.5247189999999999</v>
      </c>
      <c r="J5059">
        <v>-304.56740000000002</v>
      </c>
      <c r="K5059">
        <v>1.0441389999999999</v>
      </c>
      <c r="L5059">
        <v>5.9960019999999998</v>
      </c>
      <c r="M5059">
        <v>0.45608310000000002</v>
      </c>
      <c r="N5059">
        <v>0</v>
      </c>
      <c r="O5059">
        <v>-0.88980289999999995</v>
      </c>
      <c r="P5059">
        <v>0.35335299999999997</v>
      </c>
      <c r="Q5059">
        <v>2.00958E-2</v>
      </c>
      <c r="R5059">
        <v>-0.93527439999999995</v>
      </c>
      <c r="S5059">
        <v>0.37884519999999999</v>
      </c>
      <c r="T5059">
        <v>-0.414628</v>
      </c>
      <c r="U5059">
        <v>-3.0838930000000002</v>
      </c>
      <c r="V5059">
        <v>0.1130433</v>
      </c>
      <c r="W5059">
        <v>3.2540600000000003E-2</v>
      </c>
      <c r="X5059">
        <v>0.99305710000000003</v>
      </c>
      <c r="Y5059">
        <v>0.34488179999999902</v>
      </c>
      <c r="Z5059">
        <v>0.10704859999999999</v>
      </c>
      <c r="AA5059">
        <v>0.93252190000000001</v>
      </c>
      <c r="AB5059">
        <v>26</v>
      </c>
      <c r="AC5059">
        <v>0.84309999999999197</v>
      </c>
      <c r="AD5059">
        <v>-1.044143510416</v>
      </c>
      <c r="AE5059">
        <v>-7.520721</v>
      </c>
      <c r="AF5059">
        <v>2.6301337902630499</v>
      </c>
      <c r="AG5059">
        <v>-1.044143510416</v>
      </c>
      <c r="AH5059">
        <v>6.94512093479009</v>
      </c>
      <c r="AI5059">
        <v>98.003197364069905</v>
      </c>
      <c r="AJ5059">
        <v>69.258204157507294</v>
      </c>
      <c r="AK5059">
        <v>7.4995029317873403</v>
      </c>
    </row>
    <row r="5060" spans="1:37" x14ac:dyDescent="0.2">
      <c r="A5060" t="str">
        <f>"20200111153752206"</f>
        <v>20200111153752206</v>
      </c>
      <c r="B5060" t="str">
        <f>"1578728272198189"</f>
        <v>1578728272198189</v>
      </c>
      <c r="C5060" t="s">
        <v>37</v>
      </c>
      <c r="D5060">
        <v>5.6550969999999996</v>
      </c>
      <c r="E5060">
        <v>0.61544699999999997</v>
      </c>
      <c r="F5060" t="s">
        <v>39</v>
      </c>
      <c r="G5060">
        <v>-303.70839999999998</v>
      </c>
      <c r="H5060" s="1">
        <v>-4.3138650000000004E-6</v>
      </c>
      <c r="I5060">
        <v>-2.0292089999999998</v>
      </c>
      <c r="J5060">
        <v>-304.46440000000001</v>
      </c>
      <c r="K5060">
        <v>1.044187</v>
      </c>
      <c r="L5060">
        <v>5.759277</v>
      </c>
      <c r="M5060">
        <v>0.44275140000000002</v>
      </c>
      <c r="N5060">
        <v>0</v>
      </c>
      <c r="O5060">
        <v>-0.89651130000000001</v>
      </c>
      <c r="P5060">
        <v>0.34308499999999997</v>
      </c>
      <c r="Q5060">
        <v>1.849462E-2</v>
      </c>
      <c r="R5060">
        <v>-0.93912209999999996</v>
      </c>
      <c r="S5060">
        <v>0.33087159999999999</v>
      </c>
      <c r="T5060">
        <v>-0.40219549999999998</v>
      </c>
      <c r="U5060">
        <v>-3.09124799999999</v>
      </c>
      <c r="V5060">
        <v>0.109066899999999</v>
      </c>
      <c r="W5060">
        <v>3.105219E-2</v>
      </c>
      <c r="X5060">
        <v>0.99354929999999997</v>
      </c>
      <c r="Y5060">
        <v>0.34539940000000002</v>
      </c>
      <c r="Z5060">
        <v>0.104973</v>
      </c>
      <c r="AA5060">
        <v>0.93256629999999996</v>
      </c>
      <c r="AB5060">
        <v>26</v>
      </c>
      <c r="AC5060">
        <v>0.75600000000002798</v>
      </c>
      <c r="AD5060">
        <v>-1.0441913138650001</v>
      </c>
      <c r="AE5060">
        <v>-7.7884859999999998</v>
      </c>
      <c r="AF5060">
        <v>2.7224535689901601</v>
      </c>
      <c r="AG5060">
        <v>-1.0441913138650001</v>
      </c>
      <c r="AH5060">
        <v>7.1900291062979402</v>
      </c>
      <c r="AI5060">
        <v>97.734447446994594</v>
      </c>
      <c r="AJ5060">
        <v>69.261183774307298</v>
      </c>
      <c r="AK5060">
        <v>7.7587761589486499</v>
      </c>
    </row>
    <row r="5061" spans="1:37" x14ac:dyDescent="0.2">
      <c r="A5061" t="str">
        <f>"20200111153752229"</f>
        <v>20200111153752229</v>
      </c>
      <c r="B5061" t="str">
        <f>"1578728272218685"</f>
        <v>1578728272218685</v>
      </c>
      <c r="C5061" t="s">
        <v>37</v>
      </c>
      <c r="D5061">
        <v>5.653702</v>
      </c>
      <c r="E5061">
        <v>0.61396989999999996</v>
      </c>
      <c r="F5061" t="s">
        <v>39</v>
      </c>
      <c r="G5061">
        <v>-303.35939999999999</v>
      </c>
      <c r="H5061" s="1">
        <v>-2.943605E-6</v>
      </c>
      <c r="I5061">
        <v>-15.632849999999999</v>
      </c>
      <c r="J5061">
        <v>-304.36509999999998</v>
      </c>
      <c r="K5061">
        <v>1.044257</v>
      </c>
      <c r="L5061">
        <v>5.5216669999999999</v>
      </c>
      <c r="M5061">
        <v>0.42944189999999999</v>
      </c>
      <c r="N5061">
        <v>0</v>
      </c>
      <c r="O5061">
        <v>-0.90296270000000001</v>
      </c>
      <c r="P5061">
        <v>0.33345570000000002</v>
      </c>
      <c r="Q5061">
        <v>1.6457409999999999E-2</v>
      </c>
      <c r="R5061">
        <v>-0.94262209999999902</v>
      </c>
      <c r="S5061">
        <v>0.16210939999999999</v>
      </c>
      <c r="T5061">
        <v>-0.15318509999999999</v>
      </c>
      <c r="U5061">
        <v>-3.1382750000000001</v>
      </c>
      <c r="V5061">
        <v>0.1044942</v>
      </c>
      <c r="W5061">
        <v>2.914332E-2</v>
      </c>
      <c r="X5061">
        <v>0.99409840000000005</v>
      </c>
      <c r="Y5061">
        <v>0.38235940000000002</v>
      </c>
      <c r="Z5061">
        <v>3.9816740000000003E-2</v>
      </c>
      <c r="AA5061">
        <v>0.92315539999999996</v>
      </c>
      <c r="AB5061">
        <v>26</v>
      </c>
      <c r="AC5061">
        <v>1.00569999999999</v>
      </c>
      <c r="AD5061">
        <v>-1.044259943605</v>
      </c>
      <c r="AE5061">
        <v>-21.154516999999998</v>
      </c>
      <c r="AF5061">
        <v>8.1576662670616003</v>
      </c>
      <c r="AG5061">
        <v>-1.044259943605</v>
      </c>
      <c r="AH5061">
        <v>19.488572892877201</v>
      </c>
      <c r="AI5061">
        <v>92.829692300486499</v>
      </c>
      <c r="AJ5061">
        <v>67.286440677542203</v>
      </c>
      <c r="AK5061">
        <v>21.152836007390601</v>
      </c>
    </row>
    <row r="5062" spans="1:37" x14ac:dyDescent="0.2">
      <c r="A5062" t="str">
        <f>"20200111153752251"</f>
        <v>20200111153752251</v>
      </c>
      <c r="B5062" t="str">
        <f>"1578728272247965"</f>
        <v>1578728272247965</v>
      </c>
      <c r="C5062" t="s">
        <v>37</v>
      </c>
      <c r="D5062">
        <v>5.8000540000000003</v>
      </c>
      <c r="E5062">
        <v>0.59735240000000001</v>
      </c>
      <c r="F5062" t="s">
        <v>39</v>
      </c>
      <c r="G5062">
        <v>-303.47980000000001</v>
      </c>
      <c r="H5062" s="1">
        <v>-3.536332E-6</v>
      </c>
      <c r="I5062">
        <v>-14.325850000000001</v>
      </c>
      <c r="J5062">
        <v>-304.26690000000002</v>
      </c>
      <c r="K5062">
        <v>1.0443530000000001</v>
      </c>
      <c r="L5062">
        <v>5.2768550000000003</v>
      </c>
      <c r="M5062">
        <v>0.4158287</v>
      </c>
      <c r="N5062">
        <v>0</v>
      </c>
      <c r="O5062">
        <v>-0.90931240000000002</v>
      </c>
      <c r="P5062">
        <v>0.3243665</v>
      </c>
      <c r="Q5062">
        <v>1.379295E-2</v>
      </c>
      <c r="R5062">
        <v>-0.94583099999999998</v>
      </c>
      <c r="S5062">
        <v>0.13989260000000001</v>
      </c>
      <c r="T5062">
        <v>-0.16499729999999899</v>
      </c>
      <c r="U5062">
        <v>-3.1359859999999999</v>
      </c>
      <c r="V5062">
        <v>9.9069309999999994E-2</v>
      </c>
      <c r="W5062">
        <v>2.6626609999999998E-2</v>
      </c>
      <c r="X5062">
        <v>0.99472419999999995</v>
      </c>
      <c r="Y5062">
        <v>0.3749613</v>
      </c>
      <c r="Z5062">
        <v>4.3490809999999998E-2</v>
      </c>
      <c r="AA5062">
        <v>0.9260197</v>
      </c>
      <c r="AB5062">
        <v>26</v>
      </c>
      <c r="AC5062">
        <v>0.78710000000000901</v>
      </c>
      <c r="AD5062">
        <v>-1.044356536332</v>
      </c>
      <c r="AE5062">
        <v>-19.602705</v>
      </c>
      <c r="AF5062">
        <v>7.4155165727432397</v>
      </c>
      <c r="AG5062">
        <v>-1.044356536332</v>
      </c>
      <c r="AH5062">
        <v>18.103136741147001</v>
      </c>
      <c r="AI5062">
        <v>93.055782997325394</v>
      </c>
      <c r="AJ5062">
        <v>67.724715167623202</v>
      </c>
      <c r="AK5062">
        <v>19.590919490526101</v>
      </c>
    </row>
    <row r="5063" spans="1:37" x14ac:dyDescent="0.2">
      <c r="A5063" t="str">
        <f>"20200111153752275"</f>
        <v>20200111153752275</v>
      </c>
      <c r="B5063" t="str">
        <f>"1578728272268460"</f>
        <v>1578728272268460</v>
      </c>
      <c r="C5063" t="s">
        <v>37</v>
      </c>
      <c r="D5063">
        <v>5.7409919999999897</v>
      </c>
      <c r="E5063">
        <v>0.59799769999999997</v>
      </c>
      <c r="F5063" t="s">
        <v>39</v>
      </c>
      <c r="G5063">
        <v>-303.0102</v>
      </c>
      <c r="H5063" s="1">
        <v>-4.5068349999999997E-6</v>
      </c>
      <c r="I5063">
        <v>-11.33874</v>
      </c>
      <c r="J5063">
        <v>-304.17070000000001</v>
      </c>
      <c r="K5063">
        <v>1.0444830000000001</v>
      </c>
      <c r="L5063">
        <v>5.0266109999999999</v>
      </c>
      <c r="M5063">
        <v>0.40205019999999903</v>
      </c>
      <c r="N5063">
        <v>0</v>
      </c>
      <c r="O5063">
        <v>-0.91548859999999999</v>
      </c>
      <c r="P5063">
        <v>0.3156506</v>
      </c>
      <c r="Q5063">
        <v>1.156518E-2</v>
      </c>
      <c r="R5063">
        <v>-0.94880529999999996</v>
      </c>
      <c r="S5063">
        <v>0.23403930000000001</v>
      </c>
      <c r="T5063">
        <v>-0.194493</v>
      </c>
      <c r="U5063">
        <v>-3.09436</v>
      </c>
      <c r="V5063">
        <v>9.3144859999999996E-2</v>
      </c>
      <c r="W5063">
        <v>2.4556379999999999E-2</v>
      </c>
      <c r="X5063">
        <v>0.995349699999999</v>
      </c>
      <c r="Y5063">
        <v>0.33199139999999999</v>
      </c>
      <c r="Z5063">
        <v>5.2981250000000001E-2</v>
      </c>
      <c r="AA5063">
        <v>0.94179330000000006</v>
      </c>
      <c r="AB5063">
        <v>26</v>
      </c>
      <c r="AC5063">
        <v>1.1605000000000101</v>
      </c>
      <c r="AD5063">
        <v>-1.0444875068349999</v>
      </c>
      <c r="AE5063">
        <v>-16.365351</v>
      </c>
      <c r="AF5063">
        <v>5.4956460946614403</v>
      </c>
      <c r="AG5063">
        <v>-1.0444875068349999</v>
      </c>
      <c r="AH5063">
        <v>15.3883278141915</v>
      </c>
      <c r="AI5063">
        <v>93.657442891539304</v>
      </c>
      <c r="AJ5063">
        <v>70.346787722988495</v>
      </c>
      <c r="AK5063">
        <v>16.3735675118992</v>
      </c>
    </row>
    <row r="5064" spans="1:37" x14ac:dyDescent="0.2">
      <c r="A5064" t="str">
        <f>"20200111153752296"</f>
        <v>20200111153752296</v>
      </c>
      <c r="B5064" t="str">
        <f>"1578728272287981"</f>
        <v>1578728272287981</v>
      </c>
      <c r="C5064" t="s">
        <v>37</v>
      </c>
      <c r="D5064">
        <v>5.7584200000000001</v>
      </c>
      <c r="E5064">
        <v>0.59776680000000004</v>
      </c>
      <c r="F5064" t="s">
        <v>39</v>
      </c>
      <c r="G5064">
        <v>-303.16500000000002</v>
      </c>
      <c r="H5064" s="1">
        <v>-4.7975070000000002E-6</v>
      </c>
      <c r="I5064">
        <v>-10.56526</v>
      </c>
      <c r="J5064">
        <v>-304.08150000000001</v>
      </c>
      <c r="K5064">
        <v>1.0446469999999899</v>
      </c>
      <c r="L5064">
        <v>4.7843629999999999</v>
      </c>
      <c r="M5064">
        <v>0.38888329999999999</v>
      </c>
      <c r="N5064">
        <v>0</v>
      </c>
      <c r="O5064">
        <v>-0.92115939999999996</v>
      </c>
      <c r="P5064">
        <v>0.30787589999999998</v>
      </c>
      <c r="Q5064">
        <v>1.045253E-2</v>
      </c>
      <c r="R5064">
        <v>-0.95136909999999897</v>
      </c>
      <c r="S5064">
        <v>0.19982910000000001</v>
      </c>
      <c r="T5064">
        <v>-0.20752809999999999</v>
      </c>
      <c r="U5064">
        <v>-3.097931</v>
      </c>
      <c r="V5064">
        <v>8.6984279999999997E-2</v>
      </c>
      <c r="W5064">
        <v>2.360203E-2</v>
      </c>
      <c r="X5064">
        <v>0.99593009999999904</v>
      </c>
      <c r="Y5064">
        <v>0.3289087</v>
      </c>
      <c r="Z5064">
        <v>5.7067809999999997E-2</v>
      </c>
      <c r="AA5064">
        <v>0.94263580000000002</v>
      </c>
      <c r="AB5064">
        <v>26</v>
      </c>
      <c r="AC5064">
        <v>0.91649999999998499</v>
      </c>
      <c r="AD5064">
        <v>-1.044651797507</v>
      </c>
      <c r="AE5064">
        <v>-15.349622999999999</v>
      </c>
      <c r="AF5064">
        <v>5.1020246078448004</v>
      </c>
      <c r="AG5064">
        <v>-1.044651797507</v>
      </c>
      <c r="AH5064">
        <v>14.4309620697244</v>
      </c>
      <c r="AI5064">
        <v>93.904366171958202</v>
      </c>
      <c r="AJ5064">
        <v>70.529100386152507</v>
      </c>
      <c r="AK5064">
        <v>15.341923566975399</v>
      </c>
    </row>
    <row r="5065" spans="1:37" x14ac:dyDescent="0.2">
      <c r="A5065" t="str">
        <f>"20200111153752318"</f>
        <v>20200111153752318</v>
      </c>
      <c r="B5065" t="str">
        <f>"1578728272308477"</f>
        <v>1578728272308477</v>
      </c>
      <c r="C5065" t="s">
        <v>37</v>
      </c>
      <c r="D5065">
        <v>5.7557669999999996</v>
      </c>
      <c r="E5065">
        <v>0.59710779999999997</v>
      </c>
      <c r="F5065" t="s">
        <v>39</v>
      </c>
      <c r="G5065">
        <v>-303.19880000000001</v>
      </c>
      <c r="H5065" s="1">
        <v>-4.7205829999999902E-6</v>
      </c>
      <c r="I5065">
        <v>-10.80893</v>
      </c>
      <c r="J5065">
        <v>-303.99709999999999</v>
      </c>
      <c r="K5065">
        <v>1.044845</v>
      </c>
      <c r="L5065">
        <v>4.545471</v>
      </c>
      <c r="M5065">
        <v>0.37610209999999999</v>
      </c>
      <c r="N5065">
        <v>0</v>
      </c>
      <c r="O5065">
        <v>-0.92645219999999995</v>
      </c>
      <c r="P5065">
        <v>0.3008982</v>
      </c>
      <c r="Q5065">
        <v>1.1688789999999999E-2</v>
      </c>
      <c r="R5065">
        <v>-0.95358469999999995</v>
      </c>
      <c r="S5065">
        <v>0.17541499999999999</v>
      </c>
      <c r="T5065">
        <v>-0.20760509999999999</v>
      </c>
      <c r="U5065">
        <v>-3.0988769999999999</v>
      </c>
      <c r="V5065">
        <v>8.0512219999999995E-2</v>
      </c>
      <c r="W5065">
        <v>2.499875E-2</v>
      </c>
      <c r="X5065">
        <v>0.99644009999999905</v>
      </c>
      <c r="Y5065">
        <v>0.32325769999999998</v>
      </c>
      <c r="Z5065">
        <v>5.7672840000000003E-2</v>
      </c>
      <c r="AA5065">
        <v>0.9445519</v>
      </c>
      <c r="AB5065">
        <v>25</v>
      </c>
      <c r="AC5065">
        <v>0.79829999999998302</v>
      </c>
      <c r="AD5065">
        <v>-1.0448497205830001</v>
      </c>
      <c r="AE5065">
        <v>-15.354400999999999</v>
      </c>
      <c r="AF5065">
        <v>5.0126743530922697</v>
      </c>
      <c r="AG5065">
        <v>-1.0448497205830001</v>
      </c>
      <c r="AH5065">
        <v>14.4602772939978</v>
      </c>
      <c r="AI5065">
        <v>93.905575599077594</v>
      </c>
      <c r="AJ5065">
        <v>70.881058137060407</v>
      </c>
      <c r="AK5065">
        <v>15.340085870948</v>
      </c>
    </row>
    <row r="5066" spans="1:37" x14ac:dyDescent="0.2">
      <c r="A5066" t="str">
        <f>"20200111153752341"</f>
        <v>20200111153752341</v>
      </c>
      <c r="B5066" t="str">
        <f>"1578728272338733"</f>
        <v>1578728272338733</v>
      </c>
      <c r="C5066" t="s">
        <v>37</v>
      </c>
      <c r="D5066">
        <v>5.7819890000000003</v>
      </c>
      <c r="E5066">
        <v>0.59590220000000005</v>
      </c>
      <c r="F5066" t="s">
        <v>39</v>
      </c>
      <c r="G5066">
        <v>-303.21080000000001</v>
      </c>
      <c r="H5066" s="1">
        <v>-4.6695659999999996E-6</v>
      </c>
      <c r="I5066">
        <v>-10.9650699999999</v>
      </c>
      <c r="J5066">
        <v>-303.91340000000002</v>
      </c>
      <c r="K5066">
        <v>1.045083</v>
      </c>
      <c r="L5066">
        <v>4.2982480000000001</v>
      </c>
      <c r="M5066">
        <v>0.36313529999999999</v>
      </c>
      <c r="N5066">
        <v>0</v>
      </c>
      <c r="O5066">
        <v>-0.931612</v>
      </c>
      <c r="P5066">
        <v>0.29401490000000002</v>
      </c>
      <c r="Q5066">
        <v>1.4278799999999901E-2</v>
      </c>
      <c r="R5066">
        <v>-0.95569459999999995</v>
      </c>
      <c r="S5066">
        <v>0.15710450000000001</v>
      </c>
      <c r="T5066">
        <v>-0.20876049999999999</v>
      </c>
      <c r="U5066">
        <v>-3.0989990000000001</v>
      </c>
      <c r="V5066">
        <v>7.3820810000000001E-2</v>
      </c>
      <c r="W5066">
        <v>2.7745329999999999E-2</v>
      </c>
      <c r="X5066">
        <v>0.99688549999999998</v>
      </c>
      <c r="Y5066">
        <v>0.3156099</v>
      </c>
      <c r="Z5066">
        <v>5.8599930000000001E-2</v>
      </c>
      <c r="AA5066">
        <v>0.94707779999999997</v>
      </c>
      <c r="AB5066">
        <v>25</v>
      </c>
      <c r="AC5066">
        <v>0.70260000000001799</v>
      </c>
      <c r="AD5066">
        <v>-1.0450876695660001</v>
      </c>
      <c r="AE5066">
        <v>-15.2633179999999</v>
      </c>
      <c r="AF5066">
        <v>4.8659015274809398</v>
      </c>
      <c r="AG5066">
        <v>-1.0450876695660001</v>
      </c>
      <c r="AH5066">
        <v>14.4088980480108</v>
      </c>
      <c r="AI5066">
        <v>93.931077277889798</v>
      </c>
      <c r="AJ5066">
        <v>71.340115054587699</v>
      </c>
      <c r="AK5066">
        <v>15.244197219604301</v>
      </c>
    </row>
    <row r="5067" spans="1:37" x14ac:dyDescent="0.2">
      <c r="A5067" t="str">
        <f>"20200111153752364"</f>
        <v>20200111153752364</v>
      </c>
      <c r="B5067" t="str">
        <f>"1578728272358256"</f>
        <v>1578728272358256</v>
      </c>
      <c r="C5067" t="s">
        <v>37</v>
      </c>
      <c r="D5067">
        <v>5.9049559999999897</v>
      </c>
      <c r="E5067">
        <v>0.59415169999999995</v>
      </c>
      <c r="F5067" t="s">
        <v>39</v>
      </c>
      <c r="G5067">
        <v>-303.17270000000002</v>
      </c>
      <c r="H5067" s="1">
        <v>-4.4223729999999997E-6</v>
      </c>
      <c r="I5067">
        <v>-11.67164</v>
      </c>
      <c r="J5067">
        <v>-303.83120000000002</v>
      </c>
      <c r="K5067">
        <v>1.0453569999999901</v>
      </c>
      <c r="L5067">
        <v>4.0441589999999996</v>
      </c>
      <c r="M5067">
        <v>0.35011389999999998</v>
      </c>
      <c r="N5067">
        <v>0</v>
      </c>
      <c r="O5067">
        <v>-0.93658410000000003</v>
      </c>
      <c r="P5067">
        <v>0.28655809999999998</v>
      </c>
      <c r="Q5067">
        <v>1.692186E-2</v>
      </c>
      <c r="R5067">
        <v>-0.95791349999999997</v>
      </c>
      <c r="S5067">
        <v>0.14367679999999999</v>
      </c>
      <c r="T5067">
        <v>-0.2027301</v>
      </c>
      <c r="U5067">
        <v>-3.0979000000000001</v>
      </c>
      <c r="V5067">
        <v>6.7718769999999998E-2</v>
      </c>
      <c r="W5067">
        <v>3.051982E-2</v>
      </c>
      <c r="X5067">
        <v>0.99723759999999995</v>
      </c>
      <c r="Y5067">
        <v>0.30644559999999998</v>
      </c>
      <c r="Z5067">
        <v>5.7520599999999998E-2</v>
      </c>
      <c r="AA5067">
        <v>0.95014869999999996</v>
      </c>
      <c r="AB5067">
        <v>25</v>
      </c>
      <c r="AC5067">
        <v>0.65850000000000297</v>
      </c>
      <c r="AD5067">
        <v>-1.0453614223729999</v>
      </c>
      <c r="AE5067">
        <v>-15.715799000000001</v>
      </c>
      <c r="AF5067">
        <v>4.86465641969433</v>
      </c>
      <c r="AG5067">
        <v>-1.0453614223729999</v>
      </c>
      <c r="AH5067">
        <v>14.8856948789991</v>
      </c>
      <c r="AI5067">
        <v>93.818931420969193</v>
      </c>
      <c r="AJ5067">
        <v>71.902568661303206</v>
      </c>
      <c r="AK5067">
        <v>15.6952723651334</v>
      </c>
    </row>
    <row r="5068" spans="1:37" x14ac:dyDescent="0.2">
      <c r="A5068" t="str">
        <f>"20200111153752386"</f>
        <v>20200111153752386</v>
      </c>
      <c r="B5068" t="str">
        <f>"1578728272378748"</f>
        <v>1578728272378748</v>
      </c>
      <c r="C5068" t="s">
        <v>37</v>
      </c>
      <c r="D5068">
        <v>5.9854969999999996</v>
      </c>
      <c r="E5068">
        <v>0.592692</v>
      </c>
      <c r="F5068" t="s">
        <v>39</v>
      </c>
      <c r="G5068">
        <v>-303.15600000000001</v>
      </c>
      <c r="H5068" s="1">
        <v>-4.3883239999999998E-6</v>
      </c>
      <c r="I5068">
        <v>-11.762980000000001</v>
      </c>
      <c r="J5068">
        <v>-303.75409999999999</v>
      </c>
      <c r="K5068">
        <v>1.0456129999999999</v>
      </c>
      <c r="L5068">
        <v>3.7953489999999999</v>
      </c>
      <c r="M5068">
        <v>0.33761819999999998</v>
      </c>
      <c r="N5068">
        <v>0</v>
      </c>
      <c r="O5068">
        <v>-0.94116160000000004</v>
      </c>
      <c r="P5068">
        <v>0.27947259999999902</v>
      </c>
      <c r="Q5068">
        <v>1.9030249999999999E-2</v>
      </c>
      <c r="R5068">
        <v>-0.95996510000000002</v>
      </c>
      <c r="S5068">
        <v>0.13223270000000001</v>
      </c>
      <c r="T5068">
        <v>-0.2047378</v>
      </c>
      <c r="U5068">
        <v>-3.0958860000000001</v>
      </c>
      <c r="V5068">
        <v>6.1827760000000002E-2</v>
      </c>
      <c r="W5068">
        <v>3.2744580000000002E-2</v>
      </c>
      <c r="X5068">
        <v>0.99754949999999998</v>
      </c>
      <c r="Y5068">
        <v>0.29724299999999998</v>
      </c>
      <c r="Z5068">
        <v>5.8675730000000002E-2</v>
      </c>
      <c r="AA5068">
        <v>0.95299730000000005</v>
      </c>
      <c r="AB5068">
        <v>25</v>
      </c>
      <c r="AC5068">
        <v>0.59809999999998797</v>
      </c>
      <c r="AD5068">
        <v>-1.0456173883239901</v>
      </c>
      <c r="AE5068">
        <v>-15.558329000000001</v>
      </c>
      <c r="AF5068">
        <v>4.6693440474383499</v>
      </c>
      <c r="AG5068">
        <v>-1.0456173883239901</v>
      </c>
      <c r="AH5068">
        <v>14.7798722515561</v>
      </c>
      <c r="AI5068">
        <v>93.859300398180807</v>
      </c>
      <c r="AJ5068">
        <v>72.467325461573694</v>
      </c>
      <c r="AK5068">
        <v>15.5351444579196</v>
      </c>
    </row>
    <row r="5069" spans="1:37" x14ac:dyDescent="0.2">
      <c r="A5069" t="str">
        <f>"20200111153752408"</f>
        <v>20200111153752408</v>
      </c>
      <c r="B5069" t="str">
        <f>"1578728272398269"</f>
        <v>1578728272398269</v>
      </c>
      <c r="C5069" t="s">
        <v>37</v>
      </c>
      <c r="D5069">
        <v>5.8643529999999897</v>
      </c>
      <c r="E5069">
        <v>0.59196159999999998</v>
      </c>
      <c r="F5069" t="s">
        <v>39</v>
      </c>
      <c r="G5069">
        <v>-303.1481</v>
      </c>
      <c r="H5069" s="1">
        <v>-4.3763559999999998E-6</v>
      </c>
      <c r="I5069">
        <v>-11.79405</v>
      </c>
      <c r="J5069">
        <v>-303.68310000000002</v>
      </c>
      <c r="K5069">
        <v>1.0458510000000001</v>
      </c>
      <c r="L5069">
        <v>3.5565799999999999</v>
      </c>
      <c r="M5069">
        <v>0.32588719999999999</v>
      </c>
      <c r="N5069">
        <v>0</v>
      </c>
      <c r="O5069">
        <v>-0.94528869999999898</v>
      </c>
      <c r="P5069">
        <v>0.27314759999999999</v>
      </c>
      <c r="Q5069">
        <v>2.087143E-2</v>
      </c>
      <c r="R5069">
        <v>-0.96174570000000004</v>
      </c>
      <c r="S5069">
        <v>0.1202698</v>
      </c>
      <c r="T5069">
        <v>-0.2075359</v>
      </c>
      <c r="U5069">
        <v>-3.0942080000000001</v>
      </c>
      <c r="V5069">
        <v>5.5994219999999997E-2</v>
      </c>
      <c r="W5069">
        <v>3.4694679999999999E-2</v>
      </c>
      <c r="X5069">
        <v>0.997828099999999</v>
      </c>
      <c r="Y5069">
        <v>0.28901690000000002</v>
      </c>
      <c r="Z5069">
        <v>6.0006379999999998E-2</v>
      </c>
      <c r="AA5069">
        <v>0.95544150000000005</v>
      </c>
      <c r="AB5069">
        <v>25</v>
      </c>
      <c r="AC5069">
        <v>0.53500000000002501</v>
      </c>
      <c r="AD5069">
        <v>-1.0458553763559999</v>
      </c>
      <c r="AE5069">
        <v>-15.350630000000001</v>
      </c>
      <c r="AF5069">
        <v>4.4765999339422802</v>
      </c>
      <c r="AG5069">
        <v>-1.0458553763559999</v>
      </c>
      <c r="AH5069">
        <v>14.619015440730699</v>
      </c>
      <c r="AI5069">
        <v>93.913247012424094</v>
      </c>
      <c r="AJ5069">
        <v>72.974489485540602</v>
      </c>
      <c r="AK5069">
        <v>15.324796014732099</v>
      </c>
    </row>
    <row r="5070" spans="1:37" x14ac:dyDescent="0.2">
      <c r="A5070" t="str">
        <f>"20200111153752430"</f>
        <v>20200111153752430</v>
      </c>
      <c r="B5070" t="str">
        <f>"1578728272418766"</f>
        <v>1578728272418766</v>
      </c>
      <c r="C5070" t="s">
        <v>37</v>
      </c>
      <c r="D5070">
        <v>5.8686389999999999</v>
      </c>
      <c r="E5070">
        <v>0.59073659999999995</v>
      </c>
      <c r="F5070" t="s">
        <v>39</v>
      </c>
      <c r="G5070">
        <v>-303.13240000000002</v>
      </c>
      <c r="H5070" s="1">
        <v>-4.0950639999999998E-6</v>
      </c>
      <c r="I5070">
        <v>-12.61243</v>
      </c>
      <c r="J5070">
        <v>-303.61090000000002</v>
      </c>
      <c r="K5070">
        <v>1.046106</v>
      </c>
      <c r="L5070">
        <v>3.3031309999999898</v>
      </c>
      <c r="M5070">
        <v>0.31375229999999998</v>
      </c>
      <c r="N5070">
        <v>0</v>
      </c>
      <c r="O5070">
        <v>-0.94938630000000002</v>
      </c>
      <c r="P5070">
        <v>0.26635310000000001</v>
      </c>
      <c r="Q5070">
        <v>2.2415549999999999E-2</v>
      </c>
      <c r="R5070">
        <v>-0.96361479999999999</v>
      </c>
      <c r="S5070">
        <v>0.105377199999999</v>
      </c>
      <c r="T5070">
        <v>-0.20011199999999901</v>
      </c>
      <c r="U5070">
        <v>-3.09375</v>
      </c>
      <c r="V5070">
        <v>5.0253029999999997E-2</v>
      </c>
      <c r="W5070">
        <v>3.633492E-2</v>
      </c>
      <c r="X5070">
        <v>0.99807539999999995</v>
      </c>
      <c r="Y5070">
        <v>0.281331</v>
      </c>
      <c r="Z5070">
        <v>5.8349789999999999E-2</v>
      </c>
      <c r="AA5070">
        <v>0.95783510000000005</v>
      </c>
      <c r="AB5070">
        <v>25</v>
      </c>
      <c r="AC5070">
        <v>0.47849999999999598</v>
      </c>
      <c r="AD5070">
        <v>-1.0461100950640001</v>
      </c>
      <c r="AE5070">
        <v>-15.915561</v>
      </c>
      <c r="AF5070">
        <v>4.5202624952720996</v>
      </c>
      <c r="AG5070">
        <v>-1.0461100950640001</v>
      </c>
      <c r="AH5070">
        <v>15.1962715228044</v>
      </c>
      <c r="AI5070">
        <v>93.775055544948998</v>
      </c>
      <c r="AJ5070">
        <v>73.434434636731297</v>
      </c>
      <c r="AK5070">
        <v>15.888794402092101</v>
      </c>
    </row>
    <row r="5071" spans="1:37" x14ac:dyDescent="0.2">
      <c r="A5071" t="str">
        <f>"20200111153752452"</f>
        <v>20200111153752452</v>
      </c>
      <c r="B5071" t="str">
        <f>"1578728272448046"</f>
        <v>1578728272448046</v>
      </c>
      <c r="C5071" t="s">
        <v>37</v>
      </c>
      <c r="D5071">
        <v>5.9641019999999996</v>
      </c>
      <c r="E5071">
        <v>0.58959030000000001</v>
      </c>
      <c r="F5071" t="s">
        <v>39</v>
      </c>
      <c r="G5071">
        <v>-303.10680000000002</v>
      </c>
      <c r="H5071" s="1">
        <v>-3.7573570000000001E-6</v>
      </c>
      <c r="I5071">
        <v>-13.579279999999899</v>
      </c>
      <c r="J5071">
        <v>-303.54399999999998</v>
      </c>
      <c r="K5071">
        <v>1.0463739999999999</v>
      </c>
      <c r="L5071">
        <v>3.05773899999999</v>
      </c>
      <c r="M5071">
        <v>0.30234159999999999</v>
      </c>
      <c r="N5071">
        <v>0</v>
      </c>
      <c r="O5071">
        <v>-0.95308280000000001</v>
      </c>
      <c r="P5071">
        <v>0.26063720000000001</v>
      </c>
      <c r="Q5071">
        <v>2.3243179999999999E-2</v>
      </c>
      <c r="R5071">
        <v>-0.9651573</v>
      </c>
      <c r="S5071">
        <v>9.2346189999999995E-2</v>
      </c>
      <c r="T5071">
        <v>-0.1916062</v>
      </c>
      <c r="U5071">
        <v>-3.0921939999999899</v>
      </c>
      <c r="V5071">
        <v>4.4180619999999997E-2</v>
      </c>
      <c r="W5071">
        <v>3.7256020000000001E-2</v>
      </c>
      <c r="X5071">
        <v>0.99832860000000001</v>
      </c>
      <c r="Y5071">
        <v>0.27382529999999999</v>
      </c>
      <c r="Z5071">
        <v>5.6318470000000002E-2</v>
      </c>
      <c r="AA5071">
        <v>0.96012909999999996</v>
      </c>
      <c r="AB5071">
        <v>25</v>
      </c>
      <c r="AC5071">
        <v>0.43720000000001802</v>
      </c>
      <c r="AD5071">
        <v>-1.0463777573569999</v>
      </c>
      <c r="AE5071">
        <v>-16.637018999999999</v>
      </c>
      <c r="AF5071">
        <v>4.5957221429221802</v>
      </c>
      <c r="AG5071">
        <v>-1.0463777573569999</v>
      </c>
      <c r="AH5071">
        <v>15.927460142307</v>
      </c>
      <c r="AI5071">
        <v>93.611796726261105</v>
      </c>
      <c r="AJ5071">
        <v>73.904991074687501</v>
      </c>
      <c r="AK5071">
        <v>16.6102244118138</v>
      </c>
    </row>
    <row r="5072" spans="1:37" x14ac:dyDescent="0.2">
      <c r="A5072" t="str">
        <f>"20200111153752475"</f>
        <v>20200111153752475</v>
      </c>
      <c r="B5072" t="str">
        <f>"1578728272468541"</f>
        <v>1578728272468541</v>
      </c>
      <c r="C5072" t="s">
        <v>37</v>
      </c>
      <c r="D5072">
        <v>5.9468559999999897</v>
      </c>
      <c r="E5072">
        <v>0.5771773</v>
      </c>
      <c r="F5072" t="s">
        <v>39</v>
      </c>
      <c r="G5072">
        <v>-303.0779</v>
      </c>
      <c r="H5072" s="1">
        <v>-3.39534899999999E-6</v>
      </c>
      <c r="I5072">
        <v>-14.405250000000001</v>
      </c>
      <c r="J5072">
        <v>-303.47640000000001</v>
      </c>
      <c r="K5072">
        <v>1.0466869999999999</v>
      </c>
      <c r="L5072">
        <v>2.7989809999999999</v>
      </c>
      <c r="M5072">
        <v>0.29068349999999998</v>
      </c>
      <c r="N5072">
        <v>0</v>
      </c>
      <c r="O5072">
        <v>-0.956704</v>
      </c>
      <c r="P5072">
        <v>0.25392759999999998</v>
      </c>
      <c r="Q5072">
        <v>2.4008990000000001E-2</v>
      </c>
      <c r="R5072">
        <v>-0.96692529999999999</v>
      </c>
      <c r="S5072">
        <v>8.2489010000000001E-2</v>
      </c>
      <c r="T5072">
        <v>-0.18518099999999901</v>
      </c>
      <c r="U5072">
        <v>-3.0904849999999899</v>
      </c>
      <c r="V5072">
        <v>3.8904920000000003E-2</v>
      </c>
      <c r="W5072">
        <v>3.8086090000000003E-2</v>
      </c>
      <c r="X5072">
        <v>0.99851690000000004</v>
      </c>
      <c r="Y5072">
        <v>0.26511509999999999</v>
      </c>
      <c r="Z5072">
        <v>5.4865120000000003E-2</v>
      </c>
      <c r="AA5072">
        <v>0.96265449999999997</v>
      </c>
      <c r="AB5072">
        <v>25</v>
      </c>
      <c r="AC5072">
        <v>0.39850000000001201</v>
      </c>
      <c r="AD5072">
        <v>-1.0466903953490001</v>
      </c>
      <c r="AE5072">
        <v>-17.204231</v>
      </c>
      <c r="AF5072">
        <v>4.60321986660243</v>
      </c>
      <c r="AG5072">
        <v>-1.0466903953490001</v>
      </c>
      <c r="AH5072">
        <v>16.515922951697199</v>
      </c>
      <c r="AI5072">
        <v>93.493447000487393</v>
      </c>
      <c r="AJ5072">
        <v>74.426099022158397</v>
      </c>
      <c r="AK5072">
        <v>17.177336955139399</v>
      </c>
    </row>
    <row r="5073" spans="1:37" x14ac:dyDescent="0.2">
      <c r="A5073" t="str">
        <f>"20200111153752497"</f>
        <v>20200111153752497</v>
      </c>
      <c r="B5073" t="str">
        <f>"1578728272488062"</f>
        <v>1578728272488062</v>
      </c>
      <c r="C5073" t="s">
        <v>37</v>
      </c>
      <c r="D5073">
        <v>5.9841680000000004</v>
      </c>
      <c r="E5073">
        <v>0.57616990000000001</v>
      </c>
      <c r="F5073" t="s">
        <v>39</v>
      </c>
      <c r="G5073">
        <v>-302.5838</v>
      </c>
      <c r="H5073" s="1">
        <v>-3.126882E-6</v>
      </c>
      <c r="I5073">
        <v>-14.72456</v>
      </c>
      <c r="J5073">
        <v>-303.41480000000001</v>
      </c>
      <c r="K5073">
        <v>1.0470189999999999</v>
      </c>
      <c r="L5073">
        <v>2.5529169999999999</v>
      </c>
      <c r="M5073">
        <v>0.27998099999999998</v>
      </c>
      <c r="N5073">
        <v>0</v>
      </c>
      <c r="O5073">
        <v>-0.95989179999999996</v>
      </c>
      <c r="P5073">
        <v>0.24921769999999999</v>
      </c>
      <c r="Q5073">
        <v>2.488077E-2</v>
      </c>
      <c r="R5073">
        <v>-0.96812809999999905</v>
      </c>
      <c r="S5073">
        <v>0.15618899999999999</v>
      </c>
      <c r="T5073">
        <v>-0.18314169999999999</v>
      </c>
      <c r="U5073">
        <v>-3.0661320000000001</v>
      </c>
      <c r="V5073">
        <v>3.2591599999999998E-2</v>
      </c>
      <c r="W5073">
        <v>3.9037620000000002E-2</v>
      </c>
      <c r="X5073">
        <v>0.99870609999999904</v>
      </c>
      <c r="Y5073">
        <v>0.2308839</v>
      </c>
      <c r="Z5073">
        <v>5.521641E-2</v>
      </c>
      <c r="AA5073">
        <v>0.97141330000000004</v>
      </c>
      <c r="AB5073">
        <v>25</v>
      </c>
      <c r="AC5073">
        <v>0.83100000000001695</v>
      </c>
      <c r="AD5073">
        <v>-1.0470221268819999</v>
      </c>
      <c r="AE5073">
        <v>-17.277476999999902</v>
      </c>
      <c r="AF5073">
        <v>4.0253876007824099</v>
      </c>
      <c r="AG5073">
        <v>-1.0470221268819999</v>
      </c>
      <c r="AH5073">
        <v>16.757610441288399</v>
      </c>
      <c r="AI5073">
        <v>93.4765724100764</v>
      </c>
      <c r="AJ5073">
        <v>76.492754694963295</v>
      </c>
      <c r="AK5073">
        <v>17.266079704805399</v>
      </c>
    </row>
    <row r="5074" spans="1:37" x14ac:dyDescent="0.2">
      <c r="A5074" t="str">
        <f>"20200111153752519"</f>
        <v>20200111153752519</v>
      </c>
      <c r="B5074" t="str">
        <f>"1578728272508557"</f>
        <v>1578728272508557</v>
      </c>
      <c r="C5074" t="s">
        <v>37</v>
      </c>
      <c r="D5074">
        <v>5.995711</v>
      </c>
      <c r="E5074">
        <v>0.57539340000000005</v>
      </c>
      <c r="F5074" t="s">
        <v>39</v>
      </c>
      <c r="G5074">
        <v>-302.59559999999999</v>
      </c>
      <c r="H5074" s="1">
        <v>-3.2372679999999999E-6</v>
      </c>
      <c r="I5074">
        <v>-14.47456</v>
      </c>
      <c r="J5074">
        <v>-303.35669999999999</v>
      </c>
      <c r="K5074">
        <v>1.0473699999999999</v>
      </c>
      <c r="L5074">
        <v>2.3116759999999998</v>
      </c>
      <c r="M5074">
        <v>0.26988220000000002</v>
      </c>
      <c r="N5074">
        <v>0</v>
      </c>
      <c r="O5074">
        <v>-0.962781</v>
      </c>
      <c r="P5074">
        <v>0.2455734</v>
      </c>
      <c r="Q5074">
        <v>2.708553E-2</v>
      </c>
      <c r="R5074">
        <v>-0.96899969999999902</v>
      </c>
      <c r="S5074">
        <v>0.1474915</v>
      </c>
      <c r="T5074">
        <v>-0.18850699999999901</v>
      </c>
      <c r="U5074">
        <v>-3.0656430000000001</v>
      </c>
      <c r="V5074">
        <v>2.5847040000000002E-2</v>
      </c>
      <c r="W5074">
        <v>4.1318870000000001E-2</v>
      </c>
      <c r="X5074">
        <v>0.99881169999999997</v>
      </c>
      <c r="Y5074">
        <v>0.22340259999999901</v>
      </c>
      <c r="Z5074">
        <v>5.7158849999999997E-2</v>
      </c>
      <c r="AA5074">
        <v>0.97304889999999999</v>
      </c>
      <c r="AB5074">
        <v>25</v>
      </c>
      <c r="AC5074">
        <v>0.761099999999999</v>
      </c>
      <c r="AD5074">
        <v>-1.047373237268</v>
      </c>
      <c r="AE5074">
        <v>-16.786235999999999</v>
      </c>
      <c r="AF5074">
        <v>3.7832461720529</v>
      </c>
      <c r="AG5074">
        <v>-1.047373237268</v>
      </c>
      <c r="AH5074">
        <v>16.305299113201301</v>
      </c>
      <c r="AI5074">
        <v>93.580494411833499</v>
      </c>
      <c r="AJ5074">
        <v>76.937059194773497</v>
      </c>
      <c r="AK5074">
        <v>16.771187240844402</v>
      </c>
    </row>
    <row r="5075" spans="1:37" x14ac:dyDescent="0.2">
      <c r="A5075" t="str">
        <f>"20200111153752542"</f>
        <v>20200111153752542</v>
      </c>
      <c r="B5075" t="str">
        <f>"1578728272538813"</f>
        <v>1578728272538813</v>
      </c>
      <c r="C5075" t="s">
        <v>37</v>
      </c>
      <c r="D5075">
        <v>5.9377709999999997</v>
      </c>
      <c r="E5075">
        <v>0.57452669999999995</v>
      </c>
      <c r="F5075" t="s">
        <v>39</v>
      </c>
      <c r="G5075">
        <v>-302.57810000000001</v>
      </c>
      <c r="H5075" s="1">
        <v>-3.1556319999999999E-6</v>
      </c>
      <c r="I5075">
        <v>-14.65404</v>
      </c>
      <c r="J5075">
        <v>-303.29809999999998</v>
      </c>
      <c r="K5075">
        <v>1.047752</v>
      </c>
      <c r="L5075">
        <v>2.0574650000000001</v>
      </c>
      <c r="M5075">
        <v>0.25971699999999998</v>
      </c>
      <c r="N5075">
        <v>0</v>
      </c>
      <c r="O5075">
        <v>-0.96557399999999904</v>
      </c>
      <c r="P5075">
        <v>0.24189330000000001</v>
      </c>
      <c r="Q5075">
        <v>3.0882299999999901E-2</v>
      </c>
      <c r="R5075">
        <v>-0.9698116</v>
      </c>
      <c r="S5075">
        <v>0.14068599999999901</v>
      </c>
      <c r="T5075">
        <v>-0.1892546</v>
      </c>
      <c r="U5075">
        <v>-3.0656129999999999</v>
      </c>
      <c r="V5075">
        <v>1.91051E-2</v>
      </c>
      <c r="W5075">
        <v>4.5175260000000002E-2</v>
      </c>
      <c r="X5075">
        <v>0.99879629999999997</v>
      </c>
      <c r="Y5075">
        <v>0.21527499999999999</v>
      </c>
      <c r="Z5075">
        <v>5.7701130000000003E-2</v>
      </c>
      <c r="AA5075">
        <v>0.97484729999999997</v>
      </c>
      <c r="AB5075">
        <v>25</v>
      </c>
      <c r="AC5075">
        <v>0.71999999999997</v>
      </c>
      <c r="AD5075">
        <v>-1.0477551556319999</v>
      </c>
      <c r="AE5075">
        <v>-16.711504999999999</v>
      </c>
      <c r="AF5075">
        <v>3.63119133177524</v>
      </c>
      <c r="AG5075">
        <v>-1.0477551556319999</v>
      </c>
      <c r="AH5075">
        <v>16.261135314074298</v>
      </c>
      <c r="AI5075">
        <v>93.598266660878593</v>
      </c>
      <c r="AJ5075">
        <v>77.412091730003397</v>
      </c>
      <c r="AK5075">
        <v>16.694545907473699</v>
      </c>
    </row>
    <row r="5076" spans="1:37" x14ac:dyDescent="0.2">
      <c r="A5076" t="str">
        <f>"20200111153752565"</f>
        <v>20200111153752565</v>
      </c>
      <c r="B5076" t="str">
        <f>"1578728272558333"</f>
        <v>1578728272558333</v>
      </c>
      <c r="C5076" t="s">
        <v>37</v>
      </c>
      <c r="D5076">
        <v>5.9992190000000001</v>
      </c>
      <c r="E5076">
        <v>0.57408890000000001</v>
      </c>
      <c r="F5076" t="s">
        <v>39</v>
      </c>
      <c r="G5076">
        <v>-302.54629999999997</v>
      </c>
      <c r="H5076" s="1">
        <v>-3.00546E-6</v>
      </c>
      <c r="I5076">
        <v>-14.9843299999999</v>
      </c>
      <c r="J5076">
        <v>-303.24130000000002</v>
      </c>
      <c r="K5076">
        <v>1.048127</v>
      </c>
      <c r="L5076">
        <v>1.801361</v>
      </c>
      <c r="M5076">
        <v>0.24992259999999999</v>
      </c>
      <c r="N5076">
        <v>0</v>
      </c>
      <c r="O5076">
        <v>-0.96815649999999998</v>
      </c>
      <c r="P5076">
        <v>0.23902370000000001</v>
      </c>
      <c r="Q5076">
        <v>3.4812639999999999E-2</v>
      </c>
      <c r="R5076">
        <v>-0.97038969999999902</v>
      </c>
      <c r="S5076">
        <v>0.13525390000000001</v>
      </c>
      <c r="T5076">
        <v>-0.18848039999999999</v>
      </c>
      <c r="U5076">
        <v>-3.0656430000000001</v>
      </c>
      <c r="V5076">
        <v>1.192998E-2</v>
      </c>
      <c r="W5076">
        <v>4.9160519999999999E-2</v>
      </c>
      <c r="X5076">
        <v>0.99871960000000004</v>
      </c>
      <c r="Y5076">
        <v>0.20709959999999999</v>
      </c>
      <c r="Z5076">
        <v>5.7758259999999999E-2</v>
      </c>
      <c r="AA5076">
        <v>0.97661339999999996</v>
      </c>
      <c r="AB5076">
        <v>25</v>
      </c>
      <c r="AC5076">
        <v>0.69500000000005002</v>
      </c>
      <c r="AD5076">
        <v>-1.04813000546</v>
      </c>
      <c r="AE5076">
        <v>-16.785691</v>
      </c>
      <c r="AF5076">
        <v>3.50896961933076</v>
      </c>
      <c r="AG5076">
        <v>-1.04813000546</v>
      </c>
      <c r="AH5076">
        <v>16.362921142234701</v>
      </c>
      <c r="AI5076">
        <v>93.583825448877107</v>
      </c>
      <c r="AJ5076">
        <v>77.896440501462607</v>
      </c>
      <c r="AK5076">
        <v>16.767725922280601</v>
      </c>
    </row>
    <row r="5077" spans="1:37" x14ac:dyDescent="0.2">
      <c r="A5077" t="str">
        <f>"20200111153752587"</f>
        <v>20200111153752587</v>
      </c>
      <c r="B5077" t="str">
        <f>"1578728272577853"</f>
        <v>1578728272577853</v>
      </c>
      <c r="C5077" t="s">
        <v>37</v>
      </c>
      <c r="D5077">
        <v>5.9611510000000001</v>
      </c>
      <c r="E5077">
        <v>0.5734397</v>
      </c>
      <c r="F5077" t="s">
        <v>39</v>
      </c>
      <c r="G5077">
        <v>-302.50470000000001</v>
      </c>
      <c r="H5077" s="1">
        <v>-2.6926580000000002E-6</v>
      </c>
      <c r="I5077">
        <v>-15.687709999999999</v>
      </c>
      <c r="J5077">
        <v>-303.18779999999998</v>
      </c>
      <c r="K5077">
        <v>1.048448</v>
      </c>
      <c r="L5077">
        <v>1.5504149999999901</v>
      </c>
      <c r="M5077">
        <v>0.24068879999999901</v>
      </c>
      <c r="N5077">
        <v>0</v>
      </c>
      <c r="O5077">
        <v>-0.97049459999999999</v>
      </c>
      <c r="P5077">
        <v>0.23686199999999999</v>
      </c>
      <c r="Q5077">
        <v>3.6706160000000002E-2</v>
      </c>
      <c r="R5077">
        <v>-0.97084989999999904</v>
      </c>
      <c r="S5077">
        <v>0.1291504</v>
      </c>
      <c r="T5077">
        <v>-0.18376589999999901</v>
      </c>
      <c r="U5077">
        <v>-3.0663149999999999</v>
      </c>
      <c r="V5077">
        <v>4.61269E-3</v>
      </c>
      <c r="W5077">
        <v>5.1103080000000002E-2</v>
      </c>
      <c r="X5077">
        <v>0.99868269999999904</v>
      </c>
      <c r="Y5077">
        <v>0.19972129999999999</v>
      </c>
      <c r="Z5077">
        <v>5.6563339999999997E-2</v>
      </c>
      <c r="AA5077">
        <v>0.97821880000000005</v>
      </c>
      <c r="AB5077">
        <v>25</v>
      </c>
      <c r="AC5077">
        <v>0.68309999999996696</v>
      </c>
      <c r="AD5077">
        <v>-1.0484506926579999</v>
      </c>
      <c r="AE5077">
        <v>-17.238125</v>
      </c>
      <c r="AF5077">
        <v>3.4736136570569101</v>
      </c>
      <c r="AG5077">
        <v>-1.0484506926579999</v>
      </c>
      <c r="AH5077">
        <v>16.833514487383301</v>
      </c>
      <c r="AI5077">
        <v>93.490625184586506</v>
      </c>
      <c r="AJ5077">
        <v>78.340605154322503</v>
      </c>
      <c r="AK5077">
        <v>17.220117615462701</v>
      </c>
    </row>
    <row r="5078" spans="1:37" x14ac:dyDescent="0.2">
      <c r="A5078" t="str">
        <f>"20200111153752609"</f>
        <v>20200111153752609</v>
      </c>
      <c r="B5078" t="str">
        <f>"1578728272598351"</f>
        <v>1578728272598351</v>
      </c>
      <c r="C5078" t="s">
        <v>37</v>
      </c>
      <c r="D5078">
        <v>6.0070230000000002</v>
      </c>
      <c r="E5078">
        <v>0.57299219999999995</v>
      </c>
      <c r="F5078" t="s">
        <v>39</v>
      </c>
      <c r="G5078">
        <v>-302.46080000000001</v>
      </c>
      <c r="H5078" s="1">
        <v>-2.5433420000000002E-6</v>
      </c>
      <c r="I5078">
        <v>-16.00853</v>
      </c>
      <c r="J5078">
        <v>-303.13889999999998</v>
      </c>
      <c r="K5078">
        <v>1.048708</v>
      </c>
      <c r="L5078">
        <v>1.3116459999999901</v>
      </c>
      <c r="M5078">
        <v>0.2322322</v>
      </c>
      <c r="N5078">
        <v>0</v>
      </c>
      <c r="O5078">
        <v>-0.97255380000000002</v>
      </c>
      <c r="P5078">
        <v>0.2357001</v>
      </c>
      <c r="Q5078">
        <v>3.6062629999999998E-2</v>
      </c>
      <c r="R5078">
        <v>-0.97115680000000004</v>
      </c>
      <c r="S5078">
        <v>0.12695309999999899</v>
      </c>
      <c r="T5078">
        <v>-0.1830726</v>
      </c>
      <c r="U5078">
        <v>-3.0660099999999999</v>
      </c>
      <c r="V5078">
        <v>-2.9262450000000001E-3</v>
      </c>
      <c r="W5078">
        <v>5.051162E-2</v>
      </c>
      <c r="X5078">
        <v>0.99871919999999903</v>
      </c>
      <c r="Y5078">
        <v>0.19188179999999999</v>
      </c>
      <c r="Z5078">
        <v>5.658705E-2</v>
      </c>
      <c r="AA5078">
        <v>0.97978529999999997</v>
      </c>
      <c r="AB5078">
        <v>25</v>
      </c>
      <c r="AC5078">
        <v>0.67809999999997195</v>
      </c>
      <c r="AD5078">
        <v>-1.0487105433419901</v>
      </c>
      <c r="AE5078">
        <v>-17.320176</v>
      </c>
      <c r="AF5078">
        <v>3.3508964869267901</v>
      </c>
      <c r="AG5078">
        <v>-1.0487105433419901</v>
      </c>
      <c r="AH5078">
        <v>16.942025857191901</v>
      </c>
      <c r="AI5078">
        <v>93.474939655485102</v>
      </c>
      <c r="AJ5078">
        <v>78.812090069414893</v>
      </c>
      <c r="AK5078">
        <v>17.3020386433383</v>
      </c>
    </row>
    <row r="5079" spans="1:37" x14ac:dyDescent="0.2">
      <c r="A5079" t="str">
        <f>"20200111153752634"</f>
        <v>20200111153752634</v>
      </c>
      <c r="B5079" t="str">
        <f>"1578728272628605"</f>
        <v>1578728272628605</v>
      </c>
      <c r="C5079" t="s">
        <v>37</v>
      </c>
      <c r="D5079">
        <v>5.967803</v>
      </c>
      <c r="E5079">
        <v>0.56772819999999902</v>
      </c>
      <c r="F5079" t="s">
        <v>39</v>
      </c>
      <c r="G5079">
        <v>-302.44979999999998</v>
      </c>
      <c r="H5079" s="1">
        <v>-2.8139389999999999E-6</v>
      </c>
      <c r="I5079">
        <v>-15.37097</v>
      </c>
      <c r="J5079">
        <v>-303.08409999999998</v>
      </c>
      <c r="K5079">
        <v>1.049186</v>
      </c>
      <c r="L5079">
        <v>1.0345759999999999</v>
      </c>
      <c r="M5079">
        <v>0.22223950000000001</v>
      </c>
      <c r="N5079">
        <v>0</v>
      </c>
      <c r="O5079">
        <v>-0.97488240000000004</v>
      </c>
      <c r="P5079">
        <v>0.233295899999999</v>
      </c>
      <c r="Q5079">
        <v>3.5860959999999997E-2</v>
      </c>
      <c r="R5079">
        <v>-0.97174470000000002</v>
      </c>
      <c r="S5079">
        <v>0.12661739999999999</v>
      </c>
      <c r="T5079">
        <v>-0.19270619999999999</v>
      </c>
      <c r="U5079">
        <v>-3.0655209999999999</v>
      </c>
      <c r="V5079">
        <v>-1.0753260000000001E-2</v>
      </c>
      <c r="W5079">
        <v>5.0639249999999997E-2</v>
      </c>
      <c r="X5079">
        <v>0.99865910000000002</v>
      </c>
      <c r="Y5079">
        <v>0.18190979999999901</v>
      </c>
      <c r="Z5079">
        <v>5.98413E-2</v>
      </c>
      <c r="AA5079">
        <v>0.98149259999999905</v>
      </c>
      <c r="AB5079">
        <v>25</v>
      </c>
      <c r="AC5079">
        <v>0.63429999999999598</v>
      </c>
      <c r="AD5079">
        <v>-1.049188813939</v>
      </c>
      <c r="AE5079">
        <v>-16.405545999999902</v>
      </c>
      <c r="AF5079">
        <v>3.0156008317687002</v>
      </c>
      <c r="AG5079">
        <v>-1.049188813939</v>
      </c>
      <c r="AH5079">
        <v>16.070539722531201</v>
      </c>
      <c r="AI5079">
        <v>93.6714384616958</v>
      </c>
      <c r="AJ5079">
        <v>79.372166268650901</v>
      </c>
      <c r="AK5079">
        <v>16.3846541775319</v>
      </c>
    </row>
    <row r="5080" spans="1:37" x14ac:dyDescent="0.2">
      <c r="A5080" t="str">
        <f>"20200111153752654"</f>
        <v>20200111153752654</v>
      </c>
      <c r="B5080" t="str">
        <f>"1578728272648125"</f>
        <v>1578728272648125</v>
      </c>
      <c r="C5080" t="s">
        <v>37</v>
      </c>
      <c r="D5080">
        <v>5.9920140000000002</v>
      </c>
      <c r="E5080">
        <v>0.56736409999999904</v>
      </c>
      <c r="F5080" t="s">
        <v>38</v>
      </c>
      <c r="G5080">
        <v>-303.04320000000001</v>
      </c>
      <c r="H5080">
        <v>0.98262099999999997</v>
      </c>
      <c r="I5080">
        <v>0.23466909999999999</v>
      </c>
      <c r="J5080">
        <v>-303.03989999999999</v>
      </c>
      <c r="K5080">
        <v>1.0496719999999999</v>
      </c>
      <c r="L5080">
        <v>0.80438229999999999</v>
      </c>
      <c r="M5080">
        <v>0.21303510000000001</v>
      </c>
      <c r="N5080">
        <v>0</v>
      </c>
      <c r="O5080">
        <v>-0.97693030000000003</v>
      </c>
      <c r="P5080">
        <v>0.23131060000000001</v>
      </c>
      <c r="Q5080">
        <v>3.5728860000000001E-2</v>
      </c>
      <c r="R5080">
        <v>-0.97222379999999997</v>
      </c>
      <c r="S5080">
        <v>0.15707399999999999</v>
      </c>
      <c r="T5080">
        <v>-0.25411489999999998</v>
      </c>
      <c r="U5080">
        <v>-3.0588989999999998</v>
      </c>
      <c r="V5080">
        <v>-1.816419E-2</v>
      </c>
      <c r="W5080">
        <v>5.0914500000000001E-2</v>
      </c>
      <c r="X5080">
        <v>0.99853780000000003</v>
      </c>
      <c r="Y5080">
        <v>0.16283429999999999</v>
      </c>
      <c r="Z5080">
        <v>7.9342250000000003E-2</v>
      </c>
      <c r="AA5080">
        <v>0.9834581</v>
      </c>
      <c r="AB5080">
        <v>25</v>
      </c>
      <c r="AC5080">
        <v>-3.30000000002428E-3</v>
      </c>
      <c r="AD5080">
        <v>-6.7050999999999902E-2</v>
      </c>
      <c r="AE5080">
        <v>-0.56971319999999903</v>
      </c>
      <c r="AF5080">
        <v>0.12290433087015901</v>
      </c>
      <c r="AG5080">
        <v>-6.7050999999999902E-2</v>
      </c>
      <c r="AH5080">
        <v>0.54833411127460496</v>
      </c>
      <c r="AI5080">
        <v>96.804402810794997</v>
      </c>
      <c r="AJ5080">
        <v>77.366453242540004</v>
      </c>
      <c r="AK5080">
        <v>0.56592544450214699</v>
      </c>
    </row>
    <row r="5081" spans="1:37" x14ac:dyDescent="0.2">
      <c r="A5081" t="str">
        <f>"20200111153752677"</f>
        <v>20200111153752677</v>
      </c>
      <c r="B5081" t="str">
        <f>"1578728272668621"</f>
        <v>1578728272668621</v>
      </c>
      <c r="C5081" t="s">
        <v>37</v>
      </c>
      <c r="D5081">
        <v>5.9735579999999997</v>
      </c>
      <c r="E5081">
        <v>0.56673649999999998</v>
      </c>
      <c r="F5081" t="s">
        <v>38</v>
      </c>
      <c r="G5081">
        <v>-303.00029999999998</v>
      </c>
      <c r="H5081">
        <v>0.982747699999999</v>
      </c>
      <c r="I5081">
        <v>1.531279E-2</v>
      </c>
      <c r="J5081">
        <v>-302.99360000000001</v>
      </c>
      <c r="K5081">
        <v>1.0497289999999999</v>
      </c>
      <c r="L5081">
        <v>0.55541989999999997</v>
      </c>
      <c r="M5081">
        <v>0.20489940000000001</v>
      </c>
      <c r="N5081">
        <v>0</v>
      </c>
      <c r="O5081">
        <v>-0.97866450000000005</v>
      </c>
      <c r="P5081">
        <v>0.22966220000000001</v>
      </c>
      <c r="Q5081">
        <v>3.572906E-2</v>
      </c>
      <c r="R5081">
        <v>-0.97261469999999906</v>
      </c>
      <c r="S5081">
        <v>0.1536865</v>
      </c>
      <c r="T5081">
        <v>-0.25920929999999998</v>
      </c>
      <c r="U5081">
        <v>-3.0586849999999899</v>
      </c>
      <c r="V5081">
        <v>-2.4733499999999999E-2</v>
      </c>
      <c r="W5081">
        <v>5.1314060000000002E-2</v>
      </c>
      <c r="X5081">
        <v>0.99837629999999999</v>
      </c>
      <c r="Y5081">
        <v>0.15571209999999999</v>
      </c>
      <c r="Z5081">
        <v>8.11973E-2</v>
      </c>
      <c r="AA5081">
        <v>0.98445959999999999</v>
      </c>
      <c r="AB5081">
        <v>25</v>
      </c>
      <c r="AC5081">
        <v>-6.6999999999666198E-3</v>
      </c>
      <c r="AD5081">
        <v>-6.6981300000000202E-2</v>
      </c>
      <c r="AE5081">
        <v>-0.54010711</v>
      </c>
      <c r="AF5081">
        <v>0.11546276978666301</v>
      </c>
      <c r="AG5081">
        <v>-6.6981300000000202E-2</v>
      </c>
      <c r="AH5081">
        <v>0.51928676783228001</v>
      </c>
      <c r="AI5081">
        <v>97.176470211759295</v>
      </c>
      <c r="AJ5081">
        <v>77.464283483689201</v>
      </c>
      <c r="AK5081">
        <v>0.53616871691865298</v>
      </c>
    </row>
    <row r="5082" spans="1:37" x14ac:dyDescent="0.2">
      <c r="A5082" t="str">
        <f>"20200111153752698"</f>
        <v>20200111153752698</v>
      </c>
      <c r="B5082" t="str">
        <f>"1578728272688141"</f>
        <v>1578728272688141</v>
      </c>
      <c r="C5082" t="s">
        <v>37</v>
      </c>
      <c r="D5082">
        <v>5.9896709999999898</v>
      </c>
      <c r="E5082">
        <v>0.56642029999999999</v>
      </c>
      <c r="F5082" t="s">
        <v>38</v>
      </c>
      <c r="G5082">
        <v>-302.95589999999999</v>
      </c>
      <c r="H5082">
        <v>0.98301050000000001</v>
      </c>
      <c r="I5082">
        <v>-0.2020972</v>
      </c>
      <c r="J5082">
        <v>-302.95159999999998</v>
      </c>
      <c r="K5082">
        <v>1.0496080000000001</v>
      </c>
      <c r="L5082">
        <v>0.31701659999999998</v>
      </c>
      <c r="M5082">
        <v>0.200456</v>
      </c>
      <c r="N5082">
        <v>0</v>
      </c>
      <c r="O5082">
        <v>-0.97959079999999998</v>
      </c>
      <c r="P5082">
        <v>0.23026089999999999</v>
      </c>
      <c r="Q5082">
        <v>3.5605669999999999E-2</v>
      </c>
      <c r="R5082">
        <v>-0.97247749999999999</v>
      </c>
      <c r="S5082">
        <v>0.15280150000000001</v>
      </c>
      <c r="T5082">
        <v>-0.26885929999999902</v>
      </c>
      <c r="U5082">
        <v>-3.0582579999999999</v>
      </c>
      <c r="V5082">
        <v>-2.9802439999999999E-2</v>
      </c>
      <c r="W5082">
        <v>5.0895940000000001E-2</v>
      </c>
      <c r="X5082">
        <v>0.99825919999999901</v>
      </c>
      <c r="Y5082">
        <v>0.15151709999999999</v>
      </c>
      <c r="Z5082">
        <v>8.4358799999999998E-2</v>
      </c>
      <c r="AA5082">
        <v>0.98484830000000001</v>
      </c>
      <c r="AB5082">
        <v>25</v>
      </c>
      <c r="AC5082">
        <v>-4.3000000000006297E-3</v>
      </c>
      <c r="AD5082">
        <v>-6.6597500000000004E-2</v>
      </c>
      <c r="AE5082">
        <v>-0.51911379999999996</v>
      </c>
      <c r="AF5082">
        <v>0.10653037620016299</v>
      </c>
      <c r="AG5082">
        <v>-6.6597500000000004E-2</v>
      </c>
      <c r="AH5082">
        <v>0.49949246333125602</v>
      </c>
      <c r="AI5082">
        <v>97.429313737185197</v>
      </c>
      <c r="AJ5082">
        <v>77.960498658379805</v>
      </c>
      <c r="AK5082">
        <v>0.51505016161954997</v>
      </c>
    </row>
    <row r="5083" spans="1:37" x14ac:dyDescent="0.2">
      <c r="A5083" t="str">
        <f>"20200111153752721"</f>
        <v>20200111153752721</v>
      </c>
      <c r="B5083" t="str">
        <f>"1578728272708637"</f>
        <v>1578728272708637</v>
      </c>
      <c r="C5083" t="s">
        <v>37</v>
      </c>
      <c r="D5083">
        <v>5.934501</v>
      </c>
      <c r="E5083">
        <v>0.56614330000000002</v>
      </c>
      <c r="F5083" t="s">
        <v>38</v>
      </c>
      <c r="G5083">
        <v>-302.91399999999999</v>
      </c>
      <c r="H5083">
        <v>0.98454140000000001</v>
      </c>
      <c r="I5083">
        <v>-0.42017520000000003</v>
      </c>
      <c r="J5083">
        <v>-302.91129999999998</v>
      </c>
      <c r="K5083">
        <v>1.0501290000000001</v>
      </c>
      <c r="L5083">
        <v>7.5927729999999999E-2</v>
      </c>
      <c r="M5083">
        <v>0.19629659999999999</v>
      </c>
      <c r="N5083">
        <v>0</v>
      </c>
      <c r="O5083">
        <v>-0.9804562</v>
      </c>
      <c r="P5083">
        <v>0.23106379999999899</v>
      </c>
      <c r="Q5083">
        <v>3.7281799999999997E-2</v>
      </c>
      <c r="R5083">
        <v>-0.97222439999999999</v>
      </c>
      <c r="S5083">
        <v>0.15603639999999999</v>
      </c>
      <c r="T5083">
        <v>-0.26979239999999999</v>
      </c>
      <c r="U5083">
        <v>-3.0578609999999999</v>
      </c>
      <c r="V5083">
        <v>-3.4858899999999998E-2</v>
      </c>
      <c r="W5083">
        <v>5.1023560000000003E-2</v>
      </c>
      <c r="X5083">
        <v>0.99808889999999995</v>
      </c>
      <c r="Y5083">
        <v>0.1462717</v>
      </c>
      <c r="Z5083">
        <v>8.4803409999999996E-2</v>
      </c>
      <c r="AA5083">
        <v>0.98560289999999995</v>
      </c>
      <c r="AB5083">
        <v>25</v>
      </c>
      <c r="AC5083">
        <v>-2.7000000000043599E-3</v>
      </c>
      <c r="AD5083">
        <v>-6.5587599999999899E-2</v>
      </c>
      <c r="AE5083">
        <v>-0.49610293</v>
      </c>
      <c r="AF5083">
        <v>9.8320786071565303E-2</v>
      </c>
      <c r="AG5083">
        <v>-6.5587599999999899E-2</v>
      </c>
      <c r="AH5083">
        <v>0.47757237616843901</v>
      </c>
      <c r="AI5083">
        <v>97.6611156623255</v>
      </c>
      <c r="AJ5083">
        <v>78.366704198756196</v>
      </c>
      <c r="AK5083">
        <v>0.49197976048477798</v>
      </c>
    </row>
    <row r="5084" spans="1:37" x14ac:dyDescent="0.2">
      <c r="A5084" t="str">
        <f>"20200111153752743"</f>
        <v>20200111153752743</v>
      </c>
      <c r="B5084" t="str">
        <f>"1578728272737916"</f>
        <v>1578728272737916</v>
      </c>
      <c r="C5084" t="s">
        <v>37</v>
      </c>
      <c r="D5084">
        <v>5.9461550000000001</v>
      </c>
      <c r="E5084">
        <v>0.56602540000000001</v>
      </c>
      <c r="F5084" t="s">
        <v>38</v>
      </c>
      <c r="G5084">
        <v>-302.8623</v>
      </c>
      <c r="H5084">
        <v>0.96969590000000006</v>
      </c>
      <c r="I5084">
        <v>-0.85795180000000004</v>
      </c>
      <c r="J5084">
        <v>-302.8698</v>
      </c>
      <c r="K5084">
        <v>1.0519419999999999</v>
      </c>
      <c r="L5084">
        <v>-0.1796875</v>
      </c>
      <c r="M5084">
        <v>0.1899429</v>
      </c>
      <c r="N5084">
        <v>0</v>
      </c>
      <c r="O5084">
        <v>-0.98173080000000001</v>
      </c>
      <c r="P5084">
        <v>0.229657</v>
      </c>
      <c r="Q5084">
        <v>3.9140460000000002E-2</v>
      </c>
      <c r="R5084">
        <v>-0.97248419999999902</v>
      </c>
      <c r="S5084">
        <v>0.1603088</v>
      </c>
      <c r="T5084">
        <v>-0.26335619999999998</v>
      </c>
      <c r="U5084">
        <v>-3.057709</v>
      </c>
      <c r="V5084">
        <v>-3.9984260000000001E-2</v>
      </c>
      <c r="W5084">
        <v>5.0968310000000003E-2</v>
      </c>
      <c r="X5084">
        <v>0.99789950000000005</v>
      </c>
      <c r="Y5084">
        <v>0.1384724</v>
      </c>
      <c r="Z5084">
        <v>8.3004949999999994E-2</v>
      </c>
      <c r="AA5084">
        <v>0.98688169999999897</v>
      </c>
      <c r="AB5084">
        <v>25</v>
      </c>
      <c r="AC5084">
        <v>7.4999999999931797E-3</v>
      </c>
      <c r="AD5084">
        <v>-8.2246099999999794E-2</v>
      </c>
      <c r="AE5084">
        <v>-0.67826430000000004</v>
      </c>
      <c r="AF5084">
        <v>0.11971610139877401</v>
      </c>
      <c r="AG5084">
        <v>-8.2246099999999794E-2</v>
      </c>
      <c r="AH5084">
        <v>0.65767053650039098</v>
      </c>
      <c r="AI5084">
        <v>97.014130673021199</v>
      </c>
      <c r="AJ5084">
        <v>79.683377908500702</v>
      </c>
      <c r="AK5084">
        <v>0.67351830003352098</v>
      </c>
    </row>
    <row r="5085" spans="1:37" x14ac:dyDescent="0.2">
      <c r="A5085" t="str">
        <f>"20200111153752766"</f>
        <v>20200111153752766</v>
      </c>
      <c r="B5085" t="str">
        <f>"1578728272758413"</f>
        <v>1578728272758413</v>
      </c>
      <c r="C5085" t="s">
        <v>37</v>
      </c>
      <c r="D5085">
        <v>5.8512069999999996</v>
      </c>
      <c r="E5085">
        <v>0.56247400000000003</v>
      </c>
      <c r="F5085" t="s">
        <v>38</v>
      </c>
      <c r="G5085">
        <v>-302.82369999999997</v>
      </c>
      <c r="H5085">
        <v>0.97573829999999995</v>
      </c>
      <c r="I5085">
        <v>-1.079966</v>
      </c>
      <c r="J5085">
        <v>-302.83010000000002</v>
      </c>
      <c r="K5085">
        <v>1.054292</v>
      </c>
      <c r="L5085">
        <v>-0.42807010000000001</v>
      </c>
      <c r="M5085">
        <v>0.18243190000000001</v>
      </c>
      <c r="N5085">
        <v>0</v>
      </c>
      <c r="O5085">
        <v>-0.98317049999999995</v>
      </c>
      <c r="P5085">
        <v>0.227204299999999</v>
      </c>
      <c r="Q5085">
        <v>3.8997660000000003E-2</v>
      </c>
      <c r="R5085">
        <v>-0.97306630000000005</v>
      </c>
      <c r="S5085">
        <v>0.15686040000000001</v>
      </c>
      <c r="T5085">
        <v>-0.258629</v>
      </c>
      <c r="U5085">
        <v>-3.0582579999999999</v>
      </c>
      <c r="V5085">
        <v>-4.5230239999999998E-2</v>
      </c>
      <c r="W5085">
        <v>4.92953E-2</v>
      </c>
      <c r="X5085">
        <v>0.99775959999999997</v>
      </c>
      <c r="Y5085">
        <v>0.13200870000000001</v>
      </c>
      <c r="Z5085">
        <v>8.1729670000000004E-2</v>
      </c>
      <c r="AA5085">
        <v>0.98787340000000001</v>
      </c>
      <c r="AB5085">
        <v>25</v>
      </c>
      <c r="AC5085">
        <v>6.4000000000419199E-3</v>
      </c>
      <c r="AD5085">
        <v>-7.8553700000000004E-2</v>
      </c>
      <c r="AE5085">
        <v>-0.65189589999999997</v>
      </c>
      <c r="AF5085">
        <v>0.111027627893495</v>
      </c>
      <c r="AG5085">
        <v>-7.8553700000000004E-2</v>
      </c>
      <c r="AH5085">
        <v>0.63293316218388496</v>
      </c>
      <c r="AI5085">
        <v>96.969487341843006</v>
      </c>
      <c r="AJ5085">
        <v>80.050539384337497</v>
      </c>
      <c r="AK5085">
        <v>0.64738103596833796</v>
      </c>
    </row>
    <row r="5086" spans="1:37" x14ac:dyDescent="0.2">
      <c r="A5086" t="str">
        <f>"20200111153752788"</f>
        <v>20200111153752788</v>
      </c>
      <c r="B5086" t="str">
        <f>"1578728272777934"</f>
        <v>1578728272777934</v>
      </c>
      <c r="C5086" t="s">
        <v>37</v>
      </c>
      <c r="D5086">
        <v>5.4843890000000002</v>
      </c>
      <c r="E5086">
        <v>0.48333569999999998</v>
      </c>
      <c r="F5086" t="s">
        <v>38</v>
      </c>
      <c r="G5086">
        <v>-302.77960000000002</v>
      </c>
      <c r="H5086">
        <v>0.98256339999999998</v>
      </c>
      <c r="I5086">
        <v>-1.300883</v>
      </c>
      <c r="J5086">
        <v>-302.79169999999999</v>
      </c>
      <c r="K5086">
        <v>1.0564979999999999</v>
      </c>
      <c r="L5086">
        <v>-0.67562869999999997</v>
      </c>
      <c r="M5086">
        <v>0.17478150000000001</v>
      </c>
      <c r="N5086">
        <v>0</v>
      </c>
      <c r="O5086">
        <v>-0.98457309999999998</v>
      </c>
      <c r="P5086">
        <v>0.224466</v>
      </c>
      <c r="Q5086">
        <v>3.9200440000000003E-2</v>
      </c>
      <c r="R5086">
        <v>-0.97369329999999998</v>
      </c>
      <c r="S5086">
        <v>0.177124</v>
      </c>
      <c r="T5086">
        <v>-0.25046679999999999</v>
      </c>
      <c r="U5086">
        <v>-3.0517270000000001</v>
      </c>
      <c r="V5086">
        <v>-5.0275609999999998E-2</v>
      </c>
      <c r="W5086">
        <v>4.7951720000000003E-2</v>
      </c>
      <c r="X5086">
        <v>0.99758359999999902</v>
      </c>
      <c r="Y5086">
        <v>0.1176271</v>
      </c>
      <c r="Z5086">
        <v>7.9565479999999994E-2</v>
      </c>
      <c r="AA5086">
        <v>0.9898652</v>
      </c>
      <c r="AB5086">
        <v>25</v>
      </c>
      <c r="AC5086">
        <v>1.2099999999975301E-2</v>
      </c>
      <c r="AD5086">
        <v>-7.3934599999999906E-2</v>
      </c>
      <c r="AE5086">
        <v>-0.62525430000000004</v>
      </c>
      <c r="AF5086">
        <v>9.6030587042199494E-2</v>
      </c>
      <c r="AG5086">
        <v>-7.3934599999999906E-2</v>
      </c>
      <c r="AH5086">
        <v>0.60922888884986803</v>
      </c>
      <c r="AI5086">
        <v>96.835857886655802</v>
      </c>
      <c r="AJ5086">
        <v>81.042371797020493</v>
      </c>
      <c r="AK5086">
        <v>0.62116667468085796</v>
      </c>
    </row>
    <row r="5087" spans="1:37" x14ac:dyDescent="0.2">
      <c r="A5087" t="str">
        <f>"20200111153752810"</f>
        <v>20200111153752810</v>
      </c>
      <c r="B5087" t="str">
        <f>"1578728272798429"</f>
        <v>1578728272798429</v>
      </c>
      <c r="C5087" t="s">
        <v>37</v>
      </c>
      <c r="D5087">
        <v>5.5814890000000004</v>
      </c>
      <c r="E5087">
        <v>0.47726109999999999</v>
      </c>
      <c r="F5087" t="s">
        <v>39</v>
      </c>
      <c r="G5087">
        <v>-299.399</v>
      </c>
      <c r="H5087" s="1">
        <v>-3.1597579999999999E-6</v>
      </c>
      <c r="I5087">
        <v>-13.250220000000001</v>
      </c>
      <c r="J5087">
        <v>-302.75569999999999</v>
      </c>
      <c r="K5087">
        <v>1.058306</v>
      </c>
      <c r="L5087">
        <v>-0.91659550000000001</v>
      </c>
      <c r="M5087">
        <v>0.16807900000000001</v>
      </c>
      <c r="N5087">
        <v>0</v>
      </c>
      <c r="O5087">
        <v>-0.98575179999999996</v>
      </c>
      <c r="P5087">
        <v>0.2215965</v>
      </c>
      <c r="Q5087">
        <v>4.0349049999999997E-2</v>
      </c>
      <c r="R5087">
        <v>-0.97430349999999999</v>
      </c>
      <c r="S5087">
        <v>0.78509519999999899</v>
      </c>
      <c r="T5087">
        <v>-0.24448719999999999</v>
      </c>
      <c r="U5087">
        <v>-2.9099119999999998</v>
      </c>
      <c r="V5087">
        <v>-5.4167010000000002E-2</v>
      </c>
      <c r="W5087">
        <v>4.7503530000000002E-2</v>
      </c>
      <c r="X5087">
        <v>0.99740130000000005</v>
      </c>
      <c r="Y5087">
        <v>-9.3647149999999998E-2</v>
      </c>
      <c r="Z5087">
        <v>8.0344849999999995E-2</v>
      </c>
      <c r="AA5087">
        <v>0.99235830000000003</v>
      </c>
      <c r="AB5087">
        <v>25</v>
      </c>
      <c r="AC5087">
        <v>3.35669999999998</v>
      </c>
      <c r="AD5087">
        <v>-1.0583091597579899</v>
      </c>
      <c r="AE5087">
        <v>-12.333624500000001</v>
      </c>
      <c r="AF5087">
        <v>-1.2274619464952901</v>
      </c>
      <c r="AG5087">
        <v>-1.0583091597579899</v>
      </c>
      <c r="AH5087">
        <v>12.635737154495001</v>
      </c>
      <c r="AI5087">
        <v>94.765320081938</v>
      </c>
      <c r="AJ5087">
        <v>95.548422888104497</v>
      </c>
      <c r="AK5087">
        <v>12.739251726267399</v>
      </c>
    </row>
    <row r="5088" spans="1:37" x14ac:dyDescent="0.2">
      <c r="A5088" t="str">
        <f>"20200111153752832"</f>
        <v>20200111153752832</v>
      </c>
      <c r="B5088" t="str">
        <f>"1578728272828685"</f>
        <v>1578728272828685</v>
      </c>
      <c r="C5088" t="s">
        <v>37</v>
      </c>
      <c r="D5088">
        <v>5.7391879999999897</v>
      </c>
      <c r="E5088">
        <v>0.47708590000000001</v>
      </c>
      <c r="F5088" t="s">
        <v>39</v>
      </c>
      <c r="G5088">
        <v>-299.30990000000003</v>
      </c>
      <c r="H5088" s="1">
        <v>-3.259557E-6</v>
      </c>
      <c r="I5088">
        <v>-13.054460000000001</v>
      </c>
      <c r="J5088">
        <v>-302.72039999999998</v>
      </c>
      <c r="K5088">
        <v>1.059992</v>
      </c>
      <c r="L5088">
        <v>-1.1636959999999901</v>
      </c>
      <c r="M5088">
        <v>0.1620354</v>
      </c>
      <c r="N5088">
        <v>0</v>
      </c>
      <c r="O5088">
        <v>-0.98677219999999999</v>
      </c>
      <c r="P5088">
        <v>0.2187665</v>
      </c>
      <c r="Q5088">
        <v>4.1768630000000001E-2</v>
      </c>
      <c r="R5088">
        <v>-0.97488299999999894</v>
      </c>
      <c r="S5088">
        <v>0.82391360000000002</v>
      </c>
      <c r="T5088">
        <v>-0.25304690000000002</v>
      </c>
      <c r="U5088">
        <v>-2.9022220000000001</v>
      </c>
      <c r="V5088">
        <v>-5.7405899999999899E-2</v>
      </c>
      <c r="W5088">
        <v>4.7366829999999999E-2</v>
      </c>
      <c r="X5088">
        <v>0.99722670000000002</v>
      </c>
      <c r="Y5088">
        <v>-0.11265309999999901</v>
      </c>
      <c r="Z5088">
        <v>8.3248699999999995E-2</v>
      </c>
      <c r="AA5088">
        <v>0.99014089999999999</v>
      </c>
      <c r="AB5088">
        <v>25</v>
      </c>
      <c r="AC5088">
        <v>3.4104999999999501</v>
      </c>
      <c r="AD5088">
        <v>-1.0599952595569999</v>
      </c>
      <c r="AE5088">
        <v>-11.890764000000001</v>
      </c>
      <c r="AF5088">
        <v>-1.4281932160478401</v>
      </c>
      <c r="AG5088">
        <v>-1.0599952595569999</v>
      </c>
      <c r="AH5088">
        <v>12.1966951821575</v>
      </c>
      <c r="AI5088">
        <v>94.933464472647302</v>
      </c>
      <c r="AJ5088">
        <v>96.678734202914299</v>
      </c>
      <c r="AK5088">
        <v>12.325692645004301</v>
      </c>
    </row>
    <row r="5089" spans="1:37" x14ac:dyDescent="0.2">
      <c r="A5089" t="str">
        <f>"20200111153752855"</f>
        <v>20200111153752855</v>
      </c>
      <c r="B5089" t="str">
        <f>"1578728272848206"</f>
        <v>1578728272848206</v>
      </c>
      <c r="C5089" t="s">
        <v>37</v>
      </c>
      <c r="D5089">
        <v>5.5391309999999896</v>
      </c>
      <c r="E5089">
        <v>0.4774236</v>
      </c>
      <c r="F5089" t="s">
        <v>39</v>
      </c>
      <c r="G5089">
        <v>-298.93119999999999</v>
      </c>
      <c r="H5089" s="1">
        <v>-2.6584089999999999E-6</v>
      </c>
      <c r="I5089">
        <v>-14.61234</v>
      </c>
      <c r="J5089">
        <v>-302.6859</v>
      </c>
      <c r="K5089">
        <v>1.0616859999999999</v>
      </c>
      <c r="L5089">
        <v>-1.4160159999999999</v>
      </c>
      <c r="M5089">
        <v>0.15631199999999901</v>
      </c>
      <c r="N5089">
        <v>0</v>
      </c>
      <c r="O5089">
        <v>-0.98770159999999996</v>
      </c>
      <c r="P5089">
        <v>0.2155676</v>
      </c>
      <c r="Q5089">
        <v>4.3327409999999997E-2</v>
      </c>
      <c r="R5089">
        <v>-0.97552729999999999</v>
      </c>
      <c r="S5089">
        <v>0.8180847</v>
      </c>
      <c r="T5089">
        <v>-0.22885069999999999</v>
      </c>
      <c r="U5089">
        <v>-2.9035340000000001</v>
      </c>
      <c r="V5089">
        <v>-5.9938030000000003E-2</v>
      </c>
      <c r="W5089">
        <v>4.7464480000000003E-2</v>
      </c>
      <c r="X5089">
        <v>0.99707299999999999</v>
      </c>
      <c r="Y5089">
        <v>-0.11662690000000001</v>
      </c>
      <c r="Z5089">
        <v>7.5412499999999993E-2</v>
      </c>
      <c r="AA5089">
        <v>0.99030859999999998</v>
      </c>
      <c r="AB5089">
        <v>25</v>
      </c>
      <c r="AC5089">
        <v>3.7547000000000099</v>
      </c>
      <c r="AD5089">
        <v>-1.061688658409</v>
      </c>
      <c r="AE5089">
        <v>-13.196324000000001</v>
      </c>
      <c r="AF5089">
        <v>-1.6359930614343099</v>
      </c>
      <c r="AG5089">
        <v>-1.061688658409</v>
      </c>
      <c r="AH5089">
        <v>13.539940490650901</v>
      </c>
      <c r="AI5089">
        <v>94.451238119753697</v>
      </c>
      <c r="AJ5089">
        <v>96.889490947820505</v>
      </c>
      <c r="AK5089">
        <v>13.679679988757901</v>
      </c>
    </row>
    <row r="5090" spans="1:37" x14ac:dyDescent="0.2">
      <c r="A5090" t="str">
        <f>"20200111153752877"</f>
        <v>20200111153752877</v>
      </c>
      <c r="B5090" t="str">
        <f>"1578728272868701"</f>
        <v>1578728272868701</v>
      </c>
      <c r="C5090" t="s">
        <v>37</v>
      </c>
      <c r="D5090">
        <v>5.6724559999999897</v>
      </c>
      <c r="E5090">
        <v>0.47783999999999999</v>
      </c>
      <c r="F5090" t="s">
        <v>39</v>
      </c>
      <c r="G5090">
        <v>-298.90260000000001</v>
      </c>
      <c r="H5090" s="1">
        <v>-2.468149E-6</v>
      </c>
      <c r="I5090">
        <v>-15.0676399999999</v>
      </c>
      <c r="J5090">
        <v>-302.65320000000003</v>
      </c>
      <c r="K5090">
        <v>1.0635190000000001</v>
      </c>
      <c r="L5090">
        <v>-1.6640630000000001</v>
      </c>
      <c r="M5090">
        <v>0.15006910000000001</v>
      </c>
      <c r="N5090">
        <v>0</v>
      </c>
      <c r="O5090">
        <v>-0.98867260000000001</v>
      </c>
      <c r="P5090">
        <v>0.21152689999999999</v>
      </c>
      <c r="Q5090">
        <v>4.3979589999999999E-2</v>
      </c>
      <c r="R5090">
        <v>-0.97638239999999998</v>
      </c>
      <c r="S5090">
        <v>0.80569460000000004</v>
      </c>
      <c r="T5090">
        <v>-0.22609760000000001</v>
      </c>
      <c r="U5090">
        <v>-2.907257</v>
      </c>
      <c r="V5090">
        <v>-6.2149969999999999E-2</v>
      </c>
      <c r="W5090">
        <v>4.7030559999999999E-2</v>
      </c>
      <c r="X5090">
        <v>0.99695809999999996</v>
      </c>
      <c r="Y5090">
        <v>-0.11867269999999901</v>
      </c>
      <c r="Z5090">
        <v>7.4560559999999998E-2</v>
      </c>
      <c r="AA5090">
        <v>0.99013009999999901</v>
      </c>
      <c r="AB5090">
        <v>25</v>
      </c>
      <c r="AC5090">
        <v>3.7506000000000199</v>
      </c>
      <c r="AD5090">
        <v>-1.0635214681489999</v>
      </c>
      <c r="AE5090">
        <v>-13.403576999999901</v>
      </c>
      <c r="AF5090">
        <v>-1.68680893058276</v>
      </c>
      <c r="AG5090">
        <v>-1.0635214681489999</v>
      </c>
      <c r="AH5090">
        <v>13.7344477614458</v>
      </c>
      <c r="AI5090">
        <v>94.3949486584483</v>
      </c>
      <c r="AJ5090">
        <v>97.001770434196203</v>
      </c>
      <c r="AK5090">
        <v>13.8784529971244</v>
      </c>
    </row>
    <row r="5091" spans="1:37" x14ac:dyDescent="0.2">
      <c r="A5091" t="str">
        <f>"20200111153752899"</f>
        <v>20200111153752899</v>
      </c>
      <c r="B5091" t="str">
        <f>"1578728272888220"</f>
        <v>1578728272888220</v>
      </c>
      <c r="C5091" t="s">
        <v>37</v>
      </c>
      <c r="D5091">
        <v>5.5600120000000004</v>
      </c>
      <c r="E5091">
        <v>0.47817979999999999</v>
      </c>
      <c r="F5091" t="s">
        <v>39</v>
      </c>
      <c r="G5091">
        <v>-298.9391</v>
      </c>
      <c r="H5091" s="1">
        <v>-2.3424420000000001E-6</v>
      </c>
      <c r="I5091">
        <v>-15.345579999999901</v>
      </c>
      <c r="J5091">
        <v>-302.62200000000001</v>
      </c>
      <c r="K5091">
        <v>1.0655019999999999</v>
      </c>
      <c r="L5091">
        <v>-1.9055789999999999</v>
      </c>
      <c r="M5091">
        <v>0.14387039999999901</v>
      </c>
      <c r="N5091">
        <v>0</v>
      </c>
      <c r="O5091">
        <v>-0.98959399999999997</v>
      </c>
      <c r="P5091">
        <v>0.20755299999999999</v>
      </c>
      <c r="Q5091">
        <v>4.4696050000000001E-2</v>
      </c>
      <c r="R5091">
        <v>-0.97720239999999903</v>
      </c>
      <c r="S5091">
        <v>0.79037480000000004</v>
      </c>
      <c r="T5091">
        <v>-0.22632539999999901</v>
      </c>
      <c r="U5091">
        <v>-2.91153</v>
      </c>
      <c r="V5091">
        <v>-6.4362349999999999E-2</v>
      </c>
      <c r="W5091">
        <v>4.7622610000000003E-2</v>
      </c>
      <c r="X5091">
        <v>0.99678960000000005</v>
      </c>
      <c r="Y5091">
        <v>-0.11967319999999999</v>
      </c>
      <c r="Z5091">
        <v>7.4680090000000005E-2</v>
      </c>
      <c r="AA5091">
        <v>0.99000059999999901</v>
      </c>
      <c r="AB5091">
        <v>25</v>
      </c>
      <c r="AC5091">
        <v>3.6829000000000098</v>
      </c>
      <c r="AD5091">
        <v>-1.0655043424420001</v>
      </c>
      <c r="AE5091">
        <v>-13.440001000000001</v>
      </c>
      <c r="AF5091">
        <v>-1.70101738292522</v>
      </c>
      <c r="AG5091">
        <v>-1.0655043424420001</v>
      </c>
      <c r="AH5091">
        <v>13.7496573531519</v>
      </c>
      <c r="AI5091">
        <v>94.397781686529498</v>
      </c>
      <c r="AJ5091">
        <v>97.052424392577194</v>
      </c>
      <c r="AK5091">
        <v>13.895389054282001</v>
      </c>
    </row>
    <row r="5092" spans="1:37" x14ac:dyDescent="0.2">
      <c r="A5092" t="str">
        <f>"20200111153752922"</f>
        <v>20200111153752922</v>
      </c>
      <c r="B5092" t="str">
        <f>"1578728272918478"</f>
        <v>1578728272918478</v>
      </c>
      <c r="C5092" t="s">
        <v>37</v>
      </c>
      <c r="D5092">
        <v>5.4678139999999997</v>
      </c>
      <c r="E5092">
        <v>0.47847590000000001</v>
      </c>
      <c r="F5092" t="s">
        <v>39</v>
      </c>
      <c r="G5092">
        <v>-298.94330000000002</v>
      </c>
      <c r="H5092" s="1">
        <v>-2.1772859999999999E-6</v>
      </c>
      <c r="I5092">
        <v>-15.72884</v>
      </c>
      <c r="J5092">
        <v>-302.59199999999998</v>
      </c>
      <c r="K5092">
        <v>1.0675490000000001</v>
      </c>
      <c r="L5092">
        <v>-2.1455989999999998</v>
      </c>
      <c r="M5092">
        <v>0.13868849999999999</v>
      </c>
      <c r="N5092">
        <v>0</v>
      </c>
      <c r="O5092">
        <v>-0.99033209999999905</v>
      </c>
      <c r="P5092">
        <v>0.20378460000000001</v>
      </c>
      <c r="Q5092">
        <v>4.5487079999999999E-2</v>
      </c>
      <c r="R5092">
        <v>-0.97795869999999996</v>
      </c>
      <c r="S5092">
        <v>0.77587890000000004</v>
      </c>
      <c r="T5092">
        <v>-0.2247256</v>
      </c>
      <c r="U5092">
        <v>-2.9154659999999999</v>
      </c>
      <c r="V5092">
        <v>-6.5712229999999996E-2</v>
      </c>
      <c r="W5092">
        <v>4.894809E-2</v>
      </c>
      <c r="X5092">
        <v>0.99663729999999995</v>
      </c>
      <c r="Y5092">
        <v>-0.1199503</v>
      </c>
      <c r="Z5092">
        <v>7.4187230000000007E-2</v>
      </c>
      <c r="AA5092">
        <v>0.99000409999999905</v>
      </c>
      <c r="AB5092">
        <v>24</v>
      </c>
      <c r="AC5092">
        <v>3.6486999999999599</v>
      </c>
      <c r="AD5092">
        <v>-1.067551177286</v>
      </c>
      <c r="AE5092">
        <v>-13.583240999999999</v>
      </c>
      <c r="AF5092">
        <v>-1.7196847420858601</v>
      </c>
      <c r="AG5092">
        <v>-1.067551177286</v>
      </c>
      <c r="AH5092">
        <v>13.8780527596656</v>
      </c>
      <c r="AI5092">
        <v>94.365483814108799</v>
      </c>
      <c r="AJ5092">
        <v>97.063741076665295</v>
      </c>
      <c r="AK5092">
        <v>14.0248825138875</v>
      </c>
    </row>
    <row r="5093" spans="1:37" x14ac:dyDescent="0.2">
      <c r="A5093" t="str">
        <f>"20200111153752944"</f>
        <v>20200111153752944</v>
      </c>
      <c r="B5093" t="str">
        <f>"1578728272937997"</f>
        <v>1578728272937997</v>
      </c>
      <c r="C5093" t="s">
        <v>37</v>
      </c>
      <c r="D5093">
        <v>5.5437459999999996</v>
      </c>
      <c r="E5093">
        <v>0.4783559</v>
      </c>
      <c r="F5093" t="s">
        <v>39</v>
      </c>
      <c r="G5093">
        <v>-298.92989999999998</v>
      </c>
      <c r="H5093" s="1">
        <v>-1.9921400000000002E-6</v>
      </c>
      <c r="I5093">
        <v>-16.165939999999999</v>
      </c>
      <c r="J5093">
        <v>-302.56259999999997</v>
      </c>
      <c r="K5093">
        <v>1.0698799999999999</v>
      </c>
      <c r="L5093">
        <v>-2.3939509999999999</v>
      </c>
      <c r="M5093">
        <v>0.13443620000000001</v>
      </c>
      <c r="N5093">
        <v>0</v>
      </c>
      <c r="O5093">
        <v>-0.9909171</v>
      </c>
      <c r="P5093">
        <v>0.2006619</v>
      </c>
      <c r="Q5093">
        <v>4.6113130000000002E-2</v>
      </c>
      <c r="R5093">
        <v>-0.97857450000000001</v>
      </c>
      <c r="S5093">
        <v>0.7624512</v>
      </c>
      <c r="T5093">
        <v>-0.22226669999999901</v>
      </c>
      <c r="U5093">
        <v>-2.9190669999999899</v>
      </c>
      <c r="V5093">
        <v>-6.6787699999999894E-2</v>
      </c>
      <c r="W5093">
        <v>4.993537E-2</v>
      </c>
      <c r="X5093">
        <v>0.99651690000000004</v>
      </c>
      <c r="Y5093">
        <v>-0.11966449999999999</v>
      </c>
      <c r="Z5093">
        <v>7.340112E-2</v>
      </c>
      <c r="AA5093">
        <v>0.99009729999999996</v>
      </c>
      <c r="AB5093">
        <v>24</v>
      </c>
      <c r="AC5093">
        <v>3.6326999999999998</v>
      </c>
      <c r="AD5093">
        <v>-1.06988199214</v>
      </c>
      <c r="AE5093">
        <v>-13.771989</v>
      </c>
      <c r="AF5093">
        <v>-1.73845051614039</v>
      </c>
      <c r="AG5093">
        <v>-1.06988199214</v>
      </c>
      <c r="AH5093">
        <v>14.0560277530764</v>
      </c>
      <c r="AI5093">
        <v>94.319916674952907</v>
      </c>
      <c r="AJ5093">
        <v>97.050541436427693</v>
      </c>
      <c r="AK5093">
        <v>14.203477527332099</v>
      </c>
    </row>
    <row r="5094" spans="1:37" x14ac:dyDescent="0.2">
      <c r="A5094" t="str">
        <f>"20200111153752967"</f>
        <v>20200111153752967</v>
      </c>
      <c r="B5094" t="str">
        <f>"1578728272958493"</f>
        <v>1578728272958493</v>
      </c>
      <c r="C5094" t="s">
        <v>37</v>
      </c>
      <c r="D5094">
        <v>5.544689</v>
      </c>
      <c r="E5094">
        <v>0.4781321</v>
      </c>
      <c r="F5094" t="s">
        <v>39</v>
      </c>
      <c r="G5094">
        <v>-298.89850000000001</v>
      </c>
      <c r="H5094" s="1">
        <v>-1.819819E-6</v>
      </c>
      <c r="I5094">
        <v>-16.58062</v>
      </c>
      <c r="J5094">
        <v>-302.53489999999999</v>
      </c>
      <c r="K5094">
        <v>1.0725209999999901</v>
      </c>
      <c r="L5094">
        <v>-2.6375730000000002</v>
      </c>
      <c r="M5094">
        <v>0.1302854</v>
      </c>
      <c r="N5094">
        <v>0</v>
      </c>
      <c r="O5094">
        <v>-0.9914712</v>
      </c>
      <c r="P5094">
        <v>0.19746050000000001</v>
      </c>
      <c r="Q5094">
        <v>4.5889190000000003E-2</v>
      </c>
      <c r="R5094">
        <v>-0.97923640000000001</v>
      </c>
      <c r="S5094">
        <v>0.75451659999999998</v>
      </c>
      <c r="T5094">
        <v>-0.220312799999999</v>
      </c>
      <c r="U5094">
        <v>-2.9213559999999998</v>
      </c>
      <c r="V5094">
        <v>-6.7715520000000001E-2</v>
      </c>
      <c r="W5094">
        <v>4.9844399999999997E-2</v>
      </c>
      <c r="X5094">
        <v>0.99645879999999998</v>
      </c>
      <c r="Y5094">
        <v>-0.121124299999999</v>
      </c>
      <c r="Z5094">
        <v>7.2783050000000002E-2</v>
      </c>
      <c r="AA5094">
        <v>0.9899654</v>
      </c>
      <c r="AB5094">
        <v>24</v>
      </c>
      <c r="AC5094">
        <v>3.6363999999999801</v>
      </c>
      <c r="AD5094">
        <v>-1.07252281981899</v>
      </c>
      <c r="AE5094">
        <v>-13.943047</v>
      </c>
      <c r="AF5094">
        <v>-1.77896420537376</v>
      </c>
      <c r="AG5094">
        <v>-1.07252281981899</v>
      </c>
      <c r="AH5094">
        <v>14.2191989500866</v>
      </c>
      <c r="AI5094">
        <v>94.280283206880398</v>
      </c>
      <c r="AJ5094">
        <v>97.131222730102806</v>
      </c>
      <c r="AK5094">
        <v>14.3701300490001</v>
      </c>
    </row>
    <row r="5095" spans="1:37" x14ac:dyDescent="0.2">
      <c r="A5095" t="str">
        <f>"20200111153752988"</f>
        <v>20200111153752988</v>
      </c>
      <c r="B5095" t="str">
        <f>"1578728272978014"</f>
        <v>1578728272978014</v>
      </c>
      <c r="C5095" t="s">
        <v>37</v>
      </c>
      <c r="D5095">
        <v>5.5198529999999897</v>
      </c>
      <c r="E5095">
        <v>0.47775770000000001</v>
      </c>
      <c r="F5095" t="s">
        <v>39</v>
      </c>
      <c r="G5095">
        <v>-298.90890000000002</v>
      </c>
      <c r="H5095" s="1">
        <v>-1.7113480000000001E-6</v>
      </c>
      <c r="I5095">
        <v>-16.829170000000001</v>
      </c>
      <c r="J5095">
        <v>-302.50850000000003</v>
      </c>
      <c r="K5095">
        <v>1.075369</v>
      </c>
      <c r="L5095">
        <v>-2.8780519999999998</v>
      </c>
      <c r="M5095">
        <v>0.1259362</v>
      </c>
      <c r="N5095">
        <v>0</v>
      </c>
      <c r="O5095">
        <v>-0.99203229999999998</v>
      </c>
      <c r="P5095">
        <v>0.19449939999999999</v>
      </c>
      <c r="Q5095">
        <v>4.5843670000000003E-2</v>
      </c>
      <c r="R5095">
        <v>-0.97983099999999901</v>
      </c>
      <c r="S5095">
        <v>0.74691770000000002</v>
      </c>
      <c r="T5095">
        <v>-0.2209324</v>
      </c>
      <c r="U5095">
        <v>-2.9233699999999998</v>
      </c>
      <c r="V5095">
        <v>-6.9104899999999997E-2</v>
      </c>
      <c r="W5095">
        <v>4.9949180000000003E-2</v>
      </c>
      <c r="X5095">
        <v>0.99635819999999997</v>
      </c>
      <c r="Y5095">
        <v>-0.12289369999999999</v>
      </c>
      <c r="Z5095">
        <v>7.301502E-2</v>
      </c>
      <c r="AA5095">
        <v>0.9897302</v>
      </c>
      <c r="AB5095">
        <v>24</v>
      </c>
      <c r="AC5095">
        <v>3.5996000000000001</v>
      </c>
      <c r="AD5095">
        <v>-1.075370711348</v>
      </c>
      <c r="AE5095">
        <v>-13.951117999999999</v>
      </c>
      <c r="AF5095">
        <v>-1.8039304339058899</v>
      </c>
      <c r="AG5095">
        <v>-1.075370711348</v>
      </c>
      <c r="AH5095">
        <v>14.214182631745601</v>
      </c>
      <c r="AI5095">
        <v>94.292160051996703</v>
      </c>
      <c r="AJ5095">
        <v>97.232776005860302</v>
      </c>
      <c r="AK5095">
        <v>14.368492442348099</v>
      </c>
    </row>
    <row r="5096" spans="1:37" x14ac:dyDescent="0.2">
      <c r="A5096" t="str">
        <f>"20200111153753010"</f>
        <v>20200111153753010</v>
      </c>
      <c r="B5096" t="str">
        <f>"1578728273007992"</f>
        <v>1578728273007992</v>
      </c>
      <c r="C5096" t="s">
        <v>37</v>
      </c>
      <c r="D5096">
        <v>5.8296449999999904</v>
      </c>
      <c r="E5096">
        <v>0.4775259</v>
      </c>
      <c r="F5096" t="s">
        <v>39</v>
      </c>
      <c r="G5096">
        <v>-298.90289999999999</v>
      </c>
      <c r="H5096" s="1">
        <v>-1.588013E-6</v>
      </c>
      <c r="I5096">
        <v>-17.119139999999899</v>
      </c>
      <c r="J5096">
        <v>-302.4821</v>
      </c>
      <c r="K5096">
        <v>1.0783700000000001</v>
      </c>
      <c r="L5096">
        <v>-3.12561</v>
      </c>
      <c r="M5096">
        <v>0.12130929999999999</v>
      </c>
      <c r="N5096">
        <v>0</v>
      </c>
      <c r="O5096">
        <v>-0.99260720000000002</v>
      </c>
      <c r="P5096">
        <v>0.1911902</v>
      </c>
      <c r="Q5096">
        <v>4.4706219999999998E-2</v>
      </c>
      <c r="R5096">
        <v>-0.98053429999999997</v>
      </c>
      <c r="S5096">
        <v>0.74057010000000001</v>
      </c>
      <c r="T5096">
        <v>-0.22087799999999999</v>
      </c>
      <c r="U5096">
        <v>-2.9250790000000002</v>
      </c>
      <c r="V5096">
        <v>-7.0423650000000004E-2</v>
      </c>
      <c r="W5096">
        <v>4.915622E-2</v>
      </c>
      <c r="X5096">
        <v>0.99630529999999995</v>
      </c>
      <c r="Y5096">
        <v>-0.12536430000000001</v>
      </c>
      <c r="Z5096">
        <v>7.3027129999999996E-2</v>
      </c>
      <c r="AA5096">
        <v>0.98941950000000001</v>
      </c>
      <c r="AB5096">
        <v>25</v>
      </c>
      <c r="AC5096">
        <v>3.5792000000000099</v>
      </c>
      <c r="AD5096">
        <v>-1.078371588013</v>
      </c>
      <c r="AE5096">
        <v>-13.9935299999999</v>
      </c>
      <c r="AF5096">
        <v>-1.84492480509225</v>
      </c>
      <c r="AG5096">
        <v>-1.078371588013</v>
      </c>
      <c r="AH5096">
        <v>14.2449758998237</v>
      </c>
      <c r="AI5096">
        <v>94.293418411736695</v>
      </c>
      <c r="AJ5096">
        <v>97.379531394219399</v>
      </c>
      <c r="AK5096">
        <v>14.404373336068399</v>
      </c>
    </row>
    <row r="5097" spans="1:37" x14ac:dyDescent="0.2">
      <c r="A5097" t="str">
        <f>"20200111153753034"</f>
        <v>20200111153753034</v>
      </c>
      <c r="B5097" t="str">
        <f>"1578728273028488"</f>
        <v>1578728273028488</v>
      </c>
      <c r="C5097" t="s">
        <v>37</v>
      </c>
      <c r="D5097">
        <v>5.5039739999999897</v>
      </c>
      <c r="E5097">
        <v>0.47716019999999998</v>
      </c>
      <c r="F5097" t="s">
        <v>39</v>
      </c>
      <c r="G5097">
        <v>-298.96420000000001</v>
      </c>
      <c r="H5097" s="1">
        <v>-1.547153E-6</v>
      </c>
      <c r="I5097">
        <v>-17.189029999999999</v>
      </c>
      <c r="J5097">
        <v>-302.45589999999999</v>
      </c>
      <c r="K5097">
        <v>1.0813740000000001</v>
      </c>
      <c r="L5097">
        <v>-3.38137799999999</v>
      </c>
      <c r="M5097">
        <v>0.11666939999999899</v>
      </c>
      <c r="N5097">
        <v>0</v>
      </c>
      <c r="O5097">
        <v>-0.99316070000000001</v>
      </c>
      <c r="P5097">
        <v>0.188144799999999</v>
      </c>
      <c r="Q5097">
        <v>4.3755740000000001E-2</v>
      </c>
      <c r="R5097">
        <v>-0.98116639999999999</v>
      </c>
      <c r="S5097">
        <v>0.73217769999999904</v>
      </c>
      <c r="T5097">
        <v>-0.22444239999999999</v>
      </c>
      <c r="U5097">
        <v>-2.9270320000000001</v>
      </c>
      <c r="V5097">
        <v>-7.2013939999999999E-2</v>
      </c>
      <c r="W5097">
        <v>4.8798550000000003E-2</v>
      </c>
      <c r="X5097">
        <v>0.99620909999999996</v>
      </c>
      <c r="Y5097">
        <v>-0.12715319999999999</v>
      </c>
      <c r="Z5097">
        <v>7.4230299999999999E-2</v>
      </c>
      <c r="AA5097">
        <v>0.98910159999999903</v>
      </c>
      <c r="AB5097">
        <v>25</v>
      </c>
      <c r="AC5097">
        <v>3.4916999999999798</v>
      </c>
      <c r="AD5097">
        <v>-1.081375547153</v>
      </c>
      <c r="AE5097">
        <v>-13.807651999999999</v>
      </c>
      <c r="AF5097">
        <v>-1.8462638345959199</v>
      </c>
      <c r="AG5097">
        <v>-1.081375547153</v>
      </c>
      <c r="AH5097">
        <v>14.0397954401845</v>
      </c>
      <c r="AI5097">
        <v>94.366900790850096</v>
      </c>
      <c r="AJ5097">
        <v>97.491534516328798</v>
      </c>
      <c r="AK5097">
        <v>14.201898437291501</v>
      </c>
    </row>
    <row r="5098" spans="1:37" x14ac:dyDescent="0.2">
      <c r="A5098" t="str">
        <f>"20200111153753057"</f>
        <v>20200111153753057</v>
      </c>
      <c r="B5098" t="str">
        <f>"1578728273048008"</f>
        <v>1578728273048008</v>
      </c>
      <c r="C5098" t="s">
        <v>37</v>
      </c>
      <c r="D5098">
        <v>5.5265589999999998</v>
      </c>
      <c r="E5098">
        <v>0.4768425</v>
      </c>
      <c r="F5098" t="s">
        <v>39</v>
      </c>
      <c r="G5098">
        <v>-299.01400000000001</v>
      </c>
      <c r="H5098" s="1">
        <v>-1.502286E-6</v>
      </c>
      <c r="I5098">
        <v>-17.273039999999899</v>
      </c>
      <c r="J5098">
        <v>-302.43049999999999</v>
      </c>
      <c r="K5098">
        <v>1.0842129999999901</v>
      </c>
      <c r="L5098">
        <v>-3.640228</v>
      </c>
      <c r="M5098">
        <v>0.112286</v>
      </c>
      <c r="N5098">
        <v>0</v>
      </c>
      <c r="O5098">
        <v>-0.99366200000000005</v>
      </c>
      <c r="P5098">
        <v>0.18570970000000001</v>
      </c>
      <c r="Q5098">
        <v>4.3838080000000001E-2</v>
      </c>
      <c r="R5098">
        <v>-0.98162640000000001</v>
      </c>
      <c r="S5098">
        <v>0.7256165</v>
      </c>
      <c r="T5098">
        <v>-0.22797409999999901</v>
      </c>
      <c r="U5098">
        <v>-2.9286189999999999</v>
      </c>
      <c r="V5098">
        <v>-7.3953169999999999E-2</v>
      </c>
      <c r="W5098">
        <v>4.9631050000000003E-2</v>
      </c>
      <c r="X5098">
        <v>0.99602590000000002</v>
      </c>
      <c r="Y5098">
        <v>-0.12929460000000001</v>
      </c>
      <c r="Z5098">
        <v>7.5418990000000005E-2</v>
      </c>
      <c r="AA5098">
        <v>0.988734</v>
      </c>
      <c r="AB5098">
        <v>25</v>
      </c>
      <c r="AC5098">
        <v>3.4164999999999801</v>
      </c>
      <c r="AD5098">
        <v>-1.0842145022859999</v>
      </c>
      <c r="AE5098">
        <v>-13.6328119999999</v>
      </c>
      <c r="AF5098">
        <v>-1.85307006827123</v>
      </c>
      <c r="AG5098">
        <v>-1.0842145022859999</v>
      </c>
      <c r="AH5098">
        <v>13.847813779762401</v>
      </c>
      <c r="AI5098">
        <v>94.437445658641096</v>
      </c>
      <c r="AJ5098">
        <v>97.621858150383005</v>
      </c>
      <c r="AK5098">
        <v>14.013255733193001</v>
      </c>
    </row>
    <row r="5099" spans="1:37" x14ac:dyDescent="0.2">
      <c r="A5099" t="str">
        <f>"20200111153753079"</f>
        <v>20200111153753079</v>
      </c>
      <c r="B5099" t="str">
        <f>"1578728273068503"</f>
        <v>1578728273068503</v>
      </c>
      <c r="C5099" t="s">
        <v>37</v>
      </c>
      <c r="D5099">
        <v>5.193613</v>
      </c>
      <c r="E5099">
        <v>0.47664119999999999</v>
      </c>
      <c r="F5099" t="s">
        <v>39</v>
      </c>
      <c r="G5099">
        <v>-299.00729999999999</v>
      </c>
      <c r="H5099" s="1">
        <v>-1.3782269999999899E-6</v>
      </c>
      <c r="I5099">
        <v>-17.564989999999899</v>
      </c>
      <c r="J5099">
        <v>-302.40859999999998</v>
      </c>
      <c r="K5099">
        <v>1.0865149999999999</v>
      </c>
      <c r="L5099">
        <v>-3.8717349999999899</v>
      </c>
      <c r="M5099">
        <v>0.108613</v>
      </c>
      <c r="N5099">
        <v>0</v>
      </c>
      <c r="O5099">
        <v>-0.99406620000000001</v>
      </c>
      <c r="P5099">
        <v>0.1855648</v>
      </c>
      <c r="Q5099">
        <v>4.3348680000000001E-2</v>
      </c>
      <c r="R5099">
        <v>-0.98167569999999904</v>
      </c>
      <c r="S5099">
        <v>0.72030640000000001</v>
      </c>
      <c r="T5099">
        <v>-0.22814319999999999</v>
      </c>
      <c r="U5099">
        <v>-2.9300839999999999</v>
      </c>
      <c r="V5099">
        <v>-7.7496770000000006E-2</v>
      </c>
      <c r="W5099">
        <v>4.9857270000000002E-2</v>
      </c>
      <c r="X5099">
        <v>0.995745199999999</v>
      </c>
      <c r="Y5099">
        <v>-0.13115289999999999</v>
      </c>
      <c r="Z5099">
        <v>7.5491290000000003E-2</v>
      </c>
      <c r="AA5099">
        <v>0.98848369999999997</v>
      </c>
      <c r="AB5099">
        <v>25</v>
      </c>
      <c r="AC5099">
        <v>3.4012999999999902</v>
      </c>
      <c r="AD5099">
        <v>-1.086516378227</v>
      </c>
      <c r="AE5099">
        <v>-13.693254999999899</v>
      </c>
      <c r="AF5099">
        <v>-1.8827209616760601</v>
      </c>
      <c r="AG5099">
        <v>-1.086516378227</v>
      </c>
      <c r="AH5099">
        <v>13.899253110106301</v>
      </c>
      <c r="AI5099">
        <v>94.429481718183197</v>
      </c>
      <c r="AJ5099">
        <v>97.714039602436898</v>
      </c>
      <c r="AK5099">
        <v>14.0682050411021</v>
      </c>
    </row>
    <row r="5100" spans="1:37" x14ac:dyDescent="0.2">
      <c r="A5100" t="str">
        <f>"20200111153753103"</f>
        <v>20200111153753103</v>
      </c>
      <c r="B5100" t="str">
        <f>"1578728273098363"</f>
        <v>1578728273098363</v>
      </c>
      <c r="C5100" t="s">
        <v>37</v>
      </c>
      <c r="D5100">
        <v>5.6187170000000002</v>
      </c>
      <c r="E5100">
        <v>0.47585189999999999</v>
      </c>
      <c r="F5100" t="s">
        <v>39</v>
      </c>
      <c r="G5100">
        <v>-299.00790000000001</v>
      </c>
      <c r="H5100" s="1">
        <v>-1.3254189999999999E-6</v>
      </c>
      <c r="I5100">
        <v>-17.687860000000001</v>
      </c>
      <c r="J5100">
        <v>-302.38529999999997</v>
      </c>
      <c r="K5100">
        <v>1.0888309999999899</v>
      </c>
      <c r="L5100">
        <v>-4.1291500000000001</v>
      </c>
      <c r="M5100">
        <v>0.1046613</v>
      </c>
      <c r="N5100">
        <v>0</v>
      </c>
      <c r="O5100">
        <v>-0.99448530000000002</v>
      </c>
      <c r="P5100">
        <v>0.18519070000000001</v>
      </c>
      <c r="Q5100">
        <v>4.3263309999999999E-2</v>
      </c>
      <c r="R5100">
        <v>-0.98175040000000002</v>
      </c>
      <c r="S5100">
        <v>0.72116089999999999</v>
      </c>
      <c r="T5100">
        <v>-0.23040849999999999</v>
      </c>
      <c r="U5100">
        <v>-2.9298709999999999</v>
      </c>
      <c r="V5100">
        <v>-8.1082130000000002E-2</v>
      </c>
      <c r="W5100">
        <v>5.0532099999999899E-2</v>
      </c>
      <c r="X5100">
        <v>0.99542559999999902</v>
      </c>
      <c r="Y5100">
        <v>-0.13536570000000001</v>
      </c>
      <c r="Z5100">
        <v>7.6266050000000002E-2</v>
      </c>
      <c r="AA5100">
        <v>0.98785610000000001</v>
      </c>
      <c r="AB5100">
        <v>25</v>
      </c>
      <c r="AC5100">
        <v>3.3773999999999602</v>
      </c>
      <c r="AD5100">
        <v>-1.088832325419</v>
      </c>
      <c r="AE5100">
        <v>-13.55871</v>
      </c>
      <c r="AF5100">
        <v>-1.9280387793981499</v>
      </c>
      <c r="AG5100">
        <v>-1.088832325419</v>
      </c>
      <c r="AH5100">
        <v>13.7542148245804</v>
      </c>
      <c r="AI5100">
        <v>94.482650926876602</v>
      </c>
      <c r="AJ5100">
        <v>97.979614601213399</v>
      </c>
      <c r="AK5100">
        <v>13.9313070028784</v>
      </c>
    </row>
    <row r="5101" spans="1:37" x14ac:dyDescent="0.2">
      <c r="A5101" t="str">
        <f>"20200111153753125"</f>
        <v>20200111153753125</v>
      </c>
      <c r="B5101" t="str">
        <f>"1578728273118843"</f>
        <v>1578728273118843</v>
      </c>
      <c r="C5101" t="s">
        <v>37</v>
      </c>
      <c r="D5101">
        <v>5.6958950000000002</v>
      </c>
      <c r="E5101">
        <v>0.47550009999999998</v>
      </c>
      <c r="F5101" t="s">
        <v>39</v>
      </c>
      <c r="G5101">
        <v>-298.97820000000002</v>
      </c>
      <c r="H5101" s="1">
        <v>-1.250948E-6</v>
      </c>
      <c r="I5101">
        <v>-17.873709999999999</v>
      </c>
      <c r="J5101">
        <v>-302.36309999999997</v>
      </c>
      <c r="K5101">
        <v>1.0908789999999999</v>
      </c>
      <c r="L5101">
        <v>-4.3862300000000003</v>
      </c>
      <c r="M5101">
        <v>0.1007431</v>
      </c>
      <c r="N5101">
        <v>0</v>
      </c>
      <c r="O5101">
        <v>-0.99488460000000001</v>
      </c>
      <c r="P5101">
        <v>0.1848957</v>
      </c>
      <c r="Q5101">
        <v>4.3571279999999997E-2</v>
      </c>
      <c r="R5101">
        <v>-0.98179189999999905</v>
      </c>
      <c r="S5101">
        <v>0.726074199999999</v>
      </c>
      <c r="T5101">
        <v>-0.23203670000000001</v>
      </c>
      <c r="U5101">
        <v>-2.9290470000000002</v>
      </c>
      <c r="V5101">
        <v>-8.4710659999999993E-2</v>
      </c>
      <c r="W5101">
        <v>5.1545479999999998E-2</v>
      </c>
      <c r="X5101">
        <v>0.99507139999999905</v>
      </c>
      <c r="Y5101">
        <v>-0.1408817</v>
      </c>
      <c r="Z5101">
        <v>7.6824370000000003E-2</v>
      </c>
      <c r="AA5101">
        <v>0.98704119999999995</v>
      </c>
      <c r="AB5101">
        <v>25</v>
      </c>
      <c r="AC5101">
        <v>3.3848999999999498</v>
      </c>
      <c r="AD5101">
        <v>-1.090880250948</v>
      </c>
      <c r="AE5101">
        <v>-13.4874799999999</v>
      </c>
      <c r="AF5101">
        <v>-1.9965828371321399</v>
      </c>
      <c r="AG5101">
        <v>-1.090880250948</v>
      </c>
      <c r="AH5101">
        <v>13.675711094988101</v>
      </c>
      <c r="AI5101">
        <v>94.513054471098599</v>
      </c>
      <c r="AJ5101">
        <v>98.306204001933907</v>
      </c>
      <c r="AK5101">
        <v>13.863673275904199</v>
      </c>
    </row>
    <row r="5102" spans="1:37" x14ac:dyDescent="0.2">
      <c r="A5102" t="str">
        <f>"20200111153753148"</f>
        <v>20200111153753148</v>
      </c>
      <c r="B5102" t="str">
        <f>"1578728273138362"</f>
        <v>1578728273138362</v>
      </c>
      <c r="C5102" t="s">
        <v>37</v>
      </c>
      <c r="D5102">
        <v>5.5519689999999997</v>
      </c>
      <c r="E5102">
        <v>0.47515990000000002</v>
      </c>
      <c r="F5102" t="s">
        <v>39</v>
      </c>
      <c r="G5102">
        <v>-298.93470000000002</v>
      </c>
      <c r="H5102" s="1">
        <v>-1.1299110000000001E-6</v>
      </c>
      <c r="I5102">
        <v>-18.173870000000001</v>
      </c>
      <c r="J5102">
        <v>-302.34289999999999</v>
      </c>
      <c r="K5102">
        <v>1.0925929999999999</v>
      </c>
      <c r="L5102">
        <v>-4.6295779999999898</v>
      </c>
      <c r="M5102">
        <v>9.7028649999999994E-2</v>
      </c>
      <c r="N5102">
        <v>0</v>
      </c>
      <c r="O5102">
        <v>-0.99524869999999899</v>
      </c>
      <c r="P5102">
        <v>0.18549099999999999</v>
      </c>
      <c r="Q5102">
        <v>4.2929439999999999E-2</v>
      </c>
      <c r="R5102">
        <v>-0.98170780000000002</v>
      </c>
      <c r="S5102">
        <v>0.72827149999999996</v>
      </c>
      <c r="T5102">
        <v>-0.23172489999999901</v>
      </c>
      <c r="U5102">
        <v>-2.9287719999999999</v>
      </c>
      <c r="V5102">
        <v>-8.903585E-2</v>
      </c>
      <c r="W5102">
        <v>5.1527870000000003E-2</v>
      </c>
      <c r="X5102">
        <v>0.99469470000000004</v>
      </c>
      <c r="Y5102">
        <v>-0.14529610000000001</v>
      </c>
      <c r="Z5102">
        <v>7.6739810000000006E-2</v>
      </c>
      <c r="AA5102">
        <v>0.98640759999999905</v>
      </c>
      <c r="AB5102">
        <v>25</v>
      </c>
      <c r="AC5102">
        <v>3.4081999999999599</v>
      </c>
      <c r="AD5102">
        <v>-1.092594129911</v>
      </c>
      <c r="AE5102">
        <v>-13.544292</v>
      </c>
      <c r="AF5102">
        <v>-2.0652512245761701</v>
      </c>
      <c r="AG5102">
        <v>-1.092594129911</v>
      </c>
      <c r="AH5102">
        <v>13.727076382637501</v>
      </c>
      <c r="AI5102">
        <v>94.500373913459697</v>
      </c>
      <c r="AJ5102">
        <v>98.556031047509506</v>
      </c>
      <c r="AK5102">
        <v>13.9244982160254</v>
      </c>
    </row>
    <row r="5103" spans="1:37" x14ac:dyDescent="0.2">
      <c r="A5103" t="str">
        <f>"20200111153753168"</f>
        <v>20200111153753168</v>
      </c>
      <c r="B5103" t="str">
        <f>"1578728273158859"</f>
        <v>1578728273158859</v>
      </c>
      <c r="C5103" t="s">
        <v>37</v>
      </c>
      <c r="D5103">
        <v>5.6000290000000001</v>
      </c>
      <c r="E5103">
        <v>0.47494140000000001</v>
      </c>
      <c r="F5103" t="s">
        <v>39</v>
      </c>
      <c r="G5103">
        <v>-298.91899999999998</v>
      </c>
      <c r="H5103" s="1">
        <v>-1.0759820000000001E-6</v>
      </c>
      <c r="I5103">
        <v>-18.306059999999999</v>
      </c>
      <c r="J5103">
        <v>-302.32499999999999</v>
      </c>
      <c r="K5103">
        <v>1.0939749999999999</v>
      </c>
      <c r="L5103">
        <v>-4.8549499999999997</v>
      </c>
      <c r="M5103">
        <v>9.3583739999999999E-2</v>
      </c>
      <c r="N5103">
        <v>0</v>
      </c>
      <c r="O5103">
        <v>-0.99557419999999996</v>
      </c>
      <c r="P5103">
        <v>0.18739700000000001</v>
      </c>
      <c r="Q5103">
        <v>4.1589149999999998E-2</v>
      </c>
      <c r="R5103">
        <v>-0.98140349999999998</v>
      </c>
      <c r="S5103">
        <v>0.732940699999999</v>
      </c>
      <c r="T5103">
        <v>-0.23388499999999901</v>
      </c>
      <c r="U5103">
        <v>-2.9276430000000002</v>
      </c>
      <c r="V5103">
        <v>-9.4416539999999993E-2</v>
      </c>
      <c r="W5103">
        <v>5.0732109999999997E-2</v>
      </c>
      <c r="X5103">
        <v>0.99423930000000005</v>
      </c>
      <c r="Y5103">
        <v>-0.15027399999999999</v>
      </c>
      <c r="Z5103">
        <v>7.7474329999999994E-2</v>
      </c>
      <c r="AA5103">
        <v>0.98560409999999898</v>
      </c>
      <c r="AB5103">
        <v>25</v>
      </c>
      <c r="AC5103">
        <v>3.4059999999999402</v>
      </c>
      <c r="AD5103">
        <v>-1.0939760759819901</v>
      </c>
      <c r="AE5103">
        <v>-13.45111</v>
      </c>
      <c r="AF5103">
        <v>-2.1190276928360299</v>
      </c>
      <c r="AG5103">
        <v>-1.0939760759819901</v>
      </c>
      <c r="AH5103">
        <v>13.626132414950501</v>
      </c>
      <c r="AI5103">
        <v>94.535866425210997</v>
      </c>
      <c r="AJ5103">
        <v>98.839380371062006</v>
      </c>
      <c r="AK5103">
        <v>13.833240640124499</v>
      </c>
    </row>
    <row r="5104" spans="1:37" x14ac:dyDescent="0.2">
      <c r="A5104" t="str">
        <f>"20200111153753190"</f>
        <v>20200111153753190</v>
      </c>
      <c r="B5104" t="str">
        <f>"1578728273178378"</f>
        <v>1578728273178378</v>
      </c>
      <c r="C5104" t="s">
        <v>37</v>
      </c>
      <c r="D5104">
        <v>5.6478580000000003</v>
      </c>
      <c r="E5104">
        <v>0.47451520000000003</v>
      </c>
      <c r="F5104" t="s">
        <v>39</v>
      </c>
      <c r="G5104">
        <v>-298.93509999999998</v>
      </c>
      <c r="H5104" s="1">
        <v>-1.0964899999999999E-6</v>
      </c>
      <c r="I5104">
        <v>-18.2516</v>
      </c>
      <c r="J5104">
        <v>-302.30689999999998</v>
      </c>
      <c r="K5104">
        <v>1.095242</v>
      </c>
      <c r="L5104">
        <v>-5.0931699999999998</v>
      </c>
      <c r="M5104">
        <v>8.9937429999999999E-2</v>
      </c>
      <c r="N5104">
        <v>0</v>
      </c>
      <c r="O5104">
        <v>-0.99590559999999995</v>
      </c>
      <c r="P5104">
        <v>0.1901052</v>
      </c>
      <c r="Q5104">
        <v>4.0011070000000003E-2</v>
      </c>
      <c r="R5104">
        <v>-0.9809483</v>
      </c>
      <c r="S5104">
        <v>0.74029540000000005</v>
      </c>
      <c r="T5104">
        <v>-0.2389056</v>
      </c>
      <c r="U5104">
        <v>-2.9255979999999999</v>
      </c>
      <c r="V5104">
        <v>-0.1008068</v>
      </c>
      <c r="W5104">
        <v>4.9690110000000003E-2</v>
      </c>
      <c r="X5104">
        <v>0.9936644</v>
      </c>
      <c r="Y5104">
        <v>-0.15635060000000001</v>
      </c>
      <c r="Z5104">
        <v>7.915875E-2</v>
      </c>
      <c r="AA5104">
        <v>0.98452439999999997</v>
      </c>
      <c r="AB5104">
        <v>24</v>
      </c>
      <c r="AC5104">
        <v>3.3717999999999999</v>
      </c>
      <c r="AD5104">
        <v>-1.09524309649</v>
      </c>
      <c r="AE5104">
        <v>-13.158429999999999</v>
      </c>
      <c r="AF5104">
        <v>-2.1606031878938001</v>
      </c>
      <c r="AG5104">
        <v>-1.09524309649</v>
      </c>
      <c r="AH5104">
        <v>13.3217562206415</v>
      </c>
      <c r="AI5104">
        <v>94.639625054038703</v>
      </c>
      <c r="AJ5104">
        <v>99.212360840431003</v>
      </c>
      <c r="AK5104">
        <v>13.540197649153701</v>
      </c>
    </row>
    <row r="5105" spans="1:37" x14ac:dyDescent="0.2">
      <c r="A5105" t="str">
        <f>"20200111153753213"</f>
        <v>20200111153753213</v>
      </c>
      <c r="B5105" t="str">
        <f>"1578728273208635"</f>
        <v>1578728273208635</v>
      </c>
      <c r="C5105" t="s">
        <v>37</v>
      </c>
      <c r="D5105">
        <v>5.5360629999999897</v>
      </c>
      <c r="E5105">
        <v>0.47387749999999901</v>
      </c>
      <c r="F5105" t="s">
        <v>39</v>
      </c>
      <c r="G5105">
        <v>-298.96089999999998</v>
      </c>
      <c r="H5105" s="1">
        <v>-1.145849E-6</v>
      </c>
      <c r="I5105">
        <v>-18.12585</v>
      </c>
      <c r="J5105">
        <v>-302.28840000000002</v>
      </c>
      <c r="K5105">
        <v>1.096411</v>
      </c>
      <c r="L5105">
        <v>-5.3486630000000002</v>
      </c>
      <c r="M5105">
        <v>8.6018259999999999E-2</v>
      </c>
      <c r="N5105">
        <v>0</v>
      </c>
      <c r="O5105">
        <v>-0.99624709999999905</v>
      </c>
      <c r="P5105">
        <v>0.19242029999999999</v>
      </c>
      <c r="Q5105">
        <v>3.8520989999999998E-2</v>
      </c>
      <c r="R5105">
        <v>-0.98055650000000005</v>
      </c>
      <c r="S5105">
        <v>0.75039669999999903</v>
      </c>
      <c r="T5105">
        <v>-0.24563119999999999</v>
      </c>
      <c r="U5105">
        <v>-2.9228519999999998</v>
      </c>
      <c r="V5105">
        <v>-0.1070666</v>
      </c>
      <c r="W5105">
        <v>4.8721880000000002E-2</v>
      </c>
      <c r="X5105">
        <v>0.99305739999999998</v>
      </c>
      <c r="Y5105">
        <v>-0.16360160000000001</v>
      </c>
      <c r="Z5105">
        <v>8.1406099999999995E-2</v>
      </c>
      <c r="AA5105">
        <v>0.98316199999999998</v>
      </c>
      <c r="AB5105">
        <v>24</v>
      </c>
      <c r="AC5105">
        <v>3.3275000000000401</v>
      </c>
      <c r="AD5105">
        <v>-1.0964121458489999</v>
      </c>
      <c r="AE5105">
        <v>-12.777187</v>
      </c>
      <c r="AF5105">
        <v>-2.2008668818981199</v>
      </c>
      <c r="AG5105">
        <v>-1.0964121458489999</v>
      </c>
      <c r="AH5105">
        <v>12.9269235069858</v>
      </c>
      <c r="AI5105">
        <v>94.779554473682794</v>
      </c>
      <c r="AJ5105">
        <v>99.662216848916302</v>
      </c>
      <c r="AK5105">
        <v>13.1586962112842</v>
      </c>
    </row>
    <row r="5106" spans="1:37" x14ac:dyDescent="0.2">
      <c r="A5106" t="str">
        <f>"20200111153753235"</f>
        <v>20200111153753235</v>
      </c>
      <c r="B5106" t="str">
        <f>"1578728273228154"</f>
        <v>1578728273228154</v>
      </c>
      <c r="C5106" t="s">
        <v>37</v>
      </c>
      <c r="D5106">
        <v>5.7997360000000002</v>
      </c>
      <c r="E5106">
        <v>0.47359950000000001</v>
      </c>
      <c r="F5106" t="s">
        <v>39</v>
      </c>
      <c r="G5106">
        <v>-298.98250000000002</v>
      </c>
      <c r="H5106" s="1">
        <v>-1.187468E-6</v>
      </c>
      <c r="I5106">
        <v>-18.019929999999999</v>
      </c>
      <c r="J5106">
        <v>-302.2715</v>
      </c>
      <c r="K5106">
        <v>1.097359</v>
      </c>
      <c r="L5106">
        <v>-5.5945739999999997</v>
      </c>
      <c r="M5106">
        <v>8.2233029999999999E-2</v>
      </c>
      <c r="N5106">
        <v>0</v>
      </c>
      <c r="O5106">
        <v>-0.99656259999999997</v>
      </c>
      <c r="P5106">
        <v>0.19434679999999999</v>
      </c>
      <c r="Q5106">
        <v>3.6475979999999998E-2</v>
      </c>
      <c r="R5106">
        <v>-0.98025459999999998</v>
      </c>
      <c r="S5106">
        <v>0.76181030000000005</v>
      </c>
      <c r="T5106">
        <v>-0.25265320000000002</v>
      </c>
      <c r="U5106">
        <v>-2.9199220000000001</v>
      </c>
      <c r="V5106">
        <v>-0.11279459999999999</v>
      </c>
      <c r="W5106">
        <v>4.7130600000000002E-2</v>
      </c>
      <c r="X5106">
        <v>0.99249989999999999</v>
      </c>
      <c r="Y5106">
        <v>-0.17113410000000001</v>
      </c>
      <c r="Z5106">
        <v>8.3743780000000004E-2</v>
      </c>
      <c r="AA5106">
        <v>0.98168230000000001</v>
      </c>
      <c r="AB5106">
        <v>24</v>
      </c>
      <c r="AC5106">
        <v>3.2889999999999802</v>
      </c>
      <c r="AD5106">
        <v>-1.0973601874679999</v>
      </c>
      <c r="AE5106">
        <v>-12.425355999999899</v>
      </c>
      <c r="AF5106">
        <v>-2.2397080197350201</v>
      </c>
      <c r="AG5106">
        <v>-1.0973601874679999</v>
      </c>
      <c r="AH5106">
        <v>12.562180570925101</v>
      </c>
      <c r="AI5106">
        <v>94.915237489287307</v>
      </c>
      <c r="AJ5106">
        <v>100.109030572229</v>
      </c>
      <c r="AK5106">
        <v>12.807375691031901</v>
      </c>
    </row>
    <row r="5107" spans="1:37" x14ac:dyDescent="0.2">
      <c r="A5107" t="str">
        <f>"20200111153753258"</f>
        <v>20200111153753258</v>
      </c>
      <c r="B5107" t="str">
        <f>"1578728273248651"</f>
        <v>1578728273248651</v>
      </c>
      <c r="C5107" t="s">
        <v>37</v>
      </c>
      <c r="D5107">
        <v>5.7337249999999997</v>
      </c>
      <c r="E5107">
        <v>0.47330909999999898</v>
      </c>
      <c r="F5107" t="s">
        <v>39</v>
      </c>
      <c r="G5107">
        <v>-299.01900000000001</v>
      </c>
      <c r="H5107" s="1">
        <v>-1.218919E-6</v>
      </c>
      <c r="I5107">
        <v>-17.931509999999999</v>
      </c>
      <c r="J5107">
        <v>-302.2552</v>
      </c>
      <c r="K5107">
        <v>1.0981799999999999</v>
      </c>
      <c r="L5107">
        <v>-5.8457339999999904</v>
      </c>
      <c r="M5107">
        <v>7.8352599999999994E-2</v>
      </c>
      <c r="N5107">
        <v>0</v>
      </c>
      <c r="O5107">
        <v>-0.99687119999999996</v>
      </c>
      <c r="P5107">
        <v>0.1950334</v>
      </c>
      <c r="Q5107">
        <v>3.4415670000000002E-2</v>
      </c>
      <c r="R5107">
        <v>-0.98019290000000003</v>
      </c>
      <c r="S5107">
        <v>0.76919559999999998</v>
      </c>
      <c r="T5107">
        <v>-0.25951550000000001</v>
      </c>
      <c r="U5107">
        <v>-2.9175719999999998</v>
      </c>
      <c r="V5107">
        <v>-0.117358899999999</v>
      </c>
      <c r="W5107">
        <v>4.5483460000000003E-2</v>
      </c>
      <c r="X5107">
        <v>0.99204740000000002</v>
      </c>
      <c r="Y5107">
        <v>-0.17743390000000001</v>
      </c>
      <c r="Z5107">
        <v>8.6032899999999995E-2</v>
      </c>
      <c r="AA5107">
        <v>0.98036499999999904</v>
      </c>
      <c r="AB5107">
        <v>24</v>
      </c>
      <c r="AC5107">
        <v>3.23619999999999</v>
      </c>
      <c r="AD5107">
        <v>-1.0981812189189999</v>
      </c>
      <c r="AE5107">
        <v>-12.085775999999999</v>
      </c>
      <c r="AF5107">
        <v>-2.26182102201216</v>
      </c>
      <c r="AG5107">
        <v>-1.0981812189189999</v>
      </c>
      <c r="AH5107">
        <v>12.208141700017901</v>
      </c>
      <c r="AI5107">
        <v>95.054634267836207</v>
      </c>
      <c r="AJ5107">
        <v>100.49625978620701</v>
      </c>
      <c r="AK5107">
        <v>12.4643716284824</v>
      </c>
    </row>
    <row r="5108" spans="1:37" x14ac:dyDescent="0.2">
      <c r="A5108" t="str">
        <f>"20200111153753278"</f>
        <v>20200111153753278</v>
      </c>
      <c r="B5108" t="str">
        <f>"1578728273268172"</f>
        <v>1578728273268172</v>
      </c>
      <c r="C5108" t="s">
        <v>37</v>
      </c>
      <c r="D5108">
        <v>5.9187440000000002</v>
      </c>
      <c r="E5108">
        <v>0.47445209999999999</v>
      </c>
      <c r="F5108" t="s">
        <v>39</v>
      </c>
      <c r="G5108">
        <v>-299.07960000000003</v>
      </c>
      <c r="H5108" s="1">
        <v>-1.2524009999999899E-6</v>
      </c>
      <c r="I5108">
        <v>-17.828399999999998</v>
      </c>
      <c r="J5108">
        <v>-302.24149999999997</v>
      </c>
      <c r="K5108">
        <v>1.0988100000000001</v>
      </c>
      <c r="L5108">
        <v>-6.0718379999999996</v>
      </c>
      <c r="M5108">
        <v>7.4848499999999998E-2</v>
      </c>
      <c r="N5108">
        <v>0</v>
      </c>
      <c r="O5108">
        <v>-0.997137099999999</v>
      </c>
      <c r="P5108">
        <v>0.19410820000000001</v>
      </c>
      <c r="Q5108">
        <v>3.262321E-2</v>
      </c>
      <c r="R5108">
        <v>-0.98043769999999997</v>
      </c>
      <c r="S5108">
        <v>0.77285769999999998</v>
      </c>
      <c r="T5108">
        <v>-0.26726499999999997</v>
      </c>
      <c r="U5108">
        <v>-2.916229</v>
      </c>
      <c r="V5108">
        <v>-0.1199132</v>
      </c>
      <c r="W5108">
        <v>4.4018649999999999E-2</v>
      </c>
      <c r="X5108">
        <v>0.99180809999999997</v>
      </c>
      <c r="Y5108">
        <v>-0.18209420000000001</v>
      </c>
      <c r="Z5108">
        <v>8.8604730000000007E-2</v>
      </c>
      <c r="AA5108">
        <v>0.97928079999999995</v>
      </c>
      <c r="AB5108">
        <v>24</v>
      </c>
      <c r="AC5108">
        <v>3.1618999999999402</v>
      </c>
      <c r="AD5108">
        <v>-1.0988112524010001</v>
      </c>
      <c r="AE5108">
        <v>-11.756561999999899</v>
      </c>
      <c r="AF5108">
        <v>-2.25465094250425</v>
      </c>
      <c r="AG5108">
        <v>-1.0988112524010001</v>
      </c>
      <c r="AH5108">
        <v>11.8636136183075</v>
      </c>
      <c r="AI5108">
        <v>95.199119650165102</v>
      </c>
      <c r="AJ5108">
        <v>100.760597674805</v>
      </c>
      <c r="AK5108">
        <v>12.125846985898701</v>
      </c>
    </row>
    <row r="5109" spans="1:37" x14ac:dyDescent="0.2">
      <c r="A5109" t="str">
        <f>"20200111153753302"</f>
        <v>20200111153753302</v>
      </c>
      <c r="B5109" t="str">
        <f>"1578728273288667"</f>
        <v>1578728273288667</v>
      </c>
      <c r="C5109" t="s">
        <v>37</v>
      </c>
      <c r="D5109">
        <v>5.8862259999999997</v>
      </c>
      <c r="E5109">
        <v>0.55575940000000001</v>
      </c>
      <c r="F5109" t="s">
        <v>39</v>
      </c>
      <c r="G5109">
        <v>-299.15469999999999</v>
      </c>
      <c r="H5109" s="1">
        <v>-1.202841E-6</v>
      </c>
      <c r="I5109">
        <v>-17.912879999999902</v>
      </c>
      <c r="J5109">
        <v>-302.22750000000002</v>
      </c>
      <c r="K5109">
        <v>1.099383</v>
      </c>
      <c r="L5109">
        <v>-6.3162839999999996</v>
      </c>
      <c r="M5109">
        <v>7.1052249999999997E-2</v>
      </c>
      <c r="N5109">
        <v>0</v>
      </c>
      <c r="O5109">
        <v>-0.9974113</v>
      </c>
      <c r="P5109">
        <v>0.1922132</v>
      </c>
      <c r="Q5109">
        <v>3.1785460000000001E-2</v>
      </c>
      <c r="R5109">
        <v>-0.98083849999999995</v>
      </c>
      <c r="S5109">
        <v>0.76074219999999904</v>
      </c>
      <c r="T5109">
        <v>-0.27080659999999901</v>
      </c>
      <c r="U5109">
        <v>-2.9182739999999998</v>
      </c>
      <c r="V5109">
        <v>-0.12177300000000001</v>
      </c>
      <c r="W5109">
        <v>4.349273E-2</v>
      </c>
      <c r="X5109">
        <v>0.99160459999999995</v>
      </c>
      <c r="Y5109">
        <v>-0.18183659999999999</v>
      </c>
      <c r="Z5109">
        <v>8.9794789999999999E-2</v>
      </c>
      <c r="AA5109">
        <v>0.97922030000000004</v>
      </c>
      <c r="AB5109">
        <v>24</v>
      </c>
      <c r="AC5109">
        <v>3.07280000000002</v>
      </c>
      <c r="AD5109">
        <v>-1.0993842028409999</v>
      </c>
      <c r="AE5109">
        <v>-11.5965959999999</v>
      </c>
      <c r="AF5109">
        <v>-2.2223552041163699</v>
      </c>
      <c r="AG5109">
        <v>-1.0993842028409999</v>
      </c>
      <c r="AH5109">
        <v>11.687476092125999</v>
      </c>
      <c r="AI5109">
        <v>95.279673416816294</v>
      </c>
      <c r="AJ5109">
        <v>100.766174844584</v>
      </c>
      <c r="AK5109">
        <v>11.947577398064301</v>
      </c>
    </row>
    <row r="5110" spans="1:37" x14ac:dyDescent="0.2">
      <c r="A5110" t="str">
        <f>"20200111153753325"</f>
        <v>20200111153753325</v>
      </c>
      <c r="B5110" t="str">
        <f>"1578728273318922"</f>
        <v>1578728273318922</v>
      </c>
      <c r="C5110" t="s">
        <v>37</v>
      </c>
      <c r="D5110">
        <v>5.9744459999999897</v>
      </c>
      <c r="E5110">
        <v>0.56225419999999904</v>
      </c>
      <c r="F5110" t="s">
        <v>38</v>
      </c>
      <c r="G5110">
        <v>-302.19330000000002</v>
      </c>
      <c r="H5110">
        <v>1.0122869999999999</v>
      </c>
      <c r="I5110">
        <v>-7.2241070000000001</v>
      </c>
      <c r="J5110">
        <v>-302.21409999999997</v>
      </c>
      <c r="K5110">
        <v>1.099891</v>
      </c>
      <c r="L5110">
        <v>-6.5695800000000002</v>
      </c>
      <c r="M5110">
        <v>6.7114320000000005E-2</v>
      </c>
      <c r="N5110">
        <v>0</v>
      </c>
      <c r="O5110">
        <v>-0.99768080000000003</v>
      </c>
      <c r="P5110">
        <v>0.189163</v>
      </c>
      <c r="Q5110">
        <v>3.1762459999999999E-2</v>
      </c>
      <c r="R5110">
        <v>-0.98143210000000003</v>
      </c>
      <c r="S5110">
        <v>0.115508999999999</v>
      </c>
      <c r="T5110">
        <v>-0.29198979999999902</v>
      </c>
      <c r="U5110">
        <v>-3.0454409999999998</v>
      </c>
      <c r="V5110">
        <v>-0.1226028</v>
      </c>
      <c r="W5110">
        <v>4.3752350000000002E-2</v>
      </c>
      <c r="X5110">
        <v>0.99149100000000001</v>
      </c>
      <c r="Y5110">
        <v>2.9426589999999999E-2</v>
      </c>
      <c r="Z5110">
        <v>9.506357E-2</v>
      </c>
      <c r="AA5110">
        <v>0.99503619999999904</v>
      </c>
      <c r="AB5110">
        <v>24</v>
      </c>
      <c r="AC5110">
        <v>2.07999999999515E-2</v>
      </c>
      <c r="AD5110">
        <v>-8.7603999999999793E-2</v>
      </c>
      <c r="AE5110">
        <v>-0.65452699999999997</v>
      </c>
      <c r="AF5110">
        <v>2.27703682941773E-2</v>
      </c>
      <c r="AG5110">
        <v>-8.7603999999999793E-2</v>
      </c>
      <c r="AH5110">
        <v>0.64294107913237397</v>
      </c>
      <c r="AI5110">
        <v>97.754258372043296</v>
      </c>
      <c r="AJ5110">
        <v>87.971663367321099</v>
      </c>
      <c r="AK5110">
        <v>0.64928128089769599</v>
      </c>
    </row>
    <row r="5111" spans="1:37" x14ac:dyDescent="0.2">
      <c r="A5111" t="str">
        <f>"20200111153753346"</f>
        <v>20200111153753346</v>
      </c>
      <c r="B5111" t="str">
        <f>"1578728273338443"</f>
        <v>1578728273338443</v>
      </c>
      <c r="C5111" t="s">
        <v>37</v>
      </c>
      <c r="D5111">
        <v>5.9578499999999996</v>
      </c>
      <c r="E5111">
        <v>0.561415199999999</v>
      </c>
      <c r="F5111" t="s">
        <v>38</v>
      </c>
      <c r="G5111">
        <v>-302.19920000000002</v>
      </c>
      <c r="H5111">
        <v>1.0085999999999999</v>
      </c>
      <c r="I5111">
        <v>-7.4413729999999996</v>
      </c>
      <c r="J5111">
        <v>-302.2022</v>
      </c>
      <c r="K5111">
        <v>1.100295</v>
      </c>
      <c r="L5111">
        <v>-6.809113</v>
      </c>
      <c r="M5111">
        <v>6.3387509999999994E-2</v>
      </c>
      <c r="N5111">
        <v>0</v>
      </c>
      <c r="O5111">
        <v>-0.99792179999999997</v>
      </c>
      <c r="P5111">
        <v>0.18630669999999999</v>
      </c>
      <c r="Q5111">
        <v>3.1819939999999998E-2</v>
      </c>
      <c r="R5111">
        <v>-0.98197630000000002</v>
      </c>
      <c r="S5111">
        <v>5.2490229999999999E-2</v>
      </c>
      <c r="T5111">
        <v>-0.31989319999999999</v>
      </c>
      <c r="U5111">
        <v>-3.057007</v>
      </c>
      <c r="V5111">
        <v>-0.1234196</v>
      </c>
      <c r="W5111">
        <v>4.4048660000000003E-2</v>
      </c>
      <c r="X5111">
        <v>0.99137649999999999</v>
      </c>
      <c r="Y5111">
        <v>4.634158E-2</v>
      </c>
      <c r="Z5111">
        <v>0.103697699999999</v>
      </c>
      <c r="AA5111">
        <v>0.99352870000000004</v>
      </c>
      <c r="AB5111">
        <v>24</v>
      </c>
      <c r="AC5111">
        <v>2.9999999999858998E-3</v>
      </c>
      <c r="AD5111">
        <v>-9.1694999999999999E-2</v>
      </c>
      <c r="AE5111">
        <v>-0.63225999999999805</v>
      </c>
      <c r="AF5111">
        <v>3.6322163924327598E-2</v>
      </c>
      <c r="AG5111">
        <v>-9.1694999999999999E-2</v>
      </c>
      <c r="AH5111">
        <v>0.618176744170849</v>
      </c>
      <c r="AI5111">
        <v>98.422922729683904</v>
      </c>
      <c r="AJ5111">
        <v>86.637342405814593</v>
      </c>
      <c r="AK5111">
        <v>0.62599501567569704</v>
      </c>
    </row>
    <row r="5112" spans="1:37" x14ac:dyDescent="0.2">
      <c r="A5112" t="str">
        <f>"20200111153753368"</f>
        <v>20200111153753368</v>
      </c>
      <c r="B5112" t="str">
        <f>"1578728273357963"</f>
        <v>1578728273357963</v>
      </c>
      <c r="C5112" t="s">
        <v>37</v>
      </c>
      <c r="D5112">
        <v>5.9347449999999897</v>
      </c>
      <c r="E5112">
        <v>0.56037680000000001</v>
      </c>
      <c r="F5112" t="s">
        <v>38</v>
      </c>
      <c r="G5112">
        <v>-302.18869999999998</v>
      </c>
      <c r="H5112">
        <v>1.011636</v>
      </c>
      <c r="I5112">
        <v>-7.6608330000000002</v>
      </c>
      <c r="J5112">
        <v>-302.19119999999998</v>
      </c>
      <c r="K5112">
        <v>1.1006419999999999</v>
      </c>
      <c r="L5112">
        <v>-7.05246</v>
      </c>
      <c r="M5112">
        <v>5.96E-2</v>
      </c>
      <c r="N5112">
        <v>0</v>
      </c>
      <c r="O5112">
        <v>-0.99815290000000001</v>
      </c>
      <c r="P5112">
        <v>0.1832114</v>
      </c>
      <c r="Q5112">
        <v>3.2093200000000002E-2</v>
      </c>
      <c r="R5112">
        <v>-0.98254969999999997</v>
      </c>
      <c r="S5112">
        <v>4.977417E-2</v>
      </c>
      <c r="T5112">
        <v>-0.31773629999999897</v>
      </c>
      <c r="U5112">
        <v>-3.0559080000000001</v>
      </c>
      <c r="V5112">
        <v>-0.124055</v>
      </c>
      <c r="W5112">
        <v>4.4536939999999997E-2</v>
      </c>
      <c r="X5112">
        <v>0.99127540000000003</v>
      </c>
      <c r="Y5112">
        <v>4.3426270000000003E-2</v>
      </c>
      <c r="Z5112">
        <v>0.1030862</v>
      </c>
      <c r="AA5112">
        <v>0.99372399999999905</v>
      </c>
      <c r="AB5112">
        <v>24</v>
      </c>
      <c r="AC5112">
        <v>2.4999999999977202E-3</v>
      </c>
      <c r="AD5112">
        <v>-8.9005999999999905E-2</v>
      </c>
      <c r="AE5112">
        <v>-0.60837299999999905</v>
      </c>
      <c r="AF5112">
        <v>3.3058412644714499E-2</v>
      </c>
      <c r="AG5112">
        <v>-8.9005999999999905E-2</v>
      </c>
      <c r="AH5112">
        <v>0.59471128422338804</v>
      </c>
      <c r="AI5112">
        <v>98.498926522369104</v>
      </c>
      <c r="AJ5112">
        <v>86.818354920971899</v>
      </c>
      <c r="AK5112">
        <v>0.60224283994516703</v>
      </c>
    </row>
    <row r="5113" spans="1:37" x14ac:dyDescent="0.2">
      <c r="A5113" t="str">
        <f>"20200111153753391"</f>
        <v>20200111153753391</v>
      </c>
      <c r="B5113" t="str">
        <f>"1578728273378459"</f>
        <v>1578728273378459</v>
      </c>
      <c r="C5113" t="s">
        <v>37</v>
      </c>
      <c r="D5113">
        <v>6.0025029999999999</v>
      </c>
      <c r="E5113">
        <v>0.56015099999999995</v>
      </c>
      <c r="F5113" t="s">
        <v>38</v>
      </c>
      <c r="G5113">
        <v>-302.17849999999999</v>
      </c>
      <c r="H5113">
        <v>1.013355</v>
      </c>
      <c r="I5113">
        <v>-7.879486</v>
      </c>
      <c r="J5113">
        <v>-302.18119999999999</v>
      </c>
      <c r="K5113">
        <v>1.100924</v>
      </c>
      <c r="L5113">
        <v>-7.2900999999999998</v>
      </c>
      <c r="M5113">
        <v>5.5900230000000002E-2</v>
      </c>
      <c r="N5113">
        <v>0</v>
      </c>
      <c r="O5113">
        <v>-0.99836460000000005</v>
      </c>
      <c r="P5113">
        <v>0.1799191</v>
      </c>
      <c r="Q5113">
        <v>3.1585050000000003E-2</v>
      </c>
      <c r="R5113">
        <v>-0.98317429999999995</v>
      </c>
      <c r="S5113">
        <v>4.73938E-2</v>
      </c>
      <c r="T5113">
        <v>-0.32219709999999901</v>
      </c>
      <c r="U5113">
        <v>-3.05496199999999</v>
      </c>
      <c r="V5113">
        <v>-0.1244094</v>
      </c>
      <c r="W5113">
        <v>4.4213959999999997E-2</v>
      </c>
      <c r="X5113">
        <v>0.99124539999999906</v>
      </c>
      <c r="Y5113">
        <v>4.0494999999999899E-2</v>
      </c>
      <c r="Z5113">
        <v>0.1045904</v>
      </c>
      <c r="AA5113">
        <v>0.99369059999999898</v>
      </c>
      <c r="AB5113">
        <v>24</v>
      </c>
      <c r="AC5113">
        <v>2.7000000000043599E-3</v>
      </c>
      <c r="AD5113">
        <v>-8.7568999999999994E-2</v>
      </c>
      <c r="AE5113">
        <v>-0.58938599999999997</v>
      </c>
      <c r="AF5113">
        <v>2.9599989405818601E-2</v>
      </c>
      <c r="AG5113">
        <v>-8.7568999999999994E-2</v>
      </c>
      <c r="AH5113">
        <v>0.57590242939769298</v>
      </c>
      <c r="AI5113">
        <v>98.634672331022102</v>
      </c>
      <c r="AJ5113">
        <v>87.057724823543495</v>
      </c>
      <c r="AK5113">
        <v>0.58327360416873797</v>
      </c>
    </row>
    <row r="5114" spans="1:37" x14ac:dyDescent="0.2">
      <c r="A5114" t="str">
        <f>"20200111153753413"</f>
        <v>20200111153753413</v>
      </c>
      <c r="B5114" t="str">
        <f>"1578728273408714"</f>
        <v>1578728273408714</v>
      </c>
      <c r="C5114" t="s">
        <v>37</v>
      </c>
      <c r="D5114">
        <v>5.9502739999999896</v>
      </c>
      <c r="E5114">
        <v>0.55990079999999998</v>
      </c>
      <c r="F5114" t="s">
        <v>38</v>
      </c>
      <c r="G5114">
        <v>-302.17099999999999</v>
      </c>
      <c r="H5114">
        <v>1.015155</v>
      </c>
      <c r="I5114">
        <v>-8.098115</v>
      </c>
      <c r="J5114">
        <v>-302.17180000000002</v>
      </c>
      <c r="K5114">
        <v>1.1011709999999999</v>
      </c>
      <c r="L5114">
        <v>-7.5390629999999996</v>
      </c>
      <c r="M5114">
        <v>5.2024510000000003E-2</v>
      </c>
      <c r="N5114">
        <v>0</v>
      </c>
      <c r="O5114">
        <v>-0.99857209999999996</v>
      </c>
      <c r="P5114">
        <v>0.17715739999999999</v>
      </c>
      <c r="Q5114">
        <v>2.981439E-2</v>
      </c>
      <c r="R5114">
        <v>-0.98373120000000003</v>
      </c>
      <c r="S5114">
        <v>3.924561E-2</v>
      </c>
      <c r="T5114">
        <v>-0.32386209999999999</v>
      </c>
      <c r="U5114">
        <v>-3.0545650000000002</v>
      </c>
      <c r="V5114">
        <v>-0.1254806</v>
      </c>
      <c r="W5114">
        <v>4.2619499999999998E-2</v>
      </c>
      <c r="X5114">
        <v>0.99118019999999996</v>
      </c>
      <c r="Y5114">
        <v>3.926557E-2</v>
      </c>
      <c r="Z5114">
        <v>0.10517600000000001</v>
      </c>
      <c r="AA5114">
        <v>0.99367819999999996</v>
      </c>
      <c r="AB5114">
        <v>24</v>
      </c>
      <c r="AC5114">
        <v>8.0000000002655703E-4</v>
      </c>
      <c r="AD5114">
        <v>-8.6015999999999801E-2</v>
      </c>
      <c r="AE5114">
        <v>-0.55905199999999899</v>
      </c>
      <c r="AF5114">
        <v>2.7633464068198301E-2</v>
      </c>
      <c r="AG5114">
        <v>-8.6015999999999801E-2</v>
      </c>
      <c r="AH5114">
        <v>0.54542461400435005</v>
      </c>
      <c r="AI5114">
        <v>98.950706274319202</v>
      </c>
      <c r="AJ5114">
        <v>87.099639028620302</v>
      </c>
      <c r="AK5114">
        <v>0.55285655477185303</v>
      </c>
    </row>
    <row r="5115" spans="1:37" x14ac:dyDescent="0.2">
      <c r="A5115" t="str">
        <f>"20200111153753436"</f>
        <v>20200111153753436</v>
      </c>
      <c r="B5115" t="str">
        <f>"1578728273428234"</f>
        <v>1578728273428234</v>
      </c>
      <c r="C5115" t="s">
        <v>37</v>
      </c>
      <c r="D5115">
        <v>5.8747220000000002</v>
      </c>
      <c r="E5115">
        <v>0.55955169999999999</v>
      </c>
      <c r="F5115" t="s">
        <v>38</v>
      </c>
      <c r="G5115">
        <v>-302.16340000000002</v>
      </c>
      <c r="H5115">
        <v>1.0183659999999899</v>
      </c>
      <c r="I5115">
        <v>-8.3172369999999898</v>
      </c>
      <c r="J5115">
        <v>-302.16340000000002</v>
      </c>
      <c r="K5115">
        <v>1.101372</v>
      </c>
      <c r="L5115">
        <v>-7.782959</v>
      </c>
      <c r="M5115">
        <v>4.8226749999999999E-2</v>
      </c>
      <c r="N5115">
        <v>0</v>
      </c>
      <c r="O5115">
        <v>-0.99876069999999995</v>
      </c>
      <c r="P5115">
        <v>0.17441719999999999</v>
      </c>
      <c r="Q5115">
        <v>2.8413239999999999E-2</v>
      </c>
      <c r="R5115">
        <v>-0.98426190000000002</v>
      </c>
      <c r="S5115">
        <v>3.2958979999999999E-2</v>
      </c>
      <c r="T5115">
        <v>-0.32485449999999999</v>
      </c>
      <c r="U5115">
        <v>-3.053528</v>
      </c>
      <c r="V5115">
        <v>-0.1264953</v>
      </c>
      <c r="W5115">
        <v>4.1370329999999997E-2</v>
      </c>
      <c r="X5115">
        <v>0.99110409999999904</v>
      </c>
      <c r="Y5115">
        <v>3.7507329999999998E-2</v>
      </c>
      <c r="Z5115">
        <v>0.1055651</v>
      </c>
      <c r="AA5115">
        <v>0.99370480000000005</v>
      </c>
      <c r="AB5115">
        <v>24</v>
      </c>
      <c r="AC5115">
        <v>0</v>
      </c>
      <c r="AD5115">
        <v>-8.3006000000000094E-2</v>
      </c>
      <c r="AE5115">
        <v>-0.53427799999999803</v>
      </c>
      <c r="AF5115">
        <v>2.5161124678027402E-2</v>
      </c>
      <c r="AG5115">
        <v>-8.3006000000000094E-2</v>
      </c>
      <c r="AH5115">
        <v>0.52107891359492298</v>
      </c>
      <c r="AI5115">
        <v>99.040606976066002</v>
      </c>
      <c r="AJ5115">
        <v>87.235529303502702</v>
      </c>
      <c r="AK5115">
        <v>0.52824834351309502</v>
      </c>
    </row>
    <row r="5116" spans="1:37" x14ac:dyDescent="0.2">
      <c r="A5116" t="str">
        <f>"20200111153753459"</f>
        <v>20200111153753459</v>
      </c>
      <c r="B5116" t="str">
        <f>"1578728273448731"</f>
        <v>1578728273448731</v>
      </c>
      <c r="C5116" t="s">
        <v>37</v>
      </c>
      <c r="D5116">
        <v>5.8856140000000003</v>
      </c>
      <c r="E5116">
        <v>0.55926889999999996</v>
      </c>
      <c r="F5116" t="s">
        <v>38</v>
      </c>
      <c r="G5116">
        <v>-302.15690000000001</v>
      </c>
      <c r="H5116">
        <v>1.0208379999999999</v>
      </c>
      <c r="I5116">
        <v>-8.5358520000000002</v>
      </c>
      <c r="J5116">
        <v>-302.1558</v>
      </c>
      <c r="K5116">
        <v>1.1015469999999901</v>
      </c>
      <c r="L5116">
        <v>-8.0300600000000006</v>
      </c>
      <c r="M5116">
        <v>4.4379660000000001E-2</v>
      </c>
      <c r="N5116">
        <v>0</v>
      </c>
      <c r="O5116">
        <v>-0.99893739999999998</v>
      </c>
      <c r="P5116">
        <v>0.17113719999999999</v>
      </c>
      <c r="Q5116">
        <v>2.732675E-2</v>
      </c>
      <c r="R5116">
        <v>-0.98486810000000002</v>
      </c>
      <c r="S5116">
        <v>2.7282710000000002E-2</v>
      </c>
      <c r="T5116">
        <v>-0.32611069999999998</v>
      </c>
      <c r="U5116">
        <v>-3.0525509999999998</v>
      </c>
      <c r="V5116">
        <v>-0.1270154</v>
      </c>
      <c r="W5116">
        <v>4.0418879999999997E-2</v>
      </c>
      <c r="X5116">
        <v>0.99107690000000004</v>
      </c>
      <c r="Y5116">
        <v>3.5503170000000001E-2</v>
      </c>
      <c r="Z5116">
        <v>0.1060355</v>
      </c>
      <c r="AA5116">
        <v>0.99372830000000001</v>
      </c>
      <c r="AB5116">
        <v>24</v>
      </c>
      <c r="AC5116">
        <v>-1.1000000000080899E-3</v>
      </c>
      <c r="AD5116">
        <v>-8.0708999999999906E-2</v>
      </c>
      <c r="AE5116">
        <v>-0.50579199999999902</v>
      </c>
      <c r="AF5116">
        <v>2.2962840263660501E-2</v>
      </c>
      <c r="AG5116">
        <v>-8.0708999999999906E-2</v>
      </c>
      <c r="AH5116">
        <v>0.49269949169626498</v>
      </c>
      <c r="AI5116">
        <v>99.293074599206307</v>
      </c>
      <c r="AJ5116">
        <v>87.331593624382506</v>
      </c>
      <c r="AK5116">
        <v>0.49979398138806402</v>
      </c>
    </row>
    <row r="5117" spans="1:37" x14ac:dyDescent="0.2">
      <c r="A5117" t="str">
        <f>"20200111153753482"</f>
        <v>20200111153753482</v>
      </c>
      <c r="B5117" t="str">
        <f>"1578728273478011"</f>
        <v>1578728273478011</v>
      </c>
      <c r="C5117" t="s">
        <v>37</v>
      </c>
      <c r="D5117">
        <v>5.8266799999999996</v>
      </c>
      <c r="E5117">
        <v>0.55885390000000001</v>
      </c>
      <c r="F5117" t="s">
        <v>38</v>
      </c>
      <c r="G5117">
        <v>-302.15109999999999</v>
      </c>
      <c r="H5117">
        <v>1.0243580000000001</v>
      </c>
      <c r="I5117">
        <v>-8.7548060000000003</v>
      </c>
      <c r="J5117">
        <v>-302.14920000000001</v>
      </c>
      <c r="K5117">
        <v>1.101693</v>
      </c>
      <c r="L5117">
        <v>-8.2857970000000005</v>
      </c>
      <c r="M5117">
        <v>4.0397919999999997E-2</v>
      </c>
      <c r="N5117">
        <v>0</v>
      </c>
      <c r="O5117">
        <v>-0.99910499999999902</v>
      </c>
      <c r="P5117">
        <v>0.16785369999999999</v>
      </c>
      <c r="Q5117">
        <v>2.6339749999999999E-2</v>
      </c>
      <c r="R5117">
        <v>-0.98546029999999996</v>
      </c>
      <c r="S5117">
        <v>1.9653319999999998E-2</v>
      </c>
      <c r="T5117">
        <v>-0.32511889999999999</v>
      </c>
      <c r="U5117">
        <v>-3.0516969999999999</v>
      </c>
      <c r="V5117">
        <v>-0.12766720000000001</v>
      </c>
      <c r="W5117">
        <v>3.9554110000000003E-2</v>
      </c>
      <c r="X5117">
        <v>0.99102800000000002</v>
      </c>
      <c r="Y5117">
        <v>3.4001620000000003E-2</v>
      </c>
      <c r="Z5117">
        <v>0.10577639999999899</v>
      </c>
      <c r="AA5117">
        <v>0.99380840000000004</v>
      </c>
      <c r="AB5117">
        <v>24</v>
      </c>
      <c r="AC5117">
        <v>-1.8999999999778001E-3</v>
      </c>
      <c r="AD5117">
        <v>-7.7334999999999904E-2</v>
      </c>
      <c r="AE5117">
        <v>-0.46900899999999901</v>
      </c>
      <c r="AF5117">
        <v>2.0295135221944802E-2</v>
      </c>
      <c r="AG5117">
        <v>-7.7334999999999904E-2</v>
      </c>
      <c r="AH5117">
        <v>0.45614742061153501</v>
      </c>
      <c r="AI5117">
        <v>99.613066583601906</v>
      </c>
      <c r="AJ5117">
        <v>87.452448161186695</v>
      </c>
      <c r="AK5117">
        <v>0.46310156992741203</v>
      </c>
    </row>
    <row r="5118" spans="1:37" x14ac:dyDescent="0.2">
      <c r="A5118" t="str">
        <f>"20200111153753503"</f>
        <v>20200111153753503</v>
      </c>
      <c r="B5118" t="str">
        <f>"1578728273498507"</f>
        <v>1578728273498507</v>
      </c>
      <c r="C5118" t="s">
        <v>37</v>
      </c>
      <c r="D5118">
        <v>5.7998620000000001</v>
      </c>
      <c r="E5118">
        <v>0.55854040000000005</v>
      </c>
      <c r="F5118" t="s">
        <v>38</v>
      </c>
      <c r="G5118">
        <v>-302.14550000000003</v>
      </c>
      <c r="H5118">
        <v>1.006775</v>
      </c>
      <c r="I5118">
        <v>-9.1802729999999997</v>
      </c>
      <c r="J5118">
        <v>-302.14409999999998</v>
      </c>
      <c r="K5118">
        <v>1.101807</v>
      </c>
      <c r="L5118">
        <v>-8.5090029999999999</v>
      </c>
      <c r="M5118">
        <v>3.6921269999999999E-2</v>
      </c>
      <c r="N5118">
        <v>0</v>
      </c>
      <c r="O5118">
        <v>-0.99923809999999902</v>
      </c>
      <c r="P5118">
        <v>0.1653492</v>
      </c>
      <c r="Q5118">
        <v>2.601881E-2</v>
      </c>
      <c r="R5118">
        <v>-0.98589189999999904</v>
      </c>
      <c r="S5118">
        <v>1.3153079999999999E-2</v>
      </c>
      <c r="T5118">
        <v>-0.32347909999999902</v>
      </c>
      <c r="U5118">
        <v>-3.050659</v>
      </c>
      <c r="V5118">
        <v>-0.12859870000000001</v>
      </c>
      <c r="W5118">
        <v>3.9329219999999998E-2</v>
      </c>
      <c r="X5118">
        <v>0.99091659999999904</v>
      </c>
      <c r="Y5118">
        <v>3.2639250000000002E-2</v>
      </c>
      <c r="Z5118">
        <v>0.1053085</v>
      </c>
      <c r="AA5118">
        <v>0.9939038</v>
      </c>
      <c r="AB5118">
        <v>24</v>
      </c>
      <c r="AC5118">
        <v>-1.40000000004647E-3</v>
      </c>
      <c r="AD5118">
        <v>-9.5032000000000005E-2</v>
      </c>
      <c r="AE5118">
        <v>-0.67126999999999903</v>
      </c>
      <c r="AF5118">
        <v>2.5670675249420599E-2</v>
      </c>
      <c r="AG5118">
        <v>-9.5032000000000005E-2</v>
      </c>
      <c r="AH5118">
        <v>0.65758123247695299</v>
      </c>
      <c r="AI5118">
        <v>98.217136420521697</v>
      </c>
      <c r="AJ5118">
        <v>87.764420884492907</v>
      </c>
      <c r="AK5118">
        <v>0.66490837105398903</v>
      </c>
    </row>
    <row r="5119" spans="1:37" x14ac:dyDescent="0.2">
      <c r="A5119" t="str">
        <f>"20200111153753525"</f>
        <v>20200111153753525</v>
      </c>
      <c r="B5119" t="str">
        <f>"1578728273517918"</f>
        <v>1578728273517918</v>
      </c>
      <c r="C5119" t="s">
        <v>37</v>
      </c>
      <c r="D5119">
        <v>5.8597650000000003</v>
      </c>
      <c r="E5119">
        <v>0.55823440000000002</v>
      </c>
      <c r="F5119" t="s">
        <v>38</v>
      </c>
      <c r="G5119">
        <v>-302.142</v>
      </c>
      <c r="H5119">
        <v>1.007962</v>
      </c>
      <c r="I5119">
        <v>-9.3975749999999998</v>
      </c>
      <c r="J5119">
        <v>-302.13940000000002</v>
      </c>
      <c r="K5119">
        <v>1.1019129999999999</v>
      </c>
      <c r="L5119">
        <v>-8.7602539999999998</v>
      </c>
      <c r="M5119">
        <v>3.3007710000000003E-2</v>
      </c>
      <c r="N5119">
        <v>0</v>
      </c>
      <c r="O5119">
        <v>-0.99937399999999998</v>
      </c>
      <c r="P5119">
        <v>0.16254939999999901</v>
      </c>
      <c r="Q5119">
        <v>2.7097639999999999E-2</v>
      </c>
      <c r="R5119">
        <v>-0.98632869999999995</v>
      </c>
      <c r="S5119">
        <v>8.3007810000000001E-3</v>
      </c>
      <c r="T5119">
        <v>-0.32176859999999902</v>
      </c>
      <c r="U5119">
        <v>-3.0500180000000001</v>
      </c>
      <c r="V5119">
        <v>-0.12966050000000001</v>
      </c>
      <c r="W5119">
        <v>4.0502730000000001E-2</v>
      </c>
      <c r="X5119">
        <v>0.99073089999999997</v>
      </c>
      <c r="Y5119">
        <v>3.0305160000000001E-2</v>
      </c>
      <c r="Z5119">
        <v>0.104805199999999</v>
      </c>
      <c r="AA5119">
        <v>0.99403090000000005</v>
      </c>
      <c r="AB5119">
        <v>24</v>
      </c>
      <c r="AC5119">
        <v>-2.5999999999726199E-3</v>
      </c>
      <c r="AD5119">
        <v>-9.3950999999999896E-2</v>
      </c>
      <c r="AE5119">
        <v>-0.63732100000000003</v>
      </c>
      <c r="AF5119">
        <v>2.3134069193094801E-2</v>
      </c>
      <c r="AG5119">
        <v>-9.3950999999999896E-2</v>
      </c>
      <c r="AH5119">
        <v>0.62334201155082702</v>
      </c>
      <c r="AI5119">
        <v>98.565377434962102</v>
      </c>
      <c r="AJ5119">
        <v>87.874559320830599</v>
      </c>
      <c r="AK5119">
        <v>0.63080681584987797</v>
      </c>
    </row>
    <row r="5120" spans="1:37" x14ac:dyDescent="0.2">
      <c r="A5120" t="str">
        <f>"20200111153753549"</f>
        <v>20200111153753549</v>
      </c>
      <c r="B5120" t="str">
        <f>"1578728273538415"</f>
        <v>1578728273538415</v>
      </c>
      <c r="C5120" t="s">
        <v>37</v>
      </c>
      <c r="D5120">
        <v>5.8021900000000004</v>
      </c>
      <c r="E5120">
        <v>0.55803999999999998</v>
      </c>
      <c r="F5120" t="s">
        <v>38</v>
      </c>
      <c r="G5120">
        <v>-302.13889999999998</v>
      </c>
      <c r="H5120">
        <v>1.0131540000000001</v>
      </c>
      <c r="I5120">
        <v>-9.6166280000000004</v>
      </c>
      <c r="J5120">
        <v>-302.13580000000002</v>
      </c>
      <c r="K5120">
        <v>1.102001</v>
      </c>
      <c r="L5120">
        <v>-9.0011899999999994</v>
      </c>
      <c r="M5120">
        <v>2.9257109999999999E-2</v>
      </c>
      <c r="N5120">
        <v>0</v>
      </c>
      <c r="O5120">
        <v>-0.99948959999999998</v>
      </c>
      <c r="P5120">
        <v>0.16074649999999999</v>
      </c>
      <c r="Q5120">
        <v>2.7417560000000001E-2</v>
      </c>
      <c r="R5120">
        <v>-0.98661449999999995</v>
      </c>
      <c r="S5120">
        <v>2.2888179999999902E-3</v>
      </c>
      <c r="T5120">
        <v>-0.31599559999999999</v>
      </c>
      <c r="U5120">
        <v>-3.0498959999999999</v>
      </c>
      <c r="V5120">
        <v>-0.13156660000000001</v>
      </c>
      <c r="W5120">
        <v>4.0906280000000003E-2</v>
      </c>
      <c r="X5120">
        <v>0.99046299999999898</v>
      </c>
      <c r="Y5120">
        <v>2.8513340000000002E-2</v>
      </c>
      <c r="Z5120">
        <v>0.102969899999999</v>
      </c>
      <c r="AA5120">
        <v>0.99427569999999998</v>
      </c>
      <c r="AB5120">
        <v>24</v>
      </c>
      <c r="AC5120">
        <v>-3.0999999999607999E-3</v>
      </c>
      <c r="AD5120">
        <v>-8.8846999999999898E-2</v>
      </c>
      <c r="AE5120">
        <v>-0.61543800000000004</v>
      </c>
      <c r="AF5120">
        <v>2.0675212171751101E-2</v>
      </c>
      <c r="AG5120">
        <v>-8.8846999999999898E-2</v>
      </c>
      <c r="AH5120">
        <v>0.602526897647221</v>
      </c>
      <c r="AI5120">
        <v>98.383369621923094</v>
      </c>
      <c r="AJ5120">
        <v>88.034713820780993</v>
      </c>
      <c r="AK5120">
        <v>0.609393071995187</v>
      </c>
    </row>
    <row r="5121" spans="1:37" x14ac:dyDescent="0.2">
      <c r="A5121" t="str">
        <f>"20200111153753569"</f>
        <v>20200111153753569</v>
      </c>
      <c r="B5121" t="str">
        <f>"1578728273557935"</f>
        <v>1578728273557935</v>
      </c>
      <c r="C5121" t="s">
        <v>37</v>
      </c>
      <c r="D5121">
        <v>5.8005300000000002</v>
      </c>
      <c r="E5121">
        <v>0.55784299999999998</v>
      </c>
      <c r="F5121" t="s">
        <v>38</v>
      </c>
      <c r="G5121">
        <v>-302.13639999999998</v>
      </c>
      <c r="H5121">
        <v>1.016459</v>
      </c>
      <c r="I5121">
        <v>-9.8345529999999997</v>
      </c>
      <c r="J5121">
        <v>-302.13319999999999</v>
      </c>
      <c r="K5121">
        <v>1.1020559999999999</v>
      </c>
      <c r="L5121">
        <v>-9.2305600000000005</v>
      </c>
      <c r="M5121">
        <v>2.5692099999999999E-2</v>
      </c>
      <c r="N5121">
        <v>0</v>
      </c>
      <c r="O5121">
        <v>-0.99958689999999994</v>
      </c>
      <c r="P5121">
        <v>0.15957539999999901</v>
      </c>
      <c r="Q5121">
        <v>2.6312539999999999E-2</v>
      </c>
      <c r="R5121">
        <v>-0.98683509999999997</v>
      </c>
      <c r="S5121">
        <v>-1.6479489999999999E-3</v>
      </c>
      <c r="T5121">
        <v>-0.31275579999999997</v>
      </c>
      <c r="U5121">
        <v>-3.049652</v>
      </c>
      <c r="V5121">
        <v>-0.13393039999999901</v>
      </c>
      <c r="W5121">
        <v>3.9873819999999997E-2</v>
      </c>
      <c r="X5121">
        <v>0.99018819999999996</v>
      </c>
      <c r="Y5121">
        <v>2.6231580000000001E-2</v>
      </c>
      <c r="Z5121">
        <v>0.1019515</v>
      </c>
      <c r="AA5121">
        <v>0.99444349999999904</v>
      </c>
      <c r="AB5121">
        <v>24</v>
      </c>
      <c r="AC5121">
        <v>-3.19999999999254E-3</v>
      </c>
      <c r="AD5121">
        <v>-8.5596999999999895E-2</v>
      </c>
      <c r="AE5121">
        <v>-0.603992999999999</v>
      </c>
      <c r="AF5121">
        <v>1.83495550689903E-2</v>
      </c>
      <c r="AG5121">
        <v>-8.5596999999999895E-2</v>
      </c>
      <c r="AH5121">
        <v>0.59182539787605404</v>
      </c>
      <c r="AI5121">
        <v>98.225847108534694</v>
      </c>
      <c r="AJ5121">
        <v>88.224112437089502</v>
      </c>
      <c r="AK5121">
        <v>0.59826486956145097</v>
      </c>
    </row>
    <row r="5122" spans="1:37" x14ac:dyDescent="0.2">
      <c r="A5122" t="str">
        <f>"20200111153753592"</f>
        <v>20200111153753592</v>
      </c>
      <c r="B5122" t="str">
        <f>"1578728273578430"</f>
        <v>1578728273578430</v>
      </c>
      <c r="C5122" t="s">
        <v>37</v>
      </c>
      <c r="D5122">
        <v>5.8072089999999896</v>
      </c>
      <c r="E5122">
        <v>0.55765779999999998</v>
      </c>
      <c r="F5122" t="s">
        <v>38</v>
      </c>
      <c r="G5122">
        <v>-302.13440000000003</v>
      </c>
      <c r="H5122">
        <v>1.0174540000000001</v>
      </c>
      <c r="I5122">
        <v>-10.05118</v>
      </c>
      <c r="J5122">
        <v>-302.13130000000001</v>
      </c>
      <c r="K5122">
        <v>1.1021110000000001</v>
      </c>
      <c r="L5122">
        <v>-9.4727779999999999</v>
      </c>
      <c r="M5122">
        <v>2.1943710000000002E-2</v>
      </c>
      <c r="N5122">
        <v>0</v>
      </c>
      <c r="O5122">
        <v>-0.99967549999999905</v>
      </c>
      <c r="P5122">
        <v>0.1586302</v>
      </c>
      <c r="Q5122">
        <v>2.363239E-2</v>
      </c>
      <c r="R5122">
        <v>-0.98705529999999997</v>
      </c>
      <c r="S5122">
        <v>-3.7841799999999998E-3</v>
      </c>
      <c r="T5122">
        <v>-0.31419190000000002</v>
      </c>
      <c r="U5122">
        <v>-3.0490110000000001</v>
      </c>
      <c r="V5122">
        <v>-0.136711</v>
      </c>
      <c r="W5122">
        <v>3.7262219999999999E-2</v>
      </c>
      <c r="X5122">
        <v>0.98990990000000001</v>
      </c>
      <c r="Y5122">
        <v>2.31798E-2</v>
      </c>
      <c r="Z5122">
        <v>0.10245360000000001</v>
      </c>
      <c r="AA5122">
        <v>0.99446769999999995</v>
      </c>
      <c r="AB5122">
        <v>24</v>
      </c>
      <c r="AC5122">
        <v>-3.1000000000176399E-3</v>
      </c>
      <c r="AD5122">
        <v>-8.4656999999999899E-2</v>
      </c>
      <c r="AE5122">
        <v>-0.57840199999999997</v>
      </c>
      <c r="AF5122">
        <v>1.54613923158297E-2</v>
      </c>
      <c r="AG5122">
        <v>-8.4656999999999899E-2</v>
      </c>
      <c r="AH5122">
        <v>0.56606852709689803</v>
      </c>
      <c r="AI5122">
        <v>98.502567290366599</v>
      </c>
      <c r="AJ5122">
        <v>88.435432665900194</v>
      </c>
      <c r="AK5122">
        <v>0.57257265012485203</v>
      </c>
    </row>
    <row r="5123" spans="1:37" x14ac:dyDescent="0.2">
      <c r="A5123" t="str">
        <f>"20200111153753620"</f>
        <v>20200111153753620</v>
      </c>
      <c r="B5123" t="str">
        <f>"1578728273608687"</f>
        <v>1578728273608687</v>
      </c>
      <c r="C5123" t="s">
        <v>37</v>
      </c>
      <c r="D5123">
        <v>5.7891180000000002</v>
      </c>
      <c r="E5123">
        <v>0.5573766</v>
      </c>
      <c r="F5123" t="s">
        <v>38</v>
      </c>
      <c r="G5123">
        <v>-302.13299999999998</v>
      </c>
      <c r="H5123">
        <v>1.018597</v>
      </c>
      <c r="I5123">
        <v>-10.2677</v>
      </c>
      <c r="J5123">
        <v>-302.1302</v>
      </c>
      <c r="K5123">
        <v>1.1021799999999999</v>
      </c>
      <c r="L5123">
        <v>-9.7698059999999902</v>
      </c>
      <c r="M5123">
        <v>1.738139E-2</v>
      </c>
      <c r="N5123">
        <v>0</v>
      </c>
      <c r="O5123">
        <v>-0.99976430000000005</v>
      </c>
      <c r="P5123">
        <v>0.15695229999999999</v>
      </c>
      <c r="Q5123">
        <v>2.1548250000000001E-2</v>
      </c>
      <c r="R5123">
        <v>-0.987370999999999</v>
      </c>
      <c r="S5123">
        <v>-5.6152340000000002E-3</v>
      </c>
      <c r="T5123">
        <v>-0.31996729999999901</v>
      </c>
      <c r="U5123">
        <v>-3.0479129999999999</v>
      </c>
      <c r="V5123">
        <v>-0.13955989999999999</v>
      </c>
      <c r="W5123">
        <v>3.5245569999999997E-2</v>
      </c>
      <c r="X5123">
        <v>0.98958619999999997</v>
      </c>
      <c r="Y5123">
        <v>1.9214800000000001E-2</v>
      </c>
      <c r="Z5123">
        <v>0.1043721</v>
      </c>
      <c r="AA5123">
        <v>0.99435269999999998</v>
      </c>
      <c r="AB5123">
        <v>24</v>
      </c>
      <c r="AC5123">
        <v>-2.7999999999792601E-3</v>
      </c>
      <c r="AD5123">
        <v>-8.3582999999999893E-2</v>
      </c>
      <c r="AE5123">
        <v>-0.497894</v>
      </c>
      <c r="AF5123">
        <v>1.11404557057152E-2</v>
      </c>
      <c r="AG5123">
        <v>-8.3582999999999893E-2</v>
      </c>
      <c r="AH5123">
        <v>0.48412716355811403</v>
      </c>
      <c r="AI5123">
        <v>99.792828573890404</v>
      </c>
      <c r="AJ5123">
        <v>88.681775136766106</v>
      </c>
      <c r="AK5123">
        <v>0.49141564702108997</v>
      </c>
    </row>
    <row r="5124" spans="1:37" x14ac:dyDescent="0.2">
      <c r="A5124" t="str">
        <f>"20200111153753638"</f>
        <v>20200111153753638</v>
      </c>
      <c r="B5124" t="str">
        <f>"1578728273628207"</f>
        <v>1578728273628207</v>
      </c>
      <c r="C5124" t="s">
        <v>37</v>
      </c>
      <c r="D5124">
        <v>5.7756869999999996</v>
      </c>
      <c r="E5124">
        <v>0.55714730000000001</v>
      </c>
      <c r="F5124" t="s">
        <v>38</v>
      </c>
      <c r="G5124">
        <v>-302.13229999999999</v>
      </c>
      <c r="H5124">
        <v>1.0260849999999999</v>
      </c>
      <c r="I5124">
        <v>-10.4871199999999</v>
      </c>
      <c r="J5124">
        <v>-302.1302</v>
      </c>
      <c r="K5124">
        <v>1.1022299999999901</v>
      </c>
      <c r="L5124">
        <v>-9.9803770000000007</v>
      </c>
      <c r="M5124">
        <v>1.4188829999999999E-2</v>
      </c>
      <c r="N5124">
        <v>0</v>
      </c>
      <c r="O5124">
        <v>-0.9998146</v>
      </c>
      <c r="P5124">
        <v>0.15682860000000001</v>
      </c>
      <c r="Q5124">
        <v>1.9975650000000001E-2</v>
      </c>
      <c r="R5124">
        <v>-0.98742419999999997</v>
      </c>
      <c r="S5124">
        <v>-8.7890629999999997E-3</v>
      </c>
      <c r="T5124">
        <v>-0.32320189999999999</v>
      </c>
      <c r="U5124">
        <v>-3.0468439999999899</v>
      </c>
      <c r="V5124">
        <v>-0.1426075</v>
      </c>
      <c r="W5124">
        <v>3.3713449999999999E-2</v>
      </c>
      <c r="X5124">
        <v>0.989204999999999</v>
      </c>
      <c r="Y5124">
        <v>1.7058230000000001E-2</v>
      </c>
      <c r="Z5124">
        <v>0.105461999999999</v>
      </c>
      <c r="AA5124">
        <v>0.99427699999999997</v>
      </c>
      <c r="AB5124">
        <v>24</v>
      </c>
      <c r="AC5124">
        <v>-2.0999999999844398E-3</v>
      </c>
      <c r="AD5124">
        <v>-7.6144999999999602E-2</v>
      </c>
      <c r="AE5124">
        <v>-0.50674299999999795</v>
      </c>
      <c r="AF5124">
        <v>9.0853522217772299E-3</v>
      </c>
      <c r="AG5124">
        <v>-7.6144999999999602E-2</v>
      </c>
      <c r="AH5124">
        <v>0.49547497685901898</v>
      </c>
      <c r="AI5124">
        <v>98.735462250506004</v>
      </c>
      <c r="AJ5124">
        <v>88.949504956826303</v>
      </c>
      <c r="AK5124">
        <v>0.50137416900299003</v>
      </c>
    </row>
    <row r="5125" spans="1:37" x14ac:dyDescent="0.2">
      <c r="A5125" t="str">
        <f>"20200111153753661"</f>
        <v>20200111153753661</v>
      </c>
      <c r="B5125" t="str">
        <f>"1578728273648703"</f>
        <v>1578728273648703</v>
      </c>
      <c r="C5125" t="s">
        <v>37</v>
      </c>
      <c r="D5125">
        <v>5.7916449999999999</v>
      </c>
      <c r="E5125">
        <v>0.55691429999999997</v>
      </c>
      <c r="F5125" t="s">
        <v>38</v>
      </c>
      <c r="G5125">
        <v>-302.13209999999998</v>
      </c>
      <c r="H5125">
        <v>1.0247280000000001</v>
      </c>
      <c r="I5125">
        <v>-10.702019999999999</v>
      </c>
      <c r="J5125">
        <v>-302.13099999999997</v>
      </c>
      <c r="K5125">
        <v>1.102303</v>
      </c>
      <c r="L5125">
        <v>-10.216609999999999</v>
      </c>
      <c r="M5125">
        <v>1.0680139999999999E-2</v>
      </c>
      <c r="N5125">
        <v>0</v>
      </c>
      <c r="O5125">
        <v>-0.99985729999999995</v>
      </c>
      <c r="P5125">
        <v>0.15578159999999999</v>
      </c>
      <c r="Q5125">
        <v>1.7719140000000001E-2</v>
      </c>
      <c r="R5125">
        <v>-0.98763279999999998</v>
      </c>
      <c r="S5125">
        <v>-6.6528319999999896E-3</v>
      </c>
      <c r="T5125">
        <v>-0.32661489999999999</v>
      </c>
      <c r="U5125">
        <v>-3.045868</v>
      </c>
      <c r="V5125">
        <v>-0.14504729999999999</v>
      </c>
      <c r="W5125">
        <v>3.1486380000000001E-2</v>
      </c>
      <c r="X5125">
        <v>0.98892359999999901</v>
      </c>
      <c r="Y5125">
        <v>1.285267E-2</v>
      </c>
      <c r="Z5125">
        <v>0.106607199999999</v>
      </c>
      <c r="AA5125">
        <v>0.99421809999999999</v>
      </c>
      <c r="AB5125">
        <v>24</v>
      </c>
      <c r="AC5125">
        <v>-1.1000000000080899E-3</v>
      </c>
      <c r="AD5125">
        <v>-7.7574999999999894E-2</v>
      </c>
      <c r="AE5125">
        <v>-0.48540999999999801</v>
      </c>
      <c r="AF5125">
        <v>6.1281149929491496E-3</v>
      </c>
      <c r="AG5125">
        <v>-7.7574999999999894E-2</v>
      </c>
      <c r="AH5125">
        <v>0.47328283379019898</v>
      </c>
      <c r="AI5125">
        <v>99.307717678888594</v>
      </c>
      <c r="AJ5125">
        <v>89.258169786658399</v>
      </c>
      <c r="AK5125">
        <v>0.47963744138552</v>
      </c>
    </row>
    <row r="5126" spans="1:37" x14ac:dyDescent="0.2">
      <c r="A5126" t="str">
        <f>"20200111153753684"</f>
        <v>20200111153753684</v>
      </c>
      <c r="B5126" t="str">
        <f>"1578728273677984"</f>
        <v>1578728273677984</v>
      </c>
      <c r="C5126" t="s">
        <v>37</v>
      </c>
      <c r="D5126">
        <v>5.5654029999999999</v>
      </c>
      <c r="E5126">
        <v>0.5552146</v>
      </c>
      <c r="F5126" t="s">
        <v>38</v>
      </c>
      <c r="G5126">
        <v>-302.13350000000003</v>
      </c>
      <c r="H5126">
        <v>1.003123</v>
      </c>
      <c r="I5126">
        <v>-11.12196</v>
      </c>
      <c r="J5126">
        <v>-302.13249999999999</v>
      </c>
      <c r="K5126">
        <v>1.1023989999999999</v>
      </c>
      <c r="L5126">
        <v>-10.462949999999999</v>
      </c>
      <c r="M5126">
        <v>7.1286750000000001E-3</v>
      </c>
      <c r="N5126">
        <v>0</v>
      </c>
      <c r="O5126">
        <v>-0.99988860000000002</v>
      </c>
      <c r="P5126">
        <v>0.15467999999999901</v>
      </c>
      <c r="Q5126">
        <v>1.6967110000000001E-2</v>
      </c>
      <c r="R5126">
        <v>-0.98781909999999895</v>
      </c>
      <c r="S5126">
        <v>-7.3242189999999999E-3</v>
      </c>
      <c r="T5126">
        <v>-0.33321539999999999</v>
      </c>
      <c r="U5126">
        <v>-3.044708</v>
      </c>
      <c r="V5126">
        <v>-0.14746609999999999</v>
      </c>
      <c r="W5126">
        <v>3.074907E-2</v>
      </c>
      <c r="X5126">
        <v>0.98858899999999905</v>
      </c>
      <c r="Y5126">
        <v>9.5204790000000001E-3</v>
      </c>
      <c r="Z5126">
        <v>0.10878450000000001</v>
      </c>
      <c r="AA5126">
        <v>0.99401969999999995</v>
      </c>
      <c r="AB5126">
        <v>24</v>
      </c>
      <c r="AC5126">
        <v>-1.0000000000331901E-3</v>
      </c>
      <c r="AD5126">
        <v>-9.9275999999999906E-2</v>
      </c>
      <c r="AE5126">
        <v>-0.65901000000000198</v>
      </c>
      <c r="AF5126">
        <v>5.5718024009616699E-3</v>
      </c>
      <c r="AG5126">
        <v>-9.9275999999999906E-2</v>
      </c>
      <c r="AH5126">
        <v>0.64436319760524097</v>
      </c>
      <c r="AI5126">
        <v>98.758278247045496</v>
      </c>
      <c r="AJ5126">
        <v>89.504576290501603</v>
      </c>
      <c r="AK5126">
        <v>0.65198980021626596</v>
      </c>
    </row>
    <row r="5127" spans="1:37" x14ac:dyDescent="0.2">
      <c r="A5127" t="str">
        <f>"20200111153753709"</f>
        <v>20200111153753709</v>
      </c>
      <c r="B5127" t="str">
        <f>"1578728273688719"</f>
        <v>1578728273688719</v>
      </c>
      <c r="C5127" t="s">
        <v>37</v>
      </c>
      <c r="D5127">
        <v>5.7493600000000002</v>
      </c>
      <c r="E5127">
        <v>0.5552146</v>
      </c>
      <c r="F5127" t="s">
        <v>38</v>
      </c>
      <c r="G5127">
        <v>-302.13170000000002</v>
      </c>
      <c r="H5127">
        <v>1.0057</v>
      </c>
      <c r="I5127">
        <v>-11.338179999999999</v>
      </c>
      <c r="J5127">
        <v>-302.13510000000002</v>
      </c>
      <c r="K5127">
        <v>1.1025180000000001</v>
      </c>
      <c r="L5127">
        <v>-10.731809999999999</v>
      </c>
      <c r="M5127">
        <v>3.3705159999999901E-3</v>
      </c>
      <c r="N5127">
        <v>0</v>
      </c>
      <c r="O5127">
        <v>-0.99990800000000002</v>
      </c>
      <c r="P5127">
        <v>0.1533727</v>
      </c>
      <c r="Q5127">
        <v>1.776763E-2</v>
      </c>
      <c r="R5127">
        <v>-0.98800880000000002</v>
      </c>
      <c r="S5127">
        <v>3.6621090000000002E-3</v>
      </c>
      <c r="T5127">
        <v>-0.33590049999999999</v>
      </c>
      <c r="U5127">
        <v>-3.0422060000000002</v>
      </c>
      <c r="V5127">
        <v>-0.14987629999999999</v>
      </c>
      <c r="W5127">
        <v>3.1555010000000001E-2</v>
      </c>
      <c r="X5127">
        <v>0.98820110000000005</v>
      </c>
      <c r="Y5127">
        <v>2.1743159999999999E-3</v>
      </c>
      <c r="Z5127">
        <v>0.10974539999999899</v>
      </c>
      <c r="AA5127">
        <v>0.99395730000000004</v>
      </c>
      <c r="AB5127">
        <v>24</v>
      </c>
      <c r="AC5127">
        <v>3.3999999999991802E-3</v>
      </c>
      <c r="AD5127">
        <v>-9.6818000000000001E-2</v>
      </c>
      <c r="AE5127">
        <v>-0.60636999999999797</v>
      </c>
      <c r="AF5127">
        <v>-1.32231452903717E-3</v>
      </c>
      <c r="AG5127">
        <v>-9.6818000000000001E-2</v>
      </c>
      <c r="AH5127">
        <v>0.59130383088626004</v>
      </c>
      <c r="AI5127">
        <v>99.298871573557705</v>
      </c>
      <c r="AJ5127">
        <v>90.128128571896795</v>
      </c>
      <c r="AK5127">
        <v>0.59917918360076605</v>
      </c>
    </row>
    <row r="5128" spans="1:37" x14ac:dyDescent="0.2">
      <c r="A5128" t="str">
        <f>"20200111153753728"</f>
        <v>20200111153753728</v>
      </c>
      <c r="B5128" t="str">
        <f>"1578728273717999"</f>
        <v>1578728273717999</v>
      </c>
      <c r="C5128" t="s">
        <v>37</v>
      </c>
      <c r="D5128">
        <v>5.5535230000000002</v>
      </c>
      <c r="E5128">
        <v>0.4801955</v>
      </c>
      <c r="F5128" t="s">
        <v>38</v>
      </c>
      <c r="G5128">
        <v>-302.13529999999997</v>
      </c>
      <c r="H5128">
        <v>1.011728</v>
      </c>
      <c r="I5128">
        <v>-11.5557699999999</v>
      </c>
      <c r="J5128">
        <v>-302.13780000000003</v>
      </c>
      <c r="K5128">
        <v>1.102617</v>
      </c>
      <c r="L5128">
        <v>-10.94553</v>
      </c>
      <c r="M5128">
        <v>4.9364419999999997E-4</v>
      </c>
      <c r="N5128">
        <v>0</v>
      </c>
      <c r="O5128">
        <v>-0.99991339999999995</v>
      </c>
      <c r="P5128">
        <v>0.1529007</v>
      </c>
      <c r="Q5128">
        <v>1.854368E-2</v>
      </c>
      <c r="R5128">
        <v>-0.98806769999999999</v>
      </c>
      <c r="S5128">
        <v>8.2397459999999998E-4</v>
      </c>
      <c r="T5128">
        <v>-0.33476630000000002</v>
      </c>
      <c r="U5128">
        <v>-3.042297</v>
      </c>
      <c r="V5128">
        <v>-0.15224989999999999</v>
      </c>
      <c r="W5128">
        <v>3.2328990000000002E-2</v>
      </c>
      <c r="X5128">
        <v>0.98781319999999995</v>
      </c>
      <c r="Y5128">
        <v>2.244723E-4</v>
      </c>
      <c r="Z5128">
        <v>0.10937709999999901</v>
      </c>
      <c r="AA5128">
        <v>0.99400029999999995</v>
      </c>
      <c r="AB5128">
        <v>24</v>
      </c>
      <c r="AC5128">
        <v>2.5000000000545601E-3</v>
      </c>
      <c r="AD5128">
        <v>-9.0888999999999998E-2</v>
      </c>
      <c r="AE5128">
        <v>-0.61023999999999901</v>
      </c>
      <c r="AF5128">
        <v>-2.1510168859874002E-3</v>
      </c>
      <c r="AG5128">
        <v>-9.0888999999999998E-2</v>
      </c>
      <c r="AH5128">
        <v>0.59699814099309501</v>
      </c>
      <c r="AI5128">
        <v>98.656375103069493</v>
      </c>
      <c r="AJ5128">
        <v>90.206438927445902</v>
      </c>
      <c r="AK5128">
        <v>0.60388096305799799</v>
      </c>
    </row>
    <row r="5129" spans="1:37" x14ac:dyDescent="0.2">
      <c r="A5129" t="str">
        <f>"20200111153753748"</f>
        <v>20200111153753748</v>
      </c>
      <c r="B5129" t="str">
        <f>"1578728273738494"</f>
        <v>1578728273738494</v>
      </c>
      <c r="C5129" t="s">
        <v>37</v>
      </c>
      <c r="D5129">
        <v>5.5639750000000001</v>
      </c>
      <c r="E5129">
        <v>0.47951519999999997</v>
      </c>
      <c r="F5129" t="s">
        <v>39</v>
      </c>
      <c r="G5129">
        <v>-299.62119999999999</v>
      </c>
      <c r="H5129" s="1">
        <v>-3.0627989999999999E-6</v>
      </c>
      <c r="I5129">
        <v>-23.38438</v>
      </c>
      <c r="J5129">
        <v>-302.14089999999999</v>
      </c>
      <c r="K5129">
        <v>1.1027089999999999</v>
      </c>
      <c r="L5129">
        <v>-11.15714</v>
      </c>
      <c r="M5129">
        <v>-2.2315379999999999E-3</v>
      </c>
      <c r="N5129">
        <v>0</v>
      </c>
      <c r="O5129">
        <v>-0.99991079999999999</v>
      </c>
      <c r="P5129">
        <v>0.15104029999999999</v>
      </c>
      <c r="Q5129">
        <v>1.905219E-2</v>
      </c>
      <c r="R5129">
        <v>-0.98834409999999895</v>
      </c>
      <c r="S5129">
        <v>0.59658809999999995</v>
      </c>
      <c r="T5129">
        <v>-0.26139299999999999</v>
      </c>
      <c r="U5129">
        <v>-2.9488219999999998</v>
      </c>
      <c r="V5129">
        <v>-0.15308669999999999</v>
      </c>
      <c r="W5129">
        <v>3.2823690000000003E-2</v>
      </c>
      <c r="X5129">
        <v>0.98766749999999903</v>
      </c>
      <c r="Y5129">
        <v>-0.19973949999999999</v>
      </c>
      <c r="Z5129">
        <v>8.6537080000000002E-2</v>
      </c>
      <c r="AA5129">
        <v>0.97602019999999901</v>
      </c>
      <c r="AB5129">
        <v>24</v>
      </c>
      <c r="AC5129">
        <v>2.5196999999999998</v>
      </c>
      <c r="AD5129">
        <v>-1.1027120627989999</v>
      </c>
      <c r="AE5129">
        <v>-12.22724</v>
      </c>
      <c r="AF5129">
        <v>-2.5272639488667399</v>
      </c>
      <c r="AG5129">
        <v>-1.1027120627989999</v>
      </c>
      <c r="AH5129">
        <v>12.126971720067001</v>
      </c>
      <c r="AI5129">
        <v>95.0869488235803</v>
      </c>
      <c r="AJ5129">
        <v>101.771963487812</v>
      </c>
      <c r="AK5129">
        <v>12.4364979017402</v>
      </c>
    </row>
    <row r="5130" spans="1:37" x14ac:dyDescent="0.2">
      <c r="A5130" t="str">
        <f>"20200111153753770"</f>
        <v>20200111153753770</v>
      </c>
      <c r="B5130" t="str">
        <f>"1578728273758015"</f>
        <v>1578728273758015</v>
      </c>
      <c r="C5130" t="s">
        <v>37</v>
      </c>
      <c r="D5130">
        <v>5.5736749999999997</v>
      </c>
      <c r="E5130">
        <v>0.48039359999999998</v>
      </c>
      <c r="F5130" t="s">
        <v>39</v>
      </c>
      <c r="G5130">
        <v>-299.69630000000001</v>
      </c>
      <c r="H5130" s="1">
        <v>-3.11364E-6</v>
      </c>
      <c r="I5130">
        <v>-23.234839999999998</v>
      </c>
      <c r="J5130">
        <v>-302.14490000000001</v>
      </c>
      <c r="K5130">
        <v>1.1028309999999999</v>
      </c>
      <c r="L5130">
        <v>-11.39264</v>
      </c>
      <c r="M5130">
        <v>-5.10557299999999E-3</v>
      </c>
      <c r="N5130">
        <v>0</v>
      </c>
      <c r="O5130">
        <v>-0.99989989999999995</v>
      </c>
      <c r="P5130">
        <v>0.14824809999999999</v>
      </c>
      <c r="Q5130">
        <v>1.942309E-2</v>
      </c>
      <c r="R5130">
        <v>-0.98875949999999901</v>
      </c>
      <c r="S5130">
        <v>0.59698490000000004</v>
      </c>
      <c r="T5130">
        <v>-0.2692792</v>
      </c>
      <c r="U5130">
        <v>-2.949341</v>
      </c>
      <c r="V5130">
        <v>-0.15314339999999901</v>
      </c>
      <c r="W5130">
        <v>3.3166830000000001E-2</v>
      </c>
      <c r="X5130">
        <v>0.98764719999999995</v>
      </c>
      <c r="Y5130">
        <v>-0.20260259999999999</v>
      </c>
      <c r="Z5130">
        <v>8.9082720000000004E-2</v>
      </c>
      <c r="AA5130">
        <v>0.97520069999999903</v>
      </c>
      <c r="AB5130">
        <v>24</v>
      </c>
      <c r="AC5130">
        <v>2.4485999999999901</v>
      </c>
      <c r="AD5130">
        <v>-1.1028341136399999</v>
      </c>
      <c r="AE5130">
        <v>-11.842199999999901</v>
      </c>
      <c r="AF5130">
        <v>-2.4883387020658101</v>
      </c>
      <c r="AG5130">
        <v>-1.1028341136399999</v>
      </c>
      <c r="AH5130">
        <v>11.731966632216301</v>
      </c>
      <c r="AI5130">
        <v>95.253963982364496</v>
      </c>
      <c r="AJ5130">
        <v>101.974916031178</v>
      </c>
      <c r="AK5130">
        <v>12.0435507072392</v>
      </c>
    </row>
    <row r="5131" spans="1:37" x14ac:dyDescent="0.2">
      <c r="A5131" t="str">
        <f>"20200111153753793"</f>
        <v>20200111153753793</v>
      </c>
      <c r="B5131" t="str">
        <f>"1578728273788271"</f>
        <v>1578728273788271</v>
      </c>
      <c r="C5131" t="s">
        <v>37</v>
      </c>
      <c r="D5131">
        <v>5.5202019999999896</v>
      </c>
      <c r="E5131">
        <v>0.48091669999999997</v>
      </c>
      <c r="F5131" t="s">
        <v>39</v>
      </c>
      <c r="G5131">
        <v>-299.74299999999999</v>
      </c>
      <c r="H5131" s="1">
        <v>-2.9651720000000001E-6</v>
      </c>
      <c r="I5131">
        <v>-23.561610000000002</v>
      </c>
      <c r="J5131">
        <v>-302.14940000000001</v>
      </c>
      <c r="K5131">
        <v>1.1029579999999899</v>
      </c>
      <c r="L5131">
        <v>-11.629060000000001</v>
      </c>
      <c r="M5131">
        <v>-7.8252670000000003E-3</v>
      </c>
      <c r="N5131">
        <v>0</v>
      </c>
      <c r="O5131">
        <v>-0.9998823</v>
      </c>
      <c r="P5131">
        <v>0.1461015</v>
      </c>
      <c r="Q5131">
        <v>2.0046060000000001E-2</v>
      </c>
      <c r="R5131">
        <v>-0.98906679999999902</v>
      </c>
      <c r="S5131">
        <v>0.58267209999999903</v>
      </c>
      <c r="T5131">
        <v>-0.26752969999999998</v>
      </c>
      <c r="U5131">
        <v>-2.9519959999999998</v>
      </c>
      <c r="V5131">
        <v>-0.15369269999999999</v>
      </c>
      <c r="W5131">
        <v>3.3757299999999997E-2</v>
      </c>
      <c r="X5131">
        <v>0.98754189999999997</v>
      </c>
      <c r="Y5131">
        <v>-0.20055819999999999</v>
      </c>
      <c r="Z5131">
        <v>8.8488849999999994E-2</v>
      </c>
      <c r="AA5131">
        <v>0.97567729999999997</v>
      </c>
      <c r="AB5131">
        <v>24</v>
      </c>
      <c r="AC5131">
        <v>2.4064000000000099</v>
      </c>
      <c r="AD5131">
        <v>-1.10296096517199</v>
      </c>
      <c r="AE5131">
        <v>-11.932550000000001</v>
      </c>
      <c r="AF5131">
        <v>-2.4793544346900802</v>
      </c>
      <c r="AG5131">
        <v>-1.10296096517199</v>
      </c>
      <c r="AH5131">
        <v>11.816340567828201</v>
      </c>
      <c r="AI5131">
        <v>95.219637158491096</v>
      </c>
      <c r="AJ5131">
        <v>101.850132681029</v>
      </c>
      <c r="AK5131">
        <v>12.123927817271699</v>
      </c>
    </row>
    <row r="5132" spans="1:37" x14ac:dyDescent="0.2">
      <c r="A5132" t="str">
        <f>"20200111153753816"</f>
        <v>20200111153753816</v>
      </c>
      <c r="B5132" t="str">
        <f>"1578728273808766"</f>
        <v>1578728273808766</v>
      </c>
      <c r="C5132" t="s">
        <v>37</v>
      </c>
      <c r="D5132">
        <v>5.5683809999999996</v>
      </c>
      <c r="E5132">
        <v>0.48097760000000001</v>
      </c>
      <c r="F5132" t="s">
        <v>39</v>
      </c>
      <c r="G5132">
        <v>-299.80160000000001</v>
      </c>
      <c r="H5132" s="1">
        <v>-2.8766199999999998E-6</v>
      </c>
      <c r="I5132">
        <v>-23.743790000000001</v>
      </c>
      <c r="J5132">
        <v>-302.15460000000002</v>
      </c>
      <c r="K5132">
        <v>1.103091</v>
      </c>
      <c r="L5132">
        <v>-11.878880000000001</v>
      </c>
      <c r="M5132">
        <v>-1.052751E-2</v>
      </c>
      <c r="N5132">
        <v>0</v>
      </c>
      <c r="O5132">
        <v>-0.99985729999999995</v>
      </c>
      <c r="P5132">
        <v>0.14448849999999999</v>
      </c>
      <c r="Q5132">
        <v>1.9501020000000001E-2</v>
      </c>
      <c r="R5132">
        <v>-0.98931440000000004</v>
      </c>
      <c r="S5132">
        <v>0.57247919999999997</v>
      </c>
      <c r="T5132">
        <v>-0.26894469999999998</v>
      </c>
      <c r="U5132">
        <v>-2.9540410000000001</v>
      </c>
      <c r="V5132">
        <v>-0.1547646</v>
      </c>
      <c r="W5132">
        <v>3.3176360000000002E-2</v>
      </c>
      <c r="X5132">
        <v>0.987394199999999</v>
      </c>
      <c r="Y5132">
        <v>-0.199827</v>
      </c>
      <c r="Z5132">
        <v>8.8925450000000003E-2</v>
      </c>
      <c r="AA5132">
        <v>0.97578759999999998</v>
      </c>
      <c r="AB5132">
        <v>24</v>
      </c>
      <c r="AC5132">
        <v>2.3530000000000002</v>
      </c>
      <c r="AD5132">
        <v>-1.10309387662</v>
      </c>
      <c r="AE5132">
        <v>-11.86491</v>
      </c>
      <c r="AF5132">
        <v>-2.4573517695290401</v>
      </c>
      <c r="AG5132">
        <v>-1.10309387662</v>
      </c>
      <c r="AH5132">
        <v>11.741827554743701</v>
      </c>
      <c r="AI5132">
        <v>95.253774155056107</v>
      </c>
      <c r="AJ5132">
        <v>101.820366168079</v>
      </c>
      <c r="AK5132">
        <v>12.0468214955308</v>
      </c>
    </row>
    <row r="5133" spans="1:37" x14ac:dyDescent="0.2">
      <c r="A5133" t="str">
        <f>"20200111153753838"</f>
        <v>20200111153753838</v>
      </c>
      <c r="B5133" t="str">
        <f>"1578728273828287"</f>
        <v>1578728273828287</v>
      </c>
      <c r="C5133" t="s">
        <v>37</v>
      </c>
      <c r="D5133">
        <v>5.5409369999999996</v>
      </c>
      <c r="E5133">
        <v>0.48120259999999998</v>
      </c>
      <c r="F5133" t="s">
        <v>39</v>
      </c>
      <c r="G5133">
        <v>-299.86020000000002</v>
      </c>
      <c r="H5133" s="1">
        <v>-2.828119E-6</v>
      </c>
      <c r="I5133">
        <v>-23.832619999999999</v>
      </c>
      <c r="J5133">
        <v>-302.15989999999999</v>
      </c>
      <c r="K5133">
        <v>1.1032150000000001</v>
      </c>
      <c r="L5133">
        <v>-12.1152</v>
      </c>
      <c r="M5133">
        <v>-1.2921510000000001E-2</v>
      </c>
      <c r="N5133">
        <v>0</v>
      </c>
      <c r="O5133">
        <v>-0.99982929999999903</v>
      </c>
      <c r="P5133">
        <v>0.14306469999999999</v>
      </c>
      <c r="Q5133">
        <v>1.8563299999999901E-2</v>
      </c>
      <c r="R5133">
        <v>-0.98953969999999902</v>
      </c>
      <c r="S5133">
        <v>0.56716919999999904</v>
      </c>
      <c r="T5133">
        <v>-0.27268109999999901</v>
      </c>
      <c r="U5133">
        <v>-2.9549259999999999</v>
      </c>
      <c r="V5133">
        <v>-0.155721</v>
      </c>
      <c r="W5133">
        <v>3.2205560000000001E-2</v>
      </c>
      <c r="X5133">
        <v>0.98727600000000004</v>
      </c>
      <c r="Y5133">
        <v>-0.2004069</v>
      </c>
      <c r="Z5133">
        <v>9.0130199999999994E-2</v>
      </c>
      <c r="AA5133">
        <v>0.97555809999999998</v>
      </c>
      <c r="AB5133">
        <v>24</v>
      </c>
      <c r="AC5133">
        <v>2.2996999999999699</v>
      </c>
      <c r="AD5133">
        <v>-1.1032178281189999</v>
      </c>
      <c r="AE5133">
        <v>-11.717420000000001</v>
      </c>
      <c r="AF5133">
        <v>-2.4301843820769098</v>
      </c>
      <c r="AG5133">
        <v>-1.1032178281189999</v>
      </c>
      <c r="AH5133">
        <v>11.5878122086541</v>
      </c>
      <c r="AI5133">
        <v>95.323334707147296</v>
      </c>
      <c r="AJ5133">
        <v>101.844358130777</v>
      </c>
      <c r="AK5133">
        <v>11.8911848648569</v>
      </c>
    </row>
    <row r="5134" spans="1:37" x14ac:dyDescent="0.2">
      <c r="A5134" t="str">
        <f>"20200111153753861"</f>
        <v>20200111153753861</v>
      </c>
      <c r="B5134" t="str">
        <f>"1578728273848784"</f>
        <v>1578728273848784</v>
      </c>
      <c r="C5134" t="s">
        <v>37</v>
      </c>
      <c r="D5134">
        <v>5.5397210000000001</v>
      </c>
      <c r="E5134">
        <v>0.480906</v>
      </c>
      <c r="F5134" t="s">
        <v>39</v>
      </c>
      <c r="G5134">
        <v>-299.91669999999999</v>
      </c>
      <c r="H5134" s="1">
        <v>-2.7792730000000001E-6</v>
      </c>
      <c r="I5134">
        <v>-23.923110000000001</v>
      </c>
      <c r="J5134">
        <v>-302.16570000000002</v>
      </c>
      <c r="K5134">
        <v>1.1033200000000001</v>
      </c>
      <c r="L5134">
        <v>-12.352510000000001</v>
      </c>
      <c r="M5134">
        <v>-1.5167369999999999E-2</v>
      </c>
      <c r="N5134">
        <v>0</v>
      </c>
      <c r="O5134">
        <v>-0.99979759999999995</v>
      </c>
      <c r="P5134">
        <v>0.1418114</v>
      </c>
      <c r="Q5134">
        <v>1.8322809999999998E-2</v>
      </c>
      <c r="R5134">
        <v>-0.9897243</v>
      </c>
      <c r="S5134">
        <v>0.56152340000000001</v>
      </c>
      <c r="T5134">
        <v>-0.27615429999999902</v>
      </c>
      <c r="U5134">
        <v>-2.95571899999999</v>
      </c>
      <c r="V5134">
        <v>-0.1566977</v>
      </c>
      <c r="W5134">
        <v>3.1932950000000002E-2</v>
      </c>
      <c r="X5134">
        <v>0.98713019999999996</v>
      </c>
      <c r="Y5134">
        <v>-0.20074159999999999</v>
      </c>
      <c r="Z5134">
        <v>9.1253139999999996E-2</v>
      </c>
      <c r="AA5134">
        <v>0.9753849</v>
      </c>
      <c r="AB5134">
        <v>24</v>
      </c>
      <c r="AC5134">
        <v>2.2490000000000201</v>
      </c>
      <c r="AD5134">
        <v>-1.103322779273</v>
      </c>
      <c r="AE5134">
        <v>-11.570600000000001</v>
      </c>
      <c r="AF5134">
        <v>-2.4031960923109401</v>
      </c>
      <c r="AG5134">
        <v>-1.103322779273</v>
      </c>
      <c r="AH5134">
        <v>11.4349647667119</v>
      </c>
      <c r="AI5134">
        <v>95.394105374497698</v>
      </c>
      <c r="AJ5134">
        <v>101.868673632352</v>
      </c>
      <c r="AK5134">
        <v>11.7367411077055</v>
      </c>
    </row>
    <row r="5135" spans="1:37" x14ac:dyDescent="0.2">
      <c r="A5135" t="str">
        <f>"20200111153753883"</f>
        <v>20200111153753883</v>
      </c>
      <c r="B5135" t="str">
        <f>"1578728273878063"</f>
        <v>1578728273878063</v>
      </c>
      <c r="C5135" t="s">
        <v>37</v>
      </c>
      <c r="D5135">
        <v>5.5615500000000004</v>
      </c>
      <c r="E5135">
        <v>0.48072539999999903</v>
      </c>
      <c r="F5135" t="s">
        <v>39</v>
      </c>
      <c r="G5135">
        <v>-299.93950000000001</v>
      </c>
      <c r="H5135" s="1">
        <v>-2.70129399999999E-6</v>
      </c>
      <c r="I5135">
        <v>-24.09544</v>
      </c>
      <c r="J5135">
        <v>-302.1721</v>
      </c>
      <c r="K5135">
        <v>1.1034010000000001</v>
      </c>
      <c r="L5135">
        <v>-12.595459999999999</v>
      </c>
      <c r="M5135">
        <v>-1.7315580000000001E-2</v>
      </c>
      <c r="N5135">
        <v>0</v>
      </c>
      <c r="O5135">
        <v>-0.9997627</v>
      </c>
      <c r="P5135">
        <v>0.14145269999999999</v>
      </c>
      <c r="Q5135">
        <v>1.6673029999999998E-2</v>
      </c>
      <c r="R5135">
        <v>-0.98980499999999905</v>
      </c>
      <c r="S5135">
        <v>0.56039430000000001</v>
      </c>
      <c r="T5135">
        <v>-0.27773429999999999</v>
      </c>
      <c r="U5135">
        <v>-2.955994</v>
      </c>
      <c r="V5135">
        <v>-0.15847420000000001</v>
      </c>
      <c r="W5135">
        <v>3.0254340000000001E-2</v>
      </c>
      <c r="X5135">
        <v>0.98689950000000004</v>
      </c>
      <c r="Y5135">
        <v>-0.2024611</v>
      </c>
      <c r="Z5135">
        <v>9.1744409999999998E-2</v>
      </c>
      <c r="AA5135">
        <v>0.9749833</v>
      </c>
      <c r="AB5135">
        <v>24</v>
      </c>
      <c r="AC5135">
        <v>2.2325999999999899</v>
      </c>
      <c r="AD5135">
        <v>-1.1034037012939999</v>
      </c>
      <c r="AE5135">
        <v>-11.499980000000001</v>
      </c>
      <c r="AF5135">
        <v>-2.4100303636090699</v>
      </c>
      <c r="AG5135">
        <v>-1.1034037012939999</v>
      </c>
      <c r="AH5135">
        <v>11.358821318370801</v>
      </c>
      <c r="AI5135">
        <v>95.428251593012902</v>
      </c>
      <c r="AJ5135">
        <v>101.97894855506701</v>
      </c>
      <c r="AK5135">
        <v>11.6639859320998</v>
      </c>
    </row>
    <row r="5136" spans="1:37" x14ac:dyDescent="0.2">
      <c r="A5136" t="str">
        <f>"20200111153753905"</f>
        <v>20200111153753905</v>
      </c>
      <c r="B5136" t="str">
        <f>"1578728273898558"</f>
        <v>1578728273898558</v>
      </c>
      <c r="C5136" t="s">
        <v>37</v>
      </c>
      <c r="D5136">
        <v>5.5562829999999996</v>
      </c>
      <c r="E5136">
        <v>0.48072720000000002</v>
      </c>
      <c r="F5136" t="s">
        <v>39</v>
      </c>
      <c r="G5136">
        <v>-300.01909999999998</v>
      </c>
      <c r="H5136" s="1">
        <v>-2.7714700000000001E-6</v>
      </c>
      <c r="I5136">
        <v>-23.962350000000001</v>
      </c>
      <c r="J5136">
        <v>-302.17840000000001</v>
      </c>
      <c r="K5136">
        <v>1.103469</v>
      </c>
      <c r="L5136">
        <v>-12.82635</v>
      </c>
      <c r="M5136">
        <v>-1.9260849999999999E-2</v>
      </c>
      <c r="N5136">
        <v>0</v>
      </c>
      <c r="O5136">
        <v>-0.99972680000000003</v>
      </c>
      <c r="P5136">
        <v>0.14241329999999999</v>
      </c>
      <c r="Q5136">
        <v>1.551017E-2</v>
      </c>
      <c r="R5136">
        <v>-0.9896855</v>
      </c>
      <c r="S5136">
        <v>0.55984500000000004</v>
      </c>
      <c r="T5136">
        <v>-0.28691689999999997</v>
      </c>
      <c r="U5136">
        <v>-2.95571899999999</v>
      </c>
      <c r="V5136">
        <v>-0.16136199999999901</v>
      </c>
      <c r="W5136">
        <v>2.906897E-2</v>
      </c>
      <c r="X5136">
        <v>0.98646710000000004</v>
      </c>
      <c r="Y5136">
        <v>-0.20415520000000001</v>
      </c>
      <c r="Z5136">
        <v>9.4738450000000002E-2</v>
      </c>
      <c r="AA5136">
        <v>0.97434349999999903</v>
      </c>
      <c r="AB5136">
        <v>24</v>
      </c>
      <c r="AC5136">
        <v>2.1593000000000302</v>
      </c>
      <c r="AD5136">
        <v>-1.10347177147</v>
      </c>
      <c r="AE5136">
        <v>-11.135999999999999</v>
      </c>
      <c r="AF5136">
        <v>-2.3511576868028001</v>
      </c>
      <c r="AG5136">
        <v>-1.10347177147</v>
      </c>
      <c r="AH5136">
        <v>10.988355991398601</v>
      </c>
      <c r="AI5136">
        <v>95.608417115372902</v>
      </c>
      <c r="AJ5136">
        <v>102.077357087473</v>
      </c>
      <c r="AK5136">
        <v>11.2911274818925</v>
      </c>
    </row>
    <row r="5137" spans="1:37" x14ac:dyDescent="0.2">
      <c r="A5137" t="str">
        <f>"20200111153753927"</f>
        <v>20200111153753927</v>
      </c>
      <c r="B5137" t="str">
        <f>"1578728273918079"</f>
        <v>1578728273918079</v>
      </c>
      <c r="C5137" t="s">
        <v>37</v>
      </c>
      <c r="D5137">
        <v>5.7454260000000001</v>
      </c>
      <c r="E5137">
        <v>0.4804486</v>
      </c>
      <c r="F5137" t="s">
        <v>39</v>
      </c>
      <c r="G5137">
        <v>-300.04640000000001</v>
      </c>
      <c r="H5137" s="1">
        <v>-2.7460690000000001E-6</v>
      </c>
      <c r="I5137">
        <v>-24.038519999999998</v>
      </c>
      <c r="J5137">
        <v>-302.18529999999998</v>
      </c>
      <c r="K5137">
        <v>1.1035349999999999</v>
      </c>
      <c r="L5137">
        <v>-13.063510000000001</v>
      </c>
      <c r="M5137">
        <v>-2.1162819999999999E-2</v>
      </c>
      <c r="N5137">
        <v>0</v>
      </c>
      <c r="O5137">
        <v>-0.99968840000000003</v>
      </c>
      <c r="P5137">
        <v>0.1431818</v>
      </c>
      <c r="Q5137">
        <v>1.5447260000000001E-2</v>
      </c>
      <c r="R5137">
        <v>-0.98957600000000001</v>
      </c>
      <c r="S5137">
        <v>0.56188959999999999</v>
      </c>
      <c r="T5137">
        <v>-0.29081899999999999</v>
      </c>
      <c r="U5137">
        <v>-2.9549560000000001</v>
      </c>
      <c r="V5137">
        <v>-0.16401009999999999</v>
      </c>
      <c r="W5137">
        <v>2.8984610000000001E-2</v>
      </c>
      <c r="X5137">
        <v>0.98603269999999998</v>
      </c>
      <c r="Y5137">
        <v>-0.2066906</v>
      </c>
      <c r="Z5137">
        <v>9.6001450000000002E-2</v>
      </c>
      <c r="AA5137">
        <v>0.97368509999999997</v>
      </c>
      <c r="AB5137">
        <v>24</v>
      </c>
      <c r="AC5137">
        <v>2.1388999999999698</v>
      </c>
      <c r="AD5137">
        <v>-1.1035377460689999</v>
      </c>
      <c r="AE5137">
        <v>-10.975009999999999</v>
      </c>
      <c r="AF5137">
        <v>-2.3478346554166798</v>
      </c>
      <c r="AG5137">
        <v>-1.1035377460689999</v>
      </c>
      <c r="AH5137">
        <v>10.821873577839799</v>
      </c>
      <c r="AI5137">
        <v>95.690996423488301</v>
      </c>
      <c r="AJ5137">
        <v>102.240775215816</v>
      </c>
      <c r="AK5137">
        <v>11.12848016851</v>
      </c>
    </row>
    <row r="5138" spans="1:37" x14ac:dyDescent="0.2">
      <c r="A5138" t="str">
        <f>"20200111153753949"</f>
        <v>20200111153753949</v>
      </c>
      <c r="B5138" t="str">
        <f>"1578728273938575"</f>
        <v>1578728273938575</v>
      </c>
      <c r="C5138" t="s">
        <v>37</v>
      </c>
      <c r="D5138">
        <v>5.6184339999999997</v>
      </c>
      <c r="E5138">
        <v>0.45528289999999999</v>
      </c>
      <c r="F5138" t="s">
        <v>39</v>
      </c>
      <c r="G5138">
        <v>-300.04289999999997</v>
      </c>
      <c r="H5138" s="1">
        <v>-2.6568329999999898E-6</v>
      </c>
      <c r="I5138">
        <v>-24.24437</v>
      </c>
      <c r="J5138">
        <v>-302.19229999999999</v>
      </c>
      <c r="K5138">
        <v>1.1036109999999999</v>
      </c>
      <c r="L5138">
        <v>-13.292299999999999</v>
      </c>
      <c r="M5138">
        <v>-2.2899360000000001E-2</v>
      </c>
      <c r="N5138">
        <v>0</v>
      </c>
      <c r="O5138">
        <v>-0.99965029999999999</v>
      </c>
      <c r="P5138">
        <v>0.14394279999999901</v>
      </c>
      <c r="Q5138">
        <v>1.5660489999999999E-2</v>
      </c>
      <c r="R5138">
        <v>-0.98946259999999997</v>
      </c>
      <c r="S5138">
        <v>0.56607059999999998</v>
      </c>
      <c r="T5138">
        <v>-0.29158129999999999</v>
      </c>
      <c r="U5138">
        <v>-2.9542540000000002</v>
      </c>
      <c r="V5138">
        <v>-0.1664851</v>
      </c>
      <c r="W5138">
        <v>2.917382E-2</v>
      </c>
      <c r="X5138">
        <v>0.9856123</v>
      </c>
      <c r="Y5138">
        <v>-0.20975659999999999</v>
      </c>
      <c r="Z5138">
        <v>9.6223009999999998E-2</v>
      </c>
      <c r="AA5138">
        <v>0.97300730000000002</v>
      </c>
      <c r="AB5138">
        <v>24</v>
      </c>
      <c r="AC5138">
        <v>2.1494000000000102</v>
      </c>
      <c r="AD5138">
        <v>-1.1036136568329999</v>
      </c>
      <c r="AE5138">
        <v>-10.952070000000001</v>
      </c>
      <c r="AF5138">
        <v>-2.3764181400870399</v>
      </c>
      <c r="AG5138">
        <v>-1.1036136568329999</v>
      </c>
      <c r="AH5138">
        <v>10.7944306981215</v>
      </c>
      <c r="AI5138">
        <v>95.701977689932306</v>
      </c>
      <c r="AJ5138">
        <v>102.41573849654</v>
      </c>
      <c r="AK5138">
        <v>11.107882803515301</v>
      </c>
    </row>
    <row r="5139" spans="1:37" x14ac:dyDescent="0.2">
      <c r="A5139" t="str">
        <f>"20200111153753971"</f>
        <v>20200111153753971</v>
      </c>
      <c r="B5139" t="str">
        <f>"1578728273968831"</f>
        <v>1578728273968831</v>
      </c>
      <c r="C5139" t="s">
        <v>37</v>
      </c>
      <c r="D5139">
        <v>5.6423909999999999</v>
      </c>
      <c r="E5139">
        <v>0.40594049999999998</v>
      </c>
      <c r="F5139" t="s">
        <v>39</v>
      </c>
      <c r="G5139">
        <v>-299.14179999999999</v>
      </c>
      <c r="H5139" s="1">
        <v>-2.4942030000000001E-6</v>
      </c>
      <c r="I5139">
        <v>-24.90802</v>
      </c>
      <c r="J5139">
        <v>-302.2</v>
      </c>
      <c r="K5139">
        <v>1.103691</v>
      </c>
      <c r="L5139">
        <v>-13.5336</v>
      </c>
      <c r="M5139">
        <v>-2.4620510000000002E-2</v>
      </c>
      <c r="N5139">
        <v>0</v>
      </c>
      <c r="O5139">
        <v>-0.99960930000000003</v>
      </c>
      <c r="P5139">
        <v>0.14597209999999999</v>
      </c>
      <c r="Q5139">
        <v>1.5705219999999999E-2</v>
      </c>
      <c r="R5139">
        <v>-0.9891643</v>
      </c>
      <c r="S5139">
        <v>0.76806640000000004</v>
      </c>
      <c r="T5139">
        <v>-0.27786909999999998</v>
      </c>
      <c r="U5139">
        <v>-2.9246219999999998</v>
      </c>
      <c r="V5139">
        <v>-0.17020929999999901</v>
      </c>
      <c r="W5139">
        <v>2.918956E-2</v>
      </c>
      <c r="X5139">
        <v>0.984975499999999</v>
      </c>
      <c r="Y5139">
        <v>-0.27668549999999997</v>
      </c>
      <c r="Z5139">
        <v>9.1162350000000003E-2</v>
      </c>
      <c r="AA5139">
        <v>0.95662669999999905</v>
      </c>
      <c r="AB5139">
        <v>24</v>
      </c>
      <c r="AC5139">
        <v>3.0581999999999998</v>
      </c>
      <c r="AD5139">
        <v>-1.1036934942029999</v>
      </c>
      <c r="AE5139">
        <v>-11.374420000000001</v>
      </c>
      <c r="AF5139">
        <v>-3.30829239457753</v>
      </c>
      <c r="AG5139">
        <v>-1.1036934942029999</v>
      </c>
      <c r="AH5139">
        <v>11.197350441606799</v>
      </c>
      <c r="AI5139">
        <v>95.400003834330093</v>
      </c>
      <c r="AJ5139">
        <v>106.45994097131</v>
      </c>
      <c r="AK5139">
        <v>11.7278981411554</v>
      </c>
    </row>
    <row r="5140" spans="1:37" x14ac:dyDescent="0.2">
      <c r="A5140" t="str">
        <f>"20200111153753994"</f>
        <v>20200111153753994</v>
      </c>
      <c r="B5140" t="str">
        <f>"1578728273988350"</f>
        <v>1578728273988350</v>
      </c>
      <c r="C5140" t="s">
        <v>37</v>
      </c>
      <c r="D5140">
        <v>5.5916959999999998</v>
      </c>
      <c r="E5140">
        <v>0.40526050000000002</v>
      </c>
      <c r="F5140" t="s">
        <v>39</v>
      </c>
      <c r="G5140">
        <v>-297.11630000000002</v>
      </c>
      <c r="H5140" s="1">
        <v>-2.370256E-6</v>
      </c>
      <c r="I5140">
        <v>-26.03444</v>
      </c>
      <c r="J5140">
        <v>-302.20780000000002</v>
      </c>
      <c r="K5140">
        <v>1.103775</v>
      </c>
      <c r="L5140">
        <v>-13.773160000000001</v>
      </c>
      <c r="M5140">
        <v>-2.6211760000000001E-2</v>
      </c>
      <c r="N5140">
        <v>0</v>
      </c>
      <c r="O5140">
        <v>-0.99956880000000004</v>
      </c>
      <c r="P5140">
        <v>0.14977960000000001</v>
      </c>
      <c r="Q5140">
        <v>1.663303E-2</v>
      </c>
      <c r="R5140">
        <v>-0.9885796</v>
      </c>
      <c r="S5140">
        <v>1.1650700000000001</v>
      </c>
      <c r="T5140">
        <v>-0.252946</v>
      </c>
      <c r="U5140">
        <v>-2.86496</v>
      </c>
      <c r="V5140">
        <v>-0.17557239999999999</v>
      </c>
      <c r="W5140">
        <v>3.008181E-2</v>
      </c>
      <c r="X5140">
        <v>0.98400679999999996</v>
      </c>
      <c r="Y5140">
        <v>-0.399615</v>
      </c>
      <c r="Z5140">
        <v>8.1039130000000001E-2</v>
      </c>
      <c r="AA5140">
        <v>0.91309390000000001</v>
      </c>
      <c r="AB5140">
        <v>24</v>
      </c>
      <c r="AC5140">
        <v>5.0914999999999901</v>
      </c>
      <c r="AD5140">
        <v>-1.1037773702560001</v>
      </c>
      <c r="AE5140">
        <v>-12.261279999999999</v>
      </c>
      <c r="AF5140">
        <v>-5.37402298049797</v>
      </c>
      <c r="AG5140">
        <v>-1.1037773702560001</v>
      </c>
      <c r="AH5140">
        <v>12.040374572834301</v>
      </c>
      <c r="AI5140">
        <v>94.785247626574005</v>
      </c>
      <c r="AJ5140">
        <v>114.052809117493</v>
      </c>
      <c r="AK5140">
        <v>13.2313667975823</v>
      </c>
    </row>
    <row r="5141" spans="1:37" x14ac:dyDescent="0.2">
      <c r="A5141" t="str">
        <f>"20200111153754016"</f>
        <v>20200111153754016</v>
      </c>
      <c r="B5141" t="str">
        <f>"1578728274007871"</f>
        <v>1578728274007871</v>
      </c>
      <c r="C5141" t="s">
        <v>37</v>
      </c>
      <c r="D5141">
        <v>5.6284559999999999</v>
      </c>
      <c r="E5141">
        <v>0.4060069</v>
      </c>
      <c r="F5141" t="s">
        <v>39</v>
      </c>
      <c r="G5141">
        <v>-296.99400000000003</v>
      </c>
      <c r="H5141" s="1">
        <v>-2.2420910000000001E-6</v>
      </c>
      <c r="I5141">
        <v>-26.383769999999998</v>
      </c>
      <c r="J5141">
        <v>-302.21550000000002</v>
      </c>
      <c r="K5141">
        <v>1.103866</v>
      </c>
      <c r="L5141">
        <v>-14.0052799999999</v>
      </c>
      <c r="M5141">
        <v>-2.76308E-2</v>
      </c>
      <c r="N5141">
        <v>0</v>
      </c>
      <c r="O5141">
        <v>-0.99953060000000005</v>
      </c>
      <c r="P5141">
        <v>0.15378349999999999</v>
      </c>
      <c r="Q5141">
        <v>1.753366E-2</v>
      </c>
      <c r="R5141">
        <v>-0.98794899999999997</v>
      </c>
      <c r="S5141">
        <v>1.1823429999999999</v>
      </c>
      <c r="T5141">
        <v>-0.25030649999999999</v>
      </c>
      <c r="U5141">
        <v>-2.8597410000000001</v>
      </c>
      <c r="V5141">
        <v>-0.18095899999999901</v>
      </c>
      <c r="W5141">
        <v>3.094162E-2</v>
      </c>
      <c r="X5141">
        <v>0.98300379999999998</v>
      </c>
      <c r="Y5141">
        <v>-0.4062345</v>
      </c>
      <c r="Z5141">
        <v>8.0119239999999994E-2</v>
      </c>
      <c r="AA5141">
        <v>0.91024969999999905</v>
      </c>
      <c r="AB5141">
        <v>24</v>
      </c>
      <c r="AC5141">
        <v>5.22149999999999</v>
      </c>
      <c r="AD5141">
        <v>-1.103868242091</v>
      </c>
      <c r="AE5141">
        <v>-12.378489999999999</v>
      </c>
      <c r="AF5141">
        <v>-5.5242683484104997</v>
      </c>
      <c r="AG5141">
        <v>-1.103868242091</v>
      </c>
      <c r="AH5141">
        <v>12.147466610486401</v>
      </c>
      <c r="AI5141">
        <v>94.728751555192801</v>
      </c>
      <c r="AJ5141">
        <v>114.454479430047</v>
      </c>
      <c r="AK5141">
        <v>13.3901833794026</v>
      </c>
    </row>
    <row r="5142" spans="1:37" x14ac:dyDescent="0.2">
      <c r="A5142" t="str">
        <f>"20200111153754039"</f>
        <v>20200111153754039</v>
      </c>
      <c r="B5142" t="str">
        <f>"1578728274028368"</f>
        <v>1578728274028368</v>
      </c>
      <c r="C5142" t="s">
        <v>37</v>
      </c>
      <c r="D5142">
        <v>5.6154479999999998</v>
      </c>
      <c r="E5142">
        <v>0.4063582</v>
      </c>
      <c r="F5142" t="s">
        <v>39</v>
      </c>
      <c r="G5142">
        <v>-296.77330000000001</v>
      </c>
      <c r="H5142" s="1">
        <v>-1.9875929999999998E-6</v>
      </c>
      <c r="I5142">
        <v>-27.068290000000001</v>
      </c>
      <c r="J5142">
        <v>-302.22359999999998</v>
      </c>
      <c r="K5142">
        <v>1.1039600000000001</v>
      </c>
      <c r="L5142">
        <v>-14.238250000000001</v>
      </c>
      <c r="M5142">
        <v>-2.8922139999999999E-2</v>
      </c>
      <c r="N5142">
        <v>0</v>
      </c>
      <c r="O5142">
        <v>-0.99949409999999905</v>
      </c>
      <c r="P5142">
        <v>0.15764829999999999</v>
      </c>
      <c r="Q5142">
        <v>1.7836390000000001E-2</v>
      </c>
      <c r="R5142">
        <v>-0.98733459999999995</v>
      </c>
      <c r="S5142">
        <v>1.1897279999999999</v>
      </c>
      <c r="T5142">
        <v>-0.24131449999999999</v>
      </c>
      <c r="U5142">
        <v>-2.8556819999999998</v>
      </c>
      <c r="V5142">
        <v>-0.18608060000000001</v>
      </c>
      <c r="W5142">
        <v>3.1199939999999999E-2</v>
      </c>
      <c r="X5142">
        <v>0.982039</v>
      </c>
      <c r="Y5142">
        <v>-0.40996270000000001</v>
      </c>
      <c r="Z5142">
        <v>7.7252619999999994E-2</v>
      </c>
      <c r="AA5142">
        <v>0.90882489999999905</v>
      </c>
      <c r="AB5142">
        <v>24</v>
      </c>
      <c r="AC5142">
        <v>5.4502999999999702</v>
      </c>
      <c r="AD5142">
        <v>-1.103961987593</v>
      </c>
      <c r="AE5142">
        <v>-12.83004</v>
      </c>
      <c r="AF5142">
        <v>-5.7828546697844496</v>
      </c>
      <c r="AG5142">
        <v>-1.103961987593</v>
      </c>
      <c r="AH5142">
        <v>12.588072342856799</v>
      </c>
      <c r="AI5142">
        <v>94.556394359628101</v>
      </c>
      <c r="AJ5142">
        <v>114.673652647994</v>
      </c>
      <c r="AK5142">
        <v>13.8967516172268</v>
      </c>
    </row>
    <row r="5143" spans="1:37" x14ac:dyDescent="0.2">
      <c r="A5143" t="str">
        <f>"20200111153754061"</f>
        <v>20200111153754061</v>
      </c>
      <c r="B5143" t="str">
        <f>"1578728274047887"</f>
        <v>1578728274047887</v>
      </c>
      <c r="C5143" t="s">
        <v>37</v>
      </c>
      <c r="D5143">
        <v>5.6844239999999999</v>
      </c>
      <c r="E5143">
        <v>0.40672839999999999</v>
      </c>
      <c r="F5143" t="s">
        <v>39</v>
      </c>
      <c r="G5143">
        <v>-296.65499999999997</v>
      </c>
      <c r="H5143" s="1">
        <v>-1.866107E-6</v>
      </c>
      <c r="I5143">
        <v>-27.483629999999899</v>
      </c>
      <c r="J5143">
        <v>-302.23180000000002</v>
      </c>
      <c r="K5143">
        <v>1.10406</v>
      </c>
      <c r="L5143">
        <v>-14.471920000000001</v>
      </c>
      <c r="M5143">
        <v>-3.0072870000000002E-2</v>
      </c>
      <c r="N5143">
        <v>0</v>
      </c>
      <c r="O5143">
        <v>-0.99946019999999902</v>
      </c>
      <c r="P5143">
        <v>0.1605723</v>
      </c>
      <c r="Q5143">
        <v>1.7734840000000002E-2</v>
      </c>
      <c r="R5143">
        <v>-0.98686499999999999</v>
      </c>
      <c r="S5143">
        <v>1.198761</v>
      </c>
      <c r="T5143">
        <v>-0.2376537</v>
      </c>
      <c r="U5143">
        <v>-2.8513790000000001</v>
      </c>
      <c r="V5143">
        <v>-0.1901272</v>
      </c>
      <c r="W5143">
        <v>3.105219E-2</v>
      </c>
      <c r="X5143">
        <v>0.98126829999999998</v>
      </c>
      <c r="Y5143">
        <v>-0.4139795</v>
      </c>
      <c r="Z5143">
        <v>7.6072539999999994E-2</v>
      </c>
      <c r="AA5143">
        <v>0.90710190000000002</v>
      </c>
      <c r="AB5143">
        <v>24</v>
      </c>
      <c r="AC5143">
        <v>5.5768000000000404</v>
      </c>
      <c r="AD5143">
        <v>-1.1040618661070001</v>
      </c>
      <c r="AE5143">
        <v>-13.0117099999999</v>
      </c>
      <c r="AF5143">
        <v>-5.9295448314585997</v>
      </c>
      <c r="AG5143">
        <v>-1.1040618661070001</v>
      </c>
      <c r="AH5143">
        <v>12.760483996735299</v>
      </c>
      <c r="AI5143">
        <v>94.486483918081404</v>
      </c>
      <c r="AJ5143">
        <v>114.92336231420801</v>
      </c>
      <c r="AK5143">
        <v>14.114120813688899</v>
      </c>
    </row>
    <row r="5144" spans="1:37" x14ac:dyDescent="0.2">
      <c r="A5144" t="str">
        <f>"20200111153754083"</f>
        <v>20200111153754083</v>
      </c>
      <c r="B5144" t="str">
        <f>"1578728274078143"</f>
        <v>1578728274078143</v>
      </c>
      <c r="C5144" t="s">
        <v>37</v>
      </c>
      <c r="D5144">
        <v>5.5847730000000002</v>
      </c>
      <c r="E5144">
        <v>0.40707159999999998</v>
      </c>
      <c r="F5144" t="s">
        <v>38</v>
      </c>
      <c r="G5144">
        <v>-301.83690000000001</v>
      </c>
      <c r="H5144">
        <v>1.0271429999999999</v>
      </c>
      <c r="I5144">
        <v>-15.405950000000001</v>
      </c>
      <c r="J5144">
        <v>-302.24009999999998</v>
      </c>
      <c r="K5144">
        <v>1.10415</v>
      </c>
      <c r="L5144">
        <v>-14.706629999999899</v>
      </c>
      <c r="M5144">
        <v>-3.1097679999999999E-2</v>
      </c>
      <c r="N5144">
        <v>0</v>
      </c>
      <c r="O5144">
        <v>-0.99942889999999995</v>
      </c>
      <c r="P5144">
        <v>0.1630511</v>
      </c>
      <c r="Q5144">
        <v>1.8433430000000001E-2</v>
      </c>
      <c r="R5144">
        <v>-0.98644569999999998</v>
      </c>
      <c r="S5144">
        <v>1.204315</v>
      </c>
      <c r="T5144">
        <v>-0.23454920000000001</v>
      </c>
      <c r="U5144">
        <v>-2.8482059999999998</v>
      </c>
      <c r="V5144">
        <v>-0.1936032</v>
      </c>
      <c r="W5144">
        <v>3.1707520000000003E-2</v>
      </c>
      <c r="X5144">
        <v>0.98056739999999998</v>
      </c>
      <c r="Y5144">
        <v>-0.41680230000000001</v>
      </c>
      <c r="Z5144">
        <v>7.5080019999999997E-2</v>
      </c>
      <c r="AA5144">
        <v>0.90589120000000001</v>
      </c>
      <c r="AB5144">
        <v>24</v>
      </c>
      <c r="AC5144">
        <v>0.40319999999996903</v>
      </c>
      <c r="AD5144">
        <v>-7.7006999999999798E-2</v>
      </c>
      <c r="AE5144">
        <v>-0.69932000000000105</v>
      </c>
      <c r="AF5144">
        <v>-0.42092346072058401</v>
      </c>
      <c r="AG5144">
        <v>-7.7006999999999798E-2</v>
      </c>
      <c r="AH5144">
        <v>0.68025138349097103</v>
      </c>
      <c r="AI5144">
        <v>95.4986279375903</v>
      </c>
      <c r="AJ5144">
        <v>121.748241752746</v>
      </c>
      <c r="AK5144">
        <v>0.80364705099650102</v>
      </c>
    </row>
    <row r="5145" spans="1:37" x14ac:dyDescent="0.2">
      <c r="A5145" t="str">
        <f>"20200111153754106"</f>
        <v>20200111153754106</v>
      </c>
      <c r="B5145" t="str">
        <f>"1578728274098639"</f>
        <v>1578728274098639</v>
      </c>
      <c r="C5145" t="s">
        <v>37</v>
      </c>
      <c r="D5145">
        <v>5.6565539999999999</v>
      </c>
      <c r="E5145">
        <v>0.40732360000000001</v>
      </c>
      <c r="F5145" t="s">
        <v>38</v>
      </c>
      <c r="G5145">
        <v>-301.84589999999997</v>
      </c>
      <c r="H5145">
        <v>1.0264279999999999</v>
      </c>
      <c r="I5145">
        <v>-15.635479999999999</v>
      </c>
      <c r="J5145">
        <v>-302.24889999999999</v>
      </c>
      <c r="K5145">
        <v>1.104222</v>
      </c>
      <c r="L5145">
        <v>-14.94806</v>
      </c>
      <c r="M5145">
        <v>-3.205181E-2</v>
      </c>
      <c r="N5145">
        <v>0</v>
      </c>
      <c r="O5145">
        <v>-0.99939859999999903</v>
      </c>
      <c r="P5145">
        <v>0.16541589999999901</v>
      </c>
      <c r="Q5145">
        <v>1.8354539999999999E-2</v>
      </c>
      <c r="R5145">
        <v>-0.98605299999999996</v>
      </c>
      <c r="S5145">
        <v>1.2083740000000001</v>
      </c>
      <c r="T5145">
        <v>-0.238142299999999</v>
      </c>
      <c r="U5145">
        <v>-2.8459469999999998</v>
      </c>
      <c r="V5145">
        <v>-0.19689589999999901</v>
      </c>
      <c r="W5145">
        <v>3.1592670000000003E-2</v>
      </c>
      <c r="X5145">
        <v>0.97991530000000004</v>
      </c>
      <c r="Y5145">
        <v>-0.41898739999999901</v>
      </c>
      <c r="Z5145">
        <v>7.621414E-2</v>
      </c>
      <c r="AA5145">
        <v>0.90478780000000003</v>
      </c>
      <c r="AB5145">
        <v>23</v>
      </c>
      <c r="AC5145">
        <v>0.40300000000002001</v>
      </c>
      <c r="AD5145">
        <v>-7.7793999999999905E-2</v>
      </c>
      <c r="AE5145">
        <v>-0.68741999999999903</v>
      </c>
      <c r="AF5145">
        <v>-0.420816985840758</v>
      </c>
      <c r="AG5145">
        <v>-7.7793999999999905E-2</v>
      </c>
      <c r="AH5145">
        <v>0.66778393296196403</v>
      </c>
      <c r="AI5145">
        <v>95.628810172875902</v>
      </c>
      <c r="AJ5145">
        <v>122.217874475488</v>
      </c>
      <c r="AK5145">
        <v>0.79314199430508603</v>
      </c>
    </row>
    <row r="5146" spans="1:37" x14ac:dyDescent="0.2">
      <c r="A5146" t="str">
        <f>"20200111153754151"</f>
        <v>20200111153754151</v>
      </c>
      <c r="B5146" t="str">
        <f>"1578728274148414"</f>
        <v>1578728274148414</v>
      </c>
      <c r="C5146" t="s">
        <v>37</v>
      </c>
      <c r="D5146">
        <v>5.5743119999999999</v>
      </c>
      <c r="E5146">
        <v>0.37630219999999998</v>
      </c>
      <c r="F5146" t="s">
        <v>38</v>
      </c>
      <c r="G5146">
        <v>-301.84539999999998</v>
      </c>
      <c r="H5146">
        <v>1.0243739999999999</v>
      </c>
      <c r="I5146">
        <v>-15.89429</v>
      </c>
      <c r="J5146">
        <v>-302.26609999999999</v>
      </c>
      <c r="K5146">
        <v>1.1043129999999901</v>
      </c>
      <c r="L5146">
        <v>-15.414149999999999</v>
      </c>
      <c r="M5146">
        <v>-3.3698440000000003E-2</v>
      </c>
      <c r="N5146">
        <v>0</v>
      </c>
      <c r="O5146">
        <v>-0.99934460000000003</v>
      </c>
      <c r="P5146">
        <v>0.17063919999999999</v>
      </c>
      <c r="Q5146">
        <v>1.9826949999999999E-2</v>
      </c>
      <c r="R5146">
        <v>-0.98513419999999896</v>
      </c>
      <c r="S5146">
        <v>1.212585</v>
      </c>
      <c r="T5146">
        <v>-0.23994879999999999</v>
      </c>
      <c r="U5146">
        <v>-2.8434750000000002</v>
      </c>
      <c r="V5146">
        <v>-0.20370369999999999</v>
      </c>
      <c r="W5146">
        <v>3.3010989999999997E-2</v>
      </c>
      <c r="X5146">
        <v>0.97847589999999995</v>
      </c>
      <c r="Y5146">
        <v>-0.4218808</v>
      </c>
      <c r="Z5146">
        <v>7.6767710000000003E-2</v>
      </c>
      <c r="AA5146">
        <v>0.90339539999999996</v>
      </c>
      <c r="AB5146">
        <v>23</v>
      </c>
      <c r="AC5146">
        <v>0.42070000000001001</v>
      </c>
      <c r="AD5146">
        <v>-7.9938999999999899E-2</v>
      </c>
      <c r="AE5146">
        <v>-0.48014000000000001</v>
      </c>
      <c r="AF5146">
        <v>-0.42990125152467801</v>
      </c>
      <c r="AG5146">
        <v>-7.9938999999999899E-2</v>
      </c>
      <c r="AH5146">
        <v>0.458499490094808</v>
      </c>
      <c r="AI5146">
        <v>97.248314357580199</v>
      </c>
      <c r="AJ5146">
        <v>133.15624563774401</v>
      </c>
      <c r="AK5146">
        <v>0.63358275876217096</v>
      </c>
    </row>
    <row r="5147" spans="1:37" x14ac:dyDescent="0.2">
      <c r="A5147" t="str">
        <f>"20200111153754172"</f>
        <v>20200111153754172</v>
      </c>
      <c r="B5147" t="str">
        <f>"1578728274167934"</f>
        <v>1578728274167934</v>
      </c>
      <c r="C5147" t="s">
        <v>37</v>
      </c>
      <c r="D5147">
        <v>5.5903239999999998</v>
      </c>
      <c r="E5147">
        <v>0.37751469999999998</v>
      </c>
      <c r="F5147" t="s">
        <v>38</v>
      </c>
      <c r="G5147">
        <v>-301.83359999999999</v>
      </c>
      <c r="H5147">
        <v>1.0186109999999999</v>
      </c>
      <c r="I5147">
        <v>-16.23865</v>
      </c>
      <c r="J5147">
        <v>-302.2749</v>
      </c>
      <c r="K5147">
        <v>1.104339</v>
      </c>
      <c r="L5147">
        <v>-15.645810000000001</v>
      </c>
      <c r="M5147">
        <v>-3.4470689999999998E-2</v>
      </c>
      <c r="N5147">
        <v>0</v>
      </c>
      <c r="O5147">
        <v>-0.9993185</v>
      </c>
      <c r="P5147">
        <v>0.1728162</v>
      </c>
      <c r="Q5147">
        <v>2.2095E-2</v>
      </c>
      <c r="R5147">
        <v>-0.98470659999999899</v>
      </c>
      <c r="S5147">
        <v>1.46756</v>
      </c>
      <c r="T5147">
        <v>-0.29073539999999998</v>
      </c>
      <c r="U5147">
        <v>-2.7969059999999999</v>
      </c>
      <c r="V5147">
        <v>-0.20661940000000001</v>
      </c>
      <c r="W5147">
        <v>3.5255109999999999E-2</v>
      </c>
      <c r="X5147">
        <v>0.97778600000000004</v>
      </c>
      <c r="Y5147">
        <v>-0.492953799999999</v>
      </c>
      <c r="Z5147">
        <v>9.0770470000000006E-2</v>
      </c>
      <c r="AA5147">
        <v>0.86530759999999995</v>
      </c>
      <c r="AB5147">
        <v>23</v>
      </c>
      <c r="AC5147">
        <v>0.44130000000001202</v>
      </c>
      <c r="AD5147">
        <v>-8.5727999999999804E-2</v>
      </c>
      <c r="AE5147">
        <v>-0.59283999999999804</v>
      </c>
      <c r="AF5147">
        <v>-0.45534828242255798</v>
      </c>
      <c r="AG5147">
        <v>-8.5727999999999804E-2</v>
      </c>
      <c r="AH5147">
        <v>0.56961016626627203</v>
      </c>
      <c r="AI5147">
        <v>96.704761423386302</v>
      </c>
      <c r="AJ5147">
        <v>128.63895780187201</v>
      </c>
      <c r="AK5147">
        <v>0.734266361617543</v>
      </c>
    </row>
    <row r="5148" spans="1:37" x14ac:dyDescent="0.2">
      <c r="A5148" t="str">
        <f>"20200111153754195"</f>
        <v>20200111153754195</v>
      </c>
      <c r="B5148" t="str">
        <f>"1578728274188430"</f>
        <v>1578728274188430</v>
      </c>
      <c r="C5148" t="s">
        <v>37</v>
      </c>
      <c r="D5148">
        <v>5.5441919999999998</v>
      </c>
      <c r="E5148">
        <v>0.37837199999999999</v>
      </c>
      <c r="F5148" t="s">
        <v>38</v>
      </c>
      <c r="G5148">
        <v>-301.8537</v>
      </c>
      <c r="H5148">
        <v>1.0210859999999999</v>
      </c>
      <c r="I5148">
        <v>-16.450340000000001</v>
      </c>
      <c r="J5148">
        <v>-302.28399999999999</v>
      </c>
      <c r="K5148">
        <v>1.104347</v>
      </c>
      <c r="L5148">
        <v>-15.88214</v>
      </c>
      <c r="M5148">
        <v>-3.5258209999999998E-2</v>
      </c>
      <c r="N5148">
        <v>0</v>
      </c>
      <c r="O5148">
        <v>-0.99929120000000005</v>
      </c>
      <c r="P5148">
        <v>0.1746152</v>
      </c>
      <c r="Q5148">
        <v>2.438272E-2</v>
      </c>
      <c r="R5148">
        <v>-0.98433490000000001</v>
      </c>
      <c r="S5148">
        <v>1.463654</v>
      </c>
      <c r="T5148">
        <v>-0.2893519</v>
      </c>
      <c r="U5148">
        <v>-2.7962039999999999</v>
      </c>
      <c r="V5148">
        <v>-0.20917230000000001</v>
      </c>
      <c r="W5148">
        <v>3.752192E-2</v>
      </c>
      <c r="X5148">
        <v>0.97715869999999905</v>
      </c>
      <c r="Y5148">
        <v>-0.4927956</v>
      </c>
      <c r="Z5148">
        <v>9.0390070000000003E-2</v>
      </c>
      <c r="AA5148">
        <v>0.86543749999999997</v>
      </c>
      <c r="AB5148">
        <v>23</v>
      </c>
      <c r="AC5148">
        <v>0.43029999999998803</v>
      </c>
      <c r="AD5148">
        <v>-8.3260999999999794E-2</v>
      </c>
      <c r="AE5148">
        <v>-0.56820000000000004</v>
      </c>
      <c r="AF5148">
        <v>-0.44400883511894601</v>
      </c>
      <c r="AG5148">
        <v>-8.3260999999999794E-2</v>
      </c>
      <c r="AH5148">
        <v>0.54523336415568002</v>
      </c>
      <c r="AI5148">
        <v>96.753007934503003</v>
      </c>
      <c r="AJ5148">
        <v>129.15752530106201</v>
      </c>
      <c r="AK5148">
        <v>0.70806472950797705</v>
      </c>
    </row>
    <row r="5149" spans="1:37" x14ac:dyDescent="0.2">
      <c r="A5149" t="str">
        <f>"20200111153754216"</f>
        <v>20200111153754216</v>
      </c>
      <c r="B5149" t="str">
        <f>"1578728274207951"</f>
        <v>1578728274207951</v>
      </c>
      <c r="C5149" t="s">
        <v>37</v>
      </c>
      <c r="D5149">
        <v>5.6640949999999997</v>
      </c>
      <c r="E5149">
        <v>0.3792913</v>
      </c>
      <c r="F5149" t="s">
        <v>38</v>
      </c>
      <c r="G5149">
        <v>-301.87610000000001</v>
      </c>
      <c r="H5149">
        <v>1.024748</v>
      </c>
      <c r="I5149">
        <v>-16.66226</v>
      </c>
      <c r="J5149">
        <v>-302.29289999999997</v>
      </c>
      <c r="K5149">
        <v>1.1043419999999999</v>
      </c>
      <c r="L5149">
        <v>-16.1098</v>
      </c>
      <c r="M5149">
        <v>-3.602822E-2</v>
      </c>
      <c r="N5149">
        <v>0</v>
      </c>
      <c r="O5149">
        <v>-0.99926409999999999</v>
      </c>
      <c r="P5149">
        <v>0.1772599</v>
      </c>
      <c r="Q5149">
        <v>2.4747689999999999E-2</v>
      </c>
      <c r="R5149">
        <v>-0.98385299999999998</v>
      </c>
      <c r="S5149">
        <v>1.46167</v>
      </c>
      <c r="T5149">
        <v>-0.28524119999999997</v>
      </c>
      <c r="U5149">
        <v>-2.7955019999999999</v>
      </c>
      <c r="V5149">
        <v>-0.21254970000000001</v>
      </c>
      <c r="W5149">
        <v>3.7863090000000002E-2</v>
      </c>
      <c r="X5149">
        <v>0.97641639999999996</v>
      </c>
      <c r="Y5149">
        <v>-0.49312460000000002</v>
      </c>
      <c r="Z5149">
        <v>8.9138220000000004E-2</v>
      </c>
      <c r="AA5149">
        <v>0.86537999999999904</v>
      </c>
      <c r="AB5149">
        <v>23</v>
      </c>
      <c r="AC5149">
        <v>0.41679999999996598</v>
      </c>
      <c r="AD5149">
        <v>-7.9593999999999901E-2</v>
      </c>
      <c r="AE5149">
        <v>-0.55245999999999995</v>
      </c>
      <c r="AF5149">
        <v>-0.43073755753992699</v>
      </c>
      <c r="AG5149">
        <v>-7.9593999999999901E-2</v>
      </c>
      <c r="AH5149">
        <v>0.53007176633980002</v>
      </c>
      <c r="AI5149">
        <v>96.646876762875394</v>
      </c>
      <c r="AJ5149">
        <v>129.09739068606001</v>
      </c>
      <c r="AK5149">
        <v>0.68763807761209494</v>
      </c>
    </row>
    <row r="5150" spans="1:37" x14ac:dyDescent="0.2">
      <c r="A5150" t="str">
        <f>"20200111153754240"</f>
        <v>20200111153754240</v>
      </c>
      <c r="B5150" t="str">
        <f>"1578728274228447"</f>
        <v>1578728274228447</v>
      </c>
      <c r="C5150" t="s">
        <v>37</v>
      </c>
      <c r="D5150">
        <v>5.7407050000000002</v>
      </c>
      <c r="E5150">
        <v>0.37968879999999999</v>
      </c>
      <c r="F5150" t="s">
        <v>38</v>
      </c>
      <c r="G5150">
        <v>-301.89350000000002</v>
      </c>
      <c r="H5150">
        <v>1.0272969999999999</v>
      </c>
      <c r="I5150">
        <v>-16.873100000000001</v>
      </c>
      <c r="J5150">
        <v>-302.30220000000003</v>
      </c>
      <c r="K5150">
        <v>1.104317</v>
      </c>
      <c r="L5150">
        <v>-16.343989999999899</v>
      </c>
      <c r="M5150">
        <v>-3.6836649999999999E-2</v>
      </c>
      <c r="N5150">
        <v>0</v>
      </c>
      <c r="O5150">
        <v>-0.99923499999999998</v>
      </c>
      <c r="P5150">
        <v>0.17962239999999999</v>
      </c>
      <c r="Q5150">
        <v>2.4648369999999999E-2</v>
      </c>
      <c r="R5150">
        <v>-0.98342700000000005</v>
      </c>
      <c r="S5150">
        <v>1.4620359999999999</v>
      </c>
      <c r="T5150">
        <v>-0.28191830000000001</v>
      </c>
      <c r="U5150">
        <v>-2.7929080000000002</v>
      </c>
      <c r="V5150">
        <v>-0.21568490000000001</v>
      </c>
      <c r="W5150">
        <v>3.7734429999999999E-2</v>
      </c>
      <c r="X5150">
        <v>0.97573359999999998</v>
      </c>
      <c r="Y5150">
        <v>-0.49428729999999999</v>
      </c>
      <c r="Z5150">
        <v>8.8143139999999995E-2</v>
      </c>
      <c r="AA5150">
        <v>0.86481839999999999</v>
      </c>
      <c r="AB5150">
        <v>23</v>
      </c>
      <c r="AC5150">
        <v>0.40870000000001</v>
      </c>
      <c r="AD5150">
        <v>-7.7020000000000005E-2</v>
      </c>
      <c r="AE5150">
        <v>-0.52911000000000197</v>
      </c>
      <c r="AF5150">
        <v>-0.42231037425518603</v>
      </c>
      <c r="AG5150">
        <v>-7.7020000000000005E-2</v>
      </c>
      <c r="AH5150">
        <v>0.50696640281732097</v>
      </c>
      <c r="AI5150">
        <v>96.657948428970201</v>
      </c>
      <c r="AJ5150">
        <v>129.794789049211</v>
      </c>
      <c r="AK5150">
        <v>0.66429892833655102</v>
      </c>
    </row>
    <row r="5151" spans="1:37" x14ac:dyDescent="0.2">
      <c r="A5151" t="str">
        <f>"20200111153754262"</f>
        <v>20200111153754262</v>
      </c>
      <c r="B5151" t="str">
        <f>"1578728274258704"</f>
        <v>1578728274258704</v>
      </c>
      <c r="C5151" t="s">
        <v>37</v>
      </c>
      <c r="D5151">
        <v>5.5857239999999999</v>
      </c>
      <c r="E5151">
        <v>0.38064819999999999</v>
      </c>
      <c r="F5151" t="s">
        <v>38</v>
      </c>
      <c r="G5151">
        <v>-301.81369999999998</v>
      </c>
      <c r="H5151">
        <v>1.011787</v>
      </c>
      <c r="I5151">
        <v>-17.274079999999898</v>
      </c>
      <c r="J5151">
        <v>-302.31180000000001</v>
      </c>
      <c r="K5151">
        <v>1.1042969999999901</v>
      </c>
      <c r="L5151">
        <v>-16.577359999999999</v>
      </c>
      <c r="M5151">
        <v>-3.7653850000000003E-2</v>
      </c>
      <c r="N5151">
        <v>0</v>
      </c>
      <c r="O5151">
        <v>-0.99920499999999901</v>
      </c>
      <c r="P5151">
        <v>0.18145310000000001</v>
      </c>
      <c r="Q5151">
        <v>2.4517190000000001E-2</v>
      </c>
      <c r="R5151">
        <v>-0.98309400000000002</v>
      </c>
      <c r="S5151">
        <v>1.4651179999999999</v>
      </c>
      <c r="T5151">
        <v>-0.27755089999999999</v>
      </c>
      <c r="U5151">
        <v>-2.789917</v>
      </c>
      <c r="V5151">
        <v>-0.21829889999999999</v>
      </c>
      <c r="W5151">
        <v>3.7569089999999999E-2</v>
      </c>
      <c r="X5151">
        <v>0.97515849999999904</v>
      </c>
      <c r="Y5151">
        <v>-0.49618119999999999</v>
      </c>
      <c r="Z5151">
        <v>8.6796040000000005E-2</v>
      </c>
      <c r="AA5151">
        <v>0.86386949999999996</v>
      </c>
      <c r="AB5151">
        <v>23</v>
      </c>
      <c r="AC5151">
        <v>0.49810000000002203</v>
      </c>
      <c r="AD5151">
        <v>-9.2509999999999801E-2</v>
      </c>
      <c r="AE5151">
        <v>-0.69671999999999501</v>
      </c>
      <c r="AF5151">
        <v>-0.51794027292886102</v>
      </c>
      <c r="AG5151">
        <v>-9.2509999999999801E-2</v>
      </c>
      <c r="AH5151">
        <v>0.66965587766544898</v>
      </c>
      <c r="AI5151">
        <v>96.236235686255796</v>
      </c>
      <c r="AJ5151">
        <v>127.71988785147801</v>
      </c>
      <c r="AK5151">
        <v>0.85162152445408901</v>
      </c>
    </row>
    <row r="5152" spans="1:37" x14ac:dyDescent="0.2">
      <c r="A5152" t="str">
        <f>"20200111153754285"</f>
        <v>20200111153754285</v>
      </c>
      <c r="B5152" t="str">
        <f>"1578728274278222"</f>
        <v>1578728274278222</v>
      </c>
      <c r="C5152" t="s">
        <v>37</v>
      </c>
      <c r="D5152">
        <v>5.6005880000000001</v>
      </c>
      <c r="E5152">
        <v>0.38107970000000002</v>
      </c>
      <c r="F5152" t="s">
        <v>38</v>
      </c>
      <c r="G5152">
        <v>-301.8356</v>
      </c>
      <c r="H5152">
        <v>1.014964</v>
      </c>
      <c r="I5152">
        <v>-17.485320000000002</v>
      </c>
      <c r="J5152">
        <v>-302.3218</v>
      </c>
      <c r="K5152">
        <v>1.1042879999999999</v>
      </c>
      <c r="L5152">
        <v>-16.81503</v>
      </c>
      <c r="M5152">
        <v>-3.8488750000000002E-2</v>
      </c>
      <c r="N5152">
        <v>0</v>
      </c>
      <c r="O5152">
        <v>-0.99917350000000005</v>
      </c>
      <c r="P5152">
        <v>0.18193110000000001</v>
      </c>
      <c r="Q5152">
        <v>2.4139150000000002E-2</v>
      </c>
      <c r="R5152">
        <v>-0.98301479999999997</v>
      </c>
      <c r="S5152">
        <v>1.4630129999999999</v>
      </c>
      <c r="T5152">
        <v>-0.2743526</v>
      </c>
      <c r="U5152">
        <v>-2.7883909999999998</v>
      </c>
      <c r="V5152">
        <v>-0.21958820000000001</v>
      </c>
      <c r="W5152">
        <v>3.7155489999999999E-2</v>
      </c>
      <c r="X5152">
        <v>0.97488490000000005</v>
      </c>
      <c r="Y5152">
        <v>-0.49662729999999999</v>
      </c>
      <c r="Z5152">
        <v>8.5843499999999906E-2</v>
      </c>
      <c r="AA5152">
        <v>0.86370840000000004</v>
      </c>
      <c r="AB5152">
        <v>23</v>
      </c>
      <c r="AC5152">
        <v>0.48619999999999602</v>
      </c>
      <c r="AD5152">
        <v>-8.9323999999999903E-2</v>
      </c>
      <c r="AE5152">
        <v>-0.67029000000000105</v>
      </c>
      <c r="AF5152">
        <v>-0.50575538195754</v>
      </c>
      <c r="AG5152">
        <v>-8.9323999999999903E-2</v>
      </c>
      <c r="AH5152">
        <v>0.64358941490265797</v>
      </c>
      <c r="AI5152">
        <v>96.227871073140406</v>
      </c>
      <c r="AJ5152">
        <v>128.161518920943</v>
      </c>
      <c r="AK5152">
        <v>0.823392141284918</v>
      </c>
    </row>
    <row r="5153" spans="1:37" x14ac:dyDescent="0.2">
      <c r="A5153" t="str">
        <f>"20200111153754307"</f>
        <v>20200111153754307</v>
      </c>
      <c r="B5153" t="str">
        <f>"1578728274298719"</f>
        <v>1578728274298719</v>
      </c>
      <c r="C5153" t="s">
        <v>37</v>
      </c>
      <c r="D5153">
        <v>5.5949939999999998</v>
      </c>
      <c r="E5153">
        <v>0.38134240000000003</v>
      </c>
      <c r="F5153" t="s">
        <v>38</v>
      </c>
      <c r="G5153">
        <v>-301.86009999999999</v>
      </c>
      <c r="H5153">
        <v>1.0156339999999999</v>
      </c>
      <c r="I5153">
        <v>-17.696809999999999</v>
      </c>
      <c r="J5153">
        <v>-302.33179999999999</v>
      </c>
      <c r="K5153">
        <v>1.1042959999999999</v>
      </c>
      <c r="L5153">
        <v>-17.049009999999999</v>
      </c>
      <c r="M5153">
        <v>-3.9286399999999999E-2</v>
      </c>
      <c r="N5153">
        <v>0</v>
      </c>
      <c r="O5153">
        <v>-0.99914319999999901</v>
      </c>
      <c r="P5153">
        <v>0.1827665</v>
      </c>
      <c r="Q5153">
        <v>2.4444649999999998E-2</v>
      </c>
      <c r="R5153">
        <v>-0.98285270000000002</v>
      </c>
      <c r="S5153">
        <v>1.460175</v>
      </c>
      <c r="T5153">
        <v>-0.28035559999999998</v>
      </c>
      <c r="U5153">
        <v>-2.7884829999999998</v>
      </c>
      <c r="V5153">
        <v>-0.22119559999999999</v>
      </c>
      <c r="W5153">
        <v>3.7414700000000002E-2</v>
      </c>
      <c r="X5153">
        <v>0.97451149999999997</v>
      </c>
      <c r="Y5153">
        <v>-0.49654160000000003</v>
      </c>
      <c r="Z5153">
        <v>8.7719889999999995E-2</v>
      </c>
      <c r="AA5153">
        <v>0.86356909999999898</v>
      </c>
      <c r="AB5153">
        <v>23</v>
      </c>
      <c r="AC5153">
        <v>0.47169999999999801</v>
      </c>
      <c r="AD5153">
        <v>-8.8662000000000005E-2</v>
      </c>
      <c r="AE5153">
        <v>-0.64780000000000004</v>
      </c>
      <c r="AF5153">
        <v>-0.49077969429794299</v>
      </c>
      <c r="AG5153">
        <v>-8.8662000000000005E-2</v>
      </c>
      <c r="AH5153">
        <v>0.621162759746552</v>
      </c>
      <c r="AI5153">
        <v>96.390304478351197</v>
      </c>
      <c r="AJ5153">
        <v>128.312206331401</v>
      </c>
      <c r="AK5153">
        <v>0.79659828814474298</v>
      </c>
    </row>
    <row r="5154" spans="1:37" x14ac:dyDescent="0.2">
      <c r="A5154" t="str">
        <f>"20200111153754329"</f>
        <v>20200111153754329</v>
      </c>
      <c r="B5154" t="str">
        <f>"1578728274318239"</f>
        <v>1578728274318239</v>
      </c>
      <c r="C5154" t="s">
        <v>37</v>
      </c>
      <c r="D5154">
        <v>5.5719859999999999</v>
      </c>
      <c r="E5154">
        <v>0.38152659999999899</v>
      </c>
      <c r="F5154" t="s">
        <v>38</v>
      </c>
      <c r="G5154">
        <v>-301.88220000000001</v>
      </c>
      <c r="H5154">
        <v>1.0178419999999999</v>
      </c>
      <c r="I5154">
        <v>-17.907720000000001</v>
      </c>
      <c r="J5154">
        <v>-302.34199999999998</v>
      </c>
      <c r="K5154">
        <v>1.104333</v>
      </c>
      <c r="L5154">
        <v>-17.28717</v>
      </c>
      <c r="M5154">
        <v>-4.0037080000000003E-2</v>
      </c>
      <c r="N5154">
        <v>0</v>
      </c>
      <c r="O5154">
        <v>-0.9991141</v>
      </c>
      <c r="P5154">
        <v>0.1838003</v>
      </c>
      <c r="Q5154">
        <v>2.5310369999999999E-2</v>
      </c>
      <c r="R5154">
        <v>-0.98263809999999996</v>
      </c>
      <c r="S5154">
        <v>1.4602660000000001</v>
      </c>
      <c r="T5154">
        <v>-0.28068199999999999</v>
      </c>
      <c r="U5154">
        <v>-2.7877809999999998</v>
      </c>
      <c r="V5154">
        <v>-0.22295479999999901</v>
      </c>
      <c r="W5154">
        <v>3.8216170000000001E-2</v>
      </c>
      <c r="X5154">
        <v>0.97407940000000004</v>
      </c>
      <c r="Y5154">
        <v>-0.49730020000000003</v>
      </c>
      <c r="Z5154">
        <v>8.7815149999999995E-2</v>
      </c>
      <c r="AA5154">
        <v>0.86312279999999997</v>
      </c>
      <c r="AB5154">
        <v>23</v>
      </c>
      <c r="AC5154">
        <v>0.45979999999997201</v>
      </c>
      <c r="AD5154">
        <v>-8.6491000000000096E-2</v>
      </c>
      <c r="AE5154">
        <v>-0.62055000000000105</v>
      </c>
      <c r="AF5154">
        <v>-0.47828024725687701</v>
      </c>
      <c r="AG5154">
        <v>-8.6491000000000096E-2</v>
      </c>
      <c r="AH5154">
        <v>0.59419001534197602</v>
      </c>
      <c r="AI5154">
        <v>96.469199189014205</v>
      </c>
      <c r="AJ5154">
        <v>128.83156558638601</v>
      </c>
      <c r="AK5154">
        <v>0.76765517149902496</v>
      </c>
    </row>
    <row r="5155" spans="1:37" x14ac:dyDescent="0.2">
      <c r="A5155" t="str">
        <f>"20200111153754352"</f>
        <v>20200111153754352</v>
      </c>
      <c r="B5155" t="str">
        <f>"1578728274348495"</f>
        <v>1578728274348495</v>
      </c>
      <c r="C5155" t="s">
        <v>37</v>
      </c>
      <c r="D5155">
        <v>5.553248</v>
      </c>
      <c r="E5155">
        <v>0.38185259999999999</v>
      </c>
      <c r="F5155" t="s">
        <v>38</v>
      </c>
      <c r="G5155">
        <v>-301.90589999999997</v>
      </c>
      <c r="H5155">
        <v>1.0203149999999901</v>
      </c>
      <c r="I5155">
        <v>-18.118739999999999</v>
      </c>
      <c r="J5155">
        <v>-302.35210000000001</v>
      </c>
      <c r="K5155">
        <v>1.1044020000000001</v>
      </c>
      <c r="L5155">
        <v>-17.51764</v>
      </c>
      <c r="M5155">
        <v>-4.0673899999999999E-2</v>
      </c>
      <c r="N5155">
        <v>0</v>
      </c>
      <c r="O5155">
        <v>-0.99908889999999995</v>
      </c>
      <c r="P5155">
        <v>0.18472769999999999</v>
      </c>
      <c r="Q5155">
        <v>2.6824560000000001E-2</v>
      </c>
      <c r="R5155">
        <v>-0.98242399999999996</v>
      </c>
      <c r="S5155">
        <v>1.461578</v>
      </c>
      <c r="T5155">
        <v>-0.28157149999999997</v>
      </c>
      <c r="U5155">
        <v>-2.7868650000000001</v>
      </c>
      <c r="V5155">
        <v>-0.224497899999999</v>
      </c>
      <c r="W5155">
        <v>3.9651789999999999E-2</v>
      </c>
      <c r="X5155">
        <v>0.97366749999999902</v>
      </c>
      <c r="Y5155">
        <v>-0.49827640000000001</v>
      </c>
      <c r="Z5155">
        <v>8.8077219999999998E-2</v>
      </c>
      <c r="AA5155">
        <v>0.86253289999999905</v>
      </c>
      <c r="AB5155">
        <v>23</v>
      </c>
      <c r="AC5155">
        <v>0.44620000000003202</v>
      </c>
      <c r="AD5155">
        <v>-8.4087000000000203E-2</v>
      </c>
      <c r="AE5155">
        <v>-0.60109999999999797</v>
      </c>
      <c r="AF5155">
        <v>-0.46442231970582898</v>
      </c>
      <c r="AG5155">
        <v>-8.4087000000000203E-2</v>
      </c>
      <c r="AH5155">
        <v>0.575195188207685</v>
      </c>
      <c r="AI5155">
        <v>96.489019008307906</v>
      </c>
      <c r="AJ5155">
        <v>128.91799279036701</v>
      </c>
      <c r="AK5155">
        <v>0.74404853279017902</v>
      </c>
    </row>
    <row r="5156" spans="1:37" x14ac:dyDescent="0.2">
      <c r="A5156" t="str">
        <f>"20200111153754375"</f>
        <v>20200111153754375</v>
      </c>
      <c r="B5156" t="str">
        <f>"1578728274368014"</f>
        <v>1578728274368014</v>
      </c>
      <c r="C5156" t="s">
        <v>37</v>
      </c>
      <c r="D5156">
        <v>5.5732099999999898</v>
      </c>
      <c r="E5156">
        <v>0.3818087</v>
      </c>
      <c r="F5156" t="s">
        <v>38</v>
      </c>
      <c r="G5156">
        <v>-301.92669999999998</v>
      </c>
      <c r="H5156">
        <v>1.022332</v>
      </c>
      <c r="I5156">
        <v>-18.329079999999902</v>
      </c>
      <c r="J5156">
        <v>-302.36239999999998</v>
      </c>
      <c r="K5156">
        <v>1.1044909999999999</v>
      </c>
      <c r="L5156">
        <v>-17.754460000000002</v>
      </c>
      <c r="M5156">
        <v>-4.12089E-2</v>
      </c>
      <c r="N5156">
        <v>0</v>
      </c>
      <c r="O5156">
        <v>-0.99906729999999999</v>
      </c>
      <c r="P5156">
        <v>0.18616350000000001</v>
      </c>
      <c r="Q5156">
        <v>2.8775459999999999E-2</v>
      </c>
      <c r="R5156">
        <v>-0.98209740000000001</v>
      </c>
      <c r="S5156">
        <v>1.461395</v>
      </c>
      <c r="T5156">
        <v>-0.2818447</v>
      </c>
      <c r="U5156">
        <v>-2.7865599999999899</v>
      </c>
      <c r="V5156">
        <v>-0.2264475</v>
      </c>
      <c r="W5156">
        <v>4.1509919999999999E-2</v>
      </c>
      <c r="X5156">
        <v>0.97313850000000002</v>
      </c>
      <c r="Y5156">
        <v>-0.49873099999999998</v>
      </c>
      <c r="Z5156">
        <v>8.8156109999999996E-2</v>
      </c>
      <c r="AA5156">
        <v>0.86226209999999903</v>
      </c>
      <c r="AB5156">
        <v>23</v>
      </c>
      <c r="AC5156">
        <v>0.43569999999999698</v>
      </c>
      <c r="AD5156">
        <v>-8.2158999999999802E-2</v>
      </c>
      <c r="AE5156">
        <v>-0.57461999999999502</v>
      </c>
      <c r="AF5156">
        <v>-0.45312946090075501</v>
      </c>
      <c r="AG5156">
        <v>-8.2158999999999802E-2</v>
      </c>
      <c r="AH5156">
        <v>0.54904872633406199</v>
      </c>
      <c r="AI5156">
        <v>96.583404344128198</v>
      </c>
      <c r="AJ5156">
        <v>129.53282923320401</v>
      </c>
      <c r="AK5156">
        <v>0.71661071266501797</v>
      </c>
    </row>
    <row r="5157" spans="1:37" x14ac:dyDescent="0.2">
      <c r="A5157" t="str">
        <f>"20200111153754397"</f>
        <v>20200111153754397</v>
      </c>
      <c r="B5157" t="str">
        <f>"1578728274388511"</f>
        <v>1578728274388511</v>
      </c>
      <c r="C5157" t="s">
        <v>37</v>
      </c>
      <c r="D5157">
        <v>5.6695279999999997</v>
      </c>
      <c r="E5157">
        <v>0.38187549999999998</v>
      </c>
      <c r="F5157" t="s">
        <v>38</v>
      </c>
      <c r="G5157">
        <v>-301.94920000000002</v>
      </c>
      <c r="H5157">
        <v>1.025798</v>
      </c>
      <c r="I5157">
        <v>-18.539560000000002</v>
      </c>
      <c r="J5157">
        <v>-302.3723</v>
      </c>
      <c r="K5157">
        <v>1.1046</v>
      </c>
      <c r="L5157">
        <v>-17.984010000000001</v>
      </c>
      <c r="M5157">
        <v>-4.158916E-2</v>
      </c>
      <c r="N5157">
        <v>0</v>
      </c>
      <c r="O5157">
        <v>-0.99905219999999995</v>
      </c>
      <c r="P5157">
        <v>0.18819149999999901</v>
      </c>
      <c r="Q5157">
        <v>3.0299280000000001E-2</v>
      </c>
      <c r="R5157">
        <v>-0.98166500000000001</v>
      </c>
      <c r="S5157">
        <v>1.465363</v>
      </c>
      <c r="T5157">
        <v>-0.27915040000000002</v>
      </c>
      <c r="U5157">
        <v>-2.7850950000000001</v>
      </c>
      <c r="V5157">
        <v>-0.22883529999999999</v>
      </c>
      <c r="W5157">
        <v>4.293392E-2</v>
      </c>
      <c r="X5157">
        <v>0.97251790000000005</v>
      </c>
      <c r="Y5157">
        <v>-0.50024429999999998</v>
      </c>
      <c r="Z5157">
        <v>8.7291110000000005E-2</v>
      </c>
      <c r="AA5157">
        <v>0.86147309999999999</v>
      </c>
      <c r="AB5157">
        <v>23</v>
      </c>
      <c r="AC5157">
        <v>0.423099999999976</v>
      </c>
      <c r="AD5157">
        <v>-7.8801999999999997E-2</v>
      </c>
      <c r="AE5157">
        <v>-0.55554999999999999</v>
      </c>
      <c r="AF5157">
        <v>-0.44023466360418401</v>
      </c>
      <c r="AG5157">
        <v>-7.8801999999999997E-2</v>
      </c>
      <c r="AH5157">
        <v>0.53071329785649901</v>
      </c>
      <c r="AI5157">
        <v>96.519606119192005</v>
      </c>
      <c r="AJ5157">
        <v>129.676217075664</v>
      </c>
      <c r="AK5157">
        <v>0.694026598023743</v>
      </c>
    </row>
    <row r="5158" spans="1:37" x14ac:dyDescent="0.2">
      <c r="A5158" t="str">
        <f>"20200111153754422"</f>
        <v>20200111153754422</v>
      </c>
      <c r="B5158" t="str">
        <f>"1578728274418767"</f>
        <v>1578728274418767</v>
      </c>
      <c r="C5158" t="s">
        <v>37</v>
      </c>
      <c r="D5158">
        <v>5.5725870000000004</v>
      </c>
      <c r="E5158">
        <v>0.4253363</v>
      </c>
      <c r="F5158" t="s">
        <v>38</v>
      </c>
      <c r="G5158">
        <v>-301.96809999999999</v>
      </c>
      <c r="H5158">
        <v>1.028249</v>
      </c>
      <c r="I5158">
        <v>-18.749229999999901</v>
      </c>
      <c r="J5158">
        <v>-302.38339999999999</v>
      </c>
      <c r="K5158">
        <v>1.104711</v>
      </c>
      <c r="L5158">
        <v>-18.240259999999999</v>
      </c>
      <c r="M5158">
        <v>-4.1836869999999998E-2</v>
      </c>
      <c r="N5158">
        <v>0</v>
      </c>
      <c r="O5158">
        <v>-0.9990424</v>
      </c>
      <c r="P5158">
        <v>0.19090009999999999</v>
      </c>
      <c r="Q5158">
        <v>3.1685049999999999E-2</v>
      </c>
      <c r="R5158">
        <v>-0.98109820000000003</v>
      </c>
      <c r="S5158">
        <v>1.4700930000000001</v>
      </c>
      <c r="T5158">
        <v>-0.27765780000000001</v>
      </c>
      <c r="U5158">
        <v>-2.7827759999999899</v>
      </c>
      <c r="V5158">
        <v>-0.2317698</v>
      </c>
      <c r="W5158">
        <v>4.4205389999999997E-2</v>
      </c>
      <c r="X5158">
        <v>0.97176580000000001</v>
      </c>
      <c r="Y5158">
        <v>-0.5019188</v>
      </c>
      <c r="Z5158">
        <v>8.6813199999999993E-2</v>
      </c>
      <c r="AA5158">
        <v>0.8605469</v>
      </c>
      <c r="AB5158">
        <v>23</v>
      </c>
      <c r="AC5158">
        <v>0.415300000000002</v>
      </c>
      <c r="AD5158">
        <v>-7.6462000000000002E-2</v>
      </c>
      <c r="AE5158">
        <v>-0.50896999999999704</v>
      </c>
      <c r="AF5158">
        <v>-0.430400574600175</v>
      </c>
      <c r="AG5158">
        <v>-7.6462000000000002E-2</v>
      </c>
      <c r="AH5158">
        <v>0.48458273670652102</v>
      </c>
      <c r="AI5158">
        <v>96.728328949846997</v>
      </c>
      <c r="AJ5158">
        <v>131.611098640237</v>
      </c>
      <c r="AK5158">
        <v>0.65261897059014695</v>
      </c>
    </row>
    <row r="5159" spans="1:37" x14ac:dyDescent="0.2">
      <c r="A5159" t="str">
        <f>"20200111153754441"</f>
        <v>20200111153754441</v>
      </c>
      <c r="B5159" t="str">
        <f>"1578728274428527"</f>
        <v>1578728274428527</v>
      </c>
      <c r="C5159" t="s">
        <v>37</v>
      </c>
      <c r="D5159">
        <v>5.5632149999999996</v>
      </c>
      <c r="E5159">
        <v>0.43221409999999899</v>
      </c>
      <c r="F5159" t="s">
        <v>38</v>
      </c>
      <c r="G5159">
        <v>-301.99340000000001</v>
      </c>
      <c r="H5159">
        <v>1.005989</v>
      </c>
      <c r="I5159">
        <v>-19.217890000000001</v>
      </c>
      <c r="J5159">
        <v>-302.392</v>
      </c>
      <c r="K5159">
        <v>1.1047849999999999</v>
      </c>
      <c r="L5159">
        <v>-18.441279999999999</v>
      </c>
      <c r="M5159">
        <v>-4.1913020000000002E-2</v>
      </c>
      <c r="N5159">
        <v>0</v>
      </c>
      <c r="O5159">
        <v>-0.99903949999999997</v>
      </c>
      <c r="P5159">
        <v>0.19400319999999999</v>
      </c>
      <c r="Q5159">
        <v>3.2913079999999997E-2</v>
      </c>
      <c r="R5159">
        <v>-0.98044880000000001</v>
      </c>
      <c r="S5159">
        <v>1.1354059999999999</v>
      </c>
      <c r="T5159">
        <v>-0.2874099</v>
      </c>
      <c r="U5159">
        <v>-2.8461609999999999</v>
      </c>
      <c r="V5159">
        <v>-0.23492499999999999</v>
      </c>
      <c r="W5159">
        <v>4.5349130000000001E-2</v>
      </c>
      <c r="X5159">
        <v>0.97095499999999901</v>
      </c>
      <c r="Y5159">
        <v>-0.40754099999999999</v>
      </c>
      <c r="Z5159">
        <v>9.2466370000000006E-2</v>
      </c>
      <c r="AA5159">
        <v>0.90849349999999995</v>
      </c>
      <c r="AB5159">
        <v>23</v>
      </c>
      <c r="AC5159">
        <v>0.39859999999998702</v>
      </c>
      <c r="AD5159">
        <v>-9.8796000000000106E-2</v>
      </c>
      <c r="AE5159">
        <v>-0.77661000000000102</v>
      </c>
      <c r="AF5159">
        <v>-0.425353978085238</v>
      </c>
      <c r="AG5159">
        <v>-9.8796000000000106E-2</v>
      </c>
      <c r="AH5159">
        <v>0.74961758161377001</v>
      </c>
      <c r="AI5159">
        <v>96.539120043367205</v>
      </c>
      <c r="AJ5159">
        <v>119.571788475194</v>
      </c>
      <c r="AK5159">
        <v>0.86753280915099396</v>
      </c>
    </row>
    <row r="5160" spans="1:37" x14ac:dyDescent="0.2">
      <c r="A5160" t="str">
        <f>"20200111153754463"</f>
        <v>20200111153754463</v>
      </c>
      <c r="B5160" t="str">
        <f>"1578728274458783"</f>
        <v>1578728274458783</v>
      </c>
      <c r="C5160" t="s">
        <v>37</v>
      </c>
      <c r="D5160">
        <v>5.7248580000000002</v>
      </c>
      <c r="E5160">
        <v>0.4405617</v>
      </c>
      <c r="F5160" t="s">
        <v>39</v>
      </c>
      <c r="G5160">
        <v>-298.15339999999998</v>
      </c>
      <c r="H5160" s="1">
        <v>-7.6945739999999995E-7</v>
      </c>
      <c r="I5160">
        <v>-29.534600000000001</v>
      </c>
      <c r="J5160">
        <v>-302.40190000000001</v>
      </c>
      <c r="K5160">
        <v>1.1048480000000001</v>
      </c>
      <c r="L5160">
        <v>-18.674099999999999</v>
      </c>
      <c r="M5160">
        <v>-4.1899220000000001E-2</v>
      </c>
      <c r="N5160">
        <v>0</v>
      </c>
      <c r="O5160">
        <v>-0.99904079999999995</v>
      </c>
      <c r="P5160">
        <v>0.19729360000000001</v>
      </c>
      <c r="Q5160">
        <v>3.3660639999999999E-2</v>
      </c>
      <c r="R5160">
        <v>-0.97976679999999905</v>
      </c>
      <c r="S5160">
        <v>1.0903020000000001</v>
      </c>
      <c r="T5160">
        <v>-0.28419139999999998</v>
      </c>
      <c r="U5160">
        <v>-2.8536069999999998</v>
      </c>
      <c r="V5160">
        <v>-0.23817769999999999</v>
      </c>
      <c r="W5160">
        <v>4.6016479999999998E-2</v>
      </c>
      <c r="X5160">
        <v>0.97013090000000002</v>
      </c>
      <c r="Y5160">
        <v>-0.3942292</v>
      </c>
      <c r="Z5160">
        <v>9.1750709999999999E-2</v>
      </c>
      <c r="AA5160">
        <v>0.91442069999999998</v>
      </c>
      <c r="AB5160">
        <v>23</v>
      </c>
      <c r="AC5160">
        <v>4.2485000000000301</v>
      </c>
      <c r="AD5160">
        <v>-1.1048487694573901</v>
      </c>
      <c r="AE5160">
        <v>-10.8605</v>
      </c>
      <c r="AF5160">
        <v>-4.6580428893257997</v>
      </c>
      <c r="AG5160">
        <v>-1.1048487694573901</v>
      </c>
      <c r="AH5160">
        <v>10.577993563407301</v>
      </c>
      <c r="AI5160">
        <v>95.460328634958103</v>
      </c>
      <c r="AJ5160">
        <v>113.766399466842</v>
      </c>
      <c r="AK5160">
        <v>11.6108570824748</v>
      </c>
    </row>
    <row r="5161" spans="1:37" x14ac:dyDescent="0.2">
      <c r="A5161" t="str">
        <f>"20200111153754487"</f>
        <v>20200111153754487</v>
      </c>
      <c r="B5161" t="str">
        <f>"1578728274478303"</f>
        <v>1578728274478303</v>
      </c>
      <c r="C5161" t="s">
        <v>37</v>
      </c>
      <c r="D5161">
        <v>5.7236390000000004</v>
      </c>
      <c r="E5161">
        <v>0.44241340000000001</v>
      </c>
      <c r="F5161" t="s">
        <v>39</v>
      </c>
      <c r="G5161">
        <v>-298.50189999999998</v>
      </c>
      <c r="H5161" s="1">
        <v>-6.9589669999999997E-7</v>
      </c>
      <c r="I5161">
        <v>-29.478300000000001</v>
      </c>
      <c r="J5161">
        <v>-302.41180000000003</v>
      </c>
      <c r="K5161">
        <v>1.104887</v>
      </c>
      <c r="L5161">
        <v>-18.911529999999999</v>
      </c>
      <c r="M5161">
        <v>-4.1819250000000002E-2</v>
      </c>
      <c r="N5161">
        <v>0</v>
      </c>
      <c r="O5161">
        <v>-0.99904439999999906</v>
      </c>
      <c r="P5161">
        <v>0.2009049</v>
      </c>
      <c r="Q5161">
        <v>3.4763839999999997E-2</v>
      </c>
      <c r="R5161">
        <v>-0.97899400000000003</v>
      </c>
      <c r="S5161">
        <v>1.033752</v>
      </c>
      <c r="T5161">
        <v>-0.2928616</v>
      </c>
      <c r="U5161">
        <v>-2.863861</v>
      </c>
      <c r="V5161">
        <v>-0.24168009999999901</v>
      </c>
      <c r="W5161">
        <v>4.7055329999999999E-2</v>
      </c>
      <c r="X5161">
        <v>0.96921440000000003</v>
      </c>
      <c r="Y5161">
        <v>-0.37702399999999903</v>
      </c>
      <c r="Z5161">
        <v>9.4875570000000006E-2</v>
      </c>
      <c r="AA5161">
        <v>0.92133140000000002</v>
      </c>
      <c r="AB5161">
        <v>23</v>
      </c>
      <c r="AC5161">
        <v>3.9099000000000501</v>
      </c>
      <c r="AD5161">
        <v>-1.1048876958967</v>
      </c>
      <c r="AE5161">
        <v>-10.56677</v>
      </c>
      <c r="AF5161">
        <v>-4.3069902449328099</v>
      </c>
      <c r="AG5161">
        <v>-1.1048876958967</v>
      </c>
      <c r="AH5161">
        <v>10.2949988244871</v>
      </c>
      <c r="AI5161">
        <v>95.654291756732903</v>
      </c>
      <c r="AJ5161">
        <v>112.702363273074</v>
      </c>
      <c r="AK5161">
        <v>11.214184882847301</v>
      </c>
    </row>
    <row r="5162" spans="1:37" x14ac:dyDescent="0.2">
      <c r="A5162" t="str">
        <f>"20200111153754507"</f>
        <v>20200111153754507</v>
      </c>
      <c r="B5162" t="str">
        <f>"1578728274498799"</f>
        <v>1578728274498799</v>
      </c>
      <c r="C5162" t="s">
        <v>37</v>
      </c>
      <c r="D5162">
        <v>5.6163759999999998</v>
      </c>
      <c r="E5162">
        <v>0.44278429999999902</v>
      </c>
      <c r="F5162" t="s">
        <v>39</v>
      </c>
      <c r="G5162">
        <v>-298.45850000000002</v>
      </c>
      <c r="H5162" s="1">
        <v>-5.6319780000000003E-7</v>
      </c>
      <c r="I5162">
        <v>-29.90222</v>
      </c>
      <c r="J5162">
        <v>-302.42099999999999</v>
      </c>
      <c r="K5162">
        <v>1.104895</v>
      </c>
      <c r="L5162">
        <v>-19.13345</v>
      </c>
      <c r="M5162">
        <v>-4.1721290000000001E-2</v>
      </c>
      <c r="N5162">
        <v>0</v>
      </c>
      <c r="O5162">
        <v>-0.99904889999999902</v>
      </c>
      <c r="P5162">
        <v>0.2038886</v>
      </c>
      <c r="Q5162">
        <v>3.5006019999999999E-2</v>
      </c>
      <c r="R5162">
        <v>-0.97836829999999997</v>
      </c>
      <c r="S5162">
        <v>1.0299069999999999</v>
      </c>
      <c r="T5162">
        <v>-0.28784080000000001</v>
      </c>
      <c r="U5162">
        <v>-2.863251</v>
      </c>
      <c r="V5162">
        <v>-0.24454219999999999</v>
      </c>
      <c r="W5162">
        <v>4.7251090000000003E-2</v>
      </c>
      <c r="X5162">
        <v>0.96848670000000003</v>
      </c>
      <c r="Y5162">
        <v>-0.37595050000000002</v>
      </c>
      <c r="Z5162">
        <v>9.3325210000000006E-2</v>
      </c>
      <c r="AA5162">
        <v>0.92192819999999998</v>
      </c>
      <c r="AB5162">
        <v>23</v>
      </c>
      <c r="AC5162">
        <v>3.9624999999999702</v>
      </c>
      <c r="AD5162">
        <v>-1.1048955631977999</v>
      </c>
      <c r="AE5162">
        <v>-10.76877</v>
      </c>
      <c r="AF5162">
        <v>-4.3678743697593498</v>
      </c>
      <c r="AG5162">
        <v>-1.1048955631977999</v>
      </c>
      <c r="AH5162">
        <v>10.4967347518657</v>
      </c>
      <c r="AI5162">
        <v>95.550735196037493</v>
      </c>
      <c r="AJ5162">
        <v>112.593046325378</v>
      </c>
      <c r="AK5162">
        <v>11.4228088124856</v>
      </c>
    </row>
    <row r="5163" spans="1:37" x14ac:dyDescent="0.2">
      <c r="A5163" t="str">
        <f>"20200111153754530"</f>
        <v>20200111153754530</v>
      </c>
      <c r="B5163" t="str">
        <f>"1578728274518319"</f>
        <v>1578728274518319</v>
      </c>
      <c r="C5163" t="s">
        <v>37</v>
      </c>
      <c r="D5163">
        <v>5.6153949999999897</v>
      </c>
      <c r="E5163">
        <v>0.4429323</v>
      </c>
      <c r="F5163" t="s">
        <v>39</v>
      </c>
      <c r="G5163">
        <v>-298.43549999999999</v>
      </c>
      <c r="H5163" s="1">
        <v>-4.8878819999999995E-7</v>
      </c>
      <c r="I5163">
        <v>-30.1388</v>
      </c>
      <c r="J5163">
        <v>-302.43049999999999</v>
      </c>
      <c r="K5163">
        <v>1.1048750000000001</v>
      </c>
      <c r="L5163">
        <v>-19.361270000000001</v>
      </c>
      <c r="M5163">
        <v>-4.1632809999999999E-2</v>
      </c>
      <c r="N5163">
        <v>0</v>
      </c>
      <c r="O5163">
        <v>-0.99905299999999997</v>
      </c>
      <c r="P5163">
        <v>0.2063036</v>
      </c>
      <c r="Q5163">
        <v>3.2771960000000003E-2</v>
      </c>
      <c r="R5163">
        <v>-0.97793920000000001</v>
      </c>
      <c r="S5163">
        <v>1.0359799999999999</v>
      </c>
      <c r="T5163">
        <v>-0.2872054</v>
      </c>
      <c r="U5163">
        <v>-2.8607179999999999</v>
      </c>
      <c r="V5163">
        <v>-0.24685109999999999</v>
      </c>
      <c r="W5163">
        <v>4.4976139999999998E-2</v>
      </c>
      <c r="X5163">
        <v>0.96800909999999996</v>
      </c>
      <c r="Y5163">
        <v>-0.37786529999999902</v>
      </c>
      <c r="Z5163">
        <v>9.3128520000000006E-2</v>
      </c>
      <c r="AA5163">
        <v>0.92116500000000001</v>
      </c>
      <c r="AB5163">
        <v>23</v>
      </c>
      <c r="AC5163">
        <v>3.9950000000000001</v>
      </c>
      <c r="AD5163">
        <v>-1.1048754887882</v>
      </c>
      <c r="AE5163">
        <v>-10.77753</v>
      </c>
      <c r="AF5163">
        <v>-4.3996177582615701</v>
      </c>
      <c r="AG5163">
        <v>-1.1048754887882</v>
      </c>
      <c r="AH5163">
        <v>10.504783148236699</v>
      </c>
      <c r="AI5163">
        <v>95.541114769580801</v>
      </c>
      <c r="AJ5163">
        <v>112.724931201808</v>
      </c>
      <c r="AK5163">
        <v>11.442371050442899</v>
      </c>
    </row>
    <row r="5164" spans="1:37" x14ac:dyDescent="0.2">
      <c r="A5164" t="str">
        <f>"20200111153754553"</f>
        <v>20200111153754553</v>
      </c>
      <c r="B5164" t="str">
        <f>"1578728274548575"</f>
        <v>1578728274548575</v>
      </c>
      <c r="C5164" t="s">
        <v>37</v>
      </c>
      <c r="D5164">
        <v>5.8369879999999998</v>
      </c>
      <c r="E5164">
        <v>0.44314619999999999</v>
      </c>
      <c r="F5164" t="s">
        <v>39</v>
      </c>
      <c r="G5164">
        <v>-298.60419999999999</v>
      </c>
      <c r="H5164" s="1">
        <v>-5.4019440000000005E-7</v>
      </c>
      <c r="I5164">
        <v>-29.855879999999999</v>
      </c>
      <c r="J5164">
        <v>-302.4402</v>
      </c>
      <c r="K5164">
        <v>1.104838</v>
      </c>
      <c r="L5164">
        <v>-19.59732</v>
      </c>
      <c r="M5164">
        <v>-4.1573560000000002E-2</v>
      </c>
      <c r="N5164">
        <v>0</v>
      </c>
      <c r="O5164">
        <v>-0.9990561</v>
      </c>
      <c r="P5164">
        <v>0.20793320000000001</v>
      </c>
      <c r="Q5164">
        <v>3.0310449999999999E-2</v>
      </c>
      <c r="R5164">
        <v>-0.97767380000000004</v>
      </c>
      <c r="S5164">
        <v>1.041992</v>
      </c>
      <c r="T5164">
        <v>-0.30088480000000001</v>
      </c>
      <c r="U5164">
        <v>-2.8579409999999998</v>
      </c>
      <c r="V5164">
        <v>-0.24840909999999999</v>
      </c>
      <c r="W5164">
        <v>4.2480860000000002E-2</v>
      </c>
      <c r="X5164">
        <v>0.96772329999999995</v>
      </c>
      <c r="Y5164">
        <v>-0.37966220000000001</v>
      </c>
      <c r="Z5164">
        <v>9.7536970000000001E-2</v>
      </c>
      <c r="AA5164">
        <v>0.91996909999999898</v>
      </c>
      <c r="AB5164">
        <v>23</v>
      </c>
      <c r="AC5164">
        <v>3.8360000000000101</v>
      </c>
      <c r="AD5164">
        <v>-1.1048385401944001</v>
      </c>
      <c r="AE5164">
        <v>-10.258559999999999</v>
      </c>
      <c r="AF5164">
        <v>-4.2162957428598098</v>
      </c>
      <c r="AG5164">
        <v>-1.1048385401944001</v>
      </c>
      <c r="AH5164">
        <v>9.9885549100698103</v>
      </c>
      <c r="AI5164">
        <v>95.818573880221393</v>
      </c>
      <c r="AJ5164">
        <v>112.885225034944</v>
      </c>
      <c r="AK5164">
        <v>10.898121268486401</v>
      </c>
    </row>
    <row r="5165" spans="1:37" x14ac:dyDescent="0.2">
      <c r="A5165" t="str">
        <f>"20200111153754575"</f>
        <v>20200111153754575</v>
      </c>
      <c r="B5165" t="str">
        <f>"1578728274568095"</f>
        <v>1578728274568095</v>
      </c>
      <c r="C5165" t="s">
        <v>37</v>
      </c>
      <c r="D5165">
        <v>5.645276</v>
      </c>
      <c r="E5165">
        <v>0.443476599999999</v>
      </c>
      <c r="F5165" t="s">
        <v>39</v>
      </c>
      <c r="G5165">
        <v>-298.73349999999999</v>
      </c>
      <c r="H5165" s="1">
        <v>-5.5214890000000001E-7</v>
      </c>
      <c r="I5165">
        <v>-29.719670000000001</v>
      </c>
      <c r="J5165">
        <v>-302.45010000000002</v>
      </c>
      <c r="K5165">
        <v>1.1048039999999999</v>
      </c>
      <c r="L5165">
        <v>-19.83633</v>
      </c>
      <c r="M5165">
        <v>-4.1544169999999998E-2</v>
      </c>
      <c r="N5165">
        <v>0</v>
      </c>
      <c r="O5165">
        <v>-0.99905750000000004</v>
      </c>
      <c r="P5165">
        <v>0.20946590000000001</v>
      </c>
      <c r="Q5165">
        <v>2.740832E-2</v>
      </c>
      <c r="R5165">
        <v>-0.97743179999999996</v>
      </c>
      <c r="S5165">
        <v>1.045776</v>
      </c>
      <c r="T5165">
        <v>-0.31170340000000002</v>
      </c>
      <c r="U5165">
        <v>-2.8557739999999998</v>
      </c>
      <c r="V5165">
        <v>-0.2498997</v>
      </c>
      <c r="W5165">
        <v>3.9554110000000003E-2</v>
      </c>
      <c r="X5165">
        <v>0.96746350000000003</v>
      </c>
      <c r="Y5165">
        <v>-0.38081409999999999</v>
      </c>
      <c r="Z5165">
        <v>0.1010302</v>
      </c>
      <c r="AA5165">
        <v>0.91911569999999898</v>
      </c>
      <c r="AB5165">
        <v>23</v>
      </c>
      <c r="AC5165">
        <v>3.7166000000000201</v>
      </c>
      <c r="AD5165">
        <v>-1.1048045521488901</v>
      </c>
      <c r="AE5165">
        <v>-9.8833400000000005</v>
      </c>
      <c r="AF5165">
        <v>-4.0793590393847001</v>
      </c>
      <c r="AG5165">
        <v>-1.1048045521488901</v>
      </c>
      <c r="AH5165">
        <v>9.6151276332195295</v>
      </c>
      <c r="AI5165">
        <v>96.038095924958</v>
      </c>
      <c r="AJ5165">
        <v>112.989797409285</v>
      </c>
      <c r="AK5165">
        <v>10.502973039752099</v>
      </c>
    </row>
    <row r="5166" spans="1:37" x14ac:dyDescent="0.2">
      <c r="A5166" t="str">
        <f>"20200111153754597"</f>
        <v>20200111153754597</v>
      </c>
      <c r="B5166" t="str">
        <f>"1578728274588591"</f>
        <v>1578728274588591</v>
      </c>
      <c r="C5166" t="s">
        <v>37</v>
      </c>
      <c r="D5166">
        <v>5.8391799999999998</v>
      </c>
      <c r="E5166">
        <v>0.44388129999999998</v>
      </c>
      <c r="F5166" t="s">
        <v>39</v>
      </c>
      <c r="G5166">
        <v>-298.82240000000002</v>
      </c>
      <c r="H5166" s="1">
        <v>-5.3121799999999996E-7</v>
      </c>
      <c r="I5166">
        <v>-29.711670000000002</v>
      </c>
      <c r="J5166">
        <v>-302.45949999999999</v>
      </c>
      <c r="K5166">
        <v>1.10477</v>
      </c>
      <c r="L5166">
        <v>-20.06277</v>
      </c>
      <c r="M5166">
        <v>-4.1539640000000003E-2</v>
      </c>
      <c r="N5166">
        <v>0</v>
      </c>
      <c r="O5166">
        <v>-0.99905820000000001</v>
      </c>
      <c r="P5166">
        <v>0.21005869999999999</v>
      </c>
      <c r="Q5166">
        <v>2.5761570000000001E-2</v>
      </c>
      <c r="R5166">
        <v>-0.97734959999999904</v>
      </c>
      <c r="S5166">
        <v>1.048279</v>
      </c>
      <c r="T5166">
        <v>-0.31924439999999998</v>
      </c>
      <c r="U5166">
        <v>-2.853577</v>
      </c>
      <c r="V5166">
        <v>-0.25048189999999998</v>
      </c>
      <c r="W5166">
        <v>3.7890720000000003E-2</v>
      </c>
      <c r="X5166">
        <v>0.96737949999999995</v>
      </c>
      <c r="Y5166">
        <v>-0.38166090000000003</v>
      </c>
      <c r="Z5166">
        <v>0.1034865</v>
      </c>
      <c r="AA5166">
        <v>0.9184909</v>
      </c>
      <c r="AB5166">
        <v>23</v>
      </c>
      <c r="AC5166">
        <v>3.63709999999997</v>
      </c>
      <c r="AD5166">
        <v>-1.1047705312180001</v>
      </c>
      <c r="AE5166">
        <v>-9.6488999999999994</v>
      </c>
      <c r="AF5166">
        <v>-3.9890151528236202</v>
      </c>
      <c r="AG5166">
        <v>-1.1047705312180001</v>
      </c>
      <c r="AH5166">
        <v>9.3817847595533408</v>
      </c>
      <c r="AI5166">
        <v>96.1848975221708</v>
      </c>
      <c r="AJ5166">
        <v>113.034578081408</v>
      </c>
      <c r="AK5166">
        <v>10.2542988590489</v>
      </c>
    </row>
    <row r="5167" spans="1:37" x14ac:dyDescent="0.2">
      <c r="A5167" t="str">
        <f>"20200111153754619"</f>
        <v>20200111153754619</v>
      </c>
      <c r="B5167" t="str">
        <f>"1578728274608111"</f>
        <v>1578728274608111</v>
      </c>
      <c r="C5167" t="s">
        <v>37</v>
      </c>
      <c r="D5167">
        <v>5.6933069999999999</v>
      </c>
      <c r="E5167">
        <v>0.44390689999999999</v>
      </c>
      <c r="F5167" t="s">
        <v>39</v>
      </c>
      <c r="G5167">
        <v>-298.89179999999999</v>
      </c>
      <c r="H5167" s="1">
        <v>-4.8771049999999998E-7</v>
      </c>
      <c r="I5167">
        <v>-29.785240000000002</v>
      </c>
      <c r="J5167">
        <v>-302.46890000000002</v>
      </c>
      <c r="K5167">
        <v>1.1047469999999999</v>
      </c>
      <c r="L5167">
        <v>-20.289829999999998</v>
      </c>
      <c r="M5167">
        <v>-4.1555620000000001E-2</v>
      </c>
      <c r="N5167">
        <v>0</v>
      </c>
      <c r="O5167">
        <v>-0.99905769999999905</v>
      </c>
      <c r="P5167">
        <v>0.21085519999999999</v>
      </c>
      <c r="Q5167">
        <v>2.5542220000000001E-2</v>
      </c>
      <c r="R5167">
        <v>-0.97718349999999898</v>
      </c>
      <c r="S5167">
        <v>1.0469360000000001</v>
      </c>
      <c r="T5167">
        <v>-0.32419499999999901</v>
      </c>
      <c r="U5167">
        <v>-2.8530579999999999</v>
      </c>
      <c r="V5167">
        <v>-0.25128489999999998</v>
      </c>
      <c r="W5167">
        <v>3.7650570000000001E-2</v>
      </c>
      <c r="X5167">
        <v>0.96718059999999995</v>
      </c>
      <c r="Y5167">
        <v>-0.38129000000000002</v>
      </c>
      <c r="Z5167">
        <v>0.1051063</v>
      </c>
      <c r="AA5167">
        <v>0.91846099999999997</v>
      </c>
      <c r="AB5167">
        <v>23</v>
      </c>
      <c r="AC5167">
        <v>3.5771000000000299</v>
      </c>
      <c r="AD5167">
        <v>-1.1047474877104999</v>
      </c>
      <c r="AE5167">
        <v>-9.4954099999999997</v>
      </c>
      <c r="AF5167">
        <v>-3.9221352896558299</v>
      </c>
      <c r="AG5167">
        <v>-1.1047474877104999</v>
      </c>
      <c r="AH5167">
        <v>9.2291441867903501</v>
      </c>
      <c r="AI5167">
        <v>96.286728372469199</v>
      </c>
      <c r="AJ5167">
        <v>113.024172204561</v>
      </c>
      <c r="AK5167">
        <v>10.0886428553365</v>
      </c>
    </row>
    <row r="5168" spans="1:37" x14ac:dyDescent="0.2">
      <c r="A5168" t="str">
        <f>"20200111153754642"</f>
        <v>20200111153754642</v>
      </c>
      <c r="B5168" t="str">
        <f>"1578728274628608"</f>
        <v>1578728274628608</v>
      </c>
      <c r="C5168" t="s">
        <v>37</v>
      </c>
      <c r="D5168">
        <v>5.642379</v>
      </c>
      <c r="E5168">
        <v>0.44386899999999901</v>
      </c>
      <c r="F5168" t="s">
        <v>39</v>
      </c>
      <c r="G5168">
        <v>-298.88529999999997</v>
      </c>
      <c r="H5168" s="1">
        <v>-4.05014599999999E-7</v>
      </c>
      <c r="I5168">
        <v>-30.033349999999999</v>
      </c>
      <c r="J5168">
        <v>-302.4785</v>
      </c>
      <c r="K5168">
        <v>1.10473</v>
      </c>
      <c r="L5168">
        <v>-20.522189999999998</v>
      </c>
      <c r="M5168">
        <v>-4.1571070000000002E-2</v>
      </c>
      <c r="N5168">
        <v>0</v>
      </c>
      <c r="O5168">
        <v>-0.99905739999999998</v>
      </c>
      <c r="P5168">
        <v>0.21242179999999999</v>
      </c>
      <c r="Q5168">
        <v>2.675895E-2</v>
      </c>
      <c r="R5168">
        <v>-0.97681180000000001</v>
      </c>
      <c r="S5168">
        <v>1.0490109999999999</v>
      </c>
      <c r="T5168">
        <v>-0.32338359999999999</v>
      </c>
      <c r="U5168">
        <v>-2.85214199999999</v>
      </c>
      <c r="V5168">
        <v>-0.25284800000000002</v>
      </c>
      <c r="W5168">
        <v>3.884083E-2</v>
      </c>
      <c r="X5168">
        <v>0.96672610000000003</v>
      </c>
      <c r="Y5168">
        <v>-0.3819977</v>
      </c>
      <c r="Z5168">
        <v>0.10484889999999999</v>
      </c>
      <c r="AA5168">
        <v>0.91819629999999997</v>
      </c>
      <c r="AB5168">
        <v>23</v>
      </c>
      <c r="AC5168">
        <v>3.5932000000000199</v>
      </c>
      <c r="AD5168">
        <v>-1.1047304050146001</v>
      </c>
      <c r="AE5168">
        <v>-9.5111600000000003</v>
      </c>
      <c r="AF5168">
        <v>-3.9390092233566998</v>
      </c>
      <c r="AG5168">
        <v>-1.1047304050146001</v>
      </c>
      <c r="AH5168">
        <v>9.24441200897874</v>
      </c>
      <c r="AI5168">
        <v>96.2738123578292</v>
      </c>
      <c r="AJ5168">
        <v>113.07867171218901</v>
      </c>
      <c r="AK5168">
        <v>10.109172880171901</v>
      </c>
    </row>
    <row r="5169" spans="1:37" x14ac:dyDescent="0.2">
      <c r="A5169" t="str">
        <f>"20200111153754665"</f>
        <v>20200111153754665</v>
      </c>
      <c r="B5169" t="str">
        <f>"1578728274658863"</f>
        <v>1578728274658863</v>
      </c>
      <c r="C5169" t="s">
        <v>37</v>
      </c>
      <c r="D5169">
        <v>5.7931569999999999</v>
      </c>
      <c r="E5169">
        <v>0.41222829999999899</v>
      </c>
      <c r="F5169" t="s">
        <v>39</v>
      </c>
      <c r="G5169">
        <v>-298.84539999999998</v>
      </c>
      <c r="H5169" s="1">
        <v>-3.073508E-7</v>
      </c>
      <c r="I5169">
        <v>-30.35154</v>
      </c>
      <c r="J5169">
        <v>-302.48829999999998</v>
      </c>
      <c r="K5169">
        <v>1.104735</v>
      </c>
      <c r="L5169">
        <v>-20.758120000000002</v>
      </c>
      <c r="M5169">
        <v>-4.1560489999999999E-2</v>
      </c>
      <c r="N5169">
        <v>0</v>
      </c>
      <c r="O5169">
        <v>-0.99905859999999902</v>
      </c>
      <c r="P5169">
        <v>0.21367809999999901</v>
      </c>
      <c r="Q5169">
        <v>2.7393130000000002E-2</v>
      </c>
      <c r="R5169">
        <v>-0.97652019999999995</v>
      </c>
      <c r="S5169">
        <v>1.053741</v>
      </c>
      <c r="T5169">
        <v>-0.32040770000000002</v>
      </c>
      <c r="U5169">
        <v>-2.85082999999999</v>
      </c>
      <c r="V5169">
        <v>-0.2540808</v>
      </c>
      <c r="W5169">
        <v>3.9444519999999997E-2</v>
      </c>
      <c r="X5169">
        <v>0.96637830000000002</v>
      </c>
      <c r="Y5169">
        <v>-0.38350089999999998</v>
      </c>
      <c r="Z5169">
        <v>0.1038777</v>
      </c>
      <c r="AA5169">
        <v>0.91767999999999905</v>
      </c>
      <c r="AB5169">
        <v>23</v>
      </c>
      <c r="AC5169">
        <v>3.6428999999999898</v>
      </c>
      <c r="AD5169">
        <v>-1.1047353073507999</v>
      </c>
      <c r="AE5169">
        <v>-9.5934200000000001</v>
      </c>
      <c r="AF5169">
        <v>-3.9922216765577101</v>
      </c>
      <c r="AG5169">
        <v>-1.1047353073507999</v>
      </c>
      <c r="AH5169">
        <v>9.3256367406726408</v>
      </c>
      <c r="AI5169">
        <v>96.215181210450993</v>
      </c>
      <c r="AJ5169">
        <v>113.17533399033201</v>
      </c>
      <c r="AK5169">
        <v>10.2042037726158</v>
      </c>
    </row>
    <row r="5170" spans="1:37" x14ac:dyDescent="0.2">
      <c r="A5170" t="str">
        <f>"20200111153754688"</f>
        <v>20200111153754688</v>
      </c>
      <c r="B5170" t="str">
        <f>"1578728274678383"</f>
        <v>1578728274678383</v>
      </c>
      <c r="C5170" t="s">
        <v>37</v>
      </c>
      <c r="D5170">
        <v>5.654909</v>
      </c>
      <c r="E5170">
        <v>0.41080519999999998</v>
      </c>
      <c r="F5170" t="s">
        <v>38</v>
      </c>
      <c r="G5170">
        <v>-302.0729</v>
      </c>
      <c r="H5170">
        <v>1.013833</v>
      </c>
      <c r="I5170">
        <v>-21.647459999999999</v>
      </c>
      <c r="J5170">
        <v>-302.4984</v>
      </c>
      <c r="K5170">
        <v>1.1047469999999999</v>
      </c>
      <c r="L5170">
        <v>-21.002289999999999</v>
      </c>
      <c r="M5170">
        <v>-4.1525279999999998E-2</v>
      </c>
      <c r="N5170">
        <v>0</v>
      </c>
      <c r="O5170">
        <v>-0.99906010000000001</v>
      </c>
      <c r="P5170">
        <v>0.21483949999999999</v>
      </c>
      <c r="Q5170">
        <v>2.788672E-2</v>
      </c>
      <c r="R5170">
        <v>-0.97625119999999899</v>
      </c>
      <c r="S5170">
        <v>1.3057859999999999</v>
      </c>
      <c r="T5170">
        <v>-0.28563280000000002</v>
      </c>
      <c r="U5170">
        <v>-2.794403</v>
      </c>
      <c r="V5170">
        <v>-0.2551968</v>
      </c>
      <c r="W5170">
        <v>3.9900980000000003E-2</v>
      </c>
      <c r="X5170">
        <v>0.96606550000000002</v>
      </c>
      <c r="Y5170">
        <v>-0.458829599999999</v>
      </c>
      <c r="Z5170">
        <v>9.1198080000000001E-2</v>
      </c>
      <c r="AA5170">
        <v>0.88383159999999905</v>
      </c>
      <c r="AB5170">
        <v>23</v>
      </c>
      <c r="AC5170">
        <v>0.42549999999999899</v>
      </c>
      <c r="AD5170">
        <v>-9.0913999999999898E-2</v>
      </c>
      <c r="AE5170">
        <v>-0.64517000000000002</v>
      </c>
      <c r="AF5170">
        <v>-0.44575747859555398</v>
      </c>
      <c r="AG5170">
        <v>-9.0913999999999898E-2</v>
      </c>
      <c r="AH5170">
        <v>0.61838583655238899</v>
      </c>
      <c r="AI5170">
        <v>96.8011315347063</v>
      </c>
      <c r="AJ5170">
        <v>125.785585609314</v>
      </c>
      <c r="AK5170">
        <v>0.76770184835550803</v>
      </c>
    </row>
    <row r="5171" spans="1:37" x14ac:dyDescent="0.2">
      <c r="A5171" t="str">
        <f>"20200111153754712"</f>
        <v>20200111153754712</v>
      </c>
      <c r="B5171" t="str">
        <f>"1578728274698879"</f>
        <v>1578728274698879</v>
      </c>
      <c r="C5171" t="s">
        <v>37</v>
      </c>
      <c r="D5171">
        <v>5.6289879999999997</v>
      </c>
      <c r="E5171">
        <v>0.41073490000000001</v>
      </c>
      <c r="F5171" t="s">
        <v>38</v>
      </c>
      <c r="G5171">
        <v>-302.09410000000003</v>
      </c>
      <c r="H5171">
        <v>1.0208950000000001</v>
      </c>
      <c r="I5171">
        <v>-21.85651</v>
      </c>
      <c r="J5171">
        <v>-302.50869999999998</v>
      </c>
      <c r="K5171">
        <v>1.104765</v>
      </c>
      <c r="L5171">
        <v>-21.24933</v>
      </c>
      <c r="M5171">
        <v>-4.145563E-2</v>
      </c>
      <c r="N5171">
        <v>0</v>
      </c>
      <c r="O5171">
        <v>-0.99906319999999904</v>
      </c>
      <c r="P5171">
        <v>0.2154375</v>
      </c>
      <c r="Q5171">
        <v>2.7448569999999999E-2</v>
      </c>
      <c r="R5171">
        <v>-0.97613159999999899</v>
      </c>
      <c r="S5171">
        <v>1.3208309999999901</v>
      </c>
      <c r="T5171">
        <v>-0.27388859999999998</v>
      </c>
      <c r="U5171">
        <v>-2.7901310000000001</v>
      </c>
      <c r="V5171">
        <v>-0.2557239</v>
      </c>
      <c r="W5171">
        <v>3.9423560000000003E-2</v>
      </c>
      <c r="X5171">
        <v>0.96594570000000002</v>
      </c>
      <c r="Y5171">
        <v>-0.46332899999999999</v>
      </c>
      <c r="Z5171">
        <v>8.7398980000000001E-2</v>
      </c>
      <c r="AA5171">
        <v>0.88186600000000004</v>
      </c>
      <c r="AB5171">
        <v>23</v>
      </c>
      <c r="AC5171">
        <v>0.41459999999995001</v>
      </c>
      <c r="AD5171">
        <v>-8.3869999999999806E-2</v>
      </c>
      <c r="AE5171">
        <v>-0.60717999999999905</v>
      </c>
      <c r="AF5171">
        <v>-0.433771939974399</v>
      </c>
      <c r="AG5171">
        <v>-8.3869999999999806E-2</v>
      </c>
      <c r="AH5171">
        <v>0.58189704961233601</v>
      </c>
      <c r="AI5171">
        <v>96.591737540418407</v>
      </c>
      <c r="AJ5171">
        <v>126.70248409543299</v>
      </c>
      <c r="AK5171">
        <v>0.73061374826695902</v>
      </c>
    </row>
    <row r="5172" spans="1:37" x14ac:dyDescent="0.2">
      <c r="A5172" t="str">
        <f>"20200111153754731"</f>
        <v>20200111153754731</v>
      </c>
      <c r="B5172" t="str">
        <f>"1578728274718398"</f>
        <v>1578728274718398</v>
      </c>
      <c r="C5172" t="s">
        <v>37</v>
      </c>
      <c r="D5172">
        <v>5.6329060000000002</v>
      </c>
      <c r="E5172">
        <v>0.41071289999999999</v>
      </c>
      <c r="F5172" t="s">
        <v>38</v>
      </c>
      <c r="G5172">
        <v>-302.1207</v>
      </c>
      <c r="H5172">
        <v>1.0236590000000001</v>
      </c>
      <c r="I5172">
        <v>-22.067360000000001</v>
      </c>
      <c r="J5172">
        <v>-302.51659999999998</v>
      </c>
      <c r="K5172">
        <v>1.1047739999999999</v>
      </c>
      <c r="L5172">
        <v>-21.441890000000001</v>
      </c>
      <c r="M5172">
        <v>-4.1366729999999997E-2</v>
      </c>
      <c r="N5172">
        <v>0</v>
      </c>
      <c r="O5172">
        <v>-0.99906719999999904</v>
      </c>
      <c r="P5172">
        <v>0.21564610000000001</v>
      </c>
      <c r="Q5172">
        <v>2.7362540000000001E-2</v>
      </c>
      <c r="R5172">
        <v>-0.97608809999999901</v>
      </c>
      <c r="S5172">
        <v>1.3229059999999999</v>
      </c>
      <c r="T5172">
        <v>-0.27654240000000002</v>
      </c>
      <c r="U5172">
        <v>-2.7891539999999999</v>
      </c>
      <c r="V5172">
        <v>-0.25584669999999998</v>
      </c>
      <c r="W5172">
        <v>3.9307309999999998E-2</v>
      </c>
      <c r="X5172">
        <v>0.9659179</v>
      </c>
      <c r="Y5172">
        <v>-0.46387319999999999</v>
      </c>
      <c r="Z5172">
        <v>8.8239979999999996E-2</v>
      </c>
      <c r="AA5172">
        <v>0.88149609999999901</v>
      </c>
      <c r="AB5172">
        <v>23</v>
      </c>
      <c r="AC5172">
        <v>0.39589999999998299</v>
      </c>
      <c r="AD5172">
        <v>-8.1114999999999798E-2</v>
      </c>
      <c r="AE5172">
        <v>-0.62546999999999997</v>
      </c>
      <c r="AF5172">
        <v>-0.41643624058644002</v>
      </c>
      <c r="AG5172">
        <v>-8.1114999999999798E-2</v>
      </c>
      <c r="AH5172">
        <v>0.60133550000393798</v>
      </c>
      <c r="AI5172">
        <v>96.328000204063002</v>
      </c>
      <c r="AJ5172">
        <v>124.703335886245</v>
      </c>
      <c r="AK5172">
        <v>0.73593693293906204</v>
      </c>
    </row>
    <row r="5173" spans="1:37" x14ac:dyDescent="0.2">
      <c r="A5173" t="str">
        <f>"20200111153754753"</f>
        <v>20200111153754753</v>
      </c>
      <c r="B5173" t="str">
        <f>"1578728274748654"</f>
        <v>1578728274748654</v>
      </c>
      <c r="C5173" t="s">
        <v>37</v>
      </c>
      <c r="D5173">
        <v>5.602957</v>
      </c>
      <c r="E5173">
        <v>0.41047230000000001</v>
      </c>
      <c r="F5173" t="s">
        <v>38</v>
      </c>
      <c r="G5173">
        <v>-302.12259999999998</v>
      </c>
      <c r="H5173">
        <v>1.0214809999999901</v>
      </c>
      <c r="I5173">
        <v>-22.271889999999999</v>
      </c>
      <c r="J5173">
        <v>-302.52609999999999</v>
      </c>
      <c r="K5173">
        <v>1.104797</v>
      </c>
      <c r="L5173">
        <v>-21.675660000000001</v>
      </c>
      <c r="M5173">
        <v>-4.1218789999999998E-2</v>
      </c>
      <c r="N5173">
        <v>0</v>
      </c>
      <c r="O5173">
        <v>-0.99907349999999995</v>
      </c>
      <c r="P5173">
        <v>0.2153755</v>
      </c>
      <c r="Q5173">
        <v>2.645171E-2</v>
      </c>
      <c r="R5173">
        <v>-0.97617330000000002</v>
      </c>
      <c r="S5173">
        <v>1.3237920000000001</v>
      </c>
      <c r="T5173">
        <v>-0.27987580000000001</v>
      </c>
      <c r="U5173">
        <v>-2.7888790000000001</v>
      </c>
      <c r="V5173">
        <v>-0.25543969999999999</v>
      </c>
      <c r="W5173">
        <v>3.836055E-2</v>
      </c>
      <c r="X5173">
        <v>0.96606369999999897</v>
      </c>
      <c r="Y5173">
        <v>-0.46396359999999998</v>
      </c>
      <c r="Z5173">
        <v>8.9294819999999997E-2</v>
      </c>
      <c r="AA5173">
        <v>0.88134230000000002</v>
      </c>
      <c r="AB5173">
        <v>23</v>
      </c>
      <c r="AC5173">
        <v>0.40350000000000802</v>
      </c>
      <c r="AD5173">
        <v>-8.3316000000000098E-2</v>
      </c>
      <c r="AE5173">
        <v>-0.59622999999999804</v>
      </c>
      <c r="AF5173">
        <v>-0.42208190534454199</v>
      </c>
      <c r="AG5173">
        <v>-8.3316000000000098E-2</v>
      </c>
      <c r="AH5173">
        <v>0.57143697817814698</v>
      </c>
      <c r="AI5173">
        <v>96.6889495749448</v>
      </c>
      <c r="AJ5173">
        <v>126.450778755603</v>
      </c>
      <c r="AK5173">
        <v>0.71528659340480505</v>
      </c>
    </row>
    <row r="5174" spans="1:37" x14ac:dyDescent="0.2">
      <c r="A5174" t="str">
        <f>"20200111153754776"</f>
        <v>20200111153754776</v>
      </c>
      <c r="B5174" t="str">
        <f>"1578728274768175"</f>
        <v>1578728274768175</v>
      </c>
      <c r="C5174" t="s">
        <v>37</v>
      </c>
      <c r="D5174">
        <v>5.6162199999999904</v>
      </c>
      <c r="E5174">
        <v>0.41037370000000001</v>
      </c>
      <c r="F5174" t="s">
        <v>38</v>
      </c>
      <c r="G5174">
        <v>-302.135999999999</v>
      </c>
      <c r="H5174">
        <v>1.0207790000000001</v>
      </c>
      <c r="I5174">
        <v>-22.49701</v>
      </c>
      <c r="J5174">
        <v>-302.53590000000003</v>
      </c>
      <c r="K5174">
        <v>1.104819</v>
      </c>
      <c r="L5174">
        <v>-21.91602</v>
      </c>
      <c r="M5174">
        <v>-4.102625E-2</v>
      </c>
      <c r="N5174">
        <v>0</v>
      </c>
      <c r="O5174">
        <v>-0.99908189999999997</v>
      </c>
      <c r="P5174">
        <v>0.21412729999999899</v>
      </c>
      <c r="Q5174">
        <v>2.5088639999999999E-2</v>
      </c>
      <c r="R5174">
        <v>-0.97648389999999996</v>
      </c>
      <c r="S5174">
        <v>1.3251649999999999</v>
      </c>
      <c r="T5174">
        <v>-0.28526119999999999</v>
      </c>
      <c r="U5174">
        <v>-2.7885740000000001</v>
      </c>
      <c r="V5174">
        <v>-0.25402199999999903</v>
      </c>
      <c r="W5174">
        <v>3.6963929999999999E-2</v>
      </c>
      <c r="X5174">
        <v>0.96649180000000001</v>
      </c>
      <c r="Y5174">
        <v>-0.46411809999999998</v>
      </c>
      <c r="Z5174">
        <v>9.0994119999999998E-2</v>
      </c>
      <c r="AA5174">
        <v>0.88108709999999901</v>
      </c>
      <c r="AB5174">
        <v>23</v>
      </c>
      <c r="AC5174">
        <v>0.39990000000005899</v>
      </c>
      <c r="AD5174">
        <v>-8.4039999999999795E-2</v>
      </c>
      <c r="AE5174">
        <v>-0.58098999999999901</v>
      </c>
      <c r="AF5174">
        <v>-0.41747391374421</v>
      </c>
      <c r="AG5174">
        <v>-8.4039999999999795E-2</v>
      </c>
      <c r="AH5174">
        <v>0.55619663606578396</v>
      </c>
      <c r="AI5174">
        <v>96.890443263696497</v>
      </c>
      <c r="AJ5174">
        <v>126.891413117428</v>
      </c>
      <c r="AK5174">
        <v>0.70050116932650597</v>
      </c>
    </row>
    <row r="5175" spans="1:37" x14ac:dyDescent="0.2">
      <c r="A5175" t="str">
        <f>"20200111153754798"</f>
        <v>20200111153754798</v>
      </c>
      <c r="B5175" t="str">
        <f>"1578728274788670"</f>
        <v>1578728274788670</v>
      </c>
      <c r="C5175" t="s">
        <v>37</v>
      </c>
      <c r="D5175">
        <v>5.8888550000000004</v>
      </c>
      <c r="E5175">
        <v>0.41085240000000001</v>
      </c>
      <c r="F5175" t="s">
        <v>38</v>
      </c>
      <c r="G5175">
        <v>-302.13389999999998</v>
      </c>
      <c r="H5175">
        <v>1.0167660000000001</v>
      </c>
      <c r="I5175">
        <v>-22.764050000000001</v>
      </c>
      <c r="J5175">
        <v>-302.5446</v>
      </c>
      <c r="K5175">
        <v>1.1048340000000001</v>
      </c>
      <c r="L5175">
        <v>-22.1358</v>
      </c>
      <c r="M5175">
        <v>-4.0808450000000003E-2</v>
      </c>
      <c r="N5175">
        <v>0</v>
      </c>
      <c r="O5175">
        <v>-0.99909099999999995</v>
      </c>
      <c r="P5175">
        <v>0.2119152</v>
      </c>
      <c r="Q5175">
        <v>2.3607309999999999E-2</v>
      </c>
      <c r="R5175">
        <v>-0.97700330000000002</v>
      </c>
      <c r="S5175">
        <v>1.322632</v>
      </c>
      <c r="T5175">
        <v>-0.28965740000000001</v>
      </c>
      <c r="U5175">
        <v>-2.78964199999999</v>
      </c>
      <c r="V5175">
        <v>-0.25162420000000002</v>
      </c>
      <c r="W5175">
        <v>3.5461439999999997E-2</v>
      </c>
      <c r="X5175">
        <v>0.96717509999999995</v>
      </c>
      <c r="Y5175">
        <v>-0.46308569999999999</v>
      </c>
      <c r="Z5175">
        <v>9.2396049999999993E-2</v>
      </c>
      <c r="AA5175">
        <v>0.8814843</v>
      </c>
      <c r="AB5175">
        <v>23</v>
      </c>
      <c r="AC5175">
        <v>0.41070000000001899</v>
      </c>
      <c r="AD5175">
        <v>-8.8067999999999994E-2</v>
      </c>
      <c r="AE5175">
        <v>-0.62825000000000097</v>
      </c>
      <c r="AF5175">
        <v>-0.43007680087137201</v>
      </c>
      <c r="AG5175">
        <v>-8.8067999999999994E-2</v>
      </c>
      <c r="AH5175">
        <v>0.60266831881896499</v>
      </c>
      <c r="AI5175">
        <v>96.783366862369505</v>
      </c>
      <c r="AJ5175">
        <v>125.51245325159501</v>
      </c>
      <c r="AK5175">
        <v>0.74560789278268202</v>
      </c>
    </row>
    <row r="5176" spans="1:37" x14ac:dyDescent="0.2">
      <c r="A5176" t="str">
        <f>"20200111153754820"</f>
        <v>20200111153754820</v>
      </c>
      <c r="B5176" t="str">
        <f>"1578728274808191"</f>
        <v>1578728274808191</v>
      </c>
      <c r="C5176" t="s">
        <v>37</v>
      </c>
      <c r="D5176">
        <v>5.9264419999999998</v>
      </c>
      <c r="E5176">
        <v>0.47659049999999997</v>
      </c>
      <c r="F5176" t="s">
        <v>39</v>
      </c>
      <c r="G5176">
        <v>-297.6148</v>
      </c>
      <c r="H5176" s="1">
        <v>-3.7436620000000001E-6</v>
      </c>
      <c r="I5176">
        <v>-32.626899999999999</v>
      </c>
      <c r="J5176">
        <v>-302.55369999999999</v>
      </c>
      <c r="K5176">
        <v>1.1048439999999999</v>
      </c>
      <c r="L5176">
        <v>-22.36459</v>
      </c>
      <c r="M5176">
        <v>-4.0543269999999999E-2</v>
      </c>
      <c r="N5176">
        <v>0</v>
      </c>
      <c r="O5176">
        <v>-0.99910200000000005</v>
      </c>
      <c r="P5176">
        <v>0.20954420000000001</v>
      </c>
      <c r="Q5176">
        <v>2.2532960000000001E-2</v>
      </c>
      <c r="R5176">
        <v>-0.97753989999999902</v>
      </c>
      <c r="S5176">
        <v>1.3124690000000001</v>
      </c>
      <c r="T5176">
        <v>-0.294139599999999</v>
      </c>
      <c r="U5176">
        <v>-2.7930299999999999</v>
      </c>
      <c r="V5176">
        <v>-0.24902150000000001</v>
      </c>
      <c r="W5176">
        <v>3.436587E-2</v>
      </c>
      <c r="X5176">
        <v>0.96788809999999903</v>
      </c>
      <c r="Y5176">
        <v>-0.45975149999999998</v>
      </c>
      <c r="Z5176">
        <v>9.38663E-2</v>
      </c>
      <c r="AA5176">
        <v>0.88307289999999905</v>
      </c>
      <c r="AB5176">
        <v>23</v>
      </c>
      <c r="AC5176">
        <v>4.9388999999999896</v>
      </c>
      <c r="AD5176">
        <v>-1.1048477436619999</v>
      </c>
      <c r="AE5176">
        <v>-10.262309999999999</v>
      </c>
      <c r="AF5176">
        <v>-5.3010491119450096</v>
      </c>
      <c r="AG5176">
        <v>-1.1048477436619999</v>
      </c>
      <c r="AH5176">
        <v>9.9598834085866805</v>
      </c>
      <c r="AI5176">
        <v>95.592780328284306</v>
      </c>
      <c r="AJ5176">
        <v>118.02369743103399</v>
      </c>
      <c r="AK5176">
        <v>11.3367141507832</v>
      </c>
    </row>
    <row r="5177" spans="1:37" x14ac:dyDescent="0.2">
      <c r="A5177" t="str">
        <f>"20200111153754842"</f>
        <v>20200111153754842</v>
      </c>
      <c r="B5177" t="str">
        <f>"1578728274828686"</f>
        <v>1578728274828686</v>
      </c>
      <c r="C5177" t="s">
        <v>37</v>
      </c>
      <c r="D5177">
        <v>5.9496459999999898</v>
      </c>
      <c r="E5177">
        <v>0.54369769999999995</v>
      </c>
      <c r="F5177" t="s">
        <v>39</v>
      </c>
      <c r="G5177">
        <v>-299.81319999999999</v>
      </c>
      <c r="H5177" s="1">
        <v>-3.436176E-6</v>
      </c>
      <c r="I5177">
        <v>-32.434629999999999</v>
      </c>
      <c r="J5177">
        <v>-302.56270000000001</v>
      </c>
      <c r="K5177">
        <v>1.1048530000000001</v>
      </c>
      <c r="L5177">
        <v>-22.594360000000002</v>
      </c>
      <c r="M5177">
        <v>-4.0246240000000003E-2</v>
      </c>
      <c r="N5177">
        <v>0</v>
      </c>
      <c r="O5177">
        <v>-0.99911419999999995</v>
      </c>
      <c r="P5177">
        <v>0.2071017</v>
      </c>
      <c r="Q5177">
        <v>2.222037E-2</v>
      </c>
      <c r="R5177">
        <v>-0.97806719999999903</v>
      </c>
      <c r="S5177">
        <v>0.79104609999999997</v>
      </c>
      <c r="T5177">
        <v>-0.31891320000000001</v>
      </c>
      <c r="U5177">
        <v>-2.9067080000000001</v>
      </c>
      <c r="V5177">
        <v>-0.2463157</v>
      </c>
      <c r="W5177">
        <v>3.4028460000000003E-2</v>
      </c>
      <c r="X5177">
        <v>0.96859209999999996</v>
      </c>
      <c r="Y5177">
        <v>-0.29977340000000002</v>
      </c>
      <c r="Z5177">
        <v>0.1045408</v>
      </c>
      <c r="AA5177">
        <v>0.94826529999999998</v>
      </c>
      <c r="AB5177">
        <v>23</v>
      </c>
      <c r="AC5177">
        <v>2.74950000000001</v>
      </c>
      <c r="AD5177">
        <v>-1.104856436176</v>
      </c>
      <c r="AE5177">
        <v>-9.8402699999999896</v>
      </c>
      <c r="AF5177">
        <v>-3.1070035710047601</v>
      </c>
      <c r="AG5177">
        <v>-1.104856436176</v>
      </c>
      <c r="AH5177">
        <v>9.6092633830667804</v>
      </c>
      <c r="AI5177">
        <v>96.243425671313901</v>
      </c>
      <c r="AJ5177">
        <v>107.917794616062</v>
      </c>
      <c r="AK5177">
        <v>10.1593366761784</v>
      </c>
    </row>
    <row r="5178" spans="1:37" x14ac:dyDescent="0.2">
      <c r="A5178" t="str">
        <f>"20200111153754865"</f>
        <v>20200111153754865</v>
      </c>
      <c r="B5178" t="str">
        <f>"1578728274858943"</f>
        <v>1578728274858943</v>
      </c>
      <c r="C5178" t="s">
        <v>37</v>
      </c>
      <c r="D5178">
        <v>5.9037410000000001</v>
      </c>
      <c r="E5178">
        <v>0.55734939999999999</v>
      </c>
      <c r="F5178" t="s">
        <v>39</v>
      </c>
      <c r="G5178">
        <v>-301.71910000000003</v>
      </c>
      <c r="H5178" s="1">
        <v>-3.8695519999999997E-6</v>
      </c>
      <c r="I5178">
        <v>-32.457070000000002</v>
      </c>
      <c r="J5178">
        <v>-302.572</v>
      </c>
      <c r="K5178">
        <v>1.1048610000000001</v>
      </c>
      <c r="L5178">
        <v>-22.833100000000002</v>
      </c>
      <c r="M5178">
        <v>-3.9920299999999999E-2</v>
      </c>
      <c r="N5178">
        <v>0</v>
      </c>
      <c r="O5178">
        <v>-0.99912769999999995</v>
      </c>
      <c r="P5178">
        <v>0.20589740000000001</v>
      </c>
      <c r="Q5178">
        <v>2.2382519999999999E-2</v>
      </c>
      <c r="R5178">
        <v>-0.97831789999999996</v>
      </c>
      <c r="S5178">
        <v>0.25836179999999997</v>
      </c>
      <c r="T5178">
        <v>-0.338341</v>
      </c>
      <c r="U5178">
        <v>-3.0202640000000001</v>
      </c>
      <c r="V5178">
        <v>-0.24480669999999999</v>
      </c>
      <c r="W5178">
        <v>3.4164760000000002E-2</v>
      </c>
      <c r="X5178">
        <v>0.96896979999999999</v>
      </c>
      <c r="Y5178">
        <v>-0.12441769999999901</v>
      </c>
      <c r="Z5178">
        <v>0.11056189999999901</v>
      </c>
      <c r="AA5178">
        <v>0.98605080000000001</v>
      </c>
      <c r="AB5178">
        <v>23</v>
      </c>
      <c r="AC5178">
        <v>0.85289999999997601</v>
      </c>
      <c r="AD5178">
        <v>-1.104864869552</v>
      </c>
      <c r="AE5178">
        <v>-9.6239699999999999</v>
      </c>
      <c r="AF5178">
        <v>-1.22048027972512</v>
      </c>
      <c r="AG5178">
        <v>-1.104864869552</v>
      </c>
      <c r="AH5178">
        <v>9.4585559824138201</v>
      </c>
      <c r="AI5178">
        <v>96.608296332827507</v>
      </c>
      <c r="AJ5178">
        <v>97.352507126629106</v>
      </c>
      <c r="AK5178">
        <v>9.6007593327624008</v>
      </c>
    </row>
    <row r="5179" spans="1:37" x14ac:dyDescent="0.2">
      <c r="A5179" t="str">
        <f>"20200111153754887"</f>
        <v>20200111153754887</v>
      </c>
      <c r="B5179" t="str">
        <f>"1578728274878463"</f>
        <v>1578728274878463</v>
      </c>
      <c r="C5179" t="s">
        <v>37</v>
      </c>
      <c r="D5179">
        <v>5.8493769999999996</v>
      </c>
      <c r="E5179">
        <v>0.55868850000000003</v>
      </c>
      <c r="F5179" t="s">
        <v>39</v>
      </c>
      <c r="G5179">
        <v>-302.15710000000001</v>
      </c>
      <c r="H5179" s="1">
        <v>-4.2946079999999997E-6</v>
      </c>
      <c r="I5179">
        <v>-31.517700000000001</v>
      </c>
      <c r="J5179">
        <v>-302.58069999999998</v>
      </c>
      <c r="K5179">
        <v>1.104865</v>
      </c>
      <c r="L5179">
        <v>-23.05951</v>
      </c>
      <c r="M5179">
        <v>-3.9606769999999999E-2</v>
      </c>
      <c r="N5179">
        <v>0</v>
      </c>
      <c r="O5179">
        <v>-0.99914009999999998</v>
      </c>
      <c r="P5179">
        <v>0.2055681</v>
      </c>
      <c r="Q5179">
        <v>2.2797810000000002E-2</v>
      </c>
      <c r="R5179">
        <v>-0.97837689999999999</v>
      </c>
      <c r="S5179">
        <v>0.14544679999999999</v>
      </c>
      <c r="T5179">
        <v>-0.38735530000000001</v>
      </c>
      <c r="U5179">
        <v>-3.0447389999999999</v>
      </c>
      <c r="V5179">
        <v>-0.24417639999999999</v>
      </c>
      <c r="W5179">
        <v>3.4551239999999997E-2</v>
      </c>
      <c r="X5179">
        <v>0.96911510000000001</v>
      </c>
      <c r="Y5179">
        <v>-8.6862990000000001E-2</v>
      </c>
      <c r="Z5179">
        <v>0.1257462</v>
      </c>
      <c r="AA5179">
        <v>0.98825229999999997</v>
      </c>
      <c r="AB5179">
        <v>23</v>
      </c>
      <c r="AC5179">
        <v>0.42359999999996401</v>
      </c>
      <c r="AD5179">
        <v>-1.1048692946080001</v>
      </c>
      <c r="AE5179">
        <v>-8.4581900000000001</v>
      </c>
      <c r="AF5179">
        <v>-0.74560360274585702</v>
      </c>
      <c r="AG5179">
        <v>-1.1048692946080001</v>
      </c>
      <c r="AH5179">
        <v>8.2936099765362794</v>
      </c>
      <c r="AI5179">
        <v>97.558099315696595</v>
      </c>
      <c r="AJ5179">
        <v>95.137136241504706</v>
      </c>
      <c r="AK5179">
        <v>8.4000373411965992</v>
      </c>
    </row>
    <row r="5180" spans="1:37" x14ac:dyDescent="0.2">
      <c r="A5180" t="str">
        <f>"20200111153754909"</f>
        <v>20200111153754909</v>
      </c>
      <c r="B5180" t="str">
        <f>"1578728274898959"</f>
        <v>1578728274898959</v>
      </c>
      <c r="C5180" t="s">
        <v>37</v>
      </c>
      <c r="D5180">
        <v>5.8694819999999996</v>
      </c>
      <c r="E5180">
        <v>0.55863940000000001</v>
      </c>
      <c r="F5180" t="s">
        <v>39</v>
      </c>
      <c r="G5180">
        <v>-302.2022</v>
      </c>
      <c r="H5180" s="1">
        <v>-4.2400049999999902E-6</v>
      </c>
      <c r="I5180">
        <v>-31.701659999999901</v>
      </c>
      <c r="J5180">
        <v>-302.58940000000001</v>
      </c>
      <c r="K5180">
        <v>1.1048629999999999</v>
      </c>
      <c r="L5180">
        <v>-23.288119999999999</v>
      </c>
      <c r="M5180">
        <v>-3.9293170000000002E-2</v>
      </c>
      <c r="N5180">
        <v>0</v>
      </c>
      <c r="O5180">
        <v>-0.99915299999999996</v>
      </c>
      <c r="P5180">
        <v>0.20505999999999999</v>
      </c>
      <c r="Q5180">
        <v>2.4274069999999998E-2</v>
      </c>
      <c r="R5180">
        <v>-0.9784484</v>
      </c>
      <c r="S5180">
        <v>0.1334534</v>
      </c>
      <c r="T5180">
        <v>-0.38959109999999902</v>
      </c>
      <c r="U5180">
        <v>-3.0473330000000001</v>
      </c>
      <c r="V5180">
        <v>-0.24336820000000001</v>
      </c>
      <c r="W5180">
        <v>3.5994680000000001E-2</v>
      </c>
      <c r="X5180">
        <v>0.96926590000000001</v>
      </c>
      <c r="Y5180">
        <v>-8.262456E-2</v>
      </c>
      <c r="Z5180">
        <v>0.126391</v>
      </c>
      <c r="AA5180">
        <v>0.98853349999999995</v>
      </c>
      <c r="AB5180">
        <v>23</v>
      </c>
      <c r="AC5180">
        <v>0.38720000000000698</v>
      </c>
      <c r="AD5180">
        <v>-1.1048672400049999</v>
      </c>
      <c r="AE5180">
        <v>-8.4135399999999905</v>
      </c>
      <c r="AF5180">
        <v>-0.70538169098255898</v>
      </c>
      <c r="AG5180">
        <v>-1.1048672400049999</v>
      </c>
      <c r="AH5180">
        <v>8.2498580642323294</v>
      </c>
      <c r="AI5180">
        <v>97.600576750499599</v>
      </c>
      <c r="AJ5180">
        <v>94.887033912323403</v>
      </c>
      <c r="AK5180">
        <v>8.3533498087886198</v>
      </c>
    </row>
    <row r="5181" spans="1:37" x14ac:dyDescent="0.2">
      <c r="A5181" t="str">
        <f>"20200111153754932"</f>
        <v>20200111153754932</v>
      </c>
      <c r="B5181" t="str">
        <f>"1578728274918478"</f>
        <v>1578728274918478</v>
      </c>
      <c r="C5181" t="s">
        <v>37</v>
      </c>
      <c r="D5181">
        <v>5.8668800000000001</v>
      </c>
      <c r="E5181">
        <v>0.55848390000000003</v>
      </c>
      <c r="F5181" t="s">
        <v>39</v>
      </c>
      <c r="G5181">
        <v>-302.2045</v>
      </c>
      <c r="H5181" s="1">
        <v>-4.1016900000000002E-6</v>
      </c>
      <c r="I5181">
        <v>-32.109279999999998</v>
      </c>
      <c r="J5181">
        <v>-302.59829999999999</v>
      </c>
      <c r="K5181">
        <v>1.1048579999999999</v>
      </c>
      <c r="L5181">
        <v>-23.522549999999999</v>
      </c>
      <c r="M5181">
        <v>-3.897606E-2</v>
      </c>
      <c r="N5181">
        <v>0</v>
      </c>
      <c r="O5181">
        <v>-0.99916609999999995</v>
      </c>
      <c r="P5181">
        <v>0.20456640000000001</v>
      </c>
      <c r="Q5181">
        <v>2.5727860000000002E-2</v>
      </c>
      <c r="R5181">
        <v>-0.97851449999999995</v>
      </c>
      <c r="S5181">
        <v>0.13299559999999999</v>
      </c>
      <c r="T5181">
        <v>-0.38172630000000002</v>
      </c>
      <c r="U5181">
        <v>-3.0476679999999998</v>
      </c>
      <c r="V5181">
        <v>-0.24257020000000001</v>
      </c>
      <c r="W5181">
        <v>3.7412800000000003E-2</v>
      </c>
      <c r="X5181">
        <v>0.96941219999999995</v>
      </c>
      <c r="Y5181">
        <v>-8.2169199999999998E-2</v>
      </c>
      <c r="Z5181">
        <v>0.12387089999999901</v>
      </c>
      <c r="AA5181">
        <v>0.98889039999999995</v>
      </c>
      <c r="AB5181">
        <v>23</v>
      </c>
      <c r="AC5181">
        <v>0.39379999999999798</v>
      </c>
      <c r="AD5181">
        <v>-1.10486210169</v>
      </c>
      <c r="AE5181">
        <v>-8.5867299999999993</v>
      </c>
      <c r="AF5181">
        <v>-0.71636697403903205</v>
      </c>
      <c r="AG5181">
        <v>-1.10486210169</v>
      </c>
      <c r="AH5181">
        <v>8.42565052227922</v>
      </c>
      <c r="AI5181">
        <v>97.444060508716603</v>
      </c>
      <c r="AJ5181">
        <v>94.859723262311206</v>
      </c>
      <c r="AK5181">
        <v>8.5279240515396708</v>
      </c>
    </row>
    <row r="5182" spans="1:37" x14ac:dyDescent="0.2">
      <c r="A5182" t="str">
        <f>"20200111153754954"</f>
        <v>20200111153754954</v>
      </c>
      <c r="B5182" t="str">
        <f>"1578728274948734"</f>
        <v>1578728274948734</v>
      </c>
      <c r="C5182" t="s">
        <v>37</v>
      </c>
      <c r="D5182">
        <v>5.8010890000000002</v>
      </c>
      <c r="E5182">
        <v>0.55855049999999995</v>
      </c>
      <c r="F5182" t="s">
        <v>39</v>
      </c>
      <c r="G5182">
        <v>-302.2079</v>
      </c>
      <c r="H5182" s="1">
        <v>-3.9840259999999998E-6</v>
      </c>
      <c r="I5182">
        <v>-32.45682</v>
      </c>
      <c r="J5182">
        <v>-302.6069</v>
      </c>
      <c r="K5182">
        <v>1.1048549999999999</v>
      </c>
      <c r="L5182">
        <v>-23.752040000000001</v>
      </c>
      <c r="M5182">
        <v>-3.8669469999999997E-2</v>
      </c>
      <c r="N5182">
        <v>0</v>
      </c>
      <c r="O5182">
        <v>-0.99917849999999997</v>
      </c>
      <c r="P5182">
        <v>0.20429079999999999</v>
      </c>
      <c r="Q5182">
        <v>2.672689E-2</v>
      </c>
      <c r="R5182">
        <v>-0.97854549999999996</v>
      </c>
      <c r="S5182">
        <v>0.13317870000000001</v>
      </c>
      <c r="T5182">
        <v>-0.37692579999999998</v>
      </c>
      <c r="U5182">
        <v>-3.0479430000000001</v>
      </c>
      <c r="V5182">
        <v>-0.241998299999999</v>
      </c>
      <c r="W5182">
        <v>3.8381510000000001E-2</v>
      </c>
      <c r="X5182">
        <v>0.96951719999999897</v>
      </c>
      <c r="Y5182">
        <v>-8.1927169999999994E-2</v>
      </c>
      <c r="Z5182">
        <v>0.122329199999999</v>
      </c>
      <c r="AA5182">
        <v>0.98910239999999905</v>
      </c>
      <c r="AB5182">
        <v>23</v>
      </c>
      <c r="AC5182">
        <v>0.39900000000000002</v>
      </c>
      <c r="AD5182">
        <v>-1.1048589840259999</v>
      </c>
      <c r="AE5182">
        <v>-8.7047799999999995</v>
      </c>
      <c r="AF5182">
        <v>-0.72370105016437403</v>
      </c>
      <c r="AG5182">
        <v>-1.1048589840259999</v>
      </c>
      <c r="AH5182">
        <v>8.5454585913007204</v>
      </c>
      <c r="AI5182">
        <v>97.341024161151907</v>
      </c>
      <c r="AJ5182">
        <v>94.840736054132904</v>
      </c>
      <c r="AK5182">
        <v>8.6469254142861196</v>
      </c>
    </row>
    <row r="5183" spans="1:37" x14ac:dyDescent="0.2">
      <c r="A5183" t="str">
        <f>"20200111153754977"</f>
        <v>20200111153754977</v>
      </c>
      <c r="B5183" t="str">
        <f>"1578728274968254"</f>
        <v>1578728274968254</v>
      </c>
      <c r="C5183" t="s">
        <v>37</v>
      </c>
      <c r="D5183">
        <v>5.8057619999999996</v>
      </c>
      <c r="E5183">
        <v>0.55859939999999997</v>
      </c>
      <c r="F5183" t="s">
        <v>39</v>
      </c>
      <c r="G5183">
        <v>-302.20359999999999</v>
      </c>
      <c r="H5183" s="1">
        <v>-3.7571929999999998E-6</v>
      </c>
      <c r="I5183">
        <v>-33.019529999999897</v>
      </c>
      <c r="J5183">
        <v>-302.6155</v>
      </c>
      <c r="K5183">
        <v>1.1048559999999901</v>
      </c>
      <c r="L5183">
        <v>-23.984220000000001</v>
      </c>
      <c r="M5183">
        <v>-3.8365469999999999E-2</v>
      </c>
      <c r="N5183">
        <v>0</v>
      </c>
      <c r="O5183">
        <v>-0.99919069999999899</v>
      </c>
      <c r="P5183">
        <v>0.20401720000000001</v>
      </c>
      <c r="Q5183">
        <v>2.7479150000000001E-2</v>
      </c>
      <c r="R5183">
        <v>-0.97858159999999905</v>
      </c>
      <c r="S5183">
        <v>0.13262939999999901</v>
      </c>
      <c r="T5183">
        <v>-0.36337959999999903</v>
      </c>
      <c r="U5183">
        <v>-3.0480040000000002</v>
      </c>
      <c r="V5183">
        <v>-0.24143110000000001</v>
      </c>
      <c r="W5183">
        <v>3.9105760000000003E-2</v>
      </c>
      <c r="X5183">
        <v>0.96962969999999904</v>
      </c>
      <c r="Y5183">
        <v>-8.1467999999999999E-2</v>
      </c>
      <c r="Z5183">
        <v>0.1179979</v>
      </c>
      <c r="AA5183">
        <v>0.9896663</v>
      </c>
      <c r="AB5183">
        <v>23</v>
      </c>
      <c r="AC5183">
        <v>0.41190000000000199</v>
      </c>
      <c r="AD5183">
        <v>-1.1048597571929999</v>
      </c>
      <c r="AE5183">
        <v>-9.0353099999999902</v>
      </c>
      <c r="AF5183">
        <v>-0.74711745855580902</v>
      </c>
      <c r="AG5183">
        <v>-1.1048597571929999</v>
      </c>
      <c r="AH5183">
        <v>8.8803408094811793</v>
      </c>
      <c r="AI5183">
        <v>97.067374854034398</v>
      </c>
      <c r="AJ5183">
        <v>94.809061700395603</v>
      </c>
      <c r="AK5183">
        <v>8.9799416742248592</v>
      </c>
    </row>
    <row r="5184" spans="1:37" x14ac:dyDescent="0.2">
      <c r="A5184" t="str">
        <f>"20200111153754998"</f>
        <v>20200111153754998</v>
      </c>
      <c r="B5184" t="str">
        <f>"1578728274988750"</f>
        <v>1578728274988750</v>
      </c>
      <c r="C5184" t="s">
        <v>37</v>
      </c>
      <c r="D5184">
        <v>5.8371620000000002</v>
      </c>
      <c r="E5184">
        <v>0.55842340000000001</v>
      </c>
      <c r="F5184" t="s">
        <v>39</v>
      </c>
      <c r="G5184">
        <v>-302.20429999999999</v>
      </c>
      <c r="H5184" s="1">
        <v>-3.5693079999999899E-6</v>
      </c>
      <c r="I5184">
        <v>-33.457879999999903</v>
      </c>
      <c r="J5184">
        <v>-302.62380000000002</v>
      </c>
      <c r="K5184">
        <v>1.1048549999999999</v>
      </c>
      <c r="L5184">
        <v>-24.207729999999898</v>
      </c>
      <c r="M5184">
        <v>-3.8078760000000003E-2</v>
      </c>
      <c r="N5184">
        <v>0</v>
      </c>
      <c r="O5184">
        <v>-0.99920209999999998</v>
      </c>
      <c r="P5184">
        <v>0.20334479999999999</v>
      </c>
      <c r="Q5184">
        <v>2.7915240000000001E-2</v>
      </c>
      <c r="R5184">
        <v>-0.97870959999999996</v>
      </c>
      <c r="S5184">
        <v>0.1323242</v>
      </c>
      <c r="T5184">
        <v>-0.35547899999999999</v>
      </c>
      <c r="U5184">
        <v>-3.0480649999999998</v>
      </c>
      <c r="V5184">
        <v>-0.24048539999999999</v>
      </c>
      <c r="W5184">
        <v>3.9512190000000003E-2</v>
      </c>
      <c r="X5184">
        <v>0.96984820000000005</v>
      </c>
      <c r="Y5184">
        <v>-8.1095169999999994E-2</v>
      </c>
      <c r="Z5184">
        <v>0.1154688</v>
      </c>
      <c r="AA5184">
        <v>0.98999519999999996</v>
      </c>
      <c r="AB5184">
        <v>23</v>
      </c>
      <c r="AC5184">
        <v>0.41950000000002702</v>
      </c>
      <c r="AD5184">
        <v>-1.104858569308</v>
      </c>
      <c r="AE5184">
        <v>-9.2501499999999908</v>
      </c>
      <c r="AF5184">
        <v>-0.76062635794290701</v>
      </c>
      <c r="AG5184">
        <v>-1.104858569308</v>
      </c>
      <c r="AH5184">
        <v>9.09793624596937</v>
      </c>
      <c r="AI5184">
        <v>96.900286344252905</v>
      </c>
      <c r="AJ5184">
        <v>94.779058061000597</v>
      </c>
      <c r="AK5184">
        <v>9.1962877755262795</v>
      </c>
    </row>
    <row r="5185" spans="1:37" x14ac:dyDescent="0.2">
      <c r="A5185" t="str">
        <f>"20200111153755021"</f>
        <v>20200111153755021</v>
      </c>
      <c r="B5185" t="str">
        <f>"1578728275008271"</f>
        <v>1578728275008271</v>
      </c>
      <c r="C5185" t="s">
        <v>37</v>
      </c>
      <c r="D5185">
        <v>5.8373429999999997</v>
      </c>
      <c r="E5185">
        <v>0.55826049999999905</v>
      </c>
      <c r="F5185" t="s">
        <v>39</v>
      </c>
      <c r="G5185">
        <v>-302.2029</v>
      </c>
      <c r="H5185" s="1">
        <v>-3.372058E-6</v>
      </c>
      <c r="I5185">
        <v>-33.916849999999997</v>
      </c>
      <c r="J5185">
        <v>-302.63229999999999</v>
      </c>
      <c r="K5185">
        <v>1.1048500000000001</v>
      </c>
      <c r="L5185">
        <v>-24.43976</v>
      </c>
      <c r="M5185">
        <v>-3.7784760000000001E-2</v>
      </c>
      <c r="N5185">
        <v>0</v>
      </c>
      <c r="O5185">
        <v>-0.99921380000000004</v>
      </c>
      <c r="P5185">
        <v>0.20272950000000001</v>
      </c>
      <c r="Q5185">
        <v>2.8648259999999998E-2</v>
      </c>
      <c r="R5185">
        <v>-0.97881589999999996</v>
      </c>
      <c r="S5185">
        <v>0.13211059999999999</v>
      </c>
      <c r="T5185">
        <v>-0.34681580000000001</v>
      </c>
      <c r="U5185">
        <v>-3.0476990000000002</v>
      </c>
      <c r="V5185">
        <v>-0.23958879999999999</v>
      </c>
      <c r="W5185">
        <v>4.021305E-2</v>
      </c>
      <c r="X5185">
        <v>0.9700413</v>
      </c>
      <c r="Y5185">
        <v>-8.0751550000000005E-2</v>
      </c>
      <c r="Z5185">
        <v>0.11270819999999999</v>
      </c>
      <c r="AA5185">
        <v>0.99034140000000004</v>
      </c>
      <c r="AB5185">
        <v>23</v>
      </c>
      <c r="AC5185">
        <v>0.42939999999998602</v>
      </c>
      <c r="AD5185">
        <v>-1.104853372058</v>
      </c>
      <c r="AE5185">
        <v>-9.4770899999999898</v>
      </c>
      <c r="AF5185">
        <v>-0.77667434880214803</v>
      </c>
      <c r="AG5185">
        <v>-1.104853372058</v>
      </c>
      <c r="AH5185">
        <v>9.3275817619119099</v>
      </c>
      <c r="AI5185">
        <v>96.7321349077137</v>
      </c>
      <c r="AJ5185">
        <v>94.759834308618593</v>
      </c>
      <c r="AK5185">
        <v>9.4248451203713106</v>
      </c>
    </row>
    <row r="5186" spans="1:37" x14ac:dyDescent="0.2">
      <c r="A5186" t="str">
        <f>"20200111153755044"</f>
        <v>20200111153755044</v>
      </c>
      <c r="B5186" t="str">
        <f>"1578728275038526"</f>
        <v>1578728275038526</v>
      </c>
      <c r="C5186" t="s">
        <v>37</v>
      </c>
      <c r="D5186">
        <v>5.8192089999999999</v>
      </c>
      <c r="E5186">
        <v>0.55789509999999998</v>
      </c>
      <c r="F5186" t="s">
        <v>39</v>
      </c>
      <c r="G5186">
        <v>-302.20679999999999</v>
      </c>
      <c r="H5186" s="1">
        <v>-3.2228849999999999E-6</v>
      </c>
      <c r="I5186">
        <v>-34.266939999999998</v>
      </c>
      <c r="J5186">
        <v>-302.64080000000001</v>
      </c>
      <c r="K5186">
        <v>1.104841</v>
      </c>
      <c r="L5186">
        <v>-24.675229999999999</v>
      </c>
      <c r="M5186">
        <v>-3.7485119999999997E-2</v>
      </c>
      <c r="N5186">
        <v>0</v>
      </c>
      <c r="O5186">
        <v>-0.99922529999999998</v>
      </c>
      <c r="P5186">
        <v>0.2029437</v>
      </c>
      <c r="Q5186">
        <v>2.9070430000000001E-2</v>
      </c>
      <c r="R5186">
        <v>-0.97875889999999999</v>
      </c>
      <c r="S5186">
        <v>0.13195799999999999</v>
      </c>
      <c r="T5186">
        <v>-0.34264060000000002</v>
      </c>
      <c r="U5186">
        <v>-3.0476380000000001</v>
      </c>
      <c r="V5186">
        <v>-0.23950959999999999</v>
      </c>
      <c r="W5186">
        <v>4.0604699999999903E-2</v>
      </c>
      <c r="X5186">
        <v>0.97004460000000003</v>
      </c>
      <c r="Y5186">
        <v>-8.0410540000000003E-2</v>
      </c>
      <c r="Z5186">
        <v>0.1113741</v>
      </c>
      <c r="AA5186">
        <v>0.99052009999999902</v>
      </c>
      <c r="AB5186">
        <v>23</v>
      </c>
      <c r="AC5186">
        <v>0.43400000000002498</v>
      </c>
      <c r="AD5186">
        <v>-1.1048442228849999</v>
      </c>
      <c r="AE5186">
        <v>-9.5917100000000008</v>
      </c>
      <c r="AF5186">
        <v>-0.78290075249596403</v>
      </c>
      <c r="AG5186">
        <v>-1.1048442228849999</v>
      </c>
      <c r="AH5186">
        <v>9.4436544155212392</v>
      </c>
      <c r="AI5186">
        <v>96.650278856247596</v>
      </c>
      <c r="AJ5186">
        <v>94.739115234761101</v>
      </c>
      <c r="AK5186">
        <v>9.5402422959217894</v>
      </c>
    </row>
    <row r="5187" spans="1:37" x14ac:dyDescent="0.2">
      <c r="A5187" t="str">
        <f>"20200111153755066"</f>
        <v>20200111153755066</v>
      </c>
      <c r="B5187" t="str">
        <f>"1578728275058047"</f>
        <v>1578728275058047</v>
      </c>
      <c r="C5187" t="s">
        <v>37</v>
      </c>
      <c r="D5187">
        <v>5.8129619999999997</v>
      </c>
      <c r="E5187">
        <v>0.55760279999999995</v>
      </c>
      <c r="F5187" t="s">
        <v>39</v>
      </c>
      <c r="G5187">
        <v>-302.19740000000002</v>
      </c>
      <c r="H5187" s="1">
        <v>-3.0599979999999999E-6</v>
      </c>
      <c r="I5187">
        <v>-34.64087</v>
      </c>
      <c r="J5187">
        <v>-302.64920000000001</v>
      </c>
      <c r="K5187">
        <v>1.104835</v>
      </c>
      <c r="L5187">
        <v>-24.907529999999898</v>
      </c>
      <c r="M5187">
        <v>-3.7189020000000003E-2</v>
      </c>
      <c r="N5187">
        <v>0</v>
      </c>
      <c r="O5187">
        <v>-0.99923689999999998</v>
      </c>
      <c r="P5187">
        <v>0.20335429999999999</v>
      </c>
      <c r="Q5187">
        <v>2.8585610000000001E-2</v>
      </c>
      <c r="R5187">
        <v>-0.97868820000000001</v>
      </c>
      <c r="S5187">
        <v>0.13555909999999999</v>
      </c>
      <c r="T5187">
        <v>-0.3378099</v>
      </c>
      <c r="U5187">
        <v>-3.0470280000000001</v>
      </c>
      <c r="V5187">
        <v>-0.23962919999999999</v>
      </c>
      <c r="W5187">
        <v>4.0093469999999999E-2</v>
      </c>
      <c r="X5187">
        <v>0.97003629999999996</v>
      </c>
      <c r="Y5187">
        <v>-8.1299670000000004E-2</v>
      </c>
      <c r="Z5187">
        <v>0.1098398</v>
      </c>
      <c r="AA5187">
        <v>0.99061880000000002</v>
      </c>
      <c r="AB5187">
        <v>23</v>
      </c>
      <c r="AC5187">
        <v>0.45179999999999099</v>
      </c>
      <c r="AD5187">
        <v>-1.1048380599980001</v>
      </c>
      <c r="AE5187">
        <v>-9.7333400000000001</v>
      </c>
      <c r="AF5187">
        <v>-0.803160397115806</v>
      </c>
      <c r="AG5187">
        <v>-1.1048380599980001</v>
      </c>
      <c r="AH5187">
        <v>9.5865487955109199</v>
      </c>
      <c r="AI5187">
        <v>96.551512045894498</v>
      </c>
      <c r="AJ5187">
        <v>94.789052444211194</v>
      </c>
      <c r="AK5187">
        <v>9.6833698458247106</v>
      </c>
    </row>
    <row r="5188" spans="1:37" x14ac:dyDescent="0.2">
      <c r="A5188" t="str">
        <f>"20200111153755088"</f>
        <v>20200111153755088</v>
      </c>
      <c r="B5188" t="str">
        <f>"1578728275078542"</f>
        <v>1578728275078542</v>
      </c>
      <c r="C5188" t="s">
        <v>37</v>
      </c>
      <c r="D5188">
        <v>5.8036370000000002</v>
      </c>
      <c r="E5188">
        <v>0.55736459999999999</v>
      </c>
      <c r="F5188" t="s">
        <v>39</v>
      </c>
      <c r="G5188">
        <v>-302.1936</v>
      </c>
      <c r="H5188" s="1">
        <v>-2.94536099999999E-6</v>
      </c>
      <c r="I5188">
        <v>-34.905729999999998</v>
      </c>
      <c r="J5188">
        <v>-302.65730000000002</v>
      </c>
      <c r="K5188">
        <v>1.1048229999999899</v>
      </c>
      <c r="L5188">
        <v>-25.13409</v>
      </c>
      <c r="M5188">
        <v>-3.689916E-2</v>
      </c>
      <c r="N5188">
        <v>0</v>
      </c>
      <c r="O5188">
        <v>-0.99924760000000001</v>
      </c>
      <c r="P5188">
        <v>0.20426810000000001</v>
      </c>
      <c r="Q5188">
        <v>2.775675E-2</v>
      </c>
      <c r="R5188">
        <v>-0.97852129999999904</v>
      </c>
      <c r="S5188">
        <v>0.1387939</v>
      </c>
      <c r="T5188">
        <v>-0.3366305</v>
      </c>
      <c r="U5188">
        <v>-3.0463259999999899</v>
      </c>
      <c r="V5188">
        <v>-0.24025439999999901</v>
      </c>
      <c r="W5188">
        <v>3.9238219999999997E-2</v>
      </c>
      <c r="X5188">
        <v>0.96991659999999902</v>
      </c>
      <c r="Y5188">
        <v>-8.2072279999999997E-2</v>
      </c>
      <c r="Z5188">
        <v>0.1094816</v>
      </c>
      <c r="AA5188">
        <v>0.99059470000000005</v>
      </c>
      <c r="AB5188">
        <v>23</v>
      </c>
      <c r="AC5188">
        <v>0.46370000000001699</v>
      </c>
      <c r="AD5188">
        <v>-1.1048259453610001</v>
      </c>
      <c r="AE5188">
        <v>-9.7716399999999908</v>
      </c>
      <c r="AF5188">
        <v>-0.81359787391389504</v>
      </c>
      <c r="AG5188">
        <v>-1.1048259453610001</v>
      </c>
      <c r="AH5188">
        <v>9.6251061918244094</v>
      </c>
      <c r="AI5188">
        <v>96.525018331823006</v>
      </c>
      <c r="AJ5188">
        <v>94.831653001169798</v>
      </c>
      <c r="AK5188">
        <v>9.7224097359593191</v>
      </c>
    </row>
    <row r="5189" spans="1:37" x14ac:dyDescent="0.2">
      <c r="A5189" t="str">
        <f>"20200111153755110"</f>
        <v>20200111153755110</v>
      </c>
      <c r="B5189" t="str">
        <f>"1578728275098063"</f>
        <v>1578728275098063</v>
      </c>
      <c r="C5189" t="s">
        <v>37</v>
      </c>
      <c r="D5189">
        <v>5.7627689999999996</v>
      </c>
      <c r="E5189">
        <v>0.55708199999999997</v>
      </c>
      <c r="F5189" t="s">
        <v>39</v>
      </c>
      <c r="G5189">
        <v>-302.18540000000002</v>
      </c>
      <c r="H5189" s="1">
        <v>-2.8491899999999999E-6</v>
      </c>
      <c r="I5189">
        <v>-35.1248</v>
      </c>
      <c r="J5189">
        <v>-302.66539999999998</v>
      </c>
      <c r="K5189">
        <v>1.1048069999999901</v>
      </c>
      <c r="L5189">
        <v>-25.363800000000001</v>
      </c>
      <c r="M5189">
        <v>-3.6604030000000003E-2</v>
      </c>
      <c r="N5189">
        <v>0</v>
      </c>
      <c r="O5189">
        <v>-0.99925909999999996</v>
      </c>
      <c r="P5189">
        <v>0.20483649999999901</v>
      </c>
      <c r="Q5189">
        <v>2.7061450000000001E-2</v>
      </c>
      <c r="R5189">
        <v>-0.97842220000000002</v>
      </c>
      <c r="S5189">
        <v>0.14382929999999999</v>
      </c>
      <c r="T5189">
        <v>-0.33677459999999998</v>
      </c>
      <c r="U5189">
        <v>-3.04537999999999</v>
      </c>
      <c r="V5189">
        <v>-0.24053169999999999</v>
      </c>
      <c r="W5189">
        <v>3.8519690000000002E-2</v>
      </c>
      <c r="X5189">
        <v>0.96987659999999998</v>
      </c>
      <c r="Y5189">
        <v>-8.3425830000000006E-2</v>
      </c>
      <c r="Z5189">
        <v>0.10955289999999999</v>
      </c>
      <c r="AA5189">
        <v>0.99047369999999901</v>
      </c>
      <c r="AB5189">
        <v>23</v>
      </c>
      <c r="AC5189">
        <v>0.47999999999996101</v>
      </c>
      <c r="AD5189">
        <v>-1.10480984918999</v>
      </c>
      <c r="AE5189">
        <v>-9.7609999999999992</v>
      </c>
      <c r="AF5189">
        <v>-0.82643349905520302</v>
      </c>
      <c r="AG5189">
        <v>-1.10480984918999</v>
      </c>
      <c r="AH5189">
        <v>9.6140175189893498</v>
      </c>
      <c r="AI5189">
        <v>96.531599739941399</v>
      </c>
      <c r="AJ5189">
        <v>94.913142137099001</v>
      </c>
      <c r="AK5189">
        <v>9.7125140919672308</v>
      </c>
    </row>
    <row r="5190" spans="1:37" x14ac:dyDescent="0.2">
      <c r="A5190" t="str">
        <f>"20200111153755138"</f>
        <v>20200111153755138</v>
      </c>
      <c r="B5190" t="str">
        <f>"1578728275128319"</f>
        <v>1578728275128319</v>
      </c>
      <c r="C5190" t="s">
        <v>37</v>
      </c>
      <c r="D5190">
        <v>5.7284870000000003</v>
      </c>
      <c r="E5190">
        <v>0.55680810000000003</v>
      </c>
      <c r="F5190" t="s">
        <v>39</v>
      </c>
      <c r="G5190">
        <v>-302.18040000000002</v>
      </c>
      <c r="H5190" s="1">
        <v>-2.7531470000000002E-6</v>
      </c>
      <c r="I5190">
        <v>-35.345579999999998</v>
      </c>
      <c r="J5190">
        <v>-302.67520000000002</v>
      </c>
      <c r="K5190">
        <v>1.1048039999999999</v>
      </c>
      <c r="L5190">
        <v>-25.644130000000001</v>
      </c>
      <c r="M5190">
        <v>-3.624086E-2</v>
      </c>
      <c r="N5190">
        <v>0</v>
      </c>
      <c r="O5190">
        <v>-0.99927239999999995</v>
      </c>
      <c r="P5190">
        <v>0.20574819999999999</v>
      </c>
      <c r="Q5190">
        <v>2.5775559999999999E-2</v>
      </c>
      <c r="R5190">
        <v>-0.9782653</v>
      </c>
      <c r="S5190">
        <v>0.14791869999999999</v>
      </c>
      <c r="T5190">
        <v>-0.3369762</v>
      </c>
      <c r="U5190">
        <v>-3.0445250000000001</v>
      </c>
      <c r="V5190">
        <v>-0.24108470000000001</v>
      </c>
      <c r="W5190">
        <v>3.7206950000000003E-2</v>
      </c>
      <c r="X5190">
        <v>0.96979059999999995</v>
      </c>
      <c r="Y5190">
        <v>-8.4403599999999995E-2</v>
      </c>
      <c r="Z5190">
        <v>0.1096422</v>
      </c>
      <c r="AA5190">
        <v>0.99038110000000001</v>
      </c>
      <c r="AB5190">
        <v>23</v>
      </c>
      <c r="AC5190">
        <v>0.49479999999999702</v>
      </c>
      <c r="AD5190">
        <v>-1.1048067531470001</v>
      </c>
      <c r="AE5190">
        <v>-9.7014499999999906</v>
      </c>
      <c r="AF5190">
        <v>-0.835284124649187</v>
      </c>
      <c r="AG5190">
        <v>-1.1048067531470001</v>
      </c>
      <c r="AH5190">
        <v>9.5535661172764001</v>
      </c>
      <c r="AI5190">
        <v>96.571726256774795</v>
      </c>
      <c r="AJ5190">
        <v>94.996758613449501</v>
      </c>
      <c r="AK5190">
        <v>9.6534409972745898</v>
      </c>
    </row>
    <row r="5191" spans="1:37" x14ac:dyDescent="0.2">
      <c r="A5191" t="str">
        <f>"20200111153755155"</f>
        <v>20200111153755155</v>
      </c>
      <c r="B5191" t="str">
        <f>"1578728275148815"</f>
        <v>1578728275148815</v>
      </c>
      <c r="C5191" t="s">
        <v>37</v>
      </c>
      <c r="D5191">
        <v>5.7209139999999996</v>
      </c>
      <c r="E5191">
        <v>0.55661689999999997</v>
      </c>
      <c r="F5191" t="s">
        <v>39</v>
      </c>
      <c r="G5191">
        <v>-302.17689999999999</v>
      </c>
      <c r="H5191" s="1">
        <v>-2.6543279999999899E-6</v>
      </c>
      <c r="I5191">
        <v>-35.573749999999997</v>
      </c>
      <c r="J5191">
        <v>-302.68169999999998</v>
      </c>
      <c r="K5191">
        <v>1.104795</v>
      </c>
      <c r="L5191">
        <v>-25.829529999999998</v>
      </c>
      <c r="M5191">
        <v>-3.5998460000000003E-2</v>
      </c>
      <c r="N5191">
        <v>0</v>
      </c>
      <c r="O5191">
        <v>-0.99928150000000004</v>
      </c>
      <c r="P5191">
        <v>0.20618420000000001</v>
      </c>
      <c r="Q5191">
        <v>2.5196509999999998E-2</v>
      </c>
      <c r="R5191">
        <v>-0.97818909999999903</v>
      </c>
      <c r="S5191">
        <v>0.1527405</v>
      </c>
      <c r="T5191">
        <v>-0.338626599999999</v>
      </c>
      <c r="U5191">
        <v>-3.0434570000000001</v>
      </c>
      <c r="V5191">
        <v>-0.24128150000000001</v>
      </c>
      <c r="W5191">
        <v>3.6612260000000001E-2</v>
      </c>
      <c r="X5191">
        <v>0.96976430000000002</v>
      </c>
      <c r="Y5191">
        <v>-8.5740780000000003E-2</v>
      </c>
      <c r="Z5191">
        <v>0.1102017</v>
      </c>
      <c r="AA5191">
        <v>0.99020409999999903</v>
      </c>
      <c r="AB5191">
        <v>23</v>
      </c>
      <c r="AC5191">
        <v>0.50479999999998804</v>
      </c>
      <c r="AD5191">
        <v>-1.104797654328</v>
      </c>
      <c r="AE5191">
        <v>-9.7442200000000003</v>
      </c>
      <c r="AF5191">
        <v>-0.84444803535496105</v>
      </c>
      <c r="AG5191">
        <v>-1.104797654328</v>
      </c>
      <c r="AH5191">
        <v>9.5966949486259399</v>
      </c>
      <c r="AI5191">
        <v>96.542078007867104</v>
      </c>
      <c r="AJ5191">
        <v>95.028711476227897</v>
      </c>
      <c r="AK5191">
        <v>9.6969182877038893</v>
      </c>
    </row>
    <row r="5192" spans="1:37" x14ac:dyDescent="0.2">
      <c r="A5192" t="str">
        <f>"20200111153755178"</f>
        <v>20200111153755178</v>
      </c>
      <c r="B5192" t="str">
        <f>"1578728275168334"</f>
        <v>1578728275168334</v>
      </c>
      <c r="C5192" t="s">
        <v>37</v>
      </c>
      <c r="D5192">
        <v>5.6806279999999996</v>
      </c>
      <c r="E5192">
        <v>0.55641839999999998</v>
      </c>
      <c r="F5192" t="s">
        <v>39</v>
      </c>
      <c r="G5192">
        <v>-302.17399999999998</v>
      </c>
      <c r="H5192" s="1">
        <v>-2.5802540000000001E-6</v>
      </c>
      <c r="I5192">
        <v>-35.744579999999999</v>
      </c>
      <c r="J5192">
        <v>-302.68970000000002</v>
      </c>
      <c r="K5192">
        <v>1.1047929999999999</v>
      </c>
      <c r="L5192">
        <v>-26.061250000000001</v>
      </c>
      <c r="M5192">
        <v>-3.5694299999999998E-2</v>
      </c>
      <c r="N5192">
        <v>0</v>
      </c>
      <c r="O5192">
        <v>-0.99929239999999997</v>
      </c>
      <c r="P5192">
        <v>0.206148999999999</v>
      </c>
      <c r="Q5192">
        <v>2.4206229999999999E-2</v>
      </c>
      <c r="R5192">
        <v>-0.97822089999999995</v>
      </c>
      <c r="S5192">
        <v>0.15582279999999901</v>
      </c>
      <c r="T5192">
        <v>-0.33904609999999902</v>
      </c>
      <c r="U5192">
        <v>-3.042786</v>
      </c>
      <c r="V5192">
        <v>-0.24095220000000001</v>
      </c>
      <c r="W5192">
        <v>3.5606789999999999E-2</v>
      </c>
      <c r="X5192">
        <v>0.96988359999999996</v>
      </c>
      <c r="Y5192">
        <v>-8.6448049999999999E-2</v>
      </c>
      <c r="Z5192">
        <v>0.110356199999999</v>
      </c>
      <c r="AA5192">
        <v>0.99012540000000004</v>
      </c>
      <c r="AB5192">
        <v>23</v>
      </c>
      <c r="AC5192">
        <v>0.51569999999998095</v>
      </c>
      <c r="AD5192">
        <v>-1.1047955802539999</v>
      </c>
      <c r="AE5192">
        <v>-9.6833299999999891</v>
      </c>
      <c r="AF5192">
        <v>-0.85000204430925796</v>
      </c>
      <c r="AG5192">
        <v>-1.1047955802539999</v>
      </c>
      <c r="AH5192">
        <v>9.5349828039827695</v>
      </c>
      <c r="AI5192">
        <v>96.583376020286394</v>
      </c>
      <c r="AJ5192">
        <v>95.094202365325003</v>
      </c>
      <c r="AK5192">
        <v>9.6363361202132101</v>
      </c>
    </row>
    <row r="5193" spans="1:37" x14ac:dyDescent="0.2">
      <c r="A5193" t="str">
        <f>"20200111153755200"</f>
        <v>20200111153755200</v>
      </c>
      <c r="B5193" t="str">
        <f>"1578728275188831"</f>
        <v>1578728275188831</v>
      </c>
      <c r="C5193" t="s">
        <v>37</v>
      </c>
      <c r="D5193">
        <v>5.6871400000000003</v>
      </c>
      <c r="E5193">
        <v>0.55627950000000004</v>
      </c>
      <c r="F5193" t="s">
        <v>39</v>
      </c>
      <c r="G5193">
        <v>-302.1789</v>
      </c>
      <c r="H5193" s="1">
        <v>-2.5035179999999999E-6</v>
      </c>
      <c r="I5193">
        <v>-35.926540000000003</v>
      </c>
      <c r="J5193">
        <v>-302.69740000000002</v>
      </c>
      <c r="K5193">
        <v>1.104797</v>
      </c>
      <c r="L5193">
        <v>-26.28754</v>
      </c>
      <c r="M5193">
        <v>-3.5393790000000001E-2</v>
      </c>
      <c r="N5193">
        <v>0</v>
      </c>
      <c r="O5193">
        <v>-0.99930339999999995</v>
      </c>
      <c r="P5193">
        <v>0.20570669999999999</v>
      </c>
      <c r="Q5193">
        <v>2.4018540000000001E-2</v>
      </c>
      <c r="R5193">
        <v>-0.978319099999999</v>
      </c>
      <c r="S5193">
        <v>0.15750120000000001</v>
      </c>
      <c r="T5193">
        <v>-0.34067029999999998</v>
      </c>
      <c r="U5193">
        <v>-3.0420229999999999</v>
      </c>
      <c r="V5193">
        <v>-0.2402222</v>
      </c>
      <c r="W5193">
        <v>3.5407599999999997E-2</v>
      </c>
      <c r="X5193">
        <v>0.97007199999999905</v>
      </c>
      <c r="Y5193">
        <v>-8.6702849999999998E-2</v>
      </c>
      <c r="Z5193">
        <v>0.1109048</v>
      </c>
      <c r="AA5193">
        <v>0.99004179999999997</v>
      </c>
      <c r="AB5193">
        <v>23</v>
      </c>
      <c r="AC5193">
        <v>0.51850000000001695</v>
      </c>
      <c r="AD5193">
        <v>-1.104799503518</v>
      </c>
      <c r="AE5193">
        <v>-9.6389999999999993</v>
      </c>
      <c r="AF5193">
        <v>-0.84824825009517102</v>
      </c>
      <c r="AG5193">
        <v>-1.104799503518</v>
      </c>
      <c r="AH5193">
        <v>9.4902906341645394</v>
      </c>
      <c r="AI5193">
        <v>96.613991585361603</v>
      </c>
      <c r="AJ5193">
        <v>95.107561031131794</v>
      </c>
      <c r="AK5193">
        <v>9.5919613926284306</v>
      </c>
    </row>
    <row r="5194" spans="1:37" x14ac:dyDescent="0.2">
      <c r="A5194" t="str">
        <f>"20200111153755222"</f>
        <v>20200111153755222</v>
      </c>
      <c r="B5194" t="str">
        <f>"1578728275208350"</f>
        <v>1578728275208350</v>
      </c>
      <c r="C5194" t="s">
        <v>37</v>
      </c>
      <c r="D5194">
        <v>5.7676099999999897</v>
      </c>
      <c r="E5194">
        <v>0.55610219999999999</v>
      </c>
      <c r="F5194" t="s">
        <v>39</v>
      </c>
      <c r="G5194">
        <v>-302.18599999999998</v>
      </c>
      <c r="H5194" s="1">
        <v>-2.4054459999999999E-6</v>
      </c>
      <c r="I5194">
        <v>-36.159570000000002</v>
      </c>
      <c r="J5194">
        <v>-302.70530000000002</v>
      </c>
      <c r="K5194">
        <v>1.104803</v>
      </c>
      <c r="L5194">
        <v>-26.519009999999898</v>
      </c>
      <c r="M5194">
        <v>-3.5079939999999997E-2</v>
      </c>
      <c r="N5194">
        <v>0</v>
      </c>
      <c r="O5194">
        <v>-0.99931479999999995</v>
      </c>
      <c r="P5194">
        <v>0.20548649999999999</v>
      </c>
      <c r="Q5194">
        <v>2.4337060000000001E-2</v>
      </c>
      <c r="R5194">
        <v>-0.978357699999999</v>
      </c>
      <c r="S5194">
        <v>0.15756229999999999</v>
      </c>
      <c r="T5194">
        <v>-0.3404047</v>
      </c>
      <c r="U5194">
        <v>-3.0417179999999999</v>
      </c>
      <c r="V5194">
        <v>-0.2396992</v>
      </c>
      <c r="W5194">
        <v>3.571353E-2</v>
      </c>
      <c r="X5194">
        <v>0.97019009999999895</v>
      </c>
      <c r="Y5194">
        <v>-8.6415309999999995E-2</v>
      </c>
      <c r="Z5194">
        <v>0.1108335</v>
      </c>
      <c r="AA5194">
        <v>0.99007489999999998</v>
      </c>
      <c r="AB5194">
        <v>23</v>
      </c>
      <c r="AC5194">
        <v>0.51930000000004295</v>
      </c>
      <c r="AD5194">
        <v>-1.1048054054459999</v>
      </c>
      <c r="AE5194">
        <v>-9.6405600000000007</v>
      </c>
      <c r="AF5194">
        <v>-0.84611421138659204</v>
      </c>
      <c r="AG5194">
        <v>-1.1048054054459999</v>
      </c>
      <c r="AH5194">
        <v>9.4921071456063206</v>
      </c>
      <c r="AI5194">
        <v>96.612912501537195</v>
      </c>
      <c r="AJ5194">
        <v>95.093809184051807</v>
      </c>
      <c r="AK5194">
        <v>9.5935708839974492</v>
      </c>
    </row>
    <row r="5195" spans="1:37" x14ac:dyDescent="0.2">
      <c r="A5195" t="str">
        <f>"20200111153755246"</f>
        <v>20200111153755246</v>
      </c>
      <c r="B5195" t="str">
        <f>"1578728275238606"</f>
        <v>1578728275238606</v>
      </c>
      <c r="C5195" t="s">
        <v>37</v>
      </c>
      <c r="D5195">
        <v>5.5245709999999999</v>
      </c>
      <c r="E5195">
        <v>0.51530450000000005</v>
      </c>
      <c r="F5195" t="s">
        <v>39</v>
      </c>
      <c r="G5195">
        <v>-302.18810000000002</v>
      </c>
      <c r="H5195" s="1">
        <v>-2.2828899999999999E-6</v>
      </c>
      <c r="I5195">
        <v>-36.44652</v>
      </c>
      <c r="J5195">
        <v>-302.71339999999998</v>
      </c>
      <c r="K5195">
        <v>1.104806</v>
      </c>
      <c r="L5195">
        <v>-26.760470000000002</v>
      </c>
      <c r="M5195">
        <v>-3.4744919999999999E-2</v>
      </c>
      <c r="N5195">
        <v>0</v>
      </c>
      <c r="O5195">
        <v>-0.99932649999999901</v>
      </c>
      <c r="P5195">
        <v>0.20563619999999999</v>
      </c>
      <c r="Q5195">
        <v>2.5129889999999998E-2</v>
      </c>
      <c r="R5195">
        <v>-0.97830609999999996</v>
      </c>
      <c r="S5195">
        <v>0.15844729999999899</v>
      </c>
      <c r="T5195">
        <v>-0.33848070000000002</v>
      </c>
      <c r="U5195">
        <v>-3.0415040000000002</v>
      </c>
      <c r="V5195">
        <v>-0.23952219999999999</v>
      </c>
      <c r="W5195">
        <v>3.6492660000000003E-2</v>
      </c>
      <c r="X5195">
        <v>0.97020479999999998</v>
      </c>
      <c r="Y5195">
        <v>-8.6375779999999999E-2</v>
      </c>
      <c r="Z5195">
        <v>0.11022369999999999</v>
      </c>
      <c r="AA5195">
        <v>0.99014650000000004</v>
      </c>
      <c r="AB5195">
        <v>23</v>
      </c>
      <c r="AC5195">
        <v>0.52529999999995802</v>
      </c>
      <c r="AD5195">
        <v>-1.1048082828899899</v>
      </c>
      <c r="AE5195">
        <v>-9.6860499999999892</v>
      </c>
      <c r="AF5195">
        <v>-0.85051444433131496</v>
      </c>
      <c r="AG5195">
        <v>-1.1048082828899899</v>
      </c>
      <c r="AH5195">
        <v>9.5382188821368707</v>
      </c>
      <c r="AI5195">
        <v>96.581223501681805</v>
      </c>
      <c r="AJ5195">
        <v>95.095536824796795</v>
      </c>
      <c r="AK5195">
        <v>9.6395848253703793</v>
      </c>
    </row>
    <row r="5196" spans="1:37" x14ac:dyDescent="0.2">
      <c r="A5196" t="str">
        <f>"20200111153755268"</f>
        <v>20200111153755268</v>
      </c>
      <c r="B5196" t="str">
        <f>"1578728275258127"</f>
        <v>1578728275258127</v>
      </c>
      <c r="C5196" t="s">
        <v>37</v>
      </c>
      <c r="D5196">
        <v>5.565944</v>
      </c>
      <c r="E5196">
        <v>0.50053349999999996</v>
      </c>
      <c r="F5196" t="s">
        <v>39</v>
      </c>
      <c r="G5196">
        <v>-301.24349999999998</v>
      </c>
      <c r="H5196" s="1">
        <v>-2.2519579999999999E-6</v>
      </c>
      <c r="I5196">
        <v>-35.932749999999999</v>
      </c>
      <c r="J5196">
        <v>-302.72120000000001</v>
      </c>
      <c r="K5196">
        <v>1.1048149999999901</v>
      </c>
      <c r="L5196">
        <v>-26.996579999999899</v>
      </c>
      <c r="M5196">
        <v>-3.4406619999999999E-2</v>
      </c>
      <c r="N5196">
        <v>0</v>
      </c>
      <c r="O5196">
        <v>-0.99933819999999995</v>
      </c>
      <c r="P5196">
        <v>0.20656579999999999</v>
      </c>
      <c r="Q5196">
        <v>2.515773E-2</v>
      </c>
      <c r="R5196">
        <v>-0.97810929999999996</v>
      </c>
      <c r="S5196">
        <v>0.47683720000000002</v>
      </c>
      <c r="T5196">
        <v>-0.35840059999999901</v>
      </c>
      <c r="U5196">
        <v>-2.9754939999999999</v>
      </c>
      <c r="V5196">
        <v>-0.24011649999999901</v>
      </c>
      <c r="W5196">
        <v>3.650552E-2</v>
      </c>
      <c r="X5196">
        <v>0.97005739999999996</v>
      </c>
      <c r="Y5196">
        <v>-0.19101599999999999</v>
      </c>
      <c r="Z5196">
        <v>0.1176383</v>
      </c>
      <c r="AA5196">
        <v>0.97451219999999905</v>
      </c>
      <c r="AB5196">
        <v>23</v>
      </c>
      <c r="AC5196">
        <v>1.47770000000002</v>
      </c>
      <c r="AD5196">
        <v>-1.104817251958</v>
      </c>
      <c r="AE5196">
        <v>-8.93616999999999</v>
      </c>
      <c r="AF5196">
        <v>-1.75815096826874</v>
      </c>
      <c r="AG5196">
        <v>-1.104817251958</v>
      </c>
      <c r="AH5196">
        <v>8.7498466672271302</v>
      </c>
      <c r="AI5196">
        <v>97.056897859688704</v>
      </c>
      <c r="AJ5196">
        <v>101.36143763365401</v>
      </c>
      <c r="AK5196">
        <v>8.9928600949550006</v>
      </c>
    </row>
    <row r="5197" spans="1:37" x14ac:dyDescent="0.2">
      <c r="A5197" t="str">
        <f>"20200111153755290"</f>
        <v>20200111153755290</v>
      </c>
      <c r="B5197" t="str">
        <f>"1578728275278623"</f>
        <v>1578728275278623</v>
      </c>
      <c r="C5197" t="s">
        <v>37</v>
      </c>
      <c r="D5197">
        <v>5.4495259999999996</v>
      </c>
      <c r="E5197">
        <v>0.49679820000000002</v>
      </c>
      <c r="F5197" t="s">
        <v>39</v>
      </c>
      <c r="G5197">
        <v>-300.75959999999998</v>
      </c>
      <c r="H5197" s="1">
        <v>-1.792784E-6</v>
      </c>
      <c r="I5197">
        <v>-36.702950000000001</v>
      </c>
      <c r="J5197">
        <v>-302.72840000000002</v>
      </c>
      <c r="K5197">
        <v>1.1048279999999999</v>
      </c>
      <c r="L5197">
        <v>-27.219270000000002</v>
      </c>
      <c r="M5197">
        <v>-3.4068969999999997E-2</v>
      </c>
      <c r="N5197">
        <v>0</v>
      </c>
      <c r="O5197">
        <v>-0.99934979999999995</v>
      </c>
      <c r="P5197">
        <v>0.209067999999999</v>
      </c>
      <c r="Q5197">
        <v>2.5594869999999999E-2</v>
      </c>
      <c r="R5197">
        <v>-0.9775663</v>
      </c>
      <c r="S5197">
        <v>0.59616089999999999</v>
      </c>
      <c r="T5197">
        <v>-0.33576450000000002</v>
      </c>
      <c r="U5197">
        <v>-2.9498599999999899</v>
      </c>
      <c r="V5197">
        <v>-0.24227190000000001</v>
      </c>
      <c r="W5197">
        <v>3.6921040000000002E-2</v>
      </c>
      <c r="X5197">
        <v>0.96950559999999997</v>
      </c>
      <c r="Y5197">
        <v>-0.23016039999999999</v>
      </c>
      <c r="Z5197">
        <v>0.11037429999999999</v>
      </c>
      <c r="AA5197">
        <v>0.96687319999999999</v>
      </c>
      <c r="AB5197">
        <v>23</v>
      </c>
      <c r="AC5197">
        <v>1.9688000000000401</v>
      </c>
      <c r="AD5197">
        <v>-1.1048297927840001</v>
      </c>
      <c r="AE5197">
        <v>-9.4836799999999997</v>
      </c>
      <c r="AF5197">
        <v>-2.2613560290530401</v>
      </c>
      <c r="AG5197">
        <v>-1.1048297927840001</v>
      </c>
      <c r="AH5197">
        <v>9.2902186937127702</v>
      </c>
      <c r="AI5197">
        <v>96.591300614826807</v>
      </c>
      <c r="AJ5197">
        <v>103.68046664895201</v>
      </c>
      <c r="AK5197">
        <v>9.6250996534149103</v>
      </c>
    </row>
    <row r="5198" spans="1:37" x14ac:dyDescent="0.2">
      <c r="A5198" t="str">
        <f>"20200111153755312"</f>
        <v>20200111153755312</v>
      </c>
      <c r="B5198" t="str">
        <f>"1578728275298143"</f>
        <v>1578728275298143</v>
      </c>
      <c r="C5198" t="s">
        <v>37</v>
      </c>
      <c r="D5198">
        <v>5.4572620000000001</v>
      </c>
      <c r="E5198">
        <v>0.49603019999999998</v>
      </c>
      <c r="F5198" t="s">
        <v>39</v>
      </c>
      <c r="G5198">
        <v>-300.65969999999999</v>
      </c>
      <c r="H5198" s="1">
        <v>-1.7083940000000001E-6</v>
      </c>
      <c r="I5198">
        <v>-36.837719999999997</v>
      </c>
      <c r="J5198">
        <v>-302.73599999999999</v>
      </c>
      <c r="K5198">
        <v>1.104854</v>
      </c>
      <c r="L5198">
        <v>-27.454709999999999</v>
      </c>
      <c r="M5198">
        <v>-3.3681199999999897E-2</v>
      </c>
      <c r="N5198">
        <v>0</v>
      </c>
      <c r="O5198">
        <v>-0.999362999999999</v>
      </c>
      <c r="P5198">
        <v>0.216066799999999</v>
      </c>
      <c r="Q5198">
        <v>2.7610280000000001E-2</v>
      </c>
      <c r="R5198">
        <v>-0.97598809999999903</v>
      </c>
      <c r="S5198">
        <v>0.63284300000000004</v>
      </c>
      <c r="T5198">
        <v>-0.33797509999999997</v>
      </c>
      <c r="U5198">
        <v>-2.9423520000000001</v>
      </c>
      <c r="V5198">
        <v>-0.24884039999999999</v>
      </c>
      <c r="W5198">
        <v>3.8894209999999999E-2</v>
      </c>
      <c r="X5198">
        <v>0.96776319999999905</v>
      </c>
      <c r="Y5198">
        <v>-0.2417783</v>
      </c>
      <c r="Z5198">
        <v>0.111070499999999</v>
      </c>
      <c r="AA5198">
        <v>0.96395359999999997</v>
      </c>
      <c r="AB5198">
        <v>23</v>
      </c>
      <c r="AC5198">
        <v>2.0762999999999998</v>
      </c>
      <c r="AD5198">
        <v>-1.1048557083939901</v>
      </c>
      <c r="AE5198">
        <v>-9.3830100000000005</v>
      </c>
      <c r="AF5198">
        <v>-2.3599806382155299</v>
      </c>
      <c r="AG5198">
        <v>-1.1048557083939901</v>
      </c>
      <c r="AH5198">
        <v>9.1863237515149301</v>
      </c>
      <c r="AI5198">
        <v>96.644391445396494</v>
      </c>
      <c r="AJ5198">
        <v>104.407802984675</v>
      </c>
      <c r="AK5198">
        <v>9.5487569252112792</v>
      </c>
    </row>
    <row r="5199" spans="1:37" x14ac:dyDescent="0.2">
      <c r="A5199" t="str">
        <f>"20200111153755335"</f>
        <v>20200111153755335</v>
      </c>
      <c r="B5199" t="str">
        <f>"1578728275328399"</f>
        <v>1578728275328399</v>
      </c>
      <c r="C5199" t="s">
        <v>37</v>
      </c>
      <c r="D5199">
        <v>5.4299379999999999</v>
      </c>
      <c r="E5199">
        <v>0.494770299999999</v>
      </c>
      <c r="F5199" t="s">
        <v>39</v>
      </c>
      <c r="G5199">
        <v>-300.5222</v>
      </c>
      <c r="H5199" s="1">
        <v>-1.473778E-6</v>
      </c>
      <c r="I5199">
        <v>-37.299309999999998</v>
      </c>
      <c r="J5199">
        <v>-302.74329999999998</v>
      </c>
      <c r="K5199">
        <v>1.104889</v>
      </c>
      <c r="L5199">
        <v>-27.68533</v>
      </c>
      <c r="M5199">
        <v>-3.3258040000000003E-2</v>
      </c>
      <c r="N5199">
        <v>0</v>
      </c>
      <c r="O5199">
        <v>-0.99937730000000002</v>
      </c>
      <c r="P5199">
        <v>0.22987009999999999</v>
      </c>
      <c r="Q5199">
        <v>2.9506439999999998E-2</v>
      </c>
      <c r="R5199">
        <v>-0.97277409999999997</v>
      </c>
      <c r="S5199">
        <v>0.66046139999999998</v>
      </c>
      <c r="T5199">
        <v>-0.32960929999999999</v>
      </c>
      <c r="U5199">
        <v>-2.9369200000000002</v>
      </c>
      <c r="V5199">
        <v>-0.26212259999999998</v>
      </c>
      <c r="W5199">
        <v>4.0717139999999999E-2</v>
      </c>
      <c r="X5199">
        <v>0.96417520000000001</v>
      </c>
      <c r="Y5199">
        <v>-0.25043660000000001</v>
      </c>
      <c r="Z5199">
        <v>0.1083226</v>
      </c>
      <c r="AA5199">
        <v>0.96205390000000002</v>
      </c>
      <c r="AB5199">
        <v>23</v>
      </c>
      <c r="AC5199">
        <v>2.2210999999999701</v>
      </c>
      <c r="AD5199">
        <v>-1.1048904737780001</v>
      </c>
      <c r="AE5199">
        <v>-9.6139799999999909</v>
      </c>
      <c r="AF5199">
        <v>-2.5081862829174599</v>
      </c>
      <c r="AG5199">
        <v>-1.1048904737780001</v>
      </c>
      <c r="AH5199">
        <v>9.4167137162970107</v>
      </c>
      <c r="AI5199">
        <v>96.468569866549203</v>
      </c>
      <c r="AJ5199">
        <v>104.914730041742</v>
      </c>
      <c r="AK5199">
        <v>9.8074603544218792</v>
      </c>
    </row>
    <row r="5200" spans="1:37" x14ac:dyDescent="0.2">
      <c r="A5200" t="str">
        <f>"20200111153755356"</f>
        <v>20200111153755356</v>
      </c>
      <c r="B5200" t="str">
        <f>"1578728275348895"</f>
        <v>1578728275348895</v>
      </c>
      <c r="C5200" t="s">
        <v>37</v>
      </c>
      <c r="D5200">
        <v>5.3851329999999997</v>
      </c>
      <c r="E5200">
        <v>0.49407909999999999</v>
      </c>
      <c r="F5200" t="s">
        <v>39</v>
      </c>
      <c r="G5200">
        <v>-300.25940000000003</v>
      </c>
      <c r="H5200" s="1">
        <v>-1.16022E-6</v>
      </c>
      <c r="I5200">
        <v>-37.867289999999997</v>
      </c>
      <c r="J5200">
        <v>-302.75020000000001</v>
      </c>
      <c r="K5200">
        <v>1.104914</v>
      </c>
      <c r="L5200">
        <v>-27.911829999999998</v>
      </c>
      <c r="M5200">
        <v>-3.2787620000000003E-2</v>
      </c>
      <c r="N5200">
        <v>0</v>
      </c>
      <c r="O5200">
        <v>-0.99939290000000003</v>
      </c>
      <c r="P5200">
        <v>0.2449827</v>
      </c>
      <c r="Q5200">
        <v>2.8335030000000001E-2</v>
      </c>
      <c r="R5200">
        <v>-0.96911340000000001</v>
      </c>
      <c r="S5200">
        <v>0.71353149999999999</v>
      </c>
      <c r="T5200">
        <v>-0.31740359999999901</v>
      </c>
      <c r="U5200">
        <v>-2.9249879999999999</v>
      </c>
      <c r="V5200">
        <v>-0.27665600000000001</v>
      </c>
      <c r="W5200">
        <v>3.9458819999999999E-2</v>
      </c>
      <c r="X5200">
        <v>0.96015849999999903</v>
      </c>
      <c r="Y5200">
        <v>-0.26742509999999903</v>
      </c>
      <c r="Z5200">
        <v>0.10431649999999899</v>
      </c>
      <c r="AA5200">
        <v>0.95791539999999997</v>
      </c>
      <c r="AB5200">
        <v>23</v>
      </c>
      <c r="AC5200">
        <v>2.4907999999999699</v>
      </c>
      <c r="AD5200">
        <v>-1.10491516022</v>
      </c>
      <c r="AE5200">
        <v>-9.9554600000000004</v>
      </c>
      <c r="AF5200">
        <v>-2.78363065732698</v>
      </c>
      <c r="AG5200">
        <v>-1.10491516022</v>
      </c>
      <c r="AH5200">
        <v>9.7553474356948993</v>
      </c>
      <c r="AI5200">
        <v>96.215883426024106</v>
      </c>
      <c r="AJ5200">
        <v>105.92578370487701</v>
      </c>
      <c r="AK5200">
        <v>10.204716592772799</v>
      </c>
    </row>
    <row r="5201" spans="1:37" x14ac:dyDescent="0.2">
      <c r="A5201" t="str">
        <f>"20200111153755379"</f>
        <v>20200111153755379</v>
      </c>
      <c r="B5201" t="str">
        <f>"1578728275368415"</f>
        <v>1578728275368415</v>
      </c>
      <c r="C5201" t="s">
        <v>37</v>
      </c>
      <c r="D5201">
        <v>5.3319900000000002</v>
      </c>
      <c r="E5201">
        <v>0.44829639999999998</v>
      </c>
      <c r="F5201" t="s">
        <v>39</v>
      </c>
      <c r="G5201">
        <v>-300.07769999999999</v>
      </c>
      <c r="H5201" s="1">
        <v>-1.0290410000000001E-6</v>
      </c>
      <c r="I5201">
        <v>-38.06033</v>
      </c>
      <c r="J5201">
        <v>-302.75700000000001</v>
      </c>
      <c r="K5201">
        <v>1.104941</v>
      </c>
      <c r="L5201">
        <v>-28.136600000000001</v>
      </c>
      <c r="M5201">
        <v>-3.2250099999999997E-2</v>
      </c>
      <c r="N5201">
        <v>0</v>
      </c>
      <c r="O5201">
        <v>-0.99941069999999999</v>
      </c>
      <c r="P5201">
        <v>0.25825130000000002</v>
      </c>
      <c r="Q5201">
        <v>2.5387940000000001E-2</v>
      </c>
      <c r="R5201">
        <v>-0.9657443</v>
      </c>
      <c r="S5201">
        <v>0.76663210000000004</v>
      </c>
      <c r="T5201">
        <v>-0.3169457</v>
      </c>
      <c r="U5201">
        <v>-2.9111020000000001</v>
      </c>
      <c r="V5201">
        <v>-0.28929509999999897</v>
      </c>
      <c r="W5201">
        <v>3.6422129999999997E-2</v>
      </c>
      <c r="X5201">
        <v>0.95654680000000003</v>
      </c>
      <c r="Y5201">
        <v>-0.28433179999999902</v>
      </c>
      <c r="Z5201">
        <v>0.10416060000000001</v>
      </c>
      <c r="AA5201">
        <v>0.95305090000000003</v>
      </c>
      <c r="AB5201">
        <v>23</v>
      </c>
      <c r="AC5201">
        <v>2.6793000000000098</v>
      </c>
      <c r="AD5201">
        <v>-1.1049420290409999</v>
      </c>
      <c r="AE5201">
        <v>-9.9237300000000008</v>
      </c>
      <c r="AF5201">
        <v>-2.9637235116509202</v>
      </c>
      <c r="AG5201">
        <v>-1.1049420290409999</v>
      </c>
      <c r="AH5201">
        <v>9.7198402570074798</v>
      </c>
      <c r="AI5201">
        <v>96.205765049009997</v>
      </c>
      <c r="AJ5201">
        <v>106.957241603716</v>
      </c>
      <c r="AK5201">
        <v>10.221538463597099</v>
      </c>
    </row>
    <row r="5202" spans="1:37" x14ac:dyDescent="0.2">
      <c r="A5202" t="str">
        <f>"20200111153755402"</f>
        <v>20200111153755402</v>
      </c>
      <c r="B5202" t="str">
        <f>"1578728275398671"</f>
        <v>1578728275398671</v>
      </c>
      <c r="C5202" t="s">
        <v>37</v>
      </c>
      <c r="D5202">
        <v>5.4263810000000001</v>
      </c>
      <c r="E5202">
        <v>0.35998609999999998</v>
      </c>
      <c r="F5202" t="s">
        <v>39</v>
      </c>
      <c r="G5202">
        <v>-298.22059999999999</v>
      </c>
      <c r="H5202" s="1">
        <v>-9.0578180000000002E-7</v>
      </c>
      <c r="I5202">
        <v>-39.081519999999998</v>
      </c>
      <c r="J5202">
        <v>-302.76389999999998</v>
      </c>
      <c r="K5202">
        <v>1.1049899999999999</v>
      </c>
      <c r="L5202">
        <v>-28.3779</v>
      </c>
      <c r="M5202">
        <v>-3.1571120000000001E-2</v>
      </c>
      <c r="N5202">
        <v>0</v>
      </c>
      <c r="O5202">
        <v>-0.99943230000000005</v>
      </c>
      <c r="P5202">
        <v>0.26696550000000002</v>
      </c>
      <c r="Q5202">
        <v>2.2792739999999999E-2</v>
      </c>
      <c r="R5202">
        <v>-0.96343699999999999</v>
      </c>
      <c r="S5202">
        <v>1.161835</v>
      </c>
      <c r="T5202">
        <v>-0.28299249999999998</v>
      </c>
      <c r="U5202">
        <v>-2.8031619999999999</v>
      </c>
      <c r="V5202">
        <v>-0.29728450000000001</v>
      </c>
      <c r="W5202">
        <v>3.3741090000000001E-2</v>
      </c>
      <c r="X5202">
        <v>0.95419259999999995</v>
      </c>
      <c r="Y5202">
        <v>-0.41022749999999902</v>
      </c>
      <c r="Z5202">
        <v>9.2181849999999996E-2</v>
      </c>
      <c r="AA5202">
        <v>0.90731249999999997</v>
      </c>
      <c r="AB5202">
        <v>23</v>
      </c>
      <c r="AC5202">
        <v>4.5432999999999799</v>
      </c>
      <c r="AD5202">
        <v>-1.1049909057817999</v>
      </c>
      <c r="AE5202">
        <v>-10.703620000000001</v>
      </c>
      <c r="AF5202">
        <v>-4.8353182121183398</v>
      </c>
      <c r="AG5202">
        <v>-1.1049909057817999</v>
      </c>
      <c r="AH5202">
        <v>10.4603742273484</v>
      </c>
      <c r="AI5202">
        <v>95.477179771728501</v>
      </c>
      <c r="AJ5202">
        <v>114.808786482841</v>
      </c>
      <c r="AK5202">
        <v>11.5767325308344</v>
      </c>
    </row>
    <row r="5203" spans="1:37" x14ac:dyDescent="0.2">
      <c r="A5203" t="str">
        <f>"20200111153755424"</f>
        <v>20200111153755424</v>
      </c>
      <c r="B5203" t="str">
        <f>"1578728275418763"</f>
        <v>1578728275418763</v>
      </c>
      <c r="C5203" t="s">
        <v>37</v>
      </c>
      <c r="D5203">
        <v>5.2857099999999999</v>
      </c>
      <c r="E5203">
        <v>0.36166890000000002</v>
      </c>
      <c r="F5203" t="s">
        <v>39</v>
      </c>
      <c r="G5203">
        <v>-295.19799999999998</v>
      </c>
      <c r="H5203" s="1">
        <v>-1.763118E-6</v>
      </c>
      <c r="I5203">
        <v>-38.925460000000001</v>
      </c>
      <c r="J5203">
        <v>-302.7704</v>
      </c>
      <c r="K5203">
        <v>1.105046</v>
      </c>
      <c r="L5203">
        <v>-28.609739999999999</v>
      </c>
      <c r="M5203">
        <v>-3.0812409999999998E-2</v>
      </c>
      <c r="N5203">
        <v>0</v>
      </c>
      <c r="O5203">
        <v>-0.99945609999999996</v>
      </c>
      <c r="P5203">
        <v>0.27312120000000001</v>
      </c>
      <c r="Q5203">
        <v>2.2299139999999999E-2</v>
      </c>
      <c r="R5203">
        <v>-0.96172169999999901</v>
      </c>
      <c r="S5203">
        <v>1.8671259999999901</v>
      </c>
      <c r="T5203">
        <v>-0.27269080000000001</v>
      </c>
      <c r="U5203">
        <v>-2.6029360000000001</v>
      </c>
      <c r="V5203">
        <v>-0.30266500000000002</v>
      </c>
      <c r="W5203">
        <v>3.316206E-2</v>
      </c>
      <c r="X5203">
        <v>0.95251989999999997</v>
      </c>
      <c r="Y5203">
        <v>-0.60556330000000003</v>
      </c>
      <c r="Z5203">
        <v>8.3896399999999996E-2</v>
      </c>
      <c r="AA5203">
        <v>0.79136240000000002</v>
      </c>
      <c r="AB5203">
        <v>23</v>
      </c>
      <c r="AC5203">
        <v>7.5724000000000098</v>
      </c>
      <c r="AD5203">
        <v>-1.105047763118</v>
      </c>
      <c r="AE5203">
        <v>-10.315719999999899</v>
      </c>
      <c r="AF5203">
        <v>-7.8283021677698201</v>
      </c>
      <c r="AG5203">
        <v>-1.105047763118</v>
      </c>
      <c r="AH5203">
        <v>10.002889277378699</v>
      </c>
      <c r="AI5203">
        <v>94.972106344711193</v>
      </c>
      <c r="AJ5203">
        <v>128.04687926158601</v>
      </c>
      <c r="AK5203">
        <v>12.749950560067999</v>
      </c>
    </row>
    <row r="5204" spans="1:37" x14ac:dyDescent="0.2">
      <c r="A5204" t="str">
        <f>"20200111153755447"</f>
        <v>20200111153755447</v>
      </c>
      <c r="B5204" t="str">
        <f>"1578728275438283"</f>
        <v>1578728275438283</v>
      </c>
      <c r="C5204" t="s">
        <v>37</v>
      </c>
      <c r="D5204">
        <v>5.2054109999999998</v>
      </c>
      <c r="E5204">
        <v>0.36285800000000001</v>
      </c>
      <c r="F5204" t="s">
        <v>39</v>
      </c>
      <c r="G5204">
        <v>-296.01589999999999</v>
      </c>
      <c r="H5204" s="1">
        <v>-1.865355E-6</v>
      </c>
      <c r="I5204">
        <v>-37.98556</v>
      </c>
      <c r="J5204">
        <v>-302.7765</v>
      </c>
      <c r="K5204">
        <v>1.1050990000000001</v>
      </c>
      <c r="L5204">
        <v>-28.83905</v>
      </c>
      <c r="M5204">
        <v>-2.9969699999999998E-2</v>
      </c>
      <c r="N5204">
        <v>0</v>
      </c>
      <c r="O5204">
        <v>-0.99948189999999903</v>
      </c>
      <c r="P5204">
        <v>0.27723120000000001</v>
      </c>
      <c r="Q5204">
        <v>2.1085360000000001E-2</v>
      </c>
      <c r="R5204">
        <v>-0.96057199999999998</v>
      </c>
      <c r="S5204">
        <v>1.8698429999999999</v>
      </c>
      <c r="T5204">
        <v>-0.30590840000000002</v>
      </c>
      <c r="U5204">
        <v>-2.5954899999999999</v>
      </c>
      <c r="V5204">
        <v>-0.3059385</v>
      </c>
      <c r="W5204">
        <v>3.1871940000000001E-2</v>
      </c>
      <c r="X5204">
        <v>0.95151759999999996</v>
      </c>
      <c r="Y5204">
        <v>-0.60597259999999997</v>
      </c>
      <c r="Z5204">
        <v>9.4186859999999997E-2</v>
      </c>
      <c r="AA5204">
        <v>0.78988990000000003</v>
      </c>
      <c r="AB5204">
        <v>23</v>
      </c>
      <c r="AC5204">
        <v>6.7606000000000099</v>
      </c>
      <c r="AD5204">
        <v>-1.1051008653550001</v>
      </c>
      <c r="AE5204">
        <v>-9.1465099999999993</v>
      </c>
      <c r="AF5204">
        <v>-6.9659387468503997</v>
      </c>
      <c r="AG5204">
        <v>-1.1051008653550001</v>
      </c>
      <c r="AH5204">
        <v>8.8561682407057702</v>
      </c>
      <c r="AI5204">
        <v>95.601587395337802</v>
      </c>
      <c r="AJ5204">
        <v>128.187298493562</v>
      </c>
      <c r="AK5204">
        <v>11.3215399330288</v>
      </c>
    </row>
    <row r="5205" spans="1:37" x14ac:dyDescent="0.2">
      <c r="A5205" t="str">
        <f>"20200111153755467"</f>
        <v>20200111153755467</v>
      </c>
      <c r="B5205" t="str">
        <f>"1578728275458779"</f>
        <v>1578728275458779</v>
      </c>
      <c r="C5205" t="s">
        <v>37</v>
      </c>
      <c r="D5205">
        <v>5.2086629999999996</v>
      </c>
      <c r="E5205">
        <v>0.36425009999999902</v>
      </c>
      <c r="F5205" t="s">
        <v>39</v>
      </c>
      <c r="G5205">
        <v>-295.98680000000002</v>
      </c>
      <c r="H5205" s="1">
        <v>-1.787238E-6</v>
      </c>
      <c r="I5205">
        <v>-38.237850000000002</v>
      </c>
      <c r="J5205">
        <v>-302.78219999999999</v>
      </c>
      <c r="K5205">
        <v>1.1051530000000001</v>
      </c>
      <c r="L5205">
        <v>-29.062709999999999</v>
      </c>
      <c r="M5205">
        <v>-2.9050299999999901E-2</v>
      </c>
      <c r="N5205">
        <v>0</v>
      </c>
      <c r="O5205">
        <v>-0.99950899999999998</v>
      </c>
      <c r="P5205">
        <v>0.27860180000000001</v>
      </c>
      <c r="Q5205">
        <v>1.9516619999999998E-2</v>
      </c>
      <c r="R5205">
        <v>-0.96020879999999997</v>
      </c>
      <c r="S5205">
        <v>1.870911</v>
      </c>
      <c r="T5205">
        <v>-0.30451070000000002</v>
      </c>
      <c r="U5205">
        <v>-2.5898439999999998</v>
      </c>
      <c r="V5205">
        <v>-0.30642509999999901</v>
      </c>
      <c r="W5205">
        <v>3.0241000000000001E-2</v>
      </c>
      <c r="X5205">
        <v>0.95141430000000005</v>
      </c>
      <c r="Y5205">
        <v>-0.60628890000000002</v>
      </c>
      <c r="Z5205">
        <v>9.3906890000000007E-2</v>
      </c>
      <c r="AA5205">
        <v>0.78968050000000001</v>
      </c>
      <c r="AB5205">
        <v>23</v>
      </c>
      <c r="AC5205">
        <v>6.7953999999999697</v>
      </c>
      <c r="AD5205">
        <v>-1.1051547872380001</v>
      </c>
      <c r="AE5205">
        <v>-9.1751400000000007</v>
      </c>
      <c r="AF5205">
        <v>-6.9935668536215498</v>
      </c>
      <c r="AG5205">
        <v>-1.1051547872380001</v>
      </c>
      <c r="AH5205">
        <v>8.8905483085738908</v>
      </c>
      <c r="AI5205">
        <v>95.5801557821529</v>
      </c>
      <c r="AJ5205">
        <v>128.18963150160999</v>
      </c>
      <c r="AK5205">
        <v>11.365438560254301</v>
      </c>
    </row>
    <row r="5206" spans="1:37" x14ac:dyDescent="0.2">
      <c r="A5206" t="str">
        <f>"20200111153755490"</f>
        <v>20200111153755490</v>
      </c>
      <c r="B5206" t="str">
        <f>"1578728275478300"</f>
        <v>1578728275478300</v>
      </c>
      <c r="C5206" t="s">
        <v>37</v>
      </c>
      <c r="D5206">
        <v>5.3885259999999997</v>
      </c>
      <c r="E5206">
        <v>0.36624719999999999</v>
      </c>
      <c r="F5206" t="s">
        <v>39</v>
      </c>
      <c r="G5206">
        <v>-296.11810000000003</v>
      </c>
      <c r="H5206" s="1">
        <v>-1.7209829999999899E-6</v>
      </c>
      <c r="I5206">
        <v>-38.329909999999998</v>
      </c>
      <c r="J5206">
        <v>-302.7878</v>
      </c>
      <c r="K5206">
        <v>1.1052120000000001</v>
      </c>
      <c r="L5206">
        <v>-29.295069999999999</v>
      </c>
      <c r="M5206">
        <v>-2.798492E-2</v>
      </c>
      <c r="N5206">
        <v>0</v>
      </c>
      <c r="O5206">
        <v>-0.99953959999999997</v>
      </c>
      <c r="P5206">
        <v>0.27712389999999998</v>
      </c>
      <c r="Q5206">
        <v>1.7557610000000001E-2</v>
      </c>
      <c r="R5206">
        <v>-0.96067389999999997</v>
      </c>
      <c r="S5206">
        <v>1.8626099999999901</v>
      </c>
      <c r="T5206">
        <v>-0.30888660000000001</v>
      </c>
      <c r="U5206">
        <v>-2.5901489999999998</v>
      </c>
      <c r="V5206">
        <v>-0.303948</v>
      </c>
      <c r="W5206">
        <v>2.8232940000000002E-2</v>
      </c>
      <c r="X5206">
        <v>0.95227019999999996</v>
      </c>
      <c r="Y5206">
        <v>-0.60364649999999997</v>
      </c>
      <c r="Z5206">
        <v>9.5422809999999997E-2</v>
      </c>
      <c r="AA5206">
        <v>0.79152089999999997</v>
      </c>
      <c r="AB5206">
        <v>23</v>
      </c>
      <c r="AC5206">
        <v>6.6696999999999704</v>
      </c>
      <c r="AD5206">
        <v>-1.105213720983</v>
      </c>
      <c r="AE5206">
        <v>-9.0348399999999902</v>
      </c>
      <c r="AF5206">
        <v>-6.85356239115153</v>
      </c>
      <c r="AG5206">
        <v>-1.105213720983</v>
      </c>
      <c r="AH5206">
        <v>8.7597922398778607</v>
      </c>
      <c r="AI5206">
        <v>95.674811253050194</v>
      </c>
      <c r="AJ5206">
        <v>128.03922434765599</v>
      </c>
      <c r="AK5206">
        <v>11.177064681940401</v>
      </c>
    </row>
    <row r="5207" spans="1:37" x14ac:dyDescent="0.2">
      <c r="A5207" t="str">
        <f>"20200111153755514"</f>
        <v>20200111153755514</v>
      </c>
      <c r="B5207" t="str">
        <f>"1578728275508555"</f>
        <v>1578728275508555</v>
      </c>
      <c r="C5207" t="s">
        <v>37</v>
      </c>
      <c r="D5207">
        <v>5.1884269999999999</v>
      </c>
      <c r="E5207">
        <v>0.3679653</v>
      </c>
      <c r="F5207" t="s">
        <v>38</v>
      </c>
      <c r="G5207">
        <v>-302.22089999999997</v>
      </c>
      <c r="H5207">
        <v>1.00858799999999</v>
      </c>
      <c r="I5207">
        <v>-30.0943</v>
      </c>
      <c r="J5207">
        <v>-302.79309999999998</v>
      </c>
      <c r="K5207">
        <v>1.105283</v>
      </c>
      <c r="L5207">
        <v>-29.52975</v>
      </c>
      <c r="M5207">
        <v>-2.6797930000000001E-2</v>
      </c>
      <c r="N5207">
        <v>0</v>
      </c>
      <c r="O5207">
        <v>-0.99957229999999997</v>
      </c>
      <c r="P5207">
        <v>0.2739818</v>
      </c>
      <c r="Q5207">
        <v>1.68611E-2</v>
      </c>
      <c r="R5207">
        <v>-0.96158739999999998</v>
      </c>
      <c r="S5207">
        <v>1.8421019999999999</v>
      </c>
      <c r="T5207">
        <v>-0.31399349999999998</v>
      </c>
      <c r="U5207">
        <v>-2.597137</v>
      </c>
      <c r="V5207">
        <v>-0.29970370000000002</v>
      </c>
      <c r="W5207">
        <v>2.7495080000000002E-2</v>
      </c>
      <c r="X5207">
        <v>0.95363609999999899</v>
      </c>
      <c r="Y5207">
        <v>-0.59743059999999903</v>
      </c>
      <c r="Z5207">
        <v>9.7227170000000002E-2</v>
      </c>
      <c r="AA5207">
        <v>0.79600479999999996</v>
      </c>
      <c r="AB5207">
        <v>23</v>
      </c>
      <c r="AC5207">
        <v>0.57220000000000903</v>
      </c>
      <c r="AD5207">
        <v>-9.6695000000000197E-2</v>
      </c>
      <c r="AE5207">
        <v>-0.56455</v>
      </c>
      <c r="AF5207">
        <v>-0.57874939901500999</v>
      </c>
      <c r="AG5207">
        <v>-9.6695000000000197E-2</v>
      </c>
      <c r="AH5207">
        <v>0.54118114905539605</v>
      </c>
      <c r="AI5207">
        <v>96.957676328402599</v>
      </c>
      <c r="AJ5207">
        <v>136.921275678336</v>
      </c>
      <c r="AK5207">
        <v>0.79823419243863203</v>
      </c>
    </row>
    <row r="5208" spans="1:37" x14ac:dyDescent="0.2">
      <c r="A5208" t="str">
        <f>"20200111153755535"</f>
        <v>20200111153755535</v>
      </c>
      <c r="B5208" t="str">
        <f>"1578728275528794"</f>
        <v>1578728275528794</v>
      </c>
      <c r="C5208" t="s">
        <v>37</v>
      </c>
      <c r="D5208">
        <v>5.1876100000000003</v>
      </c>
      <c r="E5208">
        <v>0.36874370000000001</v>
      </c>
      <c r="F5208" t="s">
        <v>38</v>
      </c>
      <c r="G5208">
        <v>-302.2516</v>
      </c>
      <c r="H5208">
        <v>1.010745</v>
      </c>
      <c r="I5208">
        <v>-30.305859999999999</v>
      </c>
      <c r="J5208">
        <v>-302.79790000000003</v>
      </c>
      <c r="K5208">
        <v>1.105351</v>
      </c>
      <c r="L5208">
        <v>-29.763120000000001</v>
      </c>
      <c r="M5208">
        <v>-2.5518550000000001E-2</v>
      </c>
      <c r="N5208">
        <v>0</v>
      </c>
      <c r="O5208">
        <v>-0.99960599999999999</v>
      </c>
      <c r="P5208">
        <v>0.27006239999999998</v>
      </c>
      <c r="Q5208">
        <v>1.777289E-2</v>
      </c>
      <c r="R5208">
        <v>-0.9626787</v>
      </c>
      <c r="S5208">
        <v>1.8192439999999901</v>
      </c>
      <c r="T5208">
        <v>-0.31757479999999999</v>
      </c>
      <c r="U5208">
        <v>-2.607056</v>
      </c>
      <c r="V5208">
        <v>-0.29459879999999999</v>
      </c>
      <c r="W5208">
        <v>2.8372600000000001E-2</v>
      </c>
      <c r="X5208">
        <v>0.95519969999999998</v>
      </c>
      <c r="Y5208">
        <v>-0.59020469999999903</v>
      </c>
      <c r="Z5208">
        <v>9.8537849999999996E-2</v>
      </c>
      <c r="AA5208">
        <v>0.80121699999999996</v>
      </c>
      <c r="AB5208">
        <v>23</v>
      </c>
      <c r="AC5208">
        <v>0.54630000000002998</v>
      </c>
      <c r="AD5208">
        <v>-9.4605999999999899E-2</v>
      </c>
      <c r="AE5208">
        <v>-0.542739999999998</v>
      </c>
      <c r="AF5208">
        <v>-0.55164695902640504</v>
      </c>
      <c r="AG5208">
        <v>-9.4605999999999899E-2</v>
      </c>
      <c r="AH5208">
        <v>0.52076164926142199</v>
      </c>
      <c r="AI5208">
        <v>97.108527186238504</v>
      </c>
      <c r="AJ5208">
        <v>136.64965934772499</v>
      </c>
      <c r="AK5208">
        <v>0.764498108552635</v>
      </c>
    </row>
    <row r="5209" spans="1:37" x14ac:dyDescent="0.2">
      <c r="A5209" t="str">
        <f>"20200111153755558"</f>
        <v>20200111153755558</v>
      </c>
      <c r="B5209" t="str">
        <f>"1578728275548314"</f>
        <v>1578728275548314</v>
      </c>
      <c r="C5209" t="s">
        <v>37</v>
      </c>
      <c r="D5209">
        <v>5.1723480000000004</v>
      </c>
      <c r="E5209">
        <v>0.3692781</v>
      </c>
      <c r="F5209" t="s">
        <v>38</v>
      </c>
      <c r="G5209">
        <v>-302.27870000000001</v>
      </c>
      <c r="H5209">
        <v>1.014583</v>
      </c>
      <c r="I5209">
        <v>-30.516919999999999</v>
      </c>
      <c r="J5209">
        <v>-302.8023</v>
      </c>
      <c r="K5209">
        <v>1.105415</v>
      </c>
      <c r="L5209">
        <v>-29.992519999999999</v>
      </c>
      <c r="M5209">
        <v>-2.417387E-2</v>
      </c>
      <c r="N5209">
        <v>0</v>
      </c>
      <c r="O5209">
        <v>-0.99963950000000001</v>
      </c>
      <c r="P5209">
        <v>0.2670498</v>
      </c>
      <c r="Q5209">
        <v>1.8129889999999999E-2</v>
      </c>
      <c r="R5209">
        <v>-0.96351229999999999</v>
      </c>
      <c r="S5209">
        <v>1.802338</v>
      </c>
      <c r="T5209">
        <v>-0.31506630000000002</v>
      </c>
      <c r="U5209">
        <v>-2.6164860000000001</v>
      </c>
      <c r="V5209">
        <v>-0.29032720000000001</v>
      </c>
      <c r="W5209">
        <v>2.8697670000000002E-2</v>
      </c>
      <c r="X5209">
        <v>0.95649699999999904</v>
      </c>
      <c r="Y5209">
        <v>-0.58428599999999997</v>
      </c>
      <c r="Z5209">
        <v>9.7880990000000001E-2</v>
      </c>
      <c r="AA5209">
        <v>0.80562349999999905</v>
      </c>
      <c r="AB5209">
        <v>23</v>
      </c>
      <c r="AC5209">
        <v>0.52359999999998696</v>
      </c>
      <c r="AD5209">
        <v>-9.0831999999999996E-2</v>
      </c>
      <c r="AE5209">
        <v>-0.52439999999999998</v>
      </c>
      <c r="AF5209">
        <v>-0.52818910838634103</v>
      </c>
      <c r="AG5209">
        <v>-9.0831999999999996E-2</v>
      </c>
      <c r="AH5209">
        <v>0.50401610432264699</v>
      </c>
      <c r="AI5209">
        <v>97.091947328836099</v>
      </c>
      <c r="AJ5209">
        <v>136.34155299616901</v>
      </c>
      <c r="AK5209">
        <v>0.73570810778360696</v>
      </c>
    </row>
    <row r="5210" spans="1:37" x14ac:dyDescent="0.2">
      <c r="A5210" t="str">
        <f>"20200111153755580"</f>
        <v>20200111153755580</v>
      </c>
      <c r="B5210" t="str">
        <f>"1578728275568810"</f>
        <v>1578728275568810</v>
      </c>
      <c r="C5210" t="s">
        <v>37</v>
      </c>
      <c r="D5210">
        <v>5.1680359999999999</v>
      </c>
      <c r="E5210">
        <v>0.36943229999999999</v>
      </c>
      <c r="F5210" t="s">
        <v>38</v>
      </c>
      <c r="G5210">
        <v>-302.30110000000002</v>
      </c>
      <c r="H5210">
        <v>1.0184850000000001</v>
      </c>
      <c r="I5210">
        <v>-30.7272099999999</v>
      </c>
      <c r="J5210">
        <v>-302.80619999999999</v>
      </c>
      <c r="K5210">
        <v>1.105467</v>
      </c>
      <c r="L5210">
        <v>-30.22174</v>
      </c>
      <c r="M5210">
        <v>-2.2759089999999999E-2</v>
      </c>
      <c r="N5210">
        <v>0</v>
      </c>
      <c r="O5210">
        <v>-0.99967289999999998</v>
      </c>
      <c r="P5210">
        <v>0.26526279999999902</v>
      </c>
      <c r="Q5210">
        <v>1.7797839999999999E-2</v>
      </c>
      <c r="R5210">
        <v>-0.96401199999999998</v>
      </c>
      <c r="S5210">
        <v>1.790375</v>
      </c>
      <c r="T5210">
        <v>-0.31040009999999901</v>
      </c>
      <c r="U5210">
        <v>-2.6231990000000001</v>
      </c>
      <c r="V5210">
        <v>-0.28719980000000001</v>
      </c>
      <c r="W5210">
        <v>2.83378E-2</v>
      </c>
      <c r="X5210">
        <v>0.95745149999999901</v>
      </c>
      <c r="Y5210">
        <v>-0.579740699999999</v>
      </c>
      <c r="Z5210">
        <v>9.6536759999999999E-2</v>
      </c>
      <c r="AA5210">
        <v>0.80906210000000001</v>
      </c>
      <c r="AB5210">
        <v>23</v>
      </c>
      <c r="AC5210">
        <v>0.50509999999997002</v>
      </c>
      <c r="AD5210">
        <v>-8.6981999999999796E-2</v>
      </c>
      <c r="AE5210">
        <v>-0.50546999999999098</v>
      </c>
      <c r="AF5210">
        <v>-0.508933183470205</v>
      </c>
      <c r="AG5210">
        <v>-8.6981999999999796E-2</v>
      </c>
      <c r="AH5210">
        <v>0.48663229746277598</v>
      </c>
      <c r="AI5210">
        <v>97.041962977603902</v>
      </c>
      <c r="AJ5210">
        <v>136.28322347934301</v>
      </c>
      <c r="AK5210">
        <v>0.70949971564125103</v>
      </c>
    </row>
    <row r="5211" spans="1:37" x14ac:dyDescent="0.2">
      <c r="A5211" t="str">
        <f>"20200111153755602"</f>
        <v>20200111153755602</v>
      </c>
      <c r="B5211" t="str">
        <f>"1578728275599067"</f>
        <v>1578728275599067</v>
      </c>
      <c r="C5211" t="s">
        <v>37</v>
      </c>
      <c r="D5211">
        <v>5.4246679999999996</v>
      </c>
      <c r="E5211">
        <v>0.36958489999999999</v>
      </c>
      <c r="F5211" t="s">
        <v>39</v>
      </c>
      <c r="G5211">
        <v>-296.38189999999997</v>
      </c>
      <c r="H5211" s="1">
        <v>-1.191587E-6</v>
      </c>
      <c r="I5211">
        <v>-39.679290000000002</v>
      </c>
      <c r="J5211">
        <v>-302.80990000000003</v>
      </c>
      <c r="K5211">
        <v>1.1055059999999901</v>
      </c>
      <c r="L5211">
        <v>-30.457519999999999</v>
      </c>
      <c r="M5211">
        <v>-2.124767E-2</v>
      </c>
      <c r="N5211">
        <v>0</v>
      </c>
      <c r="O5211">
        <v>-0.99970619999999999</v>
      </c>
      <c r="P5211">
        <v>0.26488159999999999</v>
      </c>
      <c r="Q5211">
        <v>1.7213909999999999E-2</v>
      </c>
      <c r="R5211">
        <v>-0.96412770000000003</v>
      </c>
      <c r="S5211">
        <v>1.7842709999999999</v>
      </c>
      <c r="T5211">
        <v>-0.307029</v>
      </c>
      <c r="U5211">
        <v>-2.626709</v>
      </c>
      <c r="V5211">
        <v>-0.28537379999999901</v>
      </c>
      <c r="W5211">
        <v>2.773341E-2</v>
      </c>
      <c r="X5211">
        <v>0.95801499999999995</v>
      </c>
      <c r="Y5211">
        <v>-0.57677259999999997</v>
      </c>
      <c r="Z5211">
        <v>9.5567949999999999E-2</v>
      </c>
      <c r="AA5211">
        <v>0.8112954</v>
      </c>
      <c r="AB5211">
        <v>23</v>
      </c>
      <c r="AC5211">
        <v>6.4280000000000497</v>
      </c>
      <c r="AD5211">
        <v>-1.1055071915869901</v>
      </c>
      <c r="AE5211">
        <v>-9.2217699999999994</v>
      </c>
      <c r="AF5211">
        <v>-6.5590643375838003</v>
      </c>
      <c r="AG5211">
        <v>-1.1055071915869901</v>
      </c>
      <c r="AH5211">
        <v>8.9960890562748599</v>
      </c>
      <c r="AI5211">
        <v>95.670717064816699</v>
      </c>
      <c r="AJ5211">
        <v>126.09585581517899</v>
      </c>
      <c r="AK5211">
        <v>11.1880780048962</v>
      </c>
    </row>
    <row r="5212" spans="1:37" x14ac:dyDescent="0.2">
      <c r="A5212" t="str">
        <f>"20200111153755627"</f>
        <v>20200111153755627</v>
      </c>
      <c r="B5212" t="str">
        <f>"1578728275618208"</f>
        <v>1578728275618208</v>
      </c>
      <c r="C5212" t="s">
        <v>37</v>
      </c>
      <c r="D5212">
        <v>5.3035550000000002</v>
      </c>
      <c r="E5212">
        <v>0.4482584</v>
      </c>
      <c r="F5212" t="s">
        <v>39</v>
      </c>
      <c r="G5212">
        <v>-296.32659999999998</v>
      </c>
      <c r="H5212" s="1">
        <v>-1.0905640000000001E-6</v>
      </c>
      <c r="I5212">
        <v>-40.019419999999997</v>
      </c>
      <c r="J5212">
        <v>-302.8134</v>
      </c>
      <c r="K5212">
        <v>1.105523</v>
      </c>
      <c r="L5212">
        <v>-30.713290000000001</v>
      </c>
      <c r="M5212">
        <v>-1.9577130000000002E-2</v>
      </c>
      <c r="N5212">
        <v>0</v>
      </c>
      <c r="O5212">
        <v>-0.99974039999999997</v>
      </c>
      <c r="P5212">
        <v>0.26357390000000003</v>
      </c>
      <c r="Q5212">
        <v>1.8628680000000002E-2</v>
      </c>
      <c r="R5212">
        <v>-0.96445949999999903</v>
      </c>
      <c r="S5212">
        <v>1.7815859999999999</v>
      </c>
      <c r="T5212">
        <v>-0.30378810000000001</v>
      </c>
      <c r="U5212">
        <v>-2.6275629999999999</v>
      </c>
      <c r="V5212">
        <v>-0.2824759</v>
      </c>
      <c r="W5212">
        <v>2.91437999999999E-2</v>
      </c>
      <c r="X5212">
        <v>0.95883149999999995</v>
      </c>
      <c r="Y5212">
        <v>-0.57476859999999996</v>
      </c>
      <c r="Z5212">
        <v>9.4648469999999998E-2</v>
      </c>
      <c r="AA5212">
        <v>0.81282390000000004</v>
      </c>
      <c r="AB5212">
        <v>23</v>
      </c>
      <c r="AC5212">
        <v>6.4868000000000103</v>
      </c>
      <c r="AD5212">
        <v>-1.105524090564</v>
      </c>
      <c r="AE5212">
        <v>-9.3061299999999996</v>
      </c>
      <c r="AF5212">
        <v>-6.60502407331599</v>
      </c>
      <c r="AG5212">
        <v>-1.105524090564</v>
      </c>
      <c r="AH5212">
        <v>9.0910014632278102</v>
      </c>
      <c r="AI5212">
        <v>95.618765006143093</v>
      </c>
      <c r="AJ5212">
        <v>126.000102663899</v>
      </c>
      <c r="AK5212">
        <v>11.2913610396759</v>
      </c>
    </row>
    <row r="5213" spans="1:37" x14ac:dyDescent="0.2">
      <c r="A5213" t="str">
        <f>"20200111153755692"</f>
        <v>20200111153755692</v>
      </c>
      <c r="B5213" t="str">
        <f>"1578728275678720"</f>
        <v>1578728275678720</v>
      </c>
      <c r="C5213" t="s">
        <v>37</v>
      </c>
      <c r="D5213">
        <v>5.2391750000000004</v>
      </c>
      <c r="E5213">
        <v>0.51139100000000004</v>
      </c>
      <c r="F5213" t="s">
        <v>53</v>
      </c>
      <c r="G5213">
        <v>-298.53519999999997</v>
      </c>
      <c r="H5213" s="1">
        <v>-7.2048100000000003E-7</v>
      </c>
      <c r="I5213">
        <v>-40.924160000000001</v>
      </c>
      <c r="J5213">
        <v>-302.82049999999998</v>
      </c>
      <c r="K5213">
        <v>1.1054580000000001</v>
      </c>
      <c r="L5213">
        <v>-31.38644</v>
      </c>
      <c r="M5213">
        <v>-1.5189920000000001E-2</v>
      </c>
      <c r="N5213">
        <v>0</v>
      </c>
      <c r="O5213">
        <v>-0.99981710000000001</v>
      </c>
      <c r="P5213">
        <v>0.2673143</v>
      </c>
      <c r="Q5213">
        <v>1.5360769999999999E-2</v>
      </c>
      <c r="R5213">
        <v>-0.96348690000000003</v>
      </c>
      <c r="S5213">
        <v>1.17157</v>
      </c>
      <c r="T5213">
        <v>-0.30274609999999902</v>
      </c>
      <c r="U5213">
        <v>-2.7962340000000001</v>
      </c>
      <c r="V5213">
        <v>-0.28198020000000001</v>
      </c>
      <c r="W5213">
        <v>2.585869E-2</v>
      </c>
      <c r="X5213">
        <v>0.95907169999999897</v>
      </c>
      <c r="Y5213">
        <v>-0.39849689999999999</v>
      </c>
      <c r="Z5213">
        <v>9.9038349999999997E-2</v>
      </c>
      <c r="AA5213">
        <v>0.91180680000000003</v>
      </c>
      <c r="AB5213">
        <v>23</v>
      </c>
      <c r="AC5213">
        <v>4.2853000000000003</v>
      </c>
      <c r="AD5213">
        <v>-1.105458720481</v>
      </c>
      <c r="AE5213">
        <v>-9.5377199999999895</v>
      </c>
      <c r="AF5213">
        <v>-4.3807276600867899</v>
      </c>
      <c r="AG5213">
        <v>-1.105458720481</v>
      </c>
      <c r="AH5213">
        <v>9.3668255683413904</v>
      </c>
      <c r="AI5213">
        <v>96.102007266173302</v>
      </c>
      <c r="AJ5213">
        <v>115.064806098562</v>
      </c>
      <c r="AK5213">
        <v>10.399530520281701</v>
      </c>
    </row>
    <row r="5214" spans="1:37" x14ac:dyDescent="0.2">
      <c r="A5214" t="str">
        <f>"20200111153755715"</f>
        <v>20200111153755715</v>
      </c>
      <c r="B5214" t="str">
        <f>"1578728275708000"</f>
        <v>1578728275708000</v>
      </c>
      <c r="C5214" t="s">
        <v>37</v>
      </c>
      <c r="D5214">
        <v>5.1951529999999897</v>
      </c>
      <c r="E5214">
        <v>0.50799240000000001</v>
      </c>
      <c r="F5214" t="s">
        <v>53</v>
      </c>
      <c r="G5214">
        <v>-299.28989999999999</v>
      </c>
      <c r="H5214" s="1">
        <v>-3.7063349999999999E-6</v>
      </c>
      <c r="I5214">
        <v>-46.132759999999998</v>
      </c>
      <c r="J5214">
        <v>-302.82229999999998</v>
      </c>
      <c r="K5214">
        <v>1.1054360000000001</v>
      </c>
      <c r="L5214">
        <v>-31.628019999999999</v>
      </c>
      <c r="M5214">
        <v>-1.366064E-2</v>
      </c>
      <c r="N5214">
        <v>0</v>
      </c>
      <c r="O5214">
        <v>-0.99983940000000004</v>
      </c>
      <c r="P5214">
        <v>0.2705187</v>
      </c>
      <c r="Q5214">
        <v>1.303753E-2</v>
      </c>
      <c r="R5214">
        <v>-0.9626268</v>
      </c>
      <c r="S5214">
        <v>0.69982909999999998</v>
      </c>
      <c r="T5214">
        <v>-0.21912609999999999</v>
      </c>
      <c r="U5214">
        <v>-2.923035</v>
      </c>
      <c r="V5214">
        <v>-0.28369820000000001</v>
      </c>
      <c r="W5214">
        <v>2.3527670000000001E-2</v>
      </c>
      <c r="X5214">
        <v>0.95862499999999995</v>
      </c>
      <c r="Y5214">
        <v>-0.24548800000000001</v>
      </c>
      <c r="Z5214">
        <v>7.2581160000000006E-2</v>
      </c>
      <c r="AA5214">
        <v>0.9666787</v>
      </c>
      <c r="AB5214">
        <v>23</v>
      </c>
      <c r="AC5214">
        <v>3.5323999999999902</v>
      </c>
      <c r="AD5214">
        <v>-1.1054397063350001</v>
      </c>
      <c r="AE5214">
        <v>-14.5047399999999</v>
      </c>
      <c r="AF5214">
        <v>-3.70988596524341</v>
      </c>
      <c r="AG5214">
        <v>-1.1054397063350001</v>
      </c>
      <c r="AH5214">
        <v>14.376301317443501</v>
      </c>
      <c r="AI5214">
        <v>94.2580489247662</v>
      </c>
      <c r="AJ5214">
        <v>104.46981851396799</v>
      </c>
      <c r="AK5214">
        <v>14.8883609033828</v>
      </c>
    </row>
    <row r="5215" spans="1:37" x14ac:dyDescent="0.2">
      <c r="A5215" t="str">
        <f>"20200111153755738"</f>
        <v>20200111153755738</v>
      </c>
      <c r="B5215" t="str">
        <f>"1578728275728290"</f>
        <v>1578728275728290</v>
      </c>
      <c r="C5215" t="s">
        <v>37</v>
      </c>
      <c r="D5215">
        <v>5.1980009999999996</v>
      </c>
      <c r="E5215">
        <v>0.50647189999999997</v>
      </c>
      <c r="F5215" t="s">
        <v>53</v>
      </c>
      <c r="G5215">
        <v>-299.0872</v>
      </c>
      <c r="H5215" s="1">
        <v>-3.9006499999999997E-6</v>
      </c>
      <c r="I5215">
        <v>-46.425890000000003</v>
      </c>
      <c r="J5215">
        <v>-302.82380000000001</v>
      </c>
      <c r="K5215">
        <v>1.1054040000000001</v>
      </c>
      <c r="L5215">
        <v>-31.86102</v>
      </c>
      <c r="M5215">
        <v>-1.2220669999999999E-2</v>
      </c>
      <c r="N5215">
        <v>0</v>
      </c>
      <c r="O5215">
        <v>-0.99985809999999997</v>
      </c>
      <c r="P5215">
        <v>0.27413169999999998</v>
      </c>
      <c r="Q5215">
        <v>1.04396E-2</v>
      </c>
      <c r="R5215">
        <v>-0.96163580000000004</v>
      </c>
      <c r="S5215">
        <v>0.73522949999999998</v>
      </c>
      <c r="T5215">
        <v>-0.2175947</v>
      </c>
      <c r="U5215">
        <v>-2.912811</v>
      </c>
      <c r="V5215">
        <v>-0.28591090000000002</v>
      </c>
      <c r="W5215">
        <v>2.0921439999999999E-2</v>
      </c>
      <c r="X5215">
        <v>0.95802779999999998</v>
      </c>
      <c r="Y5215">
        <v>-0.25592999999999999</v>
      </c>
      <c r="Z5215">
        <v>7.2121229999999995E-2</v>
      </c>
      <c r="AA5215">
        <v>0.964001199999999</v>
      </c>
      <c r="AB5215">
        <v>23</v>
      </c>
      <c r="AC5215">
        <v>3.7366000000000001</v>
      </c>
      <c r="AD5215">
        <v>-1.1054079006499999</v>
      </c>
      <c r="AE5215">
        <v>-14.564870000000001</v>
      </c>
      <c r="AF5215">
        <v>-3.89328441991257</v>
      </c>
      <c r="AG5215">
        <v>-1.1054079006499999</v>
      </c>
      <c r="AH5215">
        <v>14.440075154393201</v>
      </c>
      <c r="AI5215">
        <v>94.227163154610395</v>
      </c>
      <c r="AJ5215">
        <v>105.089100220029</v>
      </c>
      <c r="AK5215">
        <v>14.9965116165619</v>
      </c>
    </row>
    <row r="5216" spans="1:37" x14ac:dyDescent="0.2">
      <c r="A5216" t="str">
        <f>"20200111153755758"</f>
        <v>20200111153755758</v>
      </c>
      <c r="B5216" t="str">
        <f>"1578728275748786"</f>
        <v>1578728275748786</v>
      </c>
      <c r="C5216" t="s">
        <v>37</v>
      </c>
      <c r="D5216">
        <v>5.3929489999999998</v>
      </c>
      <c r="E5216">
        <v>0.50559069999999995</v>
      </c>
      <c r="F5216" t="s">
        <v>53</v>
      </c>
      <c r="G5216">
        <v>-299.11939999999998</v>
      </c>
      <c r="H5216" s="1">
        <v>-3.7166819999999998E-6</v>
      </c>
      <c r="I5216">
        <v>-46.078850000000003</v>
      </c>
      <c r="J5216">
        <v>-302.82479999999998</v>
      </c>
      <c r="K5216">
        <v>1.1053729999999999</v>
      </c>
      <c r="L5216">
        <v>-32.074860000000001</v>
      </c>
      <c r="M5216">
        <v>-1.093099E-2</v>
      </c>
      <c r="N5216">
        <v>0</v>
      </c>
      <c r="O5216">
        <v>-0.99987320000000002</v>
      </c>
      <c r="P5216">
        <v>0.27797070000000001</v>
      </c>
      <c r="Q5216">
        <v>7.5869569999999897E-3</v>
      </c>
      <c r="R5216">
        <v>-0.96055970000000002</v>
      </c>
      <c r="S5216">
        <v>0.75723269999999998</v>
      </c>
      <c r="T5216">
        <v>-0.22595760000000001</v>
      </c>
      <c r="U5216">
        <v>-2.9062809999999999</v>
      </c>
      <c r="V5216">
        <v>-0.28849469999999999</v>
      </c>
      <c r="W5216">
        <v>1.8060960000000001E-2</v>
      </c>
      <c r="X5216">
        <v>0.95731119999999903</v>
      </c>
      <c r="Y5216">
        <v>-0.26198719999999998</v>
      </c>
      <c r="Z5216">
        <v>7.4910190000000001E-2</v>
      </c>
      <c r="AA5216">
        <v>0.9621596</v>
      </c>
      <c r="AB5216">
        <v>23</v>
      </c>
      <c r="AC5216">
        <v>3.7053999999999898</v>
      </c>
      <c r="AD5216">
        <v>-1.1053767166820001</v>
      </c>
      <c r="AE5216">
        <v>-14.00399</v>
      </c>
      <c r="AF5216">
        <v>-3.8359306326555598</v>
      </c>
      <c r="AG5216">
        <v>-1.1053767166820001</v>
      </c>
      <c r="AH5216">
        <v>13.8818163483154</v>
      </c>
      <c r="AI5216">
        <v>94.388922099659098</v>
      </c>
      <c r="AJ5216">
        <v>105.446951337271</v>
      </c>
      <c r="AK5216">
        <v>14.4444122979332</v>
      </c>
    </row>
    <row r="5217" spans="1:37" x14ac:dyDescent="0.2">
      <c r="A5217" t="str">
        <f>"20200111153755781"</f>
        <v>20200111153755781</v>
      </c>
      <c r="B5217" t="str">
        <f>"1578728275778066"</f>
        <v>1578728275778066</v>
      </c>
      <c r="C5217" t="s">
        <v>37</v>
      </c>
      <c r="D5217">
        <v>5.2953869999999998</v>
      </c>
      <c r="E5217">
        <v>0.50476069999999995</v>
      </c>
      <c r="F5217" t="s">
        <v>53</v>
      </c>
      <c r="G5217">
        <v>-299.22410000000002</v>
      </c>
      <c r="H5217" s="1">
        <v>-3.4279170000000001E-6</v>
      </c>
      <c r="I5217">
        <v>-45.557690000000001</v>
      </c>
      <c r="J5217">
        <v>-302.82569999999998</v>
      </c>
      <c r="K5217">
        <v>1.1053489999999999</v>
      </c>
      <c r="L5217">
        <v>-32.306609999999999</v>
      </c>
      <c r="M5217">
        <v>-9.5583089999999992E-3</v>
      </c>
      <c r="N5217">
        <v>0</v>
      </c>
      <c r="O5217">
        <v>-0.99988719999999998</v>
      </c>
      <c r="P5217">
        <v>0.28215009999999902</v>
      </c>
      <c r="Q5217">
        <v>6.0774649999999998E-3</v>
      </c>
      <c r="R5217">
        <v>-0.95935099999999995</v>
      </c>
      <c r="S5217">
        <v>0.77471919999999905</v>
      </c>
      <c r="T5217">
        <v>-0.237825799999999</v>
      </c>
      <c r="U5217">
        <v>-2.9008790000000002</v>
      </c>
      <c r="V5217">
        <v>-0.29134320000000002</v>
      </c>
      <c r="W5217">
        <v>1.6543889999999999E-2</v>
      </c>
      <c r="X5217">
        <v>0.95647559999999998</v>
      </c>
      <c r="Y5217">
        <v>-0.26644020000000002</v>
      </c>
      <c r="Z5217">
        <v>7.8854549999999995E-2</v>
      </c>
      <c r="AA5217">
        <v>0.96062039999999904</v>
      </c>
      <c r="AB5217">
        <v>23</v>
      </c>
      <c r="AC5217">
        <v>3.6015999999999599</v>
      </c>
      <c r="AD5217">
        <v>-1.1053524279169999</v>
      </c>
      <c r="AE5217">
        <v>-13.25108</v>
      </c>
      <c r="AF5217">
        <v>-3.7041009050335401</v>
      </c>
      <c r="AG5217">
        <v>-1.1053524279169999</v>
      </c>
      <c r="AH5217">
        <v>13.1309641294581</v>
      </c>
      <c r="AI5217">
        <v>94.631834337151005</v>
      </c>
      <c r="AJ5217">
        <v>105.75317694584</v>
      </c>
      <c r="AK5217">
        <v>13.6881111360803</v>
      </c>
    </row>
    <row r="5218" spans="1:37" x14ac:dyDescent="0.2">
      <c r="A5218" t="str">
        <f>"20200111153755803"</f>
        <v>20200111153755803</v>
      </c>
      <c r="B5218" t="str">
        <f>"1578728275798561"</f>
        <v>1578728275798561</v>
      </c>
      <c r="C5218" t="s">
        <v>37</v>
      </c>
      <c r="D5218">
        <v>5.2654269999999999</v>
      </c>
      <c r="E5218">
        <v>0.50426389999999999</v>
      </c>
      <c r="F5218" t="s">
        <v>53</v>
      </c>
      <c r="G5218">
        <v>-299.2824</v>
      </c>
      <c r="H5218" s="1">
        <v>-3.25174E-6</v>
      </c>
      <c r="I5218">
        <v>-45.247329999999998</v>
      </c>
      <c r="J5218">
        <v>-302.8263</v>
      </c>
      <c r="K5218">
        <v>1.1053329999999999</v>
      </c>
      <c r="L5218">
        <v>-32.54007</v>
      </c>
      <c r="M5218">
        <v>-8.1938180000000003E-3</v>
      </c>
      <c r="N5218">
        <v>0</v>
      </c>
      <c r="O5218">
        <v>-0.99989969999999995</v>
      </c>
      <c r="P5218">
        <v>0.28622929999999902</v>
      </c>
      <c r="Q5218">
        <v>7.6229740000000002E-3</v>
      </c>
      <c r="R5218">
        <v>-0.95813110000000001</v>
      </c>
      <c r="S5218">
        <v>0.79281619999999997</v>
      </c>
      <c r="T5218">
        <v>-0.2473244</v>
      </c>
      <c r="U5218">
        <v>-2.895508</v>
      </c>
      <c r="V5218">
        <v>-0.29410890000000001</v>
      </c>
      <c r="W5218">
        <v>1.807812E-2</v>
      </c>
      <c r="X5218">
        <v>0.95560089999999998</v>
      </c>
      <c r="Y5218">
        <v>-0.27109290000000003</v>
      </c>
      <c r="Z5218">
        <v>8.2010169999999993E-2</v>
      </c>
      <c r="AA5218">
        <v>0.95905319999999905</v>
      </c>
      <c r="AB5218">
        <v>23</v>
      </c>
      <c r="AC5218">
        <v>3.5438999999999998</v>
      </c>
      <c r="AD5218">
        <v>-1.1053362517399901</v>
      </c>
      <c r="AE5218">
        <v>-12.7072599999999</v>
      </c>
      <c r="AF5218">
        <v>-3.6224780661685201</v>
      </c>
      <c r="AG5218">
        <v>-1.1053362517399901</v>
      </c>
      <c r="AH5218">
        <v>12.5894119356996</v>
      </c>
      <c r="AI5218">
        <v>94.822932323631804</v>
      </c>
      <c r="AJ5218">
        <v>106.052646493914</v>
      </c>
      <c r="AK5218">
        <v>13.146764181958201</v>
      </c>
    </row>
    <row r="5219" spans="1:37" x14ac:dyDescent="0.2">
      <c r="A5219" t="str">
        <f>"20200111153755825"</f>
        <v>20200111153755825</v>
      </c>
      <c r="B5219" t="str">
        <f>"1578728275818082"</f>
        <v>1578728275818082</v>
      </c>
      <c r="C5219" t="s">
        <v>37</v>
      </c>
      <c r="D5219">
        <v>5.3134519999999998</v>
      </c>
      <c r="E5219">
        <v>0.50401960000000001</v>
      </c>
      <c r="F5219" t="s">
        <v>53</v>
      </c>
      <c r="G5219">
        <v>-299.166</v>
      </c>
      <c r="H5219" s="1">
        <v>-3.4810109999999999E-6</v>
      </c>
      <c r="I5219">
        <v>-45.636620000000001</v>
      </c>
      <c r="J5219">
        <v>-302.82659999999998</v>
      </c>
      <c r="K5219">
        <v>1.1053219999999999</v>
      </c>
      <c r="L5219">
        <v>-32.777189999999997</v>
      </c>
      <c r="M5219">
        <v>-6.8172279999999998E-3</v>
      </c>
      <c r="N5219">
        <v>0</v>
      </c>
      <c r="O5219">
        <v>-0.99991010000000002</v>
      </c>
      <c r="P5219">
        <v>0.289583799999999</v>
      </c>
      <c r="Q5219">
        <v>8.8746740000000008E-3</v>
      </c>
      <c r="R5219">
        <v>-0.95711190000000002</v>
      </c>
      <c r="S5219">
        <v>0.80816650000000001</v>
      </c>
      <c r="T5219">
        <v>-0.2440484</v>
      </c>
      <c r="U5219">
        <v>-2.8916019999999998</v>
      </c>
      <c r="V5219">
        <v>-0.29614229999999903</v>
      </c>
      <c r="W5219">
        <v>1.931911E-2</v>
      </c>
      <c r="X5219">
        <v>0.95494840000000003</v>
      </c>
      <c r="Y5219">
        <v>-0.2748485</v>
      </c>
      <c r="Z5219">
        <v>8.0937419999999996E-2</v>
      </c>
      <c r="AA5219">
        <v>0.95807489999999995</v>
      </c>
      <c r="AB5219">
        <v>23</v>
      </c>
      <c r="AC5219">
        <v>3.6605999999999801</v>
      </c>
      <c r="AD5219">
        <v>-1.10532548101099</v>
      </c>
      <c r="AE5219">
        <v>-12.8594299999999</v>
      </c>
      <c r="AF5219">
        <v>-3.7227438532994799</v>
      </c>
      <c r="AG5219">
        <v>-1.10532548101099</v>
      </c>
      <c r="AH5219">
        <v>12.7470563211483</v>
      </c>
      <c r="AI5219">
        <v>94.758058009786495</v>
      </c>
      <c r="AJ5219">
        <v>106.28030348788199</v>
      </c>
      <c r="AK5219">
        <v>13.325464760029099</v>
      </c>
    </row>
    <row r="5220" spans="1:37" x14ac:dyDescent="0.2">
      <c r="A5220" t="str">
        <f>"20200111153755848"</f>
        <v>20200111153755848</v>
      </c>
      <c r="B5220" t="str">
        <f>"1578728275838578"</f>
        <v>1578728275838578</v>
      </c>
      <c r="C5220" t="s">
        <v>37</v>
      </c>
      <c r="D5220">
        <v>5.3163919999999996</v>
      </c>
      <c r="E5220">
        <v>0.50382759999999904</v>
      </c>
      <c r="F5220" t="s">
        <v>53</v>
      </c>
      <c r="G5220">
        <v>-299.03210000000001</v>
      </c>
      <c r="H5220" s="1">
        <v>-3.7676359999999999E-6</v>
      </c>
      <c r="I5220">
        <v>-46.140889999999999</v>
      </c>
      <c r="J5220">
        <v>-302.82659999999998</v>
      </c>
      <c r="K5220">
        <v>1.105318</v>
      </c>
      <c r="L5220">
        <v>-33.004730000000002</v>
      </c>
      <c r="M5220">
        <v>-5.4875540000000004E-3</v>
      </c>
      <c r="N5220">
        <v>0</v>
      </c>
      <c r="O5220">
        <v>-0.99991849999999904</v>
      </c>
      <c r="P5220">
        <v>0.29222709999999902</v>
      </c>
      <c r="Q5220">
        <v>9.0917769999999901E-3</v>
      </c>
      <c r="R5220">
        <v>-0.95630599999999999</v>
      </c>
      <c r="S5220">
        <v>0.82015990000000005</v>
      </c>
      <c r="T5220">
        <v>-0.2389125</v>
      </c>
      <c r="U5220">
        <v>-2.8885190000000001</v>
      </c>
      <c r="V5220">
        <v>-0.29751139999999998</v>
      </c>
      <c r="W5220">
        <v>1.9521259999999999E-2</v>
      </c>
      <c r="X5220">
        <v>0.95451869999999905</v>
      </c>
      <c r="Y5220">
        <v>-0.27755659999999999</v>
      </c>
      <c r="Z5220">
        <v>7.9252329999999996E-2</v>
      </c>
      <c r="AA5220">
        <v>0.95743480000000003</v>
      </c>
      <c r="AB5220">
        <v>23</v>
      </c>
      <c r="AC5220">
        <v>3.79449999999997</v>
      </c>
      <c r="AD5220">
        <v>-1.1053217676360001</v>
      </c>
      <c r="AE5220">
        <v>-13.136159999999901</v>
      </c>
      <c r="AF5220">
        <v>-3.8414298541807699</v>
      </c>
      <c r="AG5220">
        <v>-1.1053217676360001</v>
      </c>
      <c r="AH5220">
        <v>13.0299892038135</v>
      </c>
      <c r="AI5220">
        <v>94.651721511390704</v>
      </c>
      <c r="AJ5220">
        <v>106.426281663607</v>
      </c>
      <c r="AK5220">
        <v>13.6293410767395</v>
      </c>
    </row>
    <row r="5221" spans="1:37" x14ac:dyDescent="0.2">
      <c r="A5221" t="str">
        <f>"20200111153755870"</f>
        <v>20200111153755870</v>
      </c>
      <c r="B5221" t="str">
        <f>"1578728275858097"</f>
        <v>1578728275858097</v>
      </c>
      <c r="C5221" t="s">
        <v>37</v>
      </c>
      <c r="D5221">
        <v>5.4414759999999998</v>
      </c>
      <c r="E5221">
        <v>0.50385559999999996</v>
      </c>
      <c r="F5221" t="s">
        <v>53</v>
      </c>
      <c r="G5221">
        <v>-298.96899999999999</v>
      </c>
      <c r="H5221" s="1">
        <v>-3.9248110000000002E-6</v>
      </c>
      <c r="I5221">
        <v>-46.421869999999998</v>
      </c>
      <c r="J5221">
        <v>-302.82639999999998</v>
      </c>
      <c r="K5221">
        <v>1.105335</v>
      </c>
      <c r="L5221">
        <v>-33.23724</v>
      </c>
      <c r="M5221">
        <v>-4.0979930000000003E-3</v>
      </c>
      <c r="N5221">
        <v>0</v>
      </c>
      <c r="O5221">
        <v>-0.99992499999999995</v>
      </c>
      <c r="P5221">
        <v>0.29396859999999903</v>
      </c>
      <c r="Q5221">
        <v>9.2987920000000002E-3</v>
      </c>
      <c r="R5221">
        <v>-0.95577009999999996</v>
      </c>
      <c r="S5221">
        <v>0.82971189999999995</v>
      </c>
      <c r="T5221">
        <v>-0.237733799999999</v>
      </c>
      <c r="U5221">
        <v>-2.8857729999999999</v>
      </c>
      <c r="V5221">
        <v>-0.297925</v>
      </c>
      <c r="W5221">
        <v>1.9708139999999999E-2</v>
      </c>
      <c r="X5221">
        <v>0.95438579999999995</v>
      </c>
      <c r="Y5221">
        <v>-0.2793986</v>
      </c>
      <c r="Z5221">
        <v>7.8879939999999996E-2</v>
      </c>
      <c r="AA5221">
        <v>0.95692969999999899</v>
      </c>
      <c r="AB5221">
        <v>23</v>
      </c>
      <c r="AC5221">
        <v>3.8573999999999802</v>
      </c>
      <c r="AD5221">
        <v>-1.1053389248109999</v>
      </c>
      <c r="AE5221">
        <v>-13.184629999999901</v>
      </c>
      <c r="AF5221">
        <v>-3.8862413821801098</v>
      </c>
      <c r="AG5221">
        <v>-1.1053389248109999</v>
      </c>
      <c r="AH5221">
        <v>13.084002044763499</v>
      </c>
      <c r="AI5221">
        <v>94.629903705609095</v>
      </c>
      <c r="AJ5221">
        <v>106.542597663647</v>
      </c>
      <c r="AK5221">
        <v>13.6936392433366</v>
      </c>
    </row>
    <row r="5222" spans="1:37" x14ac:dyDescent="0.2">
      <c r="A5222" t="str">
        <f>"20200111153755893"</f>
        <v>20200111153755893</v>
      </c>
      <c r="B5222" t="str">
        <f>"1578728275888354"</f>
        <v>1578728275888354</v>
      </c>
      <c r="C5222" t="s">
        <v>37</v>
      </c>
      <c r="D5222">
        <v>5.5333170000000003</v>
      </c>
      <c r="E5222">
        <v>0.53014459999999997</v>
      </c>
      <c r="F5222" t="s">
        <v>53</v>
      </c>
      <c r="G5222">
        <v>-298.92899999999997</v>
      </c>
      <c r="H5222" s="1">
        <v>-4.0751420000000001E-6</v>
      </c>
      <c r="I5222">
        <v>-46.6995</v>
      </c>
      <c r="J5222">
        <v>-302.82560000000001</v>
      </c>
      <c r="K5222">
        <v>1.1053789999999999</v>
      </c>
      <c r="L5222">
        <v>-33.470279999999903</v>
      </c>
      <c r="M5222">
        <v>-2.6559040000000002E-3</v>
      </c>
      <c r="N5222">
        <v>0</v>
      </c>
      <c r="O5222">
        <v>-0.99992990000000004</v>
      </c>
      <c r="P5222">
        <v>0.29527379999999998</v>
      </c>
      <c r="Q5222">
        <v>9.950604E-3</v>
      </c>
      <c r="R5222">
        <v>-0.95536119999999902</v>
      </c>
      <c r="S5222">
        <v>0.83502199999999904</v>
      </c>
      <c r="T5222">
        <v>-0.23682049999999999</v>
      </c>
      <c r="U5222">
        <v>-2.8843079999999999</v>
      </c>
      <c r="V5222">
        <v>-0.29785519999999999</v>
      </c>
      <c r="W5222">
        <v>2.033314E-2</v>
      </c>
      <c r="X5222">
        <v>0.95439449999999904</v>
      </c>
      <c r="Y5222">
        <v>-0.27977590000000002</v>
      </c>
      <c r="Z5222">
        <v>7.8593679999999999E-2</v>
      </c>
      <c r="AA5222">
        <v>0.956843</v>
      </c>
      <c r="AB5222">
        <v>23</v>
      </c>
      <c r="AC5222">
        <v>3.8965999999999701</v>
      </c>
      <c r="AD5222">
        <v>-1.105383075142</v>
      </c>
      <c r="AE5222">
        <v>-13.22922</v>
      </c>
      <c r="AF5222">
        <v>-3.9066268481019302</v>
      </c>
      <c r="AG5222">
        <v>-1.105383075142</v>
      </c>
      <c r="AH5222">
        <v>13.134444236569299</v>
      </c>
      <c r="AI5222">
        <v>94.611867170044306</v>
      </c>
      <c r="AJ5222">
        <v>106.564253751374</v>
      </c>
      <c r="AK5222">
        <v>13.7476263579088</v>
      </c>
    </row>
    <row r="5223" spans="1:37" x14ac:dyDescent="0.2">
      <c r="A5223" t="str">
        <f>"20200111153755915"</f>
        <v>20200111153755915</v>
      </c>
      <c r="B5223" t="str">
        <f>"1578728275908850"</f>
        <v>1578728275908850</v>
      </c>
      <c r="C5223" t="s">
        <v>37</v>
      </c>
      <c r="D5223">
        <v>5.3514860000000004</v>
      </c>
      <c r="E5223">
        <v>0.53174860000000002</v>
      </c>
      <c r="F5223" t="s">
        <v>53</v>
      </c>
      <c r="G5223">
        <v>-299.16140000000001</v>
      </c>
      <c r="H5223" s="1">
        <v>-5.8172260000000003E-6</v>
      </c>
      <c r="I5223">
        <v>-50.300739999999998</v>
      </c>
      <c r="J5223">
        <v>-302.82459999999998</v>
      </c>
      <c r="K5223">
        <v>1.1054329999999899</v>
      </c>
      <c r="L5223">
        <v>-33.705410000000001</v>
      </c>
      <c r="M5223">
        <v>-1.139869E-3</v>
      </c>
      <c r="N5223">
        <v>0</v>
      </c>
      <c r="O5223">
        <v>-0.99993269999999901</v>
      </c>
      <c r="P5223">
        <v>0.29680719999999999</v>
      </c>
      <c r="Q5223">
        <v>1.132917E-2</v>
      </c>
      <c r="R5223">
        <v>-0.95487060000000001</v>
      </c>
      <c r="S5223">
        <v>0.64096070000000005</v>
      </c>
      <c r="T5223">
        <v>-0.19336099999999901</v>
      </c>
      <c r="U5223">
        <v>-2.9440919999999999</v>
      </c>
      <c r="V5223">
        <v>-0.29794559999999998</v>
      </c>
      <c r="W5223">
        <v>2.16761E-2</v>
      </c>
      <c r="X5223">
        <v>0.95433670000000004</v>
      </c>
      <c r="Y5223">
        <v>-0.21340490000000001</v>
      </c>
      <c r="Z5223">
        <v>6.4034690000000005E-2</v>
      </c>
      <c r="AA5223">
        <v>0.97486309999999998</v>
      </c>
      <c r="AB5223">
        <v>23</v>
      </c>
      <c r="AC5223">
        <v>3.6631999999999598</v>
      </c>
      <c r="AD5223">
        <v>-1.1054388172259999</v>
      </c>
      <c r="AE5223">
        <v>-16.595330000000001</v>
      </c>
      <c r="AF5223">
        <v>-3.6666022353993801</v>
      </c>
      <c r="AG5223">
        <v>-1.1054388172259999</v>
      </c>
      <c r="AH5223">
        <v>16.521243102034401</v>
      </c>
      <c r="AI5223">
        <v>93.737298137841194</v>
      </c>
      <c r="AJ5223">
        <v>102.51299284304299</v>
      </c>
      <c r="AK5223">
        <v>16.959287737631701</v>
      </c>
    </row>
    <row r="5224" spans="1:37" x14ac:dyDescent="0.2">
      <c r="A5224" t="str">
        <f>"20200111153755937"</f>
        <v>20200111153755937</v>
      </c>
      <c r="B5224" t="str">
        <f>"1578728275928371"</f>
        <v>1578728275928371</v>
      </c>
      <c r="C5224" t="s">
        <v>37</v>
      </c>
      <c r="D5224">
        <v>5.4090680000000004</v>
      </c>
      <c r="E5224">
        <v>0.5307636</v>
      </c>
      <c r="F5224" t="s">
        <v>53</v>
      </c>
      <c r="G5224">
        <v>-298.55220000000003</v>
      </c>
      <c r="H5224" s="1">
        <v>-7.4272410000000003E-6</v>
      </c>
      <c r="I5224">
        <v>-53.522689999999997</v>
      </c>
      <c r="J5224">
        <v>-302.82310000000001</v>
      </c>
      <c r="K5224">
        <v>1.1054930000000001</v>
      </c>
      <c r="L5224">
        <v>-33.93497</v>
      </c>
      <c r="M5224">
        <v>4.0343599999999899E-4</v>
      </c>
      <c r="N5224">
        <v>0</v>
      </c>
      <c r="O5224">
        <v>-0.99993339999999997</v>
      </c>
      <c r="P5224">
        <v>0.29883500000000002</v>
      </c>
      <c r="Q5224">
        <v>1.283449E-2</v>
      </c>
      <c r="R5224">
        <v>-0.95421900000000004</v>
      </c>
      <c r="S5224">
        <v>0.63519289999999995</v>
      </c>
      <c r="T5224">
        <v>-0.16434879999999999</v>
      </c>
      <c r="U5224">
        <v>-2.9462890000000002</v>
      </c>
      <c r="V5224">
        <v>-0.29850589999999999</v>
      </c>
      <c r="W5224">
        <v>2.314248E-2</v>
      </c>
      <c r="X5224">
        <v>0.95412719999999995</v>
      </c>
      <c r="Y5224">
        <v>-0.21004159999999999</v>
      </c>
      <c r="Z5224">
        <v>5.4450249999999999E-2</v>
      </c>
      <c r="AA5224">
        <v>0.97617500000000001</v>
      </c>
      <c r="AB5224">
        <v>23</v>
      </c>
      <c r="AC5224">
        <v>4.2708999999999797</v>
      </c>
      <c r="AD5224">
        <v>-1.1055004272409901</v>
      </c>
      <c r="AE5224">
        <v>-19.587720000000001</v>
      </c>
      <c r="AF5224">
        <v>-4.2500733786373504</v>
      </c>
      <c r="AG5224">
        <v>-1.1055004272409901</v>
      </c>
      <c r="AH5224">
        <v>19.5300557860579</v>
      </c>
      <c r="AI5224">
        <v>93.1658356699959</v>
      </c>
      <c r="AJ5224">
        <v>102.277124451763</v>
      </c>
      <c r="AK5224">
        <v>20.017700515417999</v>
      </c>
    </row>
    <row r="5225" spans="1:37" x14ac:dyDescent="0.2">
      <c r="A5225" t="str">
        <f>"20200111153755960"</f>
        <v>20200111153755960</v>
      </c>
      <c r="B5225" t="str">
        <f>"1578728275948866"</f>
        <v>1578728275948866</v>
      </c>
      <c r="C5225" t="s">
        <v>37</v>
      </c>
      <c r="D5225">
        <v>7.2413990000000004</v>
      </c>
      <c r="E5225">
        <v>0.53037579999999995</v>
      </c>
      <c r="F5225" t="s">
        <v>53</v>
      </c>
      <c r="G5225">
        <v>-298.2921</v>
      </c>
      <c r="H5225" s="1">
        <v>-7.4114709999999999E-6</v>
      </c>
      <c r="I5225">
        <v>-54.474299999999999</v>
      </c>
      <c r="J5225">
        <v>-302.8211</v>
      </c>
      <c r="K5225">
        <v>1.10555</v>
      </c>
      <c r="L5225">
        <v>-34.175779999999897</v>
      </c>
      <c r="M5225">
        <v>2.0829360000000001E-3</v>
      </c>
      <c r="N5225">
        <v>0</v>
      </c>
      <c r="O5225">
        <v>-0.99993129999999997</v>
      </c>
      <c r="P5225">
        <v>0.30011329999999897</v>
      </c>
      <c r="Q5225">
        <v>1.554112E-2</v>
      </c>
      <c r="R5225">
        <v>-0.95377730000000005</v>
      </c>
      <c r="S5225">
        <v>0.64916989999999997</v>
      </c>
      <c r="T5225">
        <v>-0.15838929999999901</v>
      </c>
      <c r="U5225">
        <v>-2.9427490000000001</v>
      </c>
      <c r="V5225">
        <v>-0.29819099999999998</v>
      </c>
      <c r="W5225">
        <v>2.5818170000000001E-2</v>
      </c>
      <c r="X5225">
        <v>0.95415699999999903</v>
      </c>
      <c r="Y5225">
        <v>-0.21308879999999999</v>
      </c>
      <c r="Z5225">
        <v>5.2499129999999998E-2</v>
      </c>
      <c r="AA5225">
        <v>0.97562130000000002</v>
      </c>
      <c r="AB5225">
        <v>23</v>
      </c>
      <c r="AC5225">
        <v>4.5289999999999901</v>
      </c>
      <c r="AD5225">
        <v>-1.1055574114710001</v>
      </c>
      <c r="AE5225">
        <v>-20.29852</v>
      </c>
      <c r="AF5225">
        <v>-4.4740642316289199</v>
      </c>
      <c r="AG5225">
        <v>-1.1055574114710001</v>
      </c>
      <c r="AH5225">
        <v>20.250686718234199</v>
      </c>
      <c r="AI5225">
        <v>93.051437742304202</v>
      </c>
      <c r="AJ5225">
        <v>102.458449587928</v>
      </c>
      <c r="AK5225">
        <v>20.768481420143999</v>
      </c>
    </row>
    <row r="5226" spans="1:37" x14ac:dyDescent="0.2">
      <c r="A5226" t="str">
        <f>"20200111153755982"</f>
        <v>20200111153755982</v>
      </c>
      <c r="B5226" t="str">
        <f>"1578728275978146"</f>
        <v>1578728275978146</v>
      </c>
      <c r="C5226" t="s">
        <v>37</v>
      </c>
      <c r="D5226">
        <v>5.3520139999999996</v>
      </c>
      <c r="E5226">
        <v>0.52987899999999999</v>
      </c>
      <c r="F5226" t="s">
        <v>53</v>
      </c>
      <c r="G5226">
        <v>-297.9151</v>
      </c>
      <c r="H5226" s="1">
        <v>-7.3562769999999998E-6</v>
      </c>
      <c r="I5226">
        <v>-56.141800000000003</v>
      </c>
      <c r="J5226">
        <v>-302.81880000000001</v>
      </c>
      <c r="K5226">
        <v>1.105585</v>
      </c>
      <c r="L5226">
        <v>-34.400970000000001</v>
      </c>
      <c r="M5226">
        <v>3.6983699999999999E-3</v>
      </c>
      <c r="N5226">
        <v>0</v>
      </c>
      <c r="O5226">
        <v>-0.99992669999999995</v>
      </c>
      <c r="P5226">
        <v>0.30143429999999999</v>
      </c>
      <c r="Q5226">
        <v>1.743362E-2</v>
      </c>
      <c r="R5226">
        <v>-0.9533277</v>
      </c>
      <c r="S5226">
        <v>0.65689090000000006</v>
      </c>
      <c r="T5226">
        <v>-0.14802670000000001</v>
      </c>
      <c r="U5226">
        <v>-2.94110099999999</v>
      </c>
      <c r="V5226">
        <v>-0.29797770000000001</v>
      </c>
      <c r="W5226">
        <v>2.7690510000000002E-2</v>
      </c>
      <c r="X5226">
        <v>0.95417109999999905</v>
      </c>
      <c r="Y5226">
        <v>-0.21410409999999999</v>
      </c>
      <c r="Z5226">
        <v>4.9080289999999999E-2</v>
      </c>
      <c r="AA5226">
        <v>0.97557709999999997</v>
      </c>
      <c r="AB5226">
        <v>23</v>
      </c>
      <c r="AC5226">
        <v>4.9037000000000104</v>
      </c>
      <c r="AD5226">
        <v>-1.105592356277</v>
      </c>
      <c r="AE5226">
        <v>-21.740829999999999</v>
      </c>
      <c r="AF5226">
        <v>-4.8114152546714397</v>
      </c>
      <c r="AG5226">
        <v>-1.105592356277</v>
      </c>
      <c r="AH5226">
        <v>21.7054042021553</v>
      </c>
      <c r="AI5226">
        <v>92.8469250350512</v>
      </c>
      <c r="AJ5226">
        <v>102.49859853859201</v>
      </c>
      <c r="AK5226">
        <v>22.259753430577</v>
      </c>
    </row>
    <row r="5227" spans="1:37" x14ac:dyDescent="0.2">
      <c r="A5227" t="str">
        <f>"20200111153756004"</f>
        <v>20200111153756004</v>
      </c>
      <c r="B5227" t="str">
        <f>"1578728275998641"</f>
        <v>1578728275998641</v>
      </c>
      <c r="C5227" t="s">
        <v>37</v>
      </c>
      <c r="D5227">
        <v>5.32761</v>
      </c>
      <c r="E5227">
        <v>0.52971539999999995</v>
      </c>
      <c r="F5227" t="s">
        <v>53</v>
      </c>
      <c r="G5227">
        <v>-297.72500000000002</v>
      </c>
      <c r="H5227" s="1">
        <v>-7.3376340000000004E-6</v>
      </c>
      <c r="I5227">
        <v>-56.900599999999997</v>
      </c>
      <c r="J5227">
        <v>-302.81599999999997</v>
      </c>
      <c r="K5227">
        <v>1.1055950000000001</v>
      </c>
      <c r="L5227">
        <v>-34.638550000000002</v>
      </c>
      <c r="M5227">
        <v>5.4301439999999996E-3</v>
      </c>
      <c r="N5227">
        <v>0</v>
      </c>
      <c r="O5227">
        <v>-0.99991890000000005</v>
      </c>
      <c r="P5227">
        <v>0.30224069999999997</v>
      </c>
      <c r="Q5227">
        <v>1.8131890000000001E-2</v>
      </c>
      <c r="R5227">
        <v>-0.9530594</v>
      </c>
      <c r="S5227">
        <v>0.66540529999999998</v>
      </c>
      <c r="T5227">
        <v>-0.1444231</v>
      </c>
      <c r="U5227">
        <v>-2.939117</v>
      </c>
      <c r="V5227">
        <v>-0.29713509999999999</v>
      </c>
      <c r="W5227">
        <v>2.8381170000000001E-2</v>
      </c>
      <c r="X5227">
        <v>0.95441350000000003</v>
      </c>
      <c r="Y5227">
        <v>-0.2152551</v>
      </c>
      <c r="Z5227">
        <v>4.7898080000000003E-2</v>
      </c>
      <c r="AA5227">
        <v>0.97538250000000004</v>
      </c>
      <c r="AB5227">
        <v>23</v>
      </c>
      <c r="AC5227">
        <v>5.0909999999999496</v>
      </c>
      <c r="AD5227">
        <v>-1.1056023376340001</v>
      </c>
      <c r="AE5227">
        <v>-22.262049999999899</v>
      </c>
      <c r="AF5227">
        <v>-4.9584090192083696</v>
      </c>
      <c r="AG5227">
        <v>-1.1056023376340001</v>
      </c>
      <c r="AH5227">
        <v>22.23724772564</v>
      </c>
      <c r="AI5227">
        <v>92.778199699433998</v>
      </c>
      <c r="AJ5227">
        <v>102.570046546737</v>
      </c>
      <c r="AK5227">
        <v>22.810159204666402</v>
      </c>
    </row>
    <row r="5228" spans="1:37" x14ac:dyDescent="0.2">
      <c r="A5228" t="str">
        <f>"20200111153756026"</f>
        <v>20200111153756026</v>
      </c>
      <c r="B5228" t="str">
        <f>"1578728276018162"</f>
        <v>1578728276018162</v>
      </c>
      <c r="C5228" t="s">
        <v>37</v>
      </c>
      <c r="D5228">
        <v>5.3315070000000002</v>
      </c>
      <c r="E5228">
        <v>0.52974719999999997</v>
      </c>
      <c r="F5228" t="s">
        <v>53</v>
      </c>
      <c r="G5228">
        <v>-297.6069</v>
      </c>
      <c r="H5228" s="1">
        <v>-7.3132779999999997E-6</v>
      </c>
      <c r="I5228">
        <v>-57.485639999999997</v>
      </c>
      <c r="J5228">
        <v>-302.81279999999998</v>
      </c>
      <c r="K5228">
        <v>1.1055900000000001</v>
      </c>
      <c r="L5228">
        <v>-34.873199999999997</v>
      </c>
      <c r="M5228">
        <v>7.1523960000000001E-3</v>
      </c>
      <c r="N5228">
        <v>0</v>
      </c>
      <c r="O5228">
        <v>-0.99990809999999997</v>
      </c>
      <c r="P5228">
        <v>0.3019173</v>
      </c>
      <c r="Q5228">
        <v>1.7801319999999999E-2</v>
      </c>
      <c r="R5228">
        <v>-0.95316829999999997</v>
      </c>
      <c r="S5228">
        <v>0.66986080000000003</v>
      </c>
      <c r="T5228">
        <v>-0.14217469999999999</v>
      </c>
      <c r="U5228">
        <v>-2.9380189999999899</v>
      </c>
      <c r="V5228">
        <v>-0.29516569999999998</v>
      </c>
      <c r="W5228">
        <v>2.8057530000000001E-2</v>
      </c>
      <c r="X5228">
        <v>0.95503400000000005</v>
      </c>
      <c r="Y5228">
        <v>-0.21506610000000001</v>
      </c>
      <c r="Z5228">
        <v>4.7163679999999999E-2</v>
      </c>
      <c r="AA5228">
        <v>0.97545999999999999</v>
      </c>
      <c r="AB5228">
        <v>23</v>
      </c>
      <c r="AC5228">
        <v>5.2058999999999802</v>
      </c>
      <c r="AD5228">
        <v>-1.1055973132779999</v>
      </c>
      <c r="AE5228">
        <v>-22.612439999999999</v>
      </c>
      <c r="AF5228">
        <v>-5.0325978203301904</v>
      </c>
      <c r="AG5228">
        <v>-1.1055973132779999</v>
      </c>
      <c r="AH5228">
        <v>22.597796480807698</v>
      </c>
      <c r="AI5228">
        <v>92.7340879483056</v>
      </c>
      <c r="AJ5228">
        <v>102.55505707825</v>
      </c>
      <c r="AK5228">
        <v>23.177786607619002</v>
      </c>
    </row>
    <row r="5229" spans="1:37" x14ac:dyDescent="0.2">
      <c r="A5229" t="str">
        <f>"20200111153756049"</f>
        <v>20200111153756049</v>
      </c>
      <c r="B5229" t="str">
        <f>"1578728276038657"</f>
        <v>1578728276038657</v>
      </c>
      <c r="C5229" t="s">
        <v>37</v>
      </c>
      <c r="D5229">
        <v>5.3320419999999897</v>
      </c>
      <c r="E5229">
        <v>0.52976309999999904</v>
      </c>
      <c r="F5229" t="s">
        <v>53</v>
      </c>
      <c r="G5229">
        <v>-297.61700000000002</v>
      </c>
      <c r="H5229" s="1">
        <v>-7.287786E-6</v>
      </c>
      <c r="I5229">
        <v>-57.68085</v>
      </c>
      <c r="J5229">
        <v>-302.80919999999998</v>
      </c>
      <c r="K5229">
        <v>1.10558</v>
      </c>
      <c r="L5229">
        <v>-35.102420000000002</v>
      </c>
      <c r="M5229">
        <v>8.8356440000000001E-3</v>
      </c>
      <c r="N5229">
        <v>0</v>
      </c>
      <c r="O5229">
        <v>-0.99989450000000002</v>
      </c>
      <c r="P5229">
        <v>0.30052469999999998</v>
      </c>
      <c r="Q5229">
        <v>1.6837370000000001E-2</v>
      </c>
      <c r="R5229">
        <v>-0.95362579999999997</v>
      </c>
      <c r="S5229">
        <v>0.66931149999999995</v>
      </c>
      <c r="T5229">
        <v>-0.14242149999999901</v>
      </c>
      <c r="U5229">
        <v>-2.9380489999999999</v>
      </c>
      <c r="V5229">
        <v>-0.29215809999999998</v>
      </c>
      <c r="W5229">
        <v>2.7110889999999999E-2</v>
      </c>
      <c r="X5229">
        <v>0.95598570000000005</v>
      </c>
      <c r="Y5229">
        <v>-0.2132453</v>
      </c>
      <c r="Z5229">
        <v>4.7254440000000002E-2</v>
      </c>
      <c r="AA5229">
        <v>0.97585519999999903</v>
      </c>
      <c r="AB5229">
        <v>23</v>
      </c>
      <c r="AC5229">
        <v>5.19219999999995</v>
      </c>
      <c r="AD5229">
        <v>-1.105587287786</v>
      </c>
      <c r="AE5229">
        <v>-22.578429999999901</v>
      </c>
      <c r="AF5229">
        <v>-4.9811455482629796</v>
      </c>
      <c r="AG5229">
        <v>-1.105587287786</v>
      </c>
      <c r="AH5229">
        <v>22.572024944672101</v>
      </c>
      <c r="AI5229">
        <v>92.738349860883702</v>
      </c>
      <c r="AJ5229">
        <v>102.444457285393</v>
      </c>
      <c r="AK5229">
        <v>23.1415307256628</v>
      </c>
    </row>
    <row r="5230" spans="1:37" x14ac:dyDescent="0.2">
      <c r="A5230" t="str">
        <f>"20200111153756070"</f>
        <v>20200111153756070</v>
      </c>
      <c r="B5230" t="str">
        <f>"1578728276058178"</f>
        <v>1578728276058178</v>
      </c>
      <c r="C5230" t="s">
        <v>37</v>
      </c>
      <c r="D5230">
        <v>7.3333149999999998</v>
      </c>
      <c r="E5230">
        <v>0.52965180000000001</v>
      </c>
      <c r="F5230" t="s">
        <v>53</v>
      </c>
      <c r="G5230">
        <v>-297.73079999999999</v>
      </c>
      <c r="H5230" s="1">
        <v>-7.2635569999999899E-6</v>
      </c>
      <c r="I5230">
        <v>-57.541029999999999</v>
      </c>
      <c r="J5230">
        <v>-302.80529999999999</v>
      </c>
      <c r="K5230">
        <v>1.105575</v>
      </c>
      <c r="L5230">
        <v>-35.331789999999998</v>
      </c>
      <c r="M5230">
        <v>1.0518720000000001E-2</v>
      </c>
      <c r="N5230">
        <v>0</v>
      </c>
      <c r="O5230">
        <v>-0.9998783</v>
      </c>
      <c r="P5230">
        <v>0.30018420000000001</v>
      </c>
      <c r="Q5230">
        <v>1.5509E-2</v>
      </c>
      <c r="R5230">
        <v>-0.95375540000000003</v>
      </c>
      <c r="S5230">
        <v>0.66513059999999902</v>
      </c>
      <c r="T5230">
        <v>-0.1448016</v>
      </c>
      <c r="U5230">
        <v>-2.9388429999999999</v>
      </c>
      <c r="V5230">
        <v>-0.29020289999999999</v>
      </c>
      <c r="W5230">
        <v>2.579242E-2</v>
      </c>
      <c r="X5230">
        <v>0.95661749999999901</v>
      </c>
      <c r="Y5230">
        <v>-0.21021409999999999</v>
      </c>
      <c r="Z5230">
        <v>4.8051869999999997E-2</v>
      </c>
      <c r="AA5230">
        <v>0.97647379999999995</v>
      </c>
      <c r="AB5230">
        <v>23</v>
      </c>
      <c r="AC5230">
        <v>5.0744999999999996</v>
      </c>
      <c r="AD5230">
        <v>-1.1055822635570001</v>
      </c>
      <c r="AE5230">
        <v>-22.209240000000001</v>
      </c>
      <c r="AF5230">
        <v>-4.8292175287374599</v>
      </c>
      <c r="AG5230">
        <v>-1.1055822635570001</v>
      </c>
      <c r="AH5230">
        <v>22.209086754308501</v>
      </c>
      <c r="AI5230">
        <v>92.784896518831999</v>
      </c>
      <c r="AJ5230">
        <v>102.26761941330599</v>
      </c>
      <c r="AK5230">
        <v>22.754937673871101</v>
      </c>
    </row>
    <row r="5231" spans="1:37" x14ac:dyDescent="0.2">
      <c r="A5231" t="str">
        <f>"20200111153756094"</f>
        <v>20200111153756094</v>
      </c>
      <c r="B5231" t="str">
        <f>"1578728276088434"</f>
        <v>1578728276088434</v>
      </c>
      <c r="C5231" t="s">
        <v>37</v>
      </c>
      <c r="D5231">
        <v>5.2369919999999999</v>
      </c>
      <c r="E5231">
        <v>0.52914399999999995</v>
      </c>
      <c r="F5231" t="s">
        <v>53</v>
      </c>
      <c r="G5231">
        <v>-297.86970000000002</v>
      </c>
      <c r="H5231" s="1">
        <v>-7.2592839999999997E-6</v>
      </c>
      <c r="I5231">
        <v>-57.14573</v>
      </c>
      <c r="J5231">
        <v>-302.80079999999998</v>
      </c>
      <c r="K5231">
        <v>1.105591</v>
      </c>
      <c r="L5231">
        <v>-35.568759999999997</v>
      </c>
      <c r="M5231">
        <v>1.227059E-2</v>
      </c>
      <c r="N5231">
        <v>0</v>
      </c>
      <c r="O5231">
        <v>-0.99985809999999997</v>
      </c>
      <c r="P5231">
        <v>0.30044409999999999</v>
      </c>
      <c r="Q5231">
        <v>1.56071E-2</v>
      </c>
      <c r="R5231">
        <v>-0.95367190000000002</v>
      </c>
      <c r="S5231">
        <v>0.66488649999999905</v>
      </c>
      <c r="T5231">
        <v>-0.14893519999999999</v>
      </c>
      <c r="U5231">
        <v>-2.938599</v>
      </c>
      <c r="V5231">
        <v>-0.28878779999999998</v>
      </c>
      <c r="W5231">
        <v>2.58911E-2</v>
      </c>
      <c r="X5231">
        <v>0.95704299999999998</v>
      </c>
      <c r="Y5231">
        <v>-0.20842640000000001</v>
      </c>
      <c r="Z5231">
        <v>4.9432740000000003E-2</v>
      </c>
      <c r="AA5231">
        <v>0.97678799999999899</v>
      </c>
      <c r="AB5231">
        <v>23</v>
      </c>
      <c r="AC5231">
        <v>4.9310999999999501</v>
      </c>
      <c r="AD5231">
        <v>-1.1055982592839999</v>
      </c>
      <c r="AE5231">
        <v>-21.576969999999999</v>
      </c>
      <c r="AF5231">
        <v>-4.6543354613035204</v>
      </c>
      <c r="AG5231">
        <v>-1.1055982592839999</v>
      </c>
      <c r="AH5231">
        <v>21.5820056437503</v>
      </c>
      <c r="AI5231">
        <v>92.866778790267404</v>
      </c>
      <c r="AJ5231">
        <v>102.169918544661</v>
      </c>
      <c r="AK5231">
        <v>22.1058398099721</v>
      </c>
    </row>
    <row r="5232" spans="1:37" x14ac:dyDescent="0.2">
      <c r="A5232" t="str">
        <f>"20200111153756116"</f>
        <v>20200111153756116</v>
      </c>
      <c r="B5232" t="str">
        <f>"1578728276107954"</f>
        <v>1578728276107954</v>
      </c>
      <c r="C5232" t="s">
        <v>37</v>
      </c>
      <c r="D5232">
        <v>5.1975660000000001</v>
      </c>
      <c r="E5232">
        <v>0.52884419999999899</v>
      </c>
      <c r="F5232" t="s">
        <v>53</v>
      </c>
      <c r="G5232">
        <v>-297.92599999999999</v>
      </c>
      <c r="H5232" s="1">
        <v>-7.259763E-6</v>
      </c>
      <c r="I5232">
        <v>-56.965600000000002</v>
      </c>
      <c r="J5232">
        <v>-302.79590000000002</v>
      </c>
      <c r="K5232">
        <v>1.1056280000000001</v>
      </c>
      <c r="L5232">
        <v>-35.804409999999997</v>
      </c>
      <c r="M5232">
        <v>1.4055440000000001E-2</v>
      </c>
      <c r="N5232">
        <v>0</v>
      </c>
      <c r="O5232">
        <v>-0.99983489999999997</v>
      </c>
      <c r="P5232">
        <v>0.301514</v>
      </c>
      <c r="Q5232">
        <v>1.6878859999999999E-2</v>
      </c>
      <c r="R5232">
        <v>-0.95331250000000001</v>
      </c>
      <c r="S5232">
        <v>0.66922000000000004</v>
      </c>
      <c r="T5232">
        <v>-0.1517792</v>
      </c>
      <c r="U5232">
        <v>-2.937408</v>
      </c>
      <c r="V5232">
        <v>-0.28815839999999998</v>
      </c>
      <c r="W5232">
        <v>2.714569E-2</v>
      </c>
      <c r="X5232">
        <v>0.95719789999999905</v>
      </c>
      <c r="Y5232">
        <v>-0.20812549999999999</v>
      </c>
      <c r="Z5232">
        <v>5.0385840000000001E-2</v>
      </c>
      <c r="AA5232">
        <v>0.97680349999999905</v>
      </c>
      <c r="AB5232">
        <v>23</v>
      </c>
      <c r="AC5232">
        <v>4.8699000000000296</v>
      </c>
      <c r="AD5232">
        <v>-1.1056352597629999</v>
      </c>
      <c r="AE5232">
        <v>-21.161190000000001</v>
      </c>
      <c r="AF5232">
        <v>-4.5601467976885903</v>
      </c>
      <c r="AG5232">
        <v>-1.1056352597629999</v>
      </c>
      <c r="AH5232">
        <v>21.172660808435001</v>
      </c>
      <c r="AI5232">
        <v>92.922374272905103</v>
      </c>
      <c r="AJ5232">
        <v>102.154634961071</v>
      </c>
      <c r="AK5232">
        <v>21.686376687984101</v>
      </c>
    </row>
    <row r="5233" spans="1:37" x14ac:dyDescent="0.2">
      <c r="A5233" t="str">
        <f>"20200111153756142"</f>
        <v>20200111153756142</v>
      </c>
      <c r="B5233" t="str">
        <f>"1578728276138210"</f>
        <v>1578728276138210</v>
      </c>
      <c r="C5233" t="s">
        <v>37</v>
      </c>
      <c r="D5233">
        <v>5.1682600000000001</v>
      </c>
      <c r="E5233">
        <v>0.52846689999999996</v>
      </c>
      <c r="F5233" t="s">
        <v>53</v>
      </c>
      <c r="G5233">
        <v>-297.77749999999997</v>
      </c>
      <c r="H5233" s="1">
        <v>-7.2348910000000004E-6</v>
      </c>
      <c r="I5233">
        <v>-57.6502699999999</v>
      </c>
      <c r="J5233">
        <v>-302.78969999999998</v>
      </c>
      <c r="K5233">
        <v>1.105694</v>
      </c>
      <c r="L5233">
        <v>-36.071259999999903</v>
      </c>
      <c r="M5233">
        <v>1.6178000000000001E-2</v>
      </c>
      <c r="N5233">
        <v>0</v>
      </c>
      <c r="O5233">
        <v>-0.99980259999999999</v>
      </c>
      <c r="P5233">
        <v>0.3039693</v>
      </c>
      <c r="Q5233">
        <v>1.749498E-2</v>
      </c>
      <c r="R5233">
        <v>-0.95252130000000002</v>
      </c>
      <c r="S5233">
        <v>0.67449950000000003</v>
      </c>
      <c r="T5233">
        <v>-0.14860419999999999</v>
      </c>
      <c r="U5233">
        <v>-2.9362180000000002</v>
      </c>
      <c r="V5233">
        <v>-0.28859889999999999</v>
      </c>
      <c r="W5233">
        <v>2.7714829999999999E-2</v>
      </c>
      <c r="X5233">
        <v>0.95704889999999998</v>
      </c>
      <c r="Y5233">
        <v>-0.20781559999999999</v>
      </c>
      <c r="Z5233">
        <v>4.9343449999999997E-2</v>
      </c>
      <c r="AA5233">
        <v>0.97692269999999903</v>
      </c>
      <c r="AB5233">
        <v>23</v>
      </c>
      <c r="AC5233">
        <v>5.0122</v>
      </c>
      <c r="AD5233">
        <v>-1.105701234891</v>
      </c>
      <c r="AE5233">
        <v>-21.57901</v>
      </c>
      <c r="AF5233">
        <v>-4.6508297906877099</v>
      </c>
      <c r="AG5233">
        <v>-1.105701234891</v>
      </c>
      <c r="AH5233">
        <v>21.603461752262199</v>
      </c>
      <c r="AI5233">
        <v>92.864424274536702</v>
      </c>
      <c r="AJ5233">
        <v>102.149305921139</v>
      </c>
      <c r="AK5233">
        <v>22.126055966761001</v>
      </c>
    </row>
    <row r="5234" spans="1:37" x14ac:dyDescent="0.2">
      <c r="A5234" t="str">
        <f>"20200111153756160"</f>
        <v>20200111153756160</v>
      </c>
      <c r="B5234" t="str">
        <f>"1578728276147970"</f>
        <v>1578728276147970</v>
      </c>
      <c r="C5234" t="s">
        <v>37</v>
      </c>
      <c r="D5234">
        <v>5.1895930000000003</v>
      </c>
      <c r="E5234">
        <v>0.52836289999999997</v>
      </c>
      <c r="F5234" t="s">
        <v>53</v>
      </c>
      <c r="G5234">
        <v>-297.62490000000003</v>
      </c>
      <c r="H5234" s="1">
        <v>-7.2290020000000002E-6</v>
      </c>
      <c r="I5234">
        <v>-58.194830000000003</v>
      </c>
      <c r="J5234">
        <v>-302.78469999999999</v>
      </c>
      <c r="K5234">
        <v>1.105766</v>
      </c>
      <c r="L5234">
        <v>-36.266719999999999</v>
      </c>
      <c r="M5234">
        <v>1.7819970000000001E-2</v>
      </c>
      <c r="N5234">
        <v>0</v>
      </c>
      <c r="O5234">
        <v>-0.99977459999999996</v>
      </c>
      <c r="P5234">
        <v>0.30773319999999998</v>
      </c>
      <c r="Q5234">
        <v>1.8552590000000001E-2</v>
      </c>
      <c r="R5234">
        <v>-0.95129209999999997</v>
      </c>
      <c r="S5234">
        <v>0.68487549999999997</v>
      </c>
      <c r="T5234">
        <v>-0.146620899999999</v>
      </c>
      <c r="U5234">
        <v>-2.9336849999999899</v>
      </c>
      <c r="V5234">
        <v>-0.2908192</v>
      </c>
      <c r="W5234">
        <v>2.8713389999999998E-2</v>
      </c>
      <c r="X5234">
        <v>0.95634699999999995</v>
      </c>
      <c r="Y5234">
        <v>-0.20967929999999901</v>
      </c>
      <c r="Z5234">
        <v>4.8696389999999999E-2</v>
      </c>
      <c r="AA5234">
        <v>0.9765568</v>
      </c>
      <c r="AB5234">
        <v>23</v>
      </c>
      <c r="AC5234">
        <v>5.1597999999999598</v>
      </c>
      <c r="AD5234">
        <v>-1.1057732290019999</v>
      </c>
      <c r="AE5234">
        <v>-21.92811</v>
      </c>
      <c r="AF5234">
        <v>-4.7567349687421796</v>
      </c>
      <c r="AG5234">
        <v>-1.1057732290019999</v>
      </c>
      <c r="AH5234">
        <v>21.963659940453802</v>
      </c>
      <c r="AI5234">
        <v>92.816958629747802</v>
      </c>
      <c r="AJ5234">
        <v>102.21999462929701</v>
      </c>
      <c r="AK5234">
        <v>22.500035999453999</v>
      </c>
    </row>
    <row r="5235" spans="1:37" x14ac:dyDescent="0.2">
      <c r="A5235" t="str">
        <f>"20200111153756183"</f>
        <v>20200111153756183</v>
      </c>
      <c r="B5235" t="str">
        <f>"1578728276178225"</f>
        <v>1578728276178225</v>
      </c>
      <c r="C5235" t="s">
        <v>37</v>
      </c>
      <c r="D5235">
        <v>5.1853850000000001</v>
      </c>
      <c r="E5235">
        <v>0.52822250000000004</v>
      </c>
      <c r="F5235" t="s">
        <v>53</v>
      </c>
      <c r="G5235">
        <v>-297.40649999999999</v>
      </c>
      <c r="H5235" s="1">
        <v>-7.2408640000000003E-6</v>
      </c>
      <c r="I5235">
        <v>-58.870989999999999</v>
      </c>
      <c r="J5235">
        <v>-302.77800000000002</v>
      </c>
      <c r="K5235">
        <v>1.1058479999999999</v>
      </c>
      <c r="L5235">
        <v>-36.502929999999999</v>
      </c>
      <c r="M5235">
        <v>1.9909590000000001E-2</v>
      </c>
      <c r="N5235">
        <v>0</v>
      </c>
      <c r="O5235">
        <v>-0.99973509999999999</v>
      </c>
      <c r="P5235">
        <v>0.31251089999999998</v>
      </c>
      <c r="Q5235">
        <v>1.9806210000000001E-2</v>
      </c>
      <c r="R5235">
        <v>-0.94970789999999905</v>
      </c>
      <c r="S5235">
        <v>0.69732669999999997</v>
      </c>
      <c r="T5235">
        <v>-0.14337339999999901</v>
      </c>
      <c r="U5235">
        <v>-2.930847</v>
      </c>
      <c r="V5235">
        <v>-0.29363689999999998</v>
      </c>
      <c r="W5235">
        <v>2.989354E-2</v>
      </c>
      <c r="X5235">
        <v>0.95544949999999995</v>
      </c>
      <c r="Y5235">
        <v>-0.2117868</v>
      </c>
      <c r="Z5235">
        <v>4.7628520000000001E-2</v>
      </c>
      <c r="AA5235">
        <v>0.97615459999999998</v>
      </c>
      <c r="AB5235">
        <v>23</v>
      </c>
      <c r="AC5235">
        <v>5.3715000000000197</v>
      </c>
      <c r="AD5235">
        <v>-1.1058552408640001</v>
      </c>
      <c r="AE5235">
        <v>-22.36806</v>
      </c>
      <c r="AF5235">
        <v>-4.9137112046290499</v>
      </c>
      <c r="AG5235">
        <v>-1.1058552408640001</v>
      </c>
      <c r="AH5235">
        <v>22.418768548416001</v>
      </c>
      <c r="AI5235">
        <v>92.758574020388195</v>
      </c>
      <c r="AJ5235">
        <v>102.36251316562701</v>
      </c>
      <c r="AK5235">
        <v>22.977568558132699</v>
      </c>
    </row>
    <row r="5236" spans="1:37" x14ac:dyDescent="0.2">
      <c r="A5236" t="str">
        <f>"20200111153756205"</f>
        <v>20200111153756205</v>
      </c>
      <c r="B5236" t="str">
        <f>"1578728276198721"</f>
        <v>1578728276198721</v>
      </c>
      <c r="C5236" t="s">
        <v>37</v>
      </c>
      <c r="D5236">
        <v>4.9718029999999898</v>
      </c>
      <c r="E5236">
        <v>0.50432940000000004</v>
      </c>
      <c r="F5236" t="s">
        <v>53</v>
      </c>
      <c r="G5236">
        <v>-297.20080000000002</v>
      </c>
      <c r="H5236" s="1">
        <v>-7.2639120000000004E-6</v>
      </c>
      <c r="I5236">
        <v>-59.389040000000001</v>
      </c>
      <c r="J5236">
        <v>-302.77089999999998</v>
      </c>
      <c r="K5236">
        <v>1.1059209999999999</v>
      </c>
      <c r="L5236">
        <v>-36.73865</v>
      </c>
      <c r="M5236">
        <v>2.2112960000000001E-2</v>
      </c>
      <c r="N5236">
        <v>0</v>
      </c>
      <c r="O5236">
        <v>-0.99968869999999899</v>
      </c>
      <c r="P5236">
        <v>0.3182162</v>
      </c>
      <c r="Q5236">
        <v>1.9819730000000001E-2</v>
      </c>
      <c r="R5236">
        <v>-0.94781079999999995</v>
      </c>
      <c r="S5236">
        <v>0.71331789999999995</v>
      </c>
      <c r="T5236">
        <v>-0.14143699999999901</v>
      </c>
      <c r="U5236">
        <v>-2.9270939999999999</v>
      </c>
      <c r="V5236">
        <v>-0.29728100000000002</v>
      </c>
      <c r="W5236">
        <v>2.9829189999999998E-2</v>
      </c>
      <c r="X5236">
        <v>0.9543239</v>
      </c>
      <c r="Y5236">
        <v>-0.21496089999999901</v>
      </c>
      <c r="Z5236">
        <v>4.6995790000000003E-2</v>
      </c>
      <c r="AA5236">
        <v>0.9754912</v>
      </c>
      <c r="AB5236">
        <v>23</v>
      </c>
      <c r="AC5236">
        <v>5.5700999999999601</v>
      </c>
      <c r="AD5236">
        <v>-1.1059282639119901</v>
      </c>
      <c r="AE5236">
        <v>-22.650390000000002</v>
      </c>
      <c r="AF5236">
        <v>-5.0564701015567897</v>
      </c>
      <c r="AG5236">
        <v>-1.1059282639119901</v>
      </c>
      <c r="AH5236">
        <v>22.716961956096299</v>
      </c>
      <c r="AI5236">
        <v>92.720647990562995</v>
      </c>
      <c r="AJ5236">
        <v>102.54865002062</v>
      </c>
      <c r="AK5236">
        <v>23.299170108130099</v>
      </c>
    </row>
    <row r="5237" spans="1:37" x14ac:dyDescent="0.2">
      <c r="A5237" t="str">
        <f>"20200111153756228"</f>
        <v>20200111153756228</v>
      </c>
      <c r="B5237" t="str">
        <f>"1578728276218241"</f>
        <v>1578728276218241</v>
      </c>
      <c r="C5237" t="s">
        <v>37</v>
      </c>
      <c r="D5237">
        <v>4.9858880000000001</v>
      </c>
      <c r="E5237">
        <v>0.44801869999999999</v>
      </c>
      <c r="F5237" t="s">
        <v>53</v>
      </c>
      <c r="G5237">
        <v>-297.06319999999999</v>
      </c>
      <c r="H5237" s="1">
        <v>-7.8190329999999994E-6</v>
      </c>
      <c r="I5237">
        <v>-54.685899999999997</v>
      </c>
      <c r="J5237">
        <v>-302.76310000000001</v>
      </c>
      <c r="K5237">
        <v>1.1059840000000001</v>
      </c>
      <c r="L5237">
        <v>-36.97101</v>
      </c>
      <c r="M5237">
        <v>2.440662E-2</v>
      </c>
      <c r="N5237">
        <v>0</v>
      </c>
      <c r="O5237">
        <v>-0.9996353</v>
      </c>
      <c r="P5237">
        <v>0.32461709999999999</v>
      </c>
      <c r="Q5237">
        <v>1.8832379999999999E-2</v>
      </c>
      <c r="R5237">
        <v>-0.94565779999999999</v>
      </c>
      <c r="S5237">
        <v>0.91055299999999995</v>
      </c>
      <c r="T5237">
        <v>-0.1764309</v>
      </c>
      <c r="U5237">
        <v>-2.863159</v>
      </c>
      <c r="V5237">
        <v>-0.30154309999999901</v>
      </c>
      <c r="W5237">
        <v>2.8763440000000001E-2</v>
      </c>
      <c r="X5237">
        <v>0.95301859999999905</v>
      </c>
      <c r="Y5237">
        <v>-0.27919250000000001</v>
      </c>
      <c r="Z5237">
        <v>5.8808550000000001E-2</v>
      </c>
      <c r="AA5237">
        <v>0.95843259999999897</v>
      </c>
      <c r="AB5237">
        <v>23</v>
      </c>
      <c r="AC5237">
        <v>5.6999000000000102</v>
      </c>
      <c r="AD5237">
        <v>-1.105991819033</v>
      </c>
      <c r="AE5237">
        <v>-17.714889999999901</v>
      </c>
      <c r="AF5237">
        <v>-5.2472780210006098</v>
      </c>
      <c r="AG5237">
        <v>-1.105991819033</v>
      </c>
      <c r="AH5237">
        <v>17.785913707425799</v>
      </c>
      <c r="AI5237">
        <v>93.413198643568705</v>
      </c>
      <c r="AJ5237">
        <v>106.437343832026</v>
      </c>
      <c r="AK5237">
        <v>18.576756200732198</v>
      </c>
    </row>
    <row r="5238" spans="1:37" x14ac:dyDescent="0.2">
      <c r="A5238" t="str">
        <f>"20200111153756249"</f>
        <v>20200111153756249</v>
      </c>
      <c r="B5238" t="str">
        <f>"1578728276238738"</f>
        <v>1578728276238738</v>
      </c>
      <c r="C5238" t="s">
        <v>37</v>
      </c>
      <c r="D5238">
        <v>4.8814000000000002</v>
      </c>
      <c r="E5238">
        <v>0.39532529999999999</v>
      </c>
      <c r="F5238" t="s">
        <v>53</v>
      </c>
      <c r="G5238">
        <v>-296.75209999999998</v>
      </c>
      <c r="H5238" s="1">
        <v>-5.7150390000000004E-6</v>
      </c>
      <c r="I5238">
        <v>-49.036380000000001</v>
      </c>
      <c r="J5238">
        <v>-302.75490000000002</v>
      </c>
      <c r="K5238">
        <v>1.1060430000000001</v>
      </c>
      <c r="L5238">
        <v>-37.198149999999998</v>
      </c>
      <c r="M5238">
        <v>2.6763200000000001E-2</v>
      </c>
      <c r="N5238">
        <v>0</v>
      </c>
      <c r="O5238">
        <v>-0.99957510000000005</v>
      </c>
      <c r="P5238">
        <v>0.3309568</v>
      </c>
      <c r="Q5238">
        <v>1.8055399999999999E-2</v>
      </c>
      <c r="R5238">
        <v>-0.94347340000000002</v>
      </c>
      <c r="S5238">
        <v>1.3517760000000001</v>
      </c>
      <c r="T5238">
        <v>-0.2487202</v>
      </c>
      <c r="U5238">
        <v>-2.7133180000000001</v>
      </c>
      <c r="V5238">
        <v>-0.30569209999999902</v>
      </c>
      <c r="W5238">
        <v>2.7910250000000001E-2</v>
      </c>
      <c r="X5238">
        <v>0.95172129999999999</v>
      </c>
      <c r="Y5238">
        <v>-0.420301599999999</v>
      </c>
      <c r="Z5238">
        <v>8.2227209999999995E-2</v>
      </c>
      <c r="AA5238">
        <v>0.90365110000000004</v>
      </c>
      <c r="AB5238">
        <v>23</v>
      </c>
      <c r="AC5238">
        <v>6.0028000000000299</v>
      </c>
      <c r="AD5238">
        <v>-1.1060487150389999</v>
      </c>
      <c r="AE5238">
        <v>-11.838229999999999</v>
      </c>
      <c r="AF5238">
        <v>-5.6446043479893699</v>
      </c>
      <c r="AG5238">
        <v>-1.1060487150389999</v>
      </c>
      <c r="AH5238">
        <v>11.9119394617132</v>
      </c>
      <c r="AI5238">
        <v>94.796351737086596</v>
      </c>
      <c r="AJ5238">
        <v>115.35445154711201</v>
      </c>
      <c r="AK5238">
        <v>13.227970507409699</v>
      </c>
    </row>
    <row r="5239" spans="1:37" x14ac:dyDescent="0.2">
      <c r="A5239" t="str">
        <f>"20200111153756272"</f>
        <v>20200111153756272</v>
      </c>
      <c r="B5239" t="str">
        <f>"1578728276268994"</f>
        <v>1578728276268994</v>
      </c>
      <c r="C5239" t="s">
        <v>37</v>
      </c>
      <c r="D5239">
        <v>4.7570180000000004</v>
      </c>
      <c r="E5239">
        <v>0.39974769999999998</v>
      </c>
      <c r="F5239" t="s">
        <v>38</v>
      </c>
      <c r="G5239">
        <v>-302.21170000000001</v>
      </c>
      <c r="H5239">
        <v>1.0093909999999999</v>
      </c>
      <c r="I5239">
        <v>-37.98845</v>
      </c>
      <c r="J5239">
        <v>-302.7457</v>
      </c>
      <c r="K5239">
        <v>1.106107</v>
      </c>
      <c r="L5239">
        <v>-37.434509999999896</v>
      </c>
      <c r="M5239">
        <v>2.932686E-2</v>
      </c>
      <c r="N5239">
        <v>0</v>
      </c>
      <c r="O5239">
        <v>-0.99950319999999904</v>
      </c>
      <c r="P5239">
        <v>0.33689140000000001</v>
      </c>
      <c r="Q5239">
        <v>1.740796E-2</v>
      </c>
      <c r="R5239">
        <v>-0.94138279999999996</v>
      </c>
      <c r="S5239">
        <v>1.7642519999999999</v>
      </c>
      <c r="T5239">
        <v>-0.31392129999999902</v>
      </c>
      <c r="U5239">
        <v>-2.5668639999999998</v>
      </c>
      <c r="V5239">
        <v>-0.30924499999999999</v>
      </c>
      <c r="W5239">
        <v>2.7186680000000001E-2</v>
      </c>
      <c r="X5239">
        <v>0.95059369999999999</v>
      </c>
      <c r="Y5239">
        <v>-0.53912040000000006</v>
      </c>
      <c r="Z5239">
        <v>0.1010996</v>
      </c>
      <c r="AA5239">
        <v>0.83613879999999996</v>
      </c>
      <c r="AB5239">
        <v>23</v>
      </c>
      <c r="AC5239">
        <v>0.53399999999999104</v>
      </c>
      <c r="AD5239">
        <v>-9.6715999999999996E-2</v>
      </c>
      <c r="AE5239">
        <v>-0.55394000000000398</v>
      </c>
      <c r="AF5239">
        <v>-0.50947393500656601</v>
      </c>
      <c r="AG5239">
        <v>-9.6715999999999996E-2</v>
      </c>
      <c r="AH5239">
        <v>0.56050699973789597</v>
      </c>
      <c r="AI5239">
        <v>97.276504496767998</v>
      </c>
      <c r="AJ5239">
        <v>132.26932980357799</v>
      </c>
      <c r="AK5239">
        <v>0.76360053160160402</v>
      </c>
    </row>
    <row r="5240" spans="1:37" x14ac:dyDescent="0.2">
      <c r="A5240" t="str">
        <f>"20200111153756295"</f>
        <v>20200111153756295</v>
      </c>
      <c r="B5240" t="str">
        <f>"1578728276288513"</f>
        <v>1578728276288513</v>
      </c>
      <c r="C5240" t="s">
        <v>37</v>
      </c>
      <c r="D5240">
        <v>4.7610199999999896</v>
      </c>
      <c r="E5240">
        <v>0.40132420000000002</v>
      </c>
      <c r="F5240" t="s">
        <v>38</v>
      </c>
      <c r="G5240">
        <v>-302.22340000000003</v>
      </c>
      <c r="H5240">
        <v>1.017296</v>
      </c>
      <c r="I5240">
        <v>-38.20147</v>
      </c>
      <c r="J5240">
        <v>-302.73590000000002</v>
      </c>
      <c r="K5240">
        <v>1.1061780000000001</v>
      </c>
      <c r="L5240">
        <v>-37.668120000000002</v>
      </c>
      <c r="M5240">
        <v>3.1961980000000001E-2</v>
      </c>
      <c r="N5240">
        <v>0</v>
      </c>
      <c r="O5240">
        <v>-0.99942249999999999</v>
      </c>
      <c r="P5240">
        <v>0.34238849999999998</v>
      </c>
      <c r="Q5240">
        <v>1.6535109999999999E-2</v>
      </c>
      <c r="R5240">
        <v>-0.93941339999999995</v>
      </c>
      <c r="S5240">
        <v>1.748291</v>
      </c>
      <c r="T5240">
        <v>-0.29721609999999998</v>
      </c>
      <c r="U5240">
        <v>-2.5666500000000001</v>
      </c>
      <c r="V5240">
        <v>-0.3122955</v>
      </c>
      <c r="W5240">
        <v>2.6240499999999899E-2</v>
      </c>
      <c r="X5240">
        <v>0.94962250000000004</v>
      </c>
      <c r="Y5240">
        <v>-0.53366139999999995</v>
      </c>
      <c r="Z5240">
        <v>9.6105309999999999E-2</v>
      </c>
      <c r="AA5240">
        <v>0.84021979999999996</v>
      </c>
      <c r="AB5240">
        <v>23</v>
      </c>
      <c r="AC5240">
        <v>0.51249999999998797</v>
      </c>
      <c r="AD5240">
        <v>-8.88820000000001E-2</v>
      </c>
      <c r="AE5240">
        <v>-0.53334999999999799</v>
      </c>
      <c r="AF5240">
        <v>-0.48814163929546101</v>
      </c>
      <c r="AG5240">
        <v>-8.88820000000001E-2</v>
      </c>
      <c r="AH5240">
        <v>0.54163819386869805</v>
      </c>
      <c r="AI5240">
        <v>96.949994342965397</v>
      </c>
      <c r="AJ5240">
        <v>132.02618577790099</v>
      </c>
      <c r="AK5240">
        <v>0.73454353376461301</v>
      </c>
    </row>
    <row r="5241" spans="1:37" x14ac:dyDescent="0.2">
      <c r="A5241" t="str">
        <f>"20200111153756316"</f>
        <v>20200111153756316</v>
      </c>
      <c r="B5241" t="str">
        <f>"1578728276308033"</f>
        <v>1578728276308033</v>
      </c>
      <c r="C5241" t="s">
        <v>37</v>
      </c>
      <c r="D5241">
        <v>4.6950969999999996</v>
      </c>
      <c r="E5241">
        <v>0.40373399999999998</v>
      </c>
      <c r="F5241" t="s">
        <v>38</v>
      </c>
      <c r="G5241">
        <v>-302.22669999999999</v>
      </c>
      <c r="H5241">
        <v>1.0198129999999901</v>
      </c>
      <c r="I5241">
        <v>-38.412599999999998</v>
      </c>
      <c r="J5241">
        <v>-302.72559999999999</v>
      </c>
      <c r="K5241">
        <v>1.1062399999999999</v>
      </c>
      <c r="L5241">
        <v>-37.897709999999996</v>
      </c>
      <c r="M5241">
        <v>3.4642930000000002E-2</v>
      </c>
      <c r="N5241">
        <v>0</v>
      </c>
      <c r="O5241">
        <v>-0.99933289999999997</v>
      </c>
      <c r="P5241">
        <v>0.34827579999999903</v>
      </c>
      <c r="Q5241">
        <v>1.5735550000000001E-2</v>
      </c>
      <c r="R5241">
        <v>-0.93726019999999899</v>
      </c>
      <c r="S5241">
        <v>1.7511289999999999</v>
      </c>
      <c r="T5241">
        <v>-0.29702899999999999</v>
      </c>
      <c r="U5241">
        <v>-2.560486</v>
      </c>
      <c r="V5241">
        <v>-0.31570540000000002</v>
      </c>
      <c r="W5241">
        <v>2.536532E-2</v>
      </c>
      <c r="X5241">
        <v>0.94851819999999898</v>
      </c>
      <c r="Y5241">
        <v>-0.53296690000000002</v>
      </c>
      <c r="Z5241">
        <v>9.6216650000000001E-2</v>
      </c>
      <c r="AA5241">
        <v>0.84064779999999995</v>
      </c>
      <c r="AB5241">
        <v>23</v>
      </c>
      <c r="AC5241">
        <v>0.49889999999999102</v>
      </c>
      <c r="AD5241">
        <v>-8.6427000000000004E-2</v>
      </c>
      <c r="AE5241">
        <v>-0.51489000000000096</v>
      </c>
      <c r="AF5241">
        <v>-0.47387565464024001</v>
      </c>
      <c r="AG5241">
        <v>-8.6427000000000004E-2</v>
      </c>
      <c r="AH5241">
        <v>0.52424706174764202</v>
      </c>
      <c r="AI5241">
        <v>96.972674549312202</v>
      </c>
      <c r="AJ5241">
        <v>132.11095377919401</v>
      </c>
      <c r="AK5241">
        <v>0.71194293601436298</v>
      </c>
    </row>
    <row r="5242" spans="1:37" x14ac:dyDescent="0.2">
      <c r="A5242" t="str">
        <f>"20200111153756339"</f>
        <v>20200111153756339</v>
      </c>
      <c r="B5242" t="str">
        <f>"1578728276328530"</f>
        <v>1578728276328530</v>
      </c>
      <c r="C5242" t="s">
        <v>37</v>
      </c>
      <c r="D5242">
        <v>4.7006759999999996</v>
      </c>
      <c r="E5242">
        <v>0.40532879999999999</v>
      </c>
      <c r="F5242" t="s">
        <v>38</v>
      </c>
      <c r="G5242">
        <v>-302.22899999999998</v>
      </c>
      <c r="H5242">
        <v>1.0229010000000001</v>
      </c>
      <c r="I5242">
        <v>-38.62368</v>
      </c>
      <c r="J5242">
        <v>-302.71429999999998</v>
      </c>
      <c r="K5242">
        <v>1.1063049999999901</v>
      </c>
      <c r="L5242">
        <v>-38.13147</v>
      </c>
      <c r="M5242">
        <v>3.7459659999999999E-2</v>
      </c>
      <c r="N5242">
        <v>0</v>
      </c>
      <c r="O5242">
        <v>-0.99923130000000004</v>
      </c>
      <c r="P5242">
        <v>0.35377449999999999</v>
      </c>
      <c r="Q5242">
        <v>1.614208E-2</v>
      </c>
      <c r="R5242">
        <v>-0.93519180000000002</v>
      </c>
      <c r="S5242">
        <v>1.7489319999999999</v>
      </c>
      <c r="T5242">
        <v>-0.293425299999999</v>
      </c>
      <c r="U5242">
        <v>-2.555847</v>
      </c>
      <c r="V5242">
        <v>-0.318608</v>
      </c>
      <c r="W5242">
        <v>2.5701849999999998E-2</v>
      </c>
      <c r="X5242">
        <v>0.94753809999999905</v>
      </c>
      <c r="Y5242">
        <v>-0.53085459999999995</v>
      </c>
      <c r="Z5242">
        <v>9.5276470000000002E-2</v>
      </c>
      <c r="AA5242">
        <v>0.84209009999999995</v>
      </c>
      <c r="AB5242">
        <v>23</v>
      </c>
      <c r="AC5242">
        <v>0.485299999999938</v>
      </c>
      <c r="AD5242">
        <v>-8.3403999999999798E-2</v>
      </c>
      <c r="AE5242">
        <v>-0.49220999999999998</v>
      </c>
      <c r="AF5242">
        <v>-0.45982536900415599</v>
      </c>
      <c r="AG5242">
        <v>-8.3403999999999798E-2</v>
      </c>
      <c r="AH5242">
        <v>0.50272556118404799</v>
      </c>
      <c r="AI5242">
        <v>96.979339836056198</v>
      </c>
      <c r="AJ5242">
        <v>132.44805778866399</v>
      </c>
      <c r="AK5242">
        <v>0.68638807322361295</v>
      </c>
    </row>
    <row r="5243" spans="1:37" x14ac:dyDescent="0.2">
      <c r="A5243" t="str">
        <f>"20200111153756361"</f>
        <v>20200111153756361</v>
      </c>
      <c r="B5243" t="str">
        <f>"1578728276358786"</f>
        <v>1578728276358786</v>
      </c>
      <c r="C5243" t="s">
        <v>37</v>
      </c>
      <c r="D5243">
        <v>4.6920419999999998</v>
      </c>
      <c r="E5243">
        <v>0.40631430000000002</v>
      </c>
      <c r="F5243" t="s">
        <v>38</v>
      </c>
      <c r="G5243">
        <v>-302.23090000000002</v>
      </c>
      <c r="H5243">
        <v>1.026864</v>
      </c>
      <c r="I5243">
        <v>-38.834850000000003</v>
      </c>
      <c r="J5243">
        <v>-302.70229999999998</v>
      </c>
      <c r="K5243">
        <v>1.1063670000000001</v>
      </c>
      <c r="L5243">
        <v>-38.36365</v>
      </c>
      <c r="M5243">
        <v>4.0345640000000002E-2</v>
      </c>
      <c r="N5243">
        <v>0</v>
      </c>
      <c r="O5243">
        <v>-0.99911890000000003</v>
      </c>
      <c r="P5243">
        <v>0.3583114</v>
      </c>
      <c r="Q5243">
        <v>1.6406500000000001E-2</v>
      </c>
      <c r="R5243">
        <v>-0.93345820000000002</v>
      </c>
      <c r="S5243">
        <v>1.7519229999999999</v>
      </c>
      <c r="T5243">
        <v>-0.28800700000000001</v>
      </c>
      <c r="U5243">
        <v>-2.5501399999999999</v>
      </c>
      <c r="V5243">
        <v>-0.32047709999999902</v>
      </c>
      <c r="W5243">
        <v>2.5909689999999999E-2</v>
      </c>
      <c r="X5243">
        <v>0.94690189999999996</v>
      </c>
      <c r="Y5243">
        <v>-0.53004569999999995</v>
      </c>
      <c r="Z5243">
        <v>9.3687409999999999E-2</v>
      </c>
      <c r="AA5243">
        <v>0.84277769999999996</v>
      </c>
      <c r="AB5243">
        <v>23</v>
      </c>
      <c r="AC5243">
        <v>0.47139999999996002</v>
      </c>
      <c r="AD5243">
        <v>-7.9503000000000101E-2</v>
      </c>
      <c r="AE5243">
        <v>-0.47120000000000301</v>
      </c>
      <c r="AF5243">
        <v>-0.44566312093819099</v>
      </c>
      <c r="AG5243">
        <v>-7.9503000000000101E-2</v>
      </c>
      <c r="AH5243">
        <v>0.48296489813358401</v>
      </c>
      <c r="AI5243">
        <v>96.898010613493696</v>
      </c>
      <c r="AJ5243">
        <v>132.69973985687699</v>
      </c>
      <c r="AK5243">
        <v>0.66196029881145602</v>
      </c>
    </row>
    <row r="5244" spans="1:37" x14ac:dyDescent="0.2">
      <c r="A5244" t="str">
        <f>"20200111153756385"</f>
        <v>20200111153756385</v>
      </c>
      <c r="B5244" t="str">
        <f>"1578728276378305"</f>
        <v>1578728276378305</v>
      </c>
      <c r="C5244" t="s">
        <v>37</v>
      </c>
      <c r="D5244">
        <v>4.6305629999999898</v>
      </c>
      <c r="E5244">
        <v>0.4068735</v>
      </c>
      <c r="F5244" t="s">
        <v>38</v>
      </c>
      <c r="G5244">
        <v>-302.10750000000002</v>
      </c>
      <c r="H5244">
        <v>1.011137</v>
      </c>
      <c r="I5244">
        <v>-39.224719999999998</v>
      </c>
      <c r="J5244">
        <v>-302.68889999999999</v>
      </c>
      <c r="K5244">
        <v>1.106422</v>
      </c>
      <c r="L5244">
        <v>-38.606720000000003</v>
      </c>
      <c r="M5244">
        <v>4.3446539999999999E-2</v>
      </c>
      <c r="N5244">
        <v>0</v>
      </c>
      <c r="O5244">
        <v>-0.9989886</v>
      </c>
      <c r="P5244">
        <v>0.3631741</v>
      </c>
      <c r="Q5244">
        <v>1.651977E-2</v>
      </c>
      <c r="R5244">
        <v>-0.93157479999999904</v>
      </c>
      <c r="S5244">
        <v>1.757355</v>
      </c>
      <c r="T5244">
        <v>-0.28138179999999902</v>
      </c>
      <c r="U5244">
        <v>-2.5442499999999999</v>
      </c>
      <c r="V5244">
        <v>-0.32247880000000001</v>
      </c>
      <c r="W5244">
        <v>2.5969280000000001E-2</v>
      </c>
      <c r="X5244">
        <v>0.94622039999999996</v>
      </c>
      <c r="Y5244">
        <v>-0.52965469999999903</v>
      </c>
      <c r="Z5244">
        <v>9.1670080000000001E-2</v>
      </c>
      <c r="AA5244">
        <v>0.84324519999999903</v>
      </c>
      <c r="AB5244">
        <v>24</v>
      </c>
      <c r="AC5244">
        <v>0.58139999999997305</v>
      </c>
      <c r="AD5244">
        <v>-9.52849999999998E-2</v>
      </c>
      <c r="AE5244">
        <v>-0.617999999999995</v>
      </c>
      <c r="AF5244">
        <v>-0.54709974700407105</v>
      </c>
      <c r="AG5244">
        <v>-9.52849999999998E-2</v>
      </c>
      <c r="AH5244">
        <v>0.63467406656023895</v>
      </c>
      <c r="AI5244">
        <v>96.487495577050396</v>
      </c>
      <c r="AJ5244">
        <v>130.76189256084601</v>
      </c>
      <c r="AK5244">
        <v>0.84333180608881897</v>
      </c>
    </row>
    <row r="5245" spans="1:37" x14ac:dyDescent="0.2">
      <c r="A5245" t="str">
        <f>"20200111153756406"</f>
        <v>20200111153756406</v>
      </c>
      <c r="B5245" t="str">
        <f>"1578728276398802"</f>
        <v>1578728276398802</v>
      </c>
      <c r="C5245" t="s">
        <v>37</v>
      </c>
      <c r="D5245">
        <v>4.6393319999999996</v>
      </c>
      <c r="E5245">
        <v>0.40802059999999901</v>
      </c>
      <c r="F5245" t="s">
        <v>38</v>
      </c>
      <c r="G5245">
        <v>-302.1114</v>
      </c>
      <c r="H5245">
        <v>1.015199</v>
      </c>
      <c r="I5245">
        <v>-39.436700000000002</v>
      </c>
      <c r="J5245">
        <v>-302.67540000000002</v>
      </c>
      <c r="K5245">
        <v>1.106463</v>
      </c>
      <c r="L5245">
        <v>-38.838470000000001</v>
      </c>
      <c r="M5245">
        <v>4.6459279999999999E-2</v>
      </c>
      <c r="N5245">
        <v>0</v>
      </c>
      <c r="O5245">
        <v>-0.99885330000000006</v>
      </c>
      <c r="P5245">
        <v>0.36783480000000002</v>
      </c>
      <c r="Q5245">
        <v>1.6724880000000001E-2</v>
      </c>
      <c r="R5245">
        <v>-0.92974109999999999</v>
      </c>
      <c r="S5245">
        <v>1.7662959999999901</v>
      </c>
      <c r="T5245">
        <v>-0.27883390000000002</v>
      </c>
      <c r="U5245">
        <v>-2.5367130000000002</v>
      </c>
      <c r="V5245">
        <v>-0.32436729999999903</v>
      </c>
      <c r="W5245">
        <v>2.613182E-2</v>
      </c>
      <c r="X5245">
        <v>0.94557019999999903</v>
      </c>
      <c r="Y5245">
        <v>-0.53031490000000003</v>
      </c>
      <c r="Z5245">
        <v>9.0946120000000005E-2</v>
      </c>
      <c r="AA5245">
        <v>0.84290859999999901</v>
      </c>
      <c r="AB5245">
        <v>24</v>
      </c>
      <c r="AC5245">
        <v>0.56400000000002104</v>
      </c>
      <c r="AD5245">
        <v>-9.1263999999999998E-2</v>
      </c>
      <c r="AE5245">
        <v>-0.59823000000000004</v>
      </c>
      <c r="AF5245">
        <v>-0.52907662245205</v>
      </c>
      <c r="AG5245">
        <v>-9.1263999999999998E-2</v>
      </c>
      <c r="AH5245">
        <v>0.61619617709003605</v>
      </c>
      <c r="AI5245">
        <v>96.411464592215395</v>
      </c>
      <c r="AJ5245">
        <v>130.649955005924</v>
      </c>
      <c r="AK5245">
        <v>0.81728141957445999</v>
      </c>
    </row>
    <row r="5246" spans="1:37" x14ac:dyDescent="0.2">
      <c r="A5246" t="str">
        <f>"20200111153756431"</f>
        <v>20200111153756431</v>
      </c>
      <c r="B5246" t="str">
        <f>"1578728276418321"</f>
        <v>1578728276418321</v>
      </c>
      <c r="C5246" t="s">
        <v>37</v>
      </c>
      <c r="D5246">
        <v>4.6530269999999998</v>
      </c>
      <c r="E5246">
        <v>0.4089759</v>
      </c>
      <c r="F5246" t="s">
        <v>38</v>
      </c>
      <c r="G5246">
        <v>-302.10980000000001</v>
      </c>
      <c r="H5246">
        <v>1.0179469999999999</v>
      </c>
      <c r="I5246">
        <v>-39.647489999999998</v>
      </c>
      <c r="J5246">
        <v>-302.66079999999999</v>
      </c>
      <c r="K5246">
        <v>1.1064889999999901</v>
      </c>
      <c r="L5246">
        <v>-39.07611</v>
      </c>
      <c r="M5246">
        <v>4.9598379999999997E-2</v>
      </c>
      <c r="N5246">
        <v>0</v>
      </c>
      <c r="O5246">
        <v>-0.99870230000000004</v>
      </c>
      <c r="P5246">
        <v>0.37249640000000001</v>
      </c>
      <c r="Q5246">
        <v>1.7534049999999999E-2</v>
      </c>
      <c r="R5246">
        <v>-0.92786809999999997</v>
      </c>
      <c r="S5246">
        <v>1.769806</v>
      </c>
      <c r="T5246">
        <v>-0.27697189999999999</v>
      </c>
      <c r="U5246">
        <v>-2.5314640000000002</v>
      </c>
      <c r="V5246">
        <v>-0.32614739999999998</v>
      </c>
      <c r="W5246">
        <v>2.6903549999999998E-2</v>
      </c>
      <c r="X5246">
        <v>0.944936</v>
      </c>
      <c r="Y5246">
        <v>-0.52928409999999904</v>
      </c>
      <c r="Z5246">
        <v>9.0474579999999999E-2</v>
      </c>
      <c r="AA5246">
        <v>0.843607</v>
      </c>
      <c r="AB5246">
        <v>24</v>
      </c>
      <c r="AC5246">
        <v>0.55099999999998694</v>
      </c>
      <c r="AD5246">
        <v>-8.8541999999999899E-2</v>
      </c>
      <c r="AE5246">
        <v>-0.571380000000004</v>
      </c>
      <c r="AF5246">
        <v>-0.51556545130511899</v>
      </c>
      <c r="AG5246">
        <v>-8.8541999999999899E-2</v>
      </c>
      <c r="AH5246">
        <v>0.59065798261271696</v>
      </c>
      <c r="AI5246">
        <v>96.443318406153097</v>
      </c>
      <c r="AJ5246">
        <v>131.11661202377201</v>
      </c>
      <c r="AK5246">
        <v>0.78900207399446998</v>
      </c>
    </row>
    <row r="5247" spans="1:37" x14ac:dyDescent="0.2">
      <c r="A5247" t="str">
        <f>"20200111153756451"</f>
        <v>20200111153756451</v>
      </c>
      <c r="B5247" t="str">
        <f>"1578728276448577"</f>
        <v>1578728276448577</v>
      </c>
      <c r="C5247" t="s">
        <v>37</v>
      </c>
      <c r="D5247">
        <v>4.6180079999999997</v>
      </c>
      <c r="E5247">
        <v>0.41022789999999998</v>
      </c>
      <c r="F5247" t="s">
        <v>38</v>
      </c>
      <c r="G5247">
        <v>-302.11040000000003</v>
      </c>
      <c r="H5247">
        <v>1.0221009999999999</v>
      </c>
      <c r="I5247">
        <v>-39.859099999999998</v>
      </c>
      <c r="J5247">
        <v>-302.64580000000001</v>
      </c>
      <c r="K5247">
        <v>1.106519</v>
      </c>
      <c r="L5247">
        <v>-39.306370000000001</v>
      </c>
      <c r="M5247">
        <v>5.2687600000000001E-2</v>
      </c>
      <c r="N5247">
        <v>0</v>
      </c>
      <c r="O5247">
        <v>-0.99854399999999999</v>
      </c>
      <c r="P5247">
        <v>0.37704559999999998</v>
      </c>
      <c r="Q5247">
        <v>1.8055249999999998E-2</v>
      </c>
      <c r="R5247">
        <v>-0.92601889999999998</v>
      </c>
      <c r="S5247">
        <v>1.77526899999999</v>
      </c>
      <c r="T5247">
        <v>-0.27221259999999903</v>
      </c>
      <c r="U5247">
        <v>-2.525665</v>
      </c>
      <c r="V5247">
        <v>-0.3278663</v>
      </c>
      <c r="W5247">
        <v>2.739165E-2</v>
      </c>
      <c r="X5247">
        <v>0.94432689999999997</v>
      </c>
      <c r="Y5247">
        <v>-0.52886949999999999</v>
      </c>
      <c r="Z5247">
        <v>8.9040820000000007E-2</v>
      </c>
      <c r="AA5247">
        <v>0.84401939999999998</v>
      </c>
      <c r="AB5247">
        <v>24</v>
      </c>
      <c r="AC5247">
        <v>0.535399999999981</v>
      </c>
      <c r="AD5247">
        <v>-8.4418000000000104E-2</v>
      </c>
      <c r="AE5247">
        <v>-0.55272999999999595</v>
      </c>
      <c r="AF5247">
        <v>-0.49952079830428803</v>
      </c>
      <c r="AG5247">
        <v>-8.4418000000000104E-2</v>
      </c>
      <c r="AH5247">
        <v>0.57327393838193497</v>
      </c>
      <c r="AI5247">
        <v>96.335155147668203</v>
      </c>
      <c r="AJ5247">
        <v>131.067183360228</v>
      </c>
      <c r="AK5247">
        <v>0.765042766837572</v>
      </c>
    </row>
    <row r="5248" spans="1:37" x14ac:dyDescent="0.2">
      <c r="A5248" t="str">
        <f>"20200111153756473"</f>
        <v>20200111153756473</v>
      </c>
      <c r="B5248" t="str">
        <f>"1578728276468097"</f>
        <v>1578728276468097</v>
      </c>
      <c r="C5248" t="s">
        <v>37</v>
      </c>
      <c r="D5248">
        <v>4.6004259999999997</v>
      </c>
      <c r="E5248">
        <v>0.41084860000000001</v>
      </c>
      <c r="F5248" t="s">
        <v>38</v>
      </c>
      <c r="G5248">
        <v>-302.10719999999998</v>
      </c>
      <c r="H5248">
        <v>1.0252589999999999</v>
      </c>
      <c r="I5248">
        <v>-40.06991</v>
      </c>
      <c r="J5248">
        <v>-302.63029999999998</v>
      </c>
      <c r="K5248">
        <v>1.1065499999999999</v>
      </c>
      <c r="L5248">
        <v>-39.533140000000003</v>
      </c>
      <c r="M5248">
        <v>5.5776810000000003E-2</v>
      </c>
      <c r="N5248">
        <v>0</v>
      </c>
      <c r="O5248">
        <v>-0.99837629999999999</v>
      </c>
      <c r="P5248">
        <v>0.38270479999999901</v>
      </c>
      <c r="Q5248">
        <v>1.8357539999999999E-2</v>
      </c>
      <c r="R5248">
        <v>-0.92368850000000002</v>
      </c>
      <c r="S5248">
        <v>1.778473</v>
      </c>
      <c r="T5248">
        <v>-0.26827869999999998</v>
      </c>
      <c r="U5248">
        <v>-2.5207820000000001</v>
      </c>
      <c r="V5248">
        <v>-0.33072590000000002</v>
      </c>
      <c r="W5248">
        <v>2.764809E-2</v>
      </c>
      <c r="X5248">
        <v>0.94332179999999999</v>
      </c>
      <c r="Y5248">
        <v>-0.52779229999999999</v>
      </c>
      <c r="Z5248">
        <v>8.7883230000000007E-2</v>
      </c>
      <c r="AA5248">
        <v>0.84481469999999903</v>
      </c>
      <c r="AB5248">
        <v>24</v>
      </c>
      <c r="AC5248">
        <v>0.52309999999999901</v>
      </c>
      <c r="AD5248">
        <v>-8.1291000000000002E-2</v>
      </c>
      <c r="AE5248">
        <v>-0.53676999999999697</v>
      </c>
      <c r="AF5248">
        <v>-0.48661987607110901</v>
      </c>
      <c r="AG5248">
        <v>-8.1291000000000002E-2</v>
      </c>
      <c r="AH5248">
        <v>0.55854264753173199</v>
      </c>
      <c r="AI5248">
        <v>96.262333319962096</v>
      </c>
      <c r="AJ5248">
        <v>131.06340181822401</v>
      </c>
      <c r="AK5248">
        <v>0.74523621730308998</v>
      </c>
    </row>
    <row r="5249" spans="1:37" x14ac:dyDescent="0.2">
      <c r="A5249" t="str">
        <f>"20200111153756496"</f>
        <v>20200111153756496</v>
      </c>
      <c r="B5249" t="str">
        <f>"1578728276488593"</f>
        <v>1578728276488593</v>
      </c>
      <c r="C5249" t="s">
        <v>37</v>
      </c>
      <c r="D5249">
        <v>4.6236649999999999</v>
      </c>
      <c r="E5249">
        <v>0.41142619999999902</v>
      </c>
      <c r="F5249" t="s">
        <v>38</v>
      </c>
      <c r="G5249">
        <v>-302.09890000000001</v>
      </c>
      <c r="H5249">
        <v>1.027312</v>
      </c>
      <c r="I5249">
        <v>-40.27955</v>
      </c>
      <c r="J5249">
        <v>-302.61279999999999</v>
      </c>
      <c r="K5249">
        <v>1.1065830000000001</v>
      </c>
      <c r="L5249">
        <v>-39.778959999999998</v>
      </c>
      <c r="M5249">
        <v>5.9180780000000002E-2</v>
      </c>
      <c r="N5249">
        <v>0</v>
      </c>
      <c r="O5249">
        <v>-0.99818019999999996</v>
      </c>
      <c r="P5249">
        <v>0.38929859999999999</v>
      </c>
      <c r="Q5249">
        <v>1.8275550000000002E-2</v>
      </c>
      <c r="R5249">
        <v>-0.92093049999999999</v>
      </c>
      <c r="S5249">
        <v>1.78918499999999</v>
      </c>
      <c r="T5249">
        <v>-0.2666752</v>
      </c>
      <c r="U5249">
        <v>-2.511841</v>
      </c>
      <c r="V5249">
        <v>-0.3342541</v>
      </c>
      <c r="W5249">
        <v>2.750843E-2</v>
      </c>
      <c r="X5249">
        <v>0.94208150000000002</v>
      </c>
      <c r="Y5249">
        <v>-0.52873210000000004</v>
      </c>
      <c r="Z5249">
        <v>8.7462910000000005E-2</v>
      </c>
      <c r="AA5249">
        <v>0.84427050000000003</v>
      </c>
      <c r="AB5249">
        <v>24</v>
      </c>
      <c r="AC5249">
        <v>0.51389999999997804</v>
      </c>
      <c r="AD5249">
        <v>-7.9270999999999994E-2</v>
      </c>
      <c r="AE5249">
        <v>-0.50059000000000198</v>
      </c>
      <c r="AF5249">
        <v>-0.47754145184084701</v>
      </c>
      <c r="AG5249">
        <v>-7.9270999999999994E-2</v>
      </c>
      <c r="AH5249">
        <v>0.52373314864409504</v>
      </c>
      <c r="AI5249">
        <v>96.381693883009603</v>
      </c>
      <c r="AJ5249">
        <v>132.35865252284901</v>
      </c>
      <c r="AK5249">
        <v>0.71318030024386003</v>
      </c>
    </row>
    <row r="5250" spans="1:37" x14ac:dyDescent="0.2">
      <c r="A5250" t="str">
        <f>"20200111153756517"</f>
        <v>20200111153756517</v>
      </c>
      <c r="B5250" t="str">
        <f>"1578728276508113"</f>
        <v>1578728276508113</v>
      </c>
      <c r="C5250" t="s">
        <v>37</v>
      </c>
      <c r="D5250">
        <v>4.6343990000000002</v>
      </c>
      <c r="E5250">
        <v>0.41169220000000001</v>
      </c>
      <c r="F5250" t="s">
        <v>38</v>
      </c>
      <c r="G5250">
        <v>-302.09899999999999</v>
      </c>
      <c r="H5250">
        <v>1.030491</v>
      </c>
      <c r="I5250">
        <v>-40.491720000000001</v>
      </c>
      <c r="J5250">
        <v>-302.596</v>
      </c>
      <c r="K5250">
        <v>1.106625</v>
      </c>
      <c r="L5250">
        <v>-40.001159999999999</v>
      </c>
      <c r="M5250">
        <v>6.2318180000000001E-2</v>
      </c>
      <c r="N5250">
        <v>0</v>
      </c>
      <c r="O5250">
        <v>-0.99798909999999996</v>
      </c>
      <c r="P5250">
        <v>0.39545540000000001</v>
      </c>
      <c r="Q5250">
        <v>1.8261360000000001E-2</v>
      </c>
      <c r="R5250">
        <v>-0.91830389999999995</v>
      </c>
      <c r="S5250">
        <v>1.80246</v>
      </c>
      <c r="T5250">
        <v>-0.26698430000000001</v>
      </c>
      <c r="U5250">
        <v>-2.5009160000000001</v>
      </c>
      <c r="V5250">
        <v>-0.33760119999999999</v>
      </c>
      <c r="W5250">
        <v>2.7434070000000001E-2</v>
      </c>
      <c r="X5250">
        <v>0.94088939999999999</v>
      </c>
      <c r="Y5250">
        <v>-0.53075439999999996</v>
      </c>
      <c r="Z5250">
        <v>8.7664149999999996E-2</v>
      </c>
      <c r="AA5250">
        <v>0.842979699999999</v>
      </c>
      <c r="AB5250">
        <v>24</v>
      </c>
      <c r="AC5250">
        <v>0.49700000000001399</v>
      </c>
      <c r="AD5250">
        <v>-7.6133999999999896E-2</v>
      </c>
      <c r="AE5250">
        <v>-0.49056000000000199</v>
      </c>
      <c r="AF5250">
        <v>-0.45999345082498999</v>
      </c>
      <c r="AG5250">
        <v>-7.6133999999999896E-2</v>
      </c>
      <c r="AH5250">
        <v>0.51446557672505699</v>
      </c>
      <c r="AI5250">
        <v>96.295389247688107</v>
      </c>
      <c r="AJ5250">
        <v>131.80050360610301</v>
      </c>
      <c r="AK5250">
        <v>0.694309146125073</v>
      </c>
    </row>
    <row r="5251" spans="1:37" x14ac:dyDescent="0.2">
      <c r="A5251" t="str">
        <f>"20200111153756540"</f>
        <v>20200111153756540</v>
      </c>
      <c r="B5251" t="str">
        <f>"1578728276528609"</f>
        <v>1578728276528609</v>
      </c>
      <c r="C5251" t="s">
        <v>37</v>
      </c>
      <c r="D5251">
        <v>4.6058510000000004</v>
      </c>
      <c r="E5251">
        <v>0.41210449999999998</v>
      </c>
      <c r="F5251" t="s">
        <v>38</v>
      </c>
      <c r="G5251">
        <v>-302.08589999999998</v>
      </c>
      <c r="H5251">
        <v>1.0316479999999999</v>
      </c>
      <c r="I5251">
        <v>-40.700449999999996</v>
      </c>
      <c r="J5251">
        <v>-302.57799999999997</v>
      </c>
      <c r="K5251">
        <v>1.1066750000000001</v>
      </c>
      <c r="L5251">
        <v>-40.22992</v>
      </c>
      <c r="M5251">
        <v>6.5624169999999996E-2</v>
      </c>
      <c r="N5251">
        <v>0</v>
      </c>
      <c r="O5251">
        <v>-0.99777729999999998</v>
      </c>
      <c r="P5251">
        <v>0.40012989999999998</v>
      </c>
      <c r="Q5251">
        <v>1.8971990000000001E-2</v>
      </c>
      <c r="R5251">
        <v>-0.91626249999999998</v>
      </c>
      <c r="S5251">
        <v>1.8170169999999899</v>
      </c>
      <c r="T5251">
        <v>-0.26696249999999999</v>
      </c>
      <c r="U5251">
        <v>-2.4897459999999998</v>
      </c>
      <c r="V5251">
        <v>-0.3392867</v>
      </c>
      <c r="W5251">
        <v>2.8089949999999999E-2</v>
      </c>
      <c r="X5251">
        <v>0.94026350000000003</v>
      </c>
      <c r="Y5251">
        <v>-0.53296180000000004</v>
      </c>
      <c r="Z5251">
        <v>8.7743000000000002E-2</v>
      </c>
      <c r="AA5251">
        <v>0.84157760000000004</v>
      </c>
      <c r="AB5251">
        <v>24</v>
      </c>
      <c r="AC5251">
        <v>0.49209999999999299</v>
      </c>
      <c r="AD5251">
        <v>-7.5027000000000094E-2</v>
      </c>
      <c r="AE5251">
        <v>-0.47052999999999601</v>
      </c>
      <c r="AF5251">
        <v>-0.45463818203020301</v>
      </c>
      <c r="AG5251">
        <v>-7.5027000000000094E-2</v>
      </c>
      <c r="AH5251">
        <v>0.49579098848206599</v>
      </c>
      <c r="AI5251">
        <v>96.364107652512203</v>
      </c>
      <c r="AJ5251">
        <v>132.52068821221499</v>
      </c>
      <c r="AK5251">
        <v>0.67685569477455998</v>
      </c>
    </row>
    <row r="5252" spans="1:37" x14ac:dyDescent="0.2">
      <c r="A5252" t="str">
        <f>"20200111153756563"</f>
        <v>20200111153756563</v>
      </c>
      <c r="B5252" t="str">
        <f>"1578728276558866"</f>
        <v>1578728276558866</v>
      </c>
      <c r="C5252" t="s">
        <v>37</v>
      </c>
      <c r="D5252">
        <v>4.6251059999999997</v>
      </c>
      <c r="E5252">
        <v>0.41276040000000003</v>
      </c>
      <c r="F5252" t="s">
        <v>38</v>
      </c>
      <c r="G5252">
        <v>-301.94760000000002</v>
      </c>
      <c r="H5252">
        <v>1.015722</v>
      </c>
      <c r="I5252">
        <v>-41.08616</v>
      </c>
      <c r="J5252">
        <v>-302.55869999999999</v>
      </c>
      <c r="K5252">
        <v>1.1067370000000001</v>
      </c>
      <c r="L5252">
        <v>-40.46378</v>
      </c>
      <c r="M5252">
        <v>6.9107100000000005E-2</v>
      </c>
      <c r="N5252">
        <v>0</v>
      </c>
      <c r="O5252">
        <v>-0.99754179999999903</v>
      </c>
      <c r="P5252">
        <v>0.40460780000000002</v>
      </c>
      <c r="Q5252">
        <v>1.9208869999999999E-2</v>
      </c>
      <c r="R5252">
        <v>-0.91428860000000001</v>
      </c>
      <c r="S5252">
        <v>1.8272090000000001</v>
      </c>
      <c r="T5252">
        <v>-0.26361859999999998</v>
      </c>
      <c r="U5252">
        <v>-2.4816889999999998</v>
      </c>
      <c r="V5252">
        <v>-0.34061049999999998</v>
      </c>
      <c r="W5252">
        <v>2.8266779999999998E-2</v>
      </c>
      <c r="X5252">
        <v>0.93977949999999999</v>
      </c>
      <c r="Y5252">
        <v>-0.53361059999999905</v>
      </c>
      <c r="Z5252">
        <v>8.6733420000000006E-2</v>
      </c>
      <c r="AA5252">
        <v>0.8412712</v>
      </c>
      <c r="AB5252">
        <v>24</v>
      </c>
      <c r="AC5252">
        <v>0.61109999999996401</v>
      </c>
      <c r="AD5252">
        <v>-9.1014999999999999E-2</v>
      </c>
      <c r="AE5252">
        <v>-0.62237999999999905</v>
      </c>
      <c r="AF5252">
        <v>-0.56052197688827499</v>
      </c>
      <c r="AG5252">
        <v>-9.1014999999999999E-2</v>
      </c>
      <c r="AH5252">
        <v>0.65598356399072399</v>
      </c>
      <c r="AI5252">
        <v>96.021440908087399</v>
      </c>
      <c r="AJ5252">
        <v>130.51308211926201</v>
      </c>
      <c r="AK5252">
        <v>0.86763071235734401</v>
      </c>
    </row>
    <row r="5253" spans="1:37" x14ac:dyDescent="0.2">
      <c r="A5253" t="str">
        <f>"20200111153756585"</f>
        <v>20200111153756585</v>
      </c>
      <c r="B5253" t="str">
        <f>"1578728276578385"</f>
        <v>1578728276578385</v>
      </c>
      <c r="C5253" t="s">
        <v>37</v>
      </c>
      <c r="D5253">
        <v>4.6423519999999998</v>
      </c>
      <c r="E5253">
        <v>0.41301870000000002</v>
      </c>
      <c r="F5253" t="s">
        <v>38</v>
      </c>
      <c r="G5253">
        <v>-301.94069999999999</v>
      </c>
      <c r="H5253">
        <v>1.0186139999999999</v>
      </c>
      <c r="I5253">
        <v>-41.296880000000002</v>
      </c>
      <c r="J5253">
        <v>-302.5378</v>
      </c>
      <c r="K5253">
        <v>1.1068020000000001</v>
      </c>
      <c r="L5253">
        <v>-40.704349999999998</v>
      </c>
      <c r="M5253">
        <v>7.278635E-2</v>
      </c>
      <c r="N5253">
        <v>0</v>
      </c>
      <c r="O5253">
        <v>-0.99727999999999895</v>
      </c>
      <c r="P5253">
        <v>0.40905530000000001</v>
      </c>
      <c r="Q5253">
        <v>1.8734629999999999E-2</v>
      </c>
      <c r="R5253">
        <v>-0.9123173</v>
      </c>
      <c r="S5253">
        <v>1.8354189999999999</v>
      </c>
      <c r="T5253">
        <v>-0.26174409999999998</v>
      </c>
      <c r="U5253">
        <v>-2.4744869999999999</v>
      </c>
      <c r="V5253">
        <v>-0.34172179999999902</v>
      </c>
      <c r="W5253">
        <v>2.773246E-2</v>
      </c>
      <c r="X5253">
        <v>0.93939189999999995</v>
      </c>
      <c r="Y5253">
        <v>-0.53349429999999998</v>
      </c>
      <c r="Z5253">
        <v>8.6214189999999996E-2</v>
      </c>
      <c r="AA5253">
        <v>0.84139819999999999</v>
      </c>
      <c r="AB5253">
        <v>24</v>
      </c>
      <c r="AC5253">
        <v>0.59710000000001096</v>
      </c>
      <c r="AD5253">
        <v>-8.81880000000001E-2</v>
      </c>
      <c r="AE5253">
        <v>-0.592530000000003</v>
      </c>
      <c r="AF5253">
        <v>-0.54638000241476903</v>
      </c>
      <c r="AG5253">
        <v>-8.81880000000001E-2</v>
      </c>
      <c r="AH5253">
        <v>0.62752495939780795</v>
      </c>
      <c r="AI5253">
        <v>96.050074949227906</v>
      </c>
      <c r="AJ5253">
        <v>131.04577886948701</v>
      </c>
      <c r="AK5253">
        <v>0.83671727904351501</v>
      </c>
    </row>
    <row r="5254" spans="1:37" x14ac:dyDescent="0.2">
      <c r="A5254" t="str">
        <f>"20200111153756607"</f>
        <v>20200111153756607</v>
      </c>
      <c r="B5254" t="str">
        <f>"1578728276598881"</f>
        <v>1578728276598881</v>
      </c>
      <c r="C5254" t="s">
        <v>37</v>
      </c>
      <c r="D5254">
        <v>4.66981</v>
      </c>
      <c r="E5254">
        <v>0.41320649999999998</v>
      </c>
      <c r="F5254" t="s">
        <v>38</v>
      </c>
      <c r="G5254">
        <v>-301.9359</v>
      </c>
      <c r="H5254">
        <v>1.0207349999999999</v>
      </c>
      <c r="I5254">
        <v>-41.508409999999998</v>
      </c>
      <c r="J5254">
        <v>-302.51690000000002</v>
      </c>
      <c r="K5254">
        <v>1.1068659999999999</v>
      </c>
      <c r="L5254">
        <v>-40.934539999999998</v>
      </c>
      <c r="M5254">
        <v>7.6413690000000006E-2</v>
      </c>
      <c r="N5254">
        <v>0</v>
      </c>
      <c r="O5254">
        <v>-0.99700859999999902</v>
      </c>
      <c r="P5254">
        <v>0.4127941</v>
      </c>
      <c r="Q5254">
        <v>1.9195779999999999E-2</v>
      </c>
      <c r="R5254">
        <v>-0.91062209999999999</v>
      </c>
      <c r="S5254">
        <v>1.846039</v>
      </c>
      <c r="T5254">
        <v>-0.26396750000000002</v>
      </c>
      <c r="U5254">
        <v>-2.4660340000000001</v>
      </c>
      <c r="V5254">
        <v>-0.34216540000000001</v>
      </c>
      <c r="W5254">
        <v>2.8138090000000001E-2</v>
      </c>
      <c r="X5254">
        <v>0.93921829999999995</v>
      </c>
      <c r="Y5254">
        <v>-0.53408630000000001</v>
      </c>
      <c r="Z5254">
        <v>8.7022580000000002E-2</v>
      </c>
      <c r="AA5254">
        <v>0.84093929999999995</v>
      </c>
      <c r="AB5254">
        <v>24</v>
      </c>
      <c r="AC5254">
        <v>0.58100000000001695</v>
      </c>
      <c r="AD5254">
        <v>-8.6130999999999902E-2</v>
      </c>
      <c r="AE5254">
        <v>-0.573869999999992</v>
      </c>
      <c r="AF5254">
        <v>-0.52955571364986398</v>
      </c>
      <c r="AG5254">
        <v>-8.6130999999999902E-2</v>
      </c>
      <c r="AH5254">
        <v>0.60980765643215395</v>
      </c>
      <c r="AI5254">
        <v>96.087260209323404</v>
      </c>
      <c r="AJ5254">
        <v>130.97098145347499</v>
      </c>
      <c r="AK5254">
        <v>0.81222729630534696</v>
      </c>
    </row>
    <row r="5255" spans="1:37" x14ac:dyDescent="0.2">
      <c r="A5255" t="str">
        <f>"20200111153756630"</f>
        <v>20200111153756630</v>
      </c>
      <c r="B5255" t="str">
        <f>"1578728276618403"</f>
        <v>1578728276618403</v>
      </c>
      <c r="C5255" t="s">
        <v>37</v>
      </c>
      <c r="D5255">
        <v>4.6512089999999997</v>
      </c>
      <c r="E5255">
        <v>0.41347289999999998</v>
      </c>
      <c r="F5255" t="s">
        <v>38</v>
      </c>
      <c r="G5255">
        <v>-301.92540000000002</v>
      </c>
      <c r="H5255">
        <v>1.0229010000000001</v>
      </c>
      <c r="I5255">
        <v>-41.71848</v>
      </c>
      <c r="J5255">
        <v>-302.49489999999997</v>
      </c>
      <c r="K5255">
        <v>1.1069389999999999</v>
      </c>
      <c r="L5255">
        <v>-41.164859999999997</v>
      </c>
      <c r="M5255">
        <v>8.0173620000000001E-2</v>
      </c>
      <c r="N5255">
        <v>0</v>
      </c>
      <c r="O5255">
        <v>-0.99671339999999997</v>
      </c>
      <c r="P5255">
        <v>0.41706650000000001</v>
      </c>
      <c r="Q5255">
        <v>1.9874269999999999E-2</v>
      </c>
      <c r="R5255">
        <v>-0.90865929999999995</v>
      </c>
      <c r="S5255">
        <v>1.855591</v>
      </c>
      <c r="T5255">
        <v>-0.26336959999999998</v>
      </c>
      <c r="U5255">
        <v>-2.4588320000000001</v>
      </c>
      <c r="V5255">
        <v>-0.34304459999999998</v>
      </c>
      <c r="W5255">
        <v>2.874819E-2</v>
      </c>
      <c r="X5255">
        <v>0.93887909999999997</v>
      </c>
      <c r="Y5255">
        <v>-0.53417579999999998</v>
      </c>
      <c r="Z5255">
        <v>8.6895639999999996E-2</v>
      </c>
      <c r="AA5255">
        <v>0.84089559999999997</v>
      </c>
      <c r="AB5255">
        <v>24</v>
      </c>
      <c r="AC5255">
        <v>0.56949999999994805</v>
      </c>
      <c r="AD5255">
        <v>-8.4037999999999793E-2</v>
      </c>
      <c r="AE5255">
        <v>-0.553620000000002</v>
      </c>
      <c r="AF5255">
        <v>-0.51748429747429003</v>
      </c>
      <c r="AG5255">
        <v>-8.4037999999999793E-2</v>
      </c>
      <c r="AH5255">
        <v>0.59088433187939304</v>
      </c>
      <c r="AI5255">
        <v>96.107027086967506</v>
      </c>
      <c r="AJ5255">
        <v>131.211205933976</v>
      </c>
      <c r="AK5255">
        <v>0.78993460313941</v>
      </c>
    </row>
    <row r="5256" spans="1:37" x14ac:dyDescent="0.2">
      <c r="A5256" t="str">
        <f>"20200111153756654"</f>
        <v>20200111153756654</v>
      </c>
      <c r="B5256" t="str">
        <f>"1578728276648658"</f>
        <v>1578728276648658</v>
      </c>
      <c r="C5256" t="s">
        <v>37</v>
      </c>
      <c r="D5256">
        <v>4.7276350000000003</v>
      </c>
      <c r="E5256">
        <v>0.43898969999999998</v>
      </c>
      <c r="F5256" t="s">
        <v>38</v>
      </c>
      <c r="G5256">
        <v>-301.91399999999999</v>
      </c>
      <c r="H5256">
        <v>1.0249889999999999</v>
      </c>
      <c r="I5256">
        <v>-41.92848</v>
      </c>
      <c r="J5256">
        <v>-302.46960000000001</v>
      </c>
      <c r="K5256">
        <v>1.107051</v>
      </c>
      <c r="L5256">
        <v>-41.418849999999999</v>
      </c>
      <c r="M5256">
        <v>8.4496940000000006E-2</v>
      </c>
      <c r="N5256">
        <v>0</v>
      </c>
      <c r="O5256">
        <v>-0.99635599999999902</v>
      </c>
      <c r="P5256">
        <v>0.4226009</v>
      </c>
      <c r="Q5256">
        <v>2.061284E-2</v>
      </c>
      <c r="R5256">
        <v>-0.90608169999999899</v>
      </c>
      <c r="S5256">
        <v>1.8656009999999901</v>
      </c>
      <c r="T5256">
        <v>-0.26305869999999998</v>
      </c>
      <c r="U5256">
        <v>-2.45105</v>
      </c>
      <c r="V5256">
        <v>-0.34471160000000001</v>
      </c>
      <c r="W5256">
        <v>2.9387839999999998E-2</v>
      </c>
      <c r="X5256">
        <v>0.93824850000000004</v>
      </c>
      <c r="Y5256">
        <v>-0.53397680000000003</v>
      </c>
      <c r="Z5256">
        <v>8.687375E-2</v>
      </c>
      <c r="AA5256">
        <v>0.8410242</v>
      </c>
      <c r="AB5256">
        <v>24</v>
      </c>
      <c r="AC5256">
        <v>0.55560000000002596</v>
      </c>
      <c r="AD5256">
        <v>-8.2061999999999996E-2</v>
      </c>
      <c r="AE5256">
        <v>-0.50963000000000103</v>
      </c>
      <c r="AF5256">
        <v>-0.50456988783596601</v>
      </c>
      <c r="AG5256">
        <v>-8.2061999999999996E-2</v>
      </c>
      <c r="AH5256">
        <v>0.54826143504567704</v>
      </c>
      <c r="AI5256">
        <v>96.284930755142994</v>
      </c>
      <c r="AJ5256">
        <v>132.623640539165</v>
      </c>
      <c r="AK5256">
        <v>0.74961026187822699</v>
      </c>
    </row>
    <row r="5257" spans="1:37" x14ac:dyDescent="0.2">
      <c r="A5257" t="str">
        <f>"20200111153756677"</f>
        <v>20200111153756677</v>
      </c>
      <c r="B5257" t="str">
        <f>"1578728276668177"</f>
        <v>1578728276668177</v>
      </c>
      <c r="C5257" t="s">
        <v>37</v>
      </c>
      <c r="D5257">
        <v>4.777997</v>
      </c>
      <c r="E5257">
        <v>0.44969969999999998</v>
      </c>
      <c r="F5257" t="s">
        <v>38</v>
      </c>
      <c r="G5257">
        <v>-301.97250000000003</v>
      </c>
      <c r="H5257">
        <v>1.0238879999999999</v>
      </c>
      <c r="I5257">
        <v>-42.159970000000001</v>
      </c>
      <c r="J5257">
        <v>-302.4443</v>
      </c>
      <c r="K5257">
        <v>1.107186</v>
      </c>
      <c r="L5257">
        <v>-41.660400000000003</v>
      </c>
      <c r="M5257">
        <v>8.8800180000000006E-2</v>
      </c>
      <c r="N5257">
        <v>0</v>
      </c>
      <c r="O5257">
        <v>-0.99598169999999897</v>
      </c>
      <c r="P5257">
        <v>0.42814669999999999</v>
      </c>
      <c r="Q5257">
        <v>2.1722470000000001E-2</v>
      </c>
      <c r="R5257">
        <v>-0.90344859999999905</v>
      </c>
      <c r="S5257">
        <v>1.695343</v>
      </c>
      <c r="T5257">
        <v>-0.2835435</v>
      </c>
      <c r="U5257">
        <v>-2.5267029999999999</v>
      </c>
      <c r="V5257">
        <v>-0.3464276</v>
      </c>
      <c r="W5257">
        <v>3.0385410000000002E-2</v>
      </c>
      <c r="X5257">
        <v>0.93758449999999904</v>
      </c>
      <c r="Y5257">
        <v>-0.47874359999999999</v>
      </c>
      <c r="Z5257">
        <v>9.4525680000000001E-2</v>
      </c>
      <c r="AA5257">
        <v>0.8728513</v>
      </c>
      <c r="AB5257">
        <v>24</v>
      </c>
      <c r="AC5257">
        <v>0.47179999999997302</v>
      </c>
      <c r="AD5257">
        <v>-8.3298000000000094E-2</v>
      </c>
      <c r="AE5257">
        <v>-0.49956999999999802</v>
      </c>
      <c r="AF5257">
        <v>-0.41940771057279302</v>
      </c>
      <c r="AG5257">
        <v>-8.3298000000000094E-2</v>
      </c>
      <c r="AH5257">
        <v>0.531681754785995</v>
      </c>
      <c r="AI5257">
        <v>97.012447362616001</v>
      </c>
      <c r="AJ5257">
        <v>128.267515427468</v>
      </c>
      <c r="AK5257">
        <v>0.68229529740738104</v>
      </c>
    </row>
    <row r="5258" spans="1:37" x14ac:dyDescent="0.2">
      <c r="A5258" t="str">
        <f>"20200111153756701"</f>
        <v>20200111153756701</v>
      </c>
      <c r="B5258" t="str">
        <f>"1578728276688674"</f>
        <v>1578728276688674</v>
      </c>
      <c r="C5258" t="s">
        <v>37</v>
      </c>
      <c r="D5258">
        <v>4.7795040000000002</v>
      </c>
      <c r="E5258">
        <v>0.45289119999999999</v>
      </c>
      <c r="F5258" t="s">
        <v>38</v>
      </c>
      <c r="G5258">
        <v>-301.92869999999999</v>
      </c>
      <c r="H5258">
        <v>1.0231939999999999</v>
      </c>
      <c r="I5258">
        <v>-42.466200000000001</v>
      </c>
      <c r="J5258">
        <v>-302.41719999999998</v>
      </c>
      <c r="K5258">
        <v>1.107335</v>
      </c>
      <c r="L5258">
        <v>-41.906619999999997</v>
      </c>
      <c r="M5258">
        <v>9.341207E-2</v>
      </c>
      <c r="N5258">
        <v>0</v>
      </c>
      <c r="O5258">
        <v>-0.99555959999999999</v>
      </c>
      <c r="P5258">
        <v>0.43375200000000003</v>
      </c>
      <c r="Q5258">
        <v>2.345264E-2</v>
      </c>
      <c r="R5258">
        <v>-0.90072739999999996</v>
      </c>
      <c r="S5258">
        <v>1.634125</v>
      </c>
      <c r="T5258">
        <v>-0.26608959999999998</v>
      </c>
      <c r="U5258">
        <v>-2.5525820000000001</v>
      </c>
      <c r="V5258">
        <v>-0.34793740000000001</v>
      </c>
      <c r="W5258">
        <v>3.1986809999999997E-2</v>
      </c>
      <c r="X5258">
        <v>0.93697199999999903</v>
      </c>
      <c r="Y5258">
        <v>-0.45599669999999998</v>
      </c>
      <c r="Z5258">
        <v>8.9052450000000005E-2</v>
      </c>
      <c r="AA5258">
        <v>0.88551489999999999</v>
      </c>
      <c r="AB5258">
        <v>24</v>
      </c>
      <c r="AC5258">
        <v>0.488499999999987</v>
      </c>
      <c r="AD5258">
        <v>-8.4140999999999799E-2</v>
      </c>
      <c r="AE5258">
        <v>-0.55957999999999597</v>
      </c>
      <c r="AF5258">
        <v>-0.42858942934483601</v>
      </c>
      <c r="AG5258">
        <v>-8.4140999999999799E-2</v>
      </c>
      <c r="AH5258">
        <v>0.59513161914522605</v>
      </c>
      <c r="AI5258">
        <v>96.544805420011201</v>
      </c>
      <c r="AJ5258">
        <v>125.759888943471</v>
      </c>
      <c r="AK5258">
        <v>0.73820745792328002</v>
      </c>
    </row>
    <row r="5259" spans="1:37" x14ac:dyDescent="0.2">
      <c r="A5259" t="str">
        <f>"20200111153756722"</f>
        <v>20200111153756722</v>
      </c>
      <c r="B5259" t="str">
        <f>"1578728276718930"</f>
        <v>1578728276718930</v>
      </c>
      <c r="C5259" t="s">
        <v>37</v>
      </c>
      <c r="D5259">
        <v>4.968756</v>
      </c>
      <c r="E5259">
        <v>0.45463320000000002</v>
      </c>
      <c r="F5259" t="s">
        <v>38</v>
      </c>
      <c r="G5259">
        <v>-301.86709999999999</v>
      </c>
      <c r="H5259">
        <v>1.0217069999999999</v>
      </c>
      <c r="I5259">
        <v>-42.770150000000001</v>
      </c>
      <c r="J5259">
        <v>-302.39060000000001</v>
      </c>
      <c r="K5259">
        <v>1.1074889999999999</v>
      </c>
      <c r="L5259">
        <v>-42.135379999999998</v>
      </c>
      <c r="M5259">
        <v>9.7918889999999995E-2</v>
      </c>
      <c r="N5259">
        <v>0</v>
      </c>
      <c r="O5259">
        <v>-0.99512619999999896</v>
      </c>
      <c r="P5259">
        <v>0.4394594</v>
      </c>
      <c r="Q5259">
        <v>2.5010879999999999E-2</v>
      </c>
      <c r="R5259">
        <v>-0.89791430000000005</v>
      </c>
      <c r="S5259">
        <v>1.6272580000000001</v>
      </c>
      <c r="T5259">
        <v>-0.25323679999999998</v>
      </c>
      <c r="U5259">
        <v>-2.5536500000000002</v>
      </c>
      <c r="V5259">
        <v>-0.34966779999999997</v>
      </c>
      <c r="W5259">
        <v>3.341417E-2</v>
      </c>
      <c r="X5259">
        <v>0.93627769999999999</v>
      </c>
      <c r="Y5259">
        <v>-0.45029639999999999</v>
      </c>
      <c r="Z5259">
        <v>8.4885950000000002E-2</v>
      </c>
      <c r="AA5259">
        <v>0.88883489999999998</v>
      </c>
      <c r="AB5259">
        <v>24</v>
      </c>
      <c r="AC5259">
        <v>0.52350000000001196</v>
      </c>
      <c r="AD5259">
        <v>-8.5781999999999997E-2</v>
      </c>
      <c r="AE5259">
        <v>-0.63477000000000305</v>
      </c>
      <c r="AF5259">
        <v>-0.453890133036702</v>
      </c>
      <c r="AG5259">
        <v>-8.5781999999999997E-2</v>
      </c>
      <c r="AH5259">
        <v>0.67563923017036398</v>
      </c>
      <c r="AI5259">
        <v>96.016225456180806</v>
      </c>
      <c r="AJ5259">
        <v>123.892954416766</v>
      </c>
      <c r="AK5259">
        <v>0.81845169297721998</v>
      </c>
    </row>
    <row r="5260" spans="1:37" x14ac:dyDescent="0.2">
      <c r="A5260" t="str">
        <f>"20200111153756747"</f>
        <v>20200111153756747</v>
      </c>
      <c r="B5260" t="str">
        <f>"1578728276738449"</f>
        <v>1578728276738449</v>
      </c>
      <c r="C5260" t="s">
        <v>37</v>
      </c>
      <c r="D5260">
        <v>4.7963529999999999</v>
      </c>
      <c r="E5260">
        <v>0.45522259999999998</v>
      </c>
      <c r="F5260" t="s">
        <v>38</v>
      </c>
      <c r="G5260">
        <v>-301.85050000000001</v>
      </c>
      <c r="H5260">
        <v>1.0252159999999999</v>
      </c>
      <c r="I5260">
        <v>-42.979640000000003</v>
      </c>
      <c r="J5260">
        <v>-302.35989999999998</v>
      </c>
      <c r="K5260">
        <v>1.1076429999999999</v>
      </c>
      <c r="L5260">
        <v>-42.387390000000003</v>
      </c>
      <c r="M5260">
        <v>0.1030951</v>
      </c>
      <c r="N5260">
        <v>0</v>
      </c>
      <c r="O5260">
        <v>-0.99460319999999902</v>
      </c>
      <c r="P5260">
        <v>0.44581700000000002</v>
      </c>
      <c r="Q5260">
        <v>2.6445929999999999E-2</v>
      </c>
      <c r="R5260">
        <v>-0.89473369999999997</v>
      </c>
      <c r="S5260">
        <v>1.6312260000000001</v>
      </c>
      <c r="T5260">
        <v>-0.2484682</v>
      </c>
      <c r="U5260">
        <v>-2.549652</v>
      </c>
      <c r="V5260">
        <v>-0.35146369999999999</v>
      </c>
      <c r="W5260">
        <v>3.4718510000000001E-2</v>
      </c>
      <c r="X5260">
        <v>0.93555750000000004</v>
      </c>
      <c r="Y5260">
        <v>-0.44733489999999998</v>
      </c>
      <c r="Z5260">
        <v>8.3375389999999994E-2</v>
      </c>
      <c r="AA5260">
        <v>0.89047180000000004</v>
      </c>
      <c r="AB5260">
        <v>24</v>
      </c>
      <c r="AC5260">
        <v>0.50939999999997099</v>
      </c>
      <c r="AD5260">
        <v>-8.2427E-2</v>
      </c>
      <c r="AE5260">
        <v>-0.59224999999999905</v>
      </c>
      <c r="AF5260">
        <v>-0.44071635027101302</v>
      </c>
      <c r="AG5260">
        <v>-8.2427E-2</v>
      </c>
      <c r="AH5260">
        <v>0.63454921664077901</v>
      </c>
      <c r="AI5260">
        <v>96.0898632583975</v>
      </c>
      <c r="AJ5260">
        <v>124.781313940544</v>
      </c>
      <c r="AK5260">
        <v>0.77696706498063905</v>
      </c>
    </row>
    <row r="5261" spans="1:37" x14ac:dyDescent="0.2">
      <c r="A5261" t="str">
        <f>"20200111153756764"</f>
        <v>20200111153756764</v>
      </c>
      <c r="B5261" t="str">
        <f>"1578728276758945"</f>
        <v>1578728276758945</v>
      </c>
      <c r="C5261" t="s">
        <v>37</v>
      </c>
      <c r="D5261">
        <v>4.7773629999999896</v>
      </c>
      <c r="E5261">
        <v>0.455497599999999</v>
      </c>
      <c r="F5261" t="s">
        <v>38</v>
      </c>
      <c r="G5261">
        <v>-301.83940000000001</v>
      </c>
      <c r="H5261">
        <v>1.0299929999999999</v>
      </c>
      <c r="I5261">
        <v>-43.191220000000001</v>
      </c>
      <c r="J5261">
        <v>-302.3372</v>
      </c>
      <c r="K5261">
        <v>1.107747</v>
      </c>
      <c r="L5261">
        <v>-42.565770000000001</v>
      </c>
      <c r="M5261">
        <v>0.1068875</v>
      </c>
      <c r="N5261">
        <v>0</v>
      </c>
      <c r="O5261">
        <v>-0.99420249999999999</v>
      </c>
      <c r="P5261">
        <v>0.451013</v>
      </c>
      <c r="Q5261">
        <v>2.8193389999999999E-2</v>
      </c>
      <c r="R5261">
        <v>-0.89207219999999998</v>
      </c>
      <c r="S5261">
        <v>1.6452639999999901</v>
      </c>
      <c r="T5261">
        <v>-0.2454181</v>
      </c>
      <c r="U5261">
        <v>-2.5404360000000001</v>
      </c>
      <c r="V5261">
        <v>-0.35336440000000002</v>
      </c>
      <c r="W5261">
        <v>3.6370189999999997E-2</v>
      </c>
      <c r="X5261">
        <v>0.93477849999999996</v>
      </c>
      <c r="Y5261">
        <v>-0.44891059999999999</v>
      </c>
      <c r="Z5261">
        <v>8.2410919999999999E-2</v>
      </c>
      <c r="AA5261">
        <v>0.88976840000000001</v>
      </c>
      <c r="AB5261">
        <v>24</v>
      </c>
      <c r="AC5261">
        <v>0.49779999999998298</v>
      </c>
      <c r="AD5261">
        <v>-7.7754000000000101E-2</v>
      </c>
      <c r="AE5261">
        <v>-0.62544999999999995</v>
      </c>
      <c r="AF5261">
        <v>-0.42407810556742098</v>
      </c>
      <c r="AG5261">
        <v>-7.7754000000000101E-2</v>
      </c>
      <c r="AH5261">
        <v>0.668751369408628</v>
      </c>
      <c r="AI5261">
        <v>95.607860969443905</v>
      </c>
      <c r="AJ5261">
        <v>122.38018101233401</v>
      </c>
      <c r="AK5261">
        <v>0.79568606763193295</v>
      </c>
    </row>
    <row r="5262" spans="1:37" x14ac:dyDescent="0.2">
      <c r="A5262" t="str">
        <f>"20200111153756787"</f>
        <v>20200111153756787</v>
      </c>
      <c r="B5262" t="str">
        <f>"1578728276778466"</f>
        <v>1578728276778466</v>
      </c>
      <c r="C5262" t="s">
        <v>37</v>
      </c>
      <c r="D5262">
        <v>4.8270819999999999</v>
      </c>
      <c r="E5262">
        <v>0.45562789999999997</v>
      </c>
      <c r="F5262" t="s">
        <v>38</v>
      </c>
      <c r="G5262">
        <v>-301.79610000000002</v>
      </c>
      <c r="H5262">
        <v>1.028443</v>
      </c>
      <c r="I5262">
        <v>-43.392309999999902</v>
      </c>
      <c r="J5262">
        <v>-302.30630000000002</v>
      </c>
      <c r="K5262">
        <v>1.107874</v>
      </c>
      <c r="L5262">
        <v>-42.7988</v>
      </c>
      <c r="M5262">
        <v>0.1120374</v>
      </c>
      <c r="N5262">
        <v>0</v>
      </c>
      <c r="O5262">
        <v>-0.99363519999999905</v>
      </c>
      <c r="P5262">
        <v>0.45763589999999998</v>
      </c>
      <c r="Q5262">
        <v>2.8671740000000001E-2</v>
      </c>
      <c r="R5262">
        <v>-0.88867759999999996</v>
      </c>
      <c r="S5262">
        <v>1.65814199999999</v>
      </c>
      <c r="T5262">
        <v>-0.24296889999999999</v>
      </c>
      <c r="U5262">
        <v>-2.5323180000000001</v>
      </c>
      <c r="V5262">
        <v>-0.35548990000000003</v>
      </c>
      <c r="W5262">
        <v>3.6729009999999999E-2</v>
      </c>
      <c r="X5262">
        <v>0.93395819999999996</v>
      </c>
      <c r="Y5262">
        <v>-0.44879459999999999</v>
      </c>
      <c r="Z5262">
        <v>8.1639699999999996E-2</v>
      </c>
      <c r="AA5262">
        <v>0.88989799999999997</v>
      </c>
      <c r="AB5262">
        <v>24</v>
      </c>
      <c r="AC5262">
        <v>0.51019999999999699</v>
      </c>
      <c r="AD5262">
        <v>-7.9431000000000002E-2</v>
      </c>
      <c r="AE5262">
        <v>-0.59350999999999399</v>
      </c>
      <c r="AF5262">
        <v>-0.43599675230816398</v>
      </c>
      <c r="AG5262">
        <v>-7.9431000000000002E-2</v>
      </c>
      <c r="AH5262">
        <v>0.64034267084341301</v>
      </c>
      <c r="AI5262">
        <v>95.854290350997204</v>
      </c>
      <c r="AJ5262">
        <v>124.250180134009</v>
      </c>
      <c r="AK5262">
        <v>0.77874333890386704</v>
      </c>
    </row>
    <row r="5263" spans="1:37" x14ac:dyDescent="0.2">
      <c r="A5263" t="str">
        <f>"20200111153756808"</f>
        <v>20200111153756808</v>
      </c>
      <c r="B5263" t="str">
        <f>"1578728276798962"</f>
        <v>1578728276798962</v>
      </c>
      <c r="C5263" t="s">
        <v>37</v>
      </c>
      <c r="D5263">
        <v>4.9566569999999999</v>
      </c>
      <c r="E5263">
        <v>0.45594449999999997</v>
      </c>
      <c r="F5263" t="s">
        <v>38</v>
      </c>
      <c r="G5263">
        <v>-301.77350000000001</v>
      </c>
      <c r="H5263">
        <v>1.030281</v>
      </c>
      <c r="I5263">
        <v>-43.600459999999998</v>
      </c>
      <c r="J5263">
        <v>-302.274</v>
      </c>
      <c r="K5263">
        <v>1.108004</v>
      </c>
      <c r="L5263">
        <v>-43.032170000000001</v>
      </c>
      <c r="M5263">
        <v>0.1174086</v>
      </c>
      <c r="N5263">
        <v>0</v>
      </c>
      <c r="O5263">
        <v>-0.99301479999999998</v>
      </c>
      <c r="P5263">
        <v>0.463721299999999</v>
      </c>
      <c r="Q5263">
        <v>2.8795149999999999E-2</v>
      </c>
      <c r="R5263">
        <v>-0.88551290000000005</v>
      </c>
      <c r="S5263">
        <v>1.6761470000000001</v>
      </c>
      <c r="T5263">
        <v>-0.243977</v>
      </c>
      <c r="U5263">
        <v>-2.520508</v>
      </c>
      <c r="V5263">
        <v>-0.35686030000000002</v>
      </c>
      <c r="W5263">
        <v>3.6734719999999998E-2</v>
      </c>
      <c r="X5263">
        <v>0.93343529999999997</v>
      </c>
      <c r="Y5263">
        <v>-0.4502794</v>
      </c>
      <c r="Z5263">
        <v>8.2035819999999995E-2</v>
      </c>
      <c r="AA5263">
        <v>0.88911109999999904</v>
      </c>
      <c r="AB5263">
        <v>24</v>
      </c>
      <c r="AC5263">
        <v>0.50049999999998795</v>
      </c>
      <c r="AD5263">
        <v>-7.7722999999999903E-2</v>
      </c>
      <c r="AE5263">
        <v>-0.56828999999999696</v>
      </c>
      <c r="AF5263">
        <v>-0.42582549236676998</v>
      </c>
      <c r="AG5263">
        <v>-7.7722999999999903E-2</v>
      </c>
      <c r="AH5263">
        <v>0.61663032265553197</v>
      </c>
      <c r="AI5263">
        <v>95.921393496786706</v>
      </c>
      <c r="AJ5263">
        <v>124.627737353109</v>
      </c>
      <c r="AK5263">
        <v>0.75339310422691597</v>
      </c>
    </row>
    <row r="5264" spans="1:37" x14ac:dyDescent="0.2">
      <c r="A5264" t="str">
        <f>"20200111153756832"</f>
        <v>20200111153756832</v>
      </c>
      <c r="B5264" t="str">
        <f>"1578728276818482"</f>
        <v>1578728276818482</v>
      </c>
      <c r="C5264" t="s">
        <v>37</v>
      </c>
      <c r="D5264">
        <v>4.8927329999999998</v>
      </c>
      <c r="E5264">
        <v>0.45622770000000001</v>
      </c>
      <c r="F5264" t="s">
        <v>38</v>
      </c>
      <c r="G5264">
        <v>-301.75009999999997</v>
      </c>
      <c r="H5264">
        <v>1.0318959999999999</v>
      </c>
      <c r="I5264">
        <v>-43.80959</v>
      </c>
      <c r="J5264">
        <v>-302.2407</v>
      </c>
      <c r="K5264">
        <v>1.108136</v>
      </c>
      <c r="L5264">
        <v>-43.261870000000002</v>
      </c>
      <c r="M5264">
        <v>0.122906</v>
      </c>
      <c r="N5264">
        <v>0</v>
      </c>
      <c r="O5264">
        <v>-0.99234909999999998</v>
      </c>
      <c r="P5264">
        <v>0.47011059999999999</v>
      </c>
      <c r="Q5264">
        <v>2.861261E-2</v>
      </c>
      <c r="R5264">
        <v>-0.88214369999999998</v>
      </c>
      <c r="S5264">
        <v>1.6916199999999999</v>
      </c>
      <c r="T5264">
        <v>-0.24572729999999901</v>
      </c>
      <c r="U5264">
        <v>-2.509979</v>
      </c>
      <c r="V5264">
        <v>-0.35844920000000002</v>
      </c>
      <c r="W5264">
        <v>3.6424030000000003E-2</v>
      </c>
      <c r="X5264">
        <v>0.93283839999999996</v>
      </c>
      <c r="Y5264">
        <v>-0.45080699999999901</v>
      </c>
      <c r="Z5264">
        <v>8.2679959999999997E-2</v>
      </c>
      <c r="AA5264">
        <v>0.88878409999999997</v>
      </c>
      <c r="AB5264">
        <v>24</v>
      </c>
      <c r="AC5264">
        <v>0.49060000000002901</v>
      </c>
      <c r="AD5264">
        <v>-7.6240000000000002E-2</v>
      </c>
      <c r="AE5264">
        <v>-0.54771999999999799</v>
      </c>
      <c r="AF5264">
        <v>-0.41509481614957999</v>
      </c>
      <c r="AG5264">
        <v>-7.6240000000000002E-2</v>
      </c>
      <c r="AH5264">
        <v>0.59744588474898497</v>
      </c>
      <c r="AI5264">
        <v>95.9826642019178</v>
      </c>
      <c r="AJ5264">
        <v>124.790888310466</v>
      </c>
      <c r="AK5264">
        <v>0.73147647207394895</v>
      </c>
    </row>
    <row r="5265" spans="1:37" x14ac:dyDescent="0.2">
      <c r="A5265" t="str">
        <f>"20200111153756854"</f>
        <v>20200111153756854</v>
      </c>
      <c r="B5265" t="str">
        <f>"1578728276848738"</f>
        <v>1578728276848738</v>
      </c>
      <c r="C5265" t="s">
        <v>37</v>
      </c>
      <c r="D5265">
        <v>4.8704650000000003</v>
      </c>
      <c r="E5265">
        <v>0.45654879999999998</v>
      </c>
      <c r="F5265" t="s">
        <v>38</v>
      </c>
      <c r="G5265">
        <v>-301.71440000000001</v>
      </c>
      <c r="H5265">
        <v>1.031763</v>
      </c>
      <c r="I5265">
        <v>-44.031849999999999</v>
      </c>
      <c r="J5265">
        <v>-302.20359999999999</v>
      </c>
      <c r="K5265">
        <v>1.108295</v>
      </c>
      <c r="L5265">
        <v>-43.505650000000003</v>
      </c>
      <c r="M5265">
        <v>0.1289788</v>
      </c>
      <c r="N5265">
        <v>0</v>
      </c>
      <c r="O5265">
        <v>-0.99157799999999996</v>
      </c>
      <c r="P5265">
        <v>0.47733399999999998</v>
      </c>
      <c r="Q5265">
        <v>2.7982079999999999E-2</v>
      </c>
      <c r="R5265">
        <v>-0.87827679999999997</v>
      </c>
      <c r="S5265">
        <v>1.708405</v>
      </c>
      <c r="T5265">
        <v>-0.24783229999999901</v>
      </c>
      <c r="U5265">
        <v>-2.498383</v>
      </c>
      <c r="V5265">
        <v>-0.36039979999999999</v>
      </c>
      <c r="W5265">
        <v>3.5642050000000002E-2</v>
      </c>
      <c r="X5265">
        <v>0.93211669999999902</v>
      </c>
      <c r="Y5265">
        <v>-0.45130229999999999</v>
      </c>
      <c r="Z5265">
        <v>8.3446950000000006E-2</v>
      </c>
      <c r="AA5265">
        <v>0.8884609</v>
      </c>
      <c r="AB5265">
        <v>24</v>
      </c>
      <c r="AC5265">
        <v>0.48919999999998198</v>
      </c>
      <c r="AD5265">
        <v>-7.6532000000000003E-2</v>
      </c>
      <c r="AE5265">
        <v>-0.52619999999999501</v>
      </c>
      <c r="AF5265">
        <v>-0.412558869234189</v>
      </c>
      <c r="AG5265">
        <v>-7.6532000000000003E-2</v>
      </c>
      <c r="AH5265">
        <v>0.57834277662345701</v>
      </c>
      <c r="AI5265">
        <v>96.148706041005596</v>
      </c>
      <c r="AJ5265">
        <v>125.502033859381</v>
      </c>
      <c r="AK5265">
        <v>0.71452245232765299</v>
      </c>
    </row>
    <row r="5266" spans="1:37" x14ac:dyDescent="0.2">
      <c r="A5266" t="str">
        <f>"20200111153756879"</f>
        <v>20200111153756879</v>
      </c>
      <c r="B5266" t="str">
        <f>"1578728276868257"</f>
        <v>1578728276868257</v>
      </c>
      <c r="C5266" t="s">
        <v>37</v>
      </c>
      <c r="D5266">
        <v>4.8863620000000001</v>
      </c>
      <c r="E5266">
        <v>0.4566501</v>
      </c>
      <c r="F5266" t="s">
        <v>38</v>
      </c>
      <c r="G5266">
        <v>-301.66109999999998</v>
      </c>
      <c r="H5266">
        <v>1.0291569999999901</v>
      </c>
      <c r="I5266">
        <v>-44.286099999999998</v>
      </c>
      <c r="J5266">
        <v>-302.16230000000002</v>
      </c>
      <c r="K5266">
        <v>1.108473</v>
      </c>
      <c r="L5266">
        <v>-43.764530000000001</v>
      </c>
      <c r="M5266">
        <v>0.13570940000000001</v>
      </c>
      <c r="N5266">
        <v>0</v>
      </c>
      <c r="O5266">
        <v>-0.99067899999999998</v>
      </c>
      <c r="P5266">
        <v>0.48552609999999902</v>
      </c>
      <c r="Q5266">
        <v>2.8009510000000001E-2</v>
      </c>
      <c r="R5266">
        <v>-0.87377349999999998</v>
      </c>
      <c r="S5266">
        <v>1.7269589999999999</v>
      </c>
      <c r="T5266">
        <v>-0.2519903</v>
      </c>
      <c r="U5266">
        <v>-2.4852289999999999</v>
      </c>
      <c r="V5266">
        <v>-0.36280289999999998</v>
      </c>
      <c r="W5266">
        <v>3.5494329999999998E-2</v>
      </c>
      <c r="X5266">
        <v>0.93118969999999901</v>
      </c>
      <c r="Y5266">
        <v>-0.45185449999999999</v>
      </c>
      <c r="Z5266">
        <v>8.4908919999999999E-2</v>
      </c>
      <c r="AA5266">
        <v>0.88804169999999905</v>
      </c>
      <c r="AB5266">
        <v>24</v>
      </c>
      <c r="AC5266">
        <v>0.50120000000003895</v>
      </c>
      <c r="AD5266">
        <v>-7.9316000000000095E-2</v>
      </c>
      <c r="AE5266">
        <v>-0.52156999999999698</v>
      </c>
      <c r="AF5266">
        <v>-0.42071735142719002</v>
      </c>
      <c r="AG5266">
        <v>-7.9316000000000095E-2</v>
      </c>
      <c r="AH5266">
        <v>0.577819082566291</v>
      </c>
      <c r="AI5266">
        <v>96.332156343729196</v>
      </c>
      <c r="AJ5266">
        <v>126.058834452903</v>
      </c>
      <c r="AK5266">
        <v>0.71914463762560299</v>
      </c>
    </row>
    <row r="5267" spans="1:37" x14ac:dyDescent="0.2">
      <c r="A5267" t="str">
        <f>"20200111153756904"</f>
        <v>20200111153756904</v>
      </c>
      <c r="B5267" t="str">
        <f>"1578728276898514"</f>
        <v>1578728276898514</v>
      </c>
      <c r="C5267" t="s">
        <v>37</v>
      </c>
      <c r="D5267">
        <v>5.0233930000000004</v>
      </c>
      <c r="E5267">
        <v>0.35217029999999999</v>
      </c>
      <c r="F5267" t="s">
        <v>38</v>
      </c>
      <c r="G5267">
        <v>-301.56349999999998</v>
      </c>
      <c r="H5267">
        <v>1.0218389999999999</v>
      </c>
      <c r="I5267">
        <v>-44.609400000000001</v>
      </c>
      <c r="J5267">
        <v>-302.12419999999997</v>
      </c>
      <c r="K5267">
        <v>1.1086389999999999</v>
      </c>
      <c r="L5267">
        <v>-43.991120000000002</v>
      </c>
      <c r="M5267">
        <v>0.1418904</v>
      </c>
      <c r="N5267">
        <v>0</v>
      </c>
      <c r="O5267">
        <v>-0.98981229999999998</v>
      </c>
      <c r="P5267">
        <v>0.49353989999999998</v>
      </c>
      <c r="Q5267">
        <v>2.8544839999999998E-2</v>
      </c>
      <c r="R5267">
        <v>-0.86925459999999999</v>
      </c>
      <c r="S5267">
        <v>1.74981699999999</v>
      </c>
      <c r="T5267">
        <v>-0.25318590000000002</v>
      </c>
      <c r="U5267">
        <v>-2.4691770000000002</v>
      </c>
      <c r="V5267">
        <v>-0.36557469999999997</v>
      </c>
      <c r="W5267">
        <v>3.5860780000000002E-2</v>
      </c>
      <c r="X5267">
        <v>0.93009089999999905</v>
      </c>
      <c r="Y5267">
        <v>-0.45446320000000001</v>
      </c>
      <c r="Z5267">
        <v>8.5379090000000005E-2</v>
      </c>
      <c r="AA5267">
        <v>0.88666429999999996</v>
      </c>
      <c r="AB5267">
        <v>24</v>
      </c>
      <c r="AC5267">
        <v>0.56069999999999698</v>
      </c>
      <c r="AD5267">
        <v>-8.6799999999999905E-2</v>
      </c>
      <c r="AE5267">
        <v>-0.61827999999999805</v>
      </c>
      <c r="AF5267">
        <v>-0.46229253316799102</v>
      </c>
      <c r="AG5267">
        <v>-8.6799999999999905E-2</v>
      </c>
      <c r="AH5267">
        <v>0.68418765712848395</v>
      </c>
      <c r="AI5267">
        <v>96.000855414162601</v>
      </c>
      <c r="AJ5267">
        <v>124.046142935951</v>
      </c>
      <c r="AK5267">
        <v>0.830277891064096</v>
      </c>
    </row>
    <row r="5268" spans="1:37" x14ac:dyDescent="0.2">
      <c r="A5268" t="str">
        <f>"20200111153756923"</f>
        <v>20200111153756923</v>
      </c>
      <c r="B5268" t="str">
        <f>"1578728276919010"</f>
        <v>1578728276919010</v>
      </c>
      <c r="C5268" t="s">
        <v>37</v>
      </c>
      <c r="D5268">
        <v>5.0798069999999997</v>
      </c>
      <c r="E5268">
        <v>0.3335941</v>
      </c>
      <c r="F5268" t="s">
        <v>53</v>
      </c>
      <c r="G5268">
        <v>-288.30470000000003</v>
      </c>
      <c r="H5268" s="1">
        <v>-2.9901130000000001E-6</v>
      </c>
      <c r="I5268">
        <v>-55.263849999999998</v>
      </c>
      <c r="J5268">
        <v>-302.08589999999998</v>
      </c>
      <c r="K5268">
        <v>1.108789</v>
      </c>
      <c r="L5268">
        <v>-44.209629999999997</v>
      </c>
      <c r="M5268">
        <v>0.1480525</v>
      </c>
      <c r="N5268">
        <v>0</v>
      </c>
      <c r="O5268">
        <v>-0.98890919999999904</v>
      </c>
      <c r="P5268">
        <v>0.50149880000000002</v>
      </c>
      <c r="Q5268">
        <v>2.8781910000000001E-2</v>
      </c>
      <c r="R5268">
        <v>-0.8646798</v>
      </c>
      <c r="S5268">
        <v>2.4993590000000001</v>
      </c>
      <c r="T5268">
        <v>-0.20050599999999999</v>
      </c>
      <c r="U5268">
        <v>-2.0387569999999999</v>
      </c>
      <c r="V5268">
        <v>-0.36833539999999998</v>
      </c>
      <c r="W5268">
        <v>3.5945599999999897E-2</v>
      </c>
      <c r="X5268">
        <v>0.92899779999999998</v>
      </c>
      <c r="Y5268">
        <v>-0.67114399999999996</v>
      </c>
      <c r="Z5268">
        <v>6.4908999999999994E-2</v>
      </c>
      <c r="AA5268">
        <v>0.73847989999999997</v>
      </c>
      <c r="AB5268">
        <v>24</v>
      </c>
      <c r="AC5268">
        <v>13.781199999999901</v>
      </c>
      <c r="AD5268">
        <v>-1.1087919901129999</v>
      </c>
      <c r="AE5268">
        <v>-11.054220000000001</v>
      </c>
      <c r="AF5268">
        <v>-11.9455313241473</v>
      </c>
      <c r="AG5268">
        <v>-1.1087919901129999</v>
      </c>
      <c r="AH5268">
        <v>12.921963754916399</v>
      </c>
      <c r="AI5268">
        <v>93.605349713815002</v>
      </c>
      <c r="AJ5268">
        <v>132.751412760736</v>
      </c>
      <c r="AK5268">
        <v>17.632421432602399</v>
      </c>
    </row>
    <row r="5269" spans="1:37" x14ac:dyDescent="0.2">
      <c r="A5269" t="str">
        <f>"20200111153756946"</f>
        <v>20200111153756946</v>
      </c>
      <c r="B5269" t="str">
        <f>"1578728276938530"</f>
        <v>1578728276938530</v>
      </c>
      <c r="C5269" t="s">
        <v>37</v>
      </c>
      <c r="D5269">
        <v>5.0408860000000004</v>
      </c>
      <c r="E5269">
        <v>0.32940419999999998</v>
      </c>
      <c r="F5269" t="s">
        <v>39</v>
      </c>
      <c r="G5269">
        <v>-279.16309999999999</v>
      </c>
      <c r="H5269" s="1">
        <v>-3.2188130000000001E-6</v>
      </c>
      <c r="I5269">
        <v>-60.984340000000003</v>
      </c>
      <c r="J5269">
        <v>-302.04239999999999</v>
      </c>
      <c r="K5269">
        <v>1.1089359999999999</v>
      </c>
      <c r="L5269">
        <v>-44.447049999999997</v>
      </c>
      <c r="M5269">
        <v>0.1549884</v>
      </c>
      <c r="N5269">
        <v>0</v>
      </c>
      <c r="O5269">
        <v>-0.98784570000000005</v>
      </c>
      <c r="P5269">
        <v>0.50959579999999904</v>
      </c>
      <c r="Q5269">
        <v>2.944157E-2</v>
      </c>
      <c r="R5269">
        <v>-0.85991039999999996</v>
      </c>
      <c r="S5269">
        <v>2.6481020000000002</v>
      </c>
      <c r="T5269">
        <v>-0.12809100000000001</v>
      </c>
      <c r="U5269">
        <v>-1.9378660000000001</v>
      </c>
      <c r="V5269">
        <v>-0.37056319999999998</v>
      </c>
      <c r="W5269">
        <v>3.6457389999999999E-2</v>
      </c>
      <c r="X5269">
        <v>0.92809149999999996</v>
      </c>
      <c r="Y5269">
        <v>-0.70503490000000002</v>
      </c>
      <c r="Z5269">
        <v>4.1030179999999999E-2</v>
      </c>
      <c r="AA5269">
        <v>0.70798470000000002</v>
      </c>
      <c r="AB5269">
        <v>24</v>
      </c>
      <c r="AC5269">
        <v>22.879300000000001</v>
      </c>
      <c r="AD5269">
        <v>-1.1089392188130001</v>
      </c>
      <c r="AE5269">
        <v>-16.537289999999999</v>
      </c>
      <c r="AF5269">
        <v>-20.008652615511501</v>
      </c>
      <c r="AG5269">
        <v>-1.1089392188130001</v>
      </c>
      <c r="AH5269">
        <v>19.853068736389101</v>
      </c>
      <c r="AI5269">
        <v>92.253004677175298</v>
      </c>
      <c r="AJ5269">
        <v>135.22362943859201</v>
      </c>
      <c r="AK5269">
        <v>28.2085140326644</v>
      </c>
    </row>
    <row r="5270" spans="1:37" x14ac:dyDescent="0.2">
      <c r="A5270" t="str">
        <f>"20200111153756965"</f>
        <v>20200111153756965</v>
      </c>
      <c r="B5270" t="str">
        <f>"1578728276959025"</f>
        <v>1578728276959025</v>
      </c>
      <c r="C5270" t="s">
        <v>37</v>
      </c>
      <c r="D5270">
        <v>4.9694330000000004</v>
      </c>
      <c r="E5270">
        <v>0.32991540000000003</v>
      </c>
      <c r="F5270" t="s">
        <v>39</v>
      </c>
      <c r="G5270">
        <v>-277.70650000000001</v>
      </c>
      <c r="H5270" s="1">
        <v>-2.723331E-6</v>
      </c>
      <c r="I5270">
        <v>-61.566249999999997</v>
      </c>
      <c r="J5270">
        <v>-302.00400000000002</v>
      </c>
      <c r="K5270">
        <v>1.109067</v>
      </c>
      <c r="L5270">
        <v>-44.647739999999999</v>
      </c>
      <c r="M5270">
        <v>0.1610452</v>
      </c>
      <c r="N5270">
        <v>0</v>
      </c>
      <c r="O5270">
        <v>-0.98687599999999998</v>
      </c>
      <c r="P5270">
        <v>0.5163584</v>
      </c>
      <c r="Q5270">
        <v>3.0161199999999999E-2</v>
      </c>
      <c r="R5270">
        <v>-0.85584150000000003</v>
      </c>
      <c r="S5270">
        <v>2.6950379999999998</v>
      </c>
      <c r="T5270">
        <v>-0.122807999999999</v>
      </c>
      <c r="U5270">
        <v>-1.8958439999999901</v>
      </c>
      <c r="V5270">
        <v>-0.37220910000000001</v>
      </c>
      <c r="W5270">
        <v>3.705638E-2</v>
      </c>
      <c r="X5270">
        <v>0.92740889999999998</v>
      </c>
      <c r="Y5270">
        <v>-0.71393300000000004</v>
      </c>
      <c r="Z5270">
        <v>3.9279130000000002E-2</v>
      </c>
      <c r="AA5270">
        <v>0.6991115</v>
      </c>
      <c r="AB5270">
        <v>24</v>
      </c>
      <c r="AC5270">
        <v>24.297499999999999</v>
      </c>
      <c r="AD5270">
        <v>-1.1090697233310001</v>
      </c>
      <c r="AE5270">
        <v>-16.918509999999898</v>
      </c>
      <c r="AF5270">
        <v>-21.2256813936912</v>
      </c>
      <c r="AG5270">
        <v>-1.1090697233310001</v>
      </c>
      <c r="AH5270">
        <v>20.5820318035538</v>
      </c>
      <c r="AI5270">
        <v>92.148251019984201</v>
      </c>
      <c r="AJ5270">
        <v>135.88202604129</v>
      </c>
      <c r="AK5270">
        <v>29.586814959373399</v>
      </c>
    </row>
    <row r="5271" spans="1:37" x14ac:dyDescent="0.2">
      <c r="A5271" t="str">
        <f>"20200111153756987"</f>
        <v>20200111153756987</v>
      </c>
      <c r="B5271" t="str">
        <f>"1578728276978546"</f>
        <v>1578728276978546</v>
      </c>
      <c r="C5271" t="s">
        <v>37</v>
      </c>
      <c r="D5271">
        <v>4.9855210000000003</v>
      </c>
      <c r="E5271">
        <v>0.33120850000000002</v>
      </c>
      <c r="F5271" t="s">
        <v>53</v>
      </c>
      <c r="G5271">
        <v>-280.87020000000001</v>
      </c>
      <c r="H5271" s="1">
        <v>-5.9270500000000003E-6</v>
      </c>
      <c r="I5271">
        <v>-59.315219999999997</v>
      </c>
      <c r="J5271">
        <v>-301.95999999999998</v>
      </c>
      <c r="K5271">
        <v>1.109221</v>
      </c>
      <c r="L5271">
        <v>-44.869630000000001</v>
      </c>
      <c r="M5271">
        <v>0.16796449999999999</v>
      </c>
      <c r="N5271">
        <v>0</v>
      </c>
      <c r="O5271">
        <v>-0.98572159999999998</v>
      </c>
      <c r="P5271">
        <v>0.52425519999999903</v>
      </c>
      <c r="Q5271">
        <v>3.1637159999999998E-2</v>
      </c>
      <c r="R5271">
        <v>-0.85097350000000005</v>
      </c>
      <c r="S5271">
        <v>2.7057500000000001</v>
      </c>
      <c r="T5271">
        <v>-0.14199400000000001</v>
      </c>
      <c r="U5271">
        <v>-1.87786899999999</v>
      </c>
      <c r="V5271">
        <v>-0.3743225</v>
      </c>
      <c r="W5271">
        <v>3.8389609999999998E-2</v>
      </c>
      <c r="X5271">
        <v>0.92650359999999998</v>
      </c>
      <c r="Y5271">
        <v>-0.71323899999999996</v>
      </c>
      <c r="Z5271">
        <v>4.5498089999999998E-2</v>
      </c>
      <c r="AA5271">
        <v>0.69944269999999997</v>
      </c>
      <c r="AB5271">
        <v>24</v>
      </c>
      <c r="AC5271">
        <v>21.089799999999901</v>
      </c>
      <c r="AD5271">
        <v>-1.1092269270499999</v>
      </c>
      <c r="AE5271">
        <v>-14.4455899999999</v>
      </c>
      <c r="AF5271">
        <v>-18.329106718992101</v>
      </c>
      <c r="AG5271">
        <v>-1.1092269270499999</v>
      </c>
      <c r="AH5271">
        <v>17.749499859268202</v>
      </c>
      <c r="AI5271">
        <v>92.489309302953501</v>
      </c>
      <c r="AJ5271">
        <v>135.920383947223</v>
      </c>
      <c r="AK5271">
        <v>25.538819133743299</v>
      </c>
    </row>
    <row r="5272" spans="1:37" x14ac:dyDescent="0.2">
      <c r="A5272" t="str">
        <f>"20200111153757009"</f>
        <v>20200111153757009</v>
      </c>
      <c r="B5272" t="str">
        <f>"1578728276999041"</f>
        <v>1578728276999041</v>
      </c>
      <c r="C5272" t="s">
        <v>37</v>
      </c>
      <c r="D5272">
        <v>5.0040909999999998</v>
      </c>
      <c r="E5272">
        <v>0.33210809999999902</v>
      </c>
      <c r="F5272" t="s">
        <v>53</v>
      </c>
      <c r="G5272">
        <v>-283.46190000000001</v>
      </c>
      <c r="H5272" s="1">
        <v>-5.0344630000000003E-6</v>
      </c>
      <c r="I5272">
        <v>-57.54759</v>
      </c>
      <c r="J5272">
        <v>-301.91309999999999</v>
      </c>
      <c r="K5272">
        <v>1.1093839999999999</v>
      </c>
      <c r="L5272">
        <v>-45.095120000000001</v>
      </c>
      <c r="M5272">
        <v>0.17523339999999901</v>
      </c>
      <c r="N5272">
        <v>0</v>
      </c>
      <c r="O5272">
        <v>-0.98445499999999997</v>
      </c>
      <c r="P5272">
        <v>0.53256689999999995</v>
      </c>
      <c r="Q5272">
        <v>3.2949760000000002E-2</v>
      </c>
      <c r="R5272">
        <v>-0.84574640000000001</v>
      </c>
      <c r="S5272">
        <v>2.7135009999999999</v>
      </c>
      <c r="T5272">
        <v>-0.16271329999999901</v>
      </c>
      <c r="U5272">
        <v>-1.8597410000000001</v>
      </c>
      <c r="V5272">
        <v>-0.3766022</v>
      </c>
      <c r="W5272">
        <v>3.9546020000000001E-2</v>
      </c>
      <c r="X5272">
        <v>0.92553059999999998</v>
      </c>
      <c r="Y5272">
        <v>-0.71190739999999997</v>
      </c>
      <c r="Z5272">
        <v>5.2263599999999903E-2</v>
      </c>
      <c r="AA5272">
        <v>0.70032589999999995</v>
      </c>
      <c r="AB5272">
        <v>24</v>
      </c>
      <c r="AC5272">
        <v>18.451199999999901</v>
      </c>
      <c r="AD5272">
        <v>-1.109389034463</v>
      </c>
      <c r="AE5272">
        <v>-12.4524699999999</v>
      </c>
      <c r="AF5272">
        <v>-15.9438181006707</v>
      </c>
      <c r="AG5272">
        <v>-1.109389034463</v>
      </c>
      <c r="AH5272">
        <v>15.4548732541231</v>
      </c>
      <c r="AI5272">
        <v>92.860199576416207</v>
      </c>
      <c r="AJ5272">
        <v>135.892145844867</v>
      </c>
      <c r="AK5272">
        <v>22.232615387265501</v>
      </c>
    </row>
    <row r="5273" spans="1:37" x14ac:dyDescent="0.2">
      <c r="A5273" t="str">
        <f>"20200111153757032"</f>
        <v>20200111153757032</v>
      </c>
      <c r="B5273" t="str">
        <f>"1578728277028322"</f>
        <v>1578728277028322</v>
      </c>
      <c r="C5273" t="s">
        <v>37</v>
      </c>
      <c r="D5273">
        <v>5.0377000000000001</v>
      </c>
      <c r="E5273">
        <v>0.33384540000000001</v>
      </c>
      <c r="F5273" t="s">
        <v>53</v>
      </c>
      <c r="G5273">
        <v>-284.69580000000002</v>
      </c>
      <c r="H5273" s="1">
        <v>-4.608914E-6</v>
      </c>
      <c r="I5273">
        <v>-56.709150000000001</v>
      </c>
      <c r="J5273">
        <v>-301.86369999999999</v>
      </c>
      <c r="K5273">
        <v>1.1095619999999999</v>
      </c>
      <c r="L5273">
        <v>-45.32367</v>
      </c>
      <c r="M5273">
        <v>0.18284510000000001</v>
      </c>
      <c r="N5273">
        <v>0</v>
      </c>
      <c r="O5273">
        <v>-0.98306939999999998</v>
      </c>
      <c r="P5273">
        <v>0.54141269999999997</v>
      </c>
      <c r="Q5273">
        <v>3.4157479999999997E-2</v>
      </c>
      <c r="R5273">
        <v>-0.840062999999999</v>
      </c>
      <c r="S5273">
        <v>2.7249150000000002</v>
      </c>
      <c r="T5273">
        <v>-0.1755784</v>
      </c>
      <c r="U5273">
        <v>-1.838104</v>
      </c>
      <c r="V5273">
        <v>-0.37919269999999999</v>
      </c>
      <c r="W5273">
        <v>4.0582300000000002E-2</v>
      </c>
      <c r="X5273">
        <v>0.92442739999999901</v>
      </c>
      <c r="Y5273">
        <v>-0.71146849999999995</v>
      </c>
      <c r="Z5273">
        <v>5.6524940000000003E-2</v>
      </c>
      <c r="AA5273">
        <v>0.70044090000000003</v>
      </c>
      <c r="AB5273">
        <v>24</v>
      </c>
      <c r="AC5273">
        <v>17.1678999999999</v>
      </c>
      <c r="AD5273">
        <v>-1.1095666089139999</v>
      </c>
      <c r="AE5273">
        <v>-11.385479999999999</v>
      </c>
      <c r="AF5273">
        <v>-14.753707841325999</v>
      </c>
      <c r="AG5273">
        <v>-1.1095666089139999</v>
      </c>
      <c r="AH5273">
        <v>14.291341707733601</v>
      </c>
      <c r="AI5273">
        <v>93.092017751494694</v>
      </c>
      <c r="AJ5273">
        <v>135.912010515644</v>
      </c>
      <c r="AK5273">
        <v>20.570500259692899</v>
      </c>
    </row>
    <row r="5274" spans="1:37" x14ac:dyDescent="0.2">
      <c r="A5274" t="str">
        <f>"20200111153757054"</f>
        <v>20200111153757054</v>
      </c>
      <c r="B5274" t="str">
        <f>"1578728277048817"</f>
        <v>1578728277048817</v>
      </c>
      <c r="C5274" t="s">
        <v>37</v>
      </c>
      <c r="D5274">
        <v>5.0245739999999897</v>
      </c>
      <c r="E5274">
        <v>0.334866099999999</v>
      </c>
      <c r="F5274" t="s">
        <v>53</v>
      </c>
      <c r="G5274">
        <v>-286.0018</v>
      </c>
      <c r="H5274" s="1">
        <v>-4.1089440000000001E-6</v>
      </c>
      <c r="I5274">
        <v>-55.880989999999997</v>
      </c>
      <c r="J5274">
        <v>-301.81009999999998</v>
      </c>
      <c r="K5274">
        <v>1.1097379999999999</v>
      </c>
      <c r="L5274">
        <v>-45.561459999999997</v>
      </c>
      <c r="M5274">
        <v>0.19103149999999999</v>
      </c>
      <c r="N5274">
        <v>0</v>
      </c>
      <c r="O5274">
        <v>-0.98151109999999897</v>
      </c>
      <c r="P5274">
        <v>0.55085930000000005</v>
      </c>
      <c r="Q5274">
        <v>3.4326280000000001E-2</v>
      </c>
      <c r="R5274">
        <v>-0.83389210000000002</v>
      </c>
      <c r="S5274">
        <v>2.73187299999999</v>
      </c>
      <c r="T5274">
        <v>-0.19109849999999901</v>
      </c>
      <c r="U5274">
        <v>-1.818268</v>
      </c>
      <c r="V5274">
        <v>-0.38194279999999903</v>
      </c>
      <c r="W5274">
        <v>4.0567529999999997E-2</v>
      </c>
      <c r="X5274">
        <v>0.92329519999999998</v>
      </c>
      <c r="Y5274">
        <v>-0.70970829999999996</v>
      </c>
      <c r="Z5274">
        <v>6.1697519999999999E-2</v>
      </c>
      <c r="AA5274">
        <v>0.70178879999999999</v>
      </c>
      <c r="AB5274">
        <v>24</v>
      </c>
      <c r="AC5274">
        <v>15.8082999999999</v>
      </c>
      <c r="AD5274">
        <v>-1.1097421089439901</v>
      </c>
      <c r="AE5274">
        <v>-10.31953</v>
      </c>
      <c r="AF5274">
        <v>-13.498988752652901</v>
      </c>
      <c r="AG5274">
        <v>-1.1097421089439901</v>
      </c>
      <c r="AH5274">
        <v>13.104274263725801</v>
      </c>
      <c r="AI5274">
        <v>93.375779320521204</v>
      </c>
      <c r="AJ5274">
        <v>135.85003914820501</v>
      </c>
      <c r="AK5274">
        <v>18.846119729842499</v>
      </c>
    </row>
    <row r="5275" spans="1:37" x14ac:dyDescent="0.2">
      <c r="A5275" t="str">
        <f>"20200111153757077"</f>
        <v>20200111153757077</v>
      </c>
      <c r="B5275" t="str">
        <f>"1578728277068338"</f>
        <v>1578728277068338</v>
      </c>
      <c r="C5275" t="s">
        <v>37</v>
      </c>
      <c r="D5275">
        <v>5.0619620000000003</v>
      </c>
      <c r="E5275">
        <v>0.33572059999999998</v>
      </c>
      <c r="F5275" t="s">
        <v>53</v>
      </c>
      <c r="G5275">
        <v>-286.73110000000003</v>
      </c>
      <c r="H5275" s="1">
        <v>-3.8262120000000002E-6</v>
      </c>
      <c r="I5275">
        <v>-55.407640000000001</v>
      </c>
      <c r="J5275">
        <v>-301.75779999999997</v>
      </c>
      <c r="K5275">
        <v>1.1099030000000001</v>
      </c>
      <c r="L5275">
        <v>-45.783450000000002</v>
      </c>
      <c r="M5275">
        <v>0.1989341</v>
      </c>
      <c r="N5275">
        <v>0</v>
      </c>
      <c r="O5275">
        <v>-0.97993969999999897</v>
      </c>
      <c r="P5275">
        <v>0.55958350000000001</v>
      </c>
      <c r="Q5275">
        <v>3.3343320000000003E-2</v>
      </c>
      <c r="R5275">
        <v>-0.82810319999999904</v>
      </c>
      <c r="S5275">
        <v>2.7451479999999999</v>
      </c>
      <c r="T5275">
        <v>-0.20202999999999999</v>
      </c>
      <c r="U5275">
        <v>-1.792511</v>
      </c>
      <c r="V5275">
        <v>-0.38419199999999998</v>
      </c>
      <c r="W5275">
        <v>3.9415939999999997E-2</v>
      </c>
      <c r="X5275">
        <v>0.92241149999999905</v>
      </c>
      <c r="Y5275">
        <v>-0.71001239999999999</v>
      </c>
      <c r="Z5275">
        <v>6.5385970000000002E-2</v>
      </c>
      <c r="AA5275">
        <v>0.70114699999999996</v>
      </c>
      <c r="AB5275">
        <v>24</v>
      </c>
      <c r="AC5275">
        <v>15.0266999999999</v>
      </c>
      <c r="AD5275">
        <v>-1.109906826212</v>
      </c>
      <c r="AE5275">
        <v>-9.6241899999999898</v>
      </c>
      <c r="AF5275">
        <v>-12.762225943779301</v>
      </c>
      <c r="AG5275">
        <v>-1.109906826212</v>
      </c>
      <c r="AH5275">
        <v>12.373470520023901</v>
      </c>
      <c r="AI5275">
        <v>93.572875249833999</v>
      </c>
      <c r="AJ5275">
        <v>135.88608124730399</v>
      </c>
      <c r="AK5275">
        <v>17.810364311626198</v>
      </c>
    </row>
    <row r="5276" spans="1:37" x14ac:dyDescent="0.2">
      <c r="A5276" t="str">
        <f>"20200111153757098"</f>
        <v>20200111153757098</v>
      </c>
      <c r="B5276" t="str">
        <f>"1578728277088833"</f>
        <v>1578728277088833</v>
      </c>
      <c r="C5276" t="s">
        <v>37</v>
      </c>
      <c r="D5276">
        <v>5.0470790000000001</v>
      </c>
      <c r="E5276">
        <v>0.33656619999999998</v>
      </c>
      <c r="F5276" t="s">
        <v>53</v>
      </c>
      <c r="G5276">
        <v>-287.32490000000001</v>
      </c>
      <c r="H5276" s="1">
        <v>-3.5937999999999998E-6</v>
      </c>
      <c r="I5276">
        <v>-55.03463</v>
      </c>
      <c r="J5276">
        <v>-301.70350000000002</v>
      </c>
      <c r="K5276">
        <v>1.1100669999999999</v>
      </c>
      <c r="L5276">
        <v>-46.004849999999998</v>
      </c>
      <c r="M5276">
        <v>0.20707139999999999</v>
      </c>
      <c r="N5276">
        <v>0</v>
      </c>
      <c r="O5276">
        <v>-0.97825209999999996</v>
      </c>
      <c r="P5276">
        <v>0.56826309999999902</v>
      </c>
      <c r="Q5276">
        <v>3.2514719999999997E-2</v>
      </c>
      <c r="R5276">
        <v>-0.82220439999999995</v>
      </c>
      <c r="S5276">
        <v>2.7578130000000001</v>
      </c>
      <c r="T5276">
        <v>-0.21207889999999999</v>
      </c>
      <c r="U5276">
        <v>-1.7677</v>
      </c>
      <c r="V5276">
        <v>-0.38622649999999997</v>
      </c>
      <c r="W5276">
        <v>3.842392E-2</v>
      </c>
      <c r="X5276">
        <v>0.92160330000000001</v>
      </c>
      <c r="Y5276">
        <v>-0.70991059999999995</v>
      </c>
      <c r="Z5276">
        <v>6.8795410000000001E-2</v>
      </c>
      <c r="AA5276">
        <v>0.70092379999999999</v>
      </c>
      <c r="AB5276">
        <v>24</v>
      </c>
      <c r="AC5276">
        <v>14.3786</v>
      </c>
      <c r="AD5276">
        <v>-1.1100705937999999</v>
      </c>
      <c r="AE5276">
        <v>-9.0297800000000095</v>
      </c>
      <c r="AF5276">
        <v>-12.145052285974399</v>
      </c>
      <c r="AG5276">
        <v>-1.1100705937999999</v>
      </c>
      <c r="AH5276">
        <v>11.761376134918899</v>
      </c>
      <c r="AI5276">
        <v>93.756597548758094</v>
      </c>
      <c r="AJ5276">
        <v>135.91946553660401</v>
      </c>
      <c r="AK5276">
        <v>16.942978496690401</v>
      </c>
    </row>
    <row r="5277" spans="1:37" x14ac:dyDescent="0.2">
      <c r="A5277" t="str">
        <f>"20200111153757122"</f>
        <v>20200111153757122</v>
      </c>
      <c r="B5277" t="str">
        <f>"1578728277119089"</f>
        <v>1578728277119089</v>
      </c>
      <c r="C5277" t="s">
        <v>37</v>
      </c>
      <c r="D5277">
        <v>5.0847230000000003</v>
      </c>
      <c r="E5277">
        <v>0.33748660000000003</v>
      </c>
      <c r="F5277" t="s">
        <v>53</v>
      </c>
      <c r="G5277">
        <v>-287.7432</v>
      </c>
      <c r="H5277" s="1">
        <v>-3.4277989999999998E-6</v>
      </c>
      <c r="I5277">
        <v>-54.784579999999998</v>
      </c>
      <c r="J5277">
        <v>-301.64400000000001</v>
      </c>
      <c r="K5277">
        <v>1.1102319999999899</v>
      </c>
      <c r="L5277">
        <v>-46.236909999999902</v>
      </c>
      <c r="M5277">
        <v>0.21587819999999999</v>
      </c>
      <c r="N5277">
        <v>0</v>
      </c>
      <c r="O5277">
        <v>-0.976346099999999</v>
      </c>
      <c r="P5277">
        <v>0.57763019999999998</v>
      </c>
      <c r="Q5277">
        <v>3.2515490000000001E-2</v>
      </c>
      <c r="R5277">
        <v>-0.81565129999999997</v>
      </c>
      <c r="S5277">
        <v>2.7706599999999999</v>
      </c>
      <c r="T5277">
        <v>-0.22031329999999999</v>
      </c>
      <c r="U5277">
        <v>-1.7424930000000001</v>
      </c>
      <c r="V5277">
        <v>-0.38847880000000001</v>
      </c>
      <c r="W5277">
        <v>3.8255240000000003E-2</v>
      </c>
      <c r="X5277">
        <v>0.92066320000000001</v>
      </c>
      <c r="Y5277">
        <v>-0.70944209999999996</v>
      </c>
      <c r="Z5277">
        <v>7.1627640000000006E-2</v>
      </c>
      <c r="AA5277">
        <v>0.70111440000000003</v>
      </c>
      <c r="AB5277">
        <v>24</v>
      </c>
      <c r="AC5277">
        <v>13.9008</v>
      </c>
      <c r="AD5277">
        <v>-1.1102354277990001</v>
      </c>
      <c r="AE5277">
        <v>-8.5476700000000001</v>
      </c>
      <c r="AF5277">
        <v>-11.6735515251618</v>
      </c>
      <c r="AG5277">
        <v>-1.1102354277990001</v>
      </c>
      <c r="AH5277">
        <v>11.294904340676799</v>
      </c>
      <c r="AI5277">
        <v>93.910091925816801</v>
      </c>
      <c r="AJ5277">
        <v>135.94446577877301</v>
      </c>
      <c r="AK5277">
        <v>16.281255847777501</v>
      </c>
    </row>
    <row r="5278" spans="1:37" x14ac:dyDescent="0.2">
      <c r="A5278" t="str">
        <f>"20200111153757144"</f>
        <v>20200111153757144</v>
      </c>
      <c r="B5278" t="str">
        <f>"1578728277138609"</f>
        <v>1578728277138609</v>
      </c>
      <c r="C5278" t="s">
        <v>37</v>
      </c>
      <c r="D5278">
        <v>5.0126359999999996</v>
      </c>
      <c r="E5278">
        <v>0.33785999999999999</v>
      </c>
      <c r="F5278" t="s">
        <v>53</v>
      </c>
      <c r="G5278">
        <v>-288.084</v>
      </c>
      <c r="H5278" s="1">
        <v>-3.2701229999999998E-6</v>
      </c>
      <c r="I5278">
        <v>-54.592039999999997</v>
      </c>
      <c r="J5278">
        <v>-301.58229999999998</v>
      </c>
      <c r="K5278">
        <v>1.110382</v>
      </c>
      <c r="L5278">
        <v>-46.467770000000002</v>
      </c>
      <c r="M5278">
        <v>0.22489629999999899</v>
      </c>
      <c r="N5278">
        <v>0</v>
      </c>
      <c r="O5278">
        <v>-0.97430810000000001</v>
      </c>
      <c r="P5278">
        <v>0.58681019999999995</v>
      </c>
      <c r="Q5278">
        <v>3.1705919999999999E-2</v>
      </c>
      <c r="R5278">
        <v>-0.80910389999999999</v>
      </c>
      <c r="S5278">
        <v>2.7841490000000002</v>
      </c>
      <c r="T5278">
        <v>-0.227954299999999</v>
      </c>
      <c r="U5278">
        <v>-1.7154849999999999</v>
      </c>
      <c r="V5278">
        <v>-0.3903663</v>
      </c>
      <c r="W5278">
        <v>3.7293680000000003E-2</v>
      </c>
      <c r="X5278">
        <v>0.91990400000000005</v>
      </c>
      <c r="Y5278">
        <v>-0.70922089999999904</v>
      </c>
      <c r="Z5278">
        <v>7.4282609999999999E-2</v>
      </c>
      <c r="AA5278">
        <v>0.70106199999999996</v>
      </c>
      <c r="AB5278">
        <v>24</v>
      </c>
      <c r="AC5278">
        <v>13.498299999999899</v>
      </c>
      <c r="AD5278">
        <v>-1.1103852701229999</v>
      </c>
      <c r="AE5278">
        <v>-8.1242699999999992</v>
      </c>
      <c r="AF5278">
        <v>-11.269228908224999</v>
      </c>
      <c r="AG5278">
        <v>-1.1103852701229999</v>
      </c>
      <c r="AH5278">
        <v>10.8979212586937</v>
      </c>
      <c r="AI5278">
        <v>94.051500009594406</v>
      </c>
      <c r="AJ5278">
        <v>135.959634942393</v>
      </c>
      <c r="AK5278">
        <v>15.7160161426097</v>
      </c>
    </row>
    <row r="5279" spans="1:37" x14ac:dyDescent="0.2">
      <c r="A5279" t="str">
        <f>"20200111153757165"</f>
        <v>20200111153757165</v>
      </c>
      <c r="B5279" t="str">
        <f>"1578728277158129"</f>
        <v>1578728277158129</v>
      </c>
      <c r="C5279" t="s">
        <v>37</v>
      </c>
      <c r="D5279">
        <v>5.0111790000000003</v>
      </c>
      <c r="E5279">
        <v>0.3123205</v>
      </c>
      <c r="F5279" t="s">
        <v>53</v>
      </c>
      <c r="G5279">
        <v>-288.3716</v>
      </c>
      <c r="H5279" s="1">
        <v>-3.13819399999999E-6</v>
      </c>
      <c r="I5279">
        <v>-54.420059999999999</v>
      </c>
      <c r="J5279">
        <v>-301.52179999999998</v>
      </c>
      <c r="K5279">
        <v>1.1104969999999901</v>
      </c>
      <c r="L5279">
        <v>-46.685549999999999</v>
      </c>
      <c r="M5279">
        <v>0.23358490000000001</v>
      </c>
      <c r="N5279">
        <v>0</v>
      </c>
      <c r="O5279">
        <v>-0.97226100000000004</v>
      </c>
      <c r="P5279">
        <v>0.59547459999999997</v>
      </c>
      <c r="Q5279">
        <v>3.1264729999999998E-2</v>
      </c>
      <c r="R5279">
        <v>-0.80276579999999997</v>
      </c>
      <c r="S5279">
        <v>2.8006289999999998</v>
      </c>
      <c r="T5279">
        <v>-0.2353972</v>
      </c>
      <c r="U5279">
        <v>-1.6858519999999999</v>
      </c>
      <c r="V5279">
        <v>-0.39204470000000002</v>
      </c>
      <c r="W5279">
        <v>3.6729009999999999E-2</v>
      </c>
      <c r="X5279">
        <v>0.91921269999999999</v>
      </c>
      <c r="Y5279">
        <v>-0.71004409999999996</v>
      </c>
      <c r="Z5279">
        <v>7.6853850000000001E-2</v>
      </c>
      <c r="AA5279">
        <v>0.69995059999999998</v>
      </c>
      <c r="AB5279">
        <v>24</v>
      </c>
      <c r="AC5279">
        <v>13.1501999999999</v>
      </c>
      <c r="AD5279">
        <v>-1.1105001381939901</v>
      </c>
      <c r="AE5279">
        <v>-7.7345100000000002</v>
      </c>
      <c r="AF5279">
        <v>-10.9216991183833</v>
      </c>
      <c r="AG5279">
        <v>-1.1105001381939901</v>
      </c>
      <c r="AH5279">
        <v>10.5365998730489</v>
      </c>
      <c r="AI5279">
        <v>94.185213778896099</v>
      </c>
      <c r="AJ5279">
        <v>136.02814268342499</v>
      </c>
      <c r="AK5279">
        <v>15.216328698939099</v>
      </c>
    </row>
    <row r="5280" spans="1:37" x14ac:dyDescent="0.2">
      <c r="A5280" t="str">
        <f>"20200111153757188"</f>
        <v>20200111153757188</v>
      </c>
      <c r="B5280" t="str">
        <f>"1578728277178625"</f>
        <v>1578728277178625</v>
      </c>
      <c r="C5280" t="s">
        <v>37</v>
      </c>
      <c r="D5280">
        <v>5.0720289999999997</v>
      </c>
      <c r="E5280">
        <v>0.3034983</v>
      </c>
      <c r="F5280" t="s">
        <v>53</v>
      </c>
      <c r="G5280">
        <v>-282.71850000000001</v>
      </c>
      <c r="H5280" s="1">
        <v>-5.597078E-6</v>
      </c>
      <c r="I5280">
        <v>-56.332299999999996</v>
      </c>
      <c r="J5280">
        <v>-301.4588</v>
      </c>
      <c r="K5280">
        <v>1.1105969999999901</v>
      </c>
      <c r="L5280">
        <v>-46.903929999999903</v>
      </c>
      <c r="M5280">
        <v>0.242467299999999</v>
      </c>
      <c r="N5280">
        <v>0</v>
      </c>
      <c r="O5280">
        <v>-0.97008349999999899</v>
      </c>
      <c r="P5280">
        <v>0.60367700000000002</v>
      </c>
      <c r="Q5280">
        <v>3.093388E-2</v>
      </c>
      <c r="R5280">
        <v>-0.79662880000000003</v>
      </c>
      <c r="S5280">
        <v>2.983673</v>
      </c>
      <c r="T5280">
        <v>-0.1762127</v>
      </c>
      <c r="U5280">
        <v>-1.5307309999999901</v>
      </c>
      <c r="V5280">
        <v>-0.39306790000000003</v>
      </c>
      <c r="W5280">
        <v>3.6302519999999998E-2</v>
      </c>
      <c r="X5280">
        <v>0.91879249999999901</v>
      </c>
      <c r="Y5280">
        <v>-0.75107119999999905</v>
      </c>
      <c r="Z5280">
        <v>5.6676810000000001E-2</v>
      </c>
      <c r="AA5280">
        <v>0.65778400000000004</v>
      </c>
      <c r="AB5280">
        <v>24</v>
      </c>
      <c r="AC5280">
        <v>18.740299999999898</v>
      </c>
      <c r="AD5280">
        <v>-1.11060259707799</v>
      </c>
      <c r="AE5280">
        <v>-9.4283699999999993</v>
      </c>
      <c r="AF5280">
        <v>-15.850334212993101</v>
      </c>
      <c r="AG5280">
        <v>-1.11060259707799</v>
      </c>
      <c r="AH5280">
        <v>13.652961810146101</v>
      </c>
      <c r="AI5280">
        <v>93.038904551323597</v>
      </c>
      <c r="AJ5280">
        <v>139.259461132844</v>
      </c>
      <c r="AK5280">
        <v>20.949221918284302</v>
      </c>
    </row>
    <row r="5281" spans="1:37" x14ac:dyDescent="0.2">
      <c r="A5281" t="str">
        <f>"20200111153757210"</f>
        <v>20200111153757210</v>
      </c>
      <c r="B5281" t="str">
        <f>"1578728277199121"</f>
        <v>1578728277199121</v>
      </c>
      <c r="C5281" t="s">
        <v>37</v>
      </c>
      <c r="D5281">
        <v>4.9926139999999997</v>
      </c>
      <c r="E5281">
        <v>0.30182009999999998</v>
      </c>
      <c r="F5281" t="s">
        <v>53</v>
      </c>
      <c r="G5281">
        <v>-282.98750000000001</v>
      </c>
      <c r="H5281" s="1">
        <v>-5.5809509999999997E-6</v>
      </c>
      <c r="I5281">
        <v>-55.719090000000001</v>
      </c>
      <c r="J5281">
        <v>-301.39170000000001</v>
      </c>
      <c r="K5281">
        <v>1.1106940000000001</v>
      </c>
      <c r="L5281">
        <v>-47.128140000000002</v>
      </c>
      <c r="M5281">
        <v>0.25175349999999902</v>
      </c>
      <c r="N5281">
        <v>0</v>
      </c>
      <c r="O5281">
        <v>-0.96771499999999999</v>
      </c>
      <c r="P5281">
        <v>0.6120871</v>
      </c>
      <c r="Q5281">
        <v>3.1472800000000002E-2</v>
      </c>
      <c r="R5281">
        <v>-0.79016409999999904</v>
      </c>
      <c r="S5281">
        <v>3.0549930000000001</v>
      </c>
      <c r="T5281">
        <v>-0.1836836</v>
      </c>
      <c r="U5281">
        <v>-1.4579469999999899</v>
      </c>
      <c r="V5281">
        <v>-0.39402320000000002</v>
      </c>
      <c r="W5281">
        <v>3.6754259999999997E-2</v>
      </c>
      <c r="X5281">
        <v>0.91836530000000005</v>
      </c>
      <c r="Y5281">
        <v>-0.76342449999999995</v>
      </c>
      <c r="Z5281">
        <v>5.8779919999999999E-2</v>
      </c>
      <c r="AA5281">
        <v>0.64321700000000004</v>
      </c>
      <c r="AB5281">
        <v>24</v>
      </c>
      <c r="AC5281">
        <v>18.404199999999999</v>
      </c>
      <c r="AD5281">
        <v>-1.1106995809510001</v>
      </c>
      <c r="AE5281">
        <v>-8.5909499999999994</v>
      </c>
      <c r="AF5281">
        <v>-15.6017180288541</v>
      </c>
      <c r="AG5281">
        <v>-1.1106995809510001</v>
      </c>
      <c r="AH5281">
        <v>12.9092645362482</v>
      </c>
      <c r="AI5281">
        <v>93.139490311560195</v>
      </c>
      <c r="AJ5281">
        <v>140.394765779279</v>
      </c>
      <c r="AK5281">
        <v>20.280443039485899</v>
      </c>
    </row>
    <row r="5282" spans="1:37" x14ac:dyDescent="0.2">
      <c r="A5282" t="str">
        <f>"20200111153757232"</f>
        <v>20200111153757232</v>
      </c>
      <c r="B5282" t="str">
        <f>"1578728277229057"</f>
        <v>1578728277229057</v>
      </c>
      <c r="C5282" t="s">
        <v>37</v>
      </c>
      <c r="D5282">
        <v>5.0165389999999999</v>
      </c>
      <c r="E5282">
        <v>0.30256159999999999</v>
      </c>
      <c r="F5282" t="s">
        <v>53</v>
      </c>
      <c r="G5282">
        <v>-282.62950000000001</v>
      </c>
      <c r="H5282" s="1">
        <v>-5.7405529999999902E-6</v>
      </c>
      <c r="I5282">
        <v>-55.759180000000001</v>
      </c>
      <c r="J5282">
        <v>-301.32209999999998</v>
      </c>
      <c r="K5282">
        <v>1.1107910000000001</v>
      </c>
      <c r="L5282">
        <v>-47.352779999999903</v>
      </c>
      <c r="M5282">
        <v>0.26121339999999998</v>
      </c>
      <c r="N5282">
        <v>0</v>
      </c>
      <c r="O5282">
        <v>-0.96520399999999995</v>
      </c>
      <c r="P5282">
        <v>0.6194267</v>
      </c>
      <c r="Q5282">
        <v>3.2442989999999998E-2</v>
      </c>
      <c r="R5282">
        <v>-0.78438399999999997</v>
      </c>
      <c r="S5282">
        <v>3.080994</v>
      </c>
      <c r="T5282">
        <v>-0.1823912</v>
      </c>
      <c r="U5282">
        <v>-1.4173279999999999</v>
      </c>
      <c r="V5282">
        <v>-0.39362920000000001</v>
      </c>
      <c r="W5282">
        <v>3.7669149999999998E-2</v>
      </c>
      <c r="X5282">
        <v>0.91849720000000001</v>
      </c>
      <c r="Y5282">
        <v>-0.76620969999999999</v>
      </c>
      <c r="Z5282">
        <v>5.8397640000000001E-2</v>
      </c>
      <c r="AA5282">
        <v>0.63993159999999905</v>
      </c>
      <c r="AB5282">
        <v>24</v>
      </c>
      <c r="AC5282">
        <v>18.692599999999899</v>
      </c>
      <c r="AD5282">
        <v>-1.1107967405529999</v>
      </c>
      <c r="AE5282">
        <v>-8.4064000000000103</v>
      </c>
      <c r="AF5282">
        <v>-15.801075828612699</v>
      </c>
      <c r="AG5282">
        <v>-1.1107967405529999</v>
      </c>
      <c r="AH5282">
        <v>12.95955051652</v>
      </c>
      <c r="AI5282">
        <v>93.111267636488407</v>
      </c>
      <c r="AJ5282">
        <v>140.642462411281</v>
      </c>
      <c r="AK5282">
        <v>20.466016132374801</v>
      </c>
    </row>
    <row r="5283" spans="1:37" x14ac:dyDescent="0.2">
      <c r="A5283" t="str">
        <f>"20200111153757256"</f>
        <v>20200111153757256</v>
      </c>
      <c r="B5283" t="str">
        <f>"1578728277248577"</f>
        <v>1578728277248577</v>
      </c>
      <c r="C5283" t="s">
        <v>37</v>
      </c>
      <c r="D5283">
        <v>5.0106159999999997</v>
      </c>
      <c r="E5283">
        <v>0.3033788</v>
      </c>
      <c r="F5283" t="s">
        <v>53</v>
      </c>
      <c r="G5283">
        <v>-282.56180000000001</v>
      </c>
      <c r="H5283" s="1">
        <v>-5.7635699999999998E-6</v>
      </c>
      <c r="I5283">
        <v>-55.807250000000003</v>
      </c>
      <c r="J5283">
        <v>-301.24779999999998</v>
      </c>
      <c r="K5283">
        <v>1.1108899999999999</v>
      </c>
      <c r="L5283">
        <v>-47.583500000000001</v>
      </c>
      <c r="M5283">
        <v>0.27107979999999998</v>
      </c>
      <c r="N5283">
        <v>0</v>
      </c>
      <c r="O5283">
        <v>-0.96247939999999998</v>
      </c>
      <c r="P5283">
        <v>0.62732290000000002</v>
      </c>
      <c r="Q5283">
        <v>3.3348959999999997E-2</v>
      </c>
      <c r="R5283">
        <v>-0.7780454</v>
      </c>
      <c r="S5283">
        <v>3.0896300000000001</v>
      </c>
      <c r="T5283">
        <v>-0.18293679999999901</v>
      </c>
      <c r="U5283">
        <v>-1.3923649999999901</v>
      </c>
      <c r="V5283">
        <v>-0.3935439</v>
      </c>
      <c r="W5283">
        <v>3.8512539999999998E-2</v>
      </c>
      <c r="X5283">
        <v>0.91849879999999995</v>
      </c>
      <c r="Y5283">
        <v>-0.76459460000000001</v>
      </c>
      <c r="Z5283">
        <v>5.8694379999999997E-2</v>
      </c>
      <c r="AA5283">
        <v>0.64183349999999995</v>
      </c>
      <c r="AB5283">
        <v>24</v>
      </c>
      <c r="AC5283">
        <v>18.6859999999999</v>
      </c>
      <c r="AD5283">
        <v>-1.1108957635700001</v>
      </c>
      <c r="AE5283">
        <v>-8.2237500000000008</v>
      </c>
      <c r="AF5283">
        <v>-15.710256288202199</v>
      </c>
      <c r="AG5283">
        <v>-1.1108957635700001</v>
      </c>
      <c r="AH5283">
        <v>12.9432317263302</v>
      </c>
      <c r="AI5283">
        <v>93.123828674568202</v>
      </c>
      <c r="AJ5283">
        <v>140.51586430338901</v>
      </c>
      <c r="AK5283">
        <v>20.385619675643898</v>
      </c>
    </row>
    <row r="5284" spans="1:37" x14ac:dyDescent="0.2">
      <c r="A5284" t="str">
        <f>"20200111153757277"</f>
        <v>20200111153757277</v>
      </c>
      <c r="B5284" t="str">
        <f>"1578728277269074"</f>
        <v>1578728277269074</v>
      </c>
      <c r="C5284" t="s">
        <v>37</v>
      </c>
      <c r="D5284">
        <v>5.0239859999999998</v>
      </c>
      <c r="E5284">
        <v>0.30420150000000001</v>
      </c>
      <c r="F5284" t="s">
        <v>53</v>
      </c>
      <c r="G5284">
        <v>-282.512</v>
      </c>
      <c r="H5284" s="1">
        <v>-5.7807600000000004E-6</v>
      </c>
      <c r="I5284">
        <v>-55.84093</v>
      </c>
      <c r="J5284">
        <v>-301.17680000000001</v>
      </c>
      <c r="K5284">
        <v>1.110981</v>
      </c>
      <c r="L5284">
        <v>-47.796199999999999</v>
      </c>
      <c r="M5284">
        <v>0.28030699999999997</v>
      </c>
      <c r="N5284">
        <v>0</v>
      </c>
      <c r="O5284">
        <v>-0.95983229999999997</v>
      </c>
      <c r="P5284">
        <v>0.63535520000000001</v>
      </c>
      <c r="Q5284">
        <v>3.407963E-2</v>
      </c>
      <c r="R5284">
        <v>-0.77146789999999998</v>
      </c>
      <c r="S5284">
        <v>3.0983580000000002</v>
      </c>
      <c r="T5284">
        <v>-0.1837096</v>
      </c>
      <c r="U5284">
        <v>-1.36554</v>
      </c>
      <c r="V5284">
        <v>-0.39427779999999901</v>
      </c>
      <c r="W5284">
        <v>3.9168649999999999E-2</v>
      </c>
      <c r="X5284">
        <v>0.91815619999999998</v>
      </c>
      <c r="Y5284">
        <v>-0.76371769999999894</v>
      </c>
      <c r="Z5284">
        <v>5.9070089999999999E-2</v>
      </c>
      <c r="AA5284">
        <v>0.64284209999999997</v>
      </c>
      <c r="AB5284">
        <v>24</v>
      </c>
      <c r="AC5284">
        <v>18.6648</v>
      </c>
      <c r="AD5284">
        <v>-1.11098678076</v>
      </c>
      <c r="AE5284">
        <v>-8.0447299999999995</v>
      </c>
      <c r="AF5284">
        <v>-15.614602610025401</v>
      </c>
      <c r="AG5284">
        <v>-1.11098678076</v>
      </c>
      <c r="AH5284">
        <v>12.915845381163299</v>
      </c>
      <c r="AI5284">
        <v>93.138116318576607</v>
      </c>
      <c r="AJ5284">
        <v>140.403654155509</v>
      </c>
      <c r="AK5284">
        <v>20.2945600643658</v>
      </c>
    </row>
    <row r="5285" spans="1:37" x14ac:dyDescent="0.2">
      <c r="A5285" t="str">
        <f>"20200111153757300"</f>
        <v>20200111153757300</v>
      </c>
      <c r="B5285" t="str">
        <f>"1578728277288594"</f>
        <v>1578728277288594</v>
      </c>
      <c r="C5285" t="s">
        <v>37</v>
      </c>
      <c r="D5285">
        <v>5.0191999999999997</v>
      </c>
      <c r="E5285">
        <v>0.304948</v>
      </c>
      <c r="F5285" t="s">
        <v>53</v>
      </c>
      <c r="G5285">
        <v>-282.3698</v>
      </c>
      <c r="H5285" s="1">
        <v>-5.83738899999999E-6</v>
      </c>
      <c r="I5285">
        <v>-55.894930000000002</v>
      </c>
      <c r="J5285">
        <v>-301.10230000000001</v>
      </c>
      <c r="K5285">
        <v>1.111067</v>
      </c>
      <c r="L5285">
        <v>-48.012450000000001</v>
      </c>
      <c r="M5285">
        <v>0.28980820000000002</v>
      </c>
      <c r="N5285">
        <v>0</v>
      </c>
      <c r="O5285">
        <v>-0.95700589999999996</v>
      </c>
      <c r="P5285">
        <v>0.64342319999999997</v>
      </c>
      <c r="Q5285">
        <v>3.4591049999999998E-2</v>
      </c>
      <c r="R5285">
        <v>-0.76472879999999999</v>
      </c>
      <c r="S5285">
        <v>3.1070250000000001</v>
      </c>
      <c r="T5285">
        <v>-0.1835408</v>
      </c>
      <c r="U5285">
        <v>-1.337952</v>
      </c>
      <c r="V5285">
        <v>-0.394843</v>
      </c>
      <c r="W5285">
        <v>3.9609390000000001E-2</v>
      </c>
      <c r="X5285">
        <v>0.9178944</v>
      </c>
      <c r="Y5285">
        <v>-0.76279149999999996</v>
      </c>
      <c r="Z5285">
        <v>5.9142279999999998E-2</v>
      </c>
      <c r="AA5285">
        <v>0.64393420000000001</v>
      </c>
      <c r="AB5285">
        <v>24</v>
      </c>
      <c r="AC5285">
        <v>18.732500000000002</v>
      </c>
      <c r="AD5285">
        <v>-1.111072837389</v>
      </c>
      <c r="AE5285">
        <v>-7.8824800000000002</v>
      </c>
      <c r="AF5285">
        <v>-15.5972694767443</v>
      </c>
      <c r="AG5285">
        <v>-1.111072837389</v>
      </c>
      <c r="AH5285">
        <v>12.9347319721478</v>
      </c>
      <c r="AI5285">
        <v>93.138560179895606</v>
      </c>
      <c r="AJ5285">
        <v>140.331264427615</v>
      </c>
      <c r="AK5285">
        <v>20.293264625768401</v>
      </c>
    </row>
    <row r="5286" spans="1:37" x14ac:dyDescent="0.2">
      <c r="A5286" t="str">
        <f>"20200111153757322"</f>
        <v>20200111153757322</v>
      </c>
      <c r="B5286" t="str">
        <f>"1578728277318569"</f>
        <v>1578728277318569</v>
      </c>
      <c r="C5286" t="s">
        <v>37</v>
      </c>
      <c r="D5286">
        <v>5.0858610000000004</v>
      </c>
      <c r="E5286">
        <v>0.30617800000000001</v>
      </c>
      <c r="F5286" t="s">
        <v>53</v>
      </c>
      <c r="G5286">
        <v>-282.13229999999999</v>
      </c>
      <c r="H5286" s="1">
        <v>-5.9290469999999997E-6</v>
      </c>
      <c r="I5286">
        <v>-55.981909999999999</v>
      </c>
      <c r="J5286">
        <v>-301.02280000000002</v>
      </c>
      <c r="K5286">
        <v>1.1111469999999899</v>
      </c>
      <c r="L5286">
        <v>-48.234470000000002</v>
      </c>
      <c r="M5286">
        <v>0.29970849999999999</v>
      </c>
      <c r="N5286">
        <v>0</v>
      </c>
      <c r="O5286">
        <v>-0.9539514</v>
      </c>
      <c r="P5286">
        <v>0.6519083</v>
      </c>
      <c r="Q5286">
        <v>3.4634020000000001E-2</v>
      </c>
      <c r="R5286">
        <v>-0.75750640000000002</v>
      </c>
      <c r="S5286">
        <v>3.116333</v>
      </c>
      <c r="T5286">
        <v>-0.1825243</v>
      </c>
      <c r="U5286">
        <v>-1.309204</v>
      </c>
      <c r="V5286">
        <v>-0.3955748</v>
      </c>
      <c r="W5286">
        <v>3.957985E-2</v>
      </c>
      <c r="X5286">
        <v>0.91758050000000002</v>
      </c>
      <c r="Y5286">
        <v>-0.76185040000000004</v>
      </c>
      <c r="Z5286">
        <v>5.8931249999999998E-2</v>
      </c>
      <c r="AA5286">
        <v>0.64506669999999999</v>
      </c>
      <c r="AB5286">
        <v>24</v>
      </c>
      <c r="AC5286">
        <v>18.890499999999999</v>
      </c>
      <c r="AD5286">
        <v>-1.1111529290469999</v>
      </c>
      <c r="AE5286">
        <v>-7.7474399999999903</v>
      </c>
      <c r="AF5286">
        <v>-15.6534738279948</v>
      </c>
      <c r="AG5286">
        <v>-1.1111529290469999</v>
      </c>
      <c r="AH5286">
        <v>13.014767736338699</v>
      </c>
      <c r="AI5286">
        <v>93.124264353739207</v>
      </c>
      <c r="AJ5286">
        <v>140.25884832780201</v>
      </c>
      <c r="AK5286">
        <v>20.387498202238898</v>
      </c>
    </row>
    <row r="5287" spans="1:37" x14ac:dyDescent="0.2">
      <c r="A5287" t="str">
        <f>"20200111153757344"</f>
        <v>20200111153757344</v>
      </c>
      <c r="B5287" t="str">
        <f>"1578728277339055"</f>
        <v>1578728277339055</v>
      </c>
      <c r="C5287" t="s">
        <v>37</v>
      </c>
      <c r="D5287">
        <v>5.086589</v>
      </c>
      <c r="E5287">
        <v>0.30686849999999999</v>
      </c>
      <c r="F5287" t="s">
        <v>53</v>
      </c>
      <c r="G5287">
        <v>-282.16140000000001</v>
      </c>
      <c r="H5287" s="1">
        <v>-5.9205969999999998E-6</v>
      </c>
      <c r="I5287">
        <v>-55.970489999999998</v>
      </c>
      <c r="J5287">
        <v>-300.93920000000003</v>
      </c>
      <c r="K5287">
        <v>1.111218</v>
      </c>
      <c r="L5287">
        <v>-48.459989999999998</v>
      </c>
      <c r="M5287">
        <v>0.30988139999999997</v>
      </c>
      <c r="N5287">
        <v>0</v>
      </c>
      <c r="O5287">
        <v>-0.95069519999999996</v>
      </c>
      <c r="P5287">
        <v>0.66115519999999905</v>
      </c>
      <c r="Q5287">
        <v>3.4513380000000003E-2</v>
      </c>
      <c r="R5287">
        <v>-0.74945490000000003</v>
      </c>
      <c r="S5287">
        <v>3.1231689999999999</v>
      </c>
      <c r="T5287">
        <v>-0.18399099999999999</v>
      </c>
      <c r="U5287">
        <v>-1.280975</v>
      </c>
      <c r="V5287">
        <v>-0.39703739999999998</v>
      </c>
      <c r="W5287">
        <v>3.9380680000000001E-2</v>
      </c>
      <c r="X5287">
        <v>0.91695709999999997</v>
      </c>
      <c r="Y5287">
        <v>-0.76039209999999902</v>
      </c>
      <c r="Z5287">
        <v>5.9539399999999999E-2</v>
      </c>
      <c r="AA5287">
        <v>0.64672949999999996</v>
      </c>
      <c r="AB5287">
        <v>24</v>
      </c>
      <c r="AC5287">
        <v>18.777799999999999</v>
      </c>
      <c r="AD5287">
        <v>-1.111223920597</v>
      </c>
      <c r="AE5287">
        <v>-7.5105000000000004</v>
      </c>
      <c r="AF5287">
        <v>-15.4790497529363</v>
      </c>
      <c r="AG5287">
        <v>-1.111223920597</v>
      </c>
      <c r="AH5287">
        <v>12.9210643369808</v>
      </c>
      <c r="AI5287">
        <v>93.154463520364502</v>
      </c>
      <c r="AJ5287">
        <v>140.14671727604301</v>
      </c>
      <c r="AK5287">
        <v>20.193803590606301</v>
      </c>
    </row>
    <row r="5288" spans="1:37" x14ac:dyDescent="0.2">
      <c r="A5288" t="str">
        <f>"20200111153757367"</f>
        <v>20200111153757367</v>
      </c>
      <c r="B5288" t="str">
        <f>"1578728277358573"</f>
        <v>1578728277358573</v>
      </c>
      <c r="C5288" t="s">
        <v>37</v>
      </c>
      <c r="D5288">
        <v>5.0774109999999997</v>
      </c>
      <c r="E5288">
        <v>0.30736999999999998</v>
      </c>
      <c r="F5288" t="s">
        <v>53</v>
      </c>
      <c r="G5288">
        <v>-282.00060000000002</v>
      </c>
      <c r="H5288" s="1">
        <v>-5.97238399999999E-6</v>
      </c>
      <c r="I5288">
        <v>-55.988590000000002</v>
      </c>
      <c r="J5288">
        <v>-300.85719999999998</v>
      </c>
      <c r="K5288">
        <v>1.111272</v>
      </c>
      <c r="L5288">
        <v>-48.674190000000003</v>
      </c>
      <c r="M5288">
        <v>0.31964690000000001</v>
      </c>
      <c r="N5288">
        <v>0</v>
      </c>
      <c r="O5288">
        <v>-0.94745639999999998</v>
      </c>
      <c r="P5288">
        <v>0.67018040000000001</v>
      </c>
      <c r="Q5288">
        <v>3.463273E-2</v>
      </c>
      <c r="R5288">
        <v>-0.74138970000000004</v>
      </c>
      <c r="S5288">
        <v>3.1346129999999999</v>
      </c>
      <c r="T5288">
        <v>-0.183923799999999</v>
      </c>
      <c r="U5288">
        <v>-1.246094</v>
      </c>
      <c r="V5288">
        <v>-0.39871380000000001</v>
      </c>
      <c r="W5288">
        <v>3.9424510000000003E-2</v>
      </c>
      <c r="X5288">
        <v>0.91622760000000003</v>
      </c>
      <c r="Y5288">
        <v>-0.76074149999999996</v>
      </c>
      <c r="Z5288">
        <v>5.9636189999999999E-2</v>
      </c>
      <c r="AA5288">
        <v>0.64630940000000003</v>
      </c>
      <c r="AB5288">
        <v>24</v>
      </c>
      <c r="AC5288">
        <v>18.856599999999901</v>
      </c>
      <c r="AD5288">
        <v>-1.1112779723840001</v>
      </c>
      <c r="AE5288">
        <v>-7.3143999999999902</v>
      </c>
      <c r="AF5288">
        <v>-15.482224116758999</v>
      </c>
      <c r="AG5288">
        <v>-1.1112779723840001</v>
      </c>
      <c r="AH5288">
        <v>12.919512738509001</v>
      </c>
      <c r="AI5288">
        <v>93.154391376755797</v>
      </c>
      <c r="AJ5288">
        <v>140.15588178137199</v>
      </c>
      <c r="AK5288">
        <v>20.195247256073799</v>
      </c>
    </row>
    <row r="5289" spans="1:37" x14ac:dyDescent="0.2">
      <c r="A5289" t="str">
        <f>"20200111153757389"</f>
        <v>20200111153757389</v>
      </c>
      <c r="B5289" t="str">
        <f>"1578728277379069"</f>
        <v>1578728277379069</v>
      </c>
      <c r="C5289" t="s">
        <v>37</v>
      </c>
      <c r="D5289">
        <v>5.0723099999999999</v>
      </c>
      <c r="E5289">
        <v>0.30785590000000002</v>
      </c>
      <c r="F5289" t="s">
        <v>53</v>
      </c>
      <c r="G5289">
        <v>-281.94560000000001</v>
      </c>
      <c r="H5289" s="1">
        <v>-5.9949120000000003E-6</v>
      </c>
      <c r="I5289">
        <v>-55.951919999999902</v>
      </c>
      <c r="J5289">
        <v>-300.77359999999999</v>
      </c>
      <c r="K5289">
        <v>1.1113309999999901</v>
      </c>
      <c r="L5289">
        <v>-48.885930000000002</v>
      </c>
      <c r="M5289">
        <v>0.32940740000000002</v>
      </c>
      <c r="N5289">
        <v>0</v>
      </c>
      <c r="O5289">
        <v>-0.94410699999999903</v>
      </c>
      <c r="P5289">
        <v>0.67846070000000003</v>
      </c>
      <c r="Q5289">
        <v>3.4752369999999998E-2</v>
      </c>
      <c r="R5289">
        <v>-0.73381450000000004</v>
      </c>
      <c r="S5289">
        <v>3.1464539999999999</v>
      </c>
      <c r="T5289">
        <v>-0.18489120000000001</v>
      </c>
      <c r="U5289">
        <v>-1.2108459999999901</v>
      </c>
      <c r="V5289">
        <v>-0.39955370000000001</v>
      </c>
      <c r="W5289">
        <v>3.9487889999999998E-2</v>
      </c>
      <c r="X5289">
        <v>0.91585890000000003</v>
      </c>
      <c r="Y5289">
        <v>-0.76115449999999996</v>
      </c>
      <c r="Z5289">
        <v>6.0052330000000001E-2</v>
      </c>
      <c r="AA5289">
        <v>0.64578440000000004</v>
      </c>
      <c r="AB5289">
        <v>24</v>
      </c>
      <c r="AC5289">
        <v>18.8279999999999</v>
      </c>
      <c r="AD5289">
        <v>-1.11133699491199</v>
      </c>
      <c r="AE5289">
        <v>-7.0659899999999896</v>
      </c>
      <c r="AF5289">
        <v>-15.4022000703396</v>
      </c>
      <c r="AG5289">
        <v>-1.11133699491199</v>
      </c>
      <c r="AH5289">
        <v>12.834919607763601</v>
      </c>
      <c r="AI5289">
        <v>93.172715940230205</v>
      </c>
      <c r="AJ5289">
        <v>140.194971432416</v>
      </c>
      <c r="AK5289">
        <v>20.0797907922564</v>
      </c>
    </row>
    <row r="5290" spans="1:37" x14ac:dyDescent="0.2">
      <c r="A5290" t="str">
        <f>"20200111153757412"</f>
        <v>20200111153757412</v>
      </c>
      <c r="B5290" t="str">
        <f>"1578728277408350"</f>
        <v>1578728277408350</v>
      </c>
      <c r="C5290" t="s">
        <v>37</v>
      </c>
      <c r="D5290">
        <v>5.0717610000000004</v>
      </c>
      <c r="E5290">
        <v>0.30846009999999902</v>
      </c>
      <c r="F5290" t="s">
        <v>53</v>
      </c>
      <c r="G5290">
        <v>-281.73169999999999</v>
      </c>
      <c r="H5290" s="1">
        <v>-6.0620429999999999E-6</v>
      </c>
      <c r="I5290">
        <v>-55.991769999999903</v>
      </c>
      <c r="J5290">
        <v>-300.68540000000002</v>
      </c>
      <c r="K5290">
        <v>1.111397</v>
      </c>
      <c r="L5290">
        <v>-49.102420000000002</v>
      </c>
      <c r="M5290">
        <v>0.33950229999999998</v>
      </c>
      <c r="N5290">
        <v>0</v>
      </c>
      <c r="O5290">
        <v>-0.94052359999999902</v>
      </c>
      <c r="P5290">
        <v>0.68631049999999905</v>
      </c>
      <c r="Q5290">
        <v>3.5434729999999998E-2</v>
      </c>
      <c r="R5290">
        <v>-0.72644519999999901</v>
      </c>
      <c r="S5290">
        <v>3.1570130000000001</v>
      </c>
      <c r="T5290">
        <v>-0.1842521</v>
      </c>
      <c r="U5290">
        <v>-1.1781010000000001</v>
      </c>
      <c r="V5290">
        <v>-0.39961770000000002</v>
      </c>
      <c r="W5290">
        <v>4.0125389999999997E-2</v>
      </c>
      <c r="X5290">
        <v>0.91580329999999999</v>
      </c>
      <c r="Y5290">
        <v>-0.76081509999999997</v>
      </c>
      <c r="Z5290">
        <v>5.9929749999999997E-2</v>
      </c>
      <c r="AA5290">
        <v>0.64619569999999904</v>
      </c>
      <c r="AB5290">
        <v>24</v>
      </c>
      <c r="AC5290">
        <v>18.953700000000001</v>
      </c>
      <c r="AD5290">
        <v>-1.111403062043</v>
      </c>
      <c r="AE5290">
        <v>-6.8893499999999896</v>
      </c>
      <c r="AF5290">
        <v>-15.4417426347238</v>
      </c>
      <c r="AG5290">
        <v>-1.111403062043</v>
      </c>
      <c r="AH5290">
        <v>12.8763056465947</v>
      </c>
      <c r="AI5290">
        <v>93.163947297390905</v>
      </c>
      <c r="AJ5290">
        <v>140.17650638664401</v>
      </c>
      <c r="AK5290">
        <v>20.136580629985101</v>
      </c>
    </row>
    <row r="5291" spans="1:37" x14ac:dyDescent="0.2">
      <c r="A5291" t="str">
        <f>"20200111153757434"</f>
        <v>20200111153757434</v>
      </c>
      <c r="B5291" t="str">
        <f>"1578728277428845"</f>
        <v>1578728277428845</v>
      </c>
      <c r="C5291" t="s">
        <v>37</v>
      </c>
      <c r="D5291">
        <v>5.1232340000000001</v>
      </c>
      <c r="E5291">
        <v>0.30883319999999997</v>
      </c>
      <c r="F5291" t="s">
        <v>53</v>
      </c>
      <c r="G5291">
        <v>-281.17680000000001</v>
      </c>
      <c r="H5291" s="1">
        <v>-6.2276459999999901E-6</v>
      </c>
      <c r="I5291">
        <v>-56.171009999999903</v>
      </c>
      <c r="J5291">
        <v>-300.59140000000002</v>
      </c>
      <c r="K5291">
        <v>1.11148</v>
      </c>
      <c r="L5291">
        <v>-49.325679999999998</v>
      </c>
      <c r="M5291">
        <v>0.35004190000000002</v>
      </c>
      <c r="N5291">
        <v>0</v>
      </c>
      <c r="O5291">
        <v>-0.93665159999999903</v>
      </c>
      <c r="P5291">
        <v>0.69436679999999995</v>
      </c>
      <c r="Q5291">
        <v>3.6337429999999997E-2</v>
      </c>
      <c r="R5291">
        <v>-0.71870330000000004</v>
      </c>
      <c r="S5291">
        <v>3.1661990000000002</v>
      </c>
      <c r="T5291">
        <v>-0.18037809999999899</v>
      </c>
      <c r="U5291">
        <v>-1.1472169999999999</v>
      </c>
      <c r="V5291">
        <v>-0.39958339999999998</v>
      </c>
      <c r="W5291">
        <v>4.0975369999999997E-2</v>
      </c>
      <c r="X5291">
        <v>0.91578059999999994</v>
      </c>
      <c r="Y5291">
        <v>-0.75978140000000005</v>
      </c>
      <c r="Z5291">
        <v>5.8743669999999998E-2</v>
      </c>
      <c r="AA5291">
        <v>0.64751950000000003</v>
      </c>
      <c r="AB5291">
        <v>24</v>
      </c>
      <c r="AC5291">
        <v>19.4146</v>
      </c>
      <c r="AD5291">
        <v>-1.111486227646</v>
      </c>
      <c r="AE5291">
        <v>-6.8453299999999899</v>
      </c>
      <c r="AF5291">
        <v>-15.7438872895013</v>
      </c>
      <c r="AG5291">
        <v>-1.111486227646</v>
      </c>
      <c r="AH5291">
        <v>13.170239483507601</v>
      </c>
      <c r="AI5291">
        <v>93.099517299526298</v>
      </c>
      <c r="AJ5291">
        <v>140.086495260763</v>
      </c>
      <c r="AK5291">
        <v>20.556278765178099</v>
      </c>
    </row>
    <row r="5292" spans="1:37" x14ac:dyDescent="0.2">
      <c r="A5292" t="str">
        <f>"20200111153757456"</f>
        <v>20200111153757456</v>
      </c>
      <c r="B5292" t="str">
        <f>"1578728277448365"</f>
        <v>1578728277448365</v>
      </c>
      <c r="C5292" t="s">
        <v>37</v>
      </c>
      <c r="D5292">
        <v>5.1927599999999998</v>
      </c>
      <c r="E5292">
        <v>0.3093747</v>
      </c>
      <c r="F5292" t="s">
        <v>53</v>
      </c>
      <c r="G5292">
        <v>-280.40440000000001</v>
      </c>
      <c r="H5292" s="1">
        <v>-6.4603029999999997E-6</v>
      </c>
      <c r="I5292">
        <v>-56.401209999999999</v>
      </c>
      <c r="J5292">
        <v>-300.50170000000003</v>
      </c>
      <c r="K5292">
        <v>1.1115709999999901</v>
      </c>
      <c r="L5292">
        <v>-49.532200000000003</v>
      </c>
      <c r="M5292">
        <v>0.35992179999999901</v>
      </c>
      <c r="N5292">
        <v>0</v>
      </c>
      <c r="O5292">
        <v>-0.932899699999999</v>
      </c>
      <c r="P5292">
        <v>0.70173419999999997</v>
      </c>
      <c r="Q5292">
        <v>3.6971199999999899E-2</v>
      </c>
      <c r="R5292">
        <v>-0.71147910000000003</v>
      </c>
      <c r="S5292">
        <v>3.177063</v>
      </c>
      <c r="T5292">
        <v>-0.17492739999999901</v>
      </c>
      <c r="U5292">
        <v>-1.113556</v>
      </c>
      <c r="V5292">
        <v>-0.39937030000000001</v>
      </c>
      <c r="W5292">
        <v>4.1553760000000002E-2</v>
      </c>
      <c r="X5292">
        <v>0.91584750000000004</v>
      </c>
      <c r="Y5292">
        <v>-0.75982119999999997</v>
      </c>
      <c r="Z5292">
        <v>5.7032970000000002E-2</v>
      </c>
      <c r="AA5292">
        <v>0.64762559999999902</v>
      </c>
      <c r="AB5292">
        <v>24</v>
      </c>
      <c r="AC5292">
        <v>20.097300000000001</v>
      </c>
      <c r="AD5292">
        <v>-1.111577460303</v>
      </c>
      <c r="AE5292">
        <v>-6.8690099999999896</v>
      </c>
      <c r="AF5292">
        <v>-16.2332499048069</v>
      </c>
      <c r="AG5292">
        <v>-1.111577460303</v>
      </c>
      <c r="AH5292">
        <v>13.605339796812199</v>
      </c>
      <c r="AI5292">
        <v>93.004159817413097</v>
      </c>
      <c r="AJ5292">
        <v>140.03310205450401</v>
      </c>
      <c r="AK5292">
        <v>21.2098863247517</v>
      </c>
    </row>
    <row r="5293" spans="1:37" x14ac:dyDescent="0.2">
      <c r="A5293" t="str">
        <f>"20200111153757478"</f>
        <v>20200111153757478</v>
      </c>
      <c r="B5293" t="str">
        <f>"1578728277468861"</f>
        <v>1578728277468861</v>
      </c>
      <c r="C5293" t="s">
        <v>37</v>
      </c>
      <c r="D5293">
        <v>5.158995</v>
      </c>
      <c r="E5293">
        <v>0.309614099999999</v>
      </c>
      <c r="F5293" t="s">
        <v>53</v>
      </c>
      <c r="G5293">
        <v>-280.00810000000001</v>
      </c>
      <c r="H5293" s="1">
        <v>-6.5814639999999901E-6</v>
      </c>
      <c r="I5293">
        <v>-56.503309999999999</v>
      </c>
      <c r="J5293">
        <v>-300.40820000000002</v>
      </c>
      <c r="K5293">
        <v>1.111669</v>
      </c>
      <c r="L5293">
        <v>-49.741059999999997</v>
      </c>
      <c r="M5293">
        <v>0.3700522</v>
      </c>
      <c r="N5293">
        <v>0</v>
      </c>
      <c r="O5293">
        <v>-0.92892739999999996</v>
      </c>
      <c r="P5293">
        <v>0.70915289999999997</v>
      </c>
      <c r="Q5293">
        <v>3.6943429999999999E-2</v>
      </c>
      <c r="R5293">
        <v>-0.7040864</v>
      </c>
      <c r="S5293">
        <v>3.1856080000000002</v>
      </c>
      <c r="T5293">
        <v>-0.1727881</v>
      </c>
      <c r="U5293">
        <v>-1.083618</v>
      </c>
      <c r="V5293">
        <v>-0.39901239999999999</v>
      </c>
      <c r="W5293">
        <v>4.1464670000000002E-2</v>
      </c>
      <c r="X5293">
        <v>0.91600749999999997</v>
      </c>
      <c r="Y5293">
        <v>-0.75877899999999998</v>
      </c>
      <c r="Z5293">
        <v>5.6383009999999997E-2</v>
      </c>
      <c r="AA5293">
        <v>0.64890319999999901</v>
      </c>
      <c r="AB5293">
        <v>24</v>
      </c>
      <c r="AC5293">
        <v>20.400099999999998</v>
      </c>
      <c r="AD5293">
        <v>-1.111675581464</v>
      </c>
      <c r="AE5293">
        <v>-6.7622499999999999</v>
      </c>
      <c r="AF5293">
        <v>-16.405210099235202</v>
      </c>
      <c r="AG5293">
        <v>-1.111675581464</v>
      </c>
      <c r="AH5293">
        <v>13.7949057908834</v>
      </c>
      <c r="AI5293">
        <v>92.968943348271793</v>
      </c>
      <c r="AJ5293">
        <v>139.94000222281301</v>
      </c>
      <c r="AK5293">
        <v>21.463135064053901</v>
      </c>
    </row>
    <row r="5294" spans="1:37" x14ac:dyDescent="0.2">
      <c r="A5294" t="str">
        <f>"20200111153757501"</f>
        <v>20200111153757501</v>
      </c>
      <c r="B5294" t="str">
        <f>"1578728277498141"</f>
        <v>1578728277498141</v>
      </c>
      <c r="C5294" t="s">
        <v>37</v>
      </c>
      <c r="D5294">
        <v>5.2053709999999898</v>
      </c>
      <c r="E5294">
        <v>0.3219146</v>
      </c>
      <c r="F5294" t="s">
        <v>39</v>
      </c>
      <c r="G5294">
        <v>-279.69850000000002</v>
      </c>
      <c r="H5294" s="1">
        <v>-4.1615300000000003E-6</v>
      </c>
      <c r="I5294">
        <v>-56.554490000000001</v>
      </c>
      <c r="J5294">
        <v>-300.3098</v>
      </c>
      <c r="K5294">
        <v>1.1117729999999999</v>
      </c>
      <c r="L5294">
        <v>-49.953949999999999</v>
      </c>
      <c r="M5294">
        <v>0.38054379999999999</v>
      </c>
      <c r="N5294">
        <v>0</v>
      </c>
      <c r="O5294">
        <v>-0.92467860000000002</v>
      </c>
      <c r="P5294">
        <v>0.71653659999999997</v>
      </c>
      <c r="Q5294">
        <v>3.7204309999999997E-2</v>
      </c>
      <c r="R5294">
        <v>-0.69655659999999997</v>
      </c>
      <c r="S5294">
        <v>3.195557</v>
      </c>
      <c r="T5294">
        <v>-0.1715342</v>
      </c>
      <c r="U5294">
        <v>-1.051331</v>
      </c>
      <c r="V5294">
        <v>-0.39832139999999999</v>
      </c>
      <c r="W5294">
        <v>4.1664279999999998E-2</v>
      </c>
      <c r="X5294">
        <v>0.91629910000000003</v>
      </c>
      <c r="Y5294">
        <v>-0.75795639999999997</v>
      </c>
      <c r="Z5294">
        <v>5.6003110000000002E-2</v>
      </c>
      <c r="AA5294">
        <v>0.64989669999999999</v>
      </c>
      <c r="AB5294">
        <v>24</v>
      </c>
      <c r="AC5294">
        <v>20.6112999999999</v>
      </c>
      <c r="AD5294">
        <v>-1.1117771615299901</v>
      </c>
      <c r="AE5294">
        <v>-6.6005399999999996</v>
      </c>
      <c r="AF5294">
        <v>-16.504768802422401</v>
      </c>
      <c r="AG5294">
        <v>-1.1117771615299901</v>
      </c>
      <c r="AH5294">
        <v>13.911257204379</v>
      </c>
      <c r="AI5294">
        <v>92.948466680408004</v>
      </c>
      <c r="AJ5294">
        <v>139.873703755458</v>
      </c>
      <c r="AK5294">
        <v>21.614035224471699</v>
      </c>
    </row>
    <row r="5295" spans="1:37" x14ac:dyDescent="0.2">
      <c r="A5295" t="str">
        <f>"20200111153757523"</f>
        <v>20200111153757523</v>
      </c>
      <c r="B5295" t="str">
        <f>"1578728277518642"</f>
        <v>1578728277518642</v>
      </c>
      <c r="C5295" t="s">
        <v>37</v>
      </c>
      <c r="D5295">
        <v>5.4128049999999996</v>
      </c>
      <c r="E5295">
        <v>0.33737449999999902</v>
      </c>
      <c r="F5295" t="s">
        <v>53</v>
      </c>
      <c r="G5295">
        <v>-284.2045</v>
      </c>
      <c r="H5295" s="1">
        <v>-5.0435699999999999E-6</v>
      </c>
      <c r="I5295">
        <v>-55.553289999999997</v>
      </c>
      <c r="J5295">
        <v>-300.20780000000002</v>
      </c>
      <c r="K5295">
        <v>1.111885</v>
      </c>
      <c r="L5295">
        <v>-50.167359999999903</v>
      </c>
      <c r="M5295">
        <v>0.39123429999999998</v>
      </c>
      <c r="N5295">
        <v>0</v>
      </c>
      <c r="O5295">
        <v>-0.92020579999999996</v>
      </c>
      <c r="P5295">
        <v>0.72422359999999997</v>
      </c>
      <c r="Q5295">
        <v>3.7483420000000003E-2</v>
      </c>
      <c r="R5295">
        <v>-0.68854579999999999</v>
      </c>
      <c r="S5295">
        <v>3.1376040000000001</v>
      </c>
      <c r="T5295">
        <v>-0.21659419999999999</v>
      </c>
      <c r="U5295">
        <v>-1.090851</v>
      </c>
      <c r="V5295">
        <v>-0.39789400000000003</v>
      </c>
      <c r="W5295">
        <v>4.1876289999999997E-2</v>
      </c>
      <c r="X5295">
        <v>0.91647520000000005</v>
      </c>
      <c r="Y5295">
        <v>-0.73827219999999905</v>
      </c>
      <c r="Z5295">
        <v>7.1143979999999996E-2</v>
      </c>
      <c r="AA5295">
        <v>0.67074029999999996</v>
      </c>
      <c r="AB5295">
        <v>24</v>
      </c>
      <c r="AC5295">
        <v>16.003299999999999</v>
      </c>
      <c r="AD5295">
        <v>-1.1118900435700001</v>
      </c>
      <c r="AE5295">
        <v>-5.3859300000000001</v>
      </c>
      <c r="AF5295">
        <v>-12.565672922152499</v>
      </c>
      <c r="AG5295">
        <v>-1.1118900435700001</v>
      </c>
      <c r="AH5295">
        <v>11.169651195540901</v>
      </c>
      <c r="AI5295">
        <v>93.783749978937195</v>
      </c>
      <c r="AJ5295">
        <v>138.36604254282901</v>
      </c>
      <c r="AK5295">
        <v>16.8491407284038</v>
      </c>
    </row>
    <row r="5296" spans="1:37" x14ac:dyDescent="0.2">
      <c r="A5296" t="str">
        <f>"20200111153757545"</f>
        <v>20200111153757545</v>
      </c>
      <c r="B5296" t="str">
        <f>"1578728277538157"</f>
        <v>1578728277538157</v>
      </c>
      <c r="C5296" t="s">
        <v>37</v>
      </c>
      <c r="D5296">
        <v>5.2304379999999897</v>
      </c>
      <c r="E5296">
        <v>0.35675079999999998</v>
      </c>
      <c r="F5296" t="s">
        <v>53</v>
      </c>
      <c r="G5296">
        <v>-288.47449999999998</v>
      </c>
      <c r="H5296" s="1">
        <v>-3.043349E-6</v>
      </c>
      <c r="I5296">
        <v>-54.572510000000001</v>
      </c>
      <c r="J5296">
        <v>-300.10309999999998</v>
      </c>
      <c r="K5296">
        <v>1.111977</v>
      </c>
      <c r="L5296">
        <v>-50.379640000000002</v>
      </c>
      <c r="M5296">
        <v>0.40201039999999999</v>
      </c>
      <c r="N5296">
        <v>0</v>
      </c>
      <c r="O5296">
        <v>-0.9155491</v>
      </c>
      <c r="P5296">
        <v>0.73189689999999996</v>
      </c>
      <c r="Q5296">
        <v>3.7277070000000002E-2</v>
      </c>
      <c r="R5296">
        <v>-0.68039539999999998</v>
      </c>
      <c r="S5296">
        <v>3.0637819999999998</v>
      </c>
      <c r="T5296">
        <v>-0.2903348</v>
      </c>
      <c r="U5296">
        <v>-1.150269</v>
      </c>
      <c r="V5296">
        <v>-0.39741019999999999</v>
      </c>
      <c r="W5296">
        <v>4.1613780000000003E-2</v>
      </c>
      <c r="X5296">
        <v>0.91669699999999998</v>
      </c>
      <c r="Y5296">
        <v>-0.71139049999999904</v>
      </c>
      <c r="Z5296">
        <v>9.5855910000000003E-2</v>
      </c>
      <c r="AA5296">
        <v>0.69622930000000005</v>
      </c>
      <c r="AB5296">
        <v>24</v>
      </c>
      <c r="AC5296">
        <v>11.6286</v>
      </c>
      <c r="AD5296">
        <v>-1.1119800433489999</v>
      </c>
      <c r="AE5296">
        <v>-4.1928699999999903</v>
      </c>
      <c r="AF5296">
        <v>-8.8897464502877099</v>
      </c>
      <c r="AG5296">
        <v>-1.1119800433489999</v>
      </c>
      <c r="AH5296">
        <v>8.4459222343945797</v>
      </c>
      <c r="AI5296">
        <v>95.181619106104307</v>
      </c>
      <c r="AJ5296">
        <v>136.46655437288399</v>
      </c>
      <c r="AK5296">
        <v>12.3125015312344</v>
      </c>
    </row>
    <row r="5297" spans="1:37" x14ac:dyDescent="0.2">
      <c r="A5297" t="str">
        <f>"20200111153757568"</f>
        <v>20200111153757568</v>
      </c>
      <c r="B5297" t="str">
        <f>"1578728277558653"</f>
        <v>1578728277558653</v>
      </c>
      <c r="C5297" t="s">
        <v>37</v>
      </c>
      <c r="D5297">
        <v>5.2033889999999996</v>
      </c>
      <c r="E5297">
        <v>0.36765929999999902</v>
      </c>
      <c r="F5297" t="s">
        <v>53</v>
      </c>
      <c r="G5297">
        <v>-288.56810000000002</v>
      </c>
      <c r="H5297" s="1">
        <v>-2.8591159999999999E-6</v>
      </c>
      <c r="I5297">
        <v>-55.151969999999999</v>
      </c>
      <c r="J5297">
        <v>-299.9991</v>
      </c>
      <c r="K5297">
        <v>1.112061</v>
      </c>
      <c r="L5297">
        <v>-50.584589999999999</v>
      </c>
      <c r="M5297">
        <v>0.41255119999999901</v>
      </c>
      <c r="N5297">
        <v>0</v>
      </c>
      <c r="O5297">
        <v>-0.91084769999999904</v>
      </c>
      <c r="P5297">
        <v>0.73909939999999996</v>
      </c>
      <c r="Q5297">
        <v>3.6675560000000003E-2</v>
      </c>
      <c r="R5297">
        <v>-0.67259749999999996</v>
      </c>
      <c r="S5297">
        <v>2.9708860000000001</v>
      </c>
      <c r="T5297">
        <v>-0.28639290000000001</v>
      </c>
      <c r="U5297">
        <v>-1.2291259999999999</v>
      </c>
      <c r="V5297">
        <v>-0.39657300000000001</v>
      </c>
      <c r="W5297">
        <v>4.097394E-2</v>
      </c>
      <c r="X5297">
        <v>0.91708829999999997</v>
      </c>
      <c r="Y5297">
        <v>-0.67958499999999999</v>
      </c>
      <c r="Z5297">
        <v>9.5266809999999993E-2</v>
      </c>
      <c r="AA5297">
        <v>0.7273847</v>
      </c>
      <c r="AB5297">
        <v>24</v>
      </c>
      <c r="AC5297">
        <v>11.4309999999999</v>
      </c>
      <c r="AD5297">
        <v>-1.1120638591159999</v>
      </c>
      <c r="AE5297">
        <v>-4.5673799999999902</v>
      </c>
      <c r="AF5297">
        <v>-8.4592562658359203</v>
      </c>
      <c r="AG5297">
        <v>-1.1120638591159999</v>
      </c>
      <c r="AH5297">
        <v>8.8049012220608205</v>
      </c>
      <c r="AI5297">
        <v>95.204013231769807</v>
      </c>
      <c r="AJ5297">
        <v>133.85303688974599</v>
      </c>
      <c r="AK5297">
        <v>12.260586777478601</v>
      </c>
    </row>
    <row r="5298" spans="1:37" x14ac:dyDescent="0.2">
      <c r="A5298" t="str">
        <f>"20200111153757590"</f>
        <v>20200111153757590</v>
      </c>
      <c r="B5298" t="str">
        <f>"1578728277578174"</f>
        <v>1578728277578174</v>
      </c>
      <c r="C5298" t="s">
        <v>37</v>
      </c>
      <c r="D5298">
        <v>5.2873539999999997</v>
      </c>
      <c r="E5298">
        <v>0.37159039999999999</v>
      </c>
      <c r="F5298" t="s">
        <v>53</v>
      </c>
      <c r="G5298">
        <v>-288.07029999999997</v>
      </c>
      <c r="H5298" s="1">
        <v>-3.0259850000000001E-6</v>
      </c>
      <c r="I5298">
        <v>-55.726459999999904</v>
      </c>
      <c r="J5298">
        <v>-299.89159999999998</v>
      </c>
      <c r="K5298">
        <v>1.1121379999999901</v>
      </c>
      <c r="L5298">
        <v>-50.789920000000002</v>
      </c>
      <c r="M5298">
        <v>0.423253299999999</v>
      </c>
      <c r="N5298">
        <v>0</v>
      </c>
      <c r="O5298">
        <v>-0.90592379999999995</v>
      </c>
      <c r="P5298">
        <v>0.74594159999999998</v>
      </c>
      <c r="Q5298">
        <v>3.5864699999999999E-2</v>
      </c>
      <c r="R5298">
        <v>-0.66504509999999994</v>
      </c>
      <c r="S5298">
        <v>2.9251099999999899</v>
      </c>
      <c r="T5298">
        <v>-0.27269520000000003</v>
      </c>
      <c r="U5298">
        <v>-1.260864</v>
      </c>
      <c r="V5298">
        <v>-0.3951249</v>
      </c>
      <c r="W5298">
        <v>4.01416E-2</v>
      </c>
      <c r="X5298">
        <v>0.91774999999999995</v>
      </c>
      <c r="Y5298">
        <v>-0.66041850000000002</v>
      </c>
      <c r="Z5298">
        <v>9.0981270000000003E-2</v>
      </c>
      <c r="AA5298">
        <v>0.74536559999999996</v>
      </c>
      <c r="AB5298">
        <v>24</v>
      </c>
      <c r="AC5298">
        <v>11.821300000000001</v>
      </c>
      <c r="AD5298">
        <v>-1.11214102598499</v>
      </c>
      <c r="AE5298">
        <v>-4.9365399999999902</v>
      </c>
      <c r="AF5298">
        <v>-8.5559908454016291</v>
      </c>
      <c r="AG5298">
        <v>-1.11214102598499</v>
      </c>
      <c r="AH5298">
        <v>9.4054002072007794</v>
      </c>
      <c r="AI5298">
        <v>94.998831974617502</v>
      </c>
      <c r="AJ5298">
        <v>132.292451373566</v>
      </c>
      <c r="AK5298">
        <v>12.7633612369895</v>
      </c>
    </row>
    <row r="5299" spans="1:37" x14ac:dyDescent="0.2">
      <c r="A5299" t="str">
        <f>"20200111153757612"</f>
        <v>20200111153757612</v>
      </c>
      <c r="B5299" t="str">
        <f>"1578728277608429"</f>
        <v>1578728277608429</v>
      </c>
      <c r="C5299" t="s">
        <v>37</v>
      </c>
      <c r="D5299">
        <v>5.264481</v>
      </c>
      <c r="E5299">
        <v>0.3742452</v>
      </c>
      <c r="F5299" t="s">
        <v>53</v>
      </c>
      <c r="G5299">
        <v>-287.90519999999998</v>
      </c>
      <c r="H5299" s="1">
        <v>-3.0761079999999999E-6</v>
      </c>
      <c r="I5299">
        <v>-55.940800000000003</v>
      </c>
      <c r="J5299">
        <v>-299.78269999999998</v>
      </c>
      <c r="K5299">
        <v>1.1122069999999999</v>
      </c>
      <c r="L5299">
        <v>-50.992100000000001</v>
      </c>
      <c r="M5299">
        <v>0.43392839999999999</v>
      </c>
      <c r="N5299">
        <v>0</v>
      </c>
      <c r="O5299">
        <v>-0.90085879999999996</v>
      </c>
      <c r="P5299">
        <v>0.75320559999999903</v>
      </c>
      <c r="Q5299">
        <v>3.468889E-2</v>
      </c>
      <c r="R5299">
        <v>-0.65687010000000001</v>
      </c>
      <c r="S5299">
        <v>2.9171450000000001</v>
      </c>
      <c r="T5299">
        <v>-0.27066200000000001</v>
      </c>
      <c r="U5299">
        <v>-1.253571</v>
      </c>
      <c r="V5299">
        <v>-0.3943256</v>
      </c>
      <c r="W5299">
        <v>3.893042E-2</v>
      </c>
      <c r="X5299">
        <v>0.91814580000000001</v>
      </c>
      <c r="Y5299">
        <v>-0.65242259999999996</v>
      </c>
      <c r="Z5299">
        <v>9.0285260000000006E-2</v>
      </c>
      <c r="AA5299">
        <v>0.75245819999999997</v>
      </c>
      <c r="AB5299">
        <v>24</v>
      </c>
      <c r="AC5299">
        <v>11.8774999999999</v>
      </c>
      <c r="AD5299">
        <v>-1.112210076108</v>
      </c>
      <c r="AE5299">
        <v>-4.9486999999999997</v>
      </c>
      <c r="AF5299">
        <v>-8.4898199195107793</v>
      </c>
      <c r="AG5299">
        <v>-1.112210076108</v>
      </c>
      <c r="AH5299">
        <v>9.5415421388888806</v>
      </c>
      <c r="AI5299">
        <v>94.976960391665997</v>
      </c>
      <c r="AJ5299">
        <v>131.66186904363801</v>
      </c>
      <c r="AK5299">
        <v>12.8201045201398</v>
      </c>
    </row>
    <row r="5300" spans="1:37" x14ac:dyDescent="0.2">
      <c r="A5300" t="str">
        <f>"20200111153757635"</f>
        <v>20200111153757635</v>
      </c>
      <c r="B5300" t="str">
        <f>"1578728277628967"</f>
        <v>1578728277628967</v>
      </c>
      <c r="C5300" t="s">
        <v>37</v>
      </c>
      <c r="D5300">
        <v>5.267201</v>
      </c>
      <c r="E5300">
        <v>0.37509150000000002</v>
      </c>
      <c r="F5300" t="s">
        <v>53</v>
      </c>
      <c r="G5300">
        <v>-287.66399999999999</v>
      </c>
      <c r="H5300" s="1">
        <v>-3.1765060000000002E-6</v>
      </c>
      <c r="I5300">
        <v>-56.131119999999903</v>
      </c>
      <c r="J5300">
        <v>-299.66539999999998</v>
      </c>
      <c r="K5300">
        <v>1.1122989999999999</v>
      </c>
      <c r="L5300">
        <v>-51.203400000000002</v>
      </c>
      <c r="M5300">
        <v>0.44523049999999997</v>
      </c>
      <c r="N5300">
        <v>0</v>
      </c>
      <c r="O5300">
        <v>-0.89532639999999997</v>
      </c>
      <c r="P5300">
        <v>0.76111619999999902</v>
      </c>
      <c r="Q5300">
        <v>3.4369719999999999E-2</v>
      </c>
      <c r="R5300">
        <v>-0.64770439999999996</v>
      </c>
      <c r="S5300">
        <v>2.916687</v>
      </c>
      <c r="T5300">
        <v>-0.26768399999999998</v>
      </c>
      <c r="U5300">
        <v>-1.236847</v>
      </c>
      <c r="V5300">
        <v>-0.39390140000000001</v>
      </c>
      <c r="W5300">
        <v>3.8560190000000001E-2</v>
      </c>
      <c r="X5300">
        <v>0.91834349999999998</v>
      </c>
      <c r="Y5300">
        <v>-0.64658859999999996</v>
      </c>
      <c r="Z5300">
        <v>8.9218679999999995E-2</v>
      </c>
      <c r="AA5300">
        <v>0.75760360000000004</v>
      </c>
      <c r="AB5300">
        <v>24</v>
      </c>
      <c r="AC5300">
        <v>12.001399999999901</v>
      </c>
      <c r="AD5300">
        <v>-1.1123021765059999</v>
      </c>
      <c r="AE5300">
        <v>-4.9277199999999901</v>
      </c>
      <c r="AF5300">
        <v>-8.4894826690036496</v>
      </c>
      <c r="AG5300">
        <v>-1.1123021765059999</v>
      </c>
      <c r="AH5300">
        <v>9.6849004035305004</v>
      </c>
      <c r="AI5300">
        <v>94.936134513284699</v>
      </c>
      <c r="AJ5300">
        <v>131.236798100556</v>
      </c>
      <c r="AK5300">
        <v>12.926941940980401</v>
      </c>
    </row>
    <row r="5301" spans="1:37" x14ac:dyDescent="0.2">
      <c r="A5301" t="str">
        <f>"20200111153757658"</f>
        <v>20200111153757658</v>
      </c>
      <c r="B5301" t="str">
        <f>"1578728277648488"</f>
        <v>1578728277648488</v>
      </c>
      <c r="C5301" t="s">
        <v>37</v>
      </c>
      <c r="D5301">
        <v>5.5803039999999999</v>
      </c>
      <c r="E5301">
        <v>0.37591629999999998</v>
      </c>
      <c r="F5301" t="s">
        <v>53</v>
      </c>
      <c r="G5301">
        <v>-287.5154</v>
      </c>
      <c r="H5301" s="1">
        <v>-3.24647699999999E-6</v>
      </c>
      <c r="I5301">
        <v>-56.211969999999901</v>
      </c>
      <c r="J5301">
        <v>-299.55070000000001</v>
      </c>
      <c r="K5301">
        <v>1.1123909999999999</v>
      </c>
      <c r="L5301">
        <v>-51.40381</v>
      </c>
      <c r="M5301">
        <v>0.45608409999999899</v>
      </c>
      <c r="N5301">
        <v>0</v>
      </c>
      <c r="O5301">
        <v>-0.88984599999999903</v>
      </c>
      <c r="P5301">
        <v>0.76904110000000003</v>
      </c>
      <c r="Q5301">
        <v>3.4070349999999999E-2</v>
      </c>
      <c r="R5301">
        <v>-0.63829080000000005</v>
      </c>
      <c r="S5301">
        <v>2.9269409999999998</v>
      </c>
      <c r="T5301">
        <v>-0.26795580000000002</v>
      </c>
      <c r="U5301">
        <v>-1.2065729999999999</v>
      </c>
      <c r="V5301">
        <v>-0.394049599999999</v>
      </c>
      <c r="W5301">
        <v>3.8194720000000001E-2</v>
      </c>
      <c r="X5301">
        <v>0.91829519999999998</v>
      </c>
      <c r="Y5301">
        <v>-0.64496279999999995</v>
      </c>
      <c r="Z5301">
        <v>8.9200660000000001E-2</v>
      </c>
      <c r="AA5301">
        <v>0.75899030000000001</v>
      </c>
      <c r="AB5301">
        <v>24</v>
      </c>
      <c r="AC5301">
        <v>12.035299999999999</v>
      </c>
      <c r="AD5301">
        <v>-1.11239424647699</v>
      </c>
      <c r="AE5301">
        <v>-4.8081599999999902</v>
      </c>
      <c r="AF5301">
        <v>-8.4550368520523609</v>
      </c>
      <c r="AG5301">
        <v>-1.11239424647699</v>
      </c>
      <c r="AH5301">
        <v>9.6969810170993505</v>
      </c>
      <c r="AI5301">
        <v>94.941724736420198</v>
      </c>
      <c r="AJ5301">
        <v>131.08597589935201</v>
      </c>
      <c r="AK5301">
        <v>12.913423634929</v>
      </c>
    </row>
    <row r="5302" spans="1:37" x14ac:dyDescent="0.2">
      <c r="A5302" t="str">
        <f>"20200111153757680"</f>
        <v>20200111153757680</v>
      </c>
      <c r="B5302" t="str">
        <f>"1578728277668983"</f>
        <v>1578728277668983</v>
      </c>
      <c r="C5302" t="s">
        <v>37</v>
      </c>
      <c r="D5302">
        <v>5.2667159999999997</v>
      </c>
      <c r="E5302">
        <v>0.37674790000000002</v>
      </c>
      <c r="F5302" t="s">
        <v>53</v>
      </c>
      <c r="G5302">
        <v>-287.27780000000001</v>
      </c>
      <c r="H5302" s="1">
        <v>-3.3643569999999998E-6</v>
      </c>
      <c r="I5302">
        <v>-56.314430000000002</v>
      </c>
      <c r="J5302">
        <v>-299.43529999999998</v>
      </c>
      <c r="K5302">
        <v>1.112476</v>
      </c>
      <c r="L5302">
        <v>-51.599609999999998</v>
      </c>
      <c r="M5302">
        <v>0.46682190000000001</v>
      </c>
      <c r="N5302">
        <v>0</v>
      </c>
      <c r="O5302">
        <v>-0.88425989999999999</v>
      </c>
      <c r="P5302">
        <v>0.77632109999999999</v>
      </c>
      <c r="Q5302">
        <v>3.4248439999999998E-2</v>
      </c>
      <c r="R5302">
        <v>-0.62940649999999998</v>
      </c>
      <c r="S5302">
        <v>2.9372859999999998</v>
      </c>
      <c r="T5302">
        <v>-0.26623019999999997</v>
      </c>
      <c r="U5302">
        <v>-1.175262</v>
      </c>
      <c r="V5302">
        <v>-0.39349719999999999</v>
      </c>
      <c r="W5302">
        <v>3.8325280000000003E-2</v>
      </c>
      <c r="X5302">
        <v>0.91852659999999997</v>
      </c>
      <c r="Y5302">
        <v>-0.6436849</v>
      </c>
      <c r="Z5302">
        <v>8.8516590000000006E-2</v>
      </c>
      <c r="AA5302">
        <v>0.76015440000000001</v>
      </c>
      <c r="AB5302">
        <v>24</v>
      </c>
      <c r="AC5302">
        <v>12.157499999999899</v>
      </c>
      <c r="AD5302">
        <v>-1.1124793643569999</v>
      </c>
      <c r="AE5302">
        <v>-4.7148199999999996</v>
      </c>
      <c r="AF5302">
        <v>-8.4883170048252499</v>
      </c>
      <c r="AG5302">
        <v>-1.1124793643569999</v>
      </c>
      <c r="AH5302">
        <v>9.7741675816865694</v>
      </c>
      <c r="AI5302">
        <v>94.911681700967193</v>
      </c>
      <c r="AJ5302">
        <v>130.972485229244</v>
      </c>
      <c r="AK5302">
        <v>12.993209296606301</v>
      </c>
    </row>
    <row r="5303" spans="1:37" x14ac:dyDescent="0.2">
      <c r="A5303" t="str">
        <f>"20200111153757702"</f>
        <v>20200111153757702</v>
      </c>
      <c r="B5303" t="str">
        <f>"1578728277698264"</f>
        <v>1578728277698264</v>
      </c>
      <c r="C5303" t="s">
        <v>37</v>
      </c>
      <c r="D5303">
        <v>5.3376970000000004</v>
      </c>
      <c r="E5303">
        <v>0.37850009999999901</v>
      </c>
      <c r="F5303" t="s">
        <v>53</v>
      </c>
      <c r="G5303">
        <v>-286.82190000000003</v>
      </c>
      <c r="H5303" s="1">
        <v>-3.5851779999999998E-6</v>
      </c>
      <c r="I5303">
        <v>-56.505000000000003</v>
      </c>
      <c r="J5303">
        <v>-299.31389999999999</v>
      </c>
      <c r="K5303">
        <v>1.1125719999999999</v>
      </c>
      <c r="L5303">
        <v>-51.799219999999998</v>
      </c>
      <c r="M5303">
        <v>0.47791459999999902</v>
      </c>
      <c r="N5303">
        <v>0</v>
      </c>
      <c r="O5303">
        <v>-0.87831389999999998</v>
      </c>
      <c r="P5303">
        <v>0.78386829999999996</v>
      </c>
      <c r="Q5303">
        <v>3.460481E-2</v>
      </c>
      <c r="R5303">
        <v>-0.61996249999999997</v>
      </c>
      <c r="S5303">
        <v>2.9467469999999998</v>
      </c>
      <c r="T5303">
        <v>-0.2598973</v>
      </c>
      <c r="U5303">
        <v>-1.145996</v>
      </c>
      <c r="V5303">
        <v>-0.39305759999999901</v>
      </c>
      <c r="W5303">
        <v>3.8633569999999999E-2</v>
      </c>
      <c r="X5303">
        <v>0.91870189999999996</v>
      </c>
      <c r="Y5303">
        <v>-0.64164849999999996</v>
      </c>
      <c r="Z5303">
        <v>8.6261640000000001E-2</v>
      </c>
      <c r="AA5303">
        <v>0.76213260000000005</v>
      </c>
      <c r="AB5303">
        <v>24</v>
      </c>
      <c r="AC5303">
        <v>12.4919999999999</v>
      </c>
      <c r="AD5303">
        <v>-1.1125755851779999</v>
      </c>
      <c r="AE5303">
        <v>-4.7057799999999999</v>
      </c>
      <c r="AF5303">
        <v>-8.6634637510042598</v>
      </c>
      <c r="AG5303">
        <v>-1.1125755851779999</v>
      </c>
      <c r="AH5303">
        <v>10.034377663489</v>
      </c>
      <c r="AI5303">
        <v>94.797278792708497</v>
      </c>
      <c r="AJ5303">
        <v>130.80661309615601</v>
      </c>
      <c r="AK5303">
        <v>13.303464349229699</v>
      </c>
    </row>
    <row r="5304" spans="1:37" x14ac:dyDescent="0.2">
      <c r="A5304" t="str">
        <f>"20200111153757725"</f>
        <v>20200111153757725</v>
      </c>
      <c r="B5304" t="str">
        <f>"1578728277718759"</f>
        <v>1578728277718759</v>
      </c>
      <c r="C5304" t="s">
        <v>37</v>
      </c>
      <c r="D5304">
        <v>5.3547330000000004</v>
      </c>
      <c r="E5304">
        <v>0.37934669999999998</v>
      </c>
      <c r="F5304" t="s">
        <v>53</v>
      </c>
      <c r="G5304">
        <v>-286.83600000000001</v>
      </c>
      <c r="H5304" s="1">
        <v>-3.5721289999999998E-6</v>
      </c>
      <c r="I5304">
        <v>-56.538490000000003</v>
      </c>
      <c r="J5304">
        <v>-299.18759999999997</v>
      </c>
      <c r="K5304">
        <v>1.1126529999999999</v>
      </c>
      <c r="L5304">
        <v>-52.00076</v>
      </c>
      <c r="M5304">
        <v>0.48923159999999999</v>
      </c>
      <c r="N5304">
        <v>0</v>
      </c>
      <c r="O5304">
        <v>-0.87206019999999895</v>
      </c>
      <c r="P5304">
        <v>0.7911724</v>
      </c>
      <c r="Q5304">
        <v>3.5206729999999999E-2</v>
      </c>
      <c r="R5304">
        <v>-0.61057879999999998</v>
      </c>
      <c r="S5304">
        <v>2.952026</v>
      </c>
      <c r="T5304">
        <v>-0.26321329999999998</v>
      </c>
      <c r="U5304">
        <v>-1.121216</v>
      </c>
      <c r="V5304">
        <v>-0.39212029999999998</v>
      </c>
      <c r="W5304">
        <v>3.9208680000000003E-2</v>
      </c>
      <c r="X5304">
        <v>0.91907799999999995</v>
      </c>
      <c r="Y5304">
        <v>-0.63769609999999999</v>
      </c>
      <c r="Z5304">
        <v>8.7171579999999999E-2</v>
      </c>
      <c r="AA5304">
        <v>0.76533969999999996</v>
      </c>
      <c r="AB5304">
        <v>24</v>
      </c>
      <c r="AC5304">
        <v>12.3515999999999</v>
      </c>
      <c r="AD5304">
        <v>-1.112656572129</v>
      </c>
      <c r="AE5304">
        <v>-4.5377299999999998</v>
      </c>
      <c r="AF5304">
        <v>-8.4913257520271799</v>
      </c>
      <c r="AG5304">
        <v>-1.112656572129</v>
      </c>
      <c r="AH5304">
        <v>9.9297883786493006</v>
      </c>
      <c r="AI5304">
        <v>94.867614703556399</v>
      </c>
      <c r="AJ5304">
        <v>130.534964516656</v>
      </c>
      <c r="AK5304">
        <v>13.1126395100033</v>
      </c>
    </row>
    <row r="5305" spans="1:37" x14ac:dyDescent="0.2">
      <c r="A5305" t="str">
        <f>"20200111153757747"</f>
        <v>20200111153757747</v>
      </c>
      <c r="B5305" t="str">
        <f>"1578728277738924"</f>
        <v>1578728277738924</v>
      </c>
      <c r="C5305" t="s">
        <v>37</v>
      </c>
      <c r="D5305">
        <v>5.369389</v>
      </c>
      <c r="E5305">
        <v>0.38006999999999902</v>
      </c>
      <c r="F5305" t="s">
        <v>53</v>
      </c>
      <c r="G5305">
        <v>-286.7799</v>
      </c>
      <c r="H5305" s="1">
        <v>-3.5939800000000001E-6</v>
      </c>
      <c r="I5305">
        <v>-56.574190000000002</v>
      </c>
      <c r="J5305">
        <v>-299.05860000000001</v>
      </c>
      <c r="K5305">
        <v>1.112725</v>
      </c>
      <c r="L5305">
        <v>-52.200870000000002</v>
      </c>
      <c r="M5305">
        <v>0.50057549999999995</v>
      </c>
      <c r="N5305">
        <v>0</v>
      </c>
      <c r="O5305">
        <v>-0.86559809999999904</v>
      </c>
      <c r="P5305">
        <v>0.79824759999999995</v>
      </c>
      <c r="Q5305">
        <v>3.5613609999999997E-2</v>
      </c>
      <c r="R5305">
        <v>-0.60127569999999997</v>
      </c>
      <c r="S5305">
        <v>2.9613040000000002</v>
      </c>
      <c r="T5305">
        <v>-0.265553599999999</v>
      </c>
      <c r="U5305">
        <v>-1.0915219999999899</v>
      </c>
      <c r="V5305">
        <v>-0.39087749999999999</v>
      </c>
      <c r="W5305">
        <v>3.960557E-2</v>
      </c>
      <c r="X5305">
        <v>0.91959020000000002</v>
      </c>
      <c r="Y5305">
        <v>-0.63513580000000003</v>
      </c>
      <c r="Z5305">
        <v>8.771487E-2</v>
      </c>
      <c r="AA5305">
        <v>0.76740379999999997</v>
      </c>
      <c r="AB5305">
        <v>24</v>
      </c>
      <c r="AC5305">
        <v>12.278700000000001</v>
      </c>
      <c r="AD5305">
        <v>-1.11272859397999</v>
      </c>
      <c r="AE5305">
        <v>-4.3733199999999997</v>
      </c>
      <c r="AF5305">
        <v>-8.3788703918516294</v>
      </c>
      <c r="AG5305">
        <v>-1.11272859397999</v>
      </c>
      <c r="AH5305">
        <v>9.8609032517751292</v>
      </c>
      <c r="AI5305">
        <v>94.914863710476297</v>
      </c>
      <c r="AJ5305">
        <v>130.35476163633501</v>
      </c>
      <c r="AK5305">
        <v>12.9877267798555</v>
      </c>
    </row>
    <row r="5306" spans="1:37" x14ac:dyDescent="0.2">
      <c r="A5306" t="str">
        <f>"20200111153757769"</f>
        <v>20200111153757769</v>
      </c>
      <c r="B5306" t="str">
        <f>"1578728277758444"</f>
        <v>1578728277758444</v>
      </c>
      <c r="C5306" t="s">
        <v>37</v>
      </c>
      <c r="D5306">
        <v>5.3689039999999997</v>
      </c>
      <c r="E5306">
        <v>0.3807798</v>
      </c>
      <c r="F5306" t="s">
        <v>53</v>
      </c>
      <c r="G5306">
        <v>-286.74009999999998</v>
      </c>
      <c r="H5306" s="1">
        <v>-3.6087939999999999E-6</v>
      </c>
      <c r="I5306">
        <v>-56.603400000000001</v>
      </c>
      <c r="J5306">
        <v>-298.93630000000002</v>
      </c>
      <c r="K5306">
        <v>1.112778</v>
      </c>
      <c r="L5306">
        <v>-52.385190000000001</v>
      </c>
      <c r="M5306">
        <v>0.51112170000000001</v>
      </c>
      <c r="N5306">
        <v>0</v>
      </c>
      <c r="O5306">
        <v>-0.85941259999999997</v>
      </c>
      <c r="P5306">
        <v>0.8047607</v>
      </c>
      <c r="Q5306">
        <v>3.564229E-2</v>
      </c>
      <c r="R5306">
        <v>-0.59252830000000001</v>
      </c>
      <c r="S5306">
        <v>2.97052</v>
      </c>
      <c r="T5306">
        <v>-0.26832820000000002</v>
      </c>
      <c r="U5306">
        <v>-1.0616459999999901</v>
      </c>
      <c r="V5306">
        <v>-0.38967439999999998</v>
      </c>
      <c r="W5306">
        <v>3.9632729999999998E-2</v>
      </c>
      <c r="X5306">
        <v>0.92009949999999996</v>
      </c>
      <c r="Y5306">
        <v>-0.63323859999999998</v>
      </c>
      <c r="Z5306">
        <v>8.8407929999999996E-2</v>
      </c>
      <c r="AA5306">
        <v>0.76889069999999904</v>
      </c>
      <c r="AB5306">
        <v>24</v>
      </c>
      <c r="AC5306">
        <v>12.196199999999999</v>
      </c>
      <c r="AD5306">
        <v>-1.1127816087939999</v>
      </c>
      <c r="AE5306">
        <v>-4.2182099999999902</v>
      </c>
      <c r="AF5306">
        <v>-8.2647832006048194</v>
      </c>
      <c r="AG5306">
        <v>-1.1127816087939999</v>
      </c>
      <c r="AH5306">
        <v>9.7869674906599204</v>
      </c>
      <c r="AI5306">
        <v>94.964789193136298</v>
      </c>
      <c r="AJ5306">
        <v>130.18002973903901</v>
      </c>
      <c r="AK5306">
        <v>12.8580580541971</v>
      </c>
    </row>
    <row r="5307" spans="1:37" x14ac:dyDescent="0.2">
      <c r="A5307" t="str">
        <f>"20200111153757791"</f>
        <v>20200111153757791</v>
      </c>
      <c r="B5307" t="str">
        <f>"1578728277778940"</f>
        <v>1578728277778940</v>
      </c>
      <c r="C5307" t="s">
        <v>37</v>
      </c>
      <c r="D5307">
        <v>5.402952</v>
      </c>
      <c r="E5307">
        <v>0.38151020000000002</v>
      </c>
      <c r="F5307" t="s">
        <v>53</v>
      </c>
      <c r="G5307">
        <v>-286.71629999999999</v>
      </c>
      <c r="H5307" s="1">
        <v>-3.6167679999999998E-6</v>
      </c>
      <c r="I5307">
        <v>-56.625950000000003</v>
      </c>
      <c r="J5307">
        <v>-298.80599999999998</v>
      </c>
      <c r="K5307">
        <v>1.112833</v>
      </c>
      <c r="L5307">
        <v>-52.576140000000002</v>
      </c>
      <c r="M5307">
        <v>0.52213999999999905</v>
      </c>
      <c r="N5307">
        <v>0</v>
      </c>
      <c r="O5307">
        <v>-0.85276299999999905</v>
      </c>
      <c r="P5307">
        <v>0.81143949999999998</v>
      </c>
      <c r="Q5307">
        <v>3.5446140000000001E-2</v>
      </c>
      <c r="R5307">
        <v>-0.58336060000000001</v>
      </c>
      <c r="S5307">
        <v>2.978729</v>
      </c>
      <c r="T5307">
        <v>-0.27125070000000001</v>
      </c>
      <c r="U5307">
        <v>-1.033722</v>
      </c>
      <c r="V5307">
        <v>-0.38827859999999997</v>
      </c>
      <c r="W5307">
        <v>3.9441669999999998E-2</v>
      </c>
      <c r="X5307">
        <v>0.9206976</v>
      </c>
      <c r="Y5307">
        <v>-0.63031329999999997</v>
      </c>
      <c r="Z5307">
        <v>8.9083410000000002E-2</v>
      </c>
      <c r="AA5307">
        <v>0.77121289999999998</v>
      </c>
      <c r="AB5307">
        <v>24</v>
      </c>
      <c r="AC5307">
        <v>12.089699999999899</v>
      </c>
      <c r="AD5307">
        <v>-1.1128366167679999</v>
      </c>
      <c r="AE5307">
        <v>-4.0498099999999999</v>
      </c>
      <c r="AF5307">
        <v>-8.1337938625625199</v>
      </c>
      <c r="AG5307">
        <v>-1.1128366167679999</v>
      </c>
      <c r="AH5307">
        <v>9.6930083987831193</v>
      </c>
      <c r="AI5307">
        <v>95.026026383964506</v>
      </c>
      <c r="AJ5307">
        <v>130.00136696960101</v>
      </c>
      <c r="AK5307">
        <v>12.702417870356699</v>
      </c>
    </row>
    <row r="5308" spans="1:37" x14ac:dyDescent="0.2">
      <c r="A5308" t="str">
        <f>"20200111153757814"</f>
        <v>20200111153757814</v>
      </c>
      <c r="B5308" t="str">
        <f>"1578728277808223"</f>
        <v>1578728277808223</v>
      </c>
      <c r="C5308" t="s">
        <v>37</v>
      </c>
      <c r="D5308">
        <v>5.3826900000000002</v>
      </c>
      <c r="E5308">
        <v>0.43684099999999998</v>
      </c>
      <c r="F5308" t="s">
        <v>53</v>
      </c>
      <c r="G5308">
        <v>-286.6234</v>
      </c>
      <c r="H5308" s="1">
        <v>-3.6552580000000001E-6</v>
      </c>
      <c r="I5308">
        <v>-56.672490000000003</v>
      </c>
      <c r="J5308">
        <v>-298.6703</v>
      </c>
      <c r="K5308">
        <v>1.1128899999999999</v>
      </c>
      <c r="L5308">
        <v>-52.769469999999998</v>
      </c>
      <c r="M5308">
        <v>0.53338439999999998</v>
      </c>
      <c r="N5308">
        <v>0</v>
      </c>
      <c r="O5308">
        <v>-0.84577500000000005</v>
      </c>
      <c r="P5308">
        <v>0.81843909999999997</v>
      </c>
      <c r="Q5308">
        <v>3.5187410000000002E-2</v>
      </c>
      <c r="R5308">
        <v>-0.57351540000000001</v>
      </c>
      <c r="S5308">
        <v>2.9870000000000001</v>
      </c>
      <c r="T5308">
        <v>-0.2728508</v>
      </c>
      <c r="U5308">
        <v>-1.004364</v>
      </c>
      <c r="V5308">
        <v>-0.38722119999999999</v>
      </c>
      <c r="W5308">
        <v>3.9180569999999998E-2</v>
      </c>
      <c r="X5308">
        <v>0.92115400000000003</v>
      </c>
      <c r="Y5308">
        <v>-0.62747779999999997</v>
      </c>
      <c r="Z5308">
        <v>8.9302599999999996E-2</v>
      </c>
      <c r="AA5308">
        <v>0.77349639999999997</v>
      </c>
      <c r="AB5308">
        <v>24</v>
      </c>
      <c r="AC5308">
        <v>12.0468999999999</v>
      </c>
      <c r="AD5308">
        <v>-1.112893655258</v>
      </c>
      <c r="AE5308">
        <v>-3.9030200000000002</v>
      </c>
      <c r="AF5308">
        <v>-8.0456888158756996</v>
      </c>
      <c r="AG5308">
        <v>-1.112893655258</v>
      </c>
      <c r="AH5308">
        <v>9.6529578845673001</v>
      </c>
      <c r="AI5308">
        <v>95.060998307249804</v>
      </c>
      <c r="AJ5308">
        <v>129.81102562418599</v>
      </c>
      <c r="AK5308">
        <v>12.6155157140344</v>
      </c>
    </row>
    <row r="5309" spans="1:37" x14ac:dyDescent="0.2">
      <c r="A5309" t="str">
        <f>"20200111153757836"</f>
        <v>20200111153757836</v>
      </c>
      <c r="B5309" t="str">
        <f>"1578728277828318"</f>
        <v>1578728277828318</v>
      </c>
      <c r="C5309" t="s">
        <v>37</v>
      </c>
      <c r="D5309">
        <v>5.3416689999999996</v>
      </c>
      <c r="E5309">
        <v>0.44103219999999999</v>
      </c>
      <c r="F5309" t="s">
        <v>38</v>
      </c>
      <c r="G5309">
        <v>-297.85610000000003</v>
      </c>
      <c r="H5309">
        <v>1.017374</v>
      </c>
      <c r="I5309">
        <v>-53.164650000000002</v>
      </c>
      <c r="J5309">
        <v>-298.53300000000002</v>
      </c>
      <c r="K5309">
        <v>1.112943</v>
      </c>
      <c r="L5309">
        <v>-52.95966</v>
      </c>
      <c r="M5309">
        <v>0.54452819999999902</v>
      </c>
      <c r="N5309">
        <v>0</v>
      </c>
      <c r="O5309">
        <v>-0.83864340000000004</v>
      </c>
      <c r="P5309">
        <v>0.82493280000000002</v>
      </c>
      <c r="Q5309">
        <v>3.4971580000000002E-2</v>
      </c>
      <c r="R5309">
        <v>-0.56414849999999905</v>
      </c>
      <c r="S5309">
        <v>2.7455750000000001</v>
      </c>
      <c r="T5309">
        <v>-0.32208249999999999</v>
      </c>
      <c r="U5309">
        <v>-1.332581</v>
      </c>
      <c r="V5309">
        <v>-0.38554139999999998</v>
      </c>
      <c r="W5309">
        <v>3.8979970000000003E-2</v>
      </c>
      <c r="X5309">
        <v>0.92186679999999999</v>
      </c>
      <c r="Y5309">
        <v>-0.51117999999999997</v>
      </c>
      <c r="Z5309">
        <v>0.10389</v>
      </c>
      <c r="AA5309">
        <v>0.85317160000000003</v>
      </c>
      <c r="AB5309">
        <v>24</v>
      </c>
      <c r="AC5309">
        <v>0.67689999999998895</v>
      </c>
      <c r="AD5309">
        <v>-9.5569000000000001E-2</v>
      </c>
      <c r="AE5309">
        <v>-0.204990000000002</v>
      </c>
      <c r="AF5309">
        <v>-0.447914321639798</v>
      </c>
      <c r="AG5309">
        <v>-9.5569000000000001E-2</v>
      </c>
      <c r="AH5309">
        <v>0.53085666431337997</v>
      </c>
      <c r="AI5309">
        <v>97.834320882976598</v>
      </c>
      <c r="AJ5309">
        <v>130.15625251280099</v>
      </c>
      <c r="AK5309">
        <v>0.70112015470742906</v>
      </c>
    </row>
    <row r="5310" spans="1:37" x14ac:dyDescent="0.2">
      <c r="A5310" t="str">
        <f>"20200111153757858"</f>
        <v>20200111153757858</v>
      </c>
      <c r="B5310" t="str">
        <f>"1578728277848814"</f>
        <v>1578728277848814</v>
      </c>
      <c r="C5310" t="s">
        <v>37</v>
      </c>
      <c r="D5310">
        <v>5.3910609999999997</v>
      </c>
      <c r="E5310">
        <v>0.44207790000000002</v>
      </c>
      <c r="F5310" t="s">
        <v>38</v>
      </c>
      <c r="G5310">
        <v>-297.74680000000001</v>
      </c>
      <c r="H5310">
        <v>1.0204610000000001</v>
      </c>
      <c r="I5310">
        <v>-53.340809999999998</v>
      </c>
      <c r="J5310">
        <v>-298.39920000000001</v>
      </c>
      <c r="K5310">
        <v>1.112992</v>
      </c>
      <c r="L5310">
        <v>-53.139980000000001</v>
      </c>
      <c r="M5310">
        <v>0.55516409999999905</v>
      </c>
      <c r="N5310">
        <v>0</v>
      </c>
      <c r="O5310">
        <v>-0.8316405</v>
      </c>
      <c r="P5310">
        <v>0.83054930000000005</v>
      </c>
      <c r="Q5310">
        <v>3.5651530000000001E-2</v>
      </c>
      <c r="R5310">
        <v>-0.55580309999999999</v>
      </c>
      <c r="S5310">
        <v>2.7418209999999998</v>
      </c>
      <c r="T5310">
        <v>-0.32245190000000001</v>
      </c>
      <c r="U5310">
        <v>-1.32843</v>
      </c>
      <c r="V5310">
        <v>-0.38308769999999998</v>
      </c>
      <c r="W5310">
        <v>3.9699440000000003E-2</v>
      </c>
      <c r="X5310">
        <v>0.92285849999999903</v>
      </c>
      <c r="Y5310">
        <v>-0.50083319999999998</v>
      </c>
      <c r="Z5310">
        <v>0.103379</v>
      </c>
      <c r="AA5310">
        <v>0.85934789999999905</v>
      </c>
      <c r="AB5310">
        <v>24</v>
      </c>
      <c r="AC5310">
        <v>0.65239999999999998</v>
      </c>
      <c r="AD5310">
        <v>-9.2530999999999905E-2</v>
      </c>
      <c r="AE5310">
        <v>-0.20082999999999601</v>
      </c>
      <c r="AF5310">
        <v>-0.42332601826178801</v>
      </c>
      <c r="AG5310">
        <v>-9.2530999999999905E-2</v>
      </c>
      <c r="AH5310">
        <v>0.51970206374124195</v>
      </c>
      <c r="AI5310">
        <v>97.8597336902384</v>
      </c>
      <c r="AJ5310">
        <v>129.16471720465501</v>
      </c>
      <c r="AK5310">
        <v>0.67665141598557699</v>
      </c>
    </row>
    <row r="5311" spans="1:37" x14ac:dyDescent="0.2">
      <c r="A5311" t="str">
        <f>"20200111153757881"</f>
        <v>20200111153757881</v>
      </c>
      <c r="B5311" t="str">
        <f>"1578728277868334"</f>
        <v>1578728277868334</v>
      </c>
      <c r="C5311" t="s">
        <v>37</v>
      </c>
      <c r="D5311">
        <v>5.3790979999999999</v>
      </c>
      <c r="E5311">
        <v>0.44241069999999999</v>
      </c>
      <c r="F5311" t="s">
        <v>38</v>
      </c>
      <c r="G5311">
        <v>-297.6266</v>
      </c>
      <c r="H5311">
        <v>1.023166</v>
      </c>
      <c r="I5311">
        <v>-53.507019999999997</v>
      </c>
      <c r="J5311">
        <v>-298.25830000000002</v>
      </c>
      <c r="K5311">
        <v>1.1130309999999899</v>
      </c>
      <c r="L5311">
        <v>-53.32443</v>
      </c>
      <c r="M5311">
        <v>0.56610830000000001</v>
      </c>
      <c r="N5311">
        <v>0</v>
      </c>
      <c r="O5311">
        <v>-0.8242292</v>
      </c>
      <c r="P5311">
        <v>0.83635329999999997</v>
      </c>
      <c r="Q5311">
        <v>3.6274899999999999E-2</v>
      </c>
      <c r="R5311">
        <v>-0.54698959999999996</v>
      </c>
      <c r="S5311">
        <v>2.7509459999999999</v>
      </c>
      <c r="T5311">
        <v>-0.31989479999999998</v>
      </c>
      <c r="U5311">
        <v>-1.3073429999999999</v>
      </c>
      <c r="V5311">
        <v>-0.38064009999999998</v>
      </c>
      <c r="W5311">
        <v>4.0367430000000003E-2</v>
      </c>
      <c r="X5311">
        <v>0.92384179999999905</v>
      </c>
      <c r="Y5311">
        <v>-0.49601190000000001</v>
      </c>
      <c r="Z5311">
        <v>0.1019548</v>
      </c>
      <c r="AA5311">
        <v>0.86230929999999995</v>
      </c>
      <c r="AB5311">
        <v>24</v>
      </c>
      <c r="AC5311">
        <v>0.63170000000002302</v>
      </c>
      <c r="AD5311">
        <v>-8.9864999999999806E-2</v>
      </c>
      <c r="AE5311">
        <v>-0.18258999999999001</v>
      </c>
      <c r="AF5311">
        <v>-0.40968311954188102</v>
      </c>
      <c r="AG5311">
        <v>-8.9864999999999806E-2</v>
      </c>
      <c r="AH5311">
        <v>0.49883242401445799</v>
      </c>
      <c r="AI5311">
        <v>97.925606976839106</v>
      </c>
      <c r="AJ5311">
        <v>129.39571641381201</v>
      </c>
      <c r="AK5311">
        <v>0.65172828994198695</v>
      </c>
    </row>
    <row r="5312" spans="1:37" x14ac:dyDescent="0.2">
      <c r="A5312" t="str">
        <f>"20200111153757903"</f>
        <v>20200111153757903</v>
      </c>
      <c r="B5312" t="str">
        <f>"1578728277898590"</f>
        <v>1578728277898590</v>
      </c>
      <c r="C5312" t="s">
        <v>37</v>
      </c>
      <c r="D5312">
        <v>5.3609689999999999</v>
      </c>
      <c r="E5312">
        <v>0.44295180000000001</v>
      </c>
      <c r="F5312" t="s">
        <v>38</v>
      </c>
      <c r="G5312">
        <v>-297.31270000000001</v>
      </c>
      <c r="H5312">
        <v>1.0055829999999999</v>
      </c>
      <c r="I5312">
        <v>-53.762369999999997</v>
      </c>
      <c r="J5312">
        <v>-298.11169999999998</v>
      </c>
      <c r="K5312">
        <v>1.1130549999999999</v>
      </c>
      <c r="L5312">
        <v>-53.510829999999999</v>
      </c>
      <c r="M5312">
        <v>0.57722320000000005</v>
      </c>
      <c r="N5312">
        <v>0</v>
      </c>
      <c r="O5312">
        <v>-0.81648369999999904</v>
      </c>
      <c r="P5312">
        <v>0.84267630000000004</v>
      </c>
      <c r="Q5312">
        <v>3.6926580000000001E-2</v>
      </c>
      <c r="R5312">
        <v>-0.53715299999999999</v>
      </c>
      <c r="S5312">
        <v>2.7635800000000001</v>
      </c>
      <c r="T5312">
        <v>-0.3140116</v>
      </c>
      <c r="U5312">
        <v>-1.27984599999999</v>
      </c>
      <c r="V5312">
        <v>-0.37894029999999901</v>
      </c>
      <c r="W5312">
        <v>4.1053979999999997E-2</v>
      </c>
      <c r="X5312">
        <v>0.9245101</v>
      </c>
      <c r="Y5312">
        <v>-0.49307230000000002</v>
      </c>
      <c r="Z5312">
        <v>9.95061E-2</v>
      </c>
      <c r="AA5312">
        <v>0.86427909999999997</v>
      </c>
      <c r="AB5312">
        <v>24</v>
      </c>
      <c r="AC5312">
        <v>0.79899999999997795</v>
      </c>
      <c r="AD5312">
        <v>-0.107472</v>
      </c>
      <c r="AE5312">
        <v>-0.25153999999999099</v>
      </c>
      <c r="AF5312">
        <v>-0.49900419829166298</v>
      </c>
      <c r="AG5312">
        <v>-0.107472</v>
      </c>
      <c r="AH5312">
        <v>0.65583979618752297</v>
      </c>
      <c r="AI5312">
        <v>97.430141190599898</v>
      </c>
      <c r="AJ5312">
        <v>127.266161639665</v>
      </c>
      <c r="AK5312">
        <v>0.83107235482838604</v>
      </c>
    </row>
    <row r="5313" spans="1:37" x14ac:dyDescent="0.2">
      <c r="A5313" t="str">
        <f>"20200111153757925"</f>
        <v>20200111153757925</v>
      </c>
      <c r="B5313" t="str">
        <f>"1578728277918113"</f>
        <v>1578728277918113</v>
      </c>
      <c r="C5313" t="s">
        <v>37</v>
      </c>
      <c r="D5313">
        <v>5.3859409999999999</v>
      </c>
      <c r="E5313">
        <v>0.44419249999999999</v>
      </c>
      <c r="F5313" t="s">
        <v>38</v>
      </c>
      <c r="G5313">
        <v>-297.18979999999999</v>
      </c>
      <c r="H5313">
        <v>1.0102309999999901</v>
      </c>
      <c r="I5313">
        <v>-53.926540000000003</v>
      </c>
      <c r="J5313">
        <v>-297.96409999999997</v>
      </c>
      <c r="K5313">
        <v>1.11307</v>
      </c>
      <c r="L5313">
        <v>-53.693419999999897</v>
      </c>
      <c r="M5313">
        <v>0.58814639999999996</v>
      </c>
      <c r="N5313">
        <v>0</v>
      </c>
      <c r="O5313">
        <v>-0.80865050000000005</v>
      </c>
      <c r="P5313">
        <v>0.8493716</v>
      </c>
      <c r="Q5313">
        <v>3.6436459999999997E-2</v>
      </c>
      <c r="R5313">
        <v>-0.52653649999999996</v>
      </c>
      <c r="S5313">
        <v>2.776367</v>
      </c>
      <c r="T5313">
        <v>-0.30955969999999999</v>
      </c>
      <c r="U5313">
        <v>-1.250793</v>
      </c>
      <c r="V5313">
        <v>-0.37812220000000002</v>
      </c>
      <c r="W5313">
        <v>4.058469E-2</v>
      </c>
      <c r="X5313">
        <v>0.92486569999999901</v>
      </c>
      <c r="Y5313">
        <v>-0.49058940000000001</v>
      </c>
      <c r="Z5313">
        <v>9.7531080000000006E-2</v>
      </c>
      <c r="AA5313">
        <v>0.86591549999999995</v>
      </c>
      <c r="AB5313">
        <v>24</v>
      </c>
      <c r="AC5313">
        <v>0.774299999999982</v>
      </c>
      <c r="AD5313">
        <v>-0.102839</v>
      </c>
      <c r="AE5313">
        <v>-0.23312000000000599</v>
      </c>
      <c r="AF5313">
        <v>-0.481286258398961</v>
      </c>
      <c r="AG5313">
        <v>-0.102839</v>
      </c>
      <c r="AH5313">
        <v>0.63371882804755097</v>
      </c>
      <c r="AI5313">
        <v>97.363719461875604</v>
      </c>
      <c r="AJ5313">
        <v>127.215340682823</v>
      </c>
      <c r="AK5313">
        <v>0.80237888523230305</v>
      </c>
    </row>
    <row r="5314" spans="1:37" x14ac:dyDescent="0.2">
      <c r="A5314" t="str">
        <f>"20200111153757948"</f>
        <v>20200111153757948</v>
      </c>
      <c r="B5314" t="str">
        <f>"1578728277938622"</f>
        <v>1578728277938622</v>
      </c>
      <c r="C5314" t="s">
        <v>37</v>
      </c>
      <c r="D5314">
        <v>5.3557639999999997</v>
      </c>
      <c r="E5314">
        <v>0.44521099999999902</v>
      </c>
      <c r="F5314" t="s">
        <v>38</v>
      </c>
      <c r="G5314">
        <v>-297.0643</v>
      </c>
      <c r="H5314">
        <v>1.012251</v>
      </c>
      <c r="I5314">
        <v>-54.088790000000003</v>
      </c>
      <c r="J5314">
        <v>-297.81729999999999</v>
      </c>
      <c r="K5314">
        <v>1.113086</v>
      </c>
      <c r="L5314">
        <v>-53.870269999999998</v>
      </c>
      <c r="M5314">
        <v>0.59874890000000003</v>
      </c>
      <c r="N5314">
        <v>0</v>
      </c>
      <c r="O5314">
        <v>-0.80083159999999998</v>
      </c>
      <c r="P5314">
        <v>0.85596969999999994</v>
      </c>
      <c r="Q5314">
        <v>3.6326789999999998E-2</v>
      </c>
      <c r="R5314">
        <v>-0.51574830000000005</v>
      </c>
      <c r="S5314">
        <v>2.786438</v>
      </c>
      <c r="T5314">
        <v>-0.31221199999999999</v>
      </c>
      <c r="U5314">
        <v>-1.2243649999999999</v>
      </c>
      <c r="V5314">
        <v>-0.37764049999999999</v>
      </c>
      <c r="W5314">
        <v>4.0493210000000002E-2</v>
      </c>
      <c r="X5314">
        <v>0.92506639999999996</v>
      </c>
      <c r="Y5314">
        <v>-0.48710509999999901</v>
      </c>
      <c r="Z5314">
        <v>9.7767919999999994E-2</v>
      </c>
      <c r="AA5314">
        <v>0.86785369999999995</v>
      </c>
      <c r="AB5314">
        <v>24</v>
      </c>
      <c r="AC5314">
        <v>0.75299999999998501</v>
      </c>
      <c r="AD5314">
        <v>-0.10083499999999999</v>
      </c>
      <c r="AE5314">
        <v>-0.21852000000000499</v>
      </c>
      <c r="AF5314">
        <v>-0.46454413989295601</v>
      </c>
      <c r="AG5314">
        <v>-0.10083499999999999</v>
      </c>
      <c r="AH5314">
        <v>0.61572472566617997</v>
      </c>
      <c r="AI5314">
        <v>97.448164836995602</v>
      </c>
      <c r="AJ5314">
        <v>127.03335758511901</v>
      </c>
      <c r="AK5314">
        <v>0.77787267141260197</v>
      </c>
    </row>
    <row r="5315" spans="1:37" x14ac:dyDescent="0.2">
      <c r="A5315" t="str">
        <f>"20200111153757970"</f>
        <v>20200111153757970</v>
      </c>
      <c r="B5315" t="str">
        <f>"1578728277958127"</f>
        <v>1578728277958127</v>
      </c>
      <c r="C5315" t="s">
        <v>37</v>
      </c>
      <c r="D5315">
        <v>5.360849</v>
      </c>
      <c r="E5315">
        <v>0.44602399999999998</v>
      </c>
      <c r="F5315" t="s">
        <v>38</v>
      </c>
      <c r="G5315">
        <v>-296.935</v>
      </c>
      <c r="H5315">
        <v>1.0148709999999901</v>
      </c>
      <c r="I5315">
        <v>-54.247659999999897</v>
      </c>
      <c r="J5315">
        <v>-297.66759999999999</v>
      </c>
      <c r="K5315">
        <v>1.1130799999999901</v>
      </c>
      <c r="L5315">
        <v>-54.045679999999997</v>
      </c>
      <c r="M5315">
        <v>0.6092803</v>
      </c>
      <c r="N5315">
        <v>0</v>
      </c>
      <c r="O5315">
        <v>-0.79284849999999996</v>
      </c>
      <c r="P5315">
        <v>0.8620063</v>
      </c>
      <c r="Q5315">
        <v>3.5870599999999898E-2</v>
      </c>
      <c r="R5315">
        <v>-0.50562649999999998</v>
      </c>
      <c r="S5315">
        <v>2.7973330000000001</v>
      </c>
      <c r="T5315">
        <v>-0.31137350000000003</v>
      </c>
      <c r="U5315">
        <v>-1.196075</v>
      </c>
      <c r="V5315">
        <v>-0.37631959999999998</v>
      </c>
      <c r="W5315">
        <v>4.0080600000000001E-2</v>
      </c>
      <c r="X5315">
        <v>0.92562250000000001</v>
      </c>
      <c r="Y5315">
        <v>-0.48428379999999999</v>
      </c>
      <c r="Z5315">
        <v>9.6908899999999895E-2</v>
      </c>
      <c r="AA5315">
        <v>0.86952739999999995</v>
      </c>
      <c r="AB5315">
        <v>24</v>
      </c>
      <c r="AC5315">
        <v>0.73259999999999004</v>
      </c>
      <c r="AD5315">
        <v>-9.8209000000000005E-2</v>
      </c>
      <c r="AE5315">
        <v>-0.201979999999991</v>
      </c>
      <c r="AF5315">
        <v>-0.45029645237175298</v>
      </c>
      <c r="AG5315">
        <v>-9.8209000000000005E-2</v>
      </c>
      <c r="AH5315">
        <v>0.59658568780265797</v>
      </c>
      <c r="AI5315">
        <v>97.485332941685797</v>
      </c>
      <c r="AJ5315">
        <v>127.045112043888</v>
      </c>
      <c r="AK5315">
        <v>0.75387425051566603</v>
      </c>
    </row>
    <row r="5316" spans="1:37" x14ac:dyDescent="0.2">
      <c r="A5316" t="str">
        <f>"20200111153757992"</f>
        <v>20200111153757992</v>
      </c>
      <c r="B5316" t="str">
        <f>"1578728277978624"</f>
        <v>1578728277978624</v>
      </c>
      <c r="C5316" t="s">
        <v>37</v>
      </c>
      <c r="D5316">
        <v>5.3555359999999999</v>
      </c>
      <c r="E5316">
        <v>0.44638069999999902</v>
      </c>
      <c r="F5316" t="s">
        <v>38</v>
      </c>
      <c r="G5316">
        <v>-296.80360000000002</v>
      </c>
      <c r="H5316">
        <v>1.017263</v>
      </c>
      <c r="I5316">
        <v>-54.405050000000003</v>
      </c>
      <c r="J5316">
        <v>-297.51459999999997</v>
      </c>
      <c r="K5316">
        <v>1.1130719999999901</v>
      </c>
      <c r="L5316">
        <v>-54.22034</v>
      </c>
      <c r="M5316">
        <v>0.61977640000000001</v>
      </c>
      <c r="N5316">
        <v>0</v>
      </c>
      <c r="O5316">
        <v>-0.7846706</v>
      </c>
      <c r="P5316">
        <v>0.86758919999999995</v>
      </c>
      <c r="Q5316">
        <v>3.4925119999999997E-2</v>
      </c>
      <c r="R5316">
        <v>-0.49605379999999899</v>
      </c>
      <c r="S5316">
        <v>2.8079830000000001</v>
      </c>
      <c r="T5316">
        <v>-0.31143130000000002</v>
      </c>
      <c r="U5316">
        <v>-1.1681820000000001</v>
      </c>
      <c r="V5316">
        <v>-0.37425779999999997</v>
      </c>
      <c r="W5316">
        <v>3.9200099999999898E-2</v>
      </c>
      <c r="X5316">
        <v>0.92649579999999998</v>
      </c>
      <c r="Y5316">
        <v>-0.48122609999999899</v>
      </c>
      <c r="Z5316">
        <v>9.6287209999999998E-2</v>
      </c>
      <c r="AA5316">
        <v>0.87129230000000002</v>
      </c>
      <c r="AB5316">
        <v>24</v>
      </c>
      <c r="AC5316">
        <v>0.710999999999955</v>
      </c>
      <c r="AD5316">
        <v>-9.5808999999999797E-2</v>
      </c>
      <c r="AE5316">
        <v>-0.18471000000000201</v>
      </c>
      <c r="AF5316">
        <v>-0.436042263308966</v>
      </c>
      <c r="AG5316">
        <v>-9.5808999999999797E-2</v>
      </c>
      <c r="AH5316">
        <v>0.57585173921533295</v>
      </c>
      <c r="AI5316">
        <v>97.5557036685085</v>
      </c>
      <c r="AJ5316">
        <v>127.13346875245099</v>
      </c>
      <c r="AK5316">
        <v>0.72864082058990398</v>
      </c>
    </row>
    <row r="5317" spans="1:37" x14ac:dyDescent="0.2">
      <c r="A5317" t="str">
        <f>"20200111153758015"</f>
        <v>20200111153758015</v>
      </c>
      <c r="B5317" t="str">
        <f>"1578728278008879"</f>
        <v>1578728278008879</v>
      </c>
      <c r="C5317" t="s">
        <v>37</v>
      </c>
      <c r="D5317">
        <v>5.3635699999999904</v>
      </c>
      <c r="E5317">
        <v>0.44707659999999899</v>
      </c>
      <c r="F5317" t="s">
        <v>38</v>
      </c>
      <c r="G5317">
        <v>-296.67070000000001</v>
      </c>
      <c r="H5317">
        <v>1.0193570000000001</v>
      </c>
      <c r="I5317">
        <v>-54.5614699999999</v>
      </c>
      <c r="J5317">
        <v>-297.35199999999998</v>
      </c>
      <c r="K5317">
        <v>1.113065</v>
      </c>
      <c r="L5317">
        <v>-54.40128</v>
      </c>
      <c r="M5317">
        <v>0.63065109999999902</v>
      </c>
      <c r="N5317">
        <v>0</v>
      </c>
      <c r="O5317">
        <v>-0.77595749999999997</v>
      </c>
      <c r="P5317">
        <v>0.87336650000000005</v>
      </c>
      <c r="Q5317">
        <v>3.3654490000000002E-2</v>
      </c>
      <c r="R5317">
        <v>-0.4859</v>
      </c>
      <c r="S5317">
        <v>2.8191220000000001</v>
      </c>
      <c r="T5317">
        <v>-0.31300929999999999</v>
      </c>
      <c r="U5317">
        <v>-1.13913</v>
      </c>
      <c r="V5317">
        <v>-0.37216369999999999</v>
      </c>
      <c r="W5317">
        <v>3.7996499999999898E-2</v>
      </c>
      <c r="X5317">
        <v>0.92738899999999902</v>
      </c>
      <c r="Y5317">
        <v>-0.47793159999999901</v>
      </c>
      <c r="Z5317">
        <v>9.6060740000000006E-2</v>
      </c>
      <c r="AA5317">
        <v>0.87312869999999998</v>
      </c>
      <c r="AB5317">
        <v>24</v>
      </c>
      <c r="AC5317">
        <v>0.681300000000021</v>
      </c>
      <c r="AD5317">
        <v>-9.3707999999999902E-2</v>
      </c>
      <c r="AE5317">
        <v>-0.16018999999998501</v>
      </c>
      <c r="AF5317">
        <v>-0.42014016601450199</v>
      </c>
      <c r="AG5317">
        <v>-9.3707999999999902E-2</v>
      </c>
      <c r="AH5317">
        <v>0.54425325796623003</v>
      </c>
      <c r="AI5317">
        <v>97.7611366709191</v>
      </c>
      <c r="AJ5317">
        <v>127.66660039536001</v>
      </c>
      <c r="AK5317">
        <v>0.69390961743554802</v>
      </c>
    </row>
    <row r="5318" spans="1:37" x14ac:dyDescent="0.2">
      <c r="A5318" t="str">
        <f>"20200111153758037"</f>
        <v>20200111153758037</v>
      </c>
      <c r="B5318" t="str">
        <f>"1578728278028399"</f>
        <v>1578728278028399</v>
      </c>
      <c r="C5318" t="s">
        <v>37</v>
      </c>
      <c r="D5318">
        <v>5.334257</v>
      </c>
      <c r="E5318">
        <v>0.44755529999999999</v>
      </c>
      <c r="F5318" t="s">
        <v>38</v>
      </c>
      <c r="G5318">
        <v>-296.53809999999999</v>
      </c>
      <c r="H5318">
        <v>1.022168</v>
      </c>
      <c r="I5318">
        <v>-54.720909999999897</v>
      </c>
      <c r="J5318">
        <v>-297.19889999999998</v>
      </c>
      <c r="K5318">
        <v>1.1130549999999999</v>
      </c>
      <c r="L5318">
        <v>-54.566859999999998</v>
      </c>
      <c r="M5318">
        <v>0.64061299999999999</v>
      </c>
      <c r="N5318">
        <v>0</v>
      </c>
      <c r="O5318">
        <v>-0.76775400000000005</v>
      </c>
      <c r="P5318">
        <v>0.8785231</v>
      </c>
      <c r="Q5318">
        <v>3.2959240000000001E-2</v>
      </c>
      <c r="R5318">
        <v>-0.47656219999999999</v>
      </c>
      <c r="S5318">
        <v>2.8291930000000001</v>
      </c>
      <c r="T5318">
        <v>-0.3159595</v>
      </c>
      <c r="U5318">
        <v>-1.1107479999999901</v>
      </c>
      <c r="V5318">
        <v>-0.3700852</v>
      </c>
      <c r="W5318">
        <v>3.7360369999999997E-2</v>
      </c>
      <c r="X5318">
        <v>0.92824629999999997</v>
      </c>
      <c r="Y5318">
        <v>-0.475195799999999</v>
      </c>
      <c r="Z5318">
        <v>9.6302319999999997E-2</v>
      </c>
      <c r="AA5318">
        <v>0.87459409999999904</v>
      </c>
      <c r="AB5318">
        <v>24</v>
      </c>
      <c r="AC5318">
        <v>0.66079999999999395</v>
      </c>
      <c r="AD5318">
        <v>-9.0886999999999898E-2</v>
      </c>
      <c r="AE5318">
        <v>-0.15404999999999799</v>
      </c>
      <c r="AF5318">
        <v>-0.40147646622727801</v>
      </c>
      <c r="AG5318">
        <v>-9.0886999999999898E-2</v>
      </c>
      <c r="AH5318">
        <v>0.53208836497773304</v>
      </c>
      <c r="AI5318">
        <v>97.764536628360304</v>
      </c>
      <c r="AJ5318">
        <v>127.03563718352299</v>
      </c>
      <c r="AK5318">
        <v>0.67272715706147901</v>
      </c>
    </row>
    <row r="5319" spans="1:37" x14ac:dyDescent="0.2">
      <c r="A5319" t="str">
        <f>"20200111153758060"</f>
        <v>20200111153758060</v>
      </c>
      <c r="B5319" t="str">
        <f>"1578728278048896"</f>
        <v>1578728278048896</v>
      </c>
      <c r="C5319" t="s">
        <v>37</v>
      </c>
      <c r="D5319">
        <v>5.4706539999999997</v>
      </c>
      <c r="E5319">
        <v>0.44810470000000002</v>
      </c>
      <c r="F5319" t="s">
        <v>38</v>
      </c>
      <c r="G5319">
        <v>-296.38350000000003</v>
      </c>
      <c r="H5319">
        <v>1.0219659999999999</v>
      </c>
      <c r="I5319">
        <v>-54.8782</v>
      </c>
      <c r="J5319">
        <v>-297.0369</v>
      </c>
      <c r="K5319">
        <v>1.1130329999999999</v>
      </c>
      <c r="L5319">
        <v>-54.737639999999999</v>
      </c>
      <c r="M5319">
        <v>0.65088469999999998</v>
      </c>
      <c r="N5319">
        <v>0</v>
      </c>
      <c r="O5319">
        <v>-0.7590654</v>
      </c>
      <c r="P5319">
        <v>0.88366169999999999</v>
      </c>
      <c r="Q5319">
        <v>3.183453E-2</v>
      </c>
      <c r="R5319">
        <v>-0.46704250000000003</v>
      </c>
      <c r="S5319">
        <v>2.8388369999999998</v>
      </c>
      <c r="T5319">
        <v>-0.31711409999999901</v>
      </c>
      <c r="U5319">
        <v>-1.08377099999999</v>
      </c>
      <c r="V5319">
        <v>-0.36763020000000002</v>
      </c>
      <c r="W5319">
        <v>3.6301099999999899E-2</v>
      </c>
      <c r="X5319">
        <v>0.92926330000000001</v>
      </c>
      <c r="Y5319">
        <v>-0.4716244</v>
      </c>
      <c r="Z5319">
        <v>9.5899310000000001E-2</v>
      </c>
      <c r="AA5319">
        <v>0.8765693</v>
      </c>
      <c r="AB5319">
        <v>24</v>
      </c>
      <c r="AC5319">
        <v>0.653399999999976</v>
      </c>
      <c r="AD5319">
        <v>-9.1066999999999995E-2</v>
      </c>
      <c r="AE5319">
        <v>-0.14055999999999999</v>
      </c>
      <c r="AF5319">
        <v>-0.397145740025379</v>
      </c>
      <c r="AG5319">
        <v>-9.1066999999999995E-2</v>
      </c>
      <c r="AH5319">
        <v>0.52232966234739198</v>
      </c>
      <c r="AI5319">
        <v>97.901415977920905</v>
      </c>
      <c r="AJ5319">
        <v>127.247013683101</v>
      </c>
      <c r="AK5319">
        <v>0.66245468786721295</v>
      </c>
    </row>
    <row r="5320" spans="1:37" x14ac:dyDescent="0.2">
      <c r="A5320" t="str">
        <f>"20200111153758082"</f>
        <v>20200111153758082</v>
      </c>
      <c r="B5320" t="str">
        <f>"1578728278068415"</f>
        <v>1578728278068415</v>
      </c>
      <c r="C5320" t="s">
        <v>37</v>
      </c>
      <c r="D5320">
        <v>5.3353029999999997</v>
      </c>
      <c r="E5320">
        <v>0.44852609999999898</v>
      </c>
      <c r="F5320" t="s">
        <v>38</v>
      </c>
      <c r="G5320">
        <v>-296.06439999999998</v>
      </c>
      <c r="H5320">
        <v>1.0042979999999999</v>
      </c>
      <c r="I5320">
        <v>-55.098480000000002</v>
      </c>
      <c r="J5320">
        <v>-296.87909999999999</v>
      </c>
      <c r="K5320">
        <v>1.1130089999999999</v>
      </c>
      <c r="L5320">
        <v>-54.899380000000001</v>
      </c>
      <c r="M5320">
        <v>0.66062100000000001</v>
      </c>
      <c r="N5320">
        <v>0</v>
      </c>
      <c r="O5320">
        <v>-0.75060700000000002</v>
      </c>
      <c r="P5320">
        <v>0.88844880000000004</v>
      </c>
      <c r="Q5320">
        <v>3.04877E-2</v>
      </c>
      <c r="R5320">
        <v>-0.45796189999999998</v>
      </c>
      <c r="S5320">
        <v>2.84805299999999</v>
      </c>
      <c r="T5320">
        <v>-0.31841959999999903</v>
      </c>
      <c r="U5320">
        <v>-1.056427</v>
      </c>
      <c r="V5320">
        <v>-0.36517230000000001</v>
      </c>
      <c r="W5320">
        <v>3.5015400000000002E-2</v>
      </c>
      <c r="X5320">
        <v>0.93028120000000003</v>
      </c>
      <c r="Y5320">
        <v>-0.468588</v>
      </c>
      <c r="Z5320">
        <v>9.5571619999999996E-2</v>
      </c>
      <c r="AA5320">
        <v>0.87823189999999995</v>
      </c>
      <c r="AB5320">
        <v>24</v>
      </c>
      <c r="AC5320">
        <v>0.81470000000001597</v>
      </c>
      <c r="AD5320">
        <v>-0.108711</v>
      </c>
      <c r="AE5320">
        <v>-0.199099999999994</v>
      </c>
      <c r="AF5320">
        <v>-0.47209829511227902</v>
      </c>
      <c r="AG5320">
        <v>-0.108711</v>
      </c>
      <c r="AH5320">
        <v>0.67634796192185598</v>
      </c>
      <c r="AI5320">
        <v>97.508313734306199</v>
      </c>
      <c r="AJ5320">
        <v>124.915463349722</v>
      </c>
      <c r="AK5320">
        <v>0.83195038756212503</v>
      </c>
    </row>
    <row r="5321" spans="1:37" x14ac:dyDescent="0.2">
      <c r="A5321" t="str">
        <f>"20200111153758104"</f>
        <v>20200111153758104</v>
      </c>
      <c r="B5321" t="str">
        <f>"1578728278098673"</f>
        <v>1578728278098673</v>
      </c>
      <c r="C5321" t="s">
        <v>37</v>
      </c>
      <c r="D5321">
        <v>5.3452229999999998</v>
      </c>
      <c r="E5321">
        <v>0.44893230000000001</v>
      </c>
      <c r="F5321" t="s">
        <v>38</v>
      </c>
      <c r="G5321">
        <v>-295.92110000000002</v>
      </c>
      <c r="H5321">
        <v>1.0054369999999999</v>
      </c>
      <c r="I5321">
        <v>-55.24474</v>
      </c>
      <c r="J5321">
        <v>-296.71109999999999</v>
      </c>
      <c r="K5321">
        <v>1.112989</v>
      </c>
      <c r="L5321">
        <v>-55.067079999999997</v>
      </c>
      <c r="M5321">
        <v>0.67071219999999998</v>
      </c>
      <c r="N5321">
        <v>0</v>
      </c>
      <c r="O5321">
        <v>-0.74160419999999905</v>
      </c>
      <c r="P5321">
        <v>0.89342699999999997</v>
      </c>
      <c r="Q5321">
        <v>2.8992190000000001E-2</v>
      </c>
      <c r="R5321">
        <v>-0.44827250000000002</v>
      </c>
      <c r="S5321">
        <v>2.857056</v>
      </c>
      <c r="T5321">
        <v>-0.32077040000000001</v>
      </c>
      <c r="U5321">
        <v>-1.0295099999999999</v>
      </c>
      <c r="V5321">
        <v>-0.36271140000000002</v>
      </c>
      <c r="W5321">
        <v>3.3581449999999999E-2</v>
      </c>
      <c r="X5321">
        <v>0.93129629999999997</v>
      </c>
      <c r="Y5321">
        <v>-0.46483159999999901</v>
      </c>
      <c r="Z5321">
        <v>9.545787E-2</v>
      </c>
      <c r="AA5321">
        <v>0.88023819999999997</v>
      </c>
      <c r="AB5321">
        <v>24</v>
      </c>
      <c r="AC5321">
        <v>0.78999999999996295</v>
      </c>
      <c r="AD5321">
        <v>-0.107551999999999</v>
      </c>
      <c r="AE5321">
        <v>-0.17765999999999499</v>
      </c>
      <c r="AF5321">
        <v>-0.45865611162196301</v>
      </c>
      <c r="AG5321">
        <v>-0.107551999999999</v>
      </c>
      <c r="AH5321">
        <v>0.65020067729223696</v>
      </c>
      <c r="AI5321">
        <v>97.697890607699904</v>
      </c>
      <c r="AJ5321">
        <v>125.19941092975201</v>
      </c>
      <c r="AK5321">
        <v>0.80292825469244999</v>
      </c>
    </row>
    <row r="5322" spans="1:37" x14ac:dyDescent="0.2">
      <c r="A5322" t="str">
        <f>"20200111153758127"</f>
        <v>20200111153758127</v>
      </c>
      <c r="B5322" t="str">
        <f>"1578728278118190"</f>
        <v>1578728278118190</v>
      </c>
      <c r="C5322" t="s">
        <v>37</v>
      </c>
      <c r="D5322">
        <v>5.2854890000000001</v>
      </c>
      <c r="E5322">
        <v>0.45737719999999998</v>
      </c>
      <c r="F5322" t="s">
        <v>38</v>
      </c>
      <c r="G5322">
        <v>-295.7783</v>
      </c>
      <c r="H5322">
        <v>1.007476</v>
      </c>
      <c r="I5322">
        <v>-55.392949999999999</v>
      </c>
      <c r="J5322">
        <v>-296.53820000000002</v>
      </c>
      <c r="K5322">
        <v>1.1129659999999999</v>
      </c>
      <c r="L5322">
        <v>-55.235169999999997</v>
      </c>
      <c r="M5322">
        <v>0.6808206</v>
      </c>
      <c r="N5322">
        <v>0</v>
      </c>
      <c r="O5322">
        <v>-0.73233530000000002</v>
      </c>
      <c r="P5322">
        <v>0.89853830000000001</v>
      </c>
      <c r="Q5322">
        <v>2.88349E-2</v>
      </c>
      <c r="R5322">
        <v>-0.43794679999999903</v>
      </c>
      <c r="S5322">
        <v>2.8662109999999998</v>
      </c>
      <c r="T5322">
        <v>-0.32418599999999997</v>
      </c>
      <c r="U5322">
        <v>-1.0009159999999999</v>
      </c>
      <c r="V5322">
        <v>-0.36066769999999998</v>
      </c>
      <c r="W5322">
        <v>3.3476119999999998E-2</v>
      </c>
      <c r="X5322">
        <v>0.93209339999999996</v>
      </c>
      <c r="Y5322">
        <v>-0.46134029999999998</v>
      </c>
      <c r="Z5322">
        <v>9.5627610000000002E-2</v>
      </c>
      <c r="AA5322">
        <v>0.88205469999999897</v>
      </c>
      <c r="AB5322">
        <v>24</v>
      </c>
      <c r="AC5322">
        <v>0.75990000000001501</v>
      </c>
      <c r="AD5322">
        <v>-0.105489999999999</v>
      </c>
      <c r="AE5322">
        <v>-0.157780000000002</v>
      </c>
      <c r="AF5322">
        <v>-0.44097265098423499</v>
      </c>
      <c r="AG5322">
        <v>-0.105489999999999</v>
      </c>
      <c r="AH5322">
        <v>0.62147509936165601</v>
      </c>
      <c r="AI5322">
        <v>97.881537971404299</v>
      </c>
      <c r="AJ5322">
        <v>125.357912571311</v>
      </c>
      <c r="AK5322">
        <v>0.76929598864328197</v>
      </c>
    </row>
    <row r="5323" spans="1:37" x14ac:dyDescent="0.2">
      <c r="A5323" t="str">
        <f>"20200111153758149"</f>
        <v>20200111153758149</v>
      </c>
      <c r="B5323" t="str">
        <f>"1578728278138686"</f>
        <v>1578728278138686</v>
      </c>
      <c r="C5323" t="s">
        <v>37</v>
      </c>
      <c r="D5323">
        <v>5.3169459999999997</v>
      </c>
      <c r="E5323">
        <v>0.45944790000000002</v>
      </c>
      <c r="F5323" t="s">
        <v>38</v>
      </c>
      <c r="G5323">
        <v>-295.64479999999998</v>
      </c>
      <c r="H5323">
        <v>1.0177099999999999</v>
      </c>
      <c r="I5323">
        <v>-55.557559999999903</v>
      </c>
      <c r="J5323">
        <v>-296.37650000000002</v>
      </c>
      <c r="K5323">
        <v>1.1129469999999999</v>
      </c>
      <c r="L5323">
        <v>-55.38843</v>
      </c>
      <c r="M5323">
        <v>0.6900172</v>
      </c>
      <c r="N5323">
        <v>0</v>
      </c>
      <c r="O5323">
        <v>-0.72367720000000002</v>
      </c>
      <c r="P5323">
        <v>0.90291710000000003</v>
      </c>
      <c r="Q5323">
        <v>2.9271709999999999E-2</v>
      </c>
      <c r="R5323">
        <v>-0.4288169</v>
      </c>
      <c r="S5323">
        <v>2.8476870000000001</v>
      </c>
      <c r="T5323">
        <v>-0.30361320000000003</v>
      </c>
      <c r="U5323">
        <v>-1.027466</v>
      </c>
      <c r="V5323">
        <v>-0.3583365</v>
      </c>
      <c r="W5323">
        <v>3.3971750000000002E-2</v>
      </c>
      <c r="X5323">
        <v>0.93297419999999998</v>
      </c>
      <c r="Y5323">
        <v>-0.44171490000000002</v>
      </c>
      <c r="Z5323">
        <v>8.8408039999999993E-2</v>
      </c>
      <c r="AA5323">
        <v>0.8927889</v>
      </c>
      <c r="AB5323">
        <v>24</v>
      </c>
      <c r="AC5323">
        <v>0.73170000000004598</v>
      </c>
      <c r="AD5323">
        <v>-9.5236999999999794E-2</v>
      </c>
      <c r="AE5323">
        <v>-0.16912999999998801</v>
      </c>
      <c r="AF5323">
        <v>-0.40631227574685203</v>
      </c>
      <c r="AG5323">
        <v>-9.5236999999999794E-2</v>
      </c>
      <c r="AH5323">
        <v>0.61740457272761995</v>
      </c>
      <c r="AI5323">
        <v>97.342348306287604</v>
      </c>
      <c r="AJ5323">
        <v>123.348806256543</v>
      </c>
      <c r="AK5323">
        <v>0.74521685301431595</v>
      </c>
    </row>
    <row r="5324" spans="1:37" x14ac:dyDescent="0.2">
      <c r="A5324" t="str">
        <f>"20200111153758171"</f>
        <v>20200111153758171</v>
      </c>
      <c r="B5324" t="str">
        <f>"1578728278168942"</f>
        <v>1578728278168942</v>
      </c>
      <c r="C5324" t="s">
        <v>37</v>
      </c>
      <c r="D5324">
        <v>5.2801089999999897</v>
      </c>
      <c r="E5324">
        <v>0.4603488</v>
      </c>
      <c r="F5324" t="s">
        <v>38</v>
      </c>
      <c r="G5324">
        <v>-295.45299999999997</v>
      </c>
      <c r="H5324">
        <v>1.0162549999999999</v>
      </c>
      <c r="I5324">
        <v>-55.716790000000003</v>
      </c>
      <c r="J5324">
        <v>-296.20299999999997</v>
      </c>
      <c r="K5324">
        <v>1.112922</v>
      </c>
      <c r="L5324">
        <v>-55.548769999999998</v>
      </c>
      <c r="M5324">
        <v>0.69961499999999999</v>
      </c>
      <c r="N5324">
        <v>0</v>
      </c>
      <c r="O5324">
        <v>-0.71440329999999996</v>
      </c>
      <c r="P5324">
        <v>0.90727969999999902</v>
      </c>
      <c r="Q5324">
        <v>3.0384390000000001E-2</v>
      </c>
      <c r="R5324">
        <v>-0.4194292</v>
      </c>
      <c r="S5324">
        <v>2.851013</v>
      </c>
      <c r="T5324">
        <v>-0.29847379999999901</v>
      </c>
      <c r="U5324">
        <v>-1.0132139999999901</v>
      </c>
      <c r="V5324">
        <v>-0.35555189999999998</v>
      </c>
      <c r="W5324">
        <v>3.5159320000000001E-2</v>
      </c>
      <c r="X5324">
        <v>0.93399500000000002</v>
      </c>
      <c r="Y5324">
        <v>-0.43425079999999999</v>
      </c>
      <c r="Z5324">
        <v>8.5977460000000006E-2</v>
      </c>
      <c r="AA5324">
        <v>0.89667949999999996</v>
      </c>
      <c r="AB5324">
        <v>24</v>
      </c>
      <c r="AC5324">
        <v>0.75</v>
      </c>
      <c r="AD5324">
        <v>-9.6667000000000003E-2</v>
      </c>
      <c r="AE5324">
        <v>-0.168020000000005</v>
      </c>
      <c r="AF5324">
        <v>-0.41177436729136702</v>
      </c>
      <c r="AG5324">
        <v>-9.6667000000000003E-2</v>
      </c>
      <c r="AH5324">
        <v>0.63475810476944605</v>
      </c>
      <c r="AI5324">
        <v>97.280744567281204</v>
      </c>
      <c r="AJ5324">
        <v>122.971905781846</v>
      </c>
      <c r="AK5324">
        <v>0.76277158443252502</v>
      </c>
    </row>
    <row r="5325" spans="1:37" x14ac:dyDescent="0.2">
      <c r="A5325" t="str">
        <f>"20200111153758194"</f>
        <v>20200111153758194</v>
      </c>
      <c r="B5325" t="str">
        <f>"1578728278188462"</f>
        <v>1578728278188462</v>
      </c>
      <c r="C5325" t="s">
        <v>37</v>
      </c>
      <c r="D5325">
        <v>5.323709</v>
      </c>
      <c r="E5325">
        <v>0.46019379999999999</v>
      </c>
      <c r="F5325" t="s">
        <v>53</v>
      </c>
      <c r="G5325">
        <v>-285.4264</v>
      </c>
      <c r="H5325" s="1">
        <v>-3.7930840000000001E-6</v>
      </c>
      <c r="I5325">
        <v>-59.281979999999997</v>
      </c>
      <c r="J5325">
        <v>-296.02780000000001</v>
      </c>
      <c r="K5325">
        <v>1.1128879999999901</v>
      </c>
      <c r="L5325">
        <v>-55.706479999999999</v>
      </c>
      <c r="M5325">
        <v>0.70901700000000001</v>
      </c>
      <c r="N5325">
        <v>0</v>
      </c>
      <c r="O5325">
        <v>-0.70507350000000002</v>
      </c>
      <c r="P5325">
        <v>0.91172439999999999</v>
      </c>
      <c r="Q5325">
        <v>3.2030410000000002E-2</v>
      </c>
      <c r="R5325">
        <v>-0.40955249999999999</v>
      </c>
      <c r="S5325">
        <v>2.858673</v>
      </c>
      <c r="T5325">
        <v>-0.29522189999999998</v>
      </c>
      <c r="U5325">
        <v>-0.99029539999999905</v>
      </c>
      <c r="V5325">
        <v>-0.35331020000000002</v>
      </c>
      <c r="W5325">
        <v>3.6873389999999999E-2</v>
      </c>
      <c r="X5325">
        <v>0.93477919999999903</v>
      </c>
      <c r="Y5325">
        <v>-0.42964209999999903</v>
      </c>
      <c r="Z5325">
        <v>8.417471E-2</v>
      </c>
      <c r="AA5325">
        <v>0.89906749999999902</v>
      </c>
      <c r="AB5325">
        <v>24</v>
      </c>
      <c r="AC5325">
        <v>10.6014</v>
      </c>
      <c r="AD5325">
        <v>-1.1128917930840001</v>
      </c>
      <c r="AE5325">
        <v>-3.5754999999999901</v>
      </c>
      <c r="AF5325">
        <v>-4.8916859912244899</v>
      </c>
      <c r="AG5325">
        <v>-1.1128917930840001</v>
      </c>
      <c r="AH5325">
        <v>9.9400462127926801</v>
      </c>
      <c r="AI5325">
        <v>95.736410145332599</v>
      </c>
      <c r="AJ5325">
        <v>116.202677014312</v>
      </c>
      <c r="AK5325">
        <v>11.1342551925267</v>
      </c>
    </row>
    <row r="5326" spans="1:37" x14ac:dyDescent="0.2">
      <c r="A5326" t="str">
        <f>"20200111153758217"</f>
        <v>20200111153758217</v>
      </c>
      <c r="B5326" t="str">
        <f>"1578728278208958"</f>
        <v>1578728278208958</v>
      </c>
      <c r="C5326" t="s">
        <v>37</v>
      </c>
      <c r="D5326">
        <v>5.2060459999999997</v>
      </c>
      <c r="E5326">
        <v>0.46025450000000001</v>
      </c>
      <c r="F5326" t="s">
        <v>53</v>
      </c>
      <c r="G5326">
        <v>-285.1739</v>
      </c>
      <c r="H5326" s="1">
        <v>-3.9111999999999999E-6</v>
      </c>
      <c r="I5326">
        <v>-59.332279999999997</v>
      </c>
      <c r="J5326">
        <v>-295.84960000000001</v>
      </c>
      <c r="K5326">
        <v>1.112841</v>
      </c>
      <c r="L5326">
        <v>-55.862919999999903</v>
      </c>
      <c r="M5326">
        <v>0.71829960000000004</v>
      </c>
      <c r="N5326">
        <v>0</v>
      </c>
      <c r="O5326">
        <v>-0.69561490000000004</v>
      </c>
      <c r="P5326">
        <v>0.91640730000000004</v>
      </c>
      <c r="Q5326">
        <v>3.2398839999999998E-2</v>
      </c>
      <c r="R5326">
        <v>-0.39893429999999902</v>
      </c>
      <c r="S5326">
        <v>2.870117</v>
      </c>
      <c r="T5326">
        <v>-0.29428179999999998</v>
      </c>
      <c r="U5326">
        <v>-0.95877080000000003</v>
      </c>
      <c r="V5326">
        <v>-0.3517728</v>
      </c>
      <c r="W5326">
        <v>3.7293199999999999E-2</v>
      </c>
      <c r="X5326">
        <v>0.93534229999999996</v>
      </c>
      <c r="Y5326">
        <v>-0.42772719999999997</v>
      </c>
      <c r="Z5326">
        <v>8.3100660000000007E-2</v>
      </c>
      <c r="AA5326">
        <v>0.90007979999999999</v>
      </c>
      <c r="AB5326">
        <v>24</v>
      </c>
      <c r="AC5326">
        <v>10.675700000000001</v>
      </c>
      <c r="AD5326">
        <v>-1.1128449112000001</v>
      </c>
      <c r="AE5326">
        <v>-3.46936</v>
      </c>
      <c r="AF5326">
        <v>-4.8865189299351197</v>
      </c>
      <c r="AG5326">
        <v>-1.1128449112000001</v>
      </c>
      <c r="AH5326">
        <v>9.9843956373405298</v>
      </c>
      <c r="AI5326">
        <v>95.716928609079204</v>
      </c>
      <c r="AJ5326">
        <v>116.07784676722299</v>
      </c>
      <c r="AK5326">
        <v>11.171600032759001</v>
      </c>
    </row>
    <row r="5327" spans="1:37" x14ac:dyDescent="0.2">
      <c r="A5327" t="str">
        <f>"20200111153758238"</f>
        <v>20200111153758238</v>
      </c>
      <c r="B5327" t="str">
        <f>"1578728278228478"</f>
        <v>1578728278228478</v>
      </c>
      <c r="C5327" t="s">
        <v>37</v>
      </c>
      <c r="D5327">
        <v>6.7157939999999998</v>
      </c>
      <c r="E5327">
        <v>0.460707799999999</v>
      </c>
      <c r="F5327" t="s">
        <v>53</v>
      </c>
      <c r="G5327">
        <v>-284.84719999999999</v>
      </c>
      <c r="H5327" s="1">
        <v>-4.0596330000000003E-6</v>
      </c>
      <c r="I5327">
        <v>-59.398650000000004</v>
      </c>
      <c r="J5327">
        <v>-295.68239999999997</v>
      </c>
      <c r="K5327">
        <v>1.112781</v>
      </c>
      <c r="L5327">
        <v>-56.005949999999999</v>
      </c>
      <c r="M5327">
        <v>0.72674079999999996</v>
      </c>
      <c r="N5327">
        <v>0</v>
      </c>
      <c r="O5327">
        <v>-0.68679199999999996</v>
      </c>
      <c r="P5327">
        <v>0.92018259999999996</v>
      </c>
      <c r="Q5327">
        <v>3.185996E-2</v>
      </c>
      <c r="R5327">
        <v>-0.3901908</v>
      </c>
      <c r="S5327">
        <v>2.8809200000000001</v>
      </c>
      <c r="T5327">
        <v>-0.29139199999999998</v>
      </c>
      <c r="U5327">
        <v>-0.92581179999999996</v>
      </c>
      <c r="V5327">
        <v>-0.34925129999999999</v>
      </c>
      <c r="W5327">
        <v>3.6829550000000003E-2</v>
      </c>
      <c r="X5327">
        <v>0.93630499999999905</v>
      </c>
      <c r="Y5327">
        <v>-0.42714449999999998</v>
      </c>
      <c r="Z5327">
        <v>8.1603110000000006E-2</v>
      </c>
      <c r="AA5327">
        <v>0.90049349999999995</v>
      </c>
      <c r="AB5327">
        <v>24</v>
      </c>
      <c r="AC5327">
        <v>10.835199999999899</v>
      </c>
      <c r="AD5327">
        <v>-1.112785059633</v>
      </c>
      <c r="AE5327">
        <v>-3.3927</v>
      </c>
      <c r="AF5327">
        <v>-4.9289783112678398</v>
      </c>
      <c r="AG5327">
        <v>-1.112785059633</v>
      </c>
      <c r="AH5327">
        <v>10.108204406633501</v>
      </c>
      <c r="AI5327">
        <v>95.651030549831006</v>
      </c>
      <c r="AJ5327">
        <v>115.994860372132</v>
      </c>
      <c r="AK5327">
        <v>11.300836876451999</v>
      </c>
    </row>
    <row r="5328" spans="1:37" x14ac:dyDescent="0.2">
      <c r="A5328" t="str">
        <f>"20200111153758260"</f>
        <v>20200111153758260</v>
      </c>
      <c r="B5328" t="str">
        <f>"1578728278248987"</f>
        <v>1578728278248987</v>
      </c>
      <c r="C5328" t="s">
        <v>37</v>
      </c>
      <c r="D5328">
        <v>5.2044249999999996</v>
      </c>
      <c r="E5328">
        <v>0.46103339999999998</v>
      </c>
      <c r="F5328" t="s">
        <v>53</v>
      </c>
      <c r="G5328">
        <v>-284.62009999999998</v>
      </c>
      <c r="H5328" s="1">
        <v>-4.1549410000000003E-6</v>
      </c>
      <c r="I5328">
        <v>-59.457430000000002</v>
      </c>
      <c r="J5328">
        <v>-295.5034</v>
      </c>
      <c r="K5328">
        <v>1.112724</v>
      </c>
      <c r="L5328">
        <v>-56.155359999999902</v>
      </c>
      <c r="M5328">
        <v>0.73550119999999997</v>
      </c>
      <c r="N5328">
        <v>0</v>
      </c>
      <c r="O5328">
        <v>-0.67740259999999997</v>
      </c>
      <c r="P5328">
        <v>0.92400969999999905</v>
      </c>
      <c r="Q5328">
        <v>3.1763239999999998E-2</v>
      </c>
      <c r="R5328">
        <v>-0.38104769999999999</v>
      </c>
      <c r="S5328">
        <v>2.8881839999999999</v>
      </c>
      <c r="T5328">
        <v>-0.2905295</v>
      </c>
      <c r="U5328">
        <v>-0.90112300000000001</v>
      </c>
      <c r="V5328">
        <v>-0.34650320000000001</v>
      </c>
      <c r="W5328">
        <v>3.6818110000000001E-2</v>
      </c>
      <c r="X5328">
        <v>0.93732599999999999</v>
      </c>
      <c r="Y5328">
        <v>-0.42327489999999901</v>
      </c>
      <c r="Z5328">
        <v>8.0510129999999999E-2</v>
      </c>
      <c r="AA5328">
        <v>0.90241700000000002</v>
      </c>
      <c r="AB5328">
        <v>24</v>
      </c>
      <c r="AC5328">
        <v>10.8833</v>
      </c>
      <c r="AD5328">
        <v>-1.112728154941</v>
      </c>
      <c r="AE5328">
        <v>-3.3020700000000001</v>
      </c>
      <c r="AF5328">
        <v>-4.89722669595574</v>
      </c>
      <c r="AG5328">
        <v>-1.112728154941</v>
      </c>
      <c r="AH5328">
        <v>10.145237080862</v>
      </c>
      <c r="AI5328">
        <v>95.641045893458795</v>
      </c>
      <c r="AJ5328">
        <v>115.767156769615</v>
      </c>
      <c r="AK5328">
        <v>11.3201956116172</v>
      </c>
    </row>
    <row r="5329" spans="1:37" x14ac:dyDescent="0.2">
      <c r="A5329" t="str">
        <f>"20200111153758285"</f>
        <v>20200111153758285</v>
      </c>
      <c r="B5329" t="str">
        <f>"1578728278278257"</f>
        <v>1578728278278257</v>
      </c>
      <c r="C5329" t="s">
        <v>37</v>
      </c>
      <c r="D5329">
        <v>5.2064979999999998</v>
      </c>
      <c r="E5329">
        <v>0.46192630000000001</v>
      </c>
      <c r="F5329" t="s">
        <v>38</v>
      </c>
      <c r="G5329">
        <v>-294.52609999999999</v>
      </c>
      <c r="H5329">
        <v>1.0153319999999999</v>
      </c>
      <c r="I5329">
        <v>-56.450719999999997</v>
      </c>
      <c r="J5329">
        <v>-295.31150000000002</v>
      </c>
      <c r="K5329">
        <v>1.112665</v>
      </c>
      <c r="L5329">
        <v>-56.311190000000003</v>
      </c>
      <c r="M5329">
        <v>0.74458269999999904</v>
      </c>
      <c r="N5329">
        <v>0</v>
      </c>
      <c r="O5329">
        <v>-0.66740829999999995</v>
      </c>
      <c r="P5329">
        <v>0.9279115</v>
      </c>
      <c r="Q5329">
        <v>3.2401340000000001E-2</v>
      </c>
      <c r="R5329">
        <v>-0.37139030000000001</v>
      </c>
      <c r="S5329">
        <v>2.8960270000000001</v>
      </c>
      <c r="T5329">
        <v>-0.28854559999999901</v>
      </c>
      <c r="U5329">
        <v>-0.87448119999999996</v>
      </c>
      <c r="V5329">
        <v>-0.34360990000000002</v>
      </c>
      <c r="W5329">
        <v>3.7546690000000001E-2</v>
      </c>
      <c r="X5329">
        <v>0.93836160000000002</v>
      </c>
      <c r="Y5329">
        <v>-0.4194446</v>
      </c>
      <c r="Z5329">
        <v>7.9058229999999993E-2</v>
      </c>
      <c r="AA5329">
        <v>0.90433180000000002</v>
      </c>
      <c r="AB5329">
        <v>24</v>
      </c>
      <c r="AC5329">
        <v>0.78540000000003796</v>
      </c>
      <c r="AD5329">
        <v>-9.73330000000001E-2</v>
      </c>
      <c r="AE5329">
        <v>-0.13952999999999299</v>
      </c>
      <c r="AF5329">
        <v>-0.41415896393713603</v>
      </c>
      <c r="AG5329">
        <v>-9.73330000000001E-2</v>
      </c>
      <c r="AH5329">
        <v>0.668028144860914</v>
      </c>
      <c r="AI5329">
        <v>97.059228412449798</v>
      </c>
      <c r="AJ5329">
        <v>121.797767544195</v>
      </c>
      <c r="AK5329">
        <v>0.791999345091141</v>
      </c>
    </row>
    <row r="5330" spans="1:37" x14ac:dyDescent="0.2">
      <c r="A5330" t="str">
        <f>"20200111153758306"</f>
        <v>20200111153758306</v>
      </c>
      <c r="B5330" t="str">
        <f>"1578728278298753"</f>
        <v>1578728278298753</v>
      </c>
      <c r="C5330" t="s">
        <v>37</v>
      </c>
      <c r="D5330">
        <v>5.1694889999999996</v>
      </c>
      <c r="E5330">
        <v>0.46263149999999997</v>
      </c>
      <c r="F5330" t="s">
        <v>38</v>
      </c>
      <c r="G5330">
        <v>-294.30829999999997</v>
      </c>
      <c r="H5330">
        <v>1.0146520000000001</v>
      </c>
      <c r="I5330">
        <v>-56.605269999999997</v>
      </c>
      <c r="J5330">
        <v>-295.13069999999999</v>
      </c>
      <c r="K5330">
        <v>1.112619</v>
      </c>
      <c r="L5330">
        <v>-56.45438</v>
      </c>
      <c r="M5330">
        <v>0.75287709999999997</v>
      </c>
      <c r="N5330">
        <v>0</v>
      </c>
      <c r="O5330">
        <v>-0.65803780000000001</v>
      </c>
      <c r="P5330">
        <v>0.9319693</v>
      </c>
      <c r="Q5330">
        <v>3.3793440000000001E-2</v>
      </c>
      <c r="R5330">
        <v>-0.36095909999999998</v>
      </c>
      <c r="S5330">
        <v>2.9025270000000001</v>
      </c>
      <c r="T5330">
        <v>-0.28354559999999901</v>
      </c>
      <c r="U5330">
        <v>-0.85058590000000001</v>
      </c>
      <c r="V5330">
        <v>-0.34238039999999997</v>
      </c>
      <c r="W5330">
        <v>3.8981399999999999E-2</v>
      </c>
      <c r="X5330">
        <v>0.93875239999999904</v>
      </c>
      <c r="Y5330">
        <v>-0.41568820000000001</v>
      </c>
      <c r="Z5330">
        <v>7.6854229999999996E-2</v>
      </c>
      <c r="AA5330">
        <v>0.90625419999999901</v>
      </c>
      <c r="AB5330">
        <v>24</v>
      </c>
      <c r="AC5330">
        <v>0.82240000000001501</v>
      </c>
      <c r="AD5330">
        <v>-9.7966999999999901E-2</v>
      </c>
      <c r="AE5330">
        <v>-0.15088999999998901</v>
      </c>
      <c r="AF5330">
        <v>-0.421812629496014</v>
      </c>
      <c r="AG5330">
        <v>-9.7966999999999901E-2</v>
      </c>
      <c r="AH5330">
        <v>0.70878540460096795</v>
      </c>
      <c r="AI5330">
        <v>96.773629463040393</v>
      </c>
      <c r="AJ5330">
        <v>120.757738593475</v>
      </c>
      <c r="AK5330">
        <v>0.83060229789394402</v>
      </c>
    </row>
    <row r="5331" spans="1:37" x14ac:dyDescent="0.2">
      <c r="A5331" t="str">
        <f>"20200111153758328"</f>
        <v>20200111153758328</v>
      </c>
      <c r="B5331" t="str">
        <f>"1578728278318270"</f>
        <v>1578728278318270</v>
      </c>
      <c r="C5331" t="s">
        <v>37</v>
      </c>
      <c r="D5331">
        <v>5.1737510000000002</v>
      </c>
      <c r="E5331">
        <v>0.46321299999999999</v>
      </c>
      <c r="F5331" t="s">
        <v>53</v>
      </c>
      <c r="G5331">
        <v>-283.54329999999999</v>
      </c>
      <c r="H5331" s="1">
        <v>-4.6075649999999998E-6</v>
      </c>
      <c r="I5331">
        <v>-59.732509999999998</v>
      </c>
      <c r="J5331">
        <v>-294.9529</v>
      </c>
      <c r="K5331">
        <v>1.112579</v>
      </c>
      <c r="L5331">
        <v>-56.591889999999999</v>
      </c>
      <c r="M5331">
        <v>0.76079779999999997</v>
      </c>
      <c r="N5331">
        <v>0</v>
      </c>
      <c r="O5331">
        <v>-0.64886469999999996</v>
      </c>
      <c r="P5331">
        <v>0.9350463</v>
      </c>
      <c r="Q5331">
        <v>3.5613209999999999E-2</v>
      </c>
      <c r="R5331">
        <v>-0.35273280000000001</v>
      </c>
      <c r="S5331">
        <v>2.9102779999999999</v>
      </c>
      <c r="T5331">
        <v>-0.279445099999999</v>
      </c>
      <c r="U5331">
        <v>-0.82333369999999995</v>
      </c>
      <c r="V5331">
        <v>-0.33925919999999998</v>
      </c>
      <c r="W5331">
        <v>4.0887229999999997E-2</v>
      </c>
      <c r="X5331">
        <v>0.93980399999999997</v>
      </c>
      <c r="Y5331">
        <v>-0.41332459999999999</v>
      </c>
      <c r="Z5331">
        <v>7.4970809999999999E-2</v>
      </c>
      <c r="AA5331">
        <v>0.90749219999999897</v>
      </c>
      <c r="AB5331">
        <v>24</v>
      </c>
      <c r="AC5331">
        <v>11.409599999999999</v>
      </c>
      <c r="AD5331">
        <v>-1.112583607565</v>
      </c>
      <c r="AE5331">
        <v>-3.14061999999999</v>
      </c>
      <c r="AF5331">
        <v>-4.97038089430339</v>
      </c>
      <c r="AG5331">
        <v>-1.112583607565</v>
      </c>
      <c r="AH5331">
        <v>10.625184081915</v>
      </c>
      <c r="AI5331">
        <v>95.418137764029794</v>
      </c>
      <c r="AJ5331">
        <v>115.069838117221</v>
      </c>
      <c r="AK5331">
        <v>11.782914125667601</v>
      </c>
    </row>
    <row r="5332" spans="1:37" x14ac:dyDescent="0.2">
      <c r="A5332" t="str">
        <f>"20200111153758350"</f>
        <v>20200111153758350</v>
      </c>
      <c r="B5332" t="str">
        <f>"1578728278338766"</f>
        <v>1578728278338766</v>
      </c>
      <c r="C5332" t="s">
        <v>37</v>
      </c>
      <c r="D5332">
        <v>5.1936339999999896</v>
      </c>
      <c r="E5332">
        <v>0.46363789999999999</v>
      </c>
      <c r="F5332" t="s">
        <v>53</v>
      </c>
      <c r="G5332">
        <v>-283.16969999999998</v>
      </c>
      <c r="H5332" s="1">
        <v>-4.7637590000000004E-6</v>
      </c>
      <c r="I5332">
        <v>-59.832799999999999</v>
      </c>
      <c r="J5332">
        <v>-294.76580000000001</v>
      </c>
      <c r="K5332">
        <v>1.1125389999999999</v>
      </c>
      <c r="L5332">
        <v>-56.732939999999999</v>
      </c>
      <c r="M5332">
        <v>0.76887050000000001</v>
      </c>
      <c r="N5332">
        <v>0</v>
      </c>
      <c r="O5332">
        <v>-0.63927869999999998</v>
      </c>
      <c r="P5332">
        <v>0.93820429999999999</v>
      </c>
      <c r="Q5332">
        <v>3.6793039999999999E-2</v>
      </c>
      <c r="R5332">
        <v>-0.3441208</v>
      </c>
      <c r="S5332">
        <v>2.9163209999999999</v>
      </c>
      <c r="T5332">
        <v>-0.27536359999999999</v>
      </c>
      <c r="U5332">
        <v>-0.80212399999999995</v>
      </c>
      <c r="V5332">
        <v>-0.33610709999999999</v>
      </c>
      <c r="W5332">
        <v>4.215547E-2</v>
      </c>
      <c r="X5332">
        <v>0.94087989999999999</v>
      </c>
      <c r="Y5332">
        <v>-0.40870079999999998</v>
      </c>
      <c r="Z5332">
        <v>7.2982480000000002E-2</v>
      </c>
      <c r="AA5332">
        <v>0.90974569999999999</v>
      </c>
      <c r="AB5332">
        <v>24</v>
      </c>
      <c r="AC5332">
        <v>11.5961</v>
      </c>
      <c r="AD5332">
        <v>-1.1125437637590001</v>
      </c>
      <c r="AE5332">
        <v>-3.0998600000000001</v>
      </c>
      <c r="AF5332">
        <v>-4.9873084520689304</v>
      </c>
      <c r="AG5332">
        <v>-1.1125437637590001</v>
      </c>
      <c r="AH5332">
        <v>10.8056213527057</v>
      </c>
      <c r="AI5332">
        <v>95.340655472514797</v>
      </c>
      <c r="AJ5332">
        <v>114.77557155944299</v>
      </c>
      <c r="AK5332">
        <v>11.952926505270799</v>
      </c>
    </row>
    <row r="5333" spans="1:37" x14ac:dyDescent="0.2">
      <c r="A5333" t="str">
        <f>"20200111153758365"</f>
        <v>20200111153758365</v>
      </c>
      <c r="B5333" t="str">
        <f>"1578728278358287"</f>
        <v>1578728278358287</v>
      </c>
      <c r="C5333" t="s">
        <v>37</v>
      </c>
      <c r="D5333">
        <v>5.2391040000000002</v>
      </c>
      <c r="E5333">
        <v>0.46385569999999998</v>
      </c>
      <c r="F5333" t="s">
        <v>53</v>
      </c>
      <c r="G5333">
        <v>-282.7278</v>
      </c>
      <c r="H5333" s="1">
        <v>-4.9506329999999999E-6</v>
      </c>
      <c r="I5333">
        <v>-59.939509999999999</v>
      </c>
      <c r="J5333">
        <v>-294.64</v>
      </c>
      <c r="K5333">
        <v>1.112514</v>
      </c>
      <c r="L5333">
        <v>-56.825899999999997</v>
      </c>
      <c r="M5333">
        <v>0.77415859999999903</v>
      </c>
      <c r="N5333">
        <v>0</v>
      </c>
      <c r="O5333">
        <v>-0.63286509999999996</v>
      </c>
      <c r="P5333">
        <v>0.94051689999999999</v>
      </c>
      <c r="Q5333">
        <v>3.686992E-2</v>
      </c>
      <c r="R5333">
        <v>-0.3377406</v>
      </c>
      <c r="S5333">
        <v>2.9226380000000001</v>
      </c>
      <c r="T5333">
        <v>-0.270107599999999</v>
      </c>
      <c r="U5333">
        <v>-0.77850339999999996</v>
      </c>
      <c r="V5333">
        <v>-0.33467069999999999</v>
      </c>
      <c r="W5333">
        <v>4.2276960000000002E-2</v>
      </c>
      <c r="X5333">
        <v>0.94138630000000001</v>
      </c>
      <c r="Y5333">
        <v>-0.40864289999999998</v>
      </c>
      <c r="Z5333">
        <v>7.1126040000000001E-2</v>
      </c>
      <c r="AA5333">
        <v>0.90991869999999997</v>
      </c>
      <c r="AB5333">
        <v>24</v>
      </c>
      <c r="AC5333">
        <v>11.912199999999901</v>
      </c>
      <c r="AD5333">
        <v>-1.112518950633</v>
      </c>
      <c r="AE5333">
        <v>-3.11361</v>
      </c>
      <c r="AF5333">
        <v>-5.0872636110322897</v>
      </c>
      <c r="AG5333">
        <v>-1.112518950633</v>
      </c>
      <c r="AH5333">
        <v>11.102676122860499</v>
      </c>
      <c r="AI5333">
        <v>95.205013866266299</v>
      </c>
      <c r="AJ5333">
        <v>114.617325506938</v>
      </c>
      <c r="AK5333">
        <v>12.263252690570599</v>
      </c>
    </row>
    <row r="5334" spans="1:37" x14ac:dyDescent="0.2">
      <c r="A5334" t="str">
        <f>"20200111153758384"</f>
        <v>20200111153758384</v>
      </c>
      <c r="B5334" t="str">
        <f>"1578728278378785"</f>
        <v>1578728278378785</v>
      </c>
      <c r="C5334" t="s">
        <v>37</v>
      </c>
      <c r="D5334">
        <v>5.253368</v>
      </c>
      <c r="E5334">
        <v>0.469717</v>
      </c>
      <c r="F5334" t="s">
        <v>53</v>
      </c>
      <c r="G5334">
        <v>-282.71510000000001</v>
      </c>
      <c r="H5334" s="1">
        <v>-4.9593699999999999E-6</v>
      </c>
      <c r="I5334">
        <v>-59.923479999999998</v>
      </c>
      <c r="J5334">
        <v>-294.47570000000002</v>
      </c>
      <c r="K5334">
        <v>1.1124750000000001</v>
      </c>
      <c r="L5334">
        <v>-56.944919999999897</v>
      </c>
      <c r="M5334">
        <v>0.78089169999999997</v>
      </c>
      <c r="N5334">
        <v>0</v>
      </c>
      <c r="O5334">
        <v>-0.62453859999999894</v>
      </c>
      <c r="P5334">
        <v>0.94293680000000002</v>
      </c>
      <c r="Q5334">
        <v>3.7798569999999997E-2</v>
      </c>
      <c r="R5334">
        <v>-0.3308198</v>
      </c>
      <c r="S5334">
        <v>2.927368</v>
      </c>
      <c r="T5334">
        <v>-0.2731054</v>
      </c>
      <c r="U5334">
        <v>-0.76040649999999999</v>
      </c>
      <c r="V5334">
        <v>-0.33149420000000002</v>
      </c>
      <c r="W5334">
        <v>4.3297879999999997E-2</v>
      </c>
      <c r="X5334">
        <v>0.94246319999999995</v>
      </c>
      <c r="Y5334">
        <v>-0.40446320000000002</v>
      </c>
      <c r="Z5334">
        <v>7.1124740000000006E-2</v>
      </c>
      <c r="AA5334">
        <v>0.91178440000000005</v>
      </c>
      <c r="AB5334">
        <v>24</v>
      </c>
      <c r="AC5334">
        <v>11.7606</v>
      </c>
      <c r="AD5334">
        <v>-1.1124799593700001</v>
      </c>
      <c r="AE5334">
        <v>-2.9785599999999999</v>
      </c>
      <c r="AF5334">
        <v>-4.9775621965371197</v>
      </c>
      <c r="AG5334">
        <v>-1.1124799593700001</v>
      </c>
      <c r="AH5334">
        <v>10.9527648000136</v>
      </c>
      <c r="AI5334">
        <v>95.283096007957695</v>
      </c>
      <c r="AJ5334">
        <v>114.439761169156</v>
      </c>
      <c r="AK5334">
        <v>12.0820856578991</v>
      </c>
    </row>
    <row r="5335" spans="1:37" x14ac:dyDescent="0.2">
      <c r="A5335" t="str">
        <f>"20200111153758397"</f>
        <v>20200111153758397</v>
      </c>
      <c r="B5335" t="str">
        <f>"1578728278388545"</f>
        <v>1578728278388545</v>
      </c>
      <c r="C5335" t="s">
        <v>37</v>
      </c>
      <c r="D5335">
        <v>5.2874949999999998</v>
      </c>
      <c r="E5335">
        <v>0.47015950000000001</v>
      </c>
      <c r="F5335" t="s">
        <v>53</v>
      </c>
      <c r="G5335">
        <v>-284.98750000000001</v>
      </c>
      <c r="H5335" s="1">
        <v>-3.9748069999999996E-6</v>
      </c>
      <c r="I5335">
        <v>-59.501660000000001</v>
      </c>
      <c r="J5335">
        <v>-294.35610000000003</v>
      </c>
      <c r="K5335">
        <v>1.112439</v>
      </c>
      <c r="L5335">
        <v>-57.030119999999997</v>
      </c>
      <c r="M5335">
        <v>0.78567949999999998</v>
      </c>
      <c r="N5335">
        <v>0</v>
      </c>
      <c r="O5335">
        <v>-0.61850519999999998</v>
      </c>
      <c r="P5335">
        <v>0.94479290000000005</v>
      </c>
      <c r="Q5335">
        <v>3.8360560000000002E-2</v>
      </c>
      <c r="R5335">
        <v>-0.32541529999999902</v>
      </c>
      <c r="S5335">
        <v>2.9192809999999998</v>
      </c>
      <c r="T5335">
        <v>-0.34228399999999998</v>
      </c>
      <c r="U5335">
        <v>-0.78665160000000001</v>
      </c>
      <c r="V5335">
        <v>-0.32962179999999902</v>
      </c>
      <c r="W5335">
        <v>4.392004E-2</v>
      </c>
      <c r="X5335">
        <v>0.94309089999999995</v>
      </c>
      <c r="Y5335">
        <v>-0.3871037</v>
      </c>
      <c r="Z5335">
        <v>8.7610019999999997E-2</v>
      </c>
      <c r="AA5335">
        <v>0.91786449999999997</v>
      </c>
      <c r="AB5335">
        <v>24</v>
      </c>
      <c r="AC5335">
        <v>9.3686000000000096</v>
      </c>
      <c r="AD5335">
        <v>-1.1124429748069999</v>
      </c>
      <c r="AE5335">
        <v>-2.4715400000000001</v>
      </c>
      <c r="AF5335">
        <v>-3.80286596011039</v>
      </c>
      <c r="AG5335">
        <v>-1.1124429748069999</v>
      </c>
      <c r="AH5335">
        <v>8.7744185759164193</v>
      </c>
      <c r="AI5335">
        <v>96.6352260604598</v>
      </c>
      <c r="AJ5335">
        <v>113.432089714816</v>
      </c>
      <c r="AK5335">
        <v>9.62755110233911</v>
      </c>
    </row>
    <row r="5336" spans="1:37" x14ac:dyDescent="0.2">
      <c r="A5336" t="str">
        <f>"20200111153758411"</f>
        <v>20200111153758411</v>
      </c>
      <c r="B5336" t="str">
        <f>"1578728278398303"</f>
        <v>1578728278398303</v>
      </c>
      <c r="C5336" t="s">
        <v>37</v>
      </c>
      <c r="D5336">
        <v>6.5544469999999997</v>
      </c>
      <c r="E5336">
        <v>0.47110920000000001</v>
      </c>
      <c r="F5336" t="s">
        <v>53</v>
      </c>
      <c r="G5336">
        <v>-284.76940000000002</v>
      </c>
      <c r="H5336" s="1">
        <v>-4.0662220000000003E-6</v>
      </c>
      <c r="I5336">
        <v>-59.56523</v>
      </c>
      <c r="J5336">
        <v>-294.24090000000001</v>
      </c>
      <c r="K5336">
        <v>1.1124000000000001</v>
      </c>
      <c r="L5336">
        <v>-57.110500000000002</v>
      </c>
      <c r="M5336">
        <v>0.79018169999999899</v>
      </c>
      <c r="N5336">
        <v>0</v>
      </c>
      <c r="O5336">
        <v>-0.61274309999999998</v>
      </c>
      <c r="P5336">
        <v>0.94646350000000001</v>
      </c>
      <c r="Q5336">
        <v>3.8979689999999997E-2</v>
      </c>
      <c r="R5336">
        <v>-0.32044909999999999</v>
      </c>
      <c r="S5336">
        <v>2.9228519999999998</v>
      </c>
      <c r="T5336">
        <v>-0.33916750000000001</v>
      </c>
      <c r="U5336">
        <v>-0.77291869999999996</v>
      </c>
      <c r="V5336">
        <v>-0.32766799999999902</v>
      </c>
      <c r="W5336">
        <v>4.4602200000000002E-2</v>
      </c>
      <c r="X5336">
        <v>0.94373949999999995</v>
      </c>
      <c r="Y5336">
        <v>-0.38482339999999998</v>
      </c>
      <c r="Z5336">
        <v>8.6166110000000004E-2</v>
      </c>
      <c r="AA5336">
        <v>0.91895939999999998</v>
      </c>
      <c r="AB5336">
        <v>24</v>
      </c>
      <c r="AC5336">
        <v>9.47149999999999</v>
      </c>
      <c r="AD5336">
        <v>-1.1124040662220001</v>
      </c>
      <c r="AE5336">
        <v>-2.4547300000000001</v>
      </c>
      <c r="AF5336">
        <v>-3.8149099173199299</v>
      </c>
      <c r="AG5336">
        <v>-1.1124040662220001</v>
      </c>
      <c r="AH5336">
        <v>8.8743314669573596</v>
      </c>
      <c r="AI5336">
        <v>96.569290506482204</v>
      </c>
      <c r="AJ5336">
        <v>113.26196902452899</v>
      </c>
      <c r="AK5336">
        <v>9.7234119253090796</v>
      </c>
    </row>
    <row r="5337" spans="1:37" x14ac:dyDescent="0.2">
      <c r="A5337" t="str">
        <f>"20200111153758425"</f>
        <v>20200111153758425</v>
      </c>
      <c r="B5337" t="str">
        <f>"1578728278418798"</f>
        <v>1578728278418798</v>
      </c>
      <c r="C5337" t="s">
        <v>37</v>
      </c>
      <c r="D5337">
        <v>5.2449899999999996</v>
      </c>
      <c r="E5337">
        <v>0.47178779999999998</v>
      </c>
      <c r="F5337" t="s">
        <v>53</v>
      </c>
      <c r="G5337">
        <v>-284.4941</v>
      </c>
      <c r="H5337" s="1">
        <v>-4.177892E-6</v>
      </c>
      <c r="I5337">
        <v>-59.658209999999997</v>
      </c>
      <c r="J5337">
        <v>-294.11689999999999</v>
      </c>
      <c r="K5337">
        <v>1.112355</v>
      </c>
      <c r="L5337">
        <v>-57.195979999999999</v>
      </c>
      <c r="M5337">
        <v>0.79493639999999999</v>
      </c>
      <c r="N5337">
        <v>0</v>
      </c>
      <c r="O5337">
        <v>-0.6065623</v>
      </c>
      <c r="P5337">
        <v>0.94833020000000001</v>
      </c>
      <c r="Q5337">
        <v>3.9744880000000003E-2</v>
      </c>
      <c r="R5337">
        <v>-0.31478620000000002</v>
      </c>
      <c r="S5337">
        <v>2.9246219999999998</v>
      </c>
      <c r="T5337">
        <v>-0.33378809999999998</v>
      </c>
      <c r="U5337">
        <v>-0.76446530000000001</v>
      </c>
      <c r="V5337">
        <v>-0.32593800000000001</v>
      </c>
      <c r="W5337">
        <v>4.5428679999999999E-2</v>
      </c>
      <c r="X5337">
        <v>0.944299</v>
      </c>
      <c r="Y5337">
        <v>-0.38048109999999902</v>
      </c>
      <c r="Z5337">
        <v>8.4033469999999999E-2</v>
      </c>
      <c r="AA5337">
        <v>0.92096279999999997</v>
      </c>
      <c r="AB5337">
        <v>24</v>
      </c>
      <c r="AC5337">
        <v>9.6227999999999803</v>
      </c>
      <c r="AD5337">
        <v>-1.1123591778919999</v>
      </c>
      <c r="AE5337">
        <v>-2.4622299999999901</v>
      </c>
      <c r="AF5337">
        <v>-3.8317629589212001</v>
      </c>
      <c r="AG5337">
        <v>-1.1123591778919999</v>
      </c>
      <c r="AH5337">
        <v>9.0304789831101697</v>
      </c>
      <c r="AI5337">
        <v>96.469294606318897</v>
      </c>
      <c r="AJ5337">
        <v>112.99221529900301</v>
      </c>
      <c r="AK5337">
        <v>9.8726542012974203</v>
      </c>
    </row>
    <row r="5338" spans="1:37" x14ac:dyDescent="0.2">
      <c r="A5338" t="str">
        <f>"20200111153758438"</f>
        <v>20200111153758438</v>
      </c>
      <c r="B5338" t="str">
        <f>"1578728278428558"</f>
        <v>1578728278428558</v>
      </c>
      <c r="C5338" t="s">
        <v>37</v>
      </c>
      <c r="D5338">
        <v>5.2690580000000002</v>
      </c>
      <c r="E5338">
        <v>0.4720066</v>
      </c>
      <c r="F5338" t="s">
        <v>53</v>
      </c>
      <c r="G5338">
        <v>-284.18150000000003</v>
      </c>
      <c r="H5338" s="1">
        <v>-4.3076860000000003E-6</v>
      </c>
      <c r="I5338">
        <v>-59.747239999999998</v>
      </c>
      <c r="J5338">
        <v>-294.00020000000001</v>
      </c>
      <c r="K5338">
        <v>1.112311</v>
      </c>
      <c r="L5338">
        <v>-57.275539999999999</v>
      </c>
      <c r="M5338">
        <v>0.79932829999999999</v>
      </c>
      <c r="N5338">
        <v>0</v>
      </c>
      <c r="O5338">
        <v>-0.6007633</v>
      </c>
      <c r="P5338">
        <v>0.94950259999999997</v>
      </c>
      <c r="Q5338">
        <v>4.1267480000000002E-2</v>
      </c>
      <c r="R5338">
        <v>-0.31103379999999903</v>
      </c>
      <c r="S5338">
        <v>2.9276430000000002</v>
      </c>
      <c r="T5338">
        <v>-0.32777509999999999</v>
      </c>
      <c r="U5338">
        <v>-0.75176999999999905</v>
      </c>
      <c r="V5338">
        <v>-0.32278309999999999</v>
      </c>
      <c r="W5338">
        <v>4.704676E-2</v>
      </c>
      <c r="X5338">
        <v>0.945303</v>
      </c>
      <c r="Y5338">
        <v>-0.37796839999999998</v>
      </c>
      <c r="Z5338">
        <v>8.1883650000000002E-2</v>
      </c>
      <c r="AA5338">
        <v>0.92219030000000002</v>
      </c>
      <c r="AB5338">
        <v>24</v>
      </c>
      <c r="AC5338">
        <v>9.8186999999999696</v>
      </c>
      <c r="AD5338">
        <v>-1.112315307686</v>
      </c>
      <c r="AE5338">
        <v>-2.4716999999999998</v>
      </c>
      <c r="AF5338">
        <v>-3.87653916508674</v>
      </c>
      <c r="AG5338">
        <v>-1.112315307686</v>
      </c>
      <c r="AH5338">
        <v>9.2227007975524096</v>
      </c>
      <c r="AI5338">
        <v>96.344309202578401</v>
      </c>
      <c r="AJ5338">
        <v>112.79827214859699</v>
      </c>
      <c r="AK5338">
        <v>10.0659332028052</v>
      </c>
    </row>
    <row r="5339" spans="1:37" x14ac:dyDescent="0.2">
      <c r="A5339" t="str">
        <f>"20200111153758452"</f>
        <v>20200111153758452</v>
      </c>
      <c r="B5339" t="str">
        <f>"1578728278448078"</f>
        <v>1578728278448078</v>
      </c>
      <c r="C5339" t="s">
        <v>37</v>
      </c>
      <c r="D5339">
        <v>5.2570839999999999</v>
      </c>
      <c r="E5339">
        <v>0.47284110000000001</v>
      </c>
      <c r="F5339" t="s">
        <v>53</v>
      </c>
      <c r="G5339">
        <v>-283.99509999999998</v>
      </c>
      <c r="H5339" s="1">
        <v>-4.3834079999999996E-6</v>
      </c>
      <c r="I5339">
        <v>-59.809459999999902</v>
      </c>
      <c r="J5339">
        <v>-293.88170000000002</v>
      </c>
      <c r="K5339">
        <v>1.1122609999999999</v>
      </c>
      <c r="L5339">
        <v>-57.354459999999897</v>
      </c>
      <c r="M5339">
        <v>0.80366110000000002</v>
      </c>
      <c r="N5339">
        <v>0</v>
      </c>
      <c r="O5339">
        <v>-0.59495500000000001</v>
      </c>
      <c r="P5339">
        <v>0.95122999999999902</v>
      </c>
      <c r="Q5339">
        <v>4.1777809999999999E-2</v>
      </c>
      <c r="R5339">
        <v>-0.30564059999999998</v>
      </c>
      <c r="S5339">
        <v>2.9306030000000001</v>
      </c>
      <c r="T5339">
        <v>-0.32581189999999999</v>
      </c>
      <c r="U5339">
        <v>-0.74221800000000004</v>
      </c>
      <c r="V5339">
        <v>-0.32128559999999901</v>
      </c>
      <c r="W5339">
        <v>4.761642E-2</v>
      </c>
      <c r="X5339">
        <v>0.94578439999999997</v>
      </c>
      <c r="Y5339">
        <v>-0.37442129999999901</v>
      </c>
      <c r="Z5339">
        <v>8.0679829999999994E-2</v>
      </c>
      <c r="AA5339">
        <v>0.92374210000000001</v>
      </c>
      <c r="AB5339">
        <v>24</v>
      </c>
      <c r="AC5339">
        <v>9.8866000000000405</v>
      </c>
      <c r="AD5339">
        <v>-1.1122653834080001</v>
      </c>
      <c r="AE5339">
        <v>-2.4549999999999899</v>
      </c>
      <c r="AF5339">
        <v>-3.8633442343467399</v>
      </c>
      <c r="AG5339">
        <v>-1.1122653834080001</v>
      </c>
      <c r="AH5339">
        <v>9.2960066943288506</v>
      </c>
      <c r="AI5339">
        <v>96.304928180321795</v>
      </c>
      <c r="AJ5339">
        <v>112.567370279031</v>
      </c>
      <c r="AK5339">
        <v>10.128094757514599</v>
      </c>
    </row>
    <row r="5340" spans="1:37" x14ac:dyDescent="0.2">
      <c r="A5340" t="str">
        <f>"20200111153758466"</f>
        <v>20200111153758466</v>
      </c>
      <c r="B5340" t="str">
        <f>"1578728278458814"</f>
        <v>1578728278458814</v>
      </c>
      <c r="C5340" t="s">
        <v>37</v>
      </c>
      <c r="D5340">
        <v>5.2916840000000001</v>
      </c>
      <c r="E5340">
        <v>0.473159</v>
      </c>
      <c r="F5340" t="s">
        <v>53</v>
      </c>
      <c r="G5340">
        <v>-283.96080000000001</v>
      </c>
      <c r="H5340" s="1">
        <v>-4.3953820000000002E-6</v>
      </c>
      <c r="I5340">
        <v>-59.831949999999999</v>
      </c>
      <c r="J5340">
        <v>-293.76220000000001</v>
      </c>
      <c r="K5340">
        <v>1.112209</v>
      </c>
      <c r="L5340">
        <v>-57.433199999999999</v>
      </c>
      <c r="M5340">
        <v>0.80794849999999996</v>
      </c>
      <c r="N5340">
        <v>0</v>
      </c>
      <c r="O5340">
        <v>-0.58911990000000003</v>
      </c>
      <c r="P5340">
        <v>0.95290249999999999</v>
      </c>
      <c r="Q5340">
        <v>4.233481E-2</v>
      </c>
      <c r="R5340">
        <v>-0.3003074</v>
      </c>
      <c r="S5340">
        <v>2.932922</v>
      </c>
      <c r="T5340">
        <v>-0.32881919999999998</v>
      </c>
      <c r="U5340">
        <v>-0.73242189999999996</v>
      </c>
      <c r="V5340">
        <v>-0.31972240000000002</v>
      </c>
      <c r="W5340">
        <v>4.8236540000000001E-2</v>
      </c>
      <c r="X5340">
        <v>0.94628259999999897</v>
      </c>
      <c r="Y5340">
        <v>-0.37074269999999998</v>
      </c>
      <c r="Z5340">
        <v>8.0701819999999994E-2</v>
      </c>
      <c r="AA5340">
        <v>0.92522269999999895</v>
      </c>
      <c r="AB5340">
        <v>24</v>
      </c>
      <c r="AC5340">
        <v>9.8013999999999992</v>
      </c>
      <c r="AD5340">
        <v>-1.1122133953819999</v>
      </c>
      <c r="AE5340">
        <v>-2.3987500000000002</v>
      </c>
      <c r="AF5340">
        <v>-3.79038541072764</v>
      </c>
      <c r="AG5340">
        <v>-1.1122133953819999</v>
      </c>
      <c r="AH5340">
        <v>9.2208866468467203</v>
      </c>
      <c r="AI5340">
        <v>96.365660225310705</v>
      </c>
      <c r="AJ5340">
        <v>112.34585703174299</v>
      </c>
      <c r="AK5340">
        <v>10.0313902701829</v>
      </c>
    </row>
    <row r="5341" spans="1:37" x14ac:dyDescent="0.2">
      <c r="A5341" t="str">
        <f>"20200111153758485"</f>
        <v>20200111153758485</v>
      </c>
      <c r="B5341" t="str">
        <f>"1578728278478334"</f>
        <v>1578728278478334</v>
      </c>
      <c r="C5341" t="s">
        <v>37</v>
      </c>
      <c r="D5341">
        <v>5.1422210000000002</v>
      </c>
      <c r="E5341">
        <v>0.47369699999999998</v>
      </c>
      <c r="F5341" t="s">
        <v>53</v>
      </c>
      <c r="G5341">
        <v>-283.73899999999998</v>
      </c>
      <c r="H5341" s="1">
        <v>-4.4890179999999998E-6</v>
      </c>
      <c r="I5341">
        <v>-59.886539999999997</v>
      </c>
      <c r="J5341">
        <v>-293.59789999999998</v>
      </c>
      <c r="K5341">
        <v>1.112123</v>
      </c>
      <c r="L5341">
        <v>-57.539639999999999</v>
      </c>
      <c r="M5341">
        <v>0.81368450000000003</v>
      </c>
      <c r="N5341">
        <v>0</v>
      </c>
      <c r="O5341">
        <v>-0.58117229999999998</v>
      </c>
      <c r="P5341">
        <v>0.95504319999999898</v>
      </c>
      <c r="Q5341">
        <v>4.2329079999999998E-2</v>
      </c>
      <c r="R5341">
        <v>-0.2934292</v>
      </c>
      <c r="S5341">
        <v>2.9362490000000001</v>
      </c>
      <c r="T5341">
        <v>-0.3258162</v>
      </c>
      <c r="U5341">
        <v>-0.71868900000000002</v>
      </c>
      <c r="V5341">
        <v>-0.31725720000000002</v>
      </c>
      <c r="W5341">
        <v>4.8328469999999998E-2</v>
      </c>
      <c r="X5341">
        <v>0.94710729999999999</v>
      </c>
      <c r="Y5341">
        <v>-0.36612620000000001</v>
      </c>
      <c r="Z5341">
        <v>7.9012540000000006E-2</v>
      </c>
      <c r="AA5341">
        <v>0.92720469999999899</v>
      </c>
      <c r="AB5341">
        <v>24</v>
      </c>
      <c r="AC5341">
        <v>9.8588999999999398</v>
      </c>
      <c r="AD5341">
        <v>-1.112127489018</v>
      </c>
      <c r="AE5341">
        <v>-2.34689999999999</v>
      </c>
      <c r="AF5341">
        <v>-3.7749227680855899</v>
      </c>
      <c r="AG5341">
        <v>-1.112127489018</v>
      </c>
      <c r="AH5341">
        <v>9.2750271271831508</v>
      </c>
      <c r="AI5341">
        <v>96.337270583206802</v>
      </c>
      <c r="AJ5341">
        <v>112.14625281382</v>
      </c>
      <c r="AK5341">
        <v>10.0753658825287</v>
      </c>
    </row>
    <row r="5342" spans="1:37" x14ac:dyDescent="0.2">
      <c r="A5342" t="str">
        <f>"20200111153758497"</f>
        <v>20200111153758497</v>
      </c>
      <c r="B5342" t="str">
        <f>"1578728278488094"</f>
        <v>1578728278488094</v>
      </c>
      <c r="C5342" t="s">
        <v>37</v>
      </c>
      <c r="D5342">
        <v>5.345726</v>
      </c>
      <c r="E5342">
        <v>0.47369699999999998</v>
      </c>
      <c r="F5342" t="s">
        <v>53</v>
      </c>
      <c r="G5342">
        <v>-283.67250000000001</v>
      </c>
      <c r="H5342" s="1">
        <v>-4.5156679999999998E-6</v>
      </c>
      <c r="I5342">
        <v>-59.910699999999999</v>
      </c>
      <c r="J5342">
        <v>-293.48219999999998</v>
      </c>
      <c r="K5342">
        <v>1.112055</v>
      </c>
      <c r="L5342">
        <v>-57.613430000000001</v>
      </c>
      <c r="M5342">
        <v>0.81762360000000001</v>
      </c>
      <c r="N5342">
        <v>0</v>
      </c>
      <c r="O5342">
        <v>-0.57561779999999996</v>
      </c>
      <c r="P5342">
        <v>0.956592</v>
      </c>
      <c r="Q5342">
        <v>4.2238789999999998E-2</v>
      </c>
      <c r="R5342">
        <v>-0.28835369999999999</v>
      </c>
      <c r="S5342">
        <v>2.9400019999999998</v>
      </c>
      <c r="T5342">
        <v>-0.32942379999999999</v>
      </c>
      <c r="U5342">
        <v>-0.7023315</v>
      </c>
      <c r="V5342">
        <v>-0.31582929999999998</v>
      </c>
      <c r="W5342">
        <v>4.8299420000000003E-2</v>
      </c>
      <c r="X5342">
        <v>0.94758589999999998</v>
      </c>
      <c r="Y5342">
        <v>-0.36486849999999998</v>
      </c>
      <c r="Z5342">
        <v>7.9303600000000002E-2</v>
      </c>
      <c r="AA5342">
        <v>0.92767549999999899</v>
      </c>
      <c r="AB5342">
        <v>24</v>
      </c>
      <c r="AC5342">
        <v>9.8096999999999603</v>
      </c>
      <c r="AD5342">
        <v>-1.112059515668</v>
      </c>
      <c r="AE5342">
        <v>-2.2972699999999899</v>
      </c>
      <c r="AF5342">
        <v>-3.7232684557567501</v>
      </c>
      <c r="AG5342">
        <v>-1.112059515668</v>
      </c>
      <c r="AH5342">
        <v>9.2312544762192097</v>
      </c>
      <c r="AI5342">
        <v>96.374749201378904</v>
      </c>
      <c r="AJ5342">
        <v>111.96584072170199</v>
      </c>
      <c r="AK5342">
        <v>10.015760758161999</v>
      </c>
    </row>
    <row r="5343" spans="1:37" x14ac:dyDescent="0.2">
      <c r="A5343" t="str">
        <f>"20200111153758511"</f>
        <v>20200111153758511</v>
      </c>
      <c r="B5343" t="str">
        <f>"1578728278498830"</f>
        <v>1578728278498830</v>
      </c>
      <c r="C5343" t="s">
        <v>37</v>
      </c>
      <c r="D5343">
        <v>5.4882650000000002</v>
      </c>
      <c r="E5343">
        <v>0.48450219999999999</v>
      </c>
      <c r="F5343" t="s">
        <v>53</v>
      </c>
      <c r="G5343">
        <v>-283.55430000000001</v>
      </c>
      <c r="H5343" s="1">
        <v>-4.5673649999999998E-6</v>
      </c>
      <c r="I5343">
        <v>-59.929740000000002</v>
      </c>
      <c r="J5343">
        <v>-293.36349999999999</v>
      </c>
      <c r="K5343">
        <v>1.11199</v>
      </c>
      <c r="L5343">
        <v>-57.68768</v>
      </c>
      <c r="M5343">
        <v>0.82155689999999904</v>
      </c>
      <c r="N5343">
        <v>0</v>
      </c>
      <c r="O5343">
        <v>-0.569990199999999</v>
      </c>
      <c r="P5343">
        <v>0.95818349999999997</v>
      </c>
      <c r="Q5343">
        <v>4.193889E-2</v>
      </c>
      <c r="R5343">
        <v>-0.28306509999999901</v>
      </c>
      <c r="S5343">
        <v>2.943695</v>
      </c>
      <c r="T5343">
        <v>-0.32973219999999998</v>
      </c>
      <c r="U5343">
        <v>-0.68679809999999997</v>
      </c>
      <c r="V5343">
        <v>-0.31455079999999902</v>
      </c>
      <c r="W5343">
        <v>4.805794E-2</v>
      </c>
      <c r="X5343">
        <v>0.94802330000000001</v>
      </c>
      <c r="Y5343">
        <v>-0.36341079999999998</v>
      </c>
      <c r="Z5343">
        <v>7.8774559999999993E-2</v>
      </c>
      <c r="AA5343">
        <v>0.92829259999999902</v>
      </c>
      <c r="AB5343">
        <v>24</v>
      </c>
      <c r="AC5343">
        <v>9.8091999999999704</v>
      </c>
      <c r="AD5343">
        <v>-1.111994567365</v>
      </c>
      <c r="AE5343">
        <v>-2.2420599999999902</v>
      </c>
      <c r="AF5343">
        <v>-3.70421979630648</v>
      </c>
      <c r="AG5343">
        <v>-1.111994567365</v>
      </c>
      <c r="AH5343">
        <v>9.2248310645189608</v>
      </c>
      <c r="AI5343">
        <v>96.382692194419207</v>
      </c>
      <c r="AJ5343">
        <v>111.877868094916</v>
      </c>
      <c r="AK5343">
        <v>10.0027638373657</v>
      </c>
    </row>
    <row r="5344" spans="1:37" x14ac:dyDescent="0.2">
      <c r="A5344" t="str">
        <f>"20200111153758529"</f>
        <v>20200111153758529</v>
      </c>
      <c r="B5344" t="str">
        <f>"1578728278518350"</f>
        <v>1578728278518350</v>
      </c>
      <c r="C5344" t="s">
        <v>37</v>
      </c>
      <c r="D5344">
        <v>5.286664</v>
      </c>
      <c r="E5344">
        <v>0.48430469999999998</v>
      </c>
      <c r="F5344" t="s">
        <v>53</v>
      </c>
      <c r="G5344">
        <v>-283.1884</v>
      </c>
      <c r="H5344" s="1">
        <v>-4.6705100000000003E-6</v>
      </c>
      <c r="I5344">
        <v>-60.307749999999999</v>
      </c>
      <c r="J5344">
        <v>-293.2054</v>
      </c>
      <c r="K5344">
        <v>1.111899</v>
      </c>
      <c r="L5344">
        <v>-57.785309999999903</v>
      </c>
      <c r="M5344">
        <v>0.82667029999999997</v>
      </c>
      <c r="N5344">
        <v>0</v>
      </c>
      <c r="O5344">
        <v>-0.56254919999999997</v>
      </c>
      <c r="P5344">
        <v>0.95993879999999998</v>
      </c>
      <c r="Q5344">
        <v>4.1143029999999997E-2</v>
      </c>
      <c r="R5344">
        <v>-0.27717320000000001</v>
      </c>
      <c r="S5344">
        <v>2.9226070000000002</v>
      </c>
      <c r="T5344">
        <v>-0.31939800000000002</v>
      </c>
      <c r="U5344">
        <v>-0.75256350000000005</v>
      </c>
      <c r="V5344">
        <v>-0.31180720000000001</v>
      </c>
      <c r="W5344">
        <v>4.7363499999999899E-2</v>
      </c>
      <c r="X5344">
        <v>0.94896420000000004</v>
      </c>
      <c r="Y5344">
        <v>-0.33412120000000001</v>
      </c>
      <c r="Z5344">
        <v>7.4348739999999996E-2</v>
      </c>
      <c r="AA5344">
        <v>0.93959309999999996</v>
      </c>
      <c r="AB5344">
        <v>24</v>
      </c>
      <c r="AC5344">
        <v>10.0169999999999</v>
      </c>
      <c r="AD5344">
        <v>-1.1119036705100001</v>
      </c>
      <c r="AE5344">
        <v>-2.52244</v>
      </c>
      <c r="AF5344">
        <v>-3.5094409124405401</v>
      </c>
      <c r="AG5344">
        <v>-1.1119036705100001</v>
      </c>
      <c r="AH5344">
        <v>9.5893940271932294</v>
      </c>
      <c r="AI5344">
        <v>96.2143671164892</v>
      </c>
      <c r="AJ5344">
        <v>110.101164646828</v>
      </c>
      <c r="AK5344">
        <v>10.2717565732047</v>
      </c>
    </row>
    <row r="5345" spans="1:37" x14ac:dyDescent="0.2">
      <c r="A5345" t="str">
        <f>"20200111153758552"</f>
        <v>20200111153758552</v>
      </c>
      <c r="B5345" t="str">
        <f>"1578728278548606"</f>
        <v>1578728278548606</v>
      </c>
      <c r="C5345" t="s">
        <v>37</v>
      </c>
      <c r="D5345">
        <v>5.4893210000000003</v>
      </c>
      <c r="E5345">
        <v>0.48404059999999999</v>
      </c>
      <c r="F5345" t="s">
        <v>53</v>
      </c>
      <c r="G5345">
        <v>-282.77019999999999</v>
      </c>
      <c r="H5345" s="1">
        <v>-6.7809770000000004E-6</v>
      </c>
      <c r="I5345">
        <v>-60.395619999999901</v>
      </c>
      <c r="J5345">
        <v>-292.99970000000002</v>
      </c>
      <c r="K5345">
        <v>1.111782</v>
      </c>
      <c r="L5345">
        <v>-57.909579999999998</v>
      </c>
      <c r="M5345">
        <v>0.83308069999999901</v>
      </c>
      <c r="N5345">
        <v>0</v>
      </c>
      <c r="O5345">
        <v>-0.55301210000000001</v>
      </c>
      <c r="P5345">
        <v>0.96231069999999996</v>
      </c>
      <c r="Q5345">
        <v>4.0289709999999999E-2</v>
      </c>
      <c r="R5345">
        <v>-0.268951</v>
      </c>
      <c r="S5345">
        <v>2.9271240000000001</v>
      </c>
      <c r="T5345">
        <v>-0.31189600000000001</v>
      </c>
      <c r="U5345">
        <v>-0.73220830000000003</v>
      </c>
      <c r="V5345">
        <v>-0.30900840000000002</v>
      </c>
      <c r="W5345">
        <v>4.6628559999999999E-2</v>
      </c>
      <c r="X5345">
        <v>0.94991559999999897</v>
      </c>
      <c r="Y5345">
        <v>-0.33005879999999999</v>
      </c>
      <c r="Z5345">
        <v>7.1570320000000007E-2</v>
      </c>
      <c r="AA5345">
        <v>0.9412433</v>
      </c>
      <c r="AB5345">
        <v>24</v>
      </c>
      <c r="AC5345">
        <v>10.2295</v>
      </c>
      <c r="AD5345">
        <v>-1.111788780977</v>
      </c>
      <c r="AE5345">
        <v>-2.48603999999998</v>
      </c>
      <c r="AF5345">
        <v>-3.5466835492705799</v>
      </c>
      <c r="AG5345">
        <v>-1.111788780977</v>
      </c>
      <c r="AH5345">
        <v>9.7883964824942993</v>
      </c>
      <c r="AI5345">
        <v>96.095427946797003</v>
      </c>
      <c r="AJ5345">
        <v>109.91724982105499</v>
      </c>
      <c r="AK5345">
        <v>10.4703268425909</v>
      </c>
    </row>
    <row r="5346" spans="1:37" x14ac:dyDescent="0.2">
      <c r="A5346" t="str">
        <f>"20200111153758565"</f>
        <v>20200111153758565</v>
      </c>
      <c r="B5346" t="str">
        <f>"1578728278558367"</f>
        <v>1578728278558367</v>
      </c>
      <c r="C5346" t="s">
        <v>37</v>
      </c>
      <c r="D5346">
        <v>5.2700019999999999</v>
      </c>
      <c r="E5346">
        <v>0.48441699999999999</v>
      </c>
      <c r="F5346" t="s">
        <v>53</v>
      </c>
      <c r="G5346">
        <v>-282.50490000000002</v>
      </c>
      <c r="H5346" s="1">
        <v>-6.8657960000000003E-6</v>
      </c>
      <c r="I5346">
        <v>-60.43103</v>
      </c>
      <c r="J5346">
        <v>-292.88170000000002</v>
      </c>
      <c r="K5346">
        <v>1.1117139999999901</v>
      </c>
      <c r="L5346">
        <v>-57.979610000000001</v>
      </c>
      <c r="M5346">
        <v>0.83664349999999998</v>
      </c>
      <c r="N5346">
        <v>0</v>
      </c>
      <c r="O5346">
        <v>-0.54760759999999997</v>
      </c>
      <c r="P5346">
        <v>0.96372069999999999</v>
      </c>
      <c r="Q5346">
        <v>4.0426919999999998E-2</v>
      </c>
      <c r="R5346">
        <v>-0.2638336</v>
      </c>
      <c r="S5346">
        <v>2.9335330000000002</v>
      </c>
      <c r="T5346">
        <v>-0.31077050000000001</v>
      </c>
      <c r="U5346">
        <v>-0.70480350000000003</v>
      </c>
      <c r="V5346">
        <v>-0.30789739999999999</v>
      </c>
      <c r="W5346">
        <v>4.6821939999999999E-2</v>
      </c>
      <c r="X5346">
        <v>0.95026669999999902</v>
      </c>
      <c r="Y5346">
        <v>-0.33277509999999999</v>
      </c>
      <c r="Z5346">
        <v>7.0956569999999997E-2</v>
      </c>
      <c r="AA5346">
        <v>0.94033279999999997</v>
      </c>
      <c r="AB5346">
        <v>24</v>
      </c>
      <c r="AC5346">
        <v>10.376799999999999</v>
      </c>
      <c r="AD5346">
        <v>-1.1117208657959901</v>
      </c>
      <c r="AE5346">
        <v>-2.4514200000000002</v>
      </c>
      <c r="AF5346">
        <v>-3.5926720133281198</v>
      </c>
      <c r="AG5346">
        <v>-1.1117208657959901</v>
      </c>
      <c r="AH5346">
        <v>9.9170575836852795</v>
      </c>
      <c r="AI5346">
        <v>96.016688144278405</v>
      </c>
      <c r="AJ5346">
        <v>109.91403223207401</v>
      </c>
      <c r="AK5346">
        <v>10.6061890703931</v>
      </c>
    </row>
    <row r="5347" spans="1:37" x14ac:dyDescent="0.2">
      <c r="A5347" t="str">
        <f>"20200111153758579"</f>
        <v>20200111153758579</v>
      </c>
      <c r="B5347" t="str">
        <f>"1578728278568126"</f>
        <v>1578728278568126</v>
      </c>
      <c r="C5347" t="s">
        <v>37</v>
      </c>
      <c r="D5347">
        <v>5.2470619999999997</v>
      </c>
      <c r="E5347">
        <v>0.4848153</v>
      </c>
      <c r="F5347" t="s">
        <v>53</v>
      </c>
      <c r="G5347">
        <v>-282.25970000000001</v>
      </c>
      <c r="H5347" s="1">
        <v>-6.9420800000000003E-6</v>
      </c>
      <c r="I5347">
        <v>-60.482779999999998</v>
      </c>
      <c r="J5347">
        <v>-292.74560000000002</v>
      </c>
      <c r="K5347">
        <v>1.111637</v>
      </c>
      <c r="L5347">
        <v>-58.059330000000003</v>
      </c>
      <c r="M5347">
        <v>0.84065460000000003</v>
      </c>
      <c r="N5347">
        <v>0</v>
      </c>
      <c r="O5347">
        <v>-0.54143069999999904</v>
      </c>
      <c r="P5347">
        <v>0.96524869999999996</v>
      </c>
      <c r="Q5347">
        <v>4.0684579999999998E-2</v>
      </c>
      <c r="R5347">
        <v>-0.25814720000000002</v>
      </c>
      <c r="S5347">
        <v>2.936401</v>
      </c>
      <c r="T5347">
        <v>-0.30732949999999998</v>
      </c>
      <c r="U5347">
        <v>-0.69198609999999905</v>
      </c>
      <c r="V5347">
        <v>-0.3064886</v>
      </c>
      <c r="W5347">
        <v>4.714774E-2</v>
      </c>
      <c r="X5347">
        <v>0.95070589999999999</v>
      </c>
      <c r="Y5347">
        <v>-0.33006190000000002</v>
      </c>
      <c r="Z5347">
        <v>6.9496479999999999E-2</v>
      </c>
      <c r="AA5347">
        <v>0.9413975</v>
      </c>
      <c r="AB5347">
        <v>24</v>
      </c>
      <c r="AC5347">
        <v>10.485900000000001</v>
      </c>
      <c r="AD5347">
        <v>-1.1116439420799999</v>
      </c>
      <c r="AE5347">
        <v>-2.4234499999999999</v>
      </c>
      <c r="AF5347">
        <v>-3.60195265560567</v>
      </c>
      <c r="AG5347">
        <v>-1.1116439420799999</v>
      </c>
      <c r="AH5347">
        <v>10.021009854081299</v>
      </c>
      <c r="AI5347">
        <v>95.959663520311807</v>
      </c>
      <c r="AJ5347">
        <v>109.77047128698599</v>
      </c>
      <c r="AK5347">
        <v>10.706561244525799</v>
      </c>
    </row>
    <row r="5348" spans="1:37" x14ac:dyDescent="0.2">
      <c r="A5348" t="str">
        <f>"20200111153758593"</f>
        <v>20200111153758593</v>
      </c>
      <c r="B5348" t="str">
        <f>"1578728278588622"</f>
        <v>1578728278588622</v>
      </c>
      <c r="C5348" t="s">
        <v>37</v>
      </c>
      <c r="D5348">
        <v>5.1970999999999998</v>
      </c>
      <c r="E5348">
        <v>0.485317</v>
      </c>
      <c r="F5348" t="s">
        <v>53</v>
      </c>
      <c r="G5348">
        <v>-282.10169999999999</v>
      </c>
      <c r="H5348" s="1">
        <v>-6.9914999999999999E-6</v>
      </c>
      <c r="I5348">
        <v>-60.513469999999998</v>
      </c>
      <c r="J5348">
        <v>-292.62220000000002</v>
      </c>
      <c r="K5348">
        <v>1.111564</v>
      </c>
      <c r="L5348">
        <v>-58.130130000000001</v>
      </c>
      <c r="M5348">
        <v>0.84417439999999999</v>
      </c>
      <c r="N5348">
        <v>0</v>
      </c>
      <c r="O5348">
        <v>-0.53592659999999903</v>
      </c>
      <c r="P5348">
        <v>0.96656849999999905</v>
      </c>
      <c r="Q5348">
        <v>4.1166429999999997E-2</v>
      </c>
      <c r="R5348">
        <v>-0.25308249999999999</v>
      </c>
      <c r="S5348">
        <v>2.939667</v>
      </c>
      <c r="T5348">
        <v>-0.3070176</v>
      </c>
      <c r="U5348">
        <v>-0.67779540000000005</v>
      </c>
      <c r="V5348">
        <v>-0.3052492</v>
      </c>
      <c r="W5348">
        <v>4.7691190000000001E-2</v>
      </c>
      <c r="X5348">
        <v>0.95107749999999902</v>
      </c>
      <c r="Y5348">
        <v>-0.3284842</v>
      </c>
      <c r="Z5348">
        <v>6.8856600000000004E-2</v>
      </c>
      <c r="AA5348">
        <v>0.94199619999999995</v>
      </c>
      <c r="AB5348">
        <v>24</v>
      </c>
      <c r="AC5348">
        <v>10.5205</v>
      </c>
      <c r="AD5348">
        <v>-1.1115709915</v>
      </c>
      <c r="AE5348">
        <v>-2.3833399999999898</v>
      </c>
      <c r="AF5348">
        <v>-3.5884332469065798</v>
      </c>
      <c r="AG5348">
        <v>-1.1115709915</v>
      </c>
      <c r="AH5348">
        <v>10.052462739932301</v>
      </c>
      <c r="AI5348">
        <v>95.945389004574395</v>
      </c>
      <c r="AJ5348">
        <v>109.645068377748</v>
      </c>
      <c r="AK5348">
        <v>10.731470093811801</v>
      </c>
    </row>
    <row r="5349" spans="1:37" x14ac:dyDescent="0.2">
      <c r="A5349" t="str">
        <f>"20200111153758608"</f>
        <v>20200111153758608</v>
      </c>
      <c r="B5349" t="str">
        <f>"1578728278598382"</f>
        <v>1578728278598382</v>
      </c>
      <c r="C5349" t="s">
        <v>37</v>
      </c>
      <c r="D5349">
        <v>5.2068490000000001</v>
      </c>
      <c r="E5349">
        <v>0.48571409999999998</v>
      </c>
      <c r="F5349" t="s">
        <v>53</v>
      </c>
      <c r="G5349">
        <v>-281.94880000000001</v>
      </c>
      <c r="H5349" s="1">
        <v>-7.0387869999999997E-6</v>
      </c>
      <c r="I5349">
        <v>-60.548119999999997</v>
      </c>
      <c r="J5349">
        <v>-292.48840000000001</v>
      </c>
      <c r="K5349">
        <v>1.1114949999999999</v>
      </c>
      <c r="L5349">
        <v>-58.206019999999903</v>
      </c>
      <c r="M5349">
        <v>0.84790319999999997</v>
      </c>
      <c r="N5349">
        <v>0</v>
      </c>
      <c r="O5349">
        <v>-0.53000800000000003</v>
      </c>
      <c r="P5349">
        <v>0.96753559999999905</v>
      </c>
      <c r="Q5349">
        <v>4.2686000000000002E-2</v>
      </c>
      <c r="R5349">
        <v>-0.24910489999999999</v>
      </c>
      <c r="S5349">
        <v>2.9423219999999999</v>
      </c>
      <c r="T5349">
        <v>-0.30642589999999997</v>
      </c>
      <c r="U5349">
        <v>-0.66656490000000002</v>
      </c>
      <c r="V5349">
        <v>-0.30248589999999997</v>
      </c>
      <c r="W5349">
        <v>4.9308150000000002E-2</v>
      </c>
      <c r="X5349">
        <v>0.95187759999999999</v>
      </c>
      <c r="Y5349">
        <v>-0.32554070000000002</v>
      </c>
      <c r="Z5349">
        <v>6.8050239999999998E-2</v>
      </c>
      <c r="AA5349">
        <v>0.94307609999999997</v>
      </c>
      <c r="AB5349">
        <v>24</v>
      </c>
      <c r="AC5349">
        <v>10.5396</v>
      </c>
      <c r="AD5349">
        <v>-1.111502038787</v>
      </c>
      <c r="AE5349">
        <v>-2.3420999999999998</v>
      </c>
      <c r="AF5349">
        <v>-3.5627123757987502</v>
      </c>
      <c r="AG5349">
        <v>-1.111502038787</v>
      </c>
      <c r="AH5349">
        <v>10.071918414433499</v>
      </c>
      <c r="AI5349">
        <v>95.939652449363507</v>
      </c>
      <c r="AJ5349">
        <v>109.48007662259501</v>
      </c>
      <c r="AK5349">
        <v>10.7411310764696</v>
      </c>
    </row>
    <row r="5350" spans="1:37" x14ac:dyDescent="0.2">
      <c r="A5350" t="str">
        <f>"20200111153758629"</f>
        <v>20200111153758629</v>
      </c>
      <c r="B5350" t="str">
        <f>"1578728278618878"</f>
        <v>1578728278618878</v>
      </c>
      <c r="C5350" t="s">
        <v>37</v>
      </c>
      <c r="D5350">
        <v>5.191414</v>
      </c>
      <c r="E5350">
        <v>0.4859214</v>
      </c>
      <c r="F5350" t="s">
        <v>53</v>
      </c>
      <c r="G5350">
        <v>-281.70389999999998</v>
      </c>
      <c r="H5350" s="1">
        <v>-7.1132650000000002E-6</v>
      </c>
      <c r="I5350">
        <v>-60.615009999999998</v>
      </c>
      <c r="J5350">
        <v>-292.28750000000002</v>
      </c>
      <c r="K5350">
        <v>1.1113759999999999</v>
      </c>
      <c r="L5350">
        <v>-58.317900000000002</v>
      </c>
      <c r="M5350">
        <v>0.85330859999999997</v>
      </c>
      <c r="N5350">
        <v>0</v>
      </c>
      <c r="O5350">
        <v>-0.52126159999999999</v>
      </c>
      <c r="P5350">
        <v>0.96935070000000001</v>
      </c>
      <c r="Q5350">
        <v>4.3812169999999998E-2</v>
      </c>
      <c r="R5350">
        <v>-0.24174389999999901</v>
      </c>
      <c r="S5350">
        <v>2.9447329999999998</v>
      </c>
      <c r="T5350">
        <v>-0.30349729999999903</v>
      </c>
      <c r="U5350">
        <v>-0.65777589999999997</v>
      </c>
      <c r="V5350">
        <v>-0.299907599999999</v>
      </c>
      <c r="W5350">
        <v>5.0548290000000003E-2</v>
      </c>
      <c r="X5350">
        <v>0.95262809999999898</v>
      </c>
      <c r="Y5350">
        <v>-0.31881140000000002</v>
      </c>
      <c r="Z5350">
        <v>6.6295709999999994E-2</v>
      </c>
      <c r="AA5350">
        <v>0.94549680000000003</v>
      </c>
      <c r="AB5350">
        <v>24</v>
      </c>
      <c r="AC5350">
        <v>10.583600000000001</v>
      </c>
      <c r="AD5350">
        <v>-1.1113831132649901</v>
      </c>
      <c r="AE5350">
        <v>-2.2971099999999902</v>
      </c>
      <c r="AF5350">
        <v>-3.5198808869501499</v>
      </c>
      <c r="AG5350">
        <v>-1.1113831132649901</v>
      </c>
      <c r="AH5350">
        <v>10.122641896271899</v>
      </c>
      <c r="AI5350">
        <v>95.920484809339897</v>
      </c>
      <c r="AJ5350">
        <v>109.173766533877</v>
      </c>
      <c r="AK5350">
        <v>10.7746281997537</v>
      </c>
    </row>
    <row r="5351" spans="1:37" x14ac:dyDescent="0.2">
      <c r="A5351" t="str">
        <f>"20200111153758644"</f>
        <v>20200111153758644</v>
      </c>
      <c r="B5351" t="str">
        <f>"1578728278638400"</f>
        <v>1578728278638400</v>
      </c>
      <c r="C5351" t="s">
        <v>37</v>
      </c>
      <c r="D5351">
        <v>5.1820139999999997</v>
      </c>
      <c r="E5351">
        <v>0.48638409999999899</v>
      </c>
      <c r="F5351" t="s">
        <v>53</v>
      </c>
      <c r="G5351">
        <v>-281.5625</v>
      </c>
      <c r="H5351" s="1">
        <v>-7.1581679999999901E-6</v>
      </c>
      <c r="I5351">
        <v>-60.636479999999999</v>
      </c>
      <c r="J5351">
        <v>-292.15199999999999</v>
      </c>
      <c r="K5351">
        <v>1.1112919999999999</v>
      </c>
      <c r="L5351">
        <v>-58.392090000000003</v>
      </c>
      <c r="M5351">
        <v>0.85683039999999999</v>
      </c>
      <c r="N5351">
        <v>0</v>
      </c>
      <c r="O5351">
        <v>-0.51545269999999999</v>
      </c>
      <c r="P5351">
        <v>0.97071679999999905</v>
      </c>
      <c r="Q5351">
        <v>4.4591609999999997E-2</v>
      </c>
      <c r="R5351">
        <v>-0.23605219999999999</v>
      </c>
      <c r="S5351">
        <v>2.949646</v>
      </c>
      <c r="T5351">
        <v>-0.30565710000000001</v>
      </c>
      <c r="U5351">
        <v>-0.63766480000000003</v>
      </c>
      <c r="V5351">
        <v>-0.29900749999999998</v>
      </c>
      <c r="W5351">
        <v>5.138976E-2</v>
      </c>
      <c r="X5351">
        <v>0.95286599999999999</v>
      </c>
      <c r="Y5351">
        <v>-0.31883499999999998</v>
      </c>
      <c r="Z5351">
        <v>6.6227820000000007E-2</v>
      </c>
      <c r="AA5351">
        <v>0.94549359999999905</v>
      </c>
      <c r="AB5351">
        <v>24</v>
      </c>
      <c r="AC5351">
        <v>10.5894999999999</v>
      </c>
      <c r="AD5351">
        <v>-1.1112991581679901</v>
      </c>
      <c r="AE5351">
        <v>-2.2443900000000001</v>
      </c>
      <c r="AF5351">
        <v>-3.49871491787041</v>
      </c>
      <c r="AG5351">
        <v>-1.1112991581679901</v>
      </c>
      <c r="AH5351">
        <v>10.124343262134101</v>
      </c>
      <c r="AI5351">
        <v>95.922962725254493</v>
      </c>
      <c r="AJ5351">
        <v>109.063844704964</v>
      </c>
      <c r="AK5351">
        <v>10.769323023523601</v>
      </c>
    </row>
    <row r="5352" spans="1:37" x14ac:dyDescent="0.2">
      <c r="A5352" t="str">
        <f>"20200111153758657"</f>
        <v>20200111153758657</v>
      </c>
      <c r="B5352" t="str">
        <f>"1578728278648159"</f>
        <v>1578728278648159</v>
      </c>
      <c r="C5352" t="s">
        <v>37</v>
      </c>
      <c r="D5352">
        <v>5.1773030000000002</v>
      </c>
      <c r="E5352">
        <v>0.48651149999999999</v>
      </c>
      <c r="F5352" t="s">
        <v>53</v>
      </c>
      <c r="G5352">
        <v>-281.3612</v>
      </c>
      <c r="H5352" s="1">
        <v>-7.221368E-6</v>
      </c>
      <c r="I5352">
        <v>-60.673630000000003</v>
      </c>
      <c r="J5352">
        <v>-292.01620000000003</v>
      </c>
      <c r="K5352">
        <v>1.1111979999999999</v>
      </c>
      <c r="L5352">
        <v>-58.465389999999999</v>
      </c>
      <c r="M5352">
        <v>0.86025819999999997</v>
      </c>
      <c r="N5352">
        <v>0</v>
      </c>
      <c r="O5352">
        <v>-0.50971169999999999</v>
      </c>
      <c r="P5352">
        <v>0.97195909999999996</v>
      </c>
      <c r="Q5352">
        <v>4.5910810000000003E-2</v>
      </c>
      <c r="R5352">
        <v>-0.23062569999999999</v>
      </c>
      <c r="S5352">
        <v>2.9526979999999998</v>
      </c>
      <c r="T5352">
        <v>-0.30408570000000001</v>
      </c>
      <c r="U5352">
        <v>-0.62429809999999997</v>
      </c>
      <c r="V5352">
        <v>-0.29793609999999998</v>
      </c>
      <c r="W5352">
        <v>5.2776429999999999E-2</v>
      </c>
      <c r="X5352">
        <v>0.95312580000000002</v>
      </c>
      <c r="Y5352">
        <v>-0.31687290000000001</v>
      </c>
      <c r="Z5352">
        <v>6.5273579999999998E-2</v>
      </c>
      <c r="AA5352">
        <v>0.94621929999999999</v>
      </c>
      <c r="AB5352">
        <v>24</v>
      </c>
      <c r="AC5352">
        <v>10.654999999999999</v>
      </c>
      <c r="AD5352">
        <v>-1.1112052213679999</v>
      </c>
      <c r="AE5352">
        <v>-2.20824</v>
      </c>
      <c r="AF5352">
        <v>-3.4951374896849599</v>
      </c>
      <c r="AG5352">
        <v>-1.1112052213679999</v>
      </c>
      <c r="AH5352">
        <v>10.186162610367001</v>
      </c>
      <c r="AI5352">
        <v>95.891183288357695</v>
      </c>
      <c r="AJ5352">
        <v>108.938428626858</v>
      </c>
      <c r="AK5352">
        <v>10.826295388573</v>
      </c>
    </row>
    <row r="5353" spans="1:37" x14ac:dyDescent="0.2">
      <c r="A5353" t="str">
        <f>"20200111153758672"</f>
        <v>20200111153758672</v>
      </c>
      <c r="B5353" t="str">
        <f>"1578728278668654"</f>
        <v>1578728278668654</v>
      </c>
      <c r="C5353" t="s">
        <v>37</v>
      </c>
      <c r="D5353">
        <v>5.1993019999999897</v>
      </c>
      <c r="E5353">
        <v>0.48666939999999997</v>
      </c>
      <c r="F5353" t="s">
        <v>53</v>
      </c>
      <c r="G5353">
        <v>-281.13850000000002</v>
      </c>
      <c r="H5353" s="1">
        <v>-7.29218899999999E-6</v>
      </c>
      <c r="I5353">
        <v>-60.706690000000002</v>
      </c>
      <c r="J5353">
        <v>-291.89170000000001</v>
      </c>
      <c r="K5353">
        <v>1.1111120000000001</v>
      </c>
      <c r="L5353">
        <v>-58.531399999999998</v>
      </c>
      <c r="M5353">
        <v>0.8632919</v>
      </c>
      <c r="N5353">
        <v>0</v>
      </c>
      <c r="O5353">
        <v>-0.50455709999999998</v>
      </c>
      <c r="P5353">
        <v>0.97308729999999999</v>
      </c>
      <c r="Q5353">
        <v>4.6829129999999997E-2</v>
      </c>
      <c r="R5353">
        <v>-0.2256292</v>
      </c>
      <c r="S5353">
        <v>2.956299</v>
      </c>
      <c r="T5353">
        <v>-0.30199870000000001</v>
      </c>
      <c r="U5353">
        <v>-0.60913090000000003</v>
      </c>
      <c r="V5353">
        <v>-0.29711149999999997</v>
      </c>
      <c r="W5353">
        <v>5.3755410000000003E-2</v>
      </c>
      <c r="X5353">
        <v>0.95332839999999996</v>
      </c>
      <c r="Y5353">
        <v>-0.31617040000000002</v>
      </c>
      <c r="Z5353">
        <v>6.4321890000000007E-2</v>
      </c>
      <c r="AA5353">
        <v>0.94651939999999901</v>
      </c>
      <c r="AB5353">
        <v>24</v>
      </c>
      <c r="AC5353">
        <v>10.7531999999999</v>
      </c>
      <c r="AD5353">
        <v>-1.1111192921890001</v>
      </c>
      <c r="AE5353">
        <v>-2.1752899999999999</v>
      </c>
      <c r="AF5353">
        <v>-3.5119353809188798</v>
      </c>
      <c r="AG5353">
        <v>-1.1111192921890001</v>
      </c>
      <c r="AH5353">
        <v>10.2760795855336</v>
      </c>
      <c r="AI5353">
        <v>95.841975643441998</v>
      </c>
      <c r="AJ5353">
        <v>108.868288262326</v>
      </c>
      <c r="AK5353">
        <v>10.9163220843582</v>
      </c>
    </row>
    <row r="5354" spans="1:37" x14ac:dyDescent="0.2">
      <c r="A5354" t="str">
        <f>"20200111153758686"</f>
        <v>20200111153758686</v>
      </c>
      <c r="B5354" t="str">
        <f>"1578728278678415"</f>
        <v>1578728278678415</v>
      </c>
      <c r="C5354" t="s">
        <v>37</v>
      </c>
      <c r="D5354">
        <v>5.1955390000000001</v>
      </c>
      <c r="E5354">
        <v>0.49267369999999999</v>
      </c>
      <c r="F5354" t="s">
        <v>53</v>
      </c>
      <c r="G5354">
        <v>-280.9622</v>
      </c>
      <c r="H5354" s="1">
        <v>-7.34857499999999E-6</v>
      </c>
      <c r="I5354">
        <v>-60.730159999999998</v>
      </c>
      <c r="J5354">
        <v>-291.75569999999999</v>
      </c>
      <c r="K5354">
        <v>1.1110139999999999</v>
      </c>
      <c r="L5354">
        <v>-58.602719999999998</v>
      </c>
      <c r="M5354">
        <v>0.86651619999999996</v>
      </c>
      <c r="N5354">
        <v>0</v>
      </c>
      <c r="O5354">
        <v>-0.4990002</v>
      </c>
      <c r="P5354">
        <v>0.974194</v>
      </c>
      <c r="Q5354">
        <v>4.831597E-2</v>
      </c>
      <c r="R5354">
        <v>-0.22048129999999999</v>
      </c>
      <c r="S5354">
        <v>2.9594119999999999</v>
      </c>
      <c r="T5354">
        <v>-0.30086180000000001</v>
      </c>
      <c r="U5354">
        <v>-0.59536739999999999</v>
      </c>
      <c r="V5354">
        <v>-0.29599819999999999</v>
      </c>
      <c r="W5354">
        <v>5.5317110000000003E-2</v>
      </c>
      <c r="X5354">
        <v>0.95358539999999903</v>
      </c>
      <c r="Y5354">
        <v>-0.31456489999999998</v>
      </c>
      <c r="Z5354">
        <v>6.3500199999999896E-2</v>
      </c>
      <c r="AA5354">
        <v>0.9471096</v>
      </c>
      <c r="AB5354">
        <v>24</v>
      </c>
      <c r="AC5354">
        <v>10.7934999999999</v>
      </c>
      <c r="AD5354">
        <v>-1.111021348575</v>
      </c>
      <c r="AE5354">
        <v>-2.12744</v>
      </c>
      <c r="AF5354">
        <v>-3.5069918323459399</v>
      </c>
      <c r="AG5354">
        <v>-1.111021348575</v>
      </c>
      <c r="AH5354">
        <v>10.3099552032944</v>
      </c>
      <c r="AI5354">
        <v>95.825233809791399</v>
      </c>
      <c r="AJ5354">
        <v>108.786038376203</v>
      </c>
      <c r="AK5354">
        <v>10.946622147633899</v>
      </c>
    </row>
    <row r="5355" spans="1:37" x14ac:dyDescent="0.2">
      <c r="A5355" t="str">
        <f>"20200111153758709"</f>
        <v>20200111153758709</v>
      </c>
      <c r="B5355" t="str">
        <f>"1578728278698910"</f>
        <v>1578728278698910</v>
      </c>
      <c r="C5355" t="s">
        <v>37</v>
      </c>
      <c r="D5355">
        <v>5.1410179999999999</v>
      </c>
      <c r="E5355">
        <v>0.49359150000000002</v>
      </c>
      <c r="F5355" t="s">
        <v>53</v>
      </c>
      <c r="G5355">
        <v>-281.54180000000002</v>
      </c>
      <c r="H5355" s="1">
        <v>-7.1494560000000004E-6</v>
      </c>
      <c r="I5355">
        <v>-60.775519999999901</v>
      </c>
      <c r="J5355">
        <v>-291.54329999999999</v>
      </c>
      <c r="K5355">
        <v>1.1108370000000001</v>
      </c>
      <c r="L5355">
        <v>-58.71219</v>
      </c>
      <c r="M5355">
        <v>0.8713417</v>
      </c>
      <c r="N5355">
        <v>0</v>
      </c>
      <c r="O5355">
        <v>-0.49052609999999902</v>
      </c>
      <c r="P5355">
        <v>0.97611119999999996</v>
      </c>
      <c r="Q5355">
        <v>4.8964199999999999E-2</v>
      </c>
      <c r="R5355">
        <v>-0.21168319999999999</v>
      </c>
      <c r="S5355">
        <v>2.953217</v>
      </c>
      <c r="T5355">
        <v>-0.32123679999999999</v>
      </c>
      <c r="U5355">
        <v>-0.62823490000000004</v>
      </c>
      <c r="V5355">
        <v>-0.29527049999999999</v>
      </c>
      <c r="W5355">
        <v>5.6070299999999997E-2</v>
      </c>
      <c r="X5355">
        <v>0.95376700000000003</v>
      </c>
      <c r="Y5355">
        <v>-0.29437909999999901</v>
      </c>
      <c r="Z5355">
        <v>6.5940830000000006E-2</v>
      </c>
      <c r="AA5355">
        <v>0.95341109999999896</v>
      </c>
      <c r="AB5355">
        <v>24</v>
      </c>
      <c r="AC5355">
        <v>10.001499999999901</v>
      </c>
      <c r="AD5355">
        <v>-1.110844149456</v>
      </c>
      <c r="AE5355">
        <v>-2.0633299999999899</v>
      </c>
      <c r="AF5355">
        <v>-3.07201158989331</v>
      </c>
      <c r="AG5355">
        <v>-1.110844149456</v>
      </c>
      <c r="AH5355">
        <v>9.6138051849977408</v>
      </c>
      <c r="AI5355">
        <v>96.280931068870203</v>
      </c>
      <c r="AJ5355">
        <v>107.720848584504</v>
      </c>
      <c r="AK5355">
        <v>10.153643684308999</v>
      </c>
    </row>
    <row r="5356" spans="1:37" x14ac:dyDescent="0.2">
      <c r="A5356" t="str">
        <f>"20200111153758723"</f>
        <v>20200111153758723</v>
      </c>
      <c r="B5356" t="str">
        <f>"1578728278718430"</f>
        <v>1578728278718430</v>
      </c>
      <c r="C5356" t="s">
        <v>37</v>
      </c>
      <c r="D5356">
        <v>5.3921049999999999</v>
      </c>
      <c r="E5356">
        <v>0.49481419999999998</v>
      </c>
      <c r="F5356" t="s">
        <v>53</v>
      </c>
      <c r="G5356">
        <v>-281.00279999999998</v>
      </c>
      <c r="H5356" s="1">
        <v>-7.3180769999999999E-6</v>
      </c>
      <c r="I5356">
        <v>-60.880469999999903</v>
      </c>
      <c r="J5356">
        <v>-291.40600000000001</v>
      </c>
      <c r="K5356">
        <v>1.1107209999999901</v>
      </c>
      <c r="L5356">
        <v>-58.781889999999997</v>
      </c>
      <c r="M5356">
        <v>0.87434049999999996</v>
      </c>
      <c r="N5356">
        <v>0</v>
      </c>
      <c r="O5356">
        <v>-0.48516160000000003</v>
      </c>
      <c r="P5356">
        <v>0.97731429999999997</v>
      </c>
      <c r="Q5356">
        <v>4.8680689999999999E-2</v>
      </c>
      <c r="R5356">
        <v>-0.20612429999999901</v>
      </c>
      <c r="S5356">
        <v>2.9571230000000002</v>
      </c>
      <c r="T5356">
        <v>-0.3116448</v>
      </c>
      <c r="U5356">
        <v>-0.60830689999999998</v>
      </c>
      <c r="V5356">
        <v>-0.29482190000000003</v>
      </c>
      <c r="W5356">
        <v>5.5855109999999999E-2</v>
      </c>
      <c r="X5356">
        <v>0.9539183</v>
      </c>
      <c r="Y5356">
        <v>-0.29518670000000002</v>
      </c>
      <c r="Z5356">
        <v>6.3523170000000004E-2</v>
      </c>
      <c r="AA5356">
        <v>0.9533256</v>
      </c>
      <c r="AB5356">
        <v>24</v>
      </c>
      <c r="AC5356">
        <v>10.4032</v>
      </c>
      <c r="AD5356">
        <v>-1.11072831807699</v>
      </c>
      <c r="AE5356">
        <v>-2.0985799999999899</v>
      </c>
      <c r="AF5356">
        <v>-3.17778726218482</v>
      </c>
      <c r="AG5356">
        <v>-1.11072831807699</v>
      </c>
      <c r="AH5356">
        <v>10.005238560150501</v>
      </c>
      <c r="AI5356">
        <v>96.039773966878101</v>
      </c>
      <c r="AJ5356">
        <v>107.62049044693001</v>
      </c>
      <c r="AK5356">
        <v>10.556365280048</v>
      </c>
    </row>
    <row r="5357" spans="1:37" x14ac:dyDescent="0.2">
      <c r="A5357" t="str">
        <f>"20200111153758741"</f>
        <v>20200111153758741</v>
      </c>
      <c r="B5357" t="str">
        <f>"1578728278729167"</f>
        <v>1578728278729167</v>
      </c>
      <c r="C5357" t="s">
        <v>37</v>
      </c>
      <c r="D5357">
        <v>5.1474099999999998</v>
      </c>
      <c r="E5357">
        <v>0.49553259999999999</v>
      </c>
      <c r="F5357" t="s">
        <v>53</v>
      </c>
      <c r="G5357">
        <v>-280.4889</v>
      </c>
      <c r="H5357" s="1">
        <v>-7.4769209999999901E-6</v>
      </c>
      <c r="I5357">
        <v>-60.99756</v>
      </c>
      <c r="J5357">
        <v>-291.23410000000001</v>
      </c>
      <c r="K5357">
        <v>1.1105719999999999</v>
      </c>
      <c r="L5357">
        <v>-58.867739999999998</v>
      </c>
      <c r="M5357">
        <v>0.87795460000000003</v>
      </c>
      <c r="N5357">
        <v>0</v>
      </c>
      <c r="O5357">
        <v>-0.47859109999999999</v>
      </c>
      <c r="P5357">
        <v>0.97876629999999998</v>
      </c>
      <c r="Q5357">
        <v>4.8401760000000002E-2</v>
      </c>
      <c r="R5357">
        <v>-0.199184</v>
      </c>
      <c r="S5357">
        <v>2.958008</v>
      </c>
      <c r="T5357">
        <v>-0.30095539999999998</v>
      </c>
      <c r="U5357">
        <v>-0.60034180000000004</v>
      </c>
      <c r="V5357">
        <v>-0.2944194</v>
      </c>
      <c r="W5357">
        <v>5.5657520000000002E-2</v>
      </c>
      <c r="X5357">
        <v>0.95405419999999996</v>
      </c>
      <c r="Y5357">
        <v>-0.29085229999999901</v>
      </c>
      <c r="Z5357">
        <v>6.057017E-2</v>
      </c>
      <c r="AA5357">
        <v>0.95484880000000005</v>
      </c>
      <c r="AB5357">
        <v>24</v>
      </c>
      <c r="AC5357">
        <v>10.745200000000001</v>
      </c>
      <c r="AD5357">
        <v>-1.11057947692099</v>
      </c>
      <c r="AE5357">
        <v>-2.1298199999999898</v>
      </c>
      <c r="AF5357">
        <v>-3.23961248912217</v>
      </c>
      <c r="AG5357">
        <v>-1.11057947692099</v>
      </c>
      <c r="AH5357">
        <v>10.3475171680806</v>
      </c>
      <c r="AI5357">
        <v>95.848158936947101</v>
      </c>
      <c r="AJ5357">
        <v>107.384354220445</v>
      </c>
      <c r="AK5357">
        <v>10.899522347238699</v>
      </c>
    </row>
    <row r="5358" spans="1:37" x14ac:dyDescent="0.2">
      <c r="A5358" t="str">
        <f>"20200111153758754"</f>
        <v>20200111153758754</v>
      </c>
      <c r="B5358" t="str">
        <f>"1578728278748686"</f>
        <v>1578728278748686</v>
      </c>
      <c r="C5358" t="s">
        <v>37</v>
      </c>
      <c r="D5358">
        <v>5.1856549999999997</v>
      </c>
      <c r="E5358">
        <v>0.49664799999999998</v>
      </c>
      <c r="F5358" t="s">
        <v>53</v>
      </c>
      <c r="G5358">
        <v>-280.11959999999999</v>
      </c>
      <c r="H5358" s="1">
        <v>-7.5931969999999997E-6</v>
      </c>
      <c r="I5358">
        <v>-61.063000000000002</v>
      </c>
      <c r="J5358">
        <v>-291.1046</v>
      </c>
      <c r="K5358">
        <v>1.1104639999999999</v>
      </c>
      <c r="L5358">
        <v>-58.931459999999902</v>
      </c>
      <c r="M5358">
        <v>0.88057580000000002</v>
      </c>
      <c r="N5358">
        <v>0</v>
      </c>
      <c r="O5358">
        <v>-0.47375149999999999</v>
      </c>
      <c r="P5358">
        <v>0.97983899999999902</v>
      </c>
      <c r="Q5358">
        <v>4.825339E-2</v>
      </c>
      <c r="R5358">
        <v>-0.19387470000000001</v>
      </c>
      <c r="S5358">
        <v>2.9607239999999999</v>
      </c>
      <c r="T5358">
        <v>-0.29583939999999997</v>
      </c>
      <c r="U5358">
        <v>-0.58477780000000001</v>
      </c>
      <c r="V5358">
        <v>-0.2943268</v>
      </c>
      <c r="W5358">
        <v>5.5564210000000003E-2</v>
      </c>
      <c r="X5358">
        <v>0.95408819999999905</v>
      </c>
      <c r="Y5358">
        <v>-0.29072779999999998</v>
      </c>
      <c r="Z5358">
        <v>5.9113499999999999E-2</v>
      </c>
      <c r="AA5358">
        <v>0.95497799999999999</v>
      </c>
      <c r="AB5358">
        <v>24</v>
      </c>
      <c r="AC5358">
        <v>10.984999999999999</v>
      </c>
      <c r="AD5358">
        <v>-1.110471593197</v>
      </c>
      <c r="AE5358">
        <v>-2.1315400000000002</v>
      </c>
      <c r="AF5358">
        <v>-3.2949702336443298</v>
      </c>
      <c r="AG5358">
        <v>-1.110471593197</v>
      </c>
      <c r="AH5358">
        <v>10.579533325491299</v>
      </c>
      <c r="AI5358">
        <v>95.722854637805696</v>
      </c>
      <c r="AJ5358">
        <v>107.29907456198001</v>
      </c>
      <c r="AK5358">
        <v>11.136269635074401</v>
      </c>
    </row>
    <row r="5359" spans="1:37" x14ac:dyDescent="0.2">
      <c r="A5359" t="str">
        <f>"20200111153758768"</f>
        <v>20200111153758768</v>
      </c>
      <c r="B5359" t="str">
        <f>"1578728278758448"</f>
        <v>1578728278758448</v>
      </c>
      <c r="C5359" t="s">
        <v>37</v>
      </c>
      <c r="D5359">
        <v>5.1842100000000002</v>
      </c>
      <c r="E5359">
        <v>0.49699860000000001</v>
      </c>
      <c r="F5359" t="s">
        <v>39</v>
      </c>
      <c r="G5359">
        <v>-279.5804</v>
      </c>
      <c r="H5359" s="1">
        <v>-3.4037900000000001E-6</v>
      </c>
      <c r="I5359">
        <v>-61.177250000000001</v>
      </c>
      <c r="J5359">
        <v>-290.983</v>
      </c>
      <c r="K5359">
        <v>1.1103639999999999</v>
      </c>
      <c r="L5359">
        <v>-58.990540000000003</v>
      </c>
      <c r="M5359">
        <v>0.88296359999999996</v>
      </c>
      <c r="N5359">
        <v>0</v>
      </c>
      <c r="O5359">
        <v>-0.46928690000000001</v>
      </c>
      <c r="P5359">
        <v>0.98075859999999904</v>
      </c>
      <c r="Q5359">
        <v>4.8284439999999998E-2</v>
      </c>
      <c r="R5359">
        <v>-0.18915969999999999</v>
      </c>
      <c r="S5359">
        <v>2.9616090000000002</v>
      </c>
      <c r="T5359">
        <v>-0.285381</v>
      </c>
      <c r="U5359">
        <v>-0.57714840000000001</v>
      </c>
      <c r="V5359">
        <v>-0.29407109999999997</v>
      </c>
      <c r="W5359">
        <v>5.5646569999999999E-2</v>
      </c>
      <c r="X5359">
        <v>0.95416229999999902</v>
      </c>
      <c r="Y5359">
        <v>-0.28857290000000002</v>
      </c>
      <c r="Z5359">
        <v>5.6562109999999999E-2</v>
      </c>
      <c r="AA5359">
        <v>0.95578580000000002</v>
      </c>
      <c r="AB5359">
        <v>24</v>
      </c>
      <c r="AC5359">
        <v>11.4026</v>
      </c>
      <c r="AD5359">
        <v>-1.11036740379</v>
      </c>
      <c r="AE5359">
        <v>-2.1867099999999899</v>
      </c>
      <c r="AF5359">
        <v>-3.3895521233720798</v>
      </c>
      <c r="AG5359">
        <v>-1.11036740379</v>
      </c>
      <c r="AH5359">
        <v>10.9945219912775</v>
      </c>
      <c r="AI5359">
        <v>95.512567488789003</v>
      </c>
      <c r="AJ5359">
        <v>107.134249623409</v>
      </c>
      <c r="AK5359">
        <v>11.5586112135126</v>
      </c>
    </row>
    <row r="5360" spans="1:37" x14ac:dyDescent="0.2">
      <c r="A5360" t="str">
        <f>"20200111153758781"</f>
        <v>20200111153758781</v>
      </c>
      <c r="B5360" t="str">
        <f>"1578728278768207"</f>
        <v>1578728278768207</v>
      </c>
      <c r="C5360" t="s">
        <v>37</v>
      </c>
      <c r="D5360">
        <v>5.182455</v>
      </c>
      <c r="E5360">
        <v>0.49730990000000003</v>
      </c>
      <c r="F5360" t="s">
        <v>39</v>
      </c>
      <c r="G5360">
        <v>-279.31979999999999</v>
      </c>
      <c r="H5360" s="1">
        <v>-3.3202890000000001E-6</v>
      </c>
      <c r="I5360">
        <v>-61.215949999999999</v>
      </c>
      <c r="J5360">
        <v>-290.84710000000001</v>
      </c>
      <c r="K5360">
        <v>1.1102609999999999</v>
      </c>
      <c r="L5360">
        <v>-59.055969999999903</v>
      </c>
      <c r="M5360">
        <v>0.88556460000000004</v>
      </c>
      <c r="N5360">
        <v>0</v>
      </c>
      <c r="O5360">
        <v>-0.46436040000000001</v>
      </c>
      <c r="P5360">
        <v>0.98174660000000002</v>
      </c>
      <c r="Q5360">
        <v>4.8102449999999998E-2</v>
      </c>
      <c r="R5360">
        <v>-0.18401010000000001</v>
      </c>
      <c r="S5360">
        <v>2.9636840000000002</v>
      </c>
      <c r="T5360">
        <v>-0.28215190000000001</v>
      </c>
      <c r="U5360">
        <v>-0.56549069999999901</v>
      </c>
      <c r="V5360">
        <v>-0.2937497</v>
      </c>
      <c r="W5360">
        <v>5.5520880000000002E-2</v>
      </c>
      <c r="X5360">
        <v>0.95426860000000002</v>
      </c>
      <c r="Y5360">
        <v>-0.28708879999999998</v>
      </c>
      <c r="Z5360">
        <v>5.5439490000000001E-2</v>
      </c>
      <c r="AA5360">
        <v>0.95629839999999999</v>
      </c>
      <c r="AB5360">
        <v>24</v>
      </c>
      <c r="AC5360">
        <v>11.5273</v>
      </c>
      <c r="AD5360">
        <v>-1.1102643202889999</v>
      </c>
      <c r="AE5360">
        <v>-2.15998</v>
      </c>
      <c r="AF5360">
        <v>-3.4097106009350102</v>
      </c>
      <c r="AG5360">
        <v>-1.1102643202889999</v>
      </c>
      <c r="AH5360">
        <v>11.1123989125909</v>
      </c>
      <c r="AI5360">
        <v>95.456161722335196</v>
      </c>
      <c r="AJ5360">
        <v>107.058023840644</v>
      </c>
      <c r="AK5360">
        <v>11.676652895225899</v>
      </c>
    </row>
    <row r="5361" spans="1:37" x14ac:dyDescent="0.2">
      <c r="A5361" t="str">
        <f>"20200111153758797"</f>
        <v>20200111153758797</v>
      </c>
      <c r="B5361" t="str">
        <f>"1578728278788703"</f>
        <v>1578728278788703</v>
      </c>
      <c r="C5361" t="s">
        <v>37</v>
      </c>
      <c r="D5361">
        <v>5.168857</v>
      </c>
      <c r="E5361">
        <v>0.4978475</v>
      </c>
      <c r="F5361" t="s">
        <v>39</v>
      </c>
      <c r="G5361">
        <v>-279.09570000000002</v>
      </c>
      <c r="H5361" s="1">
        <v>-3.247559E-6</v>
      </c>
      <c r="I5361">
        <v>-61.243740000000003</v>
      </c>
      <c r="J5361">
        <v>-290.68889999999999</v>
      </c>
      <c r="K5361">
        <v>1.110134</v>
      </c>
      <c r="L5361">
        <v>-59.131039999999999</v>
      </c>
      <c r="M5361">
        <v>0.88847569999999998</v>
      </c>
      <c r="N5361">
        <v>0</v>
      </c>
      <c r="O5361">
        <v>-0.45876709999999898</v>
      </c>
      <c r="P5361">
        <v>0.98275669999999904</v>
      </c>
      <c r="Q5361">
        <v>4.7702439999999999E-2</v>
      </c>
      <c r="R5361">
        <v>-0.17864530000000001</v>
      </c>
      <c r="S5361">
        <v>2.96600299999999</v>
      </c>
      <c r="T5361">
        <v>-0.28022659999999899</v>
      </c>
      <c r="U5361">
        <v>-0.55218509999999998</v>
      </c>
      <c r="V5361">
        <v>-0.29293079999999999</v>
      </c>
      <c r="W5361">
        <v>5.5193800000000001E-2</v>
      </c>
      <c r="X5361">
        <v>0.95453920000000003</v>
      </c>
      <c r="Y5361">
        <v>-0.2854024</v>
      </c>
      <c r="Z5361">
        <v>5.4513979999999997E-2</v>
      </c>
      <c r="AA5361">
        <v>0.95685609999999999</v>
      </c>
      <c r="AB5361">
        <v>24</v>
      </c>
      <c r="AC5361">
        <v>11.5931999999999</v>
      </c>
      <c r="AD5361">
        <v>-1.1101372475589999</v>
      </c>
      <c r="AE5361">
        <v>-2.11269999999999</v>
      </c>
      <c r="AF5361">
        <v>-3.4114673370659099</v>
      </c>
      <c r="AG5361">
        <v>-1.1101372475589999</v>
      </c>
      <c r="AH5361">
        <v>11.1711815273088</v>
      </c>
      <c r="AI5361">
        <v>95.429206669674997</v>
      </c>
      <c r="AJ5361">
        <v>106.981679100223</v>
      </c>
      <c r="AK5361">
        <v>11.7331074663267</v>
      </c>
    </row>
    <row r="5362" spans="1:37" x14ac:dyDescent="0.2">
      <c r="A5362" t="str">
        <f>"20200111153758812"</f>
        <v>20200111153758812</v>
      </c>
      <c r="B5362" t="str">
        <f>"1578728278798463"</f>
        <v>1578728278798463</v>
      </c>
      <c r="C5362" t="s">
        <v>37</v>
      </c>
      <c r="D5362">
        <v>5.2274180000000001</v>
      </c>
      <c r="E5362">
        <v>0.49830669999999999</v>
      </c>
      <c r="F5362" t="s">
        <v>39</v>
      </c>
      <c r="G5362">
        <v>-279.04759999999999</v>
      </c>
      <c r="H5362" s="1">
        <v>-3.2279980000000002E-6</v>
      </c>
      <c r="I5362">
        <v>-61.248550000000002</v>
      </c>
      <c r="J5362">
        <v>-290.56029999999998</v>
      </c>
      <c r="K5362">
        <v>1.110036</v>
      </c>
      <c r="L5362">
        <v>-59.191159999999897</v>
      </c>
      <c r="M5362">
        <v>0.890750499999999</v>
      </c>
      <c r="N5362">
        <v>0</v>
      </c>
      <c r="O5362">
        <v>-0.45433499999999999</v>
      </c>
      <c r="P5362">
        <v>0.98355380000000003</v>
      </c>
      <c r="Q5362">
        <v>4.7048779999999998E-2</v>
      </c>
      <c r="R5362">
        <v>-0.1743807</v>
      </c>
      <c r="S5362">
        <v>2.96826199999999</v>
      </c>
      <c r="T5362">
        <v>-0.28306039999999999</v>
      </c>
      <c r="U5362">
        <v>-0.53991699999999998</v>
      </c>
      <c r="V5362">
        <v>-0.292307599999999</v>
      </c>
      <c r="W5362">
        <v>5.4597699999999999E-2</v>
      </c>
      <c r="X5362">
        <v>0.95476450000000002</v>
      </c>
      <c r="Y5362">
        <v>-0.28454659999999998</v>
      </c>
      <c r="Z5362">
        <v>5.4641149999999999E-2</v>
      </c>
      <c r="AA5362">
        <v>0.9571037</v>
      </c>
      <c r="AB5362">
        <v>24</v>
      </c>
      <c r="AC5362">
        <v>11.512699999999899</v>
      </c>
      <c r="AD5362">
        <v>-1.110039227998</v>
      </c>
      <c r="AE5362">
        <v>-2.0573899999999998</v>
      </c>
      <c r="AF5362">
        <v>-3.3679038438295099</v>
      </c>
      <c r="AG5362">
        <v>-1.110039227998</v>
      </c>
      <c r="AH5362">
        <v>11.0905757582406</v>
      </c>
      <c r="AI5362">
        <v>95.470535880600593</v>
      </c>
      <c r="AJ5362">
        <v>106.89209792270999</v>
      </c>
      <c r="AK5362">
        <v>11.6437036220547</v>
      </c>
    </row>
    <row r="5363" spans="1:37" x14ac:dyDescent="0.2">
      <c r="A5363" t="str">
        <f>"20200111153758830"</f>
        <v>20200111153758830</v>
      </c>
      <c r="B5363" t="str">
        <f>"1578728278818958"</f>
        <v>1578728278818958</v>
      </c>
      <c r="C5363" t="s">
        <v>37</v>
      </c>
      <c r="D5363">
        <v>5.3976100000000002</v>
      </c>
      <c r="E5363">
        <v>0.49913299999999999</v>
      </c>
      <c r="F5363" t="s">
        <v>39</v>
      </c>
      <c r="G5363">
        <v>-279.0061</v>
      </c>
      <c r="H5363" s="1">
        <v>-3.21168E-6</v>
      </c>
      <c r="I5363">
        <v>-61.255200000000002</v>
      </c>
      <c r="J5363">
        <v>-290.3734</v>
      </c>
      <c r="K5363">
        <v>1.1098920000000001</v>
      </c>
      <c r="L5363">
        <v>-59.277500000000003</v>
      </c>
      <c r="M5363">
        <v>0.89394340000000005</v>
      </c>
      <c r="N5363">
        <v>0</v>
      </c>
      <c r="O5363">
        <v>-0.448020799999999</v>
      </c>
      <c r="P5363">
        <v>0.98460449999999999</v>
      </c>
      <c r="Q5363">
        <v>4.6641729999999999E-2</v>
      </c>
      <c r="R5363">
        <v>-0.16845959999999999</v>
      </c>
      <c r="S5363">
        <v>2.969757</v>
      </c>
      <c r="T5363">
        <v>-0.28531319999999999</v>
      </c>
      <c r="U5363">
        <v>-0.53051759999999903</v>
      </c>
      <c r="V5363">
        <v>-0.29127909999999901</v>
      </c>
      <c r="W5363">
        <v>5.4277739999999998E-2</v>
      </c>
      <c r="X5363">
        <v>0.95509709999999903</v>
      </c>
      <c r="Y5363">
        <v>-0.28077590000000002</v>
      </c>
      <c r="Z5363">
        <v>5.4356590000000003E-2</v>
      </c>
      <c r="AA5363">
        <v>0.95823289999999905</v>
      </c>
      <c r="AB5363">
        <v>24</v>
      </c>
      <c r="AC5363">
        <v>11.3673</v>
      </c>
      <c r="AD5363">
        <v>-1.10989521168</v>
      </c>
      <c r="AE5363">
        <v>-1.97769999999999</v>
      </c>
      <c r="AF5363">
        <v>-3.29458607823423</v>
      </c>
      <c r="AG5363">
        <v>-1.10989521168</v>
      </c>
      <c r="AH5363">
        <v>10.9472623958562</v>
      </c>
      <c r="AI5363">
        <v>95.545147785336098</v>
      </c>
      <c r="AJ5363">
        <v>106.749203659023</v>
      </c>
      <c r="AK5363">
        <v>11.4860227568785</v>
      </c>
    </row>
    <row r="5364" spans="1:37" x14ac:dyDescent="0.2">
      <c r="A5364" t="str">
        <f>"20200111153758843"</f>
        <v>20200111153758843</v>
      </c>
      <c r="B5364" t="str">
        <f>"1578728278838478"</f>
        <v>1578728278838478</v>
      </c>
      <c r="C5364" t="s">
        <v>37</v>
      </c>
      <c r="D5364">
        <v>5.1846589999999999</v>
      </c>
      <c r="E5364">
        <v>0.4994789</v>
      </c>
      <c r="F5364" t="s">
        <v>39</v>
      </c>
      <c r="G5364">
        <v>-278.8098</v>
      </c>
      <c r="H5364" s="1">
        <v>-3.136562E-6</v>
      </c>
      <c r="I5364">
        <v>-61.296190000000003</v>
      </c>
      <c r="J5364">
        <v>-290.2518</v>
      </c>
      <c r="K5364">
        <v>1.1097969999999999</v>
      </c>
      <c r="L5364">
        <v>-59.333009999999902</v>
      </c>
      <c r="M5364">
        <v>0.89595029999999998</v>
      </c>
      <c r="N5364">
        <v>0</v>
      </c>
      <c r="O5364">
        <v>-0.44399449999999901</v>
      </c>
      <c r="P5364">
        <v>0.98519310000000004</v>
      </c>
      <c r="Q5364">
        <v>4.635417E-2</v>
      </c>
      <c r="R5364">
        <v>-0.1650652</v>
      </c>
      <c r="S5364">
        <v>2.9716490000000002</v>
      </c>
      <c r="T5364">
        <v>-0.28522350000000002</v>
      </c>
      <c r="U5364">
        <v>-0.51876829999999996</v>
      </c>
      <c r="V5364">
        <v>-0.29026279999999999</v>
      </c>
      <c r="W5364">
        <v>5.4053950000000003E-2</v>
      </c>
      <c r="X5364">
        <v>0.95541909999999897</v>
      </c>
      <c r="Y5364">
        <v>-0.28026040000000002</v>
      </c>
      <c r="Z5364">
        <v>5.3967340000000003E-2</v>
      </c>
      <c r="AA5364">
        <v>0.95840579999999997</v>
      </c>
      <c r="AB5364">
        <v>24</v>
      </c>
      <c r="AC5364">
        <v>11.442</v>
      </c>
      <c r="AD5364">
        <v>-1.1098001365619901</v>
      </c>
      <c r="AE5364">
        <v>-1.9631799999999999</v>
      </c>
      <c r="AF5364">
        <v>-3.2914296567794801</v>
      </c>
      <c r="AG5364">
        <v>-1.1098001365619901</v>
      </c>
      <c r="AH5364">
        <v>11.0231564587388</v>
      </c>
      <c r="AI5364">
        <v>95.510287586241205</v>
      </c>
      <c r="AJ5364">
        <v>106.62522001446</v>
      </c>
      <c r="AK5364">
        <v>11.557471342922501</v>
      </c>
    </row>
    <row r="5365" spans="1:37" x14ac:dyDescent="0.2">
      <c r="A5365" t="str">
        <f>"20200111153758855"</f>
        <v>20200111153758855</v>
      </c>
      <c r="B5365" t="str">
        <f>"1578728278849214"</f>
        <v>1578728278849214</v>
      </c>
      <c r="C5365" t="s">
        <v>37</v>
      </c>
      <c r="D5365">
        <v>5.1844580000000002</v>
      </c>
      <c r="E5365">
        <v>0.49988719999999998</v>
      </c>
      <c r="F5365" t="s">
        <v>39</v>
      </c>
      <c r="G5365">
        <v>-278.85610000000003</v>
      </c>
      <c r="H5365" s="1">
        <v>-3.1556969999999998E-6</v>
      </c>
      <c r="I5365">
        <v>-61.2928</v>
      </c>
      <c r="J5365">
        <v>-290.13749999999999</v>
      </c>
      <c r="K5365">
        <v>1.1097090000000001</v>
      </c>
      <c r="L5365">
        <v>-59.384609999999903</v>
      </c>
      <c r="M5365">
        <v>0.89778080000000005</v>
      </c>
      <c r="N5365">
        <v>0</v>
      </c>
      <c r="O5365">
        <v>-0.4402817</v>
      </c>
      <c r="P5365">
        <v>0.98580279999999998</v>
      </c>
      <c r="Q5365">
        <v>4.6356469999999997E-2</v>
      </c>
      <c r="R5365">
        <v>-0.16138229999999901</v>
      </c>
      <c r="S5365">
        <v>2.9730219999999998</v>
      </c>
      <c r="T5365">
        <v>-0.28953600000000002</v>
      </c>
      <c r="U5365">
        <v>-0.51129150000000001</v>
      </c>
      <c r="V5365">
        <v>-0.28986600000000001</v>
      </c>
      <c r="W5365">
        <v>5.410537E-2</v>
      </c>
      <c r="X5365">
        <v>0.95553670000000002</v>
      </c>
      <c r="Y5365">
        <v>-0.27863329999999997</v>
      </c>
      <c r="Z5365">
        <v>5.4373409999999997E-2</v>
      </c>
      <c r="AA5365">
        <v>0.95885710000000002</v>
      </c>
      <c r="AB5365">
        <v>24</v>
      </c>
      <c r="AC5365">
        <v>11.2813999999999</v>
      </c>
      <c r="AD5365">
        <v>-1.109712155697</v>
      </c>
      <c r="AE5365">
        <v>-1.9081900000000001</v>
      </c>
      <c r="AF5365">
        <v>-3.22376268618777</v>
      </c>
      <c r="AG5365">
        <v>-1.109712155697</v>
      </c>
      <c r="AH5365">
        <v>10.8669190075688</v>
      </c>
      <c r="AI5365">
        <v>95.591509522108694</v>
      </c>
      <c r="AJ5365">
        <v>106.523431522599</v>
      </c>
      <c r="AK5365">
        <v>11.3892069804011</v>
      </c>
    </row>
    <row r="5366" spans="1:37" x14ac:dyDescent="0.2">
      <c r="A5366" t="str">
        <f>"20200111153758867"</f>
        <v>20200111153758867</v>
      </c>
      <c r="B5366" t="str">
        <f>"1578728278858974"</f>
        <v>1578728278858974</v>
      </c>
      <c r="C5366" t="s">
        <v>37</v>
      </c>
      <c r="D5366">
        <v>5.2274449999999897</v>
      </c>
      <c r="E5366">
        <v>0.50016119999999997</v>
      </c>
      <c r="F5366" t="s">
        <v>39</v>
      </c>
      <c r="G5366">
        <v>-278.75150000000002</v>
      </c>
      <c r="H5366" s="1">
        <v>-3.1148790000000001E-6</v>
      </c>
      <c r="I5366">
        <v>-61.311199999999999</v>
      </c>
      <c r="J5366">
        <v>-290.01409999999998</v>
      </c>
      <c r="K5366">
        <v>1.1096239999999999</v>
      </c>
      <c r="L5366">
        <v>-59.439729999999997</v>
      </c>
      <c r="M5366">
        <v>0.89970239999999901</v>
      </c>
      <c r="N5366">
        <v>0</v>
      </c>
      <c r="O5366">
        <v>-0.43634250000000002</v>
      </c>
      <c r="P5366">
        <v>0.98638840000000005</v>
      </c>
      <c r="Q5366">
        <v>4.6359629999999999E-2</v>
      </c>
      <c r="R5366">
        <v>-0.1577635</v>
      </c>
      <c r="S5366">
        <v>2.9744570000000001</v>
      </c>
      <c r="T5366">
        <v>-0.28989860000000001</v>
      </c>
      <c r="U5366">
        <v>-0.50329590000000002</v>
      </c>
      <c r="V5366">
        <v>-0.28917159999999997</v>
      </c>
      <c r="W5366">
        <v>5.4163940000000001E-2</v>
      </c>
      <c r="X5366">
        <v>0.95574369999999997</v>
      </c>
      <c r="Y5366">
        <v>-0.27702369999999998</v>
      </c>
      <c r="Z5366">
        <v>5.4015010000000002E-2</v>
      </c>
      <c r="AA5366">
        <v>0.95934370000000002</v>
      </c>
      <c r="AB5366">
        <v>24</v>
      </c>
      <c r="AC5366">
        <v>11.2625999999999</v>
      </c>
      <c r="AD5366">
        <v>-1.109627114879</v>
      </c>
      <c r="AE5366">
        <v>-1.87146999999999</v>
      </c>
      <c r="AF5366">
        <v>-3.2005797969610601</v>
      </c>
      <c r="AG5366">
        <v>-1.109627114879</v>
      </c>
      <c r="AH5366">
        <v>10.847891983576901</v>
      </c>
      <c r="AI5366">
        <v>95.603276332802196</v>
      </c>
      <c r="AJ5366">
        <v>106.438253778309</v>
      </c>
      <c r="AK5366">
        <v>11.3644948791462</v>
      </c>
    </row>
    <row r="5367" spans="1:37" x14ac:dyDescent="0.2">
      <c r="A5367" t="str">
        <f>"20200111153758879"</f>
        <v>20200111153758879</v>
      </c>
      <c r="B5367" t="str">
        <f>"1578728278868735"</f>
        <v>1578728278868735</v>
      </c>
      <c r="C5367" t="s">
        <v>37</v>
      </c>
      <c r="D5367">
        <v>5.2410189999999997</v>
      </c>
      <c r="E5367">
        <v>0.50016119999999997</v>
      </c>
      <c r="F5367" t="s">
        <v>39</v>
      </c>
      <c r="G5367">
        <v>-278.6986</v>
      </c>
      <c r="H5367" s="1">
        <v>-3.0943499999999999E-6</v>
      </c>
      <c r="I5367">
        <v>-61.320769999999897</v>
      </c>
      <c r="J5367">
        <v>-289.8922</v>
      </c>
      <c r="K5367">
        <v>1.1095379999999999</v>
      </c>
      <c r="L5367">
        <v>-59.493839999999999</v>
      </c>
      <c r="M5367">
        <v>0.90156119999999995</v>
      </c>
      <c r="N5367">
        <v>0</v>
      </c>
      <c r="O5367">
        <v>-0.43248890000000001</v>
      </c>
      <c r="P5367">
        <v>0.98698249999999998</v>
      </c>
      <c r="Q5367">
        <v>4.6463089999999999E-2</v>
      </c>
      <c r="R5367">
        <v>-0.1539711</v>
      </c>
      <c r="S5367">
        <v>2.976013</v>
      </c>
      <c r="T5367">
        <v>-0.29183589999999998</v>
      </c>
      <c r="U5367">
        <v>-0.49472050000000001</v>
      </c>
      <c r="V5367">
        <v>-0.28874299999999897</v>
      </c>
      <c r="W5367">
        <v>5.4316780000000002E-2</v>
      </c>
      <c r="X5367">
        <v>0.95586459999999995</v>
      </c>
      <c r="Y5367">
        <v>-0.27566689999999999</v>
      </c>
      <c r="Z5367">
        <v>5.3963209999999998E-2</v>
      </c>
      <c r="AA5367">
        <v>0.95973729999999902</v>
      </c>
      <c r="AB5367">
        <v>24</v>
      </c>
      <c r="AC5367">
        <v>11.1936</v>
      </c>
      <c r="AD5367">
        <v>-1.1095410943499999</v>
      </c>
      <c r="AE5367">
        <v>-1.82692999999999</v>
      </c>
      <c r="AF5367">
        <v>-3.1639629850625699</v>
      </c>
      <c r="AG5367">
        <v>-1.1095410943499999</v>
      </c>
      <c r="AH5367">
        <v>10.779444774212299</v>
      </c>
      <c r="AI5367">
        <v>95.640504846237803</v>
      </c>
      <c r="AJ5367">
        <v>106.357922772881</v>
      </c>
      <c r="AK5367">
        <v>11.288851706493</v>
      </c>
    </row>
    <row r="5368" spans="1:37" x14ac:dyDescent="0.2">
      <c r="A5368" t="str">
        <f>"20200111153758893"</f>
        <v>20200111153758893</v>
      </c>
      <c r="B5368" t="str">
        <f>"1578728278888254"</f>
        <v>1578728278888254</v>
      </c>
      <c r="C5368" t="s">
        <v>37</v>
      </c>
      <c r="D5368">
        <v>5.0888109999999998</v>
      </c>
      <c r="E5368">
        <v>0.47740949999999999</v>
      </c>
      <c r="F5368" t="s">
        <v>39</v>
      </c>
      <c r="G5368">
        <v>-278.55840000000001</v>
      </c>
      <c r="H5368" s="1">
        <v>-3.0370439999999998E-6</v>
      </c>
      <c r="I5368">
        <v>-61.333659999999902</v>
      </c>
      <c r="J5368">
        <v>-289.76609999999999</v>
      </c>
      <c r="K5368">
        <v>1.109456</v>
      </c>
      <c r="L5368">
        <v>-59.548949999999998</v>
      </c>
      <c r="M5368">
        <v>0.90341579999999999</v>
      </c>
      <c r="N5368">
        <v>0</v>
      </c>
      <c r="O5368">
        <v>-0.42860199999999998</v>
      </c>
      <c r="P5368">
        <v>0.98754299999999995</v>
      </c>
      <c r="Q5368">
        <v>4.6517379999999997E-2</v>
      </c>
      <c r="R5368">
        <v>-0.15031720000000001</v>
      </c>
      <c r="S5368">
        <v>2.977875</v>
      </c>
      <c r="T5368">
        <v>-0.29152240000000001</v>
      </c>
      <c r="U5368">
        <v>-0.48339840000000001</v>
      </c>
      <c r="V5368">
        <v>-0.28815159999999901</v>
      </c>
      <c r="W5368">
        <v>5.4420589999999998E-2</v>
      </c>
      <c r="X5368">
        <v>0.95603719999999903</v>
      </c>
      <c r="Y5368">
        <v>-0.27520499999999998</v>
      </c>
      <c r="Z5368">
        <v>5.3534949999999998E-2</v>
      </c>
      <c r="AA5368">
        <v>0.95989380000000002</v>
      </c>
      <c r="AB5368">
        <v>24</v>
      </c>
      <c r="AC5368">
        <v>11.2076999999999</v>
      </c>
      <c r="AD5368">
        <v>-1.1094590370440001</v>
      </c>
      <c r="AE5368">
        <v>-1.78470999999999</v>
      </c>
      <c r="AF5368">
        <v>-3.1613189645891602</v>
      </c>
      <c r="AG5368">
        <v>-1.1094590370440001</v>
      </c>
      <c r="AH5368">
        <v>10.7878097368318</v>
      </c>
      <c r="AI5368">
        <v>95.636460000416093</v>
      </c>
      <c r="AJ5368">
        <v>106.332984667095</v>
      </c>
      <c r="AK5368">
        <v>11.296091176545699</v>
      </c>
    </row>
    <row r="5369" spans="1:37" x14ac:dyDescent="0.2">
      <c r="A5369" t="str">
        <f>"20200111153758905"</f>
        <v>20200111153758905</v>
      </c>
      <c r="B5369" t="str">
        <f>"1578728278898991"</f>
        <v>1578728278898991</v>
      </c>
      <c r="C5369" t="s">
        <v>37</v>
      </c>
      <c r="D5369">
        <v>5.2575609999999999</v>
      </c>
      <c r="E5369">
        <v>0.4749563</v>
      </c>
      <c r="F5369" t="s">
        <v>39</v>
      </c>
      <c r="G5369">
        <v>-279.02659999999997</v>
      </c>
      <c r="H5369" s="1">
        <v>-3.0743049999999999E-6</v>
      </c>
      <c r="I5369">
        <v>-60.597859999999997</v>
      </c>
      <c r="J5369">
        <v>-289.64010000000002</v>
      </c>
      <c r="K5369">
        <v>1.109383</v>
      </c>
      <c r="L5369">
        <v>-59.603580000000001</v>
      </c>
      <c r="M5369">
        <v>0.90522719999999901</v>
      </c>
      <c r="N5369">
        <v>0</v>
      </c>
      <c r="O5369">
        <v>-0.42476369999999902</v>
      </c>
      <c r="P5369">
        <v>0.98806679999999902</v>
      </c>
      <c r="Q5369">
        <v>4.6570479999999997E-2</v>
      </c>
      <c r="R5369">
        <v>-0.14681830000000001</v>
      </c>
      <c r="S5369">
        <v>3.0077210000000001</v>
      </c>
      <c r="T5369">
        <v>-0.310718099999999</v>
      </c>
      <c r="U5369">
        <v>-0.29376219999999997</v>
      </c>
      <c r="V5369">
        <v>-0.28746840000000001</v>
      </c>
      <c r="W5369">
        <v>5.4520569999999997E-2</v>
      </c>
      <c r="X5369">
        <v>0.95623709999999995</v>
      </c>
      <c r="Y5369">
        <v>-0.3309491</v>
      </c>
      <c r="Z5369">
        <v>5.9363399999999997E-2</v>
      </c>
      <c r="AA5369">
        <v>0.94177960000000005</v>
      </c>
      <c r="AB5369">
        <v>24</v>
      </c>
      <c r="AC5369">
        <v>10.6135</v>
      </c>
      <c r="AD5369">
        <v>-1.1093860743049999</v>
      </c>
      <c r="AE5369">
        <v>-0.99427999999998895</v>
      </c>
      <c r="AF5369">
        <v>-3.56976913430131</v>
      </c>
      <c r="AG5369">
        <v>-1.1093860743049999</v>
      </c>
      <c r="AH5369">
        <v>9.9231883773906997</v>
      </c>
      <c r="AI5369">
        <v>96.005280717545801</v>
      </c>
      <c r="AJ5369">
        <v>109.78569438241099</v>
      </c>
      <c r="AK5369">
        <v>10.6039453368665</v>
      </c>
    </row>
    <row r="5370" spans="1:37" x14ac:dyDescent="0.2">
      <c r="A5370" t="str">
        <f>"20200111153758919"</f>
        <v>20200111153758919</v>
      </c>
      <c r="B5370" t="str">
        <f>"1578728278908750"</f>
        <v>1578728278908750</v>
      </c>
      <c r="C5370" t="s">
        <v>37</v>
      </c>
      <c r="D5370">
        <v>5.1547849999999897</v>
      </c>
      <c r="E5370">
        <v>0.4736879</v>
      </c>
      <c r="F5370" t="s">
        <v>39</v>
      </c>
      <c r="G5370">
        <v>-277.94450000000001</v>
      </c>
      <c r="H5370" s="1">
        <v>-2.615837E-6</v>
      </c>
      <c r="I5370">
        <v>-60.623840000000001</v>
      </c>
      <c r="J5370">
        <v>-289.5009</v>
      </c>
      <c r="K5370">
        <v>1.1093040000000001</v>
      </c>
      <c r="L5370">
        <v>-59.663509999999903</v>
      </c>
      <c r="M5370">
        <v>0.9071804</v>
      </c>
      <c r="N5370">
        <v>0</v>
      </c>
      <c r="O5370">
        <v>-0.42057640000000002</v>
      </c>
      <c r="P5370">
        <v>0.98846369999999895</v>
      </c>
      <c r="Q5370">
        <v>4.734505E-2</v>
      </c>
      <c r="R5370">
        <v>-0.1438692</v>
      </c>
      <c r="S5370">
        <v>3.0106809999999999</v>
      </c>
      <c r="T5370">
        <v>-0.28557709999999997</v>
      </c>
      <c r="U5370">
        <v>-0.26263429999999999</v>
      </c>
      <c r="V5370">
        <v>-0.28588449999999999</v>
      </c>
      <c r="W5370">
        <v>5.5355670000000003E-2</v>
      </c>
      <c r="X5370">
        <v>0.95666390000000001</v>
      </c>
      <c r="Y5370">
        <v>-0.3369183</v>
      </c>
      <c r="Z5370">
        <v>5.4497980000000001E-2</v>
      </c>
      <c r="AA5370">
        <v>0.9399554</v>
      </c>
      <c r="AB5370">
        <v>24</v>
      </c>
      <c r="AC5370">
        <v>11.556399999999901</v>
      </c>
      <c r="AD5370">
        <v>-1.109306615837</v>
      </c>
      <c r="AE5370">
        <v>-0.96033000000000601</v>
      </c>
      <c r="AF5370">
        <v>-3.9532579268284902</v>
      </c>
      <c r="AG5370">
        <v>-1.109306615837</v>
      </c>
      <c r="AH5370">
        <v>10.7896533412623</v>
      </c>
      <c r="AI5370">
        <v>95.514038427508197</v>
      </c>
      <c r="AJ5370">
        <v>110.122501439152</v>
      </c>
      <c r="AK5370">
        <v>11.5444977642418</v>
      </c>
    </row>
    <row r="5371" spans="1:37" x14ac:dyDescent="0.2">
      <c r="A5371" t="str">
        <f>"20200111153758932"</f>
        <v>20200111153758932</v>
      </c>
      <c r="B5371" t="str">
        <f>"1578728278928270"</f>
        <v>1578728278928270</v>
      </c>
      <c r="C5371" t="s">
        <v>37</v>
      </c>
      <c r="D5371">
        <v>5.0903</v>
      </c>
      <c r="E5371">
        <v>0.47430829999999902</v>
      </c>
      <c r="F5371" t="s">
        <v>39</v>
      </c>
      <c r="G5371">
        <v>-277.22809999999998</v>
      </c>
      <c r="H5371" s="1">
        <v>-2.3147839999999998E-6</v>
      </c>
      <c r="I5371">
        <v>-60.652090000000001</v>
      </c>
      <c r="J5371">
        <v>-289.37799999999999</v>
      </c>
      <c r="K5371">
        <v>1.109243</v>
      </c>
      <c r="L5371">
        <v>-59.715479999999999</v>
      </c>
      <c r="M5371">
        <v>0.90884419999999899</v>
      </c>
      <c r="N5371">
        <v>0</v>
      </c>
      <c r="O5371">
        <v>-0.41696949999999999</v>
      </c>
      <c r="P5371">
        <v>0.98892389999999997</v>
      </c>
      <c r="Q5371">
        <v>4.7377240000000001E-2</v>
      </c>
      <c r="R5371">
        <v>-0.1406597</v>
      </c>
      <c r="S5371">
        <v>3.0127259999999998</v>
      </c>
      <c r="T5371">
        <v>-0.27231179999999999</v>
      </c>
      <c r="U5371">
        <v>-0.242675799999999</v>
      </c>
      <c r="V5371">
        <v>-0.28517989999999999</v>
      </c>
      <c r="W5371">
        <v>5.5426620000000003E-2</v>
      </c>
      <c r="X5371">
        <v>0.95687009999999995</v>
      </c>
      <c r="Y5371">
        <v>-0.33971689999999999</v>
      </c>
      <c r="Z5371">
        <v>5.179827E-2</v>
      </c>
      <c r="AA5371">
        <v>0.9391003</v>
      </c>
      <c r="AB5371">
        <v>24</v>
      </c>
      <c r="AC5371">
        <v>12.149900000000001</v>
      </c>
      <c r="AD5371">
        <v>-1.109245314784</v>
      </c>
      <c r="AE5371">
        <v>-0.93660999999999395</v>
      </c>
      <c r="AF5371">
        <v>-4.1805579627345999</v>
      </c>
      <c r="AG5371">
        <v>-1.109245314784</v>
      </c>
      <c r="AH5371">
        <v>11.339737385611199</v>
      </c>
      <c r="AI5371">
        <v>95.243962574192196</v>
      </c>
      <c r="AJ5371">
        <v>110.237137057034</v>
      </c>
      <c r="AK5371">
        <v>12.136603067694899</v>
      </c>
    </row>
    <row r="5372" spans="1:37" x14ac:dyDescent="0.2">
      <c r="A5372" t="str">
        <f>"20200111153758943"</f>
        <v>20200111153758943</v>
      </c>
      <c r="B5372" t="str">
        <f>"1578728278939006"</f>
        <v>1578728278939006</v>
      </c>
      <c r="C5372" t="s">
        <v>37</v>
      </c>
      <c r="D5372">
        <v>5.124682</v>
      </c>
      <c r="E5372">
        <v>0.47468310000000002</v>
      </c>
      <c r="F5372" t="s">
        <v>39</v>
      </c>
      <c r="G5372">
        <v>-275.9975</v>
      </c>
      <c r="H5372" s="1">
        <v>-1.812508E-6</v>
      </c>
      <c r="I5372">
        <v>-60.767290000000003</v>
      </c>
      <c r="J5372">
        <v>-289.26190000000003</v>
      </c>
      <c r="K5372">
        <v>1.1091879999999901</v>
      </c>
      <c r="L5372">
        <v>-59.7643699999999</v>
      </c>
      <c r="M5372">
        <v>0.91038940000000002</v>
      </c>
      <c r="N5372">
        <v>0</v>
      </c>
      <c r="O5372">
        <v>-0.41358539999999999</v>
      </c>
      <c r="P5372">
        <v>0.98931409999999997</v>
      </c>
      <c r="Q5372">
        <v>4.7530709999999997E-2</v>
      </c>
      <c r="R5372">
        <v>-0.1378355</v>
      </c>
      <c r="S5372">
        <v>3.01187099999999</v>
      </c>
      <c r="T5372">
        <v>-0.2496852</v>
      </c>
      <c r="U5372">
        <v>-0.2367554</v>
      </c>
      <c r="V5372">
        <v>-0.2843426</v>
      </c>
      <c r="W5372">
        <v>5.5617529999999998E-2</v>
      </c>
      <c r="X5372">
        <v>0.95710810000000002</v>
      </c>
      <c r="Y5372">
        <v>-0.33851629999999999</v>
      </c>
      <c r="Z5372">
        <v>4.72244E-2</v>
      </c>
      <c r="AA5372">
        <v>0.93977479999999902</v>
      </c>
      <c r="AB5372">
        <v>24</v>
      </c>
      <c r="AC5372">
        <v>13.2644</v>
      </c>
      <c r="AD5372">
        <v>-1.10918981250799</v>
      </c>
      <c r="AE5372">
        <v>-1.00292000000001</v>
      </c>
      <c r="AF5372">
        <v>-4.5416533107949499</v>
      </c>
      <c r="AG5372">
        <v>-1.10918981250799</v>
      </c>
      <c r="AH5372">
        <v>12.4051748619785</v>
      </c>
      <c r="AI5372">
        <v>94.799485532742395</v>
      </c>
      <c r="AJ5372">
        <v>110.108162181426</v>
      </c>
      <c r="AK5372">
        <v>13.2568955714334</v>
      </c>
    </row>
    <row r="5373" spans="1:37" x14ac:dyDescent="0.2">
      <c r="A5373" t="str">
        <f>"20200111153758955"</f>
        <v>20200111153758955</v>
      </c>
      <c r="B5373" t="str">
        <f>"1578728278948766"</f>
        <v>1578728278948766</v>
      </c>
      <c r="C5373" t="s">
        <v>37</v>
      </c>
      <c r="D5373">
        <v>5.1256649999999997</v>
      </c>
      <c r="E5373">
        <v>0.47484409999999999</v>
      </c>
      <c r="F5373" t="s">
        <v>39</v>
      </c>
      <c r="G5373">
        <v>-275.46769999999998</v>
      </c>
      <c r="H5373" s="1">
        <v>-1.5971360000000001E-6</v>
      </c>
      <c r="I5373">
        <v>-60.820880000000002</v>
      </c>
      <c r="J5373">
        <v>-289.1395</v>
      </c>
      <c r="K5373">
        <v>1.109135</v>
      </c>
      <c r="L5373">
        <v>-59.815399999999997</v>
      </c>
      <c r="M5373">
        <v>0.91198109999999999</v>
      </c>
      <c r="N5373">
        <v>0</v>
      </c>
      <c r="O5373">
        <v>-0.41006399999999998</v>
      </c>
      <c r="P5373">
        <v>0.98972519999999997</v>
      </c>
      <c r="Q5373">
        <v>4.734381E-2</v>
      </c>
      <c r="R5373">
        <v>-0.13491779999999901</v>
      </c>
      <c r="S5373">
        <v>3.01187099999999</v>
      </c>
      <c r="T5373">
        <v>-0.24218429999999999</v>
      </c>
      <c r="U5373">
        <v>-0.23068240000000001</v>
      </c>
      <c r="V5373">
        <v>-0.28345900000000002</v>
      </c>
      <c r="W5373">
        <v>5.5467080000000002E-2</v>
      </c>
      <c r="X5373">
        <v>0.95737890000000003</v>
      </c>
      <c r="Y5373">
        <v>-0.33692640000000001</v>
      </c>
      <c r="Z5373">
        <v>4.5494439999999997E-2</v>
      </c>
      <c r="AA5373">
        <v>0.94043120000000002</v>
      </c>
      <c r="AB5373">
        <v>24</v>
      </c>
      <c r="AC5373">
        <v>13.671799999999999</v>
      </c>
      <c r="AD5373">
        <v>-1.1091365971359901</v>
      </c>
      <c r="AE5373">
        <v>-1.0054799999999999</v>
      </c>
      <c r="AF5373">
        <v>-4.6591589546714696</v>
      </c>
      <c r="AG5373">
        <v>-1.1091365971359901</v>
      </c>
      <c r="AH5373">
        <v>12.797848426027601</v>
      </c>
      <c r="AI5373">
        <v>94.655720956579501</v>
      </c>
      <c r="AJ5373">
        <v>110.004439662186</v>
      </c>
      <c r="AK5373">
        <v>13.6646577158588</v>
      </c>
    </row>
    <row r="5374" spans="1:37" x14ac:dyDescent="0.2">
      <c r="A5374" t="str">
        <f>"20200111153758968"</f>
        <v>20200111153758968</v>
      </c>
      <c r="B5374" t="str">
        <f>"1578728278958527"</f>
        <v>1578728278958527</v>
      </c>
      <c r="C5374" t="s">
        <v>37</v>
      </c>
      <c r="D5374">
        <v>5.0990929999999999</v>
      </c>
      <c r="E5374">
        <v>0.4751938</v>
      </c>
      <c r="F5374" t="s">
        <v>39</v>
      </c>
      <c r="G5374">
        <v>-275.16699999999997</v>
      </c>
      <c r="H5374" s="1">
        <v>-1.474383E-6</v>
      </c>
      <c r="I5374">
        <v>-60.849069999999998</v>
      </c>
      <c r="J5374">
        <v>-289.02210000000002</v>
      </c>
      <c r="K5374">
        <v>1.1090869999999999</v>
      </c>
      <c r="L5374">
        <v>-59.863769999999903</v>
      </c>
      <c r="M5374">
        <v>0.91347040000000002</v>
      </c>
      <c r="N5374">
        <v>0</v>
      </c>
      <c r="O5374">
        <v>-0.40673569999999998</v>
      </c>
      <c r="P5374">
        <v>0.99011209999999905</v>
      </c>
      <c r="Q5374">
        <v>4.7274219999999999E-2</v>
      </c>
      <c r="R5374">
        <v>-0.13207249999999901</v>
      </c>
      <c r="S5374">
        <v>3.0122070000000001</v>
      </c>
      <c r="T5374">
        <v>-0.23910879999999901</v>
      </c>
      <c r="U5374">
        <v>-0.22283939999999899</v>
      </c>
      <c r="V5374">
        <v>-0.28271230000000003</v>
      </c>
      <c r="W5374">
        <v>5.5428999999999999E-2</v>
      </c>
      <c r="X5374">
        <v>0.95760190000000001</v>
      </c>
      <c r="Y5374">
        <v>-0.33600829999999998</v>
      </c>
      <c r="Z5374">
        <v>4.4643519999999999E-2</v>
      </c>
      <c r="AA5374">
        <v>0.94080039999999998</v>
      </c>
      <c r="AB5374">
        <v>24</v>
      </c>
      <c r="AC5374">
        <v>13.855099999999901</v>
      </c>
      <c r="AD5374">
        <v>-1.1090884743830001</v>
      </c>
      <c r="AE5374">
        <v>-0.98530000000000195</v>
      </c>
      <c r="AF5374">
        <v>-4.7056465416462903</v>
      </c>
      <c r="AG5374">
        <v>-1.1090884743830001</v>
      </c>
      <c r="AH5374">
        <v>12.9751561578612</v>
      </c>
      <c r="AI5374">
        <v>94.594218974500606</v>
      </c>
      <c r="AJ5374">
        <v>109.933981026124</v>
      </c>
      <c r="AK5374">
        <v>13.8465831142488</v>
      </c>
    </row>
    <row r="5375" spans="1:37" x14ac:dyDescent="0.2">
      <c r="A5375" t="str">
        <f>"20200111153758980"</f>
        <v>20200111153758980</v>
      </c>
      <c r="B5375" t="str">
        <f>"1578728278968287"</f>
        <v>1578728278968287</v>
      </c>
      <c r="C5375" t="s">
        <v>37</v>
      </c>
      <c r="D5375">
        <v>5.1191000000000004</v>
      </c>
      <c r="E5375">
        <v>0.47545009999999999</v>
      </c>
      <c r="F5375" t="s">
        <v>39</v>
      </c>
      <c r="G5375">
        <v>-274.8741</v>
      </c>
      <c r="H5375" s="1">
        <v>-1.3559649999999999E-6</v>
      </c>
      <c r="I5375">
        <v>-60.881569999999897</v>
      </c>
      <c r="J5375">
        <v>-288.89679999999998</v>
      </c>
      <c r="K5375">
        <v>1.1090370000000001</v>
      </c>
      <c r="L5375">
        <v>-59.915069999999901</v>
      </c>
      <c r="M5375">
        <v>0.915033599999999</v>
      </c>
      <c r="N5375">
        <v>0</v>
      </c>
      <c r="O5375">
        <v>-0.40320709999999998</v>
      </c>
      <c r="P5375">
        <v>0.99056849999999996</v>
      </c>
      <c r="Q5375">
        <v>4.7215210000000001E-2</v>
      </c>
      <c r="R5375">
        <v>-0.12862750000000001</v>
      </c>
      <c r="S5375">
        <v>3.0123289999999998</v>
      </c>
      <c r="T5375">
        <v>-0.23614189999999999</v>
      </c>
      <c r="U5375">
        <v>-0.21670529999999999</v>
      </c>
      <c r="V5375">
        <v>-0.28234100000000001</v>
      </c>
      <c r="W5375">
        <v>5.5396620000000001E-2</v>
      </c>
      <c r="X5375">
        <v>0.95771329999999999</v>
      </c>
      <c r="Y5375">
        <v>-0.33435310000000001</v>
      </c>
      <c r="Z5375">
        <v>4.3777110000000001E-2</v>
      </c>
      <c r="AA5375">
        <v>0.94143060000000001</v>
      </c>
      <c r="AB5375">
        <v>24</v>
      </c>
      <c r="AC5375">
        <v>14.022699999999899</v>
      </c>
      <c r="AD5375">
        <v>-1.1090383559650001</v>
      </c>
      <c r="AE5375">
        <v>-0.96650000000000302</v>
      </c>
      <c r="AF5375">
        <v>-4.7404885508164796</v>
      </c>
      <c r="AG5375">
        <v>-1.1090383559650001</v>
      </c>
      <c r="AH5375">
        <v>13.1400477856326</v>
      </c>
      <c r="AI5375">
        <v>94.539350729208493</v>
      </c>
      <c r="AJ5375">
        <v>109.83774348406899</v>
      </c>
      <c r="AK5375">
        <v>14.012960200619</v>
      </c>
    </row>
    <row r="5376" spans="1:37" x14ac:dyDescent="0.2">
      <c r="A5376" t="str">
        <f>"20200111153758992"</f>
        <v>20200111153758992</v>
      </c>
      <c r="B5376" t="str">
        <f>"1578728278988782"</f>
        <v>1578728278988782</v>
      </c>
      <c r="C5376" t="s">
        <v>37</v>
      </c>
      <c r="D5376">
        <v>5.1680539999999997</v>
      </c>
      <c r="E5376">
        <v>0.47599209999999897</v>
      </c>
      <c r="F5376" t="s">
        <v>39</v>
      </c>
      <c r="G5376">
        <v>-274.60250000000002</v>
      </c>
      <c r="H5376" s="1">
        <v>-1.2439149999999901E-6</v>
      </c>
      <c r="I5376">
        <v>-60.901559999999897</v>
      </c>
      <c r="J5376">
        <v>-288.7749</v>
      </c>
      <c r="K5376">
        <v>1.1089879999999901</v>
      </c>
      <c r="L5376">
        <v>-59.964289999999998</v>
      </c>
      <c r="M5376">
        <v>0.91651369999999899</v>
      </c>
      <c r="N5376">
        <v>0</v>
      </c>
      <c r="O5376">
        <v>-0.39983209999999902</v>
      </c>
      <c r="P5376">
        <v>0.99090149999999999</v>
      </c>
      <c r="Q5376">
        <v>4.7242529999999998E-2</v>
      </c>
      <c r="R5376">
        <v>-0.12602759999999999</v>
      </c>
      <c r="S5376">
        <v>3.0127259999999998</v>
      </c>
      <c r="T5376">
        <v>-0.2337458</v>
      </c>
      <c r="U5376">
        <v>-0.2079163</v>
      </c>
      <c r="V5376">
        <v>-0.28131699999999998</v>
      </c>
      <c r="W5376">
        <v>5.545804E-2</v>
      </c>
      <c r="X5376">
        <v>0.95801099999999995</v>
      </c>
      <c r="Y5376">
        <v>-0.33367839999999999</v>
      </c>
      <c r="Z5376">
        <v>4.3070280000000002E-2</v>
      </c>
      <c r="AA5376">
        <v>0.9417025</v>
      </c>
      <c r="AB5376">
        <v>24</v>
      </c>
      <c r="AC5376">
        <v>14.1723999999999</v>
      </c>
      <c r="AD5376">
        <v>-1.10898924391499</v>
      </c>
      <c r="AE5376">
        <v>-0.93726999999999006</v>
      </c>
      <c r="AF5376">
        <v>-4.7787556943864598</v>
      </c>
      <c r="AG5376">
        <v>-1.10898924391499</v>
      </c>
      <c r="AH5376">
        <v>13.2838807637303</v>
      </c>
      <c r="AI5376">
        <v>94.491666949059905</v>
      </c>
      <c r="AJ5376">
        <v>109.785734957655</v>
      </c>
      <c r="AK5376">
        <v>14.1607856870568</v>
      </c>
    </row>
    <row r="5377" spans="1:37" x14ac:dyDescent="0.2">
      <c r="A5377" t="str">
        <f>"20200111153759005"</f>
        <v>20200111153759005</v>
      </c>
      <c r="B5377" t="str">
        <f>"1578728278998542"</f>
        <v>1578728278998542</v>
      </c>
      <c r="C5377" t="s">
        <v>37</v>
      </c>
      <c r="D5377">
        <v>5.1856049999999998</v>
      </c>
      <c r="E5377">
        <v>0.4761513</v>
      </c>
      <c r="F5377" t="s">
        <v>39</v>
      </c>
      <c r="G5377">
        <v>-274.15660000000003</v>
      </c>
      <c r="H5377" s="1">
        <v>-1.0642159999999999E-6</v>
      </c>
      <c r="I5377">
        <v>-60.953819999999901</v>
      </c>
      <c r="J5377">
        <v>-288.65570000000002</v>
      </c>
      <c r="K5377">
        <v>1.10894</v>
      </c>
      <c r="L5377">
        <v>-60.012050000000002</v>
      </c>
      <c r="M5377">
        <v>0.91793579999999997</v>
      </c>
      <c r="N5377">
        <v>0</v>
      </c>
      <c r="O5377">
        <v>-0.39655659999999998</v>
      </c>
      <c r="P5377">
        <v>0.991282</v>
      </c>
      <c r="Q5377">
        <v>4.7192339999999999E-2</v>
      </c>
      <c r="R5377">
        <v>-0.1230151</v>
      </c>
      <c r="S5377">
        <v>3.0125120000000001</v>
      </c>
      <c r="T5377">
        <v>-0.228538299999999</v>
      </c>
      <c r="U5377">
        <v>-0.2039185</v>
      </c>
      <c r="V5377">
        <v>-0.28080109999999903</v>
      </c>
      <c r="W5377">
        <v>5.5433759999999999E-2</v>
      </c>
      <c r="X5377">
        <v>0.95816380000000001</v>
      </c>
      <c r="Y5377">
        <v>-0.331659599999999</v>
      </c>
      <c r="Z5377">
        <v>4.1814780000000003E-2</v>
      </c>
      <c r="AA5377">
        <v>0.94247199999999998</v>
      </c>
      <c r="AB5377">
        <v>24</v>
      </c>
      <c r="AC5377">
        <v>14.4991</v>
      </c>
      <c r="AD5377">
        <v>-1.108941064216</v>
      </c>
      <c r="AE5377">
        <v>-0.941769999999991</v>
      </c>
      <c r="AF5377">
        <v>-4.8572691379927599</v>
      </c>
      <c r="AG5377">
        <v>-1.108941064216</v>
      </c>
      <c r="AH5377">
        <v>13.604396061396301</v>
      </c>
      <c r="AI5377">
        <v>94.389826631832307</v>
      </c>
      <c r="AJ5377">
        <v>109.648431298292</v>
      </c>
      <c r="AK5377">
        <v>14.4880090405182</v>
      </c>
    </row>
    <row r="5378" spans="1:37" x14ac:dyDescent="0.2">
      <c r="A5378" t="str">
        <f>"20200111153759017"</f>
        <v>20200111153759017</v>
      </c>
      <c r="B5378" t="str">
        <f>"1578728279008302"</f>
        <v>1578728279008302</v>
      </c>
      <c r="C5378" t="s">
        <v>37</v>
      </c>
      <c r="D5378">
        <v>5.1820029999999999</v>
      </c>
      <c r="E5378">
        <v>0.47623399999999999</v>
      </c>
      <c r="F5378" t="s">
        <v>39</v>
      </c>
      <c r="G5378">
        <v>-274.00259999999997</v>
      </c>
      <c r="H5378" s="1">
        <v>-1.000454E-6</v>
      </c>
      <c r="I5378">
        <v>-60.964019999999998</v>
      </c>
      <c r="J5378">
        <v>-288.52690000000001</v>
      </c>
      <c r="K5378">
        <v>1.1088929999999999</v>
      </c>
      <c r="L5378">
        <v>-60.063229999999997</v>
      </c>
      <c r="M5378">
        <v>0.91944419999999905</v>
      </c>
      <c r="N5378">
        <v>0</v>
      </c>
      <c r="O5378">
        <v>-0.39304689999999998</v>
      </c>
      <c r="P5378">
        <v>0.99165479999999995</v>
      </c>
      <c r="Q5378">
        <v>4.7291800000000002E-2</v>
      </c>
      <c r="R5378">
        <v>-0.119933999999999</v>
      </c>
      <c r="S5378">
        <v>3.0129090000000001</v>
      </c>
      <c r="T5378">
        <v>-0.228016</v>
      </c>
      <c r="U5378">
        <v>-0.19573969999999999</v>
      </c>
      <c r="V5378">
        <v>-0.280111</v>
      </c>
      <c r="W5378">
        <v>5.556088E-2</v>
      </c>
      <c r="X5378">
        <v>0.95835840000000005</v>
      </c>
      <c r="Y5378">
        <v>-0.33063399999999998</v>
      </c>
      <c r="Z5378">
        <v>4.1437540000000002E-2</v>
      </c>
      <c r="AA5378">
        <v>0.94284889999999999</v>
      </c>
      <c r="AB5378">
        <v>24</v>
      </c>
      <c r="AC5378">
        <v>14.5243</v>
      </c>
      <c r="AD5378">
        <v>-1.108894000454</v>
      </c>
      <c r="AE5378">
        <v>-0.90078999999999299</v>
      </c>
      <c r="AF5378">
        <v>-4.8526605822778102</v>
      </c>
      <c r="AG5378">
        <v>-1.108894000454</v>
      </c>
      <c r="AH5378">
        <v>13.630127003971999</v>
      </c>
      <c r="AI5378">
        <v>94.382784087957006</v>
      </c>
      <c r="AJ5378">
        <v>109.59698067834501</v>
      </c>
      <c r="AK5378">
        <v>14.510627924919101</v>
      </c>
    </row>
    <row r="5379" spans="1:37" x14ac:dyDescent="0.2">
      <c r="A5379" t="str">
        <f>"20200111153759031"</f>
        <v>20200111153759031</v>
      </c>
      <c r="B5379" t="str">
        <f>"1578728279028799"</f>
        <v>1578728279028799</v>
      </c>
      <c r="C5379" t="s">
        <v>37</v>
      </c>
      <c r="D5379">
        <v>5.2002639999999998</v>
      </c>
      <c r="E5379">
        <v>0.47630699999999998</v>
      </c>
      <c r="F5379" t="s">
        <v>39</v>
      </c>
      <c r="G5379">
        <v>-273.74680000000001</v>
      </c>
      <c r="H5379" s="1">
        <v>-8.9398019999999905E-7</v>
      </c>
      <c r="I5379">
        <v>-60.978819999999899</v>
      </c>
      <c r="J5379">
        <v>-288.38569999999999</v>
      </c>
      <c r="K5379">
        <v>1.108841</v>
      </c>
      <c r="L5379">
        <v>-60.118589999999998</v>
      </c>
      <c r="M5379">
        <v>0.92105879999999996</v>
      </c>
      <c r="N5379">
        <v>0</v>
      </c>
      <c r="O5379">
        <v>-0.3892486</v>
      </c>
      <c r="P5379">
        <v>0.99204550000000002</v>
      </c>
      <c r="Q5379">
        <v>4.6921030000000002E-2</v>
      </c>
      <c r="R5379">
        <v>-0.1168078</v>
      </c>
      <c r="S5379">
        <v>3.013458</v>
      </c>
      <c r="T5379">
        <v>-0.22608699999999901</v>
      </c>
      <c r="U5379">
        <v>-0.18667600000000001</v>
      </c>
      <c r="V5379">
        <v>-0.27917249999999999</v>
      </c>
      <c r="W5379">
        <v>5.5220459999999999E-2</v>
      </c>
      <c r="X5379">
        <v>0.9586519</v>
      </c>
      <c r="Y5379">
        <v>-0.32962249999999998</v>
      </c>
      <c r="Z5379">
        <v>4.0786959999999997E-2</v>
      </c>
      <c r="AA5379">
        <v>0.94323140000000005</v>
      </c>
      <c r="AB5379">
        <v>24</v>
      </c>
      <c r="AC5379">
        <v>14.6388999999999</v>
      </c>
      <c r="AD5379">
        <v>-1.1088418939802001</v>
      </c>
      <c r="AE5379">
        <v>-0.86022999999998695</v>
      </c>
      <c r="AF5379">
        <v>-4.8782902255435499</v>
      </c>
      <c r="AG5379">
        <v>-1.1088418939802001</v>
      </c>
      <c r="AH5379">
        <v>13.7405073941305</v>
      </c>
      <c r="AI5379">
        <v>94.348868282635806</v>
      </c>
      <c r="AJ5379">
        <v>109.546380978313</v>
      </c>
      <c r="AK5379">
        <v>14.622885806797299</v>
      </c>
    </row>
    <row r="5380" spans="1:37" x14ac:dyDescent="0.2">
      <c r="A5380" t="str">
        <f>"20200111153759043"</f>
        <v>20200111153759043</v>
      </c>
      <c r="B5380" t="str">
        <f>"1578728279038559"</f>
        <v>1578728279038559</v>
      </c>
      <c r="C5380" t="s">
        <v>37</v>
      </c>
      <c r="D5380">
        <v>5.1988310000000002</v>
      </c>
      <c r="E5380">
        <v>0.47646059999999901</v>
      </c>
      <c r="F5380" t="s">
        <v>39</v>
      </c>
      <c r="G5380">
        <v>-273.40550000000002</v>
      </c>
      <c r="H5380" s="1">
        <v>-7.5262450000000004E-7</v>
      </c>
      <c r="I5380">
        <v>-61.001449999999998</v>
      </c>
      <c r="J5380">
        <v>-288.26679999999999</v>
      </c>
      <c r="K5380">
        <v>1.108806</v>
      </c>
      <c r="L5380">
        <v>-60.16489</v>
      </c>
      <c r="M5380">
        <v>0.92239669999999896</v>
      </c>
      <c r="N5380">
        <v>0</v>
      </c>
      <c r="O5380">
        <v>-0.38606779999999902</v>
      </c>
      <c r="P5380">
        <v>0.99241749999999995</v>
      </c>
      <c r="Q5380">
        <v>4.6784760000000002E-2</v>
      </c>
      <c r="R5380">
        <v>-0.11366130000000001</v>
      </c>
      <c r="S5380">
        <v>3.0137019999999999</v>
      </c>
      <c r="T5380">
        <v>-0.22307569999999999</v>
      </c>
      <c r="U5380">
        <v>-0.177612299999999</v>
      </c>
      <c r="V5380">
        <v>-0.27889999999999998</v>
      </c>
      <c r="W5380">
        <v>5.5100959999999997E-2</v>
      </c>
      <c r="X5380">
        <v>0.95873799999999898</v>
      </c>
      <c r="Y5380">
        <v>-0.32925759999999998</v>
      </c>
      <c r="Z5380">
        <v>4.0017829999999997E-2</v>
      </c>
      <c r="AA5380">
        <v>0.94339169999999895</v>
      </c>
      <c r="AB5380">
        <v>24</v>
      </c>
      <c r="AC5380">
        <v>14.8612999999999</v>
      </c>
      <c r="AD5380">
        <v>-1.1088067526245</v>
      </c>
      <c r="AE5380">
        <v>-0.83655999999999797</v>
      </c>
      <c r="AF5380">
        <v>-4.9387610978948304</v>
      </c>
      <c r="AG5380">
        <v>-1.1088067526245</v>
      </c>
      <c r="AH5380">
        <v>13.954501820608</v>
      </c>
      <c r="AI5380">
        <v>94.283785421711897</v>
      </c>
      <c r="AJ5380">
        <v>109.48983068472801</v>
      </c>
      <c r="AK5380">
        <v>14.844154898750499</v>
      </c>
    </row>
    <row r="5381" spans="1:37" x14ac:dyDescent="0.2">
      <c r="A5381" t="str">
        <f>"20200111153759055"</f>
        <v>20200111153759055</v>
      </c>
      <c r="B5381" t="str">
        <f>"1578728279048318"</f>
        <v>1578728279048318</v>
      </c>
      <c r="C5381" t="s">
        <v>37</v>
      </c>
      <c r="D5381">
        <v>5.3168819999999997</v>
      </c>
      <c r="E5381">
        <v>0.47656979999999999</v>
      </c>
      <c r="F5381" t="s">
        <v>39</v>
      </c>
      <c r="G5381">
        <v>-273.19299999999998</v>
      </c>
      <c r="H5381" s="1">
        <v>-6.6369580000000001E-7</v>
      </c>
      <c r="I5381">
        <v>-61.011659999999999</v>
      </c>
      <c r="J5381">
        <v>-288.1499</v>
      </c>
      <c r="K5381">
        <v>1.108776</v>
      </c>
      <c r="L5381">
        <v>-60.20984</v>
      </c>
      <c r="M5381">
        <v>0.92368700000000004</v>
      </c>
      <c r="N5381">
        <v>0</v>
      </c>
      <c r="O5381">
        <v>-0.38297129999999902</v>
      </c>
      <c r="P5381">
        <v>0.99274869999999904</v>
      </c>
      <c r="Q5381">
        <v>4.6638400000000003E-2</v>
      </c>
      <c r="R5381">
        <v>-0.11079410000000001</v>
      </c>
      <c r="S5381">
        <v>3.014008</v>
      </c>
      <c r="T5381">
        <v>-0.2217047</v>
      </c>
      <c r="U5381">
        <v>-0.1693115</v>
      </c>
      <c r="V5381">
        <v>-0.27844980000000003</v>
      </c>
      <c r="W5381">
        <v>5.4972409999999999E-2</v>
      </c>
      <c r="X5381">
        <v>0.95887630000000001</v>
      </c>
      <c r="Y5381">
        <v>-0.32871879999999998</v>
      </c>
      <c r="Z5381">
        <v>3.9543910000000002E-2</v>
      </c>
      <c r="AA5381">
        <v>0.94359959999999898</v>
      </c>
      <c r="AB5381">
        <v>24</v>
      </c>
      <c r="AC5381">
        <v>14.956899999999999</v>
      </c>
      <c r="AD5381">
        <v>-1.1087766636958001</v>
      </c>
      <c r="AE5381">
        <v>-0.80181999999999898</v>
      </c>
      <c r="AF5381">
        <v>-4.9605875358969396</v>
      </c>
      <c r="AG5381">
        <v>-1.1087766636958001</v>
      </c>
      <c r="AH5381">
        <v>14.046552469066</v>
      </c>
      <c r="AI5381">
        <v>94.256721169459993</v>
      </c>
      <c r="AJ5381">
        <v>109.450845897965</v>
      </c>
      <c r="AK5381">
        <v>14.937953362408001</v>
      </c>
    </row>
    <row r="5382" spans="1:37" x14ac:dyDescent="0.2">
      <c r="A5382" t="str">
        <f>"20200111153759066"</f>
        <v>20200111153759066</v>
      </c>
      <c r="B5382" t="str">
        <f>"1578728279059054"</f>
        <v>1578728279059054</v>
      </c>
      <c r="C5382" t="s">
        <v>37</v>
      </c>
      <c r="D5382">
        <v>5.1897330000000004</v>
      </c>
      <c r="E5382">
        <v>0.47667659999999901</v>
      </c>
      <c r="F5382" t="s">
        <v>39</v>
      </c>
      <c r="G5382">
        <v>-273.0061</v>
      </c>
      <c r="H5382" s="1">
        <v>-5.8545749999999898E-7</v>
      </c>
      <c r="I5382">
        <v>-61.020290000000003</v>
      </c>
      <c r="J5382">
        <v>-288.03469999999999</v>
      </c>
      <c r="K5382">
        <v>1.1087480000000001</v>
      </c>
      <c r="L5382">
        <v>-60.253749999999997</v>
      </c>
      <c r="M5382">
        <v>0.924938699999999</v>
      </c>
      <c r="N5382">
        <v>0</v>
      </c>
      <c r="O5382">
        <v>-0.37993850000000001</v>
      </c>
      <c r="P5382">
        <v>0.99307579999999995</v>
      </c>
      <c r="Q5382">
        <v>4.6332579999999998E-2</v>
      </c>
      <c r="R5382">
        <v>-0.1079541</v>
      </c>
      <c r="S5382">
        <v>3.0142820000000001</v>
      </c>
      <c r="T5382">
        <v>-0.2206949</v>
      </c>
      <c r="U5382">
        <v>-0.16131589999999901</v>
      </c>
      <c r="V5382">
        <v>-0.27804420000000002</v>
      </c>
      <c r="W5382">
        <v>5.4681029999999999E-2</v>
      </c>
      <c r="X5382">
        <v>0.95901069999999999</v>
      </c>
      <c r="Y5382">
        <v>-0.32814749999999998</v>
      </c>
      <c r="Z5382">
        <v>3.9139479999999997E-2</v>
      </c>
      <c r="AA5382">
        <v>0.94381530000000002</v>
      </c>
      <c r="AB5382">
        <v>24</v>
      </c>
      <c r="AC5382">
        <v>15.0285999999999</v>
      </c>
      <c r="AD5382">
        <v>-1.1087485854575001</v>
      </c>
      <c r="AE5382">
        <v>-0.76654000000000599</v>
      </c>
      <c r="AF5382">
        <v>-4.9742750205522501</v>
      </c>
      <c r="AG5382">
        <v>-1.1087485854575001</v>
      </c>
      <c r="AH5382">
        <v>14.1160978980393</v>
      </c>
      <c r="AI5382">
        <v>94.236739258058293</v>
      </c>
      <c r="AJ5382">
        <v>109.411598783709</v>
      </c>
      <c r="AK5382">
        <v>15.0078964306419</v>
      </c>
    </row>
    <row r="5383" spans="1:37" x14ac:dyDescent="0.2">
      <c r="A5383" t="str">
        <f>"20200111153759077"</f>
        <v>20200111153759077</v>
      </c>
      <c r="B5383" t="str">
        <f>"1578728279068815"</f>
        <v>1578728279068815</v>
      </c>
      <c r="C5383" t="s">
        <v>37</v>
      </c>
      <c r="D5383">
        <v>5.1880199999999999</v>
      </c>
      <c r="E5383">
        <v>0.47677890000000001</v>
      </c>
      <c r="F5383" t="s">
        <v>39</v>
      </c>
      <c r="G5383">
        <v>-272.81220000000002</v>
      </c>
      <c r="H5383" s="1">
        <v>-5.0382410000000002E-7</v>
      </c>
      <c r="I5383">
        <v>-61.027359999999902</v>
      </c>
      <c r="J5383">
        <v>-287.92110000000002</v>
      </c>
      <c r="K5383">
        <v>1.108722</v>
      </c>
      <c r="L5383">
        <v>-60.296810000000001</v>
      </c>
      <c r="M5383">
        <v>0.926156599999999</v>
      </c>
      <c r="N5383">
        <v>0</v>
      </c>
      <c r="O5383">
        <v>-0.37696020000000002</v>
      </c>
      <c r="P5383">
        <v>0.99335189999999995</v>
      </c>
      <c r="Q5383">
        <v>4.6180069999999997E-2</v>
      </c>
      <c r="R5383">
        <v>-0.1054523</v>
      </c>
      <c r="S5383">
        <v>3.014526</v>
      </c>
      <c r="T5383">
        <v>-0.21956629999999999</v>
      </c>
      <c r="U5383">
        <v>-0.15319820000000001</v>
      </c>
      <c r="V5383">
        <v>-0.27737209999999901</v>
      </c>
      <c r="W5383">
        <v>5.4545320000000001E-2</v>
      </c>
      <c r="X5383">
        <v>0.95921299999999898</v>
      </c>
      <c r="Y5383">
        <v>-0.3276752</v>
      </c>
      <c r="Z5383">
        <v>3.8723500000000001E-2</v>
      </c>
      <c r="AA5383">
        <v>0.94399650000000002</v>
      </c>
      <c r="AB5383">
        <v>24</v>
      </c>
      <c r="AC5383">
        <v>15.1089</v>
      </c>
      <c r="AD5383">
        <v>-1.1087225038241</v>
      </c>
      <c r="AE5383">
        <v>-0.73054999999999304</v>
      </c>
      <c r="AF5383">
        <v>-4.9923681223535903</v>
      </c>
      <c r="AG5383">
        <v>-1.1087225038241</v>
      </c>
      <c r="AH5383">
        <v>14.1933069824342</v>
      </c>
      <c r="AI5383">
        <v>94.214521196513402</v>
      </c>
      <c r="AJ5383">
        <v>109.3788642857</v>
      </c>
      <c r="AK5383">
        <v>15.086516104031199</v>
      </c>
    </row>
    <row r="5384" spans="1:37" x14ac:dyDescent="0.2">
      <c r="A5384" t="str">
        <f>"20200111153759088"</f>
        <v>20200111153759088</v>
      </c>
      <c r="B5384" t="str">
        <f>"1578728279078576"</f>
        <v>1578728279078576</v>
      </c>
      <c r="C5384" t="s">
        <v>37</v>
      </c>
      <c r="D5384">
        <v>5.4212739999999897</v>
      </c>
      <c r="E5384">
        <v>0.47688170000000002</v>
      </c>
      <c r="F5384" t="s">
        <v>39</v>
      </c>
      <c r="G5384">
        <v>-272.63420000000002</v>
      </c>
      <c r="H5384" s="1">
        <v>-4.2970160000000002E-7</v>
      </c>
      <c r="I5384">
        <v>-61.037439999999997</v>
      </c>
      <c r="J5384">
        <v>-287.81130000000002</v>
      </c>
      <c r="K5384">
        <v>1.108703</v>
      </c>
      <c r="L5384">
        <v>-60.3377699999999</v>
      </c>
      <c r="M5384">
        <v>0.927313099999999</v>
      </c>
      <c r="N5384">
        <v>0</v>
      </c>
      <c r="O5384">
        <v>-0.37410579999999999</v>
      </c>
      <c r="P5384">
        <v>0.99362209999999995</v>
      </c>
      <c r="Q5384">
        <v>4.6038170000000003E-2</v>
      </c>
      <c r="R5384">
        <v>-0.102933399999999</v>
      </c>
      <c r="S5384">
        <v>3.0147089999999999</v>
      </c>
      <c r="T5384">
        <v>-0.21864909999999901</v>
      </c>
      <c r="U5384">
        <v>-0.1460571</v>
      </c>
      <c r="V5384">
        <v>-0.27684709999999901</v>
      </c>
      <c r="W5384">
        <v>5.4414860000000002E-2</v>
      </c>
      <c r="X5384">
        <v>0.959371999999999</v>
      </c>
      <c r="Y5384">
        <v>-0.32702369999999997</v>
      </c>
      <c r="Z5384">
        <v>3.8348220000000002E-2</v>
      </c>
      <c r="AA5384">
        <v>0.94423780000000002</v>
      </c>
      <c r="AB5384">
        <v>24</v>
      </c>
      <c r="AC5384">
        <v>15.1770999999999</v>
      </c>
      <c r="AD5384">
        <v>-1.1087034297016001</v>
      </c>
      <c r="AE5384">
        <v>-0.69967000000001101</v>
      </c>
      <c r="AF5384">
        <v>-5.0027279045144999</v>
      </c>
      <c r="AG5384">
        <v>-1.1087034297016001</v>
      </c>
      <c r="AH5384">
        <v>14.260703639757001</v>
      </c>
      <c r="AI5384">
        <v>94.195825867436994</v>
      </c>
      <c r="AJ5384">
        <v>109.331131836045</v>
      </c>
      <c r="AK5384">
        <v>15.1533553407362</v>
      </c>
    </row>
    <row r="5385" spans="1:37" x14ac:dyDescent="0.2">
      <c r="A5385" t="str">
        <f>"20200111153759101"</f>
        <v>20200111153759101</v>
      </c>
      <c r="B5385" t="str">
        <f>"1578728279088335"</f>
        <v>1578728279088335</v>
      </c>
      <c r="C5385" t="s">
        <v>37</v>
      </c>
      <c r="D5385">
        <v>5.1312059999999997</v>
      </c>
      <c r="E5385">
        <v>0.47703519999999999</v>
      </c>
      <c r="F5385" t="s">
        <v>39</v>
      </c>
      <c r="G5385">
        <v>-272.4803</v>
      </c>
      <c r="H5385" s="1">
        <v>-3.6518440000000002E-7</v>
      </c>
      <c r="I5385">
        <v>-61.043999999999997</v>
      </c>
      <c r="J5385">
        <v>-287.6825</v>
      </c>
      <c r="K5385">
        <v>1.1086860000000001</v>
      </c>
      <c r="L5385">
        <v>-60.385649999999998</v>
      </c>
      <c r="M5385">
        <v>0.92865679999999995</v>
      </c>
      <c r="N5385">
        <v>0</v>
      </c>
      <c r="O5385">
        <v>-0.3707587</v>
      </c>
      <c r="P5385">
        <v>0.99396849999999903</v>
      </c>
      <c r="Q5385">
        <v>4.601657E-2</v>
      </c>
      <c r="R5385">
        <v>-9.9544320000000006E-2</v>
      </c>
      <c r="S5385">
        <v>3.0149539999999999</v>
      </c>
      <c r="T5385">
        <v>-0.2180348</v>
      </c>
      <c r="U5385">
        <v>-0.1388855</v>
      </c>
      <c r="V5385">
        <v>-0.27665609999999902</v>
      </c>
      <c r="W5385">
        <v>5.4399160000000002E-2</v>
      </c>
      <c r="X5385">
        <v>0.95942799999999995</v>
      </c>
      <c r="Y5385">
        <v>-0.32588210000000001</v>
      </c>
      <c r="Z5385">
        <v>3.7975199999999897E-2</v>
      </c>
      <c r="AA5385">
        <v>0.94464740000000003</v>
      </c>
      <c r="AB5385">
        <v>24</v>
      </c>
      <c r="AC5385">
        <v>15.202199999999999</v>
      </c>
      <c r="AD5385">
        <v>-1.1086863651843999</v>
      </c>
      <c r="AE5385">
        <v>-0.65834999999999799</v>
      </c>
      <c r="AF5385">
        <v>-4.99876763604491</v>
      </c>
      <c r="AG5385">
        <v>-1.1086863651843999</v>
      </c>
      <c r="AH5385">
        <v>14.2868365765896</v>
      </c>
      <c r="AI5385">
        <v>94.189310881340901</v>
      </c>
      <c r="AJ5385">
        <v>109.284239734669</v>
      </c>
      <c r="AK5385">
        <v>15.1766453046018</v>
      </c>
    </row>
    <row r="5386" spans="1:37" x14ac:dyDescent="0.2">
      <c r="A5386" t="str">
        <f>"20200111153759112"</f>
        <v>20200111153759112</v>
      </c>
      <c r="B5386" t="str">
        <f>"1578728279108830"</f>
        <v>1578728279108830</v>
      </c>
      <c r="C5386" t="s">
        <v>37</v>
      </c>
      <c r="D5386">
        <v>5.2028339999999904</v>
      </c>
      <c r="E5386">
        <v>0.47730590000000001</v>
      </c>
      <c r="F5386" t="s">
        <v>39</v>
      </c>
      <c r="G5386">
        <v>-272.21780000000001</v>
      </c>
      <c r="H5386" s="1">
        <v>-2.53909E-7</v>
      </c>
      <c r="I5386">
        <v>-61.050080000000001</v>
      </c>
      <c r="J5386">
        <v>-287.56799999999998</v>
      </c>
      <c r="K5386">
        <v>1.1086750000000001</v>
      </c>
      <c r="L5386">
        <v>-60.427609999999902</v>
      </c>
      <c r="M5386">
        <v>0.92983349999999898</v>
      </c>
      <c r="N5386">
        <v>0</v>
      </c>
      <c r="O5386">
        <v>-0.36779770000000001</v>
      </c>
      <c r="P5386">
        <v>0.99428269999999996</v>
      </c>
      <c r="Q5386">
        <v>4.6190120000000001E-2</v>
      </c>
      <c r="R5386">
        <v>-9.6273120000000004E-2</v>
      </c>
      <c r="S5386">
        <v>3.015228</v>
      </c>
      <c r="T5386">
        <v>-0.2161669</v>
      </c>
      <c r="U5386">
        <v>-0.1295471</v>
      </c>
      <c r="V5386">
        <v>-0.27675379999999999</v>
      </c>
      <c r="W5386">
        <v>5.4567699999999997E-2</v>
      </c>
      <c r="X5386">
        <v>0.95939030000000003</v>
      </c>
      <c r="Y5386">
        <v>-0.32583210000000001</v>
      </c>
      <c r="Z5386">
        <v>3.7453E-2</v>
      </c>
      <c r="AA5386">
        <v>0.94468549999999996</v>
      </c>
      <c r="AB5386">
        <v>24</v>
      </c>
      <c r="AC5386">
        <v>15.3501999999999</v>
      </c>
      <c r="AD5386">
        <v>-1.1086752539089999</v>
      </c>
      <c r="AE5386">
        <v>-0.62247000000000696</v>
      </c>
      <c r="AF5386">
        <v>-5.0410620057514501</v>
      </c>
      <c r="AG5386">
        <v>-1.1086752539089999</v>
      </c>
      <c r="AH5386">
        <v>14.4279088194753</v>
      </c>
      <c r="AI5386">
        <v>94.149081915699298</v>
      </c>
      <c r="AJ5386">
        <v>109.259240079658</v>
      </c>
      <c r="AK5386">
        <v>15.323381476278501</v>
      </c>
    </row>
    <row r="5387" spans="1:37" x14ac:dyDescent="0.2">
      <c r="A5387" t="str">
        <f>"20200111153759125"</f>
        <v>20200111153759125</v>
      </c>
      <c r="B5387" t="str">
        <f>"1578728279118592"</f>
        <v>1578728279118592</v>
      </c>
      <c r="C5387" t="s">
        <v>37</v>
      </c>
      <c r="D5387">
        <v>5.18499</v>
      </c>
      <c r="E5387">
        <v>0.47745479999999901</v>
      </c>
      <c r="F5387" t="s">
        <v>39</v>
      </c>
      <c r="G5387">
        <v>-271.9402</v>
      </c>
      <c r="H5387" s="1">
        <v>-1.3667169999999999E-7</v>
      </c>
      <c r="I5387">
        <v>-61.05836</v>
      </c>
      <c r="J5387">
        <v>-287.43970000000002</v>
      </c>
      <c r="K5387">
        <v>1.1086670000000001</v>
      </c>
      <c r="L5387">
        <v>-60.474269999999997</v>
      </c>
      <c r="M5387">
        <v>0.93113819999999903</v>
      </c>
      <c r="N5387">
        <v>0</v>
      </c>
      <c r="O5387">
        <v>-0.36448259999999899</v>
      </c>
      <c r="P5387">
        <v>0.99461109999999897</v>
      </c>
      <c r="Q5387">
        <v>4.6182300000000003E-2</v>
      </c>
      <c r="R5387">
        <v>-9.2822749999999996E-2</v>
      </c>
      <c r="S5387">
        <v>3.0154109999999998</v>
      </c>
      <c r="T5387">
        <v>-0.213921999999999</v>
      </c>
      <c r="U5387">
        <v>-0.1217041</v>
      </c>
      <c r="V5387">
        <v>-0.27666380000000002</v>
      </c>
      <c r="W5387">
        <v>5.4554850000000002E-2</v>
      </c>
      <c r="X5387">
        <v>0.95941690000000002</v>
      </c>
      <c r="Y5387">
        <v>-0.32496609999999998</v>
      </c>
      <c r="Z5387">
        <v>3.6816590000000003E-2</v>
      </c>
      <c r="AA5387">
        <v>0.94500879999999998</v>
      </c>
      <c r="AB5387">
        <v>24</v>
      </c>
      <c r="AC5387">
        <v>15.499499999999999</v>
      </c>
      <c r="AD5387">
        <v>-1.10866713667169</v>
      </c>
      <c r="AE5387">
        <v>-0.584090000000003</v>
      </c>
      <c r="AF5387">
        <v>-5.0798181941848304</v>
      </c>
      <c r="AG5387">
        <v>-1.10866713667169</v>
      </c>
      <c r="AH5387">
        <v>14.5716002909287</v>
      </c>
      <c r="AI5387">
        <v>94.109279291378499</v>
      </c>
      <c r="AJ5387">
        <v>109.219109940767</v>
      </c>
      <c r="AK5387">
        <v>15.4714327308268</v>
      </c>
    </row>
    <row r="5388" spans="1:37" x14ac:dyDescent="0.2">
      <c r="A5388" t="str">
        <f>"20200111153759138"</f>
        <v>20200111153759138</v>
      </c>
      <c r="B5388" t="str">
        <f>"1578728279128350"</f>
        <v>1578728279128350</v>
      </c>
      <c r="C5388" t="s">
        <v>37</v>
      </c>
      <c r="D5388">
        <v>5.170744</v>
      </c>
      <c r="E5388">
        <v>0.47757840000000001</v>
      </c>
      <c r="F5388" t="s">
        <v>39</v>
      </c>
      <c r="G5388">
        <v>-271.7099</v>
      </c>
      <c r="H5388" s="1">
        <v>-3.8193999999999998E-8</v>
      </c>
      <c r="I5388">
        <v>-61.059909999999903</v>
      </c>
      <c r="J5388">
        <v>-287.30329999999998</v>
      </c>
      <c r="K5388">
        <v>1.108663</v>
      </c>
      <c r="L5388">
        <v>-60.523350000000001</v>
      </c>
      <c r="M5388">
        <v>0.93250759999999899</v>
      </c>
      <c r="N5388">
        <v>0</v>
      </c>
      <c r="O5388">
        <v>-0.36096459999999903</v>
      </c>
      <c r="P5388">
        <v>0.99493349999999903</v>
      </c>
      <c r="Q5388">
        <v>4.5878889999999999E-2</v>
      </c>
      <c r="R5388">
        <v>-8.9457770000000006E-2</v>
      </c>
      <c r="S5388">
        <v>3.015625</v>
      </c>
      <c r="T5388">
        <v>-0.2125474</v>
      </c>
      <c r="U5388">
        <v>-0.11227419999999901</v>
      </c>
      <c r="V5388">
        <v>-0.27628829999999999</v>
      </c>
      <c r="W5388">
        <v>5.424727E-2</v>
      </c>
      <c r="X5388">
        <v>0.95954259999999902</v>
      </c>
      <c r="Y5388">
        <v>-0.32438159999999999</v>
      </c>
      <c r="Z5388">
        <v>3.633028E-2</v>
      </c>
      <c r="AA5388">
        <v>0.94522839999999997</v>
      </c>
      <c r="AB5388">
        <v>24</v>
      </c>
      <c r="AC5388">
        <v>15.5933999999999</v>
      </c>
      <c r="AD5388">
        <v>-1.1086630381939999</v>
      </c>
      <c r="AE5388">
        <v>-0.53655999999999404</v>
      </c>
      <c r="AF5388">
        <v>-5.1028986601093003</v>
      </c>
      <c r="AG5388">
        <v>-1.1086630381939999</v>
      </c>
      <c r="AH5388">
        <v>14.6616053370432</v>
      </c>
      <c r="AI5388">
        <v>94.084839236237897</v>
      </c>
      <c r="AJ5388">
        <v>109.190197171843</v>
      </c>
      <c r="AK5388">
        <v>15.563784228998299</v>
      </c>
    </row>
    <row r="5389" spans="1:37" x14ac:dyDescent="0.2">
      <c r="A5389" t="str">
        <f>"20200111153759149"</f>
        <v>20200111153759149</v>
      </c>
      <c r="B5389" t="str">
        <f>"1578728279139087"</f>
        <v>1578728279139087</v>
      </c>
      <c r="C5389" t="s">
        <v>37</v>
      </c>
      <c r="D5389">
        <v>5.1658330000000001</v>
      </c>
      <c r="E5389">
        <v>0.47770950000000001</v>
      </c>
      <c r="F5389" t="s">
        <v>39</v>
      </c>
      <c r="G5389">
        <v>-271.57499999999999</v>
      </c>
      <c r="H5389" s="1">
        <v>1.9742340000000002E-8</v>
      </c>
      <c r="I5389">
        <v>-61.059539999999998</v>
      </c>
      <c r="J5389">
        <v>-287.18549999999999</v>
      </c>
      <c r="K5389">
        <v>1.108665</v>
      </c>
      <c r="L5389">
        <v>-60.565089999999998</v>
      </c>
      <c r="M5389">
        <v>0.93367639999999996</v>
      </c>
      <c r="N5389">
        <v>0</v>
      </c>
      <c r="O5389">
        <v>-0.357931</v>
      </c>
      <c r="P5389">
        <v>0.99522319999999997</v>
      </c>
      <c r="Q5389">
        <v>4.543353E-2</v>
      </c>
      <c r="R5389">
        <v>-8.6410509999999996E-2</v>
      </c>
      <c r="S5389">
        <v>3.0158689999999999</v>
      </c>
      <c r="T5389">
        <v>-0.21258440000000001</v>
      </c>
      <c r="U5389">
        <v>-0.10281369999999999</v>
      </c>
      <c r="V5389">
        <v>-0.27610980000000002</v>
      </c>
      <c r="W5389">
        <v>5.3793970000000003E-2</v>
      </c>
      <c r="X5389">
        <v>0.95961949999999996</v>
      </c>
      <c r="Y5389">
        <v>-0.32427829999999902</v>
      </c>
      <c r="Z5389">
        <v>3.6134340000000001E-2</v>
      </c>
      <c r="AA5389">
        <v>0.94527139999999998</v>
      </c>
      <c r="AB5389">
        <v>24</v>
      </c>
      <c r="AC5389">
        <v>15.6105</v>
      </c>
      <c r="AD5389">
        <v>-1.10866498025765</v>
      </c>
      <c r="AE5389">
        <v>-0.49445</v>
      </c>
      <c r="AF5389">
        <v>-5.1004679789446703</v>
      </c>
      <c r="AG5389">
        <v>-1.10866498025765</v>
      </c>
      <c r="AH5389">
        <v>14.679155209103101</v>
      </c>
      <c r="AI5389">
        <v>94.080713040997907</v>
      </c>
      <c r="AJ5389">
        <v>109.160464076634</v>
      </c>
      <c r="AK5389">
        <v>15.5795221138399</v>
      </c>
    </row>
    <row r="5390" spans="1:37" x14ac:dyDescent="0.2">
      <c r="A5390" t="str">
        <f>"20200111153759166"</f>
        <v>20200111153759166</v>
      </c>
      <c r="B5390" t="str">
        <f>"1578728279158606"</f>
        <v>1578728279158606</v>
      </c>
      <c r="C5390" t="s">
        <v>37</v>
      </c>
      <c r="D5390">
        <v>5.1501150000000004</v>
      </c>
      <c r="E5390">
        <v>0.47793629999999998</v>
      </c>
      <c r="F5390" t="s">
        <v>39</v>
      </c>
      <c r="G5390">
        <v>-271.57380000000001</v>
      </c>
      <c r="H5390" s="1">
        <v>2.1518469999999999E-8</v>
      </c>
      <c r="I5390">
        <v>-61.053999999999903</v>
      </c>
      <c r="J5390">
        <v>-287.02379999999999</v>
      </c>
      <c r="K5390">
        <v>1.10866</v>
      </c>
      <c r="L5390">
        <v>-60.621859999999998</v>
      </c>
      <c r="M5390">
        <v>0.93526399999999998</v>
      </c>
      <c r="N5390">
        <v>0</v>
      </c>
      <c r="O5390">
        <v>-0.35376209999999902</v>
      </c>
      <c r="P5390">
        <v>0.99554290000000001</v>
      </c>
      <c r="Q5390">
        <v>4.4946449999999999E-2</v>
      </c>
      <c r="R5390">
        <v>-8.2908560000000006E-2</v>
      </c>
      <c r="S5390">
        <v>3.0159910000000001</v>
      </c>
      <c r="T5390">
        <v>-0.214179799999999</v>
      </c>
      <c r="U5390">
        <v>-9.4451899999999894E-2</v>
      </c>
      <c r="V5390">
        <v>-0.27520809999999901</v>
      </c>
      <c r="W5390">
        <v>5.3302589999999997E-2</v>
      </c>
      <c r="X5390">
        <v>0.95990589999999998</v>
      </c>
      <c r="Y5390">
        <v>-0.3226677</v>
      </c>
      <c r="Z5390">
        <v>3.6071930000000002E-2</v>
      </c>
      <c r="AA5390">
        <v>0.94582469999999996</v>
      </c>
      <c r="AB5390">
        <v>24</v>
      </c>
      <c r="AC5390">
        <v>15.4499999999999</v>
      </c>
      <c r="AD5390">
        <v>-1.1086599784815301</v>
      </c>
      <c r="AE5390">
        <v>-0.43213999999999603</v>
      </c>
      <c r="AF5390">
        <v>-5.0358871473579896</v>
      </c>
      <c r="AG5390">
        <v>-1.1086599784815301</v>
      </c>
      <c r="AH5390">
        <v>14.528925446170099</v>
      </c>
      <c r="AI5390">
        <v>94.123829118868997</v>
      </c>
      <c r="AJ5390">
        <v>109.116885226004</v>
      </c>
      <c r="AK5390">
        <v>15.416840173303299</v>
      </c>
    </row>
    <row r="5391" spans="1:37" x14ac:dyDescent="0.2">
      <c r="A5391" t="str">
        <f>"20200111153759178"</f>
        <v>20200111153759178</v>
      </c>
      <c r="B5391" t="str">
        <f>"1578728279168367"</f>
        <v>1578728279168367</v>
      </c>
      <c r="C5391" t="s">
        <v>37</v>
      </c>
      <c r="D5391">
        <v>5.2246009999999998</v>
      </c>
      <c r="E5391">
        <v>0.477954299999999</v>
      </c>
      <c r="F5391" t="s">
        <v>39</v>
      </c>
      <c r="G5391">
        <v>-271.57920000000001</v>
      </c>
      <c r="H5391" s="1">
        <v>1.8330349999999998E-8</v>
      </c>
      <c r="I5391">
        <v>-61.057859999999998</v>
      </c>
      <c r="J5391">
        <v>-286.89839999999998</v>
      </c>
      <c r="K5391">
        <v>1.1086659999999999</v>
      </c>
      <c r="L5391">
        <v>-60.665439999999997</v>
      </c>
      <c r="M5391">
        <v>0.93648180000000003</v>
      </c>
      <c r="N5391">
        <v>0</v>
      </c>
      <c r="O5391">
        <v>-0.35052620000000001</v>
      </c>
      <c r="P5391">
        <v>0.99578580000000005</v>
      </c>
      <c r="Q5391">
        <v>4.4885710000000002E-2</v>
      </c>
      <c r="R5391">
        <v>-7.9975229999999994E-2</v>
      </c>
      <c r="S5391">
        <v>3.0160830000000001</v>
      </c>
      <c r="T5391">
        <v>-0.216502799999999</v>
      </c>
      <c r="U5391">
        <v>-8.5144040000000004E-2</v>
      </c>
      <c r="V5391">
        <v>-0.27471799999999902</v>
      </c>
      <c r="W5391">
        <v>5.3232599999999998E-2</v>
      </c>
      <c r="X5391">
        <v>0.96005019999999996</v>
      </c>
      <c r="Y5391">
        <v>-0.32228579999999901</v>
      </c>
      <c r="Z5391">
        <v>3.6233149999999999E-2</v>
      </c>
      <c r="AA5391">
        <v>0.94594869999999898</v>
      </c>
      <c r="AB5391">
        <v>24</v>
      </c>
      <c r="AC5391">
        <v>15.319199999999899</v>
      </c>
      <c r="AD5391">
        <v>-1.10866598166965</v>
      </c>
      <c r="AE5391">
        <v>-0.392419999999994</v>
      </c>
      <c r="AF5391">
        <v>-4.9765719965832398</v>
      </c>
      <c r="AG5391">
        <v>-1.10866598166965</v>
      </c>
      <c r="AH5391">
        <v>14.4092504786655</v>
      </c>
      <c r="AI5391">
        <v>94.159567041466801</v>
      </c>
      <c r="AJ5391">
        <v>109.053551394921</v>
      </c>
      <c r="AK5391">
        <v>15.284695235856301</v>
      </c>
    </row>
    <row r="5392" spans="1:37" x14ac:dyDescent="0.2">
      <c r="A5392" t="str">
        <f>"20200111153759190"</f>
        <v>20200111153759190</v>
      </c>
      <c r="B5392" t="str">
        <f>"1578728279179104"</f>
        <v>1578728279179104</v>
      </c>
      <c r="C5392" t="s">
        <v>37</v>
      </c>
      <c r="D5392">
        <v>5.1222279999999998</v>
      </c>
      <c r="E5392">
        <v>0.47808630000000002</v>
      </c>
      <c r="F5392" t="s">
        <v>39</v>
      </c>
      <c r="G5392">
        <v>-271.46789999999999</v>
      </c>
      <c r="H5392" s="1">
        <v>6.6616789999999999E-8</v>
      </c>
      <c r="I5392">
        <v>-61.055419999999998</v>
      </c>
      <c r="J5392">
        <v>-286.7731</v>
      </c>
      <c r="K5392">
        <v>1.1086739999999999</v>
      </c>
      <c r="L5392">
        <v>-60.708280000000002</v>
      </c>
      <c r="M5392">
        <v>0.9376873</v>
      </c>
      <c r="N5392">
        <v>0</v>
      </c>
      <c r="O5392">
        <v>-0.34728909999999902</v>
      </c>
      <c r="P5392">
        <v>0.99601700000000004</v>
      </c>
      <c r="Q5392">
        <v>4.4820789999999999E-2</v>
      </c>
      <c r="R5392">
        <v>-7.7081620000000003E-2</v>
      </c>
      <c r="S5392">
        <v>3.0162960000000001</v>
      </c>
      <c r="T5392">
        <v>-0.2167172</v>
      </c>
      <c r="U5392">
        <v>-7.6232910000000001E-2</v>
      </c>
      <c r="V5392">
        <v>-0.27419169999999998</v>
      </c>
      <c r="W5392">
        <v>5.315831E-2</v>
      </c>
      <c r="X5392">
        <v>0.96020469999999902</v>
      </c>
      <c r="Y5392">
        <v>-0.32181720000000003</v>
      </c>
      <c r="Z5392">
        <v>3.6034299999999998E-2</v>
      </c>
      <c r="AA5392">
        <v>0.94611590000000001</v>
      </c>
      <c r="AB5392">
        <v>24</v>
      </c>
      <c r="AC5392">
        <v>15.305199999999999</v>
      </c>
      <c r="AD5392">
        <v>-1.1086739333832101</v>
      </c>
      <c r="AE5392">
        <v>-0.34713999999999601</v>
      </c>
      <c r="AF5392">
        <v>-4.9641172967143099</v>
      </c>
      <c r="AG5392">
        <v>-1.1086739333832101</v>
      </c>
      <c r="AH5392">
        <v>14.397502616967801</v>
      </c>
      <c r="AI5392">
        <v>94.163725079159306</v>
      </c>
      <c r="AJ5392">
        <v>109.023689767203</v>
      </c>
      <c r="AK5392">
        <v>15.2695677748814</v>
      </c>
    </row>
    <row r="5393" spans="1:37" x14ac:dyDescent="0.2">
      <c r="A5393" t="str">
        <f>"20200111153759202"</f>
        <v>20200111153759202</v>
      </c>
      <c r="B5393" t="str">
        <f>"1578728279198622"</f>
        <v>1578728279198622</v>
      </c>
      <c r="C5393" t="s">
        <v>37</v>
      </c>
      <c r="D5393">
        <v>5.1594069999999999</v>
      </c>
      <c r="E5393">
        <v>0.47829670000000002</v>
      </c>
      <c r="F5393" t="s">
        <v>39</v>
      </c>
      <c r="G5393">
        <v>-271.445999999999</v>
      </c>
      <c r="H5393" s="1">
        <v>7.5851799999999999E-8</v>
      </c>
      <c r="I5393">
        <v>-61.056080000000001</v>
      </c>
      <c r="J5393">
        <v>-286.64890000000003</v>
      </c>
      <c r="K5393">
        <v>1.1086849999999999</v>
      </c>
      <c r="L5393">
        <v>-60.750459999999997</v>
      </c>
      <c r="M5393">
        <v>0.93887089999999995</v>
      </c>
      <c r="N5393">
        <v>0</v>
      </c>
      <c r="O5393">
        <v>-0.34407690000000002</v>
      </c>
      <c r="P5393">
        <v>0.99621759999999904</v>
      </c>
      <c r="Q5393">
        <v>4.4923610000000003E-2</v>
      </c>
      <c r="R5393">
        <v>-7.4380119999999994E-2</v>
      </c>
      <c r="S5393">
        <v>3.0165099999999998</v>
      </c>
      <c r="T5393">
        <v>-0.21819759999999999</v>
      </c>
      <c r="U5393">
        <v>-6.8450929999999993E-2</v>
      </c>
      <c r="V5393">
        <v>-0.27350849999999999</v>
      </c>
      <c r="W5393">
        <v>5.3253549999999997E-2</v>
      </c>
      <c r="X5393">
        <v>0.96039430000000003</v>
      </c>
      <c r="Y5393">
        <v>-0.32100509999999999</v>
      </c>
      <c r="Z5393">
        <v>3.6031800000000003E-2</v>
      </c>
      <c r="AA5393">
        <v>0.94639180000000001</v>
      </c>
      <c r="AB5393">
        <v>24</v>
      </c>
      <c r="AC5393">
        <v>15.2029</v>
      </c>
      <c r="AD5393">
        <v>-1.1086849241482</v>
      </c>
      <c r="AE5393">
        <v>-0.305620000000004</v>
      </c>
      <c r="AF5393">
        <v>-4.9182112133741898</v>
      </c>
      <c r="AG5393">
        <v>-1.1086849241482</v>
      </c>
      <c r="AH5393">
        <v>14.303631393282499</v>
      </c>
      <c r="AI5393">
        <v>94.192211990763198</v>
      </c>
      <c r="AJ5393">
        <v>108.975200605951</v>
      </c>
      <c r="AK5393">
        <v>15.166141725412301</v>
      </c>
    </row>
    <row r="5394" spans="1:37" x14ac:dyDescent="0.2">
      <c r="A5394" t="str">
        <f>"20200111153759215"</f>
        <v>20200111153759215</v>
      </c>
      <c r="B5394" t="str">
        <f>"1578728279208382"</f>
        <v>1578728279208382</v>
      </c>
      <c r="C5394" t="s">
        <v>37</v>
      </c>
      <c r="D5394">
        <v>5.1098520000000001</v>
      </c>
      <c r="E5394">
        <v>0.47839409999999999</v>
      </c>
      <c r="F5394" t="s">
        <v>39</v>
      </c>
      <c r="G5394">
        <v>-271.39109999999999</v>
      </c>
      <c r="H5394" s="1">
        <v>9.7633399999999901E-8</v>
      </c>
      <c r="I5394">
        <v>-61.064100000000003</v>
      </c>
      <c r="J5394">
        <v>-286.52409999999998</v>
      </c>
      <c r="K5394">
        <v>1.1086929999999999</v>
      </c>
      <c r="L5394">
        <v>-60.79224</v>
      </c>
      <c r="M5394">
        <v>0.94004799999999999</v>
      </c>
      <c r="N5394">
        <v>0</v>
      </c>
      <c r="O5394">
        <v>-0.34084779999999998</v>
      </c>
      <c r="P5394">
        <v>0.99641290000000005</v>
      </c>
      <c r="Q5394">
        <v>4.5171009999999998E-2</v>
      </c>
      <c r="R5394">
        <v>-7.1560200000000004E-2</v>
      </c>
      <c r="S5394">
        <v>3.0166629999999999</v>
      </c>
      <c r="T5394">
        <v>-0.21920110000000001</v>
      </c>
      <c r="U5394">
        <v>-6.2011719999999999E-2</v>
      </c>
      <c r="V5394">
        <v>-0.27292470000000002</v>
      </c>
      <c r="W5394">
        <v>5.3493060000000002E-2</v>
      </c>
      <c r="X5394">
        <v>0.96054699999999904</v>
      </c>
      <c r="Y5394">
        <v>-0.31976700000000002</v>
      </c>
      <c r="Z5394">
        <v>3.593097E-2</v>
      </c>
      <c r="AA5394">
        <v>0.94681469999999901</v>
      </c>
      <c r="AB5394">
        <v>24</v>
      </c>
      <c r="AC5394">
        <v>15.1329999999999</v>
      </c>
      <c r="AD5394">
        <v>-1.1086929023665999</v>
      </c>
      <c r="AE5394">
        <v>-0.27186000000000299</v>
      </c>
      <c r="AF5394">
        <v>-4.8766462369576997</v>
      </c>
      <c r="AG5394">
        <v>-1.1086929023665999</v>
      </c>
      <c r="AH5394">
        <v>14.242933849538099</v>
      </c>
      <c r="AI5394">
        <v>94.211915020931798</v>
      </c>
      <c r="AJ5394">
        <v>108.900720237475</v>
      </c>
      <c r="AK5394">
        <v>15.0954312000191</v>
      </c>
    </row>
    <row r="5395" spans="1:37" x14ac:dyDescent="0.2">
      <c r="A5395" t="str">
        <f>"20200111153759225"</f>
        <v>20200111153759225</v>
      </c>
      <c r="B5395" t="str">
        <f>"1578728279219118"</f>
        <v>1578728279219118</v>
      </c>
      <c r="C5395" t="s">
        <v>37</v>
      </c>
      <c r="D5395">
        <v>4.9954089999999898</v>
      </c>
      <c r="E5395">
        <v>0.47839409999999999</v>
      </c>
      <c r="F5395" t="s">
        <v>39</v>
      </c>
      <c r="G5395">
        <v>-271.28620000000001</v>
      </c>
      <c r="H5395" s="1">
        <v>1.422323E-7</v>
      </c>
      <c r="I5395">
        <v>-61.065829999999998</v>
      </c>
      <c r="J5395">
        <v>-286.41039999999998</v>
      </c>
      <c r="K5395">
        <v>1.1087</v>
      </c>
      <c r="L5395">
        <v>-60.829900000000002</v>
      </c>
      <c r="M5395">
        <v>0.94111160000000005</v>
      </c>
      <c r="N5395">
        <v>0</v>
      </c>
      <c r="O5395">
        <v>-0.33790049999999999</v>
      </c>
      <c r="P5395">
        <v>0.99658199999999997</v>
      </c>
      <c r="Q5395">
        <v>4.5246769999999999E-2</v>
      </c>
      <c r="R5395">
        <v>-6.9118659999999998E-2</v>
      </c>
      <c r="S5395">
        <v>3.0168759999999999</v>
      </c>
      <c r="T5395">
        <v>-0.21950449999999999</v>
      </c>
      <c r="U5395">
        <v>-5.41687E-2</v>
      </c>
      <c r="V5395">
        <v>-0.27226899999999998</v>
      </c>
      <c r="W5395">
        <v>5.3564000000000001E-2</v>
      </c>
      <c r="X5395">
        <v>0.960729099999999</v>
      </c>
      <c r="Y5395">
        <v>-0.31926520000000003</v>
      </c>
      <c r="Z5395">
        <v>3.5759829999999999E-2</v>
      </c>
      <c r="AA5395">
        <v>0.94699049999999996</v>
      </c>
      <c r="AB5395">
        <v>24</v>
      </c>
      <c r="AC5395">
        <v>15.124199999999901</v>
      </c>
      <c r="AD5395">
        <v>-1.1086998577677001</v>
      </c>
      <c r="AE5395">
        <v>-0.235930000000003</v>
      </c>
      <c r="AF5395">
        <v>-4.8626368800309097</v>
      </c>
      <c r="AG5395">
        <v>-1.1086998577677001</v>
      </c>
      <c r="AH5395">
        <v>14.237734770083099</v>
      </c>
      <c r="AI5395">
        <v>94.214578023017793</v>
      </c>
      <c r="AJ5395">
        <v>108.85665943555701</v>
      </c>
      <c r="AK5395">
        <v>15.086004911337</v>
      </c>
    </row>
    <row r="5396" spans="1:37" x14ac:dyDescent="0.2">
      <c r="A5396" t="str">
        <f>"20200111153759244"</f>
        <v>20200111153759244</v>
      </c>
      <c r="B5396" t="str">
        <f>"1578728279238957"</f>
        <v>1578728279238957</v>
      </c>
      <c r="C5396" t="s">
        <v>37</v>
      </c>
      <c r="D5396">
        <v>5.1423769999999998</v>
      </c>
      <c r="E5396">
        <v>0.4788385</v>
      </c>
      <c r="F5396" t="s">
        <v>39</v>
      </c>
      <c r="G5396">
        <v>-271.15269999999998</v>
      </c>
      <c r="H5396" s="1">
        <v>1.994848E-7</v>
      </c>
      <c r="I5396">
        <v>-61.066019999999902</v>
      </c>
      <c r="J5396">
        <v>-286.21699999999998</v>
      </c>
      <c r="K5396">
        <v>1.108716</v>
      </c>
      <c r="L5396">
        <v>-60.893099999999997</v>
      </c>
      <c r="M5396">
        <v>0.94289849999999997</v>
      </c>
      <c r="N5396">
        <v>0</v>
      </c>
      <c r="O5396">
        <v>-0.33288179999999901</v>
      </c>
      <c r="P5396">
        <v>0.99684150000000005</v>
      </c>
      <c r="Q5396">
        <v>4.5282099999999999E-2</v>
      </c>
      <c r="R5396">
        <v>-6.5241400000000005E-2</v>
      </c>
      <c r="S5396">
        <v>3.0169980000000001</v>
      </c>
      <c r="T5396">
        <v>-0.21922929999999899</v>
      </c>
      <c r="U5396">
        <v>-4.669189E-2</v>
      </c>
      <c r="V5396">
        <v>-0.27088759999999901</v>
      </c>
      <c r="W5396">
        <v>5.3597329999999999E-2</v>
      </c>
      <c r="X5396">
        <v>0.96111769999999996</v>
      </c>
      <c r="Y5396">
        <v>-0.31658809999999998</v>
      </c>
      <c r="Z5396">
        <v>3.527309E-2</v>
      </c>
      <c r="AA5396">
        <v>0.94790699999999894</v>
      </c>
      <c r="AB5396">
        <v>24</v>
      </c>
      <c r="AC5396">
        <v>15.064299999999999</v>
      </c>
      <c r="AD5396">
        <v>-1.10871580051519</v>
      </c>
      <c r="AE5396">
        <v>-0.17291999999999699</v>
      </c>
      <c r="AF5396">
        <v>-4.8257690653512704</v>
      </c>
      <c r="AG5396">
        <v>-1.10871580051519</v>
      </c>
      <c r="AH5396">
        <v>14.1857786955803</v>
      </c>
      <c r="AI5396">
        <v>94.231754173004106</v>
      </c>
      <c r="AJ5396">
        <v>108.787461429928</v>
      </c>
      <c r="AK5396">
        <v>15.025099500449</v>
      </c>
    </row>
    <row r="5397" spans="1:37" x14ac:dyDescent="0.2">
      <c r="A5397" t="str">
        <f>"20200111153759256"</f>
        <v>20200111153759256</v>
      </c>
      <c r="B5397" t="str">
        <f>"1578728279248719"</f>
        <v>1578728279248719</v>
      </c>
      <c r="C5397" t="s">
        <v>37</v>
      </c>
      <c r="D5397">
        <v>5.3898599999999997</v>
      </c>
      <c r="E5397">
        <v>0.47905779999999998</v>
      </c>
      <c r="F5397" t="s">
        <v>39</v>
      </c>
      <c r="G5397">
        <v>-270.8997</v>
      </c>
      <c r="H5397" s="1">
        <v>3.0341949999999999E-7</v>
      </c>
      <c r="I5397">
        <v>-61.086769999999902</v>
      </c>
      <c r="J5397">
        <v>-286.08960000000002</v>
      </c>
      <c r="K5397">
        <v>1.108724</v>
      </c>
      <c r="L5397">
        <v>-60.934169999999902</v>
      </c>
      <c r="M5397">
        <v>0.94406199999999996</v>
      </c>
      <c r="N5397">
        <v>0</v>
      </c>
      <c r="O5397">
        <v>-0.32956799999999897</v>
      </c>
      <c r="P5397">
        <v>0.99701149999999905</v>
      </c>
      <c r="Q5397">
        <v>4.5263280000000003E-2</v>
      </c>
      <c r="R5397">
        <v>-6.2604590000000002E-2</v>
      </c>
      <c r="S5397">
        <v>3.016937</v>
      </c>
      <c r="T5397">
        <v>-0.2183745</v>
      </c>
      <c r="U5397">
        <v>-3.8146970000000002E-2</v>
      </c>
      <c r="V5397">
        <v>-0.27005509999999999</v>
      </c>
      <c r="W5397">
        <v>5.357638E-2</v>
      </c>
      <c r="X5397">
        <v>0.96135309999999896</v>
      </c>
      <c r="Y5397">
        <v>-0.31596449999999998</v>
      </c>
      <c r="Z5397">
        <v>3.4889169999999997E-2</v>
      </c>
      <c r="AA5397">
        <v>0.94812929999999995</v>
      </c>
      <c r="AB5397">
        <v>25</v>
      </c>
      <c r="AC5397">
        <v>15.1899</v>
      </c>
      <c r="AD5397">
        <v>-1.1087236965805001</v>
      </c>
      <c r="AE5397">
        <v>-0.15259999999999899</v>
      </c>
      <c r="AF5397">
        <v>-4.8365965598026497</v>
      </c>
      <c r="AG5397">
        <v>-1.1087236965805001</v>
      </c>
      <c r="AH5397">
        <v>14.3151895832356</v>
      </c>
      <c r="AI5397">
        <v>94.196613058686694</v>
      </c>
      <c r="AJ5397">
        <v>108.66829326193501</v>
      </c>
      <c r="AK5397">
        <v>15.150794940254199</v>
      </c>
    </row>
    <row r="5398" spans="1:37" x14ac:dyDescent="0.2">
      <c r="A5398" t="str">
        <f>"20200111153759268"</f>
        <v>20200111153759268</v>
      </c>
      <c r="B5398" t="str">
        <f>"1578728279258477"</f>
        <v>1578728279258477</v>
      </c>
      <c r="C5398" t="s">
        <v>37</v>
      </c>
      <c r="D5398">
        <v>5.1669409999999996</v>
      </c>
      <c r="E5398">
        <v>0.47926560000000001</v>
      </c>
      <c r="F5398" t="s">
        <v>39</v>
      </c>
      <c r="G5398">
        <v>-270.77820000000003</v>
      </c>
      <c r="H5398" s="1">
        <v>3.5350499999999901E-7</v>
      </c>
      <c r="I5398">
        <v>-61.095869999999998</v>
      </c>
      <c r="J5398">
        <v>-285.97199999999998</v>
      </c>
      <c r="K5398">
        <v>1.108725</v>
      </c>
      <c r="L5398">
        <v>-60.971469999999997</v>
      </c>
      <c r="M5398">
        <v>0.94512439999999998</v>
      </c>
      <c r="N5398">
        <v>0</v>
      </c>
      <c r="O5398">
        <v>-0.32650940000000001</v>
      </c>
      <c r="P5398">
        <v>0.99716700000000003</v>
      </c>
      <c r="Q5398">
        <v>4.5172869999999997E-2</v>
      </c>
      <c r="R5398">
        <v>-6.0149399999999999E-2</v>
      </c>
      <c r="S5398">
        <v>3.016937</v>
      </c>
      <c r="T5398">
        <v>-0.218461499999999</v>
      </c>
      <c r="U5398">
        <v>-3.1860350000000003E-2</v>
      </c>
      <c r="V5398">
        <v>-0.26930949999999998</v>
      </c>
      <c r="W5398">
        <v>5.3484480000000001E-2</v>
      </c>
      <c r="X5398">
        <v>0.96156730000000001</v>
      </c>
      <c r="Y5398">
        <v>-0.31487799999999999</v>
      </c>
      <c r="Z5398">
        <v>3.4655020000000002E-2</v>
      </c>
      <c r="AA5398">
        <v>0.94849930000000005</v>
      </c>
      <c r="AB5398">
        <v>25</v>
      </c>
      <c r="AC5398">
        <v>15.1937999999999</v>
      </c>
      <c r="AD5398">
        <v>-1.108724646495</v>
      </c>
      <c r="AE5398">
        <v>-0.124400000000001</v>
      </c>
      <c r="AF5398">
        <v>-4.8180095949840798</v>
      </c>
      <c r="AG5398">
        <v>-1.108724646495</v>
      </c>
      <c r="AH5398">
        <v>14.325319341171101</v>
      </c>
      <c r="AI5398">
        <v>94.195603535183196</v>
      </c>
      <c r="AJ5398">
        <v>108.589246330585</v>
      </c>
      <c r="AK5398">
        <v>15.1544469059624</v>
      </c>
    </row>
    <row r="5399" spans="1:37" x14ac:dyDescent="0.2">
      <c r="A5399" t="str">
        <f>"20200111153759280"</f>
        <v>20200111153759280</v>
      </c>
      <c r="B5399" t="str">
        <f>"1578728279268254"</f>
        <v>1578728279268254</v>
      </c>
      <c r="C5399" t="s">
        <v>37</v>
      </c>
      <c r="D5399">
        <v>5.1388220000000002</v>
      </c>
      <c r="E5399">
        <v>0.4794448</v>
      </c>
      <c r="F5399" t="s">
        <v>39</v>
      </c>
      <c r="G5399">
        <v>-270.685</v>
      </c>
      <c r="H5399" s="1">
        <v>3.918257E-7</v>
      </c>
      <c r="I5399">
        <v>-61.103369999999998</v>
      </c>
      <c r="J5399">
        <v>-285.8449</v>
      </c>
      <c r="K5399">
        <v>1.1087320000000001</v>
      </c>
      <c r="L5399">
        <v>-61.011569999999899</v>
      </c>
      <c r="M5399">
        <v>0.94626089999999996</v>
      </c>
      <c r="N5399">
        <v>0</v>
      </c>
      <c r="O5399">
        <v>-0.32320090000000001</v>
      </c>
      <c r="P5399">
        <v>0.99733280000000002</v>
      </c>
      <c r="Q5399">
        <v>4.4900219999999998E-2</v>
      </c>
      <c r="R5399">
        <v>-5.7542620000000003E-2</v>
      </c>
      <c r="S5399">
        <v>3.0168459999999899</v>
      </c>
      <c r="T5399">
        <v>-0.21880289999999999</v>
      </c>
      <c r="U5399">
        <v>-2.6031490000000001E-2</v>
      </c>
      <c r="V5399">
        <v>-0.26846049999999999</v>
      </c>
      <c r="W5399">
        <v>5.3211170000000002E-2</v>
      </c>
      <c r="X5399">
        <v>0.96181989999999995</v>
      </c>
      <c r="Y5399">
        <v>-0.31339739999999999</v>
      </c>
      <c r="Z5399">
        <v>3.442957E-2</v>
      </c>
      <c r="AA5399">
        <v>0.94899769999999894</v>
      </c>
      <c r="AB5399">
        <v>25</v>
      </c>
      <c r="AC5399">
        <v>15.159899999999899</v>
      </c>
      <c r="AD5399">
        <v>-1.1087316081742999</v>
      </c>
      <c r="AE5399">
        <v>-9.1800000000006293E-2</v>
      </c>
      <c r="AF5399">
        <v>-4.7875361574707602</v>
      </c>
      <c r="AG5399">
        <v>-1.1087316081742999</v>
      </c>
      <c r="AH5399">
        <v>14.2993533615785</v>
      </c>
      <c r="AI5399">
        <v>94.205142211085402</v>
      </c>
      <c r="AJ5399">
        <v>108.51095183102601</v>
      </c>
      <c r="AK5399">
        <v>15.1202280008385</v>
      </c>
    </row>
    <row r="5400" spans="1:37" x14ac:dyDescent="0.2">
      <c r="A5400" t="str">
        <f>"20200111153759291"</f>
        <v>20200111153759291</v>
      </c>
      <c r="B5400" t="str">
        <f>"1578728279288735"</f>
        <v>1578728279288735</v>
      </c>
      <c r="C5400" t="s">
        <v>37</v>
      </c>
      <c r="D5400">
        <v>5.3347059999999997</v>
      </c>
      <c r="E5400">
        <v>0.47980839999999902</v>
      </c>
      <c r="F5400" t="s">
        <v>39</v>
      </c>
      <c r="G5400">
        <v>-270.6182</v>
      </c>
      <c r="H5400" s="1">
        <v>4.19133E-7</v>
      </c>
      <c r="I5400">
        <v>-61.109380000000002</v>
      </c>
      <c r="J5400">
        <v>-285.72489999999999</v>
      </c>
      <c r="K5400">
        <v>1.1087389999999999</v>
      </c>
      <c r="L5400">
        <v>-61.04871</v>
      </c>
      <c r="M5400">
        <v>0.94732229999999995</v>
      </c>
      <c r="N5400">
        <v>0</v>
      </c>
      <c r="O5400">
        <v>-0.32007659999999999</v>
      </c>
      <c r="P5400">
        <v>0.99749059999999901</v>
      </c>
      <c r="Q5400">
        <v>4.4580799999999997E-2</v>
      </c>
      <c r="R5400">
        <v>-5.4999550000000001E-2</v>
      </c>
      <c r="S5400">
        <v>3.0167540000000002</v>
      </c>
      <c r="T5400">
        <v>-0.21966439999999901</v>
      </c>
      <c r="U5400">
        <v>-1.9378659999999999E-2</v>
      </c>
      <c r="V5400">
        <v>-0.2677408</v>
      </c>
      <c r="W5400">
        <v>5.2890230000000003E-2</v>
      </c>
      <c r="X5400">
        <v>0.96203819999999995</v>
      </c>
      <c r="Y5400">
        <v>-0.31235489999999999</v>
      </c>
      <c r="Z5400">
        <v>3.4312860000000001E-2</v>
      </c>
      <c r="AA5400">
        <v>0.94934560000000001</v>
      </c>
      <c r="AB5400">
        <v>25</v>
      </c>
      <c r="AC5400">
        <v>15.106699999999901</v>
      </c>
      <c r="AD5400">
        <v>-1.1087385808669901</v>
      </c>
      <c r="AE5400">
        <v>-6.0670000000001702E-2</v>
      </c>
      <c r="AF5400">
        <v>-4.7525412510691503</v>
      </c>
      <c r="AG5400">
        <v>-1.1087385808669901</v>
      </c>
      <c r="AH5400">
        <v>14.254491865300499</v>
      </c>
      <c r="AI5400">
        <v>94.220125908486395</v>
      </c>
      <c r="AJ5400">
        <v>108.438725317052</v>
      </c>
      <c r="AK5400">
        <v>15.0667344810259</v>
      </c>
    </row>
    <row r="5401" spans="1:37" x14ac:dyDescent="0.2">
      <c r="A5401" t="str">
        <f>"20200111153759304"</f>
        <v>20200111153759304</v>
      </c>
      <c r="B5401" t="str">
        <f>"1578728279298494"</f>
        <v>1578728279298494</v>
      </c>
      <c r="C5401" t="s">
        <v>37</v>
      </c>
      <c r="D5401">
        <v>5.1176769999999996</v>
      </c>
      <c r="E5401">
        <v>0.4799755</v>
      </c>
      <c r="F5401" t="s">
        <v>39</v>
      </c>
      <c r="G5401">
        <v>-270.67399999999998</v>
      </c>
      <c r="H5401" s="1">
        <v>3.9254120000000001E-7</v>
      </c>
      <c r="I5401">
        <v>-61.12133</v>
      </c>
      <c r="J5401">
        <v>-285.59840000000003</v>
      </c>
      <c r="K5401">
        <v>1.1087419999999999</v>
      </c>
      <c r="L5401">
        <v>-61.087619999999902</v>
      </c>
      <c r="M5401">
        <v>0.94843049999999995</v>
      </c>
      <c r="N5401">
        <v>0</v>
      </c>
      <c r="O5401">
        <v>-0.31677830000000001</v>
      </c>
      <c r="P5401">
        <v>0.99762050000000002</v>
      </c>
      <c r="Q5401">
        <v>4.4567290000000002E-2</v>
      </c>
      <c r="R5401">
        <v>-5.2601849999999999E-2</v>
      </c>
      <c r="S5401">
        <v>3.016632</v>
      </c>
      <c r="T5401">
        <v>-0.22222229999999901</v>
      </c>
      <c r="U5401">
        <v>-1.4556879999999999E-2</v>
      </c>
      <c r="V5401">
        <v>-0.26670500000000003</v>
      </c>
      <c r="W5401">
        <v>5.288023E-2</v>
      </c>
      <c r="X5401">
        <v>0.96232640000000003</v>
      </c>
      <c r="Y5401">
        <v>-0.31054199999999998</v>
      </c>
      <c r="Z5401">
        <v>3.4415229999999998E-2</v>
      </c>
      <c r="AA5401">
        <v>0.94993639999999901</v>
      </c>
      <c r="AB5401">
        <v>25</v>
      </c>
      <c r="AC5401">
        <v>14.924399999999901</v>
      </c>
      <c r="AD5401">
        <v>-1.1087416074587999</v>
      </c>
      <c r="AE5401">
        <v>-3.3710000000013403E-2</v>
      </c>
      <c r="AF5401">
        <v>-4.6702867254864904</v>
      </c>
      <c r="AG5401">
        <v>-1.1087416074587999</v>
      </c>
      <c r="AH5401">
        <v>14.0886075544622</v>
      </c>
      <c r="AI5401">
        <v>94.272080552428505</v>
      </c>
      <c r="AJ5401">
        <v>108.340041242989</v>
      </c>
      <c r="AK5401">
        <v>14.8838754655504</v>
      </c>
    </row>
    <row r="5402" spans="1:37" x14ac:dyDescent="0.2">
      <c r="A5402" t="str">
        <f>"20200111153759316"</f>
        <v>20200111153759316</v>
      </c>
      <c r="B5402" t="str">
        <f>"1578728279308253"</f>
        <v>1578728279308253</v>
      </c>
      <c r="C5402" t="s">
        <v>37</v>
      </c>
      <c r="D5402">
        <v>5.2036629999999997</v>
      </c>
      <c r="E5402">
        <v>0.48015029999999997</v>
      </c>
      <c r="F5402" t="s">
        <v>39</v>
      </c>
      <c r="G5402">
        <v>-270.58359999999999</v>
      </c>
      <c r="H5402" s="1">
        <v>4.2931900000000001E-7</v>
      </c>
      <c r="I5402">
        <v>-61.130290000000002</v>
      </c>
      <c r="J5402">
        <v>-285.4717</v>
      </c>
      <c r="K5402">
        <v>1.108746</v>
      </c>
      <c r="L5402">
        <v>-61.126069999999999</v>
      </c>
      <c r="M5402">
        <v>0.94952649999999905</v>
      </c>
      <c r="N5402">
        <v>0</v>
      </c>
      <c r="O5402">
        <v>-0.31347829999999999</v>
      </c>
      <c r="P5402">
        <v>0.99775389999999997</v>
      </c>
      <c r="Q5402">
        <v>4.4451709999999998E-2</v>
      </c>
      <c r="R5402">
        <v>-5.0114239999999997E-2</v>
      </c>
      <c r="S5402">
        <v>3.0166629999999999</v>
      </c>
      <c r="T5402">
        <v>-0.2227606</v>
      </c>
      <c r="U5402">
        <v>-8.5754390000000007E-3</v>
      </c>
      <c r="V5402">
        <v>-0.26575879999999902</v>
      </c>
      <c r="W5402">
        <v>5.2767380000000003E-2</v>
      </c>
      <c r="X5402">
        <v>0.96259430000000001</v>
      </c>
      <c r="Y5402">
        <v>-0.30912539999999999</v>
      </c>
      <c r="Z5402">
        <v>3.4214330000000001E-2</v>
      </c>
      <c r="AA5402">
        <v>0.95040569999999902</v>
      </c>
      <c r="AB5402">
        <v>25</v>
      </c>
      <c r="AC5402">
        <v>14.8881</v>
      </c>
      <c r="AD5402">
        <v>-1.1087455706810001</v>
      </c>
      <c r="AE5402">
        <v>-4.2200000000036601E-3</v>
      </c>
      <c r="AF5402">
        <v>-4.6376733757076201</v>
      </c>
      <c r="AG5402">
        <v>-1.1087455706810001</v>
      </c>
      <c r="AH5402">
        <v>14.060910177266299</v>
      </c>
      <c r="AI5402">
        <v>94.282598572623399</v>
      </c>
      <c r="AJ5402">
        <v>108.253971154688</v>
      </c>
      <c r="AK5402">
        <v>14.847441735645999</v>
      </c>
    </row>
    <row r="5403" spans="1:37" x14ac:dyDescent="0.2">
      <c r="A5403" t="str">
        <f>"20200111153759327"</f>
        <v>20200111153759327</v>
      </c>
      <c r="B5403" t="str">
        <f>"1578728279318990"</f>
        <v>1578728279318990</v>
      </c>
      <c r="C5403" t="s">
        <v>37</v>
      </c>
      <c r="D5403">
        <v>5.2531059999999998</v>
      </c>
      <c r="E5403">
        <v>0.48032380000000002</v>
      </c>
      <c r="F5403" t="s">
        <v>39</v>
      </c>
      <c r="G5403">
        <v>-270.50349999999997</v>
      </c>
      <c r="H5403" s="1">
        <v>4.6208189999999998E-7</v>
      </c>
      <c r="I5403">
        <v>-61.13758</v>
      </c>
      <c r="J5403">
        <v>-285.35770000000002</v>
      </c>
      <c r="K5403">
        <v>1.108749</v>
      </c>
      <c r="L5403">
        <v>-61.160130000000002</v>
      </c>
      <c r="M5403">
        <v>0.95050199999999996</v>
      </c>
      <c r="N5403">
        <v>0</v>
      </c>
      <c r="O5403">
        <v>-0.3105077</v>
      </c>
      <c r="P5403">
        <v>0.99786939999999902</v>
      </c>
      <c r="Q5403">
        <v>4.4298999999999998E-2</v>
      </c>
      <c r="R5403">
        <v>-4.789616E-2</v>
      </c>
      <c r="S5403">
        <v>3.0166019999999998</v>
      </c>
      <c r="T5403">
        <v>-0.22344890000000001</v>
      </c>
      <c r="U5403">
        <v>-2.319336E-3</v>
      </c>
      <c r="V5403">
        <v>-0.26488919999999999</v>
      </c>
      <c r="W5403">
        <v>5.2617860000000002E-2</v>
      </c>
      <c r="X5403">
        <v>0.96284219999999898</v>
      </c>
      <c r="Y5403">
        <v>-0.3081238</v>
      </c>
      <c r="Z5403">
        <v>3.4074350000000003E-2</v>
      </c>
      <c r="AA5403">
        <v>0.95073589999999997</v>
      </c>
      <c r="AB5403">
        <v>25</v>
      </c>
      <c r="AC5403">
        <v>14.854200000000001</v>
      </c>
      <c r="AD5403">
        <v>-1.1087485379180999</v>
      </c>
      <c r="AE5403">
        <v>2.25499999999954E-2</v>
      </c>
      <c r="AF5403">
        <v>-4.6084052438412799</v>
      </c>
      <c r="AG5403">
        <v>-1.1087485379180999</v>
      </c>
      <c r="AH5403">
        <v>14.034675496482899</v>
      </c>
      <c r="AI5403">
        <v>94.292450299084507</v>
      </c>
      <c r="AJ5403">
        <v>108.17803477173899</v>
      </c>
      <c r="AK5403">
        <v>14.8134681456902</v>
      </c>
    </row>
    <row r="5404" spans="1:37" x14ac:dyDescent="0.2">
      <c r="A5404" t="str">
        <f>"20200111153759338"</f>
        <v>20200111153759338</v>
      </c>
      <c r="B5404" t="str">
        <f>"1578728279328294"</f>
        <v>1578728279328294</v>
      </c>
      <c r="C5404" t="s">
        <v>37</v>
      </c>
      <c r="D5404">
        <v>5.179881</v>
      </c>
      <c r="E5404">
        <v>0.4805316</v>
      </c>
      <c r="F5404" t="s">
        <v>39</v>
      </c>
      <c r="G5404">
        <v>-270.43549999999999</v>
      </c>
      <c r="H5404" s="1">
        <v>4.8958659999999897E-7</v>
      </c>
      <c r="I5404">
        <v>-61.145029999999998</v>
      </c>
      <c r="J5404">
        <v>-285.23930000000001</v>
      </c>
      <c r="K5404">
        <v>1.1087549999999999</v>
      </c>
      <c r="L5404">
        <v>-61.195340000000002</v>
      </c>
      <c r="M5404">
        <v>0.95150489999999999</v>
      </c>
      <c r="N5404">
        <v>0</v>
      </c>
      <c r="O5404">
        <v>-0.3074211</v>
      </c>
      <c r="P5404">
        <v>0.99798240000000005</v>
      </c>
      <c r="Q5404">
        <v>4.3934920000000002E-2</v>
      </c>
      <c r="R5404">
        <v>-4.5838219999999999E-2</v>
      </c>
      <c r="S5404">
        <v>3.0165410000000001</v>
      </c>
      <c r="T5404">
        <v>-0.22413469999999999</v>
      </c>
      <c r="U5404">
        <v>3.0517579999999999E-3</v>
      </c>
      <c r="V5404">
        <v>-0.26375080000000001</v>
      </c>
      <c r="W5404">
        <v>5.2260250000000001E-2</v>
      </c>
      <c r="X5404">
        <v>0.96317410000000003</v>
      </c>
      <c r="Y5404">
        <v>-0.30673159999999999</v>
      </c>
      <c r="Z5404">
        <v>3.3909139999999997E-2</v>
      </c>
      <c r="AA5404">
        <v>0.95119179999999903</v>
      </c>
      <c r="AB5404">
        <v>25</v>
      </c>
      <c r="AC5404">
        <v>14.803800000000001</v>
      </c>
      <c r="AD5404">
        <v>-1.1087545104134</v>
      </c>
      <c r="AE5404">
        <v>5.0309999999995997E-2</v>
      </c>
      <c r="AF5404">
        <v>-4.5735163828817997</v>
      </c>
      <c r="AG5404">
        <v>-1.1087545104134</v>
      </c>
      <c r="AH5404">
        <v>13.9928493994134</v>
      </c>
      <c r="AI5404">
        <v>94.307174649167095</v>
      </c>
      <c r="AJ5404">
        <v>108.09980843042</v>
      </c>
      <c r="AK5404">
        <v>14.763001828338099</v>
      </c>
    </row>
    <row r="5405" spans="1:37" x14ac:dyDescent="0.2">
      <c r="A5405" t="str">
        <f>"20200111153759349"</f>
        <v>20200111153759349</v>
      </c>
      <c r="B5405" t="str">
        <f>"1578728279339019"</f>
        <v>1578728279339019</v>
      </c>
      <c r="C5405" t="s">
        <v>37</v>
      </c>
      <c r="D5405">
        <v>5.3067440000000001</v>
      </c>
      <c r="E5405">
        <v>0.48071000000000003</v>
      </c>
      <c r="F5405" t="s">
        <v>39</v>
      </c>
      <c r="G5405">
        <v>-270.36290000000002</v>
      </c>
      <c r="H5405" s="1">
        <v>5.1801249999999998E-7</v>
      </c>
      <c r="I5405">
        <v>-61.157260000000001</v>
      </c>
      <c r="J5405">
        <v>-285.12560000000002</v>
      </c>
      <c r="K5405">
        <v>1.1087579999999999</v>
      </c>
      <c r="L5405">
        <v>-61.228490000000001</v>
      </c>
      <c r="M5405">
        <v>0.95245740000000001</v>
      </c>
      <c r="N5405">
        <v>0</v>
      </c>
      <c r="O5405">
        <v>-0.30445719999999998</v>
      </c>
      <c r="P5405">
        <v>0.99809110000000001</v>
      </c>
      <c r="Q5405">
        <v>4.3597169999999998E-2</v>
      </c>
      <c r="R5405">
        <v>-4.3744930000000001E-2</v>
      </c>
      <c r="S5405">
        <v>3.016327</v>
      </c>
      <c r="T5405">
        <v>-0.22480929999999999</v>
      </c>
      <c r="U5405">
        <v>7.7209469999999997E-3</v>
      </c>
      <c r="V5405">
        <v>-0.26277319999999998</v>
      </c>
      <c r="W5405">
        <v>5.1929299999999998E-2</v>
      </c>
      <c r="X5405">
        <v>0.96345919999999896</v>
      </c>
      <c r="Y5405">
        <v>-0.3052434</v>
      </c>
      <c r="Z5405">
        <v>3.3747010000000001E-2</v>
      </c>
      <c r="AA5405">
        <v>0.95167619999999897</v>
      </c>
      <c r="AB5405">
        <v>25</v>
      </c>
      <c r="AC5405">
        <v>14.762699999999899</v>
      </c>
      <c r="AD5405">
        <v>-1.1087574819874999</v>
      </c>
      <c r="AE5405">
        <v>7.1229999999999905E-2</v>
      </c>
      <c r="AF5405">
        <v>-4.53715940358037</v>
      </c>
      <c r="AG5405">
        <v>-1.1087574819874999</v>
      </c>
      <c r="AH5405">
        <v>13.9613226763233</v>
      </c>
      <c r="AI5405">
        <v>94.319240665874204</v>
      </c>
      <c r="AJ5405">
        <v>108.00315767522601</v>
      </c>
      <c r="AK5405">
        <v>14.721877919605999</v>
      </c>
    </row>
    <row r="5406" spans="1:37" x14ac:dyDescent="0.2">
      <c r="A5406" t="str">
        <f>"20200111153759362"</f>
        <v>20200111153759362</v>
      </c>
      <c r="B5406" t="str">
        <f>"1578728279358538"</f>
        <v>1578728279358538</v>
      </c>
      <c r="C5406" t="s">
        <v>37</v>
      </c>
      <c r="D5406">
        <v>5.3672309999999896</v>
      </c>
      <c r="E5406">
        <v>0.4811317</v>
      </c>
      <c r="F5406" t="s">
        <v>39</v>
      </c>
      <c r="G5406">
        <v>-270.30189999999999</v>
      </c>
      <c r="H5406" s="1">
        <v>5.4219619999999995E-7</v>
      </c>
      <c r="I5406">
        <v>-61.166240000000002</v>
      </c>
      <c r="J5406">
        <v>-284.99400000000003</v>
      </c>
      <c r="K5406">
        <v>1.108762</v>
      </c>
      <c r="L5406">
        <v>-61.266569999999902</v>
      </c>
      <c r="M5406">
        <v>0.95354649999999996</v>
      </c>
      <c r="N5406">
        <v>0</v>
      </c>
      <c r="O5406">
        <v>-0.30102909999999999</v>
      </c>
      <c r="P5406">
        <v>0.99820140000000002</v>
      </c>
      <c r="Q5406">
        <v>4.3382579999999997E-2</v>
      </c>
      <c r="R5406">
        <v>-4.1377820000000003E-2</v>
      </c>
      <c r="S5406">
        <v>3.0161439999999899</v>
      </c>
      <c r="T5406">
        <v>-0.2255962</v>
      </c>
      <c r="U5406">
        <v>1.266479E-2</v>
      </c>
      <c r="V5406">
        <v>-0.26159339999999998</v>
      </c>
      <c r="W5406">
        <v>5.1722629999999999E-2</v>
      </c>
      <c r="X5406">
        <v>0.96379130000000002</v>
      </c>
      <c r="Y5406">
        <v>-0.30338140000000002</v>
      </c>
      <c r="Z5406">
        <v>3.3552039999999998E-2</v>
      </c>
      <c r="AA5406">
        <v>0.95227830000000002</v>
      </c>
      <c r="AB5406">
        <v>25</v>
      </c>
      <c r="AC5406">
        <v>14.6921</v>
      </c>
      <c r="AD5406">
        <v>-1.1087614578038001</v>
      </c>
      <c r="AE5406">
        <v>0.100329999999992</v>
      </c>
      <c r="AF5406">
        <v>-4.4931259079965402</v>
      </c>
      <c r="AG5406">
        <v>-1.1087614578038001</v>
      </c>
      <c r="AH5406">
        <v>13.9011448813139</v>
      </c>
      <c r="AI5406">
        <v>94.340115061108406</v>
      </c>
      <c r="AJ5406">
        <v>107.911862117605</v>
      </c>
      <c r="AK5406">
        <v>14.651258014474401</v>
      </c>
    </row>
    <row r="5407" spans="1:37" x14ac:dyDescent="0.2">
      <c r="A5407" t="str">
        <f>"20200111153759374"</f>
        <v>20200111153759374</v>
      </c>
      <c r="B5407" t="str">
        <f>"1578728279368298"</f>
        <v>1578728279368298</v>
      </c>
      <c r="C5407" t="s">
        <v>37</v>
      </c>
      <c r="D5407">
        <v>5.2049779999999997</v>
      </c>
      <c r="E5407">
        <v>0.48132959999999902</v>
      </c>
      <c r="F5407" t="s">
        <v>39</v>
      </c>
      <c r="G5407">
        <v>-270.21190000000001</v>
      </c>
      <c r="H5407" s="1">
        <v>5.7647330000000003E-7</v>
      </c>
      <c r="I5407">
        <v>-61.185650000000003</v>
      </c>
      <c r="J5407">
        <v>-284.87</v>
      </c>
      <c r="K5407">
        <v>1.1087689999999999</v>
      </c>
      <c r="L5407">
        <v>-61.301909999999999</v>
      </c>
      <c r="M5407">
        <v>0.954561199999999</v>
      </c>
      <c r="N5407">
        <v>0</v>
      </c>
      <c r="O5407">
        <v>-0.29779629999999901</v>
      </c>
      <c r="P5407">
        <v>0.99827469999999996</v>
      </c>
      <c r="Q5407">
        <v>4.3635670000000001E-2</v>
      </c>
      <c r="R5407">
        <v>-3.9289909999999997E-2</v>
      </c>
      <c r="S5407">
        <v>3.01593</v>
      </c>
      <c r="T5407">
        <v>-0.22621540000000001</v>
      </c>
      <c r="U5407">
        <v>1.6510009999999999E-2</v>
      </c>
      <c r="V5407">
        <v>-0.26034189999999902</v>
      </c>
      <c r="W5407">
        <v>5.1985490000000002E-2</v>
      </c>
      <c r="X5407">
        <v>0.96411599999999997</v>
      </c>
      <c r="Y5407">
        <v>-0.30137269999999999</v>
      </c>
      <c r="Z5407">
        <v>3.3338550000000002E-2</v>
      </c>
      <c r="AA5407">
        <v>0.95292339999999998</v>
      </c>
      <c r="AB5407">
        <v>25</v>
      </c>
      <c r="AC5407">
        <v>14.6580999999999</v>
      </c>
      <c r="AD5407">
        <v>-1.1087684235266999</v>
      </c>
      <c r="AE5407">
        <v>0.11625999999999601</v>
      </c>
      <c r="AF5407">
        <v>-4.4509314640784003</v>
      </c>
      <c r="AG5407">
        <v>-1.1087684235266999</v>
      </c>
      <c r="AH5407">
        <v>13.8789346633357</v>
      </c>
      <c r="AI5407">
        <v>94.350249359815805</v>
      </c>
      <c r="AJ5407">
        <v>107.78088528125301</v>
      </c>
      <c r="AK5407">
        <v>14.617283800490201</v>
      </c>
    </row>
    <row r="5408" spans="1:37" x14ac:dyDescent="0.2">
      <c r="A5408" t="str">
        <f>"20200111153759389"</f>
        <v>20200111153759389</v>
      </c>
      <c r="B5408" t="str">
        <f>"1578728279379036"</f>
        <v>1578728279379036</v>
      </c>
      <c r="C5408" t="s">
        <v>37</v>
      </c>
      <c r="D5408">
        <v>5.2745220000000002</v>
      </c>
      <c r="E5408">
        <v>0.48150690000000002</v>
      </c>
      <c r="F5408" t="s">
        <v>39</v>
      </c>
      <c r="G5408">
        <v>-269.99619999999999</v>
      </c>
      <c r="H5408" s="1">
        <v>6.6639969999999996E-7</v>
      </c>
      <c r="I5408">
        <v>-61.197309999999902</v>
      </c>
      <c r="J5408">
        <v>-284.71319999999997</v>
      </c>
      <c r="K5408">
        <v>1.108773</v>
      </c>
      <c r="L5408">
        <v>-61.345979999999997</v>
      </c>
      <c r="M5408">
        <v>0.95582679999999998</v>
      </c>
      <c r="N5408">
        <v>0</v>
      </c>
      <c r="O5408">
        <v>-0.29370859999999999</v>
      </c>
      <c r="P5408">
        <v>0.99832739999999998</v>
      </c>
      <c r="Q5408">
        <v>4.3583379999999998E-2</v>
      </c>
      <c r="R5408">
        <v>-3.7987020000000003E-2</v>
      </c>
      <c r="S5408">
        <v>3.0158689999999999</v>
      </c>
      <c r="T5408">
        <v>-0.2248185</v>
      </c>
      <c r="U5408">
        <v>2.1209720000000001E-2</v>
      </c>
      <c r="V5408">
        <v>-0.2574727</v>
      </c>
      <c r="W5408">
        <v>5.1963589999999997E-2</v>
      </c>
      <c r="X5408">
        <v>0.9648873</v>
      </c>
      <c r="Y5408">
        <v>-0.29881639999999998</v>
      </c>
      <c r="Z5408">
        <v>3.2746209999999998E-2</v>
      </c>
      <c r="AA5408">
        <v>0.95374859999999995</v>
      </c>
      <c r="AB5408">
        <v>25</v>
      </c>
      <c r="AC5408">
        <v>14.716999999999899</v>
      </c>
      <c r="AD5408">
        <v>-1.1087723336002999</v>
      </c>
      <c r="AE5408">
        <v>0.14867000000000899</v>
      </c>
      <c r="AF5408">
        <v>-4.4397059084505397</v>
      </c>
      <c r="AG5408">
        <v>-1.1087723336002999</v>
      </c>
      <c r="AH5408">
        <v>13.9450071933038</v>
      </c>
      <c r="AI5408">
        <v>94.332639160799104</v>
      </c>
      <c r="AJ5408">
        <v>107.66004121451</v>
      </c>
      <c r="AK5408">
        <v>14.6766341598672</v>
      </c>
    </row>
    <row r="5409" spans="1:37" x14ac:dyDescent="0.2">
      <c r="A5409" t="str">
        <f>"20200111153759412"</f>
        <v>20200111153759412</v>
      </c>
      <c r="B5409" t="str">
        <f>"1578728279408314"</f>
        <v>1578728279408314</v>
      </c>
      <c r="C5409" t="s">
        <v>37</v>
      </c>
      <c r="D5409">
        <v>5.2019589999999898</v>
      </c>
      <c r="E5409">
        <v>0.49290929999999999</v>
      </c>
      <c r="F5409" t="s">
        <v>39</v>
      </c>
      <c r="G5409">
        <v>-269.83080000000001</v>
      </c>
      <c r="H5409" s="1">
        <v>-3.3836699999999902E-6</v>
      </c>
      <c r="I5409">
        <v>-61.227989999999998</v>
      </c>
      <c r="J5409">
        <v>-284.47179999999997</v>
      </c>
      <c r="K5409">
        <v>1.108778</v>
      </c>
      <c r="L5409">
        <v>-61.41245</v>
      </c>
      <c r="M5409">
        <v>0.95773719999999996</v>
      </c>
      <c r="N5409">
        <v>0</v>
      </c>
      <c r="O5409">
        <v>-0.28741800000000001</v>
      </c>
      <c r="P5409">
        <v>0.99844840000000001</v>
      </c>
      <c r="Q5409">
        <v>4.3223789999999998E-2</v>
      </c>
      <c r="R5409">
        <v>-3.5110160000000001E-2</v>
      </c>
      <c r="S5409">
        <v>3.0157470000000002</v>
      </c>
      <c r="T5409">
        <v>-0.22468099999999999</v>
      </c>
      <c r="U5409">
        <v>2.3895260000000001E-2</v>
      </c>
      <c r="V5409">
        <v>-0.25390669999999999</v>
      </c>
      <c r="W5409">
        <v>5.1640720000000001E-2</v>
      </c>
      <c r="X5409">
        <v>0.96584919999999996</v>
      </c>
      <c r="Y5409">
        <v>-0.29342309999999999</v>
      </c>
      <c r="Z5409">
        <v>3.2075199999999998E-2</v>
      </c>
      <c r="AA5409">
        <v>0.95544449999999903</v>
      </c>
      <c r="AB5409">
        <v>25</v>
      </c>
      <c r="AC5409">
        <v>14.640999999999901</v>
      </c>
      <c r="AD5409">
        <v>-1.10878138367</v>
      </c>
      <c r="AE5409">
        <v>0.18445999999999399</v>
      </c>
      <c r="AF5409">
        <v>-4.3600351351251199</v>
      </c>
      <c r="AG5409">
        <v>-1.10878138367</v>
      </c>
      <c r="AH5409">
        <v>13.890471427463201</v>
      </c>
      <c r="AI5409">
        <v>94.355209471240499</v>
      </c>
      <c r="AJ5409">
        <v>107.42638277121399</v>
      </c>
      <c r="AK5409">
        <v>14.600838983204699</v>
      </c>
    </row>
    <row r="5410" spans="1:37" x14ac:dyDescent="0.2">
      <c r="A5410" t="str">
        <f>"20200111153759424"</f>
        <v>20200111153759424</v>
      </c>
      <c r="B5410" t="str">
        <f>"1578728279419052"</f>
        <v>1578728279419052</v>
      </c>
      <c r="C5410" t="s">
        <v>37</v>
      </c>
      <c r="D5410">
        <v>5.1926459999999999</v>
      </c>
      <c r="E5410">
        <v>0.49334739999999999</v>
      </c>
      <c r="F5410" t="s">
        <v>58</v>
      </c>
      <c r="G5410">
        <v>-269.04820000000001</v>
      </c>
      <c r="H5410" s="1">
        <v>-3.2027829999999998E-6</v>
      </c>
      <c r="I5410">
        <v>-61.709600000000002</v>
      </c>
      <c r="J5410">
        <v>-284.34300000000002</v>
      </c>
      <c r="K5410">
        <v>1.108781</v>
      </c>
      <c r="L5410">
        <v>-61.447200000000002</v>
      </c>
      <c r="M5410">
        <v>0.95873839999999999</v>
      </c>
      <c r="N5410">
        <v>0</v>
      </c>
      <c r="O5410">
        <v>-0.284060799999999</v>
      </c>
      <c r="P5410">
        <v>0.99852730000000001</v>
      </c>
      <c r="Q5410">
        <v>4.2765699999999997E-2</v>
      </c>
      <c r="R5410">
        <v>-3.3379760000000001E-2</v>
      </c>
      <c r="S5410">
        <v>3.012054</v>
      </c>
      <c r="T5410">
        <v>-0.21653220000000001</v>
      </c>
      <c r="U5410">
        <v>-5.8044430000000001E-2</v>
      </c>
      <c r="V5410">
        <v>-0.252197</v>
      </c>
      <c r="W5410">
        <v>5.1200710000000003E-2</v>
      </c>
      <c r="X5410">
        <v>0.96632050000000003</v>
      </c>
      <c r="Y5410">
        <v>-0.26415620000000001</v>
      </c>
      <c r="Z5410">
        <v>2.964698E-2</v>
      </c>
      <c r="AA5410">
        <v>0.96402410000000005</v>
      </c>
      <c r="AB5410">
        <v>25</v>
      </c>
      <c r="AC5410">
        <v>15.2948</v>
      </c>
      <c r="AD5410">
        <v>-1.1087842027829999</v>
      </c>
      <c r="AE5410">
        <v>-0.26239999999999902</v>
      </c>
      <c r="AF5410">
        <v>-4.07195305636772</v>
      </c>
      <c r="AG5410">
        <v>-1.1087842027829999</v>
      </c>
      <c r="AH5410">
        <v>14.662175717332699</v>
      </c>
      <c r="AI5410">
        <v>94.1674546336574</v>
      </c>
      <c r="AJ5410">
        <v>105.52094194612501</v>
      </c>
      <c r="AK5410">
        <v>15.2574441132041</v>
      </c>
    </row>
    <row r="5411" spans="1:37" x14ac:dyDescent="0.2">
      <c r="A5411" t="str">
        <f>"20200111153759437"</f>
        <v>20200111153759437</v>
      </c>
      <c r="B5411" t="str">
        <f>"1578728279428811"</f>
        <v>1578728279428811</v>
      </c>
      <c r="C5411" t="s">
        <v>37</v>
      </c>
      <c r="D5411">
        <v>5.2433769999999997</v>
      </c>
      <c r="E5411">
        <v>0.49365769999999998</v>
      </c>
      <c r="F5411" t="s">
        <v>58</v>
      </c>
      <c r="G5411">
        <v>-269.43900000000002</v>
      </c>
      <c r="H5411" s="1">
        <v>-3.3388059999999999E-6</v>
      </c>
      <c r="I5411">
        <v>-61.726640000000003</v>
      </c>
      <c r="J5411">
        <v>-284.2079</v>
      </c>
      <c r="K5411">
        <v>1.1087849999999999</v>
      </c>
      <c r="L5411">
        <v>-61.483219999999903</v>
      </c>
      <c r="M5411">
        <v>0.95977449999999997</v>
      </c>
      <c r="N5411">
        <v>0</v>
      </c>
      <c r="O5411">
        <v>-0.28054029999999902</v>
      </c>
      <c r="P5411">
        <v>0.99858969999999903</v>
      </c>
      <c r="Q5411">
        <v>4.253113E-2</v>
      </c>
      <c r="R5411">
        <v>-3.1781160000000003E-2</v>
      </c>
      <c r="S5411">
        <v>3.0121150000000001</v>
      </c>
      <c r="T5411">
        <v>-0.22408690000000001</v>
      </c>
      <c r="U5411">
        <v>-5.6488040000000003E-2</v>
      </c>
      <c r="V5411">
        <v>-0.25019710000000001</v>
      </c>
      <c r="W5411">
        <v>5.0987360000000002E-2</v>
      </c>
      <c r="X5411">
        <v>0.96685149999999997</v>
      </c>
      <c r="Y5411">
        <v>-0.26103369999999998</v>
      </c>
      <c r="Z5411">
        <v>3.030965E-2</v>
      </c>
      <c r="AA5411">
        <v>0.96485379999999998</v>
      </c>
      <c r="AB5411">
        <v>25</v>
      </c>
      <c r="AC5411">
        <v>14.768899999999901</v>
      </c>
      <c r="AD5411">
        <v>-1.108788338806</v>
      </c>
      <c r="AE5411">
        <v>-0.24342000000000699</v>
      </c>
      <c r="AF5411">
        <v>-3.8879893049679901</v>
      </c>
      <c r="AG5411">
        <v>-1.108788338806</v>
      </c>
      <c r="AH5411">
        <v>14.1642156204081</v>
      </c>
      <c r="AI5411">
        <v>94.316995064958505</v>
      </c>
      <c r="AJ5411">
        <v>105.349283544256</v>
      </c>
      <c r="AK5411">
        <v>14.7299313154281</v>
      </c>
    </row>
    <row r="5412" spans="1:37" x14ac:dyDescent="0.2">
      <c r="A5412" t="str">
        <f>"20200111153759450"</f>
        <v>20200111153759450</v>
      </c>
      <c r="B5412" t="str">
        <f>"1578728279438570"</f>
        <v>1578728279438570</v>
      </c>
      <c r="C5412" t="s">
        <v>37</v>
      </c>
      <c r="D5412">
        <v>5.4914100000000001</v>
      </c>
      <c r="E5412">
        <v>0.49415789999999998</v>
      </c>
      <c r="F5412" t="s">
        <v>39</v>
      </c>
      <c r="G5412">
        <v>-269.61950000000002</v>
      </c>
      <c r="H5412" s="1">
        <v>-3.4036879999999998E-6</v>
      </c>
      <c r="I5412">
        <v>-61.746229999999997</v>
      </c>
      <c r="J5412">
        <v>-284.07150000000001</v>
      </c>
      <c r="K5412">
        <v>1.1087879999999899</v>
      </c>
      <c r="L5412">
        <v>-61.518889999999999</v>
      </c>
      <c r="M5412">
        <v>0.96080689999999902</v>
      </c>
      <c r="N5412">
        <v>0</v>
      </c>
      <c r="O5412">
        <v>-0.27698429999999902</v>
      </c>
      <c r="P5412">
        <v>0.99864449999999905</v>
      </c>
      <c r="Q5412">
        <v>4.2567319999999999E-2</v>
      </c>
      <c r="R5412">
        <v>-2.9953279999999999E-2</v>
      </c>
      <c r="S5412">
        <v>3.0122680000000002</v>
      </c>
      <c r="T5412">
        <v>-0.2289456</v>
      </c>
      <c r="U5412">
        <v>-5.4321290000000001E-2</v>
      </c>
      <c r="V5412">
        <v>-0.24838499999999999</v>
      </c>
      <c r="W5412">
        <v>5.1043560000000002E-2</v>
      </c>
      <c r="X5412">
        <v>0.96731559999999905</v>
      </c>
      <c r="Y5412">
        <v>-0.25810749999999999</v>
      </c>
      <c r="Z5412">
        <v>3.059197E-2</v>
      </c>
      <c r="AA5412">
        <v>0.96563169999999898</v>
      </c>
      <c r="AB5412">
        <v>25</v>
      </c>
      <c r="AC5412">
        <v>14.4519999999999</v>
      </c>
      <c r="AD5412">
        <v>-1.10879140368799</v>
      </c>
      <c r="AE5412">
        <v>-0.22734000000000501</v>
      </c>
      <c r="AF5412">
        <v>-3.7626502208872101</v>
      </c>
      <c r="AG5412">
        <v>-1.10879140368799</v>
      </c>
      <c r="AH5412">
        <v>13.867845897954901</v>
      </c>
      <c r="AI5412">
        <v>94.412445084883302</v>
      </c>
      <c r="AJ5412">
        <v>105.180144371398</v>
      </c>
      <c r="AK5412">
        <v>14.411943134465201</v>
      </c>
    </row>
    <row r="5413" spans="1:37" x14ac:dyDescent="0.2">
      <c r="A5413" t="str">
        <f>"20200111153759462"</f>
        <v>20200111153759462</v>
      </c>
      <c r="B5413" t="str">
        <f>"1578728279459067"</f>
        <v>1578728279459067</v>
      </c>
      <c r="C5413" t="s">
        <v>37</v>
      </c>
      <c r="D5413">
        <v>5.2876789999999998</v>
      </c>
      <c r="E5413">
        <v>0.49539830000000001</v>
      </c>
      <c r="F5413" t="s">
        <v>58</v>
      </c>
      <c r="G5413">
        <v>-269.19009999999997</v>
      </c>
      <c r="H5413" s="1">
        <v>-3.2634299999999999E-6</v>
      </c>
      <c r="I5413">
        <v>-61.779209999999999</v>
      </c>
      <c r="J5413">
        <v>-283.93509999999998</v>
      </c>
      <c r="K5413">
        <v>1.1087910000000001</v>
      </c>
      <c r="L5413">
        <v>-61.5541699999999</v>
      </c>
      <c r="M5413">
        <v>0.96182449999999997</v>
      </c>
      <c r="N5413">
        <v>0</v>
      </c>
      <c r="O5413">
        <v>-0.27342959999999999</v>
      </c>
      <c r="P5413">
        <v>0.99868630000000003</v>
      </c>
      <c r="Q5413">
        <v>4.2639740000000002E-2</v>
      </c>
      <c r="R5413">
        <v>-2.8420089999999999E-2</v>
      </c>
      <c r="S5413">
        <v>3.012054</v>
      </c>
      <c r="T5413">
        <v>-0.2244247</v>
      </c>
      <c r="U5413">
        <v>-5.2703859999999998E-2</v>
      </c>
      <c r="V5413">
        <v>-0.24629239999999999</v>
      </c>
      <c r="W5413">
        <v>5.1139280000000002E-2</v>
      </c>
      <c r="X5413">
        <v>0.96784539999999997</v>
      </c>
      <c r="Y5413">
        <v>-0.2551291</v>
      </c>
      <c r="Z5413">
        <v>2.96253E-2</v>
      </c>
      <c r="AA5413">
        <v>0.96645300000000001</v>
      </c>
      <c r="AB5413">
        <v>25</v>
      </c>
      <c r="AC5413">
        <v>14.744999999999999</v>
      </c>
      <c r="AD5413">
        <v>-1.1087942634300001</v>
      </c>
      <c r="AE5413">
        <v>-0.22504000000000701</v>
      </c>
      <c r="AF5413">
        <v>-3.7940688001743701</v>
      </c>
      <c r="AG5413">
        <v>-1.1087942634300001</v>
      </c>
      <c r="AH5413">
        <v>14.164482192937401</v>
      </c>
      <c r="AI5413">
        <v>94.324151817556896</v>
      </c>
      <c r="AJ5413">
        <v>104.99512090971101</v>
      </c>
      <c r="AK5413">
        <v>14.705677086523799</v>
      </c>
    </row>
    <row r="5414" spans="1:37" x14ac:dyDescent="0.2">
      <c r="A5414" t="str">
        <f>"20200111153759475"</f>
        <v>20200111153759475</v>
      </c>
      <c r="B5414" t="str">
        <f>"1578728279468826"</f>
        <v>1578728279468826</v>
      </c>
      <c r="C5414" t="s">
        <v>37</v>
      </c>
      <c r="D5414">
        <v>5.2666579999999996</v>
      </c>
      <c r="E5414">
        <v>0.51625900000000002</v>
      </c>
      <c r="F5414" t="s">
        <v>39</v>
      </c>
      <c r="G5414">
        <v>-268.97149999999999</v>
      </c>
      <c r="H5414" s="1">
        <v>-3.2001839999999999E-6</v>
      </c>
      <c r="I5414">
        <v>-61.842019999999998</v>
      </c>
      <c r="J5414">
        <v>-283.79969999999997</v>
      </c>
      <c r="K5414">
        <v>1.1087940000000001</v>
      </c>
      <c r="L5414">
        <v>-61.588590000000003</v>
      </c>
      <c r="M5414">
        <v>0.96282049999999997</v>
      </c>
      <c r="N5414">
        <v>0</v>
      </c>
      <c r="O5414">
        <v>-0.2699011</v>
      </c>
      <c r="P5414">
        <v>0.99872739999999904</v>
      </c>
      <c r="Q5414">
        <v>4.258849E-2</v>
      </c>
      <c r="R5414">
        <v>-2.7011859999999999E-2</v>
      </c>
      <c r="S5414">
        <v>3.01187099999999</v>
      </c>
      <c r="T5414">
        <v>-0.22317899999999999</v>
      </c>
      <c r="U5414">
        <v>-5.7952879999999998E-2</v>
      </c>
      <c r="V5414">
        <v>-0.24410689999999999</v>
      </c>
      <c r="W5414">
        <v>5.1112610000000003E-2</v>
      </c>
      <c r="X5414">
        <v>0.96840040000000005</v>
      </c>
      <c r="Y5414">
        <v>-0.24993599999999999</v>
      </c>
      <c r="Z5414">
        <v>2.9016259999999999E-2</v>
      </c>
      <c r="AA5414">
        <v>0.96782749999999995</v>
      </c>
      <c r="AB5414">
        <v>25</v>
      </c>
      <c r="AC5414">
        <v>14.828199999999899</v>
      </c>
      <c r="AD5414">
        <v>-1.1087972001840001</v>
      </c>
      <c r="AE5414">
        <v>-0.25342999999999399</v>
      </c>
      <c r="AF5414">
        <v>-3.7374923073891599</v>
      </c>
      <c r="AG5414">
        <v>-1.1087972001840001</v>
      </c>
      <c r="AH5414">
        <v>14.266481529309599</v>
      </c>
      <c r="AI5414">
        <v>94.299594429893901</v>
      </c>
      <c r="AJ5414">
        <v>104.680274877166</v>
      </c>
      <c r="AK5414">
        <v>14.7895495267794</v>
      </c>
    </row>
    <row r="5415" spans="1:37" x14ac:dyDescent="0.2">
      <c r="A5415" t="str">
        <f>"20200111153759490"</f>
        <v>20200111153759490</v>
      </c>
      <c r="B5415" t="str">
        <f>"1578728279478587"</f>
        <v>1578728279478587</v>
      </c>
      <c r="C5415" t="s">
        <v>37</v>
      </c>
      <c r="D5415">
        <v>5.281377</v>
      </c>
      <c r="E5415">
        <v>0.51825370000000004</v>
      </c>
      <c r="F5415" t="s">
        <v>39</v>
      </c>
      <c r="G5415">
        <v>-269.76010000000002</v>
      </c>
      <c r="H5415" s="1">
        <v>-3.6060069999999998E-6</v>
      </c>
      <c r="I5415">
        <v>-62.617080000000001</v>
      </c>
      <c r="J5415">
        <v>-283.65159999999997</v>
      </c>
      <c r="K5415">
        <v>1.108798</v>
      </c>
      <c r="L5415">
        <v>-61.625639999999997</v>
      </c>
      <c r="M5415">
        <v>0.96389460000000005</v>
      </c>
      <c r="N5415">
        <v>0</v>
      </c>
      <c r="O5415">
        <v>-0.26604040000000001</v>
      </c>
      <c r="P5415">
        <v>0.99872830000000001</v>
      </c>
      <c r="Q5415">
        <v>4.2196539999999998E-2</v>
      </c>
      <c r="R5415">
        <v>-2.7592350000000002E-2</v>
      </c>
      <c r="S5415">
        <v>3.007965</v>
      </c>
      <c r="T5415">
        <v>-0.23755779999999899</v>
      </c>
      <c r="U5415">
        <v>-0.22036739999999999</v>
      </c>
      <c r="V5415">
        <v>-0.23965879999999901</v>
      </c>
      <c r="W5415">
        <v>5.077545E-2</v>
      </c>
      <c r="X5415">
        <v>0.96952850000000002</v>
      </c>
      <c r="Y5415">
        <v>-0.19351309999999999</v>
      </c>
      <c r="Z5415">
        <v>2.832788E-2</v>
      </c>
      <c r="AA5415">
        <v>0.98068860000000002</v>
      </c>
      <c r="AB5415">
        <v>25</v>
      </c>
      <c r="AC5415">
        <v>13.891499999999899</v>
      </c>
      <c r="AD5415">
        <v>-1.1088016060069901</v>
      </c>
      <c r="AE5415">
        <v>-0.99143999999999699</v>
      </c>
      <c r="AF5415">
        <v>-2.7229740510978102</v>
      </c>
      <c r="AG5415">
        <v>-1.1088016060069901</v>
      </c>
      <c r="AH5415">
        <v>13.568582796791899</v>
      </c>
      <c r="AI5415">
        <v>94.580802064873694</v>
      </c>
      <c r="AJ5415">
        <v>101.347515443939</v>
      </c>
      <c r="AK5415">
        <v>13.883460224232</v>
      </c>
    </row>
    <row r="5416" spans="1:37" x14ac:dyDescent="0.2">
      <c r="A5416" t="str">
        <f>"20200111153759501"</f>
        <v>20200111153759501</v>
      </c>
      <c r="B5416" t="str">
        <f>"1578728279488348"</f>
        <v>1578728279488348</v>
      </c>
      <c r="C5416" t="s">
        <v>37</v>
      </c>
      <c r="D5416">
        <v>5.2731149999999998</v>
      </c>
      <c r="E5416">
        <v>0.51853700000000003</v>
      </c>
      <c r="F5416" t="s">
        <v>39</v>
      </c>
      <c r="G5416">
        <v>-269.26499999999999</v>
      </c>
      <c r="H5416" s="1">
        <v>-3.4633229999999999E-6</v>
      </c>
      <c r="I5416">
        <v>-62.762500000000003</v>
      </c>
      <c r="J5416">
        <v>-283.5335</v>
      </c>
      <c r="K5416">
        <v>1.108798</v>
      </c>
      <c r="L5416">
        <v>-61.654819999999901</v>
      </c>
      <c r="M5416">
        <v>0.96473869999999895</v>
      </c>
      <c r="N5416">
        <v>0</v>
      </c>
      <c r="O5416">
        <v>-0.2629629</v>
      </c>
      <c r="P5416">
        <v>0.99872919999999998</v>
      </c>
      <c r="Q5416">
        <v>4.2535570000000002E-2</v>
      </c>
      <c r="R5416">
        <v>-2.7035989999999999E-2</v>
      </c>
      <c r="S5416">
        <v>3.00707999999999</v>
      </c>
      <c r="T5416">
        <v>-0.23176149999999901</v>
      </c>
      <c r="U5416">
        <v>-0.2376404</v>
      </c>
      <c r="V5416">
        <v>-0.23710300000000001</v>
      </c>
      <c r="W5416">
        <v>5.1144990000000001E-2</v>
      </c>
      <c r="X5416">
        <v>0.97013729999999998</v>
      </c>
      <c r="Y5416">
        <v>-0.18485509999999999</v>
      </c>
      <c r="Z5416">
        <v>2.7075709999999999E-2</v>
      </c>
      <c r="AA5416">
        <v>0.98239270000000001</v>
      </c>
      <c r="AB5416">
        <v>25</v>
      </c>
      <c r="AC5416">
        <v>14.2685</v>
      </c>
      <c r="AD5416">
        <v>-1.1088014633229999</v>
      </c>
      <c r="AE5416">
        <v>-1.10768</v>
      </c>
      <c r="AF5416">
        <v>-2.6676257207232998</v>
      </c>
      <c r="AG5416">
        <v>-1.1088014633229999</v>
      </c>
      <c r="AH5416">
        <v>13.9736860788275</v>
      </c>
      <c r="AI5416">
        <v>94.456720119940002</v>
      </c>
      <c r="AJ5416">
        <v>100.80792242432599</v>
      </c>
      <c r="AK5416">
        <v>14.269182537922401</v>
      </c>
    </row>
    <row r="5417" spans="1:37" x14ac:dyDescent="0.2">
      <c r="A5417" t="str">
        <f>"20200111153759511"</f>
        <v>20200111153759511</v>
      </c>
      <c r="B5417" t="str">
        <f>"1578728279508842"</f>
        <v>1578728279508842</v>
      </c>
      <c r="C5417" t="s">
        <v>37</v>
      </c>
      <c r="D5417">
        <v>5.2751919999999997</v>
      </c>
      <c r="E5417">
        <v>0.51746009999999998</v>
      </c>
      <c r="F5417" t="s">
        <v>39</v>
      </c>
      <c r="G5417">
        <v>-268.86309999999997</v>
      </c>
      <c r="H5417" s="1">
        <v>-3.3360980000000001E-6</v>
      </c>
      <c r="I5417">
        <v>-62.816200000000002</v>
      </c>
      <c r="J5417">
        <v>-283.41300000000001</v>
      </c>
      <c r="K5417">
        <v>1.1088</v>
      </c>
      <c r="L5417">
        <v>-61.684019999999997</v>
      </c>
      <c r="M5417">
        <v>0.96558929999999998</v>
      </c>
      <c r="N5417">
        <v>0</v>
      </c>
      <c r="O5417">
        <v>-0.25982169999999999</v>
      </c>
      <c r="P5417">
        <v>0.99874249999999998</v>
      </c>
      <c r="Q5417">
        <v>4.2829239999999998E-2</v>
      </c>
      <c r="R5417">
        <v>-2.6062330000000002E-2</v>
      </c>
      <c r="S5417">
        <v>3.00705</v>
      </c>
      <c r="T5417">
        <v>-0.2272757</v>
      </c>
      <c r="U5417">
        <v>-0.23806759999999999</v>
      </c>
      <c r="V5417">
        <v>-0.2348896</v>
      </c>
      <c r="W5417">
        <v>5.1464049999999997E-2</v>
      </c>
      <c r="X5417">
        <v>0.97065869999999999</v>
      </c>
      <c r="Y5417">
        <v>-0.1815842</v>
      </c>
      <c r="Z5417">
        <v>2.6200879999999999E-2</v>
      </c>
      <c r="AA5417">
        <v>0.98302630000000002</v>
      </c>
      <c r="AB5417">
        <v>25</v>
      </c>
      <c r="AC5417">
        <v>14.549899999999999</v>
      </c>
      <c r="AD5417">
        <v>-1.1088033360980001</v>
      </c>
      <c r="AE5417">
        <v>-1.13218</v>
      </c>
      <c r="AF5417">
        <v>-2.6719098057350301</v>
      </c>
      <c r="AG5417">
        <v>-1.1088033360980001</v>
      </c>
      <c r="AH5417">
        <v>14.2619969939615</v>
      </c>
      <c r="AI5417">
        <v>94.369813139997603</v>
      </c>
      <c r="AJ5417">
        <v>100.611060196653</v>
      </c>
      <c r="AK5417">
        <v>14.552426089965</v>
      </c>
    </row>
    <row r="5418" spans="1:37" x14ac:dyDescent="0.2">
      <c r="A5418" t="str">
        <f>"20200111153759523"</f>
        <v>20200111153759523</v>
      </c>
      <c r="B5418" t="str">
        <f>"1578728279518602"</f>
        <v>1578728279518602</v>
      </c>
      <c r="C5418" t="s">
        <v>37</v>
      </c>
      <c r="D5418">
        <v>5.298673</v>
      </c>
      <c r="E5418">
        <v>0.5169859</v>
      </c>
      <c r="F5418" t="s">
        <v>58</v>
      </c>
      <c r="G5418">
        <v>-268.11110000000002</v>
      </c>
      <c r="H5418" s="1">
        <v>-3.0836680000000002E-6</v>
      </c>
      <c r="I5418">
        <v>-62.835859999999997</v>
      </c>
      <c r="J5418">
        <v>-283.29669999999999</v>
      </c>
      <c r="K5418">
        <v>1.1088039999999999</v>
      </c>
      <c r="L5418">
        <v>-61.711939999999998</v>
      </c>
      <c r="M5418">
        <v>0.96639979999999903</v>
      </c>
      <c r="N5418">
        <v>0</v>
      </c>
      <c r="O5418">
        <v>-0.25679099999999999</v>
      </c>
      <c r="P5418">
        <v>0.99876549999999997</v>
      </c>
      <c r="Q5418">
        <v>4.267162E-2</v>
      </c>
      <c r="R5418">
        <v>-2.5434700000000001E-2</v>
      </c>
      <c r="S5418">
        <v>3.0072019999999999</v>
      </c>
      <c r="T5418">
        <v>-0.21790809999999999</v>
      </c>
      <c r="U5418">
        <v>-0.22637939999999901</v>
      </c>
      <c r="V5418">
        <v>-0.23245259999999901</v>
      </c>
      <c r="W5418">
        <v>5.1335949999999998E-2</v>
      </c>
      <c r="X5418">
        <v>0.971252</v>
      </c>
      <c r="Y5418">
        <v>-0.18240580000000001</v>
      </c>
      <c r="Z5418">
        <v>2.494617E-2</v>
      </c>
      <c r="AA5418">
        <v>0.98290679999999997</v>
      </c>
      <c r="AB5418">
        <v>25</v>
      </c>
      <c r="AC5418">
        <v>15.1855999999999</v>
      </c>
      <c r="AD5418">
        <v>-1.108807083668</v>
      </c>
      <c r="AE5418">
        <v>-1.12391999999999</v>
      </c>
      <c r="AF5418">
        <v>-2.79871196823987</v>
      </c>
      <c r="AG5418">
        <v>-1.108807083668</v>
      </c>
      <c r="AH5418">
        <v>14.8860125112913</v>
      </c>
      <c r="AI5418">
        <v>94.186809355030803</v>
      </c>
      <c r="AJ5418">
        <v>100.647854177814</v>
      </c>
      <c r="AK5418">
        <v>15.1873503388933</v>
      </c>
    </row>
    <row r="5419" spans="1:37" x14ac:dyDescent="0.2">
      <c r="A5419" t="str">
        <f>"20200111153759534"</f>
        <v>20200111153759534</v>
      </c>
      <c r="B5419" t="str">
        <f>"1578728279528362"</f>
        <v>1578728279528362</v>
      </c>
      <c r="C5419" t="s">
        <v>37</v>
      </c>
      <c r="D5419">
        <v>5.3023429999999996</v>
      </c>
      <c r="E5419">
        <v>0.51656040000000003</v>
      </c>
      <c r="F5419" t="s">
        <v>39</v>
      </c>
      <c r="G5419">
        <v>-267.88670000000002</v>
      </c>
      <c r="H5419" s="1">
        <v>-3.00834799999999E-6</v>
      </c>
      <c r="I5419">
        <v>-62.841859999999997</v>
      </c>
      <c r="J5419">
        <v>-283.17259999999999</v>
      </c>
      <c r="K5419">
        <v>1.1088</v>
      </c>
      <c r="L5419">
        <v>-61.741239999999998</v>
      </c>
      <c r="M5419">
        <v>0.96725329999999998</v>
      </c>
      <c r="N5419">
        <v>0</v>
      </c>
      <c r="O5419">
        <v>-0.25355729999999999</v>
      </c>
      <c r="P5419">
        <v>0.99878259999999996</v>
      </c>
      <c r="Q5419">
        <v>4.2741500000000002E-2</v>
      </c>
      <c r="R5419">
        <v>-2.4628480000000001E-2</v>
      </c>
      <c r="S5419">
        <v>3.0073240000000001</v>
      </c>
      <c r="T5419">
        <v>-0.216387</v>
      </c>
      <c r="U5419">
        <v>-0.22051999999999999</v>
      </c>
      <c r="V5419">
        <v>-0.22998640000000001</v>
      </c>
      <c r="W5419">
        <v>5.1435479999999999E-2</v>
      </c>
      <c r="X5419">
        <v>0.97183359999999996</v>
      </c>
      <c r="Y5419">
        <v>-0.18105199999999999</v>
      </c>
      <c r="Z5419">
        <v>2.4500810000000001E-2</v>
      </c>
      <c r="AA5419">
        <v>0.9831683</v>
      </c>
      <c r="AB5419">
        <v>25</v>
      </c>
      <c r="AC5419">
        <v>15.2858999999999</v>
      </c>
      <c r="AD5419">
        <v>-1.1088030083480001</v>
      </c>
      <c r="AE5419">
        <v>-1.1006199999999899</v>
      </c>
      <c r="AF5419">
        <v>-2.7968154753218601</v>
      </c>
      <c r="AG5419">
        <v>-1.1088030083480001</v>
      </c>
      <c r="AH5419">
        <v>14.986934680911</v>
      </c>
      <c r="AI5419">
        <v>94.159743848425194</v>
      </c>
      <c r="AJ5419">
        <v>100.570768666806</v>
      </c>
      <c r="AK5419">
        <v>15.285935759521299</v>
      </c>
    </row>
    <row r="5420" spans="1:37" x14ac:dyDescent="0.2">
      <c r="A5420" t="str">
        <f>"20200111153759545"</f>
        <v>20200111153759545</v>
      </c>
      <c r="B5420" t="str">
        <f>"1578728279539099"</f>
        <v>1578728279539099</v>
      </c>
      <c r="C5420" t="s">
        <v>37</v>
      </c>
      <c r="D5420">
        <v>5.3294360000000003</v>
      </c>
      <c r="E5420">
        <v>0.51619269999999995</v>
      </c>
      <c r="F5420" t="s">
        <v>39</v>
      </c>
      <c r="G5420">
        <v>-267.63780000000003</v>
      </c>
      <c r="H5420" s="1">
        <v>-2.9247879999999899E-6</v>
      </c>
      <c r="I5420">
        <v>-62.848219999999998</v>
      </c>
      <c r="J5420">
        <v>-283.04989999999998</v>
      </c>
      <c r="K5420">
        <v>1.1087989999999901</v>
      </c>
      <c r="L5420">
        <v>-61.769739999999999</v>
      </c>
      <c r="M5420">
        <v>0.96808590000000005</v>
      </c>
      <c r="N5420">
        <v>0</v>
      </c>
      <c r="O5420">
        <v>-0.25035990000000002</v>
      </c>
      <c r="P5420">
        <v>0.99879259999999903</v>
      </c>
      <c r="Q5420">
        <v>4.2739800000000001E-2</v>
      </c>
      <c r="R5420">
        <v>-2.4222190000000001E-2</v>
      </c>
      <c r="S5420">
        <v>3.0075379999999998</v>
      </c>
      <c r="T5420">
        <v>-0.21466379999999999</v>
      </c>
      <c r="U5420">
        <v>-0.21432499999999999</v>
      </c>
      <c r="V5420">
        <v>-0.22716889999999901</v>
      </c>
      <c r="W5420">
        <v>5.1468340000000001E-2</v>
      </c>
      <c r="X5420">
        <v>0.97249439999999998</v>
      </c>
      <c r="Y5420">
        <v>-0.1798507</v>
      </c>
      <c r="Z5420">
        <v>2.4043760000000001E-2</v>
      </c>
      <c r="AA5420">
        <v>0.98340000000000005</v>
      </c>
      <c r="AB5420">
        <v>25</v>
      </c>
      <c r="AC5420">
        <v>15.412099999999899</v>
      </c>
      <c r="AD5420">
        <v>-1.1088019247879899</v>
      </c>
      <c r="AE5420">
        <v>-1.0784799999999899</v>
      </c>
      <c r="AF5420">
        <v>-2.8002697086606001</v>
      </c>
      <c r="AG5420">
        <v>-1.1088019247879899</v>
      </c>
      <c r="AH5420">
        <v>15.1133854361518</v>
      </c>
      <c r="AI5420">
        <v>94.126041605084296</v>
      </c>
      <c r="AJ5420">
        <v>100.49695526990701</v>
      </c>
      <c r="AK5420">
        <v>15.410560388621199</v>
      </c>
    </row>
    <row r="5421" spans="1:37" x14ac:dyDescent="0.2">
      <c r="A5421" t="str">
        <f>"20200111153759556"</f>
        <v>20200111153759556</v>
      </c>
      <c r="B5421" t="str">
        <f>"1578728279548859"</f>
        <v>1578728279548859</v>
      </c>
      <c r="C5421" t="s">
        <v>37</v>
      </c>
      <c r="D5421">
        <v>5.2936189999999996</v>
      </c>
      <c r="E5421">
        <v>0.51584790000000003</v>
      </c>
      <c r="F5421" t="s">
        <v>58</v>
      </c>
      <c r="G5421">
        <v>-267.49560000000002</v>
      </c>
      <c r="H5421" s="1">
        <v>-2.8775060000000001E-6</v>
      </c>
      <c r="I5421">
        <v>-62.854529999999997</v>
      </c>
      <c r="J5421">
        <v>-282.93209999999999</v>
      </c>
      <c r="K5421">
        <v>1.1088</v>
      </c>
      <c r="L5421">
        <v>-61.796840000000003</v>
      </c>
      <c r="M5421">
        <v>0.96887500000000004</v>
      </c>
      <c r="N5421">
        <v>0</v>
      </c>
      <c r="O5421">
        <v>-0.2472888</v>
      </c>
      <c r="P5421">
        <v>0.99879249999999997</v>
      </c>
      <c r="Q5421">
        <v>4.2898470000000001E-2</v>
      </c>
      <c r="R5421">
        <v>-2.394195E-2</v>
      </c>
      <c r="S5421">
        <v>3.0077210000000001</v>
      </c>
      <c r="T5421">
        <v>-0.21440780000000001</v>
      </c>
      <c r="U5421">
        <v>-0.20977779999999999</v>
      </c>
      <c r="V5421">
        <v>-0.2243551</v>
      </c>
      <c r="W5421">
        <v>5.1661680000000001E-2</v>
      </c>
      <c r="X5421">
        <v>0.97313709999999898</v>
      </c>
      <c r="Y5421">
        <v>-0.1782292</v>
      </c>
      <c r="Z5421">
        <v>2.3746050000000001E-2</v>
      </c>
      <c r="AA5421">
        <v>0.98370239999999998</v>
      </c>
      <c r="AB5421">
        <v>25</v>
      </c>
      <c r="AC5421">
        <v>15.436499999999899</v>
      </c>
      <c r="AD5421">
        <v>-1.1088028775059999</v>
      </c>
      <c r="AE5421">
        <v>-1.05769</v>
      </c>
      <c r="AF5421">
        <v>-2.7784166068018599</v>
      </c>
      <c r="AG5421">
        <v>-1.1088028775059999</v>
      </c>
      <c r="AH5421">
        <v>15.1408244889488</v>
      </c>
      <c r="AI5421">
        <v>94.119895853756901</v>
      </c>
      <c r="AJ5421">
        <v>100.39837202842401</v>
      </c>
      <c r="AK5421">
        <v>15.433522244363701</v>
      </c>
    </row>
    <row r="5422" spans="1:37" x14ac:dyDescent="0.2">
      <c r="A5422" t="str">
        <f>"20200111153759568"</f>
        <v>20200111153759568</v>
      </c>
      <c r="B5422" t="str">
        <f>"1578728279558619"</f>
        <v>1578728279558619</v>
      </c>
      <c r="C5422" t="s">
        <v>37</v>
      </c>
      <c r="D5422">
        <v>5.3353599999999997</v>
      </c>
      <c r="E5422">
        <v>0.51540039999999998</v>
      </c>
      <c r="F5422" t="s">
        <v>58</v>
      </c>
      <c r="G5422">
        <v>-267.35000000000002</v>
      </c>
      <c r="H5422" s="1">
        <v>-2.8179370000000001E-6</v>
      </c>
      <c r="I5422">
        <v>-62.862499999999997</v>
      </c>
      <c r="J5422">
        <v>-282.81200000000001</v>
      </c>
      <c r="K5422">
        <v>1.108803</v>
      </c>
      <c r="L5422">
        <v>-61.823880000000003</v>
      </c>
      <c r="M5422">
        <v>0.96966790000000003</v>
      </c>
      <c r="N5422">
        <v>0</v>
      </c>
      <c r="O5422">
        <v>-0.24416119999999999</v>
      </c>
      <c r="P5422">
        <v>0.99879019999999996</v>
      </c>
      <c r="Q5422">
        <v>4.309346E-2</v>
      </c>
      <c r="R5422">
        <v>-2.3694139999999999E-2</v>
      </c>
      <c r="S5422">
        <v>3.0078429999999998</v>
      </c>
      <c r="T5422">
        <v>-0.21403469999999999</v>
      </c>
      <c r="U5422">
        <v>-0.20571900000000001</v>
      </c>
      <c r="V5422">
        <v>-0.2214554</v>
      </c>
      <c r="W5422">
        <v>5.1891680000000003E-2</v>
      </c>
      <c r="X5422">
        <v>0.97378889999999996</v>
      </c>
      <c r="Y5422">
        <v>-0.176394</v>
      </c>
      <c r="Z5422">
        <v>2.3424759999999999E-2</v>
      </c>
      <c r="AA5422">
        <v>0.9840409</v>
      </c>
      <c r="AB5422">
        <v>25</v>
      </c>
      <c r="AC5422">
        <v>15.4619999999999</v>
      </c>
      <c r="AD5422">
        <v>-1.1088058179369999</v>
      </c>
      <c r="AE5422">
        <v>-1.0386199999999901</v>
      </c>
      <c r="AF5422">
        <v>-2.75418327240603</v>
      </c>
      <c r="AG5422">
        <v>-1.1088058179369999</v>
      </c>
      <c r="AH5422">
        <v>15.169921015988299</v>
      </c>
      <c r="AI5422">
        <v>94.113443113216107</v>
      </c>
      <c r="AJ5422">
        <v>100.29027933067201</v>
      </c>
      <c r="AK5422">
        <v>15.4577320287038</v>
      </c>
    </row>
    <row r="5423" spans="1:37" x14ac:dyDescent="0.2">
      <c r="A5423" t="str">
        <f>"20200111153759580"</f>
        <v>20200111153759580</v>
      </c>
      <c r="B5423" t="str">
        <f>"1578728279568378"</f>
        <v>1578728279568378</v>
      </c>
      <c r="C5423" t="s">
        <v>37</v>
      </c>
      <c r="D5423">
        <v>5.2390910000000002</v>
      </c>
      <c r="E5423">
        <v>0.51479830000000004</v>
      </c>
      <c r="F5423" t="s">
        <v>39</v>
      </c>
      <c r="G5423">
        <v>-267.06610000000001</v>
      </c>
      <c r="H5423" s="1">
        <v>-2.699678E-6</v>
      </c>
      <c r="I5423">
        <v>-62.875790000000002</v>
      </c>
      <c r="J5423">
        <v>-282.69119999999998</v>
      </c>
      <c r="K5423">
        <v>1.108803</v>
      </c>
      <c r="L5423">
        <v>-61.850919999999903</v>
      </c>
      <c r="M5423">
        <v>0.97045530000000002</v>
      </c>
      <c r="N5423">
        <v>0</v>
      </c>
      <c r="O5423">
        <v>-0.2410118</v>
      </c>
      <c r="P5423">
        <v>0.99879370000000001</v>
      </c>
      <c r="Q5423">
        <v>4.3248639999999998E-2</v>
      </c>
      <c r="R5423">
        <v>-2.325586E-2</v>
      </c>
      <c r="S5423">
        <v>3.0079349999999998</v>
      </c>
      <c r="T5423">
        <v>-0.211813999999999</v>
      </c>
      <c r="U5423">
        <v>-0.20095829999999901</v>
      </c>
      <c r="V5423">
        <v>-0.21871889999999999</v>
      </c>
      <c r="W5423">
        <v>5.2080260000000003E-2</v>
      </c>
      <c r="X5423">
        <v>0.97439709999999902</v>
      </c>
      <c r="Y5423">
        <v>-0.17478369999999999</v>
      </c>
      <c r="Z5423">
        <v>2.2911870000000001E-2</v>
      </c>
      <c r="AA5423">
        <v>0.98434029999999995</v>
      </c>
      <c r="AB5423">
        <v>25</v>
      </c>
      <c r="AC5423">
        <v>15.6250999999999</v>
      </c>
      <c r="AD5423">
        <v>-1.108805699678</v>
      </c>
      <c r="AE5423">
        <v>-1.0248699999999999</v>
      </c>
      <c r="AF5423">
        <v>-2.7575957442501799</v>
      </c>
      <c r="AG5423">
        <v>-1.108805699678</v>
      </c>
      <c r="AH5423">
        <v>15.334576789000399</v>
      </c>
      <c r="AI5423">
        <v>94.070649306578701</v>
      </c>
      <c r="AJ5423">
        <v>100.19446211188399</v>
      </c>
      <c r="AK5423">
        <v>15.6199561352167</v>
      </c>
    </row>
    <row r="5424" spans="1:37" x14ac:dyDescent="0.2">
      <c r="A5424" t="str">
        <f>"20200111153759591"</f>
        <v>20200111153759591</v>
      </c>
      <c r="B5424" t="str">
        <f>"1578728279588874"</f>
        <v>1578728279588874</v>
      </c>
      <c r="C5424" t="s">
        <v>37</v>
      </c>
      <c r="D5424">
        <v>5.2612059999999996</v>
      </c>
      <c r="E5424">
        <v>0.51407890000000001</v>
      </c>
      <c r="F5424" t="s">
        <v>39</v>
      </c>
      <c r="G5424">
        <v>-266.79849999999999</v>
      </c>
      <c r="H5424" s="1">
        <v>-2.5854120000000002E-6</v>
      </c>
      <c r="I5424">
        <v>-62.877719999999997</v>
      </c>
      <c r="J5424">
        <v>-282.56310000000002</v>
      </c>
      <c r="K5424">
        <v>1.1088039999999999</v>
      </c>
      <c r="L5424">
        <v>-61.87885</v>
      </c>
      <c r="M5424">
        <v>0.97127830000000004</v>
      </c>
      <c r="N5424">
        <v>0</v>
      </c>
      <c r="O5424">
        <v>-0.23767479999999999</v>
      </c>
      <c r="P5424">
        <v>0.99881039999999999</v>
      </c>
      <c r="Q5424">
        <v>4.3128430000000002E-2</v>
      </c>
      <c r="R5424">
        <v>-2.275841E-2</v>
      </c>
      <c r="S5424">
        <v>3.0082089999999999</v>
      </c>
      <c r="T5424">
        <v>-0.20987729999999899</v>
      </c>
      <c r="U5424">
        <v>-0.1943665</v>
      </c>
      <c r="V5424">
        <v>-0.21585259999999901</v>
      </c>
      <c r="W5424">
        <v>5.1991679999999998E-2</v>
      </c>
      <c r="X5424">
        <v>0.97504080000000004</v>
      </c>
      <c r="Y5424">
        <v>-0.1735824</v>
      </c>
      <c r="Z5424">
        <v>2.2435549999999999E-2</v>
      </c>
      <c r="AA5424">
        <v>0.98456379999999999</v>
      </c>
      <c r="AB5424">
        <v>25</v>
      </c>
      <c r="AC5424">
        <v>15.7646</v>
      </c>
      <c r="AD5424">
        <v>-1.1088065854119999</v>
      </c>
      <c r="AE5424">
        <v>-0.99886999999999604</v>
      </c>
      <c r="AF5424">
        <v>-2.7632315573822499</v>
      </c>
      <c r="AG5424">
        <v>-1.1088065854119999</v>
      </c>
      <c r="AH5424">
        <v>15.473979983886201</v>
      </c>
      <c r="AI5424">
        <v>94.034978968869396</v>
      </c>
      <c r="AJ5424">
        <v>100.12474645688501</v>
      </c>
      <c r="AK5424">
        <v>15.7578220965106</v>
      </c>
    </row>
    <row r="5425" spans="1:37" x14ac:dyDescent="0.2">
      <c r="A5425" t="str">
        <f>"20200111153759604"</f>
        <v>20200111153759604</v>
      </c>
      <c r="B5425" t="str">
        <f>"1578728279598635"</f>
        <v>1578728279598635</v>
      </c>
      <c r="C5425" t="s">
        <v>37</v>
      </c>
      <c r="D5425">
        <v>5.2814649999999999</v>
      </c>
      <c r="E5425">
        <v>0.51367569999999996</v>
      </c>
      <c r="F5425" t="s">
        <v>58</v>
      </c>
      <c r="G5425">
        <v>-266.5265</v>
      </c>
      <c r="H5425" s="1">
        <v>-2.4675609999999999E-6</v>
      </c>
      <c r="I5425">
        <v>-62.873419999999903</v>
      </c>
      <c r="J5425">
        <v>-282.4366</v>
      </c>
      <c r="K5425">
        <v>1.1088</v>
      </c>
      <c r="L5425">
        <v>-61.90616</v>
      </c>
      <c r="M5425">
        <v>0.97207949999999999</v>
      </c>
      <c r="N5425">
        <v>0</v>
      </c>
      <c r="O5425">
        <v>-0.2343759</v>
      </c>
      <c r="P5425">
        <v>0.99883889999999997</v>
      </c>
      <c r="Q5425">
        <v>4.2850920000000001E-2</v>
      </c>
      <c r="R5425">
        <v>-2.2017999999999999E-2</v>
      </c>
      <c r="S5425">
        <v>3.0083009999999999</v>
      </c>
      <c r="T5425">
        <v>-0.20799980000000001</v>
      </c>
      <c r="U5425">
        <v>-0.18658449999999999</v>
      </c>
      <c r="V5425">
        <v>-0.21326349999999999</v>
      </c>
      <c r="W5425">
        <v>5.1742629999999998E-2</v>
      </c>
      <c r="X5425">
        <v>0.97562359999999904</v>
      </c>
      <c r="Y5425">
        <v>-0.17280470000000001</v>
      </c>
      <c r="Z5425">
        <v>2.1989089999999999E-2</v>
      </c>
      <c r="AA5425">
        <v>0.98471059999999999</v>
      </c>
      <c r="AB5425">
        <v>25</v>
      </c>
      <c r="AC5425">
        <v>15.9101</v>
      </c>
      <c r="AD5425">
        <v>-1.108802467561</v>
      </c>
      <c r="AE5425">
        <v>-0.96725999999999601</v>
      </c>
      <c r="AF5425">
        <v>-2.7754403106880798</v>
      </c>
      <c r="AG5425">
        <v>-1.108802467561</v>
      </c>
      <c r="AH5425">
        <v>15.6180233297024</v>
      </c>
      <c r="AI5425">
        <v>93.998466592797797</v>
      </c>
      <c r="AJ5425">
        <v>100.076696211008</v>
      </c>
      <c r="AK5425">
        <v>15.9014202056731</v>
      </c>
    </row>
    <row r="5426" spans="1:37" x14ac:dyDescent="0.2">
      <c r="A5426" t="str">
        <f>"20200111153759615"</f>
        <v>20200111153759615</v>
      </c>
      <c r="B5426" t="str">
        <f>"1578728279608394"</f>
        <v>1578728279608394</v>
      </c>
      <c r="C5426" t="s">
        <v>37</v>
      </c>
      <c r="D5426">
        <v>5.1726010000000002</v>
      </c>
      <c r="E5426">
        <v>0.51367569999999996</v>
      </c>
      <c r="F5426" t="s">
        <v>39</v>
      </c>
      <c r="G5426">
        <v>-266.32459999999998</v>
      </c>
      <c r="H5426" s="1">
        <v>-2.381077E-6</v>
      </c>
      <c r="I5426">
        <v>-62.873819999999903</v>
      </c>
      <c r="J5426">
        <v>-282.3116</v>
      </c>
      <c r="K5426">
        <v>1.1087989999999901</v>
      </c>
      <c r="L5426">
        <v>-61.932650000000002</v>
      </c>
      <c r="M5426">
        <v>0.97285889999999997</v>
      </c>
      <c r="N5426">
        <v>0</v>
      </c>
      <c r="O5426">
        <v>-0.23111979999999999</v>
      </c>
      <c r="P5426">
        <v>0.99884719999999905</v>
      </c>
      <c r="Q5426">
        <v>4.2884209999999999E-2</v>
      </c>
      <c r="R5426">
        <v>-2.158096E-2</v>
      </c>
      <c r="S5426">
        <v>3.0084230000000001</v>
      </c>
      <c r="T5426">
        <v>-0.20703569999999999</v>
      </c>
      <c r="U5426">
        <v>-0.18069460000000001</v>
      </c>
      <c r="V5426">
        <v>-0.21042139999999901</v>
      </c>
      <c r="W5426">
        <v>5.1805490000000003E-2</v>
      </c>
      <c r="X5426">
        <v>0.97623719999999903</v>
      </c>
      <c r="Y5426">
        <v>-0.17144949999999901</v>
      </c>
      <c r="Z5426">
        <v>2.1624109999999998E-2</v>
      </c>
      <c r="AA5426">
        <v>0.98495549999999998</v>
      </c>
      <c r="AB5426">
        <v>25</v>
      </c>
      <c r="AC5426">
        <v>15.987</v>
      </c>
      <c r="AD5426">
        <v>-1.1088013810770001</v>
      </c>
      <c r="AE5426">
        <v>-0.94116999999999196</v>
      </c>
      <c r="AF5426">
        <v>-2.76620582399473</v>
      </c>
      <c r="AG5426">
        <v>-1.1088013810770001</v>
      </c>
      <c r="AH5426">
        <v>15.6963933016703</v>
      </c>
      <c r="AI5426">
        <v>93.9795674562111</v>
      </c>
      <c r="AJ5426">
        <v>99.994718616837901</v>
      </c>
      <c r="AK5426">
        <v>15.976798735795001</v>
      </c>
    </row>
    <row r="5427" spans="1:37" x14ac:dyDescent="0.2">
      <c r="A5427" t="str">
        <f>"20200111153759626"</f>
        <v>20200111153759626</v>
      </c>
      <c r="B5427" t="str">
        <f>"1578728279619130"</f>
        <v>1578728279619130</v>
      </c>
      <c r="C5427" t="s">
        <v>37</v>
      </c>
      <c r="D5427">
        <v>5.2716849999999997</v>
      </c>
      <c r="E5427">
        <v>0.50571299999999997</v>
      </c>
      <c r="F5427" t="s">
        <v>39</v>
      </c>
      <c r="G5427">
        <v>-266.20229999999998</v>
      </c>
      <c r="H5427" s="1">
        <v>-2.3332049999999999E-6</v>
      </c>
      <c r="I5427">
        <v>-62.891159999999999</v>
      </c>
      <c r="J5427">
        <v>-282.18329999999997</v>
      </c>
      <c r="K5427">
        <v>1.1088009999999999</v>
      </c>
      <c r="L5427">
        <v>-61.959350000000001</v>
      </c>
      <c r="M5427">
        <v>0.97364689999999998</v>
      </c>
      <c r="N5427">
        <v>0</v>
      </c>
      <c r="O5427">
        <v>-0.22777710000000001</v>
      </c>
      <c r="P5427">
        <v>0.99887559999999997</v>
      </c>
      <c r="Q5427">
        <v>4.2767470000000002E-2</v>
      </c>
      <c r="R5427">
        <v>-2.0466419999999999E-2</v>
      </c>
      <c r="S5427">
        <v>3.0084529999999998</v>
      </c>
      <c r="T5427">
        <v>-0.207070899999999</v>
      </c>
      <c r="U5427">
        <v>-0.17901610000000001</v>
      </c>
      <c r="V5427">
        <v>-0.2081567</v>
      </c>
      <c r="W5427">
        <v>5.1710249999999999E-2</v>
      </c>
      <c r="X5427">
        <v>0.97672760000000003</v>
      </c>
      <c r="Y5427">
        <v>-0.16862769999999999</v>
      </c>
      <c r="Z5427">
        <v>2.1307179999999998E-2</v>
      </c>
      <c r="AA5427">
        <v>0.98544949999999998</v>
      </c>
      <c r="AB5427">
        <v>25</v>
      </c>
      <c r="AC5427">
        <v>15.9809999999999</v>
      </c>
      <c r="AD5427">
        <v>-1.108803333205</v>
      </c>
      <c r="AE5427">
        <v>-0.93180999999999803</v>
      </c>
      <c r="AF5427">
        <v>-2.7199791568501199</v>
      </c>
      <c r="AG5427">
        <v>-1.108803333205</v>
      </c>
      <c r="AH5427">
        <v>15.697803583959001</v>
      </c>
      <c r="AI5427">
        <v>93.981209871596207</v>
      </c>
      <c r="AJ5427">
        <v>99.830114494230699</v>
      </c>
      <c r="AK5427">
        <v>15.970246360215601</v>
      </c>
    </row>
    <row r="5428" spans="1:37" x14ac:dyDescent="0.2">
      <c r="A5428" t="str">
        <f>"20200111153759637"</f>
        <v>20200111153759637</v>
      </c>
      <c r="B5428" t="str">
        <f>"1578728279628467"</f>
        <v>1578728279628467</v>
      </c>
      <c r="C5428" t="s">
        <v>37</v>
      </c>
      <c r="D5428">
        <v>5.2059280000000001</v>
      </c>
      <c r="E5428">
        <v>0.50614759999999903</v>
      </c>
      <c r="F5428" t="s">
        <v>39</v>
      </c>
      <c r="G5428">
        <v>-264.75760000000002</v>
      </c>
      <c r="H5428" s="1">
        <v>-1.6376969999999999E-6</v>
      </c>
      <c r="I5428">
        <v>-62.6064199999999</v>
      </c>
      <c r="J5428">
        <v>-282.06909999999999</v>
      </c>
      <c r="K5428">
        <v>1.1088020000000001</v>
      </c>
      <c r="L5428">
        <v>-61.982880000000002</v>
      </c>
      <c r="M5428">
        <v>0.97433890000000001</v>
      </c>
      <c r="N5428">
        <v>0</v>
      </c>
      <c r="O5428">
        <v>-0.2247991</v>
      </c>
      <c r="P5428">
        <v>0.99888869999999896</v>
      </c>
      <c r="Q5428">
        <v>4.2780810000000002E-2</v>
      </c>
      <c r="R5428">
        <v>-1.9783619999999998E-2</v>
      </c>
      <c r="S5428">
        <v>3.009277</v>
      </c>
      <c r="T5428">
        <v>-0.1914816</v>
      </c>
      <c r="U5428">
        <v>-0.11175539999999901</v>
      </c>
      <c r="V5428">
        <v>-0.205836299999999</v>
      </c>
      <c r="W5428">
        <v>5.1745480000000003E-2</v>
      </c>
      <c r="X5428">
        <v>0.97721740000000001</v>
      </c>
      <c r="Y5428">
        <v>-0.18767200000000001</v>
      </c>
      <c r="Z5428">
        <v>2.014082E-2</v>
      </c>
      <c r="AA5428">
        <v>0.98202529999999999</v>
      </c>
      <c r="AB5428">
        <v>25</v>
      </c>
      <c r="AC5428">
        <v>17.311499999999899</v>
      </c>
      <c r="AD5428">
        <v>-1.1088036376970001</v>
      </c>
      <c r="AE5428">
        <v>-0.62353999999999099</v>
      </c>
      <c r="AF5428">
        <v>-3.2708811692241602</v>
      </c>
      <c r="AG5428">
        <v>-1.1088036376970001</v>
      </c>
      <c r="AH5428">
        <v>16.939135429718501</v>
      </c>
      <c r="AI5428">
        <v>93.677391219321294</v>
      </c>
      <c r="AJ5428">
        <v>100.92908269981299</v>
      </c>
      <c r="AK5428">
        <v>17.287637728634198</v>
      </c>
    </row>
    <row r="5429" spans="1:37" x14ac:dyDescent="0.2">
      <c r="A5429" t="str">
        <f>"20200111153759648"</f>
        <v>20200111153759648</v>
      </c>
      <c r="B5429" t="str">
        <f>"1578728279639185"</f>
        <v>1578728279639185</v>
      </c>
      <c r="C5429" t="s">
        <v>37</v>
      </c>
      <c r="D5429">
        <v>5.2528550000000003</v>
      </c>
      <c r="E5429">
        <v>0.50665789999999999</v>
      </c>
      <c r="F5429" t="s">
        <v>39</v>
      </c>
      <c r="G5429">
        <v>-264.32639999999998</v>
      </c>
      <c r="H5429" s="1">
        <v>-1.464212E-6</v>
      </c>
      <c r="I5429">
        <v>-62.649669999999901</v>
      </c>
      <c r="J5429">
        <v>-281.94779999999997</v>
      </c>
      <c r="K5429">
        <v>1.1088039999999999</v>
      </c>
      <c r="L5429">
        <v>-62.007259999999903</v>
      </c>
      <c r="M5429">
        <v>0.97506299999999901</v>
      </c>
      <c r="N5429">
        <v>0</v>
      </c>
      <c r="O5429">
        <v>-0.22163820000000001</v>
      </c>
      <c r="P5429">
        <v>0.99890369999999995</v>
      </c>
      <c r="Q5429">
        <v>4.2851559999999997E-2</v>
      </c>
      <c r="R5429">
        <v>-1.885332E-2</v>
      </c>
      <c r="S5429">
        <v>3.0091549999999998</v>
      </c>
      <c r="T5429">
        <v>-0.18805269999999999</v>
      </c>
      <c r="U5429">
        <v>-0.11309809999999999</v>
      </c>
      <c r="V5429">
        <v>-0.203575799999999</v>
      </c>
      <c r="W5429">
        <v>5.183405E-2</v>
      </c>
      <c r="X5429">
        <v>0.977686099999999</v>
      </c>
      <c r="Y5429">
        <v>-0.1840888</v>
      </c>
      <c r="Z5429">
        <v>1.9476480000000001E-2</v>
      </c>
      <c r="AA5429">
        <v>0.98271659999999905</v>
      </c>
      <c r="AB5429">
        <v>25</v>
      </c>
      <c r="AC5429">
        <v>17.621399999999898</v>
      </c>
      <c r="AD5429">
        <v>-1.108805464212</v>
      </c>
      <c r="AE5429">
        <v>-0.64240999999999804</v>
      </c>
      <c r="AF5429">
        <v>-3.2664799668242499</v>
      </c>
      <c r="AG5429">
        <v>-1.108805464212</v>
      </c>
      <c r="AH5429">
        <v>17.2572345944616</v>
      </c>
      <c r="AI5429">
        <v>93.6123272405856</v>
      </c>
      <c r="AJ5429">
        <v>100.718244309718</v>
      </c>
      <c r="AK5429">
        <v>17.5986217295393</v>
      </c>
    </row>
    <row r="5430" spans="1:37" x14ac:dyDescent="0.2">
      <c r="A5430" t="str">
        <f>"20200111153759661"</f>
        <v>20200111153759661</v>
      </c>
      <c r="B5430" t="str">
        <f>"1578728279648945"</f>
        <v>1578728279648945</v>
      </c>
      <c r="C5430" t="s">
        <v>37</v>
      </c>
      <c r="D5430">
        <v>5.3610509999999998</v>
      </c>
      <c r="E5430">
        <v>0.50665789999999999</v>
      </c>
      <c r="F5430" t="s">
        <v>39</v>
      </c>
      <c r="G5430">
        <v>-264.21440000000001</v>
      </c>
      <c r="H5430" s="1">
        <v>-1.424306E-6</v>
      </c>
      <c r="I5430">
        <v>-62.680340000000001</v>
      </c>
      <c r="J5430">
        <v>-281.81689999999998</v>
      </c>
      <c r="K5430">
        <v>1.108806</v>
      </c>
      <c r="L5430">
        <v>-62.033290000000001</v>
      </c>
      <c r="M5430">
        <v>0.97583229999999999</v>
      </c>
      <c r="N5430">
        <v>0</v>
      </c>
      <c r="O5430">
        <v>-0.21822629999999901</v>
      </c>
      <c r="P5430">
        <v>0.99891749999999901</v>
      </c>
      <c r="Q5430">
        <v>4.2986709999999997E-2</v>
      </c>
      <c r="R5430">
        <v>-1.7774350000000001E-2</v>
      </c>
      <c r="S5430">
        <v>3.0092159999999999</v>
      </c>
      <c r="T5430">
        <v>-0.188155399999999</v>
      </c>
      <c r="U5430">
        <v>-0.1142273</v>
      </c>
      <c r="V5430">
        <v>-0.2012109</v>
      </c>
      <c r="W5430">
        <v>5.1985490000000002E-2</v>
      </c>
      <c r="X5430">
        <v>0.97816749999999997</v>
      </c>
      <c r="Y5430">
        <v>-0.18029539999999999</v>
      </c>
      <c r="Z5430">
        <v>1.91594E-2</v>
      </c>
      <c r="AA5430">
        <v>0.98342589999999996</v>
      </c>
      <c r="AB5430">
        <v>25</v>
      </c>
      <c r="AC5430">
        <v>17.6024999999999</v>
      </c>
      <c r="AD5430">
        <v>-1.108807424306</v>
      </c>
      <c r="AE5430">
        <v>-0.64705000000000001</v>
      </c>
      <c r="AF5430">
        <v>-3.19745244645416</v>
      </c>
      <c r="AG5430">
        <v>-1.108807424306</v>
      </c>
      <c r="AH5430">
        <v>17.251046593034498</v>
      </c>
      <c r="AI5430">
        <v>93.616192263711895</v>
      </c>
      <c r="AJ5430">
        <v>100.500513587387</v>
      </c>
      <c r="AK5430">
        <v>17.5798681623777</v>
      </c>
    </row>
    <row r="5431" spans="1:37" x14ac:dyDescent="0.2">
      <c r="A5431" t="str">
        <f>"20200111153759673"</f>
        <v>20200111153759673</v>
      </c>
      <c r="B5431" t="str">
        <f>"1578728279668465"</f>
        <v>1578728279668465</v>
      </c>
      <c r="C5431" t="s">
        <v>37</v>
      </c>
      <c r="D5431">
        <v>5.2376670000000001</v>
      </c>
      <c r="E5431">
        <v>0.50685219999999997</v>
      </c>
      <c r="F5431" t="s">
        <v>39</v>
      </c>
      <c r="G5431">
        <v>-264.04730000000001</v>
      </c>
      <c r="H5431" s="1">
        <v>-1.3545379999999999E-6</v>
      </c>
      <c r="I5431">
        <v>-62.687530000000002</v>
      </c>
      <c r="J5431">
        <v>-281.6825</v>
      </c>
      <c r="K5431">
        <v>1.10880499999999</v>
      </c>
      <c r="L5431">
        <v>-62.059359999999998</v>
      </c>
      <c r="M5431">
        <v>0.97660959999999997</v>
      </c>
      <c r="N5431">
        <v>0</v>
      </c>
      <c r="O5431">
        <v>-0.21472279999999999</v>
      </c>
      <c r="P5431">
        <v>0.99893829999999995</v>
      </c>
      <c r="Q5431">
        <v>4.309665E-2</v>
      </c>
      <c r="R5431">
        <v>-1.6295859999999999E-2</v>
      </c>
      <c r="S5431">
        <v>3.009369</v>
      </c>
      <c r="T5431">
        <v>-0.1877817</v>
      </c>
      <c r="U5431">
        <v>-0.1108093</v>
      </c>
      <c r="V5431">
        <v>-0.19914709999999999</v>
      </c>
      <c r="W5431">
        <v>5.2104049999999999E-2</v>
      </c>
      <c r="X5431">
        <v>0.97858349999999905</v>
      </c>
      <c r="Y5431">
        <v>-0.17789679999999999</v>
      </c>
      <c r="Z5431">
        <v>1.883263E-2</v>
      </c>
      <c r="AA5431">
        <v>0.98386890000000005</v>
      </c>
      <c r="AB5431">
        <v>25</v>
      </c>
      <c r="AC5431">
        <v>17.635199999999902</v>
      </c>
      <c r="AD5431">
        <v>-1.10880635453799</v>
      </c>
      <c r="AE5431">
        <v>-0.628170000000004</v>
      </c>
      <c r="AF5431">
        <v>-3.16092548133292</v>
      </c>
      <c r="AG5431">
        <v>-1.10880635453799</v>
      </c>
      <c r="AH5431">
        <v>17.290431160944699</v>
      </c>
      <c r="AI5431">
        <v>93.609597881152595</v>
      </c>
      <c r="AJ5431">
        <v>100.36004342320101</v>
      </c>
      <c r="AK5431">
        <v>17.611925254263699</v>
      </c>
    </row>
    <row r="5432" spans="1:37" x14ac:dyDescent="0.2">
      <c r="A5432" t="str">
        <f>"20200111153759686"</f>
        <v>20200111153759686</v>
      </c>
      <c r="B5432" t="str">
        <f>"1578728279679200"</f>
        <v>1578728279679200</v>
      </c>
      <c r="C5432" t="s">
        <v>37</v>
      </c>
      <c r="D5432">
        <v>5.2394989999999897</v>
      </c>
      <c r="E5432">
        <v>0.50694689999999998</v>
      </c>
      <c r="F5432" t="s">
        <v>59</v>
      </c>
      <c r="G5432">
        <v>-258.97750000000002</v>
      </c>
      <c r="H5432" s="1">
        <v>-3.4102110000000001E-6</v>
      </c>
      <c r="I5432">
        <v>-62.867719999999998</v>
      </c>
      <c r="J5432">
        <v>-281.55329999999998</v>
      </c>
      <c r="K5432">
        <v>1.108806</v>
      </c>
      <c r="L5432">
        <v>-62.084049999999998</v>
      </c>
      <c r="M5432">
        <v>0.97734430000000005</v>
      </c>
      <c r="N5432">
        <v>0</v>
      </c>
      <c r="O5432">
        <v>-0.21135380000000001</v>
      </c>
      <c r="P5432">
        <v>0.99894050000000001</v>
      </c>
      <c r="Q5432">
        <v>4.3399300000000002E-2</v>
      </c>
      <c r="R5432">
        <v>-1.5311379999999999E-2</v>
      </c>
      <c r="S5432">
        <v>3.0077820000000002</v>
      </c>
      <c r="T5432">
        <v>-0.14688619999999999</v>
      </c>
      <c r="U5432">
        <v>-0.10708620000000001</v>
      </c>
      <c r="V5432">
        <v>-0.19673599999999999</v>
      </c>
      <c r="W5432">
        <v>5.2420719999999997E-2</v>
      </c>
      <c r="X5432">
        <v>0.97905419999999999</v>
      </c>
      <c r="Y5432">
        <v>-0.17599960000000001</v>
      </c>
      <c r="Z5432">
        <v>1.453776E-2</v>
      </c>
      <c r="AA5432">
        <v>0.98428289999999996</v>
      </c>
      <c r="AB5432">
        <v>25</v>
      </c>
      <c r="AC5432">
        <v>22.575799999999902</v>
      </c>
      <c r="AD5432">
        <v>-1.108809410211</v>
      </c>
      <c r="AE5432">
        <v>-0.78366999999999998</v>
      </c>
      <c r="AF5432">
        <v>-3.99619314104467</v>
      </c>
      <c r="AG5432">
        <v>-1.108809410211</v>
      </c>
      <c r="AH5432">
        <v>22.177945492984801</v>
      </c>
      <c r="AI5432">
        <v>92.816890059505496</v>
      </c>
      <c r="AJ5432">
        <v>100.214390670843</v>
      </c>
      <c r="AK5432">
        <v>22.562364331304199</v>
      </c>
    </row>
    <row r="5433" spans="1:37" x14ac:dyDescent="0.2">
      <c r="A5433" t="str">
        <f>"20200111153759697"</f>
        <v>20200111153759697</v>
      </c>
      <c r="B5433" t="str">
        <f>"1578728279688962"</f>
        <v>1578728279688962</v>
      </c>
      <c r="C5433" t="s">
        <v>37</v>
      </c>
      <c r="D5433">
        <v>5.1901630000000001</v>
      </c>
      <c r="E5433">
        <v>0.50697630000000005</v>
      </c>
      <c r="F5433" t="s">
        <v>59</v>
      </c>
      <c r="G5433">
        <v>-258.79320000000001</v>
      </c>
      <c r="H5433" s="1">
        <v>-3.3486040000000001E-6</v>
      </c>
      <c r="I5433">
        <v>-62.876089999999998</v>
      </c>
      <c r="J5433">
        <v>-281.41809999999998</v>
      </c>
      <c r="K5433">
        <v>1.1088089999999999</v>
      </c>
      <c r="L5433">
        <v>-62.109469999999902</v>
      </c>
      <c r="M5433">
        <v>0.97810030000000003</v>
      </c>
      <c r="N5433">
        <v>0</v>
      </c>
      <c r="O5433">
        <v>-0.2078286</v>
      </c>
      <c r="P5433">
        <v>0.99894939999999999</v>
      </c>
      <c r="Q5433">
        <v>4.3691790000000001E-2</v>
      </c>
      <c r="R5433">
        <v>-1.3829499999999899E-2</v>
      </c>
      <c r="S5433">
        <v>3.0079349999999998</v>
      </c>
      <c r="T5433">
        <v>-0.14653820000000001</v>
      </c>
      <c r="U5433">
        <v>-0.1046753</v>
      </c>
      <c r="V5433">
        <v>-0.19465729999999901</v>
      </c>
      <c r="W5433">
        <v>5.2722150000000002E-2</v>
      </c>
      <c r="X5433">
        <v>0.97945339999999903</v>
      </c>
      <c r="Y5433">
        <v>-0.17324890000000001</v>
      </c>
      <c r="Z5433">
        <v>1.4267749999999999E-2</v>
      </c>
      <c r="AA5433">
        <v>0.984774699999999</v>
      </c>
      <c r="AB5433">
        <v>25</v>
      </c>
      <c r="AC5433">
        <v>22.624899999999901</v>
      </c>
      <c r="AD5433">
        <v>-1.108812348604</v>
      </c>
      <c r="AE5433">
        <v>-0.76662000000000996</v>
      </c>
      <c r="AF5433">
        <v>-3.9430614702536899</v>
      </c>
      <c r="AG5433">
        <v>-1.108812348604</v>
      </c>
      <c r="AH5433">
        <v>22.236815494901499</v>
      </c>
      <c r="AI5433">
        <v>92.810845029116294</v>
      </c>
      <c r="AJ5433">
        <v>100.055244119862</v>
      </c>
      <c r="AK5433">
        <v>22.610908029906899</v>
      </c>
    </row>
    <row r="5434" spans="1:37" x14ac:dyDescent="0.2">
      <c r="A5434" t="str">
        <f>"20200111153759714"</f>
        <v>20200111153759714</v>
      </c>
      <c r="B5434" t="str">
        <f>"1578728279708480"</f>
        <v>1578728279708480</v>
      </c>
      <c r="C5434" t="s">
        <v>37</v>
      </c>
      <c r="D5434">
        <v>5.2399820000000004</v>
      </c>
      <c r="E5434">
        <v>0.50697950000000003</v>
      </c>
      <c r="F5434" t="s">
        <v>59</v>
      </c>
      <c r="G5434">
        <v>-258.46080000000001</v>
      </c>
      <c r="H5434" s="1">
        <v>-3.235301E-6</v>
      </c>
      <c r="I5434">
        <v>-62.874559999999903</v>
      </c>
      <c r="J5434">
        <v>-281.25189999999998</v>
      </c>
      <c r="K5434">
        <v>1.108816</v>
      </c>
      <c r="L5434">
        <v>-62.139830000000003</v>
      </c>
      <c r="M5434">
        <v>0.97901119999999997</v>
      </c>
      <c r="N5434">
        <v>0</v>
      </c>
      <c r="O5434">
        <v>-0.20349539999999999</v>
      </c>
      <c r="P5434">
        <v>0.99894590000000005</v>
      </c>
      <c r="Q5434">
        <v>4.408815E-2</v>
      </c>
      <c r="R5434">
        <v>-1.280659E-2</v>
      </c>
      <c r="S5434">
        <v>3.0081180000000001</v>
      </c>
      <c r="T5434">
        <v>-0.14528920000000001</v>
      </c>
      <c r="U5434">
        <v>-0.1002502</v>
      </c>
      <c r="V5434">
        <v>-0.19132160000000001</v>
      </c>
      <c r="W5434">
        <v>5.3136889999999999E-2</v>
      </c>
      <c r="X5434">
        <v>0.98008809999999902</v>
      </c>
      <c r="Y5434">
        <v>-0.17035229999999901</v>
      </c>
      <c r="Z5434">
        <v>1.387094E-2</v>
      </c>
      <c r="AA5434">
        <v>0.98528559999999998</v>
      </c>
      <c r="AB5434">
        <v>25</v>
      </c>
      <c r="AC5434">
        <v>22.791099999999901</v>
      </c>
      <c r="AD5434">
        <v>-1.108819235301</v>
      </c>
      <c r="AE5434">
        <v>-0.734729999999991</v>
      </c>
      <c r="AF5434">
        <v>-3.90957915196199</v>
      </c>
      <c r="AG5434">
        <v>-1.108819235301</v>
      </c>
      <c r="AH5434">
        <v>22.4106892343131</v>
      </c>
      <c r="AI5434">
        <v>92.790452638637205</v>
      </c>
      <c r="AJ5434">
        <v>99.895751761426098</v>
      </c>
      <c r="AK5434">
        <v>22.776155979422601</v>
      </c>
    </row>
    <row r="5435" spans="1:37" x14ac:dyDescent="0.2">
      <c r="A5435" t="str">
        <f>"20200111153759724"</f>
        <v>20200111153759724</v>
      </c>
      <c r="B5435" t="str">
        <f>"1578728279718240"</f>
        <v>1578728279718240</v>
      </c>
      <c r="C5435" t="s">
        <v>37</v>
      </c>
      <c r="D5435">
        <v>5.4287429999999999</v>
      </c>
      <c r="E5435">
        <v>0.50685440000000004</v>
      </c>
      <c r="F5435" t="s">
        <v>59</v>
      </c>
      <c r="G5435">
        <v>-258.2654</v>
      </c>
      <c r="H5435" s="1">
        <v>-3.1697649999999998E-6</v>
      </c>
      <c r="I5435">
        <v>-62.881819999999998</v>
      </c>
      <c r="J5435">
        <v>-281.13459999999998</v>
      </c>
      <c r="K5435">
        <v>1.1088169999999999</v>
      </c>
      <c r="L5435">
        <v>-62.16086</v>
      </c>
      <c r="M5435">
        <v>0.97964240000000002</v>
      </c>
      <c r="N5435">
        <v>0</v>
      </c>
      <c r="O5435">
        <v>-0.2004359</v>
      </c>
      <c r="P5435">
        <v>0.99894850000000002</v>
      </c>
      <c r="Q5435">
        <v>4.4364319999999999E-2</v>
      </c>
      <c r="R5435">
        <v>-1.158375E-2</v>
      </c>
      <c r="S5435">
        <v>3.0083310000000001</v>
      </c>
      <c r="T5435">
        <v>-0.14511540000000001</v>
      </c>
      <c r="U5435">
        <v>-9.7106929999999994E-2</v>
      </c>
      <c r="V5435">
        <v>-0.18945879999999901</v>
      </c>
      <c r="W5435">
        <v>5.3420210000000003E-2</v>
      </c>
      <c r="X5435">
        <v>0.98043440000000004</v>
      </c>
      <c r="Y5435">
        <v>-0.16831119999999999</v>
      </c>
      <c r="Z5435">
        <v>1.3659799999999901E-2</v>
      </c>
      <c r="AA5435">
        <v>0.9856393</v>
      </c>
      <c r="AB5435">
        <v>25</v>
      </c>
      <c r="AC5435">
        <v>22.8691999999999</v>
      </c>
      <c r="AD5435">
        <v>-1.108820169765</v>
      </c>
      <c r="AE5435">
        <v>-0.72095999999999705</v>
      </c>
      <c r="AF5435">
        <v>-3.8686848585698601</v>
      </c>
      <c r="AG5435">
        <v>-1.108820169765</v>
      </c>
      <c r="AH5435">
        <v>22.496733992447901</v>
      </c>
      <c r="AI5435">
        <v>92.780958991254593</v>
      </c>
      <c r="AJ5435">
        <v>99.757517625289495</v>
      </c>
      <c r="AK5435">
        <v>22.8538671788992</v>
      </c>
    </row>
    <row r="5436" spans="1:37" x14ac:dyDescent="0.2">
      <c r="A5436" t="str">
        <f>"20200111153759735"</f>
        <v>20200111153759735</v>
      </c>
      <c r="B5436" t="str">
        <f>"1578728279728622"</f>
        <v>1578728279728622</v>
      </c>
      <c r="C5436" t="s">
        <v>37</v>
      </c>
      <c r="D5436">
        <v>5.2507149999999996</v>
      </c>
      <c r="E5436">
        <v>0.50657169999999996</v>
      </c>
      <c r="F5436" t="s">
        <v>59</v>
      </c>
      <c r="G5436">
        <v>-258.10700000000003</v>
      </c>
      <c r="H5436" s="1">
        <v>-3.113895E-6</v>
      </c>
      <c r="I5436">
        <v>-62.866990000000001</v>
      </c>
      <c r="J5436">
        <v>-281.00479999999999</v>
      </c>
      <c r="K5436">
        <v>1.108816</v>
      </c>
      <c r="L5436">
        <v>-62.183719999999902</v>
      </c>
      <c r="M5436">
        <v>0.98032929999999996</v>
      </c>
      <c r="N5436">
        <v>0</v>
      </c>
      <c r="O5436">
        <v>-0.19704920000000001</v>
      </c>
      <c r="P5436">
        <v>0.99896989999999997</v>
      </c>
      <c r="Q5436">
        <v>4.4322830000000001E-2</v>
      </c>
      <c r="R5436">
        <v>-9.7277800000000001E-3</v>
      </c>
      <c r="S5436">
        <v>3.0085139999999999</v>
      </c>
      <c r="T5436">
        <v>-0.14486550000000001</v>
      </c>
      <c r="U5436">
        <v>-9.2254639999999999E-2</v>
      </c>
      <c r="V5436">
        <v>-0.18789139999999999</v>
      </c>
      <c r="W5436">
        <v>5.3379250000000003E-2</v>
      </c>
      <c r="X5436">
        <v>0.9807382</v>
      </c>
      <c r="Y5436">
        <v>-0.16650200000000001</v>
      </c>
      <c r="Z5436">
        <v>1.343248E-2</v>
      </c>
      <c r="AA5436">
        <v>0.98594959999999898</v>
      </c>
      <c r="AB5436">
        <v>25</v>
      </c>
      <c r="AC5436">
        <v>22.897799999999901</v>
      </c>
      <c r="AD5436">
        <v>-1.1088191138950001</v>
      </c>
      <c r="AE5436">
        <v>-0.68327000000000704</v>
      </c>
      <c r="AF5436">
        <v>-3.83342459856916</v>
      </c>
      <c r="AG5436">
        <v>-1.1088191138950001</v>
      </c>
      <c r="AH5436">
        <v>22.530659411726099</v>
      </c>
      <c r="AI5436">
        <v>92.777616006065799</v>
      </c>
      <c r="AJ5436">
        <v>99.655985092507606</v>
      </c>
      <c r="AK5436">
        <v>22.8813294523605</v>
      </c>
    </row>
    <row r="5437" spans="1:37" x14ac:dyDescent="0.2">
      <c r="A5437" t="str">
        <f>"20200111153759748"</f>
        <v>20200111153759748</v>
      </c>
      <c r="B5437" t="str">
        <f>"1578728279738362"</f>
        <v>1578728279738362</v>
      </c>
      <c r="C5437" t="s">
        <v>37</v>
      </c>
      <c r="D5437">
        <v>5.2204280000000001</v>
      </c>
      <c r="E5437">
        <v>0.50656229999999902</v>
      </c>
      <c r="F5437" t="s">
        <v>59</v>
      </c>
      <c r="G5437">
        <v>-258.08519999999999</v>
      </c>
      <c r="H5437" s="1">
        <v>-3.1007950000000001E-6</v>
      </c>
      <c r="I5437">
        <v>-62.824649999999998</v>
      </c>
      <c r="J5437">
        <v>-280.88099999999997</v>
      </c>
      <c r="K5437">
        <v>1.1088169999999999</v>
      </c>
      <c r="L5437">
        <v>-62.205019999999998</v>
      </c>
      <c r="M5437">
        <v>0.98097269999999903</v>
      </c>
      <c r="N5437">
        <v>0</v>
      </c>
      <c r="O5437">
        <v>-0.19382070000000001</v>
      </c>
      <c r="P5437">
        <v>0.99898509999999996</v>
      </c>
      <c r="Q5437">
        <v>4.4273149999999997E-2</v>
      </c>
      <c r="R5437">
        <v>-8.2633369999999904E-3</v>
      </c>
      <c r="S5437">
        <v>3.0087280000000001</v>
      </c>
      <c r="T5437">
        <v>-0.1455581</v>
      </c>
      <c r="U5437">
        <v>-8.4136959999999997E-2</v>
      </c>
      <c r="V5437">
        <v>-0.1860995</v>
      </c>
      <c r="W5437">
        <v>5.3334970000000002E-2</v>
      </c>
      <c r="X5437">
        <v>0.98108229999999996</v>
      </c>
      <c r="Y5437">
        <v>-0.16591629999999999</v>
      </c>
      <c r="Z5437">
        <v>1.332912E-2</v>
      </c>
      <c r="AA5437">
        <v>0.98604979999999998</v>
      </c>
      <c r="AB5437">
        <v>25</v>
      </c>
      <c r="AC5437">
        <v>22.7957999999999</v>
      </c>
      <c r="AD5437">
        <v>-1.108820100795</v>
      </c>
      <c r="AE5437">
        <v>-0.61963000000000001</v>
      </c>
      <c r="AF5437">
        <v>-3.8017099089841802</v>
      </c>
      <c r="AG5437">
        <v>-1.108820100795</v>
      </c>
      <c r="AH5437">
        <v>22.4305410028369</v>
      </c>
      <c r="AI5437">
        <v>92.790297720240702</v>
      </c>
      <c r="AJ5437">
        <v>99.619537346781797</v>
      </c>
      <c r="AK5437">
        <v>22.777437299396599</v>
      </c>
    </row>
    <row r="5438" spans="1:37" x14ac:dyDescent="0.2">
      <c r="A5438" t="str">
        <f>"20200111153759757"</f>
        <v>20200111153759757</v>
      </c>
      <c r="B5438" t="str">
        <f>"1578728279749098"</f>
        <v>1578728279749098</v>
      </c>
      <c r="C5438" t="s">
        <v>37</v>
      </c>
      <c r="D5438">
        <v>5.1944790000000003</v>
      </c>
      <c r="E5438">
        <v>0.50650169999999906</v>
      </c>
      <c r="F5438" t="s">
        <v>59</v>
      </c>
      <c r="G5438">
        <v>-258.14460000000003</v>
      </c>
      <c r="H5438" s="1">
        <v>-3.1184169999999999E-6</v>
      </c>
      <c r="I5438">
        <v>-62.805280000000003</v>
      </c>
      <c r="J5438">
        <v>-280.76839999999999</v>
      </c>
      <c r="K5438">
        <v>1.108816</v>
      </c>
      <c r="L5438">
        <v>-62.224179999999997</v>
      </c>
      <c r="M5438">
        <v>0.9815488</v>
      </c>
      <c r="N5438">
        <v>0</v>
      </c>
      <c r="O5438">
        <v>-0.19088350000000001</v>
      </c>
      <c r="P5438">
        <v>0.99901240000000002</v>
      </c>
      <c r="Q5438">
        <v>4.3846099999999999E-2</v>
      </c>
      <c r="R5438">
        <v>-7.1951189999999998E-3</v>
      </c>
      <c r="S5438">
        <v>3.0088810000000001</v>
      </c>
      <c r="T5438">
        <v>-0.14673849999999999</v>
      </c>
      <c r="U5438">
        <v>-7.9437259999999996E-2</v>
      </c>
      <c r="V5438">
        <v>-0.18420999999999901</v>
      </c>
      <c r="W5438">
        <v>5.2916419999999999E-2</v>
      </c>
      <c r="X5438">
        <v>0.98146139999999904</v>
      </c>
      <c r="Y5438">
        <v>-0.16450309999999899</v>
      </c>
      <c r="Z5438">
        <v>1.32617E-2</v>
      </c>
      <c r="AA5438">
        <v>0.98628739999999904</v>
      </c>
      <c r="AB5438">
        <v>25</v>
      </c>
      <c r="AC5438">
        <v>22.6237999999999</v>
      </c>
      <c r="AD5438">
        <v>-1.108819118417</v>
      </c>
      <c r="AE5438">
        <v>-0.58109999999999895</v>
      </c>
      <c r="AF5438">
        <v>-3.7393907771452302</v>
      </c>
      <c r="AG5438">
        <v>-1.108819118417</v>
      </c>
      <c r="AH5438">
        <v>22.265238073729002</v>
      </c>
      <c r="AI5438">
        <v>92.811687411084606</v>
      </c>
      <c r="AJ5438">
        <v>99.533709536721702</v>
      </c>
      <c r="AK5438">
        <v>22.604277243508498</v>
      </c>
    </row>
    <row r="5439" spans="1:37" x14ac:dyDescent="0.2">
      <c r="A5439" t="str">
        <f>"20200111153759769"</f>
        <v>20200111153759769</v>
      </c>
      <c r="B5439" t="str">
        <f>"1578728279758860"</f>
        <v>1578728279758860</v>
      </c>
      <c r="C5439" t="s">
        <v>37</v>
      </c>
      <c r="D5439">
        <v>5.2166790000000001</v>
      </c>
      <c r="E5439">
        <v>0.50658400000000003</v>
      </c>
      <c r="F5439" t="s">
        <v>59</v>
      </c>
      <c r="G5439">
        <v>-258.38799999999998</v>
      </c>
      <c r="H5439" s="1">
        <v>-3.1987139999999999E-6</v>
      </c>
      <c r="I5439">
        <v>-62.786200000000001</v>
      </c>
      <c r="J5439">
        <v>-280.65030000000002</v>
      </c>
      <c r="K5439">
        <v>1.108816</v>
      </c>
      <c r="L5439">
        <v>-62.243650000000002</v>
      </c>
      <c r="M5439">
        <v>0.98214269999999904</v>
      </c>
      <c r="N5439">
        <v>0</v>
      </c>
      <c r="O5439">
        <v>-0.18780469999999999</v>
      </c>
      <c r="P5439">
        <v>0.99903759999999997</v>
      </c>
      <c r="Q5439">
        <v>4.350147E-2</v>
      </c>
      <c r="R5439">
        <v>-5.6042069999999999E-3</v>
      </c>
      <c r="S5439">
        <v>3.008972</v>
      </c>
      <c r="T5439">
        <v>-0.1490774</v>
      </c>
      <c r="U5439">
        <v>-7.5561519999999993E-2</v>
      </c>
      <c r="V5439">
        <v>-0.18269389999999999</v>
      </c>
      <c r="W5439">
        <v>5.2575490000000002E-2</v>
      </c>
      <c r="X5439">
        <v>0.981763099999999</v>
      </c>
      <c r="Y5439">
        <v>-0.16267279999999901</v>
      </c>
      <c r="Z5439">
        <v>1.3277479999999999E-2</v>
      </c>
      <c r="AA5439">
        <v>0.98659069999999904</v>
      </c>
      <c r="AB5439">
        <v>25</v>
      </c>
      <c r="AC5439">
        <v>22.2623</v>
      </c>
      <c r="AD5439">
        <v>-1.1088191987139999</v>
      </c>
      <c r="AE5439">
        <v>-0.54254999999999798</v>
      </c>
      <c r="AF5439">
        <v>-3.6393084596783001</v>
      </c>
      <c r="AG5439">
        <v>-1.1088191987139999</v>
      </c>
      <c r="AH5439">
        <v>21.913693212096401</v>
      </c>
      <c r="AI5439">
        <v>92.857587262607396</v>
      </c>
      <c r="AJ5439">
        <v>99.429314547110394</v>
      </c>
      <c r="AK5439">
        <v>22.241492671896001</v>
      </c>
    </row>
    <row r="5440" spans="1:37" x14ac:dyDescent="0.2">
      <c r="A5440" t="str">
        <f>"20200111153759781"</f>
        <v>20200111153759781</v>
      </c>
      <c r="B5440" t="str">
        <f>"1578728279768618"</f>
        <v>1578728279768618</v>
      </c>
      <c r="C5440" t="s">
        <v>37</v>
      </c>
      <c r="D5440">
        <v>5.202083</v>
      </c>
      <c r="E5440">
        <v>0.50658400000000003</v>
      </c>
      <c r="F5440" t="s">
        <v>59</v>
      </c>
      <c r="G5440">
        <v>-258.71100000000001</v>
      </c>
      <c r="H5440" s="1">
        <v>-3.3054269999999998E-6</v>
      </c>
      <c r="I5440">
        <v>-62.762309999999999</v>
      </c>
      <c r="J5440">
        <v>-280.52159999999998</v>
      </c>
      <c r="K5440">
        <v>1.1088119999999999</v>
      </c>
      <c r="L5440">
        <v>-62.264740000000003</v>
      </c>
      <c r="M5440">
        <v>0.98277909999999902</v>
      </c>
      <c r="N5440">
        <v>0</v>
      </c>
      <c r="O5440">
        <v>-0.1844469</v>
      </c>
      <c r="P5440">
        <v>0.99908269999999899</v>
      </c>
      <c r="Q5440">
        <v>4.2689350000000001E-2</v>
      </c>
      <c r="R5440">
        <v>-3.3753250000000002E-3</v>
      </c>
      <c r="S5440">
        <v>3.0090939999999899</v>
      </c>
      <c r="T5440">
        <v>-0.1520803</v>
      </c>
      <c r="U5440">
        <v>-7.1136469999999993E-2</v>
      </c>
      <c r="V5440">
        <v>-0.18152599999999999</v>
      </c>
      <c r="W5440">
        <v>5.1762160000000002E-2</v>
      </c>
      <c r="X5440">
        <v>0.98202289999999903</v>
      </c>
      <c r="Y5440">
        <v>-0.16074069999999999</v>
      </c>
      <c r="Z5440">
        <v>1.3328700000000001E-2</v>
      </c>
      <c r="AA5440">
        <v>0.98690659999999897</v>
      </c>
      <c r="AB5440">
        <v>25</v>
      </c>
      <c r="AC5440">
        <v>21.810599999999901</v>
      </c>
      <c r="AD5440">
        <v>-1.108815305427</v>
      </c>
      <c r="AE5440">
        <v>-0.49756999999999602</v>
      </c>
      <c r="AF5440">
        <v>-3.5250105199010302</v>
      </c>
      <c r="AG5440">
        <v>-1.108815305427</v>
      </c>
      <c r="AH5440">
        <v>21.472650081425201</v>
      </c>
      <c r="AI5440">
        <v>92.917065634921997</v>
      </c>
      <c r="AJ5440">
        <v>99.322682531070299</v>
      </c>
      <c r="AK5440">
        <v>21.788296676571399</v>
      </c>
    </row>
    <row r="5441" spans="1:37" x14ac:dyDescent="0.2">
      <c r="A5441" t="str">
        <f>"20200111153759793"</f>
        <v>20200111153759793</v>
      </c>
      <c r="B5441" t="str">
        <f>"1578728279789114"</f>
        <v>1578728279789114</v>
      </c>
      <c r="C5441" t="s">
        <v>37</v>
      </c>
      <c r="D5441">
        <v>5.2324089999999996</v>
      </c>
      <c r="E5441">
        <v>0.50910230000000001</v>
      </c>
      <c r="F5441" t="s">
        <v>59</v>
      </c>
      <c r="G5441">
        <v>-258.93369999999999</v>
      </c>
      <c r="H5441" s="1">
        <v>-3.3763990000000002E-6</v>
      </c>
      <c r="I5441">
        <v>-62.726259999999897</v>
      </c>
      <c r="J5441">
        <v>-280.39060000000001</v>
      </c>
      <c r="K5441">
        <v>1.1088089999999999</v>
      </c>
      <c r="L5441">
        <v>-62.285490000000003</v>
      </c>
      <c r="M5441">
        <v>0.98341409999999996</v>
      </c>
      <c r="N5441">
        <v>0</v>
      </c>
      <c r="O5441">
        <v>-0.181031</v>
      </c>
      <c r="P5441">
        <v>0.99913009999999902</v>
      </c>
      <c r="Q5441">
        <v>4.1666050000000003E-2</v>
      </c>
      <c r="R5441">
        <v>-1.7933700000000001E-3</v>
      </c>
      <c r="S5441">
        <v>3.0091549999999998</v>
      </c>
      <c r="T5441">
        <v>-0.154559</v>
      </c>
      <c r="U5441">
        <v>-6.4331050000000001E-2</v>
      </c>
      <c r="V5441">
        <v>-0.17966479999999899</v>
      </c>
      <c r="W5441">
        <v>5.0746399999999997E-2</v>
      </c>
      <c r="X5441">
        <v>0.98241809999999996</v>
      </c>
      <c r="Y5441">
        <v>-0.15953419999999999</v>
      </c>
      <c r="Z5441">
        <v>1.3342359999999999E-2</v>
      </c>
      <c r="AA5441">
        <v>0.98710219999999904</v>
      </c>
      <c r="AB5441">
        <v>25</v>
      </c>
      <c r="AC5441">
        <v>21.456900000000001</v>
      </c>
      <c r="AD5441">
        <v>-1.1088123763990001</v>
      </c>
      <c r="AE5441">
        <v>-0.440769999999993</v>
      </c>
      <c r="AF5441">
        <v>-3.4419318621416402</v>
      </c>
      <c r="AG5441">
        <v>-1.1088123763990001</v>
      </c>
      <c r="AH5441">
        <v>21.125738368876899</v>
      </c>
      <c r="AI5441">
        <v>92.965458106708894</v>
      </c>
      <c r="AJ5441">
        <v>99.253664203545597</v>
      </c>
      <c r="AK5441">
        <v>21.4329928255463</v>
      </c>
    </row>
    <row r="5442" spans="1:37" x14ac:dyDescent="0.2">
      <c r="A5442" t="str">
        <f>"20200111153759805"</f>
        <v>20200111153759805</v>
      </c>
      <c r="B5442" t="str">
        <f>"1578728279798876"</f>
        <v>1578728279798876</v>
      </c>
      <c r="C5442" t="s">
        <v>37</v>
      </c>
      <c r="D5442">
        <v>5.2282510000000002</v>
      </c>
      <c r="E5442">
        <v>0.50887759999999904</v>
      </c>
      <c r="F5442" t="s">
        <v>58</v>
      </c>
      <c r="G5442">
        <v>-262.5412</v>
      </c>
      <c r="H5442" s="1">
        <v>-7.2667010000000003E-7</v>
      </c>
      <c r="I5442">
        <v>-62.756079999999997</v>
      </c>
      <c r="J5442">
        <v>-280.24889999999999</v>
      </c>
      <c r="K5442">
        <v>1.1088020000000001</v>
      </c>
      <c r="L5442">
        <v>-62.307499999999997</v>
      </c>
      <c r="M5442">
        <v>0.98408770000000001</v>
      </c>
      <c r="N5442">
        <v>0</v>
      </c>
      <c r="O5442">
        <v>-0.177334299999999</v>
      </c>
      <c r="P5442">
        <v>0.99917219999999995</v>
      </c>
      <c r="Q5442">
        <v>4.0676770000000001E-2</v>
      </c>
      <c r="R5442">
        <v>8.1337209999999996E-4</v>
      </c>
      <c r="S5442">
        <v>3.0102540000000002</v>
      </c>
      <c r="T5442">
        <v>-0.18699749999999901</v>
      </c>
      <c r="U5442">
        <v>-7.9376219999999997E-2</v>
      </c>
      <c r="V5442">
        <v>-0.17853289999999999</v>
      </c>
      <c r="W5442">
        <v>4.9754880000000001E-2</v>
      </c>
      <c r="X5442">
        <v>0.98267510000000002</v>
      </c>
      <c r="Y5442">
        <v>-0.1507136</v>
      </c>
      <c r="Z5442">
        <v>1.5629649999999998E-2</v>
      </c>
      <c r="AA5442">
        <v>0.9884539</v>
      </c>
      <c r="AB5442">
        <v>25</v>
      </c>
      <c r="AC5442">
        <v>17.7076999999999</v>
      </c>
      <c r="AD5442">
        <v>-1.1088027266700999</v>
      </c>
      <c r="AE5442">
        <v>-0.44858000000000597</v>
      </c>
      <c r="AF5442">
        <v>-2.6883737386002799</v>
      </c>
      <c r="AG5442">
        <v>-1.1088027266700999</v>
      </c>
      <c r="AH5442">
        <v>17.4382338580272</v>
      </c>
      <c r="AI5442">
        <v>93.595863001765807</v>
      </c>
      <c r="AJ5442">
        <v>98.764034561432396</v>
      </c>
      <c r="AK5442">
        <v>17.6790496614585</v>
      </c>
    </row>
    <row r="5443" spans="1:37" x14ac:dyDescent="0.2">
      <c r="A5443" t="str">
        <f>"20200111153759826"</f>
        <v>20200111153759826</v>
      </c>
      <c r="B5443" t="str">
        <f>"1578728279818394"</f>
        <v>1578728279818394</v>
      </c>
      <c r="C5443" t="s">
        <v>37</v>
      </c>
      <c r="D5443">
        <v>5.2607759999999999</v>
      </c>
      <c r="E5443">
        <v>0.50874299999999995</v>
      </c>
      <c r="F5443" t="s">
        <v>39</v>
      </c>
      <c r="G5443">
        <v>-262.79050000000001</v>
      </c>
      <c r="H5443" s="1">
        <v>-8.2144420000000002E-7</v>
      </c>
      <c r="I5443">
        <v>-62.710250000000002</v>
      </c>
      <c r="J5443">
        <v>-280.02800000000002</v>
      </c>
      <c r="K5443">
        <v>1.108797</v>
      </c>
      <c r="L5443">
        <v>-62.340789999999998</v>
      </c>
      <c r="M5443">
        <v>0.98510919999999902</v>
      </c>
      <c r="N5443">
        <v>0</v>
      </c>
      <c r="O5443">
        <v>-0.17157039999999901</v>
      </c>
      <c r="P5443">
        <v>0.99922269999999902</v>
      </c>
      <c r="Q5443">
        <v>3.9267629999999998E-2</v>
      </c>
      <c r="R5443">
        <v>3.5007630000000001E-3</v>
      </c>
      <c r="S5443">
        <v>3.0103149999999999</v>
      </c>
      <c r="T5443">
        <v>-0.1911891</v>
      </c>
      <c r="U5443">
        <v>-6.9458010000000001E-2</v>
      </c>
      <c r="V5443">
        <v>-0.17541679999999901</v>
      </c>
      <c r="W5443">
        <v>4.8361330000000001E-2</v>
      </c>
      <c r="X5443">
        <v>0.98330569999999895</v>
      </c>
      <c r="Y5443">
        <v>-0.14816949999999901</v>
      </c>
      <c r="Z5443">
        <v>1.5538710000000001E-2</v>
      </c>
      <c r="AA5443">
        <v>0.98883989999999999</v>
      </c>
      <c r="AB5443">
        <v>25</v>
      </c>
      <c r="AC5443">
        <v>17.237500000000001</v>
      </c>
      <c r="AD5443">
        <v>-1.1087978214442</v>
      </c>
      <c r="AE5443">
        <v>-0.36945999999999601</v>
      </c>
      <c r="AF5443">
        <v>-2.5829638856733199</v>
      </c>
      <c r="AG5443">
        <v>-1.1087978214442</v>
      </c>
      <c r="AH5443">
        <v>16.975055510039201</v>
      </c>
      <c r="AI5443">
        <v>93.694799143054496</v>
      </c>
      <c r="AJ5443">
        <v>98.651892779458905</v>
      </c>
      <c r="AK5443">
        <v>17.2062094783379</v>
      </c>
    </row>
    <row r="5444" spans="1:37" x14ac:dyDescent="0.2">
      <c r="A5444" t="str">
        <f>"20200111153759836"</f>
        <v>20200111153759836</v>
      </c>
      <c r="B5444" t="str">
        <f>"1578728279829130"</f>
        <v>1578728279829130</v>
      </c>
      <c r="C5444" t="s">
        <v>37</v>
      </c>
      <c r="D5444">
        <v>5.206175</v>
      </c>
      <c r="E5444">
        <v>0.50892579999999998</v>
      </c>
      <c r="F5444" t="s">
        <v>39</v>
      </c>
      <c r="G5444">
        <v>-263.13510000000002</v>
      </c>
      <c r="H5444" s="1">
        <v>-9.6004619999999894E-7</v>
      </c>
      <c r="I5444">
        <v>-62.675530000000002</v>
      </c>
      <c r="J5444">
        <v>-279.90660000000003</v>
      </c>
      <c r="K5444">
        <v>1.1087929999999999</v>
      </c>
      <c r="L5444">
        <v>-62.358580000000003</v>
      </c>
      <c r="M5444">
        <v>0.98565509999999901</v>
      </c>
      <c r="N5444">
        <v>0</v>
      </c>
      <c r="O5444">
        <v>-0.1684052</v>
      </c>
      <c r="P5444">
        <v>0.99924369999999996</v>
      </c>
      <c r="Q5444">
        <v>3.8531799999999998E-2</v>
      </c>
      <c r="R5444">
        <v>5.2046439999999996E-3</v>
      </c>
      <c r="S5444">
        <v>3.010284</v>
      </c>
      <c r="T5444">
        <v>-0.1975867</v>
      </c>
      <c r="U5444">
        <v>-5.9661869999999999E-2</v>
      </c>
      <c r="V5444">
        <v>-0.17393169999999999</v>
      </c>
      <c r="W5444">
        <v>4.763117E-2</v>
      </c>
      <c r="X5444">
        <v>0.98360509999999901</v>
      </c>
      <c r="Y5444">
        <v>-0.14817239999999901</v>
      </c>
      <c r="Z5444">
        <v>1.5854139999999999E-2</v>
      </c>
      <c r="AA5444">
        <v>0.9888344</v>
      </c>
      <c r="AB5444">
        <v>25</v>
      </c>
      <c r="AC5444">
        <v>16.7715</v>
      </c>
      <c r="AD5444">
        <v>-1.1087939600462</v>
      </c>
      <c r="AE5444">
        <v>-0.31694999999999801</v>
      </c>
      <c r="AF5444">
        <v>-2.50123142268923</v>
      </c>
      <c r="AG5444">
        <v>-1.1087939600462</v>
      </c>
      <c r="AH5444">
        <v>16.513166997698601</v>
      </c>
      <c r="AI5444">
        <v>93.798224211477205</v>
      </c>
      <c r="AJ5444">
        <v>98.613058237984305</v>
      </c>
      <c r="AK5444">
        <v>16.738287456295101</v>
      </c>
    </row>
    <row r="5445" spans="1:37" x14ac:dyDescent="0.2">
      <c r="A5445" t="str">
        <f>"20200111153759848"</f>
        <v>20200111153759848</v>
      </c>
      <c r="B5445" t="str">
        <f>"1578728279838891"</f>
        <v>1578728279838891</v>
      </c>
      <c r="C5445" t="s">
        <v>37</v>
      </c>
      <c r="D5445">
        <v>5.1940359999999997</v>
      </c>
      <c r="E5445">
        <v>0.50853649999999995</v>
      </c>
      <c r="F5445" t="s">
        <v>39</v>
      </c>
      <c r="G5445">
        <v>-263.25490000000002</v>
      </c>
      <c r="H5445" s="1">
        <v>-1.0090799999999899E-6</v>
      </c>
      <c r="I5445">
        <v>-62.6667699999999</v>
      </c>
      <c r="J5445">
        <v>-279.78190000000001</v>
      </c>
      <c r="K5445">
        <v>1.1087929999999999</v>
      </c>
      <c r="L5445">
        <v>-62.376280000000001</v>
      </c>
      <c r="M5445">
        <v>0.98620560000000002</v>
      </c>
      <c r="N5445">
        <v>0</v>
      </c>
      <c r="O5445">
        <v>-0.1651521</v>
      </c>
      <c r="P5445">
        <v>0.99925459999999999</v>
      </c>
      <c r="Q5445">
        <v>3.805182E-2</v>
      </c>
      <c r="R5445">
        <v>6.5034949999999998E-3</v>
      </c>
      <c r="S5445">
        <v>3.0102540000000002</v>
      </c>
      <c r="T5445">
        <v>-0.2004446</v>
      </c>
      <c r="U5445">
        <v>-5.57251E-2</v>
      </c>
      <c r="V5445">
        <v>-0.17196149999999999</v>
      </c>
      <c r="W5445">
        <v>4.7164409999999997E-2</v>
      </c>
      <c r="X5445">
        <v>0.98397400000000002</v>
      </c>
      <c r="Y5445">
        <v>-0.1461934</v>
      </c>
      <c r="Z5445">
        <v>1.5803910000000001E-2</v>
      </c>
      <c r="AA5445">
        <v>0.98912979999999995</v>
      </c>
      <c r="AB5445">
        <v>25</v>
      </c>
      <c r="AC5445">
        <v>16.526999999999902</v>
      </c>
      <c r="AD5445">
        <v>-1.1087940090799999</v>
      </c>
      <c r="AE5445">
        <v>-0.29048999999999098</v>
      </c>
      <c r="AF5445">
        <v>-2.4321924788802001</v>
      </c>
      <c r="AG5445">
        <v>-1.1087940090799999</v>
      </c>
      <c r="AH5445">
        <v>16.274771944064099</v>
      </c>
      <c r="AI5445">
        <v>93.854838752661195</v>
      </c>
      <c r="AJ5445">
        <v>98.499695292116201</v>
      </c>
      <c r="AK5445">
        <v>16.492822264251501</v>
      </c>
    </row>
    <row r="5446" spans="1:37" x14ac:dyDescent="0.2">
      <c r="A5446" t="str">
        <f>"20200111153759860"</f>
        <v>20200111153759860</v>
      </c>
      <c r="B5446" t="str">
        <f>"1578728279848650"</f>
        <v>1578728279848650</v>
      </c>
      <c r="C5446" t="s">
        <v>37</v>
      </c>
      <c r="D5446">
        <v>5.2389049999999999</v>
      </c>
      <c r="E5446">
        <v>0.50827120000000003</v>
      </c>
      <c r="F5446" t="s">
        <v>39</v>
      </c>
      <c r="G5446">
        <v>-263.2208</v>
      </c>
      <c r="H5446" s="1">
        <v>-9.8809980000000003E-7</v>
      </c>
      <c r="I5446">
        <v>-62.642829999999996</v>
      </c>
      <c r="J5446">
        <v>-279.65219999999999</v>
      </c>
      <c r="K5446">
        <v>1.1087940000000001</v>
      </c>
      <c r="L5446">
        <v>-62.394440000000003</v>
      </c>
      <c r="M5446">
        <v>0.98676649999999999</v>
      </c>
      <c r="N5446">
        <v>0</v>
      </c>
      <c r="O5446">
        <v>-0.1617683</v>
      </c>
      <c r="P5446">
        <v>0.99925969999999997</v>
      </c>
      <c r="Q5446">
        <v>3.7624770000000002E-2</v>
      </c>
      <c r="R5446">
        <v>8.0380499999999997E-3</v>
      </c>
      <c r="S5446">
        <v>3.0102229999999999</v>
      </c>
      <c r="T5446">
        <v>-0.20153979999999999</v>
      </c>
      <c r="U5446">
        <v>-4.8461909999999997E-2</v>
      </c>
      <c r="V5446">
        <v>-0.1700952</v>
      </c>
      <c r="W5446">
        <v>4.6748110000000002E-2</v>
      </c>
      <c r="X5446">
        <v>0.98431809999999997</v>
      </c>
      <c r="Y5446">
        <v>-0.14518819999999999</v>
      </c>
      <c r="Z5446">
        <v>1.5633669999999999E-2</v>
      </c>
      <c r="AA5446">
        <v>0.98928050000000001</v>
      </c>
      <c r="AB5446">
        <v>25</v>
      </c>
      <c r="AC5446">
        <v>16.431399999999901</v>
      </c>
      <c r="AD5446">
        <v>-1.1087949880998</v>
      </c>
      <c r="AE5446">
        <v>-0.24839</v>
      </c>
      <c r="AF5446">
        <v>-2.4021889241599399</v>
      </c>
      <c r="AG5446">
        <v>-1.1087949880998</v>
      </c>
      <c r="AH5446">
        <v>16.181468690434698</v>
      </c>
      <c r="AI5446">
        <v>93.877560813463106</v>
      </c>
      <c r="AJ5446">
        <v>98.4440645521303</v>
      </c>
      <c r="AK5446">
        <v>16.396336997406198</v>
      </c>
    </row>
    <row r="5447" spans="1:37" x14ac:dyDescent="0.2">
      <c r="A5447" t="str">
        <f>"20200111153759871"</f>
        <v>20200111153759871</v>
      </c>
      <c r="B5447" t="str">
        <f>"1578728279858410"</f>
        <v>1578728279858410</v>
      </c>
      <c r="C5447" t="s">
        <v>37</v>
      </c>
      <c r="D5447">
        <v>5.2144389999999996</v>
      </c>
      <c r="E5447">
        <v>0.50799529999999904</v>
      </c>
      <c r="F5447" t="s">
        <v>39</v>
      </c>
      <c r="G5447">
        <v>-263.14</v>
      </c>
      <c r="H5447" s="1">
        <v>-9.479691E-7</v>
      </c>
      <c r="I5447">
        <v>-62.62238</v>
      </c>
      <c r="J5447">
        <v>-279.52890000000002</v>
      </c>
      <c r="K5447">
        <v>1.1088</v>
      </c>
      <c r="L5447">
        <v>-62.41104</v>
      </c>
      <c r="M5447">
        <v>0.98728869999999902</v>
      </c>
      <c r="N5447">
        <v>0</v>
      </c>
      <c r="O5447">
        <v>-0.1585511</v>
      </c>
      <c r="P5447">
        <v>0.99925109999999995</v>
      </c>
      <c r="Q5447">
        <v>3.7529159999999999E-2</v>
      </c>
      <c r="R5447">
        <v>9.4356140000000002E-3</v>
      </c>
      <c r="S5447">
        <v>3.0101619999999998</v>
      </c>
      <c r="T5447">
        <v>-0.20213200000000001</v>
      </c>
      <c r="U5447">
        <v>-4.1564940000000002E-2</v>
      </c>
      <c r="V5447">
        <v>-0.16826179999999999</v>
      </c>
      <c r="W5447">
        <v>4.6661899999999999E-2</v>
      </c>
      <c r="X5447">
        <v>0.98463729999999905</v>
      </c>
      <c r="Y5447">
        <v>-0.14423440000000001</v>
      </c>
      <c r="Z5447">
        <v>1.5435050000000001E-2</v>
      </c>
      <c r="AA5447">
        <v>0.98942319999999995</v>
      </c>
      <c r="AB5447">
        <v>25</v>
      </c>
      <c r="AC5447">
        <v>16.3889</v>
      </c>
      <c r="AD5447">
        <v>-1.1088009479690999</v>
      </c>
      <c r="AE5447">
        <v>-0.211340000000006</v>
      </c>
      <c r="AF5447">
        <v>-2.3790830835860102</v>
      </c>
      <c r="AG5447">
        <v>-1.1088009479690999</v>
      </c>
      <c r="AH5447">
        <v>16.141207193142801</v>
      </c>
      <c r="AI5447">
        <v>93.887819286256203</v>
      </c>
      <c r="AJ5447">
        <v>98.384564734519998</v>
      </c>
      <c r="AK5447">
        <v>16.3532273729924</v>
      </c>
    </row>
    <row r="5448" spans="1:37" x14ac:dyDescent="0.2">
      <c r="A5448" t="str">
        <f>"20200111153759880"</f>
        <v>20200111153759880</v>
      </c>
      <c r="B5448" t="str">
        <f>"1578728279869146"</f>
        <v>1578728279869146</v>
      </c>
      <c r="C5448" t="s">
        <v>37</v>
      </c>
      <c r="D5448">
        <v>5.4873500000000002</v>
      </c>
      <c r="E5448">
        <v>0.50782819999999995</v>
      </c>
      <c r="F5448" t="s">
        <v>39</v>
      </c>
      <c r="G5448">
        <v>-263.16449999999998</v>
      </c>
      <c r="H5448" s="1">
        <v>-9.530645E-7</v>
      </c>
      <c r="I5448">
        <v>-62.6019199999999</v>
      </c>
      <c r="J5448">
        <v>-279.42329999999998</v>
      </c>
      <c r="K5448">
        <v>1.1088009999999999</v>
      </c>
      <c r="L5448">
        <v>-62.425199999999997</v>
      </c>
      <c r="M5448">
        <v>0.98772739999999903</v>
      </c>
      <c r="N5448">
        <v>0</v>
      </c>
      <c r="O5448">
        <v>-0.15579570000000001</v>
      </c>
      <c r="P5448">
        <v>0.9992413</v>
      </c>
      <c r="Q5448">
        <v>3.7500760000000001E-2</v>
      </c>
      <c r="R5448">
        <v>1.0530039999999999E-2</v>
      </c>
      <c r="S5448">
        <v>3.0102540000000002</v>
      </c>
      <c r="T5448">
        <v>-0.20396610000000001</v>
      </c>
      <c r="U5448">
        <v>-3.5125730000000001E-2</v>
      </c>
      <c r="V5448">
        <v>-0.16659260000000001</v>
      </c>
      <c r="W5448">
        <v>4.664285E-2</v>
      </c>
      <c r="X5448">
        <v>0.98492199999999996</v>
      </c>
      <c r="Y5448">
        <v>-0.1435854</v>
      </c>
      <c r="Z5448">
        <v>1.5368369999999999E-2</v>
      </c>
      <c r="AA5448">
        <v>0.98951859999999903</v>
      </c>
      <c r="AB5448">
        <v>25</v>
      </c>
      <c r="AC5448">
        <v>16.258800000000001</v>
      </c>
      <c r="AD5448">
        <v>-1.1088019530644999</v>
      </c>
      <c r="AE5448">
        <v>-0.17671999999999599</v>
      </c>
      <c r="AF5448">
        <v>-2.3477265562437299</v>
      </c>
      <c r="AG5448">
        <v>-1.1088019530644999</v>
      </c>
      <c r="AH5448">
        <v>16.013311647152602</v>
      </c>
      <c r="AI5448">
        <v>93.919216821631096</v>
      </c>
      <c r="AJ5448">
        <v>98.340765483453097</v>
      </c>
      <c r="AK5448">
        <v>16.222435441783801</v>
      </c>
    </row>
    <row r="5449" spans="1:37" x14ac:dyDescent="0.2">
      <c r="A5449" t="str">
        <f>"20200111153759891"</f>
        <v>20200111153759891</v>
      </c>
      <c r="B5449" t="str">
        <f>"1578728279878906"</f>
        <v>1578728279878906</v>
      </c>
      <c r="C5449" t="s">
        <v>37</v>
      </c>
      <c r="D5449">
        <v>5.2403409999999999</v>
      </c>
      <c r="E5449">
        <v>0.507664</v>
      </c>
      <c r="F5449" t="s">
        <v>58</v>
      </c>
      <c r="G5449">
        <v>-263.05380000000002</v>
      </c>
      <c r="H5449" s="1">
        <v>-9.0282509999999995E-7</v>
      </c>
      <c r="I5449">
        <v>-62.59158</v>
      </c>
      <c r="J5449">
        <v>-279.30799999999999</v>
      </c>
      <c r="K5449">
        <v>1.108803</v>
      </c>
      <c r="L5449">
        <v>-62.440059999999903</v>
      </c>
      <c r="M5449">
        <v>0.98819729999999995</v>
      </c>
      <c r="N5449">
        <v>0</v>
      </c>
      <c r="O5449">
        <v>-0.1527877</v>
      </c>
      <c r="P5449">
        <v>0.99921289999999996</v>
      </c>
      <c r="Q5449">
        <v>3.7851199999999897E-2</v>
      </c>
      <c r="R5449">
        <v>1.188172E-2</v>
      </c>
      <c r="S5449">
        <v>3.010284</v>
      </c>
      <c r="T5449">
        <v>-0.20390429999999901</v>
      </c>
      <c r="U5449">
        <v>-3.0609129999999998E-2</v>
      </c>
      <c r="V5449">
        <v>-0.16492709999999999</v>
      </c>
      <c r="W5449">
        <v>4.7001029999999999E-2</v>
      </c>
      <c r="X5449">
        <v>0.98518530000000004</v>
      </c>
      <c r="Y5449">
        <v>-0.14206759999999999</v>
      </c>
      <c r="Z5449">
        <v>1.5111080000000001E-2</v>
      </c>
      <c r="AA5449">
        <v>0.989741599999999</v>
      </c>
      <c r="AB5449">
        <v>25</v>
      </c>
      <c r="AC5449">
        <v>16.254199999999901</v>
      </c>
      <c r="AD5449">
        <v>-1.1088039028251</v>
      </c>
      <c r="AE5449">
        <v>-0.15152000000001201</v>
      </c>
      <c r="AF5449">
        <v>-2.3230432582691498</v>
      </c>
      <c r="AG5449">
        <v>-1.1088039028251</v>
      </c>
      <c r="AH5449">
        <v>16.011983326729101</v>
      </c>
      <c r="AI5449">
        <v>93.920401300282407</v>
      </c>
      <c r="AJ5449">
        <v>98.254963075780097</v>
      </c>
      <c r="AK5449">
        <v>16.217570290587901</v>
      </c>
    </row>
    <row r="5450" spans="1:37" x14ac:dyDescent="0.2">
      <c r="A5450" t="str">
        <f>"20200111153759903"</f>
        <v>20200111153759903</v>
      </c>
      <c r="B5450" t="str">
        <f>"1578728279898426"</f>
        <v>1578728279898426</v>
      </c>
      <c r="C5450" t="s">
        <v>37</v>
      </c>
      <c r="D5450">
        <v>5.4868379999999997</v>
      </c>
      <c r="E5450">
        <v>0.50729239999999998</v>
      </c>
      <c r="F5450" t="s">
        <v>58</v>
      </c>
      <c r="G5450">
        <v>-262.82709999999997</v>
      </c>
      <c r="H5450" s="1">
        <v>-8.0216080000000002E-7</v>
      </c>
      <c r="I5450">
        <v>-62.578830000000004</v>
      </c>
      <c r="J5450">
        <v>-279.1798</v>
      </c>
      <c r="K5450">
        <v>1.1088039999999999</v>
      </c>
      <c r="L5450">
        <v>-62.456330000000001</v>
      </c>
      <c r="M5450">
        <v>0.9887087</v>
      </c>
      <c r="N5450">
        <v>0</v>
      </c>
      <c r="O5450">
        <v>-0.149442299999999</v>
      </c>
      <c r="P5450">
        <v>0.99918209999999996</v>
      </c>
      <c r="Q5450">
        <v>3.8016649999999999E-2</v>
      </c>
      <c r="R5450">
        <v>1.3777309999999999E-2</v>
      </c>
      <c r="S5450">
        <v>3.010345</v>
      </c>
      <c r="T5450">
        <v>-0.20253009999999999</v>
      </c>
      <c r="U5450">
        <v>-2.5360110000000002E-2</v>
      </c>
      <c r="V5450">
        <v>-0.1634622</v>
      </c>
      <c r="W5450">
        <v>4.7170599999999903E-2</v>
      </c>
      <c r="X5450">
        <v>0.9854212</v>
      </c>
      <c r="Y5450">
        <v>-0.14046349999999999</v>
      </c>
      <c r="Z5450">
        <v>1.473294E-2</v>
      </c>
      <c r="AA5450">
        <v>0.98997619999999897</v>
      </c>
      <c r="AB5450">
        <v>25</v>
      </c>
      <c r="AC5450">
        <v>16.352699999999999</v>
      </c>
      <c r="AD5450">
        <v>-1.1088048021607999</v>
      </c>
      <c r="AE5450">
        <v>-0.122500000000002</v>
      </c>
      <c r="AF5450">
        <v>-2.31218021670681</v>
      </c>
      <c r="AG5450">
        <v>-1.1088048021607999</v>
      </c>
      <c r="AH5450">
        <v>16.113273511100498</v>
      </c>
      <c r="AI5450">
        <v>93.896707259311199</v>
      </c>
      <c r="AJ5450">
        <v>98.165935766918494</v>
      </c>
      <c r="AK5450">
        <v>16.316041452734801</v>
      </c>
    </row>
    <row r="5451" spans="1:37" x14ac:dyDescent="0.2">
      <c r="A5451" t="str">
        <f>"20200111153759915"</f>
        <v>20200111153759915</v>
      </c>
      <c r="B5451" t="str">
        <f>"1578728279909162"</f>
        <v>1578728279909162</v>
      </c>
      <c r="C5451" t="s">
        <v>37</v>
      </c>
      <c r="D5451">
        <v>5.2511929999999998</v>
      </c>
      <c r="E5451">
        <v>0.50715949999999999</v>
      </c>
      <c r="F5451" t="s">
        <v>39</v>
      </c>
      <c r="G5451">
        <v>-262.70310000000001</v>
      </c>
      <c r="H5451" s="1">
        <v>-7.4097969999999897E-7</v>
      </c>
      <c r="I5451">
        <v>-62.5488</v>
      </c>
      <c r="J5451">
        <v>-279.04910000000001</v>
      </c>
      <c r="K5451">
        <v>1.10880499999999</v>
      </c>
      <c r="L5451">
        <v>-62.472380000000001</v>
      </c>
      <c r="M5451">
        <v>0.98921840000000005</v>
      </c>
      <c r="N5451">
        <v>0</v>
      </c>
      <c r="O5451">
        <v>-0.14603260000000001</v>
      </c>
      <c r="P5451">
        <v>0.99915180000000003</v>
      </c>
      <c r="Q5451">
        <v>3.7991320000000002E-2</v>
      </c>
      <c r="R5451">
        <v>1.589254E-2</v>
      </c>
      <c r="S5451">
        <v>3.0103759999999999</v>
      </c>
      <c r="T5451">
        <v>-0.20258399999999999</v>
      </c>
      <c r="U5451">
        <v>-1.690674E-2</v>
      </c>
      <c r="V5451">
        <v>-0.1621504</v>
      </c>
      <c r="W5451">
        <v>4.714869E-2</v>
      </c>
      <c r="X5451">
        <v>0.98563899999999904</v>
      </c>
      <c r="Y5451">
        <v>-0.13983870000000001</v>
      </c>
      <c r="Z5451">
        <v>1.4489119999999999E-2</v>
      </c>
      <c r="AA5451">
        <v>0.99006830000000001</v>
      </c>
      <c r="AB5451">
        <v>25</v>
      </c>
      <c r="AC5451">
        <v>16.346</v>
      </c>
      <c r="AD5451">
        <v>-1.1088057409796901</v>
      </c>
      <c r="AE5451">
        <v>-7.6419999999998794E-2</v>
      </c>
      <c r="AF5451">
        <v>-2.3010056041118099</v>
      </c>
      <c r="AG5451">
        <v>-1.1088057409796901</v>
      </c>
      <c r="AH5451">
        <v>16.107789931770299</v>
      </c>
      <c r="AI5451">
        <v>93.898384625084304</v>
      </c>
      <c r="AJ5451">
        <v>98.129728516314799</v>
      </c>
      <c r="AK5451">
        <v>16.309045755267999</v>
      </c>
    </row>
    <row r="5452" spans="1:37" x14ac:dyDescent="0.2">
      <c r="A5452" t="str">
        <f>"20200111153759926"</f>
        <v>20200111153759926</v>
      </c>
      <c r="B5452" t="str">
        <f>"1578728279918922"</f>
        <v>1578728279918922</v>
      </c>
      <c r="C5452" t="s">
        <v>37</v>
      </c>
      <c r="D5452">
        <v>5.2615869999999996</v>
      </c>
      <c r="E5452">
        <v>0.50723669999999998</v>
      </c>
      <c r="F5452" t="s">
        <v>39</v>
      </c>
      <c r="G5452">
        <v>-262.6354</v>
      </c>
      <c r="H5452" s="1">
        <v>-7.0557209999999998E-7</v>
      </c>
      <c r="I5452">
        <v>-62.524889999999999</v>
      </c>
      <c r="J5452">
        <v>-278.92410000000001</v>
      </c>
      <c r="K5452">
        <v>1.1088039999999999</v>
      </c>
      <c r="L5452">
        <v>-62.487299999999998</v>
      </c>
      <c r="M5452">
        <v>0.98969379999999996</v>
      </c>
      <c r="N5452">
        <v>0</v>
      </c>
      <c r="O5452">
        <v>-0.14277490000000001</v>
      </c>
      <c r="P5452">
        <v>0.99912939999999995</v>
      </c>
      <c r="Q5452">
        <v>3.7822519999999998E-2</v>
      </c>
      <c r="R5452">
        <v>1.7595670000000001E-2</v>
      </c>
      <c r="S5452">
        <v>3.0104679999999999</v>
      </c>
      <c r="T5452">
        <v>-0.20336789999999999</v>
      </c>
      <c r="U5452">
        <v>-9.6435549999999998E-3</v>
      </c>
      <c r="V5452">
        <v>-0.1605839</v>
      </c>
      <c r="W5452">
        <v>4.6987220000000003E-2</v>
      </c>
      <c r="X5452">
        <v>0.98590309999999903</v>
      </c>
      <c r="Y5452">
        <v>-0.13897200000000001</v>
      </c>
      <c r="Z5452">
        <v>1.4297839999999999E-2</v>
      </c>
      <c r="AA5452">
        <v>0.99019310000000005</v>
      </c>
      <c r="AB5452">
        <v>25</v>
      </c>
      <c r="AC5452">
        <v>16.288699999999999</v>
      </c>
      <c r="AD5452">
        <v>-1.1088047055721</v>
      </c>
      <c r="AE5452">
        <v>-3.7590000000001497E-2</v>
      </c>
      <c r="AF5452">
        <v>-2.2779982375254901</v>
      </c>
      <c r="AG5452">
        <v>-1.1088047055721</v>
      </c>
      <c r="AH5452">
        <v>16.052787139525201</v>
      </c>
      <c r="AI5452">
        <v>93.9122105128979</v>
      </c>
      <c r="AJ5452">
        <v>98.076728690804501</v>
      </c>
      <c r="AK5452">
        <v>16.251482972091299</v>
      </c>
    </row>
    <row r="5453" spans="1:37" x14ac:dyDescent="0.2">
      <c r="A5453" t="str">
        <f>"20200111153759936"</f>
        <v>20200111153759936</v>
      </c>
      <c r="B5453" t="str">
        <f>"1578728279928682"</f>
        <v>1578728279928682</v>
      </c>
      <c r="C5453" t="s">
        <v>37</v>
      </c>
      <c r="D5453">
        <v>5.2825199999999999</v>
      </c>
      <c r="E5453">
        <v>0.50712619999999997</v>
      </c>
      <c r="F5453" t="s">
        <v>39</v>
      </c>
      <c r="G5453">
        <v>-262.55040000000002</v>
      </c>
      <c r="H5453" s="1">
        <v>-6.6666639999999999E-7</v>
      </c>
      <c r="I5453">
        <v>-62.515619999999998</v>
      </c>
      <c r="J5453">
        <v>-278.80329999999998</v>
      </c>
      <c r="K5453">
        <v>1.1087959999999999</v>
      </c>
      <c r="L5453">
        <v>-62.501429999999999</v>
      </c>
      <c r="M5453">
        <v>0.99014269999999904</v>
      </c>
      <c r="N5453">
        <v>0</v>
      </c>
      <c r="O5453">
        <v>-0.139629</v>
      </c>
      <c r="P5453">
        <v>0.99911909999999904</v>
      </c>
      <c r="Q5453">
        <v>3.7185009999999998E-2</v>
      </c>
      <c r="R5453">
        <v>1.9445819999999999E-2</v>
      </c>
      <c r="S5453">
        <v>3.0104679999999999</v>
      </c>
      <c r="T5453">
        <v>-0.20386479999999901</v>
      </c>
      <c r="U5453">
        <v>-5.21850599999999E-3</v>
      </c>
      <c r="V5453">
        <v>-0.1592722</v>
      </c>
      <c r="W5453">
        <v>4.6353239999999997E-2</v>
      </c>
      <c r="X5453">
        <v>0.98614590000000002</v>
      </c>
      <c r="Y5453">
        <v>-0.1372881</v>
      </c>
      <c r="Z5453">
        <v>1.406484E-2</v>
      </c>
      <c r="AA5453">
        <v>0.99043130000000001</v>
      </c>
      <c r="AB5453">
        <v>25</v>
      </c>
      <c r="AC5453">
        <v>16.252899999999901</v>
      </c>
      <c r="AD5453">
        <v>-1.10879666666639</v>
      </c>
      <c r="AE5453">
        <v>-1.41899999999921E-2</v>
      </c>
      <c r="AF5453">
        <v>-2.2450140417624298</v>
      </c>
      <c r="AG5453">
        <v>-1.10879666666639</v>
      </c>
      <c r="AH5453">
        <v>16.021082099071101</v>
      </c>
      <c r="AI5453">
        <v>93.920860935493806</v>
      </c>
      <c r="AJ5453">
        <v>97.976844707771505</v>
      </c>
      <c r="AK5453">
        <v>16.2155662781445</v>
      </c>
    </row>
    <row r="5454" spans="1:37" x14ac:dyDescent="0.2">
      <c r="A5454" t="str">
        <f>"20200111153759948"</f>
        <v>20200111153759948</v>
      </c>
      <c r="B5454" t="str">
        <f>"1578728279938442"</f>
        <v>1578728279938442</v>
      </c>
      <c r="C5454" t="s">
        <v>37</v>
      </c>
      <c r="D5454">
        <v>5.2812229999999998</v>
      </c>
      <c r="E5454">
        <v>0.50709179999999998</v>
      </c>
      <c r="F5454" t="s">
        <v>39</v>
      </c>
      <c r="G5454">
        <v>-262.68819999999999</v>
      </c>
      <c r="H5454" s="1">
        <v>-7.2032949999999998E-7</v>
      </c>
      <c r="I5454">
        <v>-62.495159999999998</v>
      </c>
      <c r="J5454">
        <v>-278.68560000000002</v>
      </c>
      <c r="K5454">
        <v>1.108786</v>
      </c>
      <c r="L5454">
        <v>-62.514679999999998</v>
      </c>
      <c r="M5454">
        <v>0.99056849999999996</v>
      </c>
      <c r="N5454">
        <v>0</v>
      </c>
      <c r="O5454">
        <v>-0.13657649999999999</v>
      </c>
      <c r="P5454">
        <v>0.99910529999999997</v>
      </c>
      <c r="Q5454">
        <v>3.6729629999999999E-2</v>
      </c>
      <c r="R5454">
        <v>2.096079E-2</v>
      </c>
      <c r="S5454">
        <v>3.0103149999999999</v>
      </c>
      <c r="T5454">
        <v>-0.2071239</v>
      </c>
      <c r="U5454">
        <v>1.159668E-3</v>
      </c>
      <c r="V5454">
        <v>-0.157724</v>
      </c>
      <c r="W5454">
        <v>4.5904069999999998E-2</v>
      </c>
      <c r="X5454">
        <v>0.98641569999999901</v>
      </c>
      <c r="Y5454">
        <v>-0.13632269999999999</v>
      </c>
      <c r="Z5454">
        <v>1.404881E-2</v>
      </c>
      <c r="AA5454">
        <v>0.99056489999999997</v>
      </c>
      <c r="AB5454">
        <v>25</v>
      </c>
      <c r="AC5454">
        <v>15.997400000000001</v>
      </c>
      <c r="AD5454">
        <v>-1.1087867203295001</v>
      </c>
      <c r="AE5454">
        <v>1.9520000000007001E-2</v>
      </c>
      <c r="AF5454">
        <v>-2.1937992060488201</v>
      </c>
      <c r="AG5454">
        <v>-1.1087867203295001</v>
      </c>
      <c r="AH5454">
        <v>15.769059008302801</v>
      </c>
      <c r="AI5454">
        <v>93.9838371679446</v>
      </c>
      <c r="AJ5454">
        <v>97.920180891288794</v>
      </c>
      <c r="AK5454">
        <v>15.959492001783</v>
      </c>
    </row>
    <row r="5455" spans="1:37" x14ac:dyDescent="0.2">
      <c r="A5455" t="str">
        <f>"20200111153759958"</f>
        <v>20200111153759958</v>
      </c>
      <c r="B5455" t="str">
        <f>"1578728279949177"</f>
        <v>1578728279949177</v>
      </c>
      <c r="C5455" t="s">
        <v>37</v>
      </c>
      <c r="D5455">
        <v>5.3038030000000003</v>
      </c>
      <c r="E5455">
        <v>0.50713039999999998</v>
      </c>
      <c r="F5455" t="s">
        <v>39</v>
      </c>
      <c r="G5455">
        <v>-262.74619999999999</v>
      </c>
      <c r="H5455" s="1">
        <v>-7.4222839999999996E-7</v>
      </c>
      <c r="I5455">
        <v>-62.483909999999902</v>
      </c>
      <c r="J5455">
        <v>-278.55930000000001</v>
      </c>
      <c r="K5455">
        <v>1.1087769999999999</v>
      </c>
      <c r="L5455">
        <v>-62.5287199999999</v>
      </c>
      <c r="M5455">
        <v>0.99101399999999995</v>
      </c>
      <c r="N5455">
        <v>0</v>
      </c>
      <c r="O5455">
        <v>-0.1333078</v>
      </c>
      <c r="P5455">
        <v>0.99909119999999996</v>
      </c>
      <c r="Q5455">
        <v>3.6045319999999999E-2</v>
      </c>
      <c r="R5455">
        <v>2.275429E-2</v>
      </c>
      <c r="S5455">
        <v>3.0103149999999999</v>
      </c>
      <c r="T5455">
        <v>-0.20940639999999999</v>
      </c>
      <c r="U5455">
        <v>5.7983399999999999E-3</v>
      </c>
      <c r="V5455">
        <v>-0.15623429999999999</v>
      </c>
      <c r="W5455">
        <v>4.5224790000000001E-2</v>
      </c>
      <c r="X5455">
        <v>0.98668409999999995</v>
      </c>
      <c r="Y5455">
        <v>-0.13457849999999999</v>
      </c>
      <c r="Z5455">
        <v>1.391733E-2</v>
      </c>
      <c r="AA5455">
        <v>0.99080519999999905</v>
      </c>
      <c r="AB5455">
        <v>25</v>
      </c>
      <c r="AC5455">
        <v>15.8131</v>
      </c>
      <c r="AD5455">
        <v>-1.1087777422284</v>
      </c>
      <c r="AE5455">
        <v>4.4809999999998198E-2</v>
      </c>
      <c r="AF5455">
        <v>-2.1420152626950899</v>
      </c>
      <c r="AG5455">
        <v>-1.1087777422284</v>
      </c>
      <c r="AH5455">
        <v>15.5893280332331</v>
      </c>
      <c r="AI5455">
        <v>94.030520391167599</v>
      </c>
      <c r="AJ5455">
        <v>97.823603198668906</v>
      </c>
      <c r="AK5455">
        <v>15.774814293519499</v>
      </c>
    </row>
    <row r="5456" spans="1:37" x14ac:dyDescent="0.2">
      <c r="A5456" t="str">
        <f>"20200111153759970"</f>
        <v>20200111153759970</v>
      </c>
      <c r="B5456" t="str">
        <f>"1578728279958938"</f>
        <v>1578728279958938</v>
      </c>
      <c r="C5456" t="s">
        <v>37</v>
      </c>
      <c r="D5456">
        <v>5.3135110000000001</v>
      </c>
      <c r="E5456">
        <v>0.50715489999999996</v>
      </c>
      <c r="F5456" t="s">
        <v>58</v>
      </c>
      <c r="G5456">
        <v>-262.79349999999999</v>
      </c>
      <c r="H5456" s="1">
        <v>-7.5927480000000004E-7</v>
      </c>
      <c r="I5456">
        <v>-62.471739999999997</v>
      </c>
      <c r="J5456">
        <v>-278.44060000000002</v>
      </c>
      <c r="K5456">
        <v>1.108762</v>
      </c>
      <c r="L5456">
        <v>-62.541289999999996</v>
      </c>
      <c r="M5456">
        <v>0.99141759999999901</v>
      </c>
      <c r="N5456">
        <v>0</v>
      </c>
      <c r="O5456">
        <v>-0.13027230000000001</v>
      </c>
      <c r="P5456">
        <v>0.99905569999999899</v>
      </c>
      <c r="Q5456">
        <v>3.585708E-2</v>
      </c>
      <c r="R5456">
        <v>2.453348E-2</v>
      </c>
      <c r="S5456">
        <v>3.0101009999999899</v>
      </c>
      <c r="T5456">
        <v>-0.21169479999999999</v>
      </c>
      <c r="U5456">
        <v>1.0864260000000001E-2</v>
      </c>
      <c r="V5456">
        <v>-0.15496660000000001</v>
      </c>
      <c r="W5456">
        <v>4.5042359999999997E-2</v>
      </c>
      <c r="X5456">
        <v>0.98689229999999994</v>
      </c>
      <c r="Y5456">
        <v>-0.133208299999999</v>
      </c>
      <c r="Z5456">
        <v>1.3810309999999999E-2</v>
      </c>
      <c r="AA5456">
        <v>0.99099179999999998</v>
      </c>
      <c r="AB5456">
        <v>25</v>
      </c>
      <c r="AC5456">
        <v>15.6471</v>
      </c>
      <c r="AD5456">
        <v>-1.1087627592747999</v>
      </c>
      <c r="AE5456">
        <v>6.9549999999999501E-2</v>
      </c>
      <c r="AF5456">
        <v>-2.0969345669050101</v>
      </c>
      <c r="AG5456">
        <v>-1.1087627592747999</v>
      </c>
      <c r="AH5456">
        <v>15.427220305330801</v>
      </c>
      <c r="AI5456">
        <v>94.073481172473905</v>
      </c>
      <c r="AJ5456">
        <v>97.740453604763601</v>
      </c>
      <c r="AK5456">
        <v>15.608511004687299</v>
      </c>
    </row>
    <row r="5457" spans="1:37" x14ac:dyDescent="0.2">
      <c r="A5457" t="str">
        <f>"20200111153759981"</f>
        <v>20200111153759981</v>
      </c>
      <c r="B5457" t="str">
        <f>"1578728279968698"</f>
        <v>1578728279968698</v>
      </c>
      <c r="C5457" t="s">
        <v>37</v>
      </c>
      <c r="D5457">
        <v>5.3686749999999996</v>
      </c>
      <c r="E5457">
        <v>0.5071447</v>
      </c>
      <c r="F5457" t="s">
        <v>39</v>
      </c>
      <c r="G5457">
        <v>-262.81889999999999</v>
      </c>
      <c r="H5457" s="1">
        <v>-7.6672109999999999E-7</v>
      </c>
      <c r="I5457">
        <v>-62.458869999999997</v>
      </c>
      <c r="J5457">
        <v>-278.31119999999999</v>
      </c>
      <c r="K5457">
        <v>1.1087370000000001</v>
      </c>
      <c r="L5457">
        <v>-62.554839999999999</v>
      </c>
      <c r="M5457">
        <v>0.99184570000000005</v>
      </c>
      <c r="N5457">
        <v>0</v>
      </c>
      <c r="O5457">
        <v>-0.12697339999999999</v>
      </c>
      <c r="P5457">
        <v>0.99898980000000004</v>
      </c>
      <c r="Q5457">
        <v>3.5903339999999999E-2</v>
      </c>
      <c r="R5457">
        <v>2.7033140000000001E-2</v>
      </c>
      <c r="S5457">
        <v>3.0101009999999899</v>
      </c>
      <c r="T5457">
        <v>-0.21364330000000001</v>
      </c>
      <c r="U5457">
        <v>1.586914E-2</v>
      </c>
      <c r="V5457">
        <v>-0.1541497</v>
      </c>
      <c r="W5457">
        <v>4.5089509999999999E-2</v>
      </c>
      <c r="X5457">
        <v>0.98701810000000001</v>
      </c>
      <c r="Y5457">
        <v>-0.13155929999999999</v>
      </c>
      <c r="Z5457">
        <v>1.3646429999999999E-2</v>
      </c>
      <c r="AA5457">
        <v>0.99121440000000005</v>
      </c>
      <c r="AB5457">
        <v>25</v>
      </c>
      <c r="AC5457">
        <v>15.4923</v>
      </c>
      <c r="AD5457">
        <v>-1.1087377667211</v>
      </c>
      <c r="AE5457">
        <v>9.5970000000008299E-2</v>
      </c>
      <c r="AF5457">
        <v>-2.0519118862817298</v>
      </c>
      <c r="AG5457">
        <v>-1.1087377667211</v>
      </c>
      <c r="AH5457">
        <v>15.276465173681601</v>
      </c>
      <c r="AI5457">
        <v>94.114324038320305</v>
      </c>
      <c r="AJ5457">
        <v>97.650096127913201</v>
      </c>
      <c r="AK5457">
        <v>15.4534795443332</v>
      </c>
    </row>
    <row r="5458" spans="1:37" x14ac:dyDescent="0.2">
      <c r="A5458" t="str">
        <f>"20200111153759992"</f>
        <v>20200111153759992</v>
      </c>
      <c r="B5458" t="str">
        <f>"1578728279978458"</f>
        <v>1578728279978458</v>
      </c>
      <c r="C5458" t="s">
        <v>37</v>
      </c>
      <c r="D5458">
        <v>5.3283100000000001</v>
      </c>
      <c r="E5458">
        <v>0.5071447</v>
      </c>
      <c r="F5458" t="s">
        <v>58</v>
      </c>
      <c r="G5458">
        <v>-262.74509999999998</v>
      </c>
      <c r="H5458" s="1">
        <v>-7.2860859999999996E-7</v>
      </c>
      <c r="I5458">
        <v>-62.4345199999999</v>
      </c>
      <c r="J5458">
        <v>-278.1909</v>
      </c>
      <c r="K5458">
        <v>1.1087009999999999</v>
      </c>
      <c r="L5458">
        <v>-62.566890000000001</v>
      </c>
      <c r="M5458">
        <v>0.99222779999999999</v>
      </c>
      <c r="N5458">
        <v>0</v>
      </c>
      <c r="O5458">
        <v>-0.1239546</v>
      </c>
      <c r="P5458">
        <v>0.99890669999999904</v>
      </c>
      <c r="Q5458">
        <v>3.614498E-2</v>
      </c>
      <c r="R5458">
        <v>2.965112E-2</v>
      </c>
      <c r="S5458">
        <v>3.0101009999999899</v>
      </c>
      <c r="T5458">
        <v>-0.21440279999999901</v>
      </c>
      <c r="U5458">
        <v>2.325439E-2</v>
      </c>
      <c r="V5458">
        <v>-0.15373010000000001</v>
      </c>
      <c r="W5458">
        <v>4.533293E-2</v>
      </c>
      <c r="X5458">
        <v>0.98707239999999996</v>
      </c>
      <c r="Y5458">
        <v>-0.13097919999999999</v>
      </c>
      <c r="Z5458">
        <v>1.346091E-2</v>
      </c>
      <c r="AA5458">
        <v>0.99129369999999895</v>
      </c>
      <c r="AB5458">
        <v>25</v>
      </c>
      <c r="AC5458">
        <v>15.4458</v>
      </c>
      <c r="AD5458">
        <v>-1.1087017286085901</v>
      </c>
      <c r="AE5458">
        <v>0.13237000000000801</v>
      </c>
      <c r="AF5458">
        <v>-2.03555395807932</v>
      </c>
      <c r="AG5458">
        <v>-1.1087017286085901</v>
      </c>
      <c r="AH5458">
        <v>15.2317828790944</v>
      </c>
      <c r="AI5458">
        <v>94.126586067245498</v>
      </c>
      <c r="AJ5458">
        <v>97.611826991377797</v>
      </c>
      <c r="AK5458">
        <v>15.407138251964399</v>
      </c>
    </row>
    <row r="5459" spans="1:37" x14ac:dyDescent="0.2">
      <c r="A5459" t="str">
        <f>"20200111153800004"</f>
        <v>20200111153800004</v>
      </c>
      <c r="B5459" t="str">
        <f>"1578728279998955"</f>
        <v>1578728279998955</v>
      </c>
      <c r="C5459" t="s">
        <v>37</v>
      </c>
      <c r="D5459">
        <v>5.5477910000000001</v>
      </c>
      <c r="E5459">
        <v>0.50723629999999997</v>
      </c>
      <c r="F5459" t="s">
        <v>58</v>
      </c>
      <c r="G5459">
        <v>-262.6148</v>
      </c>
      <c r="H5459" s="1">
        <v>-6.6564600000000003E-7</v>
      </c>
      <c r="I5459">
        <v>-62.407959999999903</v>
      </c>
      <c r="J5459">
        <v>-278.0616</v>
      </c>
      <c r="K5459">
        <v>1.1086549999999999</v>
      </c>
      <c r="L5459">
        <v>-62.579619999999998</v>
      </c>
      <c r="M5459">
        <v>0.99262510000000004</v>
      </c>
      <c r="N5459">
        <v>0</v>
      </c>
      <c r="O5459">
        <v>-0.1207337</v>
      </c>
      <c r="P5459">
        <v>0.99878650000000002</v>
      </c>
      <c r="Q5459">
        <v>3.6752020000000003E-2</v>
      </c>
      <c r="R5459">
        <v>3.2788020000000001E-2</v>
      </c>
      <c r="S5459">
        <v>3.010132</v>
      </c>
      <c r="T5459">
        <v>-0.21426029999999999</v>
      </c>
      <c r="U5459">
        <v>3.0700680000000001E-2</v>
      </c>
      <c r="V5459">
        <v>-0.15362509999999999</v>
      </c>
      <c r="W5459">
        <v>4.5938369999999999E-2</v>
      </c>
      <c r="X5459">
        <v>0.98706079999999996</v>
      </c>
      <c r="Y5459">
        <v>-0.1302246</v>
      </c>
      <c r="Z5459">
        <v>1.3197469999999999E-2</v>
      </c>
      <c r="AA5459">
        <v>0.99139669999999902</v>
      </c>
      <c r="AB5459">
        <v>25</v>
      </c>
      <c r="AC5459">
        <v>15.4467999999999</v>
      </c>
      <c r="AD5459">
        <v>-1.108655665646</v>
      </c>
      <c r="AE5459">
        <v>0.17166000000000201</v>
      </c>
      <c r="AF5459">
        <v>-2.0250339795249301</v>
      </c>
      <c r="AG5459">
        <v>-1.108655665646</v>
      </c>
      <c r="AH5459">
        <v>15.2345975562265</v>
      </c>
      <c r="AI5459">
        <v>94.126040567361599</v>
      </c>
      <c r="AJ5459">
        <v>97.571563000481405</v>
      </c>
      <c r="AK5459">
        <v>15.4085314908132</v>
      </c>
    </row>
    <row r="5460" spans="1:37" x14ac:dyDescent="0.2">
      <c r="A5460" t="str">
        <f>"20200111153800016"</f>
        <v>20200111153800016</v>
      </c>
      <c r="B5460" t="str">
        <f>"1578728280008714"</f>
        <v>1578728280008714</v>
      </c>
      <c r="C5460" t="s">
        <v>37</v>
      </c>
      <c r="D5460">
        <v>5.3590859999999996</v>
      </c>
      <c r="E5460">
        <v>0.50727299999999997</v>
      </c>
      <c r="F5460" t="s">
        <v>39</v>
      </c>
      <c r="G5460">
        <v>-262.41469999999998</v>
      </c>
      <c r="H5460" s="1">
        <v>-5.71851E-7</v>
      </c>
      <c r="I5460">
        <v>-62.378100000000003</v>
      </c>
      <c r="J5460">
        <v>-277.91699999999997</v>
      </c>
      <c r="K5460">
        <v>1.108598</v>
      </c>
      <c r="L5460">
        <v>-62.593380000000003</v>
      </c>
      <c r="M5460">
        <v>0.99305109999999996</v>
      </c>
      <c r="N5460">
        <v>0</v>
      </c>
      <c r="O5460">
        <v>-0.11718050000000001</v>
      </c>
      <c r="P5460">
        <v>0.99866129999999997</v>
      </c>
      <c r="Q5460">
        <v>3.6603150000000001E-2</v>
      </c>
      <c r="R5460">
        <v>3.6551029999999998E-2</v>
      </c>
      <c r="S5460">
        <v>3.0102229999999999</v>
      </c>
      <c r="T5460">
        <v>-0.21328929999999999</v>
      </c>
      <c r="U5460">
        <v>3.8757319999999998E-2</v>
      </c>
      <c r="V5460">
        <v>-0.1538041</v>
      </c>
      <c r="W5460">
        <v>4.5785930000000002E-2</v>
      </c>
      <c r="X5460">
        <v>0.98703999999999903</v>
      </c>
      <c r="Y5460">
        <v>-0.12934599999999999</v>
      </c>
      <c r="Z5460">
        <v>1.285626E-2</v>
      </c>
      <c r="AA5460">
        <v>0.99151619999999996</v>
      </c>
      <c r="AB5460">
        <v>25</v>
      </c>
      <c r="AC5460">
        <v>15.5023</v>
      </c>
      <c r="AD5460">
        <v>-1.1085985718510001</v>
      </c>
      <c r="AE5460">
        <v>0.215279999999999</v>
      </c>
      <c r="AF5460">
        <v>-2.0201424416071698</v>
      </c>
      <c r="AG5460">
        <v>-1.1085985718510001</v>
      </c>
      <c r="AH5460">
        <v>15.2920704075676</v>
      </c>
      <c r="AI5460">
        <v>94.110812937450305</v>
      </c>
      <c r="AJ5460">
        <v>97.525422439516404</v>
      </c>
      <c r="AK5460">
        <v>15.4647141463364</v>
      </c>
    </row>
    <row r="5461" spans="1:37" x14ac:dyDescent="0.2">
      <c r="A5461" t="str">
        <f>"20200111153800029"</f>
        <v>20200111153800029</v>
      </c>
      <c r="B5461" t="str">
        <f>"1578728280018474"</f>
        <v>1578728280018474</v>
      </c>
      <c r="C5461" t="s">
        <v>37</v>
      </c>
      <c r="D5461">
        <v>5.0082760000000004</v>
      </c>
      <c r="E5461">
        <v>0.50729230000000003</v>
      </c>
      <c r="F5461" t="s">
        <v>58</v>
      </c>
      <c r="G5461">
        <v>-262.33940000000001</v>
      </c>
      <c r="H5461" s="1">
        <v>-5.2911990000000002E-7</v>
      </c>
      <c r="I5461">
        <v>-62.339039999999997</v>
      </c>
      <c r="J5461">
        <v>-277.77999999999997</v>
      </c>
      <c r="K5461">
        <v>1.108527</v>
      </c>
      <c r="L5461">
        <v>-62.605899999999998</v>
      </c>
      <c r="M5461">
        <v>0.99343429999999999</v>
      </c>
      <c r="N5461">
        <v>0</v>
      </c>
      <c r="O5461">
        <v>-0.1138885</v>
      </c>
      <c r="P5461">
        <v>0.99853400000000003</v>
      </c>
      <c r="Q5461">
        <v>3.6495029999999998E-2</v>
      </c>
      <c r="R5461">
        <v>3.9979470000000003E-2</v>
      </c>
      <c r="S5461">
        <v>3.01004</v>
      </c>
      <c r="T5461">
        <v>-0.21421219999999999</v>
      </c>
      <c r="U5461">
        <v>4.9133299999999998E-2</v>
      </c>
      <c r="V5461">
        <v>-0.1539131</v>
      </c>
      <c r="W5461">
        <v>4.5675420000000001E-2</v>
      </c>
      <c r="X5461">
        <v>0.98702809999999896</v>
      </c>
      <c r="Y5461">
        <v>-0.12948009999999999</v>
      </c>
      <c r="Z5461">
        <v>1.268449E-2</v>
      </c>
      <c r="AA5461">
        <v>0.99150090000000002</v>
      </c>
      <c r="AB5461">
        <v>25</v>
      </c>
      <c r="AC5461">
        <v>15.4405999999999</v>
      </c>
      <c r="AD5461">
        <v>-1.1085275291198999</v>
      </c>
      <c r="AE5461">
        <v>0.26685999999999399</v>
      </c>
      <c r="AF5461">
        <v>-2.0133595128583499</v>
      </c>
      <c r="AG5461">
        <v>-1.1085275291198999</v>
      </c>
      <c r="AH5461">
        <v>15.2312483167974</v>
      </c>
      <c r="AI5461">
        <v>94.126864332416602</v>
      </c>
      <c r="AJ5461">
        <v>97.530050949097202</v>
      </c>
      <c r="AK5461">
        <v>15.4036805698761</v>
      </c>
    </row>
    <row r="5462" spans="1:37" x14ac:dyDescent="0.2">
      <c r="A5462" t="str">
        <f>"20200111153800042"</f>
        <v>20200111153800042</v>
      </c>
      <c r="B5462" t="str">
        <f>"1578728280028813"</f>
        <v>1578728280028813</v>
      </c>
      <c r="C5462" t="s">
        <v>37</v>
      </c>
      <c r="D5462">
        <v>5.3190179999999998</v>
      </c>
      <c r="E5462">
        <v>0.50729230000000003</v>
      </c>
      <c r="F5462" t="s">
        <v>58</v>
      </c>
      <c r="G5462">
        <v>-262.25700000000001</v>
      </c>
      <c r="H5462" s="1">
        <v>-4.8412279999999996E-7</v>
      </c>
      <c r="I5462">
        <v>-62.302700000000002</v>
      </c>
      <c r="J5462">
        <v>-277.63900000000001</v>
      </c>
      <c r="K5462">
        <v>1.1084430000000001</v>
      </c>
      <c r="L5462">
        <v>-62.61853</v>
      </c>
      <c r="M5462">
        <v>0.99381269999999999</v>
      </c>
      <c r="N5462">
        <v>0</v>
      </c>
      <c r="O5462">
        <v>-0.11054029999999999</v>
      </c>
      <c r="P5462">
        <v>0.99841449999999998</v>
      </c>
      <c r="Q5462">
        <v>3.5825370000000002E-2</v>
      </c>
      <c r="R5462">
        <v>4.341983E-2</v>
      </c>
      <c r="S5462">
        <v>3.0099179999999999</v>
      </c>
      <c r="T5462">
        <v>-0.21494339999999901</v>
      </c>
      <c r="U5462">
        <v>5.877686E-2</v>
      </c>
      <c r="V5462">
        <v>-0.15397569999999999</v>
      </c>
      <c r="W5462">
        <v>4.500473E-2</v>
      </c>
      <c r="X5462">
        <v>0.98704919999999996</v>
      </c>
      <c r="Y5462">
        <v>-0.12931999999999999</v>
      </c>
      <c r="Z5462">
        <v>1.248471E-2</v>
      </c>
      <c r="AA5462">
        <v>0.99152430000000003</v>
      </c>
      <c r="AB5462">
        <v>25</v>
      </c>
      <c r="AC5462">
        <v>15.382</v>
      </c>
      <c r="AD5462">
        <v>-1.1084434841227999</v>
      </c>
      <c r="AE5462">
        <v>0.315830000000005</v>
      </c>
      <c r="AF5462">
        <v>-2.00392317688181</v>
      </c>
      <c r="AG5462">
        <v>-1.1084434841227999</v>
      </c>
      <c r="AH5462">
        <v>15.174045976647299</v>
      </c>
      <c r="AI5462">
        <v>94.142120783966405</v>
      </c>
      <c r="AJ5462">
        <v>97.523092665814502</v>
      </c>
      <c r="AK5462">
        <v>15.345879784415899</v>
      </c>
    </row>
    <row r="5463" spans="1:37" x14ac:dyDescent="0.2">
      <c r="A5463" t="str">
        <f>"20200111153800054"</f>
        <v>20200111153800054</v>
      </c>
      <c r="B5463" t="str">
        <f>"1578728280048317"</f>
        <v>1578728280048317</v>
      </c>
      <c r="C5463" t="s">
        <v>37</v>
      </c>
      <c r="D5463">
        <v>5.3832620000000002</v>
      </c>
      <c r="E5463">
        <v>0.50735390000000002</v>
      </c>
      <c r="F5463" t="s">
        <v>39</v>
      </c>
      <c r="G5463">
        <v>-262.2595</v>
      </c>
      <c r="H5463" s="1">
        <v>-4.756074E-7</v>
      </c>
      <c r="I5463">
        <v>-62.266640000000002</v>
      </c>
      <c r="J5463">
        <v>-277.49990000000003</v>
      </c>
      <c r="K5463">
        <v>1.108352</v>
      </c>
      <c r="L5463">
        <v>-62.630490000000002</v>
      </c>
      <c r="M5463">
        <v>0.99416399999999905</v>
      </c>
      <c r="N5463">
        <v>0</v>
      </c>
      <c r="O5463">
        <v>-0.1073365</v>
      </c>
      <c r="P5463">
        <v>0.99831899999999996</v>
      </c>
      <c r="Q5463">
        <v>3.49912E-2</v>
      </c>
      <c r="R5463">
        <v>4.6205499999999997E-2</v>
      </c>
      <c r="S5463">
        <v>3.0095519999999998</v>
      </c>
      <c r="T5463">
        <v>-0.2169073</v>
      </c>
      <c r="U5463">
        <v>6.8847660000000005E-2</v>
      </c>
      <c r="V5463">
        <v>-0.15353420000000001</v>
      </c>
      <c r="W5463">
        <v>4.417538E-2</v>
      </c>
      <c r="X5463">
        <v>0.98715540000000002</v>
      </c>
      <c r="Y5463">
        <v>-0.12943949999999901</v>
      </c>
      <c r="Z5463">
        <v>1.237454E-2</v>
      </c>
      <c r="AA5463">
        <v>0.99151009999999995</v>
      </c>
      <c r="AB5463">
        <v>25</v>
      </c>
      <c r="AC5463">
        <v>15.240399999999999</v>
      </c>
      <c r="AD5463">
        <v>-1.1083524756073999</v>
      </c>
      <c r="AE5463">
        <v>0.36384999999999901</v>
      </c>
      <c r="AF5463">
        <v>-1.9871904426105</v>
      </c>
      <c r="AG5463">
        <v>-1.1083524756073999</v>
      </c>
      <c r="AH5463">
        <v>15.0338187590934</v>
      </c>
      <c r="AI5463">
        <v>94.1802135695701</v>
      </c>
      <c r="AJ5463">
        <v>97.529782667038404</v>
      </c>
      <c r="AK5463">
        <v>15.2050346118204</v>
      </c>
    </row>
    <row r="5464" spans="1:37" x14ac:dyDescent="0.2">
      <c r="A5464" t="str">
        <f>"20200111153800065"</f>
        <v>20200111153800065</v>
      </c>
      <c r="B5464" t="str">
        <f>"1578728280059053"</f>
        <v>1578728280059053</v>
      </c>
      <c r="C5464" t="s">
        <v>37</v>
      </c>
      <c r="D5464">
        <v>5.3998410000000003</v>
      </c>
      <c r="E5464">
        <v>0.51150829999999903</v>
      </c>
      <c r="F5464" t="s">
        <v>58</v>
      </c>
      <c r="G5464">
        <v>-262.48250000000002</v>
      </c>
      <c r="H5464" s="1">
        <v>-5.6613160000000003E-7</v>
      </c>
      <c r="I5464">
        <v>-62.247399999999999</v>
      </c>
      <c r="J5464">
        <v>-277.3723</v>
      </c>
      <c r="K5464">
        <v>1.108268</v>
      </c>
      <c r="L5464">
        <v>-62.64114</v>
      </c>
      <c r="M5464">
        <v>0.99447090000000005</v>
      </c>
      <c r="N5464">
        <v>0</v>
      </c>
      <c r="O5464">
        <v>-0.104459199999999</v>
      </c>
      <c r="P5464">
        <v>0.9982337</v>
      </c>
      <c r="Q5464">
        <v>3.3630359999999998E-2</v>
      </c>
      <c r="R5464">
        <v>4.8974660000000003E-2</v>
      </c>
      <c r="S5464">
        <v>3.0092469999999998</v>
      </c>
      <c r="T5464">
        <v>-0.22209479999999901</v>
      </c>
      <c r="U5464">
        <v>7.6751710000000001E-2</v>
      </c>
      <c r="V5464">
        <v>-0.15339929999999999</v>
      </c>
      <c r="W5464">
        <v>4.2818160000000001E-2</v>
      </c>
      <c r="X5464">
        <v>0.98723619999999901</v>
      </c>
      <c r="Y5464">
        <v>-0.12915409999999999</v>
      </c>
      <c r="Z5464">
        <v>1.244904E-2</v>
      </c>
      <c r="AA5464">
        <v>0.99154639999999905</v>
      </c>
      <c r="AB5464">
        <v>25</v>
      </c>
      <c r="AC5464">
        <v>14.8897999999999</v>
      </c>
      <c r="AD5464">
        <v>-1.1082685661316001</v>
      </c>
      <c r="AE5464">
        <v>0.39374000000000098</v>
      </c>
      <c r="AF5464">
        <v>-1.93633255870252</v>
      </c>
      <c r="AG5464">
        <v>-1.1082685661316001</v>
      </c>
      <c r="AH5464">
        <v>14.6858953761161</v>
      </c>
      <c r="AI5464">
        <v>94.278744025494802</v>
      </c>
      <c r="AJ5464">
        <v>97.5111124449774</v>
      </c>
      <c r="AK5464">
        <v>14.8543988767905</v>
      </c>
    </row>
    <row r="5465" spans="1:37" x14ac:dyDescent="0.2">
      <c r="A5465" t="str">
        <f>"20200111153800082"</f>
        <v>20200111153800082</v>
      </c>
      <c r="B5465" t="str">
        <f>"1578728280068812"</f>
        <v>1578728280068812</v>
      </c>
      <c r="C5465" t="s">
        <v>37</v>
      </c>
      <c r="D5465">
        <v>5.3839319999999997</v>
      </c>
      <c r="E5465">
        <v>0.51176319999999997</v>
      </c>
      <c r="F5465" t="s">
        <v>58</v>
      </c>
      <c r="G5465">
        <v>-264.2774</v>
      </c>
      <c r="H5465" s="1">
        <v>-1.381009E-6</v>
      </c>
      <c r="I5465">
        <v>-62.415999999999997</v>
      </c>
      <c r="J5465">
        <v>-277.19319999999999</v>
      </c>
      <c r="K5465">
        <v>1.108144</v>
      </c>
      <c r="L5465">
        <v>-62.655669999999901</v>
      </c>
      <c r="M5465">
        <v>0.99487680000000001</v>
      </c>
      <c r="N5465">
        <v>0</v>
      </c>
      <c r="O5465">
        <v>-0.1005238</v>
      </c>
      <c r="P5465">
        <v>0.99808349999999901</v>
      </c>
      <c r="Q5465">
        <v>3.2700750000000001E-2</v>
      </c>
      <c r="R5465">
        <v>5.2535739999999997E-2</v>
      </c>
      <c r="S5465">
        <v>3.01135299999999</v>
      </c>
      <c r="T5465">
        <v>-0.25486209999999998</v>
      </c>
      <c r="U5465">
        <v>5.1757810000000001E-2</v>
      </c>
      <c r="V5465">
        <v>-0.1529971</v>
      </c>
      <c r="W5465">
        <v>4.1896780000000002E-2</v>
      </c>
      <c r="X5465">
        <v>0.987338099999999</v>
      </c>
      <c r="Y5465">
        <v>-0.11683640000000001</v>
      </c>
      <c r="Z5465">
        <v>1.3418390000000001E-2</v>
      </c>
      <c r="AA5465">
        <v>0.99306049999999901</v>
      </c>
      <c r="AB5465">
        <v>25</v>
      </c>
      <c r="AC5465">
        <v>12.9157999999999</v>
      </c>
      <c r="AD5465">
        <v>-1.1081453810089901</v>
      </c>
      <c r="AE5465">
        <v>0.239669999999989</v>
      </c>
      <c r="AF5465">
        <v>-1.52564908246825</v>
      </c>
      <c r="AG5465">
        <v>-1.1081453810089901</v>
      </c>
      <c r="AH5465">
        <v>12.7325802356363</v>
      </c>
      <c r="AI5465">
        <v>94.938896333271103</v>
      </c>
      <c r="AJ5465">
        <v>96.832745295471199</v>
      </c>
      <c r="AK5465">
        <v>12.8714486661449</v>
      </c>
    </row>
    <row r="5466" spans="1:37" x14ac:dyDescent="0.2">
      <c r="A5466" t="str">
        <f>"20200111153800093"</f>
        <v>20200111153800093</v>
      </c>
      <c r="B5466" t="str">
        <f>"1578728280088332"</f>
        <v>1578728280088332</v>
      </c>
      <c r="C5466" t="s">
        <v>37</v>
      </c>
      <c r="D5466">
        <v>5.4342420000000002</v>
      </c>
      <c r="E5466">
        <v>0.51192539999999997</v>
      </c>
      <c r="F5466" t="s">
        <v>58</v>
      </c>
      <c r="G5466">
        <v>-264.43020000000001</v>
      </c>
      <c r="H5466" s="1">
        <v>-1.4421299999999999E-6</v>
      </c>
      <c r="I5466">
        <v>-62.399349999999998</v>
      </c>
      <c r="J5466">
        <v>-277.06869999999998</v>
      </c>
      <c r="K5466">
        <v>1.108052</v>
      </c>
      <c r="L5466">
        <v>-62.66534</v>
      </c>
      <c r="M5466">
        <v>0.99513940000000001</v>
      </c>
      <c r="N5466">
        <v>0</v>
      </c>
      <c r="O5466">
        <v>-9.7893389999999997E-2</v>
      </c>
      <c r="P5466">
        <v>0.99793099999999901</v>
      </c>
      <c r="Q5466">
        <v>3.3130859999999998E-2</v>
      </c>
      <c r="R5466">
        <v>5.5101570000000002E-2</v>
      </c>
      <c r="S5466">
        <v>3.011139</v>
      </c>
      <c r="T5466">
        <v>-0.26144050000000002</v>
      </c>
      <c r="U5466">
        <v>6.045532E-2</v>
      </c>
      <c r="V5466">
        <v>-0.15291849999999901</v>
      </c>
      <c r="W5466">
        <v>4.232793E-2</v>
      </c>
      <c r="X5466">
        <v>0.98733189999999904</v>
      </c>
      <c r="Y5466">
        <v>-0.11704819999999901</v>
      </c>
      <c r="Z5466">
        <v>1.354634E-2</v>
      </c>
      <c r="AA5466">
        <v>0.99303379999999997</v>
      </c>
      <c r="AB5466">
        <v>25</v>
      </c>
      <c r="AC5466">
        <v>12.638499999999899</v>
      </c>
      <c r="AD5466">
        <v>-1.1080534421299999</v>
      </c>
      <c r="AE5466">
        <v>0.265990000000002</v>
      </c>
      <c r="AF5466">
        <v>-1.4905565642195699</v>
      </c>
      <c r="AG5466">
        <v>-1.1080534421299999</v>
      </c>
      <c r="AH5466">
        <v>12.4560475944971</v>
      </c>
      <c r="AI5466">
        <v>95.047659250914805</v>
      </c>
      <c r="AJ5466">
        <v>96.823867504901401</v>
      </c>
      <c r="AK5466">
        <v>12.5937549197264</v>
      </c>
    </row>
    <row r="5467" spans="1:37" x14ac:dyDescent="0.2">
      <c r="A5467" t="str">
        <f>"20200111153800104"</f>
        <v>20200111153800104</v>
      </c>
      <c r="B5467" t="str">
        <f>"1578728280099068"</f>
        <v>1578728280099068</v>
      </c>
      <c r="C5467" t="s">
        <v>37</v>
      </c>
      <c r="D5467">
        <v>5.6723999999999997</v>
      </c>
      <c r="E5467">
        <v>0.51219179999999997</v>
      </c>
      <c r="F5467" t="s">
        <v>58</v>
      </c>
      <c r="G5467">
        <v>-264.0754</v>
      </c>
      <c r="H5467" s="1">
        <v>-1.284049E-6</v>
      </c>
      <c r="I5467">
        <v>-62.377269999999903</v>
      </c>
      <c r="J5467">
        <v>-276.9348</v>
      </c>
      <c r="K5467">
        <v>1.107955</v>
      </c>
      <c r="L5467">
        <v>-62.675509999999903</v>
      </c>
      <c r="M5467">
        <v>0.99540849999999903</v>
      </c>
      <c r="N5467">
        <v>0</v>
      </c>
      <c r="O5467">
        <v>-9.5121990000000003E-2</v>
      </c>
      <c r="P5467">
        <v>0.99775990000000003</v>
      </c>
      <c r="Q5467">
        <v>3.2969459999999999E-2</v>
      </c>
      <c r="R5467">
        <v>5.8207019999999998E-2</v>
      </c>
      <c r="S5467">
        <v>3.011047</v>
      </c>
      <c r="T5467">
        <v>-0.2567777</v>
      </c>
      <c r="U5467">
        <v>6.674194E-2</v>
      </c>
      <c r="V5467">
        <v>-0.1532308</v>
      </c>
      <c r="W5467">
        <v>4.2162619999999998E-2</v>
      </c>
      <c r="X5467">
        <v>0.98729059999999902</v>
      </c>
      <c r="Y5467">
        <v>-0.11639679999999999</v>
      </c>
      <c r="Z5467">
        <v>1.3043030000000001E-2</v>
      </c>
      <c r="AA5467">
        <v>0.99311719999999903</v>
      </c>
      <c r="AB5467">
        <v>25</v>
      </c>
      <c r="AC5467">
        <v>12.8593999999999</v>
      </c>
      <c r="AD5467">
        <v>-1.107956284049</v>
      </c>
      <c r="AE5467">
        <v>0.29823999999999901</v>
      </c>
      <c r="AF5467">
        <v>-1.5089730784964399</v>
      </c>
      <c r="AG5467">
        <v>-1.107956284049</v>
      </c>
      <c r="AH5467">
        <v>12.6786449262544</v>
      </c>
      <c r="AI5467">
        <v>94.959427836705601</v>
      </c>
      <c r="AJ5467">
        <v>96.787239373646699</v>
      </c>
      <c r="AK5467">
        <v>12.8161072110461</v>
      </c>
    </row>
    <row r="5468" spans="1:37" x14ac:dyDescent="0.2">
      <c r="A5468" t="str">
        <f>"20200111153800116"</f>
        <v>20200111153800116</v>
      </c>
      <c r="B5468" t="str">
        <f>"1578728280108828"</f>
        <v>1578728280108828</v>
      </c>
      <c r="C5468" t="s">
        <v>37</v>
      </c>
      <c r="D5468">
        <v>5.6754439999999997</v>
      </c>
      <c r="E5468">
        <v>0.51224519999999996</v>
      </c>
      <c r="F5468" t="s">
        <v>39</v>
      </c>
      <c r="G5468">
        <v>-264.01479999999998</v>
      </c>
      <c r="H5468" s="1">
        <v>-1.2531290000000001E-6</v>
      </c>
      <c r="I5468">
        <v>-62.358669999999996</v>
      </c>
      <c r="J5468">
        <v>-276.7996</v>
      </c>
      <c r="K5468">
        <v>1.1078509999999999</v>
      </c>
      <c r="L5468">
        <v>-62.685519999999997</v>
      </c>
      <c r="M5468">
        <v>0.99566559999999904</v>
      </c>
      <c r="N5468">
        <v>0</v>
      </c>
      <c r="O5468">
        <v>-9.23982E-2</v>
      </c>
      <c r="P5468">
        <v>0.99755669999999996</v>
      </c>
      <c r="Q5468">
        <v>3.3202099999999998E-2</v>
      </c>
      <c r="R5468">
        <v>6.1467559999999997E-2</v>
      </c>
      <c r="S5468">
        <v>3.0109859999999999</v>
      </c>
      <c r="T5468">
        <v>-0.25820929999999997</v>
      </c>
      <c r="U5468">
        <v>7.3822020000000002E-2</v>
      </c>
      <c r="V5468">
        <v>-0.1537481</v>
      </c>
      <c r="W5468">
        <v>4.2385579999999999E-2</v>
      </c>
      <c r="X5468">
        <v>0.98720059999999998</v>
      </c>
      <c r="Y5468">
        <v>-0.1160168</v>
      </c>
      <c r="Z5468">
        <v>1.2866870000000001E-2</v>
      </c>
      <c r="AA5468">
        <v>0.99316389999999999</v>
      </c>
      <c r="AB5468">
        <v>25</v>
      </c>
      <c r="AC5468">
        <v>12.784800000000001</v>
      </c>
      <c r="AD5468">
        <v>-1.10785225312899</v>
      </c>
      <c r="AE5468">
        <v>0.32684999999999997</v>
      </c>
      <c r="AF5468">
        <v>-1.4955877630830099</v>
      </c>
      <c r="AG5468">
        <v>-1.10785225312899</v>
      </c>
      <c r="AH5468">
        <v>12.605310065767799</v>
      </c>
      <c r="AI5468">
        <v>94.987884372540506</v>
      </c>
      <c r="AJ5468">
        <v>96.766365323803896</v>
      </c>
      <c r="AK5468">
        <v>12.7419763469406</v>
      </c>
    </row>
    <row r="5469" spans="1:37" x14ac:dyDescent="0.2">
      <c r="A5469" t="str">
        <f>"20200111153800128"</f>
        <v>20200111153800128</v>
      </c>
      <c r="B5469" t="str">
        <f>"1578728280118589"</f>
        <v>1578728280118589</v>
      </c>
      <c r="C5469" t="s">
        <v>37</v>
      </c>
      <c r="D5469">
        <v>5.4719230000000003</v>
      </c>
      <c r="E5469">
        <v>0.51250709999999999</v>
      </c>
      <c r="F5469" t="s">
        <v>58</v>
      </c>
      <c r="G5469">
        <v>-263.93579999999997</v>
      </c>
      <c r="H5469" s="1">
        <v>-1.211709E-6</v>
      </c>
      <c r="I5469">
        <v>-62.330539999999999</v>
      </c>
      <c r="J5469">
        <v>-276.67</v>
      </c>
      <c r="K5469">
        <v>1.1077440000000001</v>
      </c>
      <c r="L5469">
        <v>-62.694759999999903</v>
      </c>
      <c r="M5469">
        <v>0.99589550000000004</v>
      </c>
      <c r="N5469">
        <v>0</v>
      </c>
      <c r="O5469">
        <v>-8.9890289999999998E-2</v>
      </c>
      <c r="P5469">
        <v>0.99738570000000004</v>
      </c>
      <c r="Q5469">
        <v>3.2900060000000002E-2</v>
      </c>
      <c r="R5469">
        <v>6.4336729999999995E-2</v>
      </c>
      <c r="S5469">
        <v>3.01086399999999</v>
      </c>
      <c r="T5469">
        <v>-0.25929920000000001</v>
      </c>
      <c r="U5469">
        <v>8.306885E-2</v>
      </c>
      <c r="V5469">
        <v>-0.15408949999999999</v>
      </c>
      <c r="W5469">
        <v>4.2068759999999997E-2</v>
      </c>
      <c r="X5469">
        <v>0.98716090000000001</v>
      </c>
      <c r="Y5469">
        <v>-0.11656519999999999</v>
      </c>
      <c r="Z5469">
        <v>1.2729819999999999E-2</v>
      </c>
      <c r="AA5469">
        <v>0.99310149999999997</v>
      </c>
      <c r="AB5469">
        <v>25</v>
      </c>
      <c r="AC5469">
        <v>12.7342</v>
      </c>
      <c r="AD5469">
        <v>-1.1077452117090001</v>
      </c>
      <c r="AE5469">
        <v>0.36421999999999599</v>
      </c>
      <c r="AF5469">
        <v>-1.4961776749314799</v>
      </c>
      <c r="AG5469">
        <v>-1.1077452117090001</v>
      </c>
      <c r="AH5469">
        <v>12.554971754367401</v>
      </c>
      <c r="AI5469">
        <v>95.006994761138998</v>
      </c>
      <c r="AJ5469">
        <v>96.795896009486995</v>
      </c>
      <c r="AK5469">
        <v>12.692240260962301</v>
      </c>
    </row>
    <row r="5470" spans="1:37" x14ac:dyDescent="0.2">
      <c r="A5470" t="str">
        <f>"20200111153800139"</f>
        <v>20200111153800139</v>
      </c>
      <c r="B5470" t="str">
        <f>"1578728280128900"</f>
        <v>1578728280128900</v>
      </c>
      <c r="C5470" t="s">
        <v>37</v>
      </c>
      <c r="D5470">
        <v>5.4465279999999998</v>
      </c>
      <c r="E5470">
        <v>0.51246349999999996</v>
      </c>
      <c r="F5470" t="s">
        <v>58</v>
      </c>
      <c r="G5470">
        <v>-263.91390000000001</v>
      </c>
      <c r="H5470" s="1">
        <v>-1.1982410000000001E-6</v>
      </c>
      <c r="I5470">
        <v>-62.315199999999997</v>
      </c>
      <c r="J5470">
        <v>-276.54259999999999</v>
      </c>
      <c r="K5470">
        <v>1.107642</v>
      </c>
      <c r="L5470">
        <v>-62.703740000000003</v>
      </c>
      <c r="M5470">
        <v>0.99611260000000001</v>
      </c>
      <c r="N5470">
        <v>0</v>
      </c>
      <c r="O5470">
        <v>-8.7457750000000001E-2</v>
      </c>
      <c r="P5470">
        <v>0.99724080000000004</v>
      </c>
      <c r="Q5470">
        <v>3.2169639999999999E-2</v>
      </c>
      <c r="R5470">
        <v>6.6903309999999994E-2</v>
      </c>
      <c r="S5470">
        <v>3.010742</v>
      </c>
      <c r="T5470">
        <v>-0.26145419999999903</v>
      </c>
      <c r="U5470">
        <v>8.9569090000000004E-2</v>
      </c>
      <c r="V5470">
        <v>-0.15420539999999999</v>
      </c>
      <c r="W5470">
        <v>4.1324109999999997E-2</v>
      </c>
      <c r="X5470">
        <v>0.98717429999999995</v>
      </c>
      <c r="Y5470">
        <v>-0.1162807</v>
      </c>
      <c r="Z5470">
        <v>1.261287E-2</v>
      </c>
      <c r="AA5470">
        <v>0.99313629999999997</v>
      </c>
      <c r="AB5470">
        <v>25</v>
      </c>
      <c r="AC5470">
        <v>12.628699999999901</v>
      </c>
      <c r="AD5470">
        <v>-1.107643198241</v>
      </c>
      <c r="AE5470">
        <v>0.38854000000000599</v>
      </c>
      <c r="AF5470">
        <v>-1.4802137672628299</v>
      </c>
      <c r="AG5470">
        <v>-1.107643198241</v>
      </c>
      <c r="AH5470">
        <v>12.45063241676</v>
      </c>
      <c r="AI5470">
        <v>95.04844319467</v>
      </c>
      <c r="AJ5470">
        <v>96.779879480210795</v>
      </c>
      <c r="AK5470">
        <v>12.587142401223501</v>
      </c>
    </row>
    <row r="5471" spans="1:37" x14ac:dyDescent="0.2">
      <c r="A5471" t="str">
        <f>"20200111153800150"</f>
        <v>20200111153800150</v>
      </c>
      <c r="B5471" t="str">
        <f>"1578728280138647"</f>
        <v>1578728280138647</v>
      </c>
      <c r="C5471" t="s">
        <v>37</v>
      </c>
      <c r="D5471">
        <v>5.6721389999999996</v>
      </c>
      <c r="E5471">
        <v>0.51246349999999996</v>
      </c>
      <c r="F5471" t="s">
        <v>39</v>
      </c>
      <c r="G5471">
        <v>-263.96949999999998</v>
      </c>
      <c r="H5471" s="1">
        <v>-1.2165989999999999E-6</v>
      </c>
      <c r="I5471">
        <v>-62.294509999999903</v>
      </c>
      <c r="J5471">
        <v>-276.41039999999998</v>
      </c>
      <c r="K5471">
        <v>1.107524</v>
      </c>
      <c r="L5471">
        <v>-62.712619999999902</v>
      </c>
      <c r="M5471">
        <v>0.99631939999999997</v>
      </c>
      <c r="N5471">
        <v>0</v>
      </c>
      <c r="O5471">
        <v>-8.5078409999999993E-2</v>
      </c>
      <c r="P5471">
        <v>0.99709130000000001</v>
      </c>
      <c r="Q5471">
        <v>3.1642919999999998E-2</v>
      </c>
      <c r="R5471">
        <v>6.9339680000000001E-2</v>
      </c>
      <c r="S5471">
        <v>3.010284</v>
      </c>
      <c r="T5471">
        <v>-0.26519509999999902</v>
      </c>
      <c r="U5471">
        <v>9.7961430000000002E-2</v>
      </c>
      <c r="V5471">
        <v>-0.15424660000000001</v>
      </c>
      <c r="W5471">
        <v>4.077049E-2</v>
      </c>
      <c r="X5471">
        <v>0.98719080000000003</v>
      </c>
      <c r="Y5471">
        <v>-0.1166647</v>
      </c>
      <c r="Z5471">
        <v>1.260242E-2</v>
      </c>
      <c r="AA5471">
        <v>0.99309139999999996</v>
      </c>
      <c r="AB5471">
        <v>25</v>
      </c>
      <c r="AC5471">
        <v>12.440899999999999</v>
      </c>
      <c r="AD5471">
        <v>-1.1075252165989999</v>
      </c>
      <c r="AE5471">
        <v>0.41810999999999798</v>
      </c>
      <c r="AF5471">
        <v>-1.4635183106660401</v>
      </c>
      <c r="AG5471">
        <v>-1.1075252165989999</v>
      </c>
      <c r="AH5471">
        <v>12.2631368079509</v>
      </c>
      <c r="AI5471">
        <v>95.124406513321503</v>
      </c>
      <c r="AJ5471">
        <v>96.805655930380993</v>
      </c>
      <c r="AK5471">
        <v>12.399718638807</v>
      </c>
    </row>
    <row r="5472" spans="1:37" x14ac:dyDescent="0.2">
      <c r="A5472" t="str">
        <f>"20200111153800162"</f>
        <v>20200111153800162</v>
      </c>
      <c r="B5472" t="str">
        <f>"1578728280159143"</f>
        <v>1578728280159143</v>
      </c>
      <c r="C5472" t="s">
        <v>37</v>
      </c>
      <c r="D5472">
        <v>5.7076159999999998</v>
      </c>
      <c r="E5472">
        <v>0.50809259999999901</v>
      </c>
      <c r="F5472" t="s">
        <v>39</v>
      </c>
      <c r="G5472">
        <v>-263.91899999999998</v>
      </c>
      <c r="H5472" s="1">
        <v>-1.189644E-6</v>
      </c>
      <c r="I5472">
        <v>-62.274590000000003</v>
      </c>
      <c r="J5472">
        <v>-276.28989999999999</v>
      </c>
      <c r="K5472">
        <v>1.1074200000000001</v>
      </c>
      <c r="L5472">
        <v>-62.720640000000003</v>
      </c>
      <c r="M5472">
        <v>0.99650039999999995</v>
      </c>
      <c r="N5472">
        <v>0</v>
      </c>
      <c r="O5472">
        <v>-8.2938319999999996E-2</v>
      </c>
      <c r="P5472">
        <v>0.99693509999999996</v>
      </c>
      <c r="Q5472">
        <v>3.1282110000000002E-2</v>
      </c>
      <c r="R5472">
        <v>7.1710070000000001E-2</v>
      </c>
      <c r="S5472">
        <v>3.0099179999999999</v>
      </c>
      <c r="T5472">
        <v>-0.26686870000000001</v>
      </c>
      <c r="U5472">
        <v>0.10552980000000001</v>
      </c>
      <c r="V5472">
        <v>-0.154462299999999</v>
      </c>
      <c r="W5472">
        <v>4.0381729999999998E-2</v>
      </c>
      <c r="X5472">
        <v>0.98717310000000003</v>
      </c>
      <c r="Y5472">
        <v>-0.1170268</v>
      </c>
      <c r="Z5472">
        <v>1.2509889999999999E-2</v>
      </c>
      <c r="AA5472">
        <v>0.99304999999999999</v>
      </c>
      <c r="AB5472">
        <v>25</v>
      </c>
      <c r="AC5472">
        <v>12.370899999999899</v>
      </c>
      <c r="AD5472">
        <v>-1.1074211896439901</v>
      </c>
      <c r="AE5472">
        <v>0.446049999999999</v>
      </c>
      <c r="AF5472">
        <v>-1.45891436536343</v>
      </c>
      <c r="AG5472">
        <v>-1.1074211896439901</v>
      </c>
      <c r="AH5472">
        <v>12.193689614921199</v>
      </c>
      <c r="AI5472">
        <v>95.152771165496901</v>
      </c>
      <c r="AJ5472">
        <v>96.822723028267305</v>
      </c>
      <c r="AK5472">
        <v>12.3304857666587</v>
      </c>
    </row>
    <row r="5473" spans="1:37" x14ac:dyDescent="0.2">
      <c r="A5473" t="str">
        <f>"20200111153800171"</f>
        <v>20200111153800171</v>
      </c>
      <c r="B5473" t="str">
        <f>"1578728280168902"</f>
        <v>1578728280168902</v>
      </c>
      <c r="C5473" t="s">
        <v>37</v>
      </c>
      <c r="D5473">
        <v>5.4437720000000001</v>
      </c>
      <c r="E5473">
        <v>0.50670890000000002</v>
      </c>
      <c r="F5473" t="s">
        <v>58</v>
      </c>
      <c r="G5473">
        <v>-263.88299999999998</v>
      </c>
      <c r="H5473" s="1">
        <v>-1.1308480000000001E-6</v>
      </c>
      <c r="I5473">
        <v>-62.111649999999997</v>
      </c>
      <c r="J5473">
        <v>-276.1712</v>
      </c>
      <c r="K5473">
        <v>1.107315</v>
      </c>
      <c r="L5473">
        <v>-62.728299999999997</v>
      </c>
      <c r="M5473">
        <v>0.99666679999999996</v>
      </c>
      <c r="N5473">
        <v>0</v>
      </c>
      <c r="O5473">
        <v>-8.0923640000000005E-2</v>
      </c>
      <c r="P5473">
        <v>0.99678840000000002</v>
      </c>
      <c r="Q5473">
        <v>3.0958139999999999E-2</v>
      </c>
      <c r="R5473">
        <v>7.3855889999999993E-2</v>
      </c>
      <c r="S5473">
        <v>3.0070189999999899</v>
      </c>
      <c r="T5473">
        <v>-0.26840320000000001</v>
      </c>
      <c r="U5473">
        <v>0.14758299999999999</v>
      </c>
      <c r="V5473">
        <v>-0.15458069999999999</v>
      </c>
      <c r="W5473">
        <v>4.0026289999999999E-2</v>
      </c>
      <c r="X5473">
        <v>0.98716899999999996</v>
      </c>
      <c r="Y5473">
        <v>-0.128858</v>
      </c>
      <c r="Z5473">
        <v>1.293856E-2</v>
      </c>
      <c r="AA5473">
        <v>0.99157859999999998</v>
      </c>
      <c r="AB5473">
        <v>26</v>
      </c>
      <c r="AC5473">
        <v>12.2882</v>
      </c>
      <c r="AD5473">
        <v>-1.107316130848</v>
      </c>
      <c r="AE5473">
        <v>0.61664999999999903</v>
      </c>
      <c r="AF5473">
        <v>-1.5961577036941601</v>
      </c>
      <c r="AG5473">
        <v>-1.107316130848</v>
      </c>
      <c r="AH5473">
        <v>12.099982444847001</v>
      </c>
      <c r="AI5473">
        <v>95.184130932962503</v>
      </c>
      <c r="AJ5473">
        <v>97.514730102574305</v>
      </c>
      <c r="AK5473">
        <v>12.2549354789939</v>
      </c>
    </row>
    <row r="5474" spans="1:37" x14ac:dyDescent="0.2">
      <c r="A5474" t="str">
        <f>"20200111153800183"</f>
        <v>20200111153800183</v>
      </c>
      <c r="B5474" t="str">
        <f>"1578728280178664"</f>
        <v>1578728280178664</v>
      </c>
      <c r="C5474" t="s">
        <v>37</v>
      </c>
      <c r="D5474">
        <v>5.1271990000000001</v>
      </c>
      <c r="E5474">
        <v>0.50560870000000002</v>
      </c>
      <c r="F5474" t="s">
        <v>58</v>
      </c>
      <c r="G5474">
        <v>-263.74509999999998</v>
      </c>
      <c r="H5474" s="1">
        <v>-1.054032E-6</v>
      </c>
      <c r="I5474">
        <v>-62.045310000000001</v>
      </c>
      <c r="J5474">
        <v>-276.05070000000001</v>
      </c>
      <c r="K5474">
        <v>1.1072120000000001</v>
      </c>
      <c r="L5474">
        <v>-62.735930000000003</v>
      </c>
      <c r="M5474">
        <v>0.9968283</v>
      </c>
      <c r="N5474">
        <v>0</v>
      </c>
      <c r="O5474">
        <v>-7.8918760000000004E-2</v>
      </c>
      <c r="P5474">
        <v>0.99662499999999998</v>
      </c>
      <c r="Q5474">
        <v>3.063888E-2</v>
      </c>
      <c r="R5474">
        <v>7.6157020000000006E-2</v>
      </c>
      <c r="S5474">
        <v>3.0057369999999999</v>
      </c>
      <c r="T5474">
        <v>-0.26784809999999998</v>
      </c>
      <c r="U5474">
        <v>0.1651917</v>
      </c>
      <c r="V5474">
        <v>-0.154863</v>
      </c>
      <c r="W5474">
        <v>3.9668950000000001E-2</v>
      </c>
      <c r="X5474">
        <v>0.98713919999999999</v>
      </c>
      <c r="Y5474">
        <v>-0.1326724</v>
      </c>
      <c r="Z5474">
        <v>1.2907399999999901E-2</v>
      </c>
      <c r="AA5474">
        <v>0.99107590000000001</v>
      </c>
      <c r="AB5474">
        <v>26</v>
      </c>
      <c r="AC5474">
        <v>12.3056</v>
      </c>
      <c r="AD5474">
        <v>-1.107213054032</v>
      </c>
      <c r="AE5474">
        <v>0.69062000000000201</v>
      </c>
      <c r="AF5474">
        <v>-1.64637276478552</v>
      </c>
      <c r="AG5474">
        <v>-1.107213054032</v>
      </c>
      <c r="AH5474">
        <v>12.114938180660699</v>
      </c>
      <c r="AI5474">
        <v>95.174590094036006</v>
      </c>
      <c r="AJ5474">
        <v>97.738865143579503</v>
      </c>
      <c r="AK5474">
        <v>12.2763264517069</v>
      </c>
    </row>
    <row r="5475" spans="1:37" x14ac:dyDescent="0.2">
      <c r="A5475" t="str">
        <f>"20200111153800194"</f>
        <v>20200111153800194</v>
      </c>
      <c r="B5475" t="str">
        <f>"1578728280188422"</f>
        <v>1578728280188422</v>
      </c>
      <c r="C5475" t="s">
        <v>37</v>
      </c>
      <c r="D5475">
        <v>5.4356819999999999</v>
      </c>
      <c r="E5475">
        <v>0.50466489999999997</v>
      </c>
      <c r="F5475" t="s">
        <v>39</v>
      </c>
      <c r="G5475">
        <v>-263.59989999999999</v>
      </c>
      <c r="H5475" s="1">
        <v>-9.7599419999999998E-7</v>
      </c>
      <c r="I5475">
        <v>-61.986049999999999</v>
      </c>
      <c r="J5475">
        <v>-275.91820000000001</v>
      </c>
      <c r="K5475">
        <v>1.1070979999999999</v>
      </c>
      <c r="L5475">
        <v>-62.744079999999997</v>
      </c>
      <c r="M5475">
        <v>0.9969943</v>
      </c>
      <c r="N5475">
        <v>0</v>
      </c>
      <c r="O5475">
        <v>-7.6803739999999995E-2</v>
      </c>
      <c r="P5475">
        <v>0.99644149999999998</v>
      </c>
      <c r="Q5475">
        <v>3.060154E-2</v>
      </c>
      <c r="R5475">
        <v>7.8536560000000005E-2</v>
      </c>
      <c r="S5475">
        <v>3.0045169999999999</v>
      </c>
      <c r="T5475">
        <v>-0.2671847</v>
      </c>
      <c r="U5475">
        <v>0.18093870000000001</v>
      </c>
      <c r="V5475">
        <v>-0.15511539999999999</v>
      </c>
      <c r="W5475">
        <v>3.9581749999999999E-2</v>
      </c>
      <c r="X5475">
        <v>0.98710309999999901</v>
      </c>
      <c r="Y5475">
        <v>-0.13576820000000001</v>
      </c>
      <c r="Z5475">
        <v>1.28291E-2</v>
      </c>
      <c r="AA5475">
        <v>0.99065759999999903</v>
      </c>
      <c r="AB5475">
        <v>26</v>
      </c>
      <c r="AC5475">
        <v>12.318300000000001</v>
      </c>
      <c r="AD5475">
        <v>-1.10709897599419</v>
      </c>
      <c r="AE5475">
        <v>0.75803000000000498</v>
      </c>
      <c r="AF5475">
        <v>-1.6883452357078499</v>
      </c>
      <c r="AG5475">
        <v>-1.10709897599419</v>
      </c>
      <c r="AH5475">
        <v>12.126110370757701</v>
      </c>
      <c r="AI5475">
        <v>95.167003478416106</v>
      </c>
      <c r="AJ5475">
        <v>97.926460795729696</v>
      </c>
      <c r="AK5475">
        <v>12.293035853741801</v>
      </c>
    </row>
    <row r="5476" spans="1:37" x14ac:dyDescent="0.2">
      <c r="A5476" t="str">
        <f>"20200111153800205"</f>
        <v>20200111153800205</v>
      </c>
      <c r="B5476" t="str">
        <f>"1578728280198183"</f>
        <v>1578728280198183</v>
      </c>
      <c r="C5476" t="s">
        <v>37</v>
      </c>
      <c r="D5476">
        <v>5.4733780000000003</v>
      </c>
      <c r="E5476">
        <v>0.50400109999999998</v>
      </c>
      <c r="F5476" t="s">
        <v>39</v>
      </c>
      <c r="G5476">
        <v>-263.4194</v>
      </c>
      <c r="H5476" s="1">
        <v>-8.8376809999999896E-7</v>
      </c>
      <c r="I5476">
        <v>-61.9304699999999</v>
      </c>
      <c r="J5476">
        <v>-275.798</v>
      </c>
      <c r="K5476">
        <v>1.106997</v>
      </c>
      <c r="L5476">
        <v>-62.751280000000001</v>
      </c>
      <c r="M5476">
        <v>0.99713619999999903</v>
      </c>
      <c r="N5476">
        <v>0</v>
      </c>
      <c r="O5476">
        <v>-7.4949890000000005E-2</v>
      </c>
      <c r="P5476">
        <v>0.99627429999999995</v>
      </c>
      <c r="Q5476">
        <v>3.048445E-2</v>
      </c>
      <c r="R5476">
        <v>8.0673709999999996E-2</v>
      </c>
      <c r="S5476">
        <v>3.003479</v>
      </c>
      <c r="T5476">
        <v>-0.26603719999999997</v>
      </c>
      <c r="U5476">
        <v>0.19549559999999999</v>
      </c>
      <c r="V5476">
        <v>-0.15538759999999999</v>
      </c>
      <c r="W5476">
        <v>3.9409270000000003E-2</v>
      </c>
      <c r="X5476">
        <v>0.98706719999999903</v>
      </c>
      <c r="Y5476">
        <v>-0.138731299999999</v>
      </c>
      <c r="Z5476">
        <v>1.274426E-2</v>
      </c>
      <c r="AA5476">
        <v>0.99024809999999996</v>
      </c>
      <c r="AB5476">
        <v>26</v>
      </c>
      <c r="AC5476">
        <v>12.3786</v>
      </c>
      <c r="AD5476">
        <v>-1.1069978837681</v>
      </c>
      <c r="AE5476">
        <v>0.82081000000000803</v>
      </c>
      <c r="AF5476">
        <v>-1.7325279429465199</v>
      </c>
      <c r="AG5476">
        <v>-1.1069978837681</v>
      </c>
      <c r="AH5476">
        <v>12.185232460544</v>
      </c>
      <c r="AI5476">
        <v>95.139519757036396</v>
      </c>
      <c r="AJ5476">
        <v>98.092222878557905</v>
      </c>
      <c r="AK5476">
        <v>12.3574668725128</v>
      </c>
    </row>
    <row r="5477" spans="1:37" x14ac:dyDescent="0.2">
      <c r="A5477" t="str">
        <f>"20200111153800216"</f>
        <v>20200111153800216</v>
      </c>
      <c r="B5477" t="str">
        <f>"1578728280208919"</f>
        <v>1578728280208919</v>
      </c>
      <c r="C5477" t="s">
        <v>37</v>
      </c>
      <c r="D5477">
        <v>5.4302789999999996</v>
      </c>
      <c r="E5477">
        <v>0.50349160000000004</v>
      </c>
      <c r="F5477" t="s">
        <v>39</v>
      </c>
      <c r="G5477">
        <v>-263.2604</v>
      </c>
      <c r="H5477" s="1">
        <v>-8.0391619999999899E-7</v>
      </c>
      <c r="I5477">
        <v>-61.886740000000003</v>
      </c>
      <c r="J5477">
        <v>-275.66120000000001</v>
      </c>
      <c r="K5477">
        <v>1.1068770000000001</v>
      </c>
      <c r="L5477">
        <v>-62.759399999999999</v>
      </c>
      <c r="M5477">
        <v>0.99728930000000005</v>
      </c>
      <c r="N5477">
        <v>0</v>
      </c>
      <c r="O5477">
        <v>-7.2901880000000002E-2</v>
      </c>
      <c r="P5477">
        <v>0.9960812</v>
      </c>
      <c r="Q5477">
        <v>3.047853E-2</v>
      </c>
      <c r="R5477">
        <v>8.3026320000000001E-2</v>
      </c>
      <c r="S5477">
        <v>3.00259399999999</v>
      </c>
      <c r="T5477">
        <v>-0.26511220000000002</v>
      </c>
      <c r="U5477">
        <v>0.2070313</v>
      </c>
      <c r="V5477">
        <v>-0.15568129999999999</v>
      </c>
      <c r="W5477">
        <v>3.9333510000000002E-2</v>
      </c>
      <c r="X5477">
        <v>0.98702389999999995</v>
      </c>
      <c r="Y5477">
        <v>-0.1405102</v>
      </c>
      <c r="Z5477">
        <v>1.260061E-2</v>
      </c>
      <c r="AA5477">
        <v>0.98999910000000002</v>
      </c>
      <c r="AB5477">
        <v>26</v>
      </c>
      <c r="AC5477">
        <v>12.4008</v>
      </c>
      <c r="AD5477">
        <v>-1.1068778039161999</v>
      </c>
      <c r="AE5477">
        <v>0.87265999999999599</v>
      </c>
      <c r="AF5477">
        <v>-1.76046758087955</v>
      </c>
      <c r="AG5477">
        <v>-1.1068778039161999</v>
      </c>
      <c r="AH5477">
        <v>12.2073996868529</v>
      </c>
      <c r="AI5477">
        <v>95.128229713016594</v>
      </c>
      <c r="AJ5477">
        <v>98.206227560350897</v>
      </c>
      <c r="AK5477">
        <v>12.3832561021205</v>
      </c>
    </row>
    <row r="5478" spans="1:37" x14ac:dyDescent="0.2">
      <c r="A5478" t="str">
        <f>"20200111153800229"</f>
        <v>20200111153800229</v>
      </c>
      <c r="B5478" t="str">
        <f>"1578728280218680"</f>
        <v>1578728280218680</v>
      </c>
      <c r="C5478" t="s">
        <v>37</v>
      </c>
      <c r="D5478">
        <v>5.5249009999999998</v>
      </c>
      <c r="E5478">
        <v>0.50302570000000002</v>
      </c>
      <c r="F5478" t="s">
        <v>58</v>
      </c>
      <c r="G5478">
        <v>-263.02949999999998</v>
      </c>
      <c r="H5478" s="1">
        <v>-6.9286389999999998E-7</v>
      </c>
      <c r="I5478">
        <v>-61.841749999999998</v>
      </c>
      <c r="J5478">
        <v>-275.53120000000001</v>
      </c>
      <c r="K5478">
        <v>1.1067610000000001</v>
      </c>
      <c r="L5478">
        <v>-62.766819999999903</v>
      </c>
      <c r="M5478">
        <v>0.99742310000000001</v>
      </c>
      <c r="N5478">
        <v>0</v>
      </c>
      <c r="O5478">
        <v>-7.1062829999999994E-2</v>
      </c>
      <c r="P5478">
        <v>0.99591939999999901</v>
      </c>
      <c r="Q5478">
        <v>3.0497929999999999E-2</v>
      </c>
      <c r="R5478">
        <v>8.4940199999999993E-2</v>
      </c>
      <c r="S5478">
        <v>3.0017399999999999</v>
      </c>
      <c r="T5478">
        <v>-0.26303179999999998</v>
      </c>
      <c r="U5478">
        <v>0.21804809999999999</v>
      </c>
      <c r="V5478">
        <v>-0.155748</v>
      </c>
      <c r="W5478">
        <v>3.9275379999999999E-2</v>
      </c>
      <c r="X5478">
        <v>0.98701569999999905</v>
      </c>
      <c r="Y5478">
        <v>-0.14233189999999901</v>
      </c>
      <c r="Z5478">
        <v>1.242326E-2</v>
      </c>
      <c r="AA5478">
        <v>0.98974099999999998</v>
      </c>
      <c r="AB5478">
        <v>26</v>
      </c>
      <c r="AC5478">
        <v>12.5017</v>
      </c>
      <c r="AD5478">
        <v>-1.1067616928638999</v>
      </c>
      <c r="AE5478">
        <v>0.92506999999999795</v>
      </c>
      <c r="AF5478">
        <v>-1.79717203194388</v>
      </c>
      <c r="AG5478">
        <v>-1.1067616928638999</v>
      </c>
      <c r="AH5478">
        <v>12.3084091584827</v>
      </c>
      <c r="AI5478">
        <v>95.084542567689695</v>
      </c>
      <c r="AJ5478">
        <v>98.307152858479895</v>
      </c>
      <c r="AK5478">
        <v>12.4880616898625</v>
      </c>
    </row>
    <row r="5479" spans="1:37" x14ac:dyDescent="0.2">
      <c r="A5479" t="str">
        <f>"20200111153800240"</f>
        <v>20200111153800240</v>
      </c>
      <c r="B5479" t="str">
        <f>"1578728280229028"</f>
        <v>1578728280229028</v>
      </c>
      <c r="C5479" t="s">
        <v>37</v>
      </c>
      <c r="D5479">
        <v>5.4628420000000002</v>
      </c>
      <c r="E5479">
        <v>0.50264900000000001</v>
      </c>
      <c r="F5479" t="s">
        <v>58</v>
      </c>
      <c r="G5479">
        <v>-262.83629999999999</v>
      </c>
      <c r="H5479" s="1">
        <v>-6.0010369999999996E-7</v>
      </c>
      <c r="I5479">
        <v>-61.804569999999998</v>
      </c>
      <c r="J5479">
        <v>-275.39510000000001</v>
      </c>
      <c r="K5479">
        <v>1.1066339999999999</v>
      </c>
      <c r="L5479">
        <v>-62.774509999999999</v>
      </c>
      <c r="M5479">
        <v>0.99755699999999903</v>
      </c>
      <c r="N5479">
        <v>0</v>
      </c>
      <c r="O5479">
        <v>-6.917682E-2</v>
      </c>
      <c r="P5479">
        <v>0.99576939999999903</v>
      </c>
      <c r="Q5479">
        <v>3.0429629999999999E-2</v>
      </c>
      <c r="R5479">
        <v>8.6705210000000005E-2</v>
      </c>
      <c r="S5479">
        <v>3.0009160000000001</v>
      </c>
      <c r="T5479">
        <v>-0.26162459999999998</v>
      </c>
      <c r="U5479">
        <v>0.2274475</v>
      </c>
      <c r="V5479">
        <v>-0.15562039999999999</v>
      </c>
      <c r="W5479">
        <v>3.9123390000000001E-2</v>
      </c>
      <c r="X5479">
        <v>0.98704190000000003</v>
      </c>
      <c r="Y5479">
        <v>-0.14357400000000001</v>
      </c>
      <c r="Z5479">
        <v>1.2249329999999999E-2</v>
      </c>
      <c r="AA5479">
        <v>0.98956379999999999</v>
      </c>
      <c r="AB5479">
        <v>26</v>
      </c>
      <c r="AC5479">
        <v>12.5588</v>
      </c>
      <c r="AD5479">
        <v>-1.1066346001037</v>
      </c>
      <c r="AE5479">
        <v>0.96994000000000102</v>
      </c>
      <c r="AF5479">
        <v>-1.82236930357682</v>
      </c>
      <c r="AG5479">
        <v>-1.1066346001037</v>
      </c>
      <c r="AH5479">
        <v>12.3661634623599</v>
      </c>
      <c r="AI5479">
        <v>95.059361537133398</v>
      </c>
      <c r="AJ5479">
        <v>98.383190978242098</v>
      </c>
      <c r="AK5479">
        <v>12.548612225842801</v>
      </c>
    </row>
    <row r="5480" spans="1:37" x14ac:dyDescent="0.2">
      <c r="A5480" t="str">
        <f>"20200111153800251"</f>
        <v>20200111153800251</v>
      </c>
      <c r="B5480" t="str">
        <f>"1578728280248529"</f>
        <v>1578728280248529</v>
      </c>
      <c r="C5480" t="s">
        <v>37</v>
      </c>
      <c r="D5480">
        <v>5.4618370000000001</v>
      </c>
      <c r="E5480">
        <v>0.50220880000000001</v>
      </c>
      <c r="F5480" t="s">
        <v>58</v>
      </c>
      <c r="G5480">
        <v>-262.67329999999998</v>
      </c>
      <c r="H5480" s="1">
        <v>-5.2241259999999898E-7</v>
      </c>
      <c r="I5480">
        <v>-61.775440000000003</v>
      </c>
      <c r="J5480">
        <v>-275.26119999999997</v>
      </c>
      <c r="K5480">
        <v>1.106511</v>
      </c>
      <c r="L5480">
        <v>-62.781859999999902</v>
      </c>
      <c r="M5480">
        <v>0.99767659999999903</v>
      </c>
      <c r="N5480">
        <v>0</v>
      </c>
      <c r="O5480">
        <v>-6.7448510000000003E-2</v>
      </c>
      <c r="P5480">
        <v>0.99562379999999995</v>
      </c>
      <c r="Q5480">
        <v>3.0244589999999998E-2</v>
      </c>
      <c r="R5480">
        <v>8.8422860000000006E-2</v>
      </c>
      <c r="S5480">
        <v>3.0002140000000002</v>
      </c>
      <c r="T5480">
        <v>-0.2609805</v>
      </c>
      <c r="U5480">
        <v>0.23559569999999999</v>
      </c>
      <c r="V5480">
        <v>-0.1556014</v>
      </c>
      <c r="W5480">
        <v>3.8842750000000002E-2</v>
      </c>
      <c r="X5480">
        <v>0.98705599999999905</v>
      </c>
      <c r="Y5480">
        <v>-0.14455519999999999</v>
      </c>
      <c r="Z5480">
        <v>1.211375E-2</v>
      </c>
      <c r="AA5480">
        <v>0.98942260000000004</v>
      </c>
      <c r="AB5480">
        <v>26</v>
      </c>
      <c r="AC5480">
        <v>12.5878999999999</v>
      </c>
      <c r="AD5480">
        <v>-1.1065115224126001</v>
      </c>
      <c r="AE5480">
        <v>1.0064199999999901</v>
      </c>
      <c r="AF5480">
        <v>-1.8390819808713099</v>
      </c>
      <c r="AG5480">
        <v>-1.1065115224126001</v>
      </c>
      <c r="AH5480">
        <v>12.3961713877008</v>
      </c>
      <c r="AI5480">
        <v>95.045898801833204</v>
      </c>
      <c r="AJ5480">
        <v>98.438782843761103</v>
      </c>
      <c r="AK5480">
        <v>12.580606319047099</v>
      </c>
    </row>
    <row r="5481" spans="1:37" x14ac:dyDescent="0.2">
      <c r="A5481" t="str">
        <f>"20200111153800264"</f>
        <v>20200111153800264</v>
      </c>
      <c r="B5481" t="str">
        <f>"1578728280258289"</f>
        <v>1578728280258289</v>
      </c>
      <c r="C5481" t="s">
        <v>37</v>
      </c>
      <c r="D5481">
        <v>5.7073130000000001</v>
      </c>
      <c r="E5481">
        <v>0.50201850000000003</v>
      </c>
      <c r="F5481" t="s">
        <v>58</v>
      </c>
      <c r="G5481">
        <v>-262.48750000000001</v>
      </c>
      <c r="H5481" s="1">
        <v>-4.3358590000000001E-7</v>
      </c>
      <c r="I5481">
        <v>-61.741019999999899</v>
      </c>
      <c r="J5481">
        <v>-275.13650000000001</v>
      </c>
      <c r="K5481">
        <v>1.1063989999999999</v>
      </c>
      <c r="L5481">
        <v>-62.788600000000002</v>
      </c>
      <c r="M5481">
        <v>0.99778279999999997</v>
      </c>
      <c r="N5481">
        <v>0</v>
      </c>
      <c r="O5481">
        <v>-6.5877660000000005E-2</v>
      </c>
      <c r="P5481">
        <v>0.99552059999999998</v>
      </c>
      <c r="Q5481">
        <v>2.9686609999999999E-2</v>
      </c>
      <c r="R5481">
        <v>8.9765029999999996E-2</v>
      </c>
      <c r="S5481">
        <v>2.99939</v>
      </c>
      <c r="T5481">
        <v>-0.25982119999999997</v>
      </c>
      <c r="U5481">
        <v>0.24438479999999899</v>
      </c>
      <c r="V5481">
        <v>-0.1553667</v>
      </c>
      <c r="W5481">
        <v>3.8194249999999999E-2</v>
      </c>
      <c r="X5481">
        <v>0.98711819999999895</v>
      </c>
      <c r="Y5481">
        <v>-0.14590690000000001</v>
      </c>
      <c r="Z5481">
        <v>1.1984949999999999E-2</v>
      </c>
      <c r="AA5481">
        <v>0.98922569999999999</v>
      </c>
      <c r="AB5481">
        <v>26</v>
      </c>
      <c r="AC5481">
        <v>12.648999999999999</v>
      </c>
      <c r="AD5481">
        <v>-1.1063994335859</v>
      </c>
      <c r="AE5481">
        <v>1.0475800000000099</v>
      </c>
      <c r="AF5481">
        <v>-1.86446041734603</v>
      </c>
      <c r="AG5481">
        <v>-1.1063994335859</v>
      </c>
      <c r="AH5481">
        <v>12.4578408286014</v>
      </c>
      <c r="AI5481">
        <v>95.019593851816893</v>
      </c>
      <c r="AJ5481">
        <v>98.511802546617105</v>
      </c>
      <c r="AK5481">
        <v>12.6450832526029</v>
      </c>
    </row>
    <row r="5482" spans="1:37" x14ac:dyDescent="0.2">
      <c r="A5482" t="str">
        <f>"20200111153800275"</f>
        <v>20200111153800275</v>
      </c>
      <c r="B5482" t="str">
        <f>"1578728280269025"</f>
        <v>1578728280269025</v>
      </c>
      <c r="C5482" t="s">
        <v>37</v>
      </c>
      <c r="D5482">
        <v>5.7102500000000003</v>
      </c>
      <c r="E5482">
        <v>0.50192840000000005</v>
      </c>
      <c r="F5482" t="s">
        <v>39</v>
      </c>
      <c r="G5482">
        <v>-262.4289</v>
      </c>
      <c r="H5482" s="1">
        <v>-4.0522480000000002E-7</v>
      </c>
      <c r="I5482">
        <v>-61.729009999999903</v>
      </c>
      <c r="J5482">
        <v>-274.98649999999998</v>
      </c>
      <c r="K5482">
        <v>1.1062650000000001</v>
      </c>
      <c r="L5482">
        <v>-62.79654</v>
      </c>
      <c r="M5482">
        <v>0.99790129999999999</v>
      </c>
      <c r="N5482">
        <v>0</v>
      </c>
      <c r="O5482">
        <v>-6.4081040000000006E-2</v>
      </c>
      <c r="P5482">
        <v>0.99538599999999999</v>
      </c>
      <c r="Q5482">
        <v>2.958767E-2</v>
      </c>
      <c r="R5482">
        <v>9.1276410000000002E-2</v>
      </c>
      <c r="S5482">
        <v>2.9987789999999999</v>
      </c>
      <c r="T5482">
        <v>-0.26109199999999999</v>
      </c>
      <c r="U5482">
        <v>0.25003049999999999</v>
      </c>
      <c r="V5482">
        <v>-0.15507660000000001</v>
      </c>
      <c r="W5482">
        <v>3.797888E-2</v>
      </c>
      <c r="X5482">
        <v>0.9871721</v>
      </c>
      <c r="Y5482">
        <v>-0.1459905</v>
      </c>
      <c r="Z5482">
        <v>1.1892730000000001E-2</v>
      </c>
      <c r="AA5482">
        <v>0.9892145</v>
      </c>
      <c r="AB5482">
        <v>26</v>
      </c>
      <c r="AC5482">
        <v>12.5575999999999</v>
      </c>
      <c r="AD5482">
        <v>-1.1062654052248</v>
      </c>
      <c r="AE5482">
        <v>1.0675300000000001</v>
      </c>
      <c r="AF5482">
        <v>-1.8557757021871399</v>
      </c>
      <c r="AG5482">
        <v>-1.1062654052248</v>
      </c>
      <c r="AH5482">
        <v>12.368079458217</v>
      </c>
      <c r="AI5482">
        <v>95.054943132386398</v>
      </c>
      <c r="AJ5482">
        <v>98.533319877997897</v>
      </c>
      <c r="AK5482">
        <v>12.5553620452934</v>
      </c>
    </row>
    <row r="5483" spans="1:37" x14ac:dyDescent="0.2">
      <c r="A5483" t="str">
        <f>"20200111153800287"</f>
        <v>20200111153800287</v>
      </c>
      <c r="B5483" t="str">
        <f>"1578728280278785"</f>
        <v>1578728280278785</v>
      </c>
      <c r="C5483" t="s">
        <v>37</v>
      </c>
      <c r="D5483">
        <v>5.4818660000000001</v>
      </c>
      <c r="E5483">
        <v>0.50185779999999902</v>
      </c>
      <c r="F5483" t="s">
        <v>58</v>
      </c>
      <c r="G5483">
        <v>-262.27010000000001</v>
      </c>
      <c r="H5483" s="1">
        <v>-3.32915799999999E-7</v>
      </c>
      <c r="I5483">
        <v>-61.713250000000002</v>
      </c>
      <c r="J5483">
        <v>-274.85770000000002</v>
      </c>
      <c r="K5483">
        <v>1.1061540000000001</v>
      </c>
      <c r="L5483">
        <v>-62.803219999999897</v>
      </c>
      <c r="M5483">
        <v>0.99799539999999998</v>
      </c>
      <c r="N5483">
        <v>0</v>
      </c>
      <c r="O5483">
        <v>-6.2618750000000001E-2</v>
      </c>
      <c r="P5483">
        <v>0.99527749999999904</v>
      </c>
      <c r="Q5483">
        <v>2.920244E-2</v>
      </c>
      <c r="R5483">
        <v>9.2574100000000006E-2</v>
      </c>
      <c r="S5483">
        <v>2.9982599999999899</v>
      </c>
      <c r="T5483">
        <v>-0.26083469999999997</v>
      </c>
      <c r="U5483">
        <v>0.25540160000000001</v>
      </c>
      <c r="V5483">
        <v>-0.15490719999999999</v>
      </c>
      <c r="W5483">
        <v>3.748427E-2</v>
      </c>
      <c r="X5483">
        <v>0.98721769999999998</v>
      </c>
      <c r="Y5483">
        <v>-0.14632039999999999</v>
      </c>
      <c r="Z5483">
        <v>1.176985E-2</v>
      </c>
      <c r="AA5483">
        <v>0.98916719999999903</v>
      </c>
      <c r="AB5483">
        <v>26</v>
      </c>
      <c r="AC5483">
        <v>12.5876</v>
      </c>
      <c r="AD5483">
        <v>-1.1061543329157999</v>
      </c>
      <c r="AE5483">
        <v>1.0899699999999899</v>
      </c>
      <c r="AF5483">
        <v>-1.8618132447916</v>
      </c>
      <c r="AG5483">
        <v>-1.1061543329157999</v>
      </c>
      <c r="AH5483">
        <v>12.3995990114301</v>
      </c>
      <c r="AI5483">
        <v>95.041578568419098</v>
      </c>
      <c r="AJ5483">
        <v>98.539231467509097</v>
      </c>
      <c r="AK5483">
        <v>12.587294451587599</v>
      </c>
    </row>
    <row r="5484" spans="1:37" x14ac:dyDescent="0.2">
      <c r="A5484" t="str">
        <f>"20200111153800298"</f>
        <v>20200111153800298</v>
      </c>
      <c r="B5484" t="str">
        <f>"1578728280288545"</f>
        <v>1578728280288545</v>
      </c>
      <c r="C5484" t="s">
        <v>37</v>
      </c>
      <c r="D5484">
        <v>5.7317609999999997</v>
      </c>
      <c r="E5484">
        <v>0.50188290000000002</v>
      </c>
      <c r="F5484" t="s">
        <v>58</v>
      </c>
      <c r="G5484">
        <v>-262.1583</v>
      </c>
      <c r="H5484" s="1">
        <v>-2.8181929999999901E-7</v>
      </c>
      <c r="I5484">
        <v>-61.701540000000001</v>
      </c>
      <c r="J5484">
        <v>-274.72629999999998</v>
      </c>
      <c r="K5484">
        <v>1.1060399999999999</v>
      </c>
      <c r="L5484">
        <v>-62.809939999999997</v>
      </c>
      <c r="M5484">
        <v>0.99808709999999901</v>
      </c>
      <c r="N5484">
        <v>0</v>
      </c>
      <c r="O5484">
        <v>-6.1163009999999997E-2</v>
      </c>
      <c r="P5484">
        <v>0.99518819999999997</v>
      </c>
      <c r="Q5484">
        <v>2.8949240000000001E-2</v>
      </c>
      <c r="R5484">
        <v>9.3610410000000005E-2</v>
      </c>
      <c r="S5484">
        <v>2.9977419999999899</v>
      </c>
      <c r="T5484">
        <v>-0.26111129999999999</v>
      </c>
      <c r="U5484">
        <v>0.2600403</v>
      </c>
      <c r="V5484">
        <v>-0.1544856</v>
      </c>
      <c r="W5484">
        <v>3.7117369999999997E-2</v>
      </c>
      <c r="X5484">
        <v>0.9872976</v>
      </c>
      <c r="Y5484">
        <v>-0.14641479999999901</v>
      </c>
      <c r="Z5484">
        <v>1.1661370000000001E-2</v>
      </c>
      <c r="AA5484">
        <v>0.98915459999999999</v>
      </c>
      <c r="AB5484">
        <v>26</v>
      </c>
      <c r="AC5484">
        <v>12.5679999999999</v>
      </c>
      <c r="AD5484">
        <v>-1.10604028181929</v>
      </c>
      <c r="AE5484">
        <v>1.1084000000000001</v>
      </c>
      <c r="AF5484">
        <v>-1.86075269273774</v>
      </c>
      <c r="AG5484">
        <v>-1.10604028181929</v>
      </c>
      <c r="AH5484">
        <v>12.3815201545451</v>
      </c>
      <c r="AI5484">
        <v>95.048285559894396</v>
      </c>
      <c r="AJ5484">
        <v>98.546716525165806</v>
      </c>
      <c r="AK5484">
        <v>12.5693184789766</v>
      </c>
    </row>
    <row r="5485" spans="1:37" x14ac:dyDescent="0.2">
      <c r="A5485" t="str">
        <f>"20200111153800308"</f>
        <v>20200111153800308</v>
      </c>
      <c r="B5485" t="str">
        <f>"1578728280298305"</f>
        <v>1578728280298305</v>
      </c>
      <c r="C5485" t="s">
        <v>37</v>
      </c>
      <c r="D5485">
        <v>5.5128320000000004</v>
      </c>
      <c r="E5485">
        <v>0.50198900000000002</v>
      </c>
      <c r="F5485" t="s">
        <v>58</v>
      </c>
      <c r="G5485">
        <v>-262.1071</v>
      </c>
      <c r="H5485" s="1">
        <v>-2.6012069999999997E-7</v>
      </c>
      <c r="I5485">
        <v>-61.702489999999997</v>
      </c>
      <c r="J5485">
        <v>-274.60860000000002</v>
      </c>
      <c r="K5485">
        <v>1.1059410000000001</v>
      </c>
      <c r="L5485">
        <v>-62.815800000000003</v>
      </c>
      <c r="M5485">
        <v>0.99816159999999998</v>
      </c>
      <c r="N5485">
        <v>0</v>
      </c>
      <c r="O5485">
        <v>-5.9955889999999998E-2</v>
      </c>
      <c r="P5485">
        <v>0.99512520000000004</v>
      </c>
      <c r="Q5485">
        <v>2.873593E-2</v>
      </c>
      <c r="R5485">
        <v>9.4342110000000007E-2</v>
      </c>
      <c r="S5485">
        <v>2.9973749999999999</v>
      </c>
      <c r="T5485">
        <v>-0.26271250000000002</v>
      </c>
      <c r="U5485">
        <v>0.26303100000000001</v>
      </c>
      <c r="V5485">
        <v>-0.15400910000000001</v>
      </c>
      <c r="W5485">
        <v>3.679238E-2</v>
      </c>
      <c r="X5485">
        <v>0.98738419999999905</v>
      </c>
      <c r="Y5485">
        <v>-0.1462041</v>
      </c>
      <c r="Z5485">
        <v>1.1618969999999999E-2</v>
      </c>
      <c r="AA5485">
        <v>0.98918619999999902</v>
      </c>
      <c r="AB5485">
        <v>26</v>
      </c>
      <c r="AC5485">
        <v>12.5015</v>
      </c>
      <c r="AD5485">
        <v>-1.1059412601206999</v>
      </c>
      <c r="AE5485">
        <v>1.11330999999999</v>
      </c>
      <c r="AF5485">
        <v>-1.84653778561813</v>
      </c>
      <c r="AG5485">
        <v>-1.1059412601206999</v>
      </c>
      <c r="AH5485">
        <v>12.3166247609522</v>
      </c>
      <c r="AI5485">
        <v>95.074562574477795</v>
      </c>
      <c r="AJ5485">
        <v>98.526416524200897</v>
      </c>
      <c r="AK5485">
        <v>12.5032817038829</v>
      </c>
    </row>
    <row r="5486" spans="1:37" x14ac:dyDescent="0.2">
      <c r="A5486" t="str">
        <f>"20200111153800318"</f>
        <v>20200111153800318</v>
      </c>
      <c r="B5486" t="str">
        <f>"1578728280309041"</f>
        <v>1578728280309041</v>
      </c>
      <c r="C5486" t="s">
        <v>37</v>
      </c>
      <c r="D5486">
        <v>5.4788519999999998</v>
      </c>
      <c r="E5486">
        <v>0.50200679999999998</v>
      </c>
      <c r="F5486" t="s">
        <v>58</v>
      </c>
      <c r="G5486">
        <v>-262.04329999999999</v>
      </c>
      <c r="H5486" s="1">
        <v>-2.337985E-7</v>
      </c>
      <c r="I5486">
        <v>-61.706499999999998</v>
      </c>
      <c r="J5486">
        <v>-274.48480000000001</v>
      </c>
      <c r="K5486">
        <v>1.105837</v>
      </c>
      <c r="L5486">
        <v>-62.821959999999997</v>
      </c>
      <c r="M5486">
        <v>0.99823799999999996</v>
      </c>
      <c r="N5486">
        <v>0</v>
      </c>
      <c r="O5486">
        <v>-5.869489E-2</v>
      </c>
      <c r="P5486">
        <v>0.99506149999999904</v>
      </c>
      <c r="Q5486">
        <v>2.8332799999999901E-2</v>
      </c>
      <c r="R5486">
        <v>9.5132620000000001E-2</v>
      </c>
      <c r="S5486">
        <v>2.99725299999999</v>
      </c>
      <c r="T5486">
        <v>-0.26380290000000001</v>
      </c>
      <c r="U5486">
        <v>0.26458739999999997</v>
      </c>
      <c r="V5486">
        <v>-0.15353749999999999</v>
      </c>
      <c r="W5486">
        <v>3.6269639999999999E-2</v>
      </c>
      <c r="X5486">
        <v>0.98747689999999999</v>
      </c>
      <c r="Y5486">
        <v>-0.14546879999999901</v>
      </c>
      <c r="Z5486">
        <v>1.152443E-2</v>
      </c>
      <c r="AA5486">
        <v>0.9892957</v>
      </c>
      <c r="AB5486">
        <v>26</v>
      </c>
      <c r="AC5486">
        <v>12.4415</v>
      </c>
      <c r="AD5486">
        <v>-1.1058372337985001</v>
      </c>
      <c r="AE5486">
        <v>1.1154599999999899</v>
      </c>
      <c r="AF5486">
        <v>-1.8294789613951701</v>
      </c>
      <c r="AG5486">
        <v>-1.1058372337985001</v>
      </c>
      <c r="AH5486">
        <v>12.258502444931899</v>
      </c>
      <c r="AI5486">
        <v>95.0985245935195</v>
      </c>
      <c r="AJ5486">
        <v>98.488265976110597</v>
      </c>
      <c r="AK5486">
        <v>12.443502378761499</v>
      </c>
    </row>
    <row r="5487" spans="1:37" x14ac:dyDescent="0.2">
      <c r="A5487" t="str">
        <f>"20200111153800330"</f>
        <v>20200111153800330</v>
      </c>
      <c r="B5487" t="str">
        <f>"1578728280318802"</f>
        <v>1578728280318802</v>
      </c>
      <c r="C5487" t="s">
        <v>37</v>
      </c>
      <c r="D5487">
        <v>5.4988199999999896</v>
      </c>
      <c r="E5487">
        <v>0.50206930000000005</v>
      </c>
      <c r="F5487" t="s">
        <v>58</v>
      </c>
      <c r="G5487">
        <v>-261.94</v>
      </c>
      <c r="H5487" s="1">
        <v>-1.889886E-7</v>
      </c>
      <c r="I5487">
        <v>-61.704609999999903</v>
      </c>
      <c r="J5487">
        <v>-274.3612</v>
      </c>
      <c r="K5487">
        <v>1.1057299999999901</v>
      </c>
      <c r="L5487">
        <v>-62.827939999999998</v>
      </c>
      <c r="M5487">
        <v>0.99830629999999998</v>
      </c>
      <c r="N5487">
        <v>0</v>
      </c>
      <c r="O5487">
        <v>-5.7541969999999998E-2</v>
      </c>
      <c r="P5487">
        <v>0.99503580000000003</v>
      </c>
      <c r="Q5487">
        <v>2.7912659999999999E-2</v>
      </c>
      <c r="R5487">
        <v>9.5524559999999994E-2</v>
      </c>
      <c r="S5487">
        <v>2.996826</v>
      </c>
      <c r="T5487">
        <v>-0.26417269999999998</v>
      </c>
      <c r="U5487">
        <v>0.2669067</v>
      </c>
      <c r="V5487">
        <v>-0.1527772</v>
      </c>
      <c r="W5487">
        <v>3.5722120000000003E-2</v>
      </c>
      <c r="X5487">
        <v>0.98761480000000001</v>
      </c>
      <c r="Y5487">
        <v>-0.1451017</v>
      </c>
      <c r="Z5487">
        <v>1.1424439999999999E-2</v>
      </c>
      <c r="AA5487">
        <v>0.98935079999999997</v>
      </c>
      <c r="AB5487">
        <v>26</v>
      </c>
      <c r="AC5487">
        <v>12.421200000000001</v>
      </c>
      <c r="AD5487">
        <v>-1.1057301889886</v>
      </c>
      <c r="AE5487">
        <v>1.1233300000000099</v>
      </c>
      <c r="AF5487">
        <v>-1.82191455797978</v>
      </c>
      <c r="AG5487">
        <v>-1.1057301889886</v>
      </c>
      <c r="AH5487">
        <v>12.2397696029016</v>
      </c>
      <c r="AI5487">
        <v>95.106083458905402</v>
      </c>
      <c r="AJ5487">
        <v>98.466428339008004</v>
      </c>
      <c r="AK5487">
        <v>12.423927391913301</v>
      </c>
    </row>
    <row r="5488" spans="1:37" x14ac:dyDescent="0.2">
      <c r="A5488" t="str">
        <f>"20200111153800341"</f>
        <v>20200111153800341</v>
      </c>
      <c r="B5488" t="str">
        <f>"1578728280338875"</f>
        <v>1578728280338875</v>
      </c>
      <c r="C5488" t="s">
        <v>37</v>
      </c>
      <c r="D5488">
        <v>5.4964579999999996</v>
      </c>
      <c r="E5488">
        <v>0.50221110000000002</v>
      </c>
      <c r="F5488" t="s">
        <v>58</v>
      </c>
      <c r="G5488">
        <v>-261.82010000000002</v>
      </c>
      <c r="H5488" s="1">
        <v>-1.3836200000000001E-7</v>
      </c>
      <c r="I5488">
        <v>-61.707560000000001</v>
      </c>
      <c r="J5488">
        <v>-274.2294</v>
      </c>
      <c r="K5488">
        <v>1.1056239999999999</v>
      </c>
      <c r="L5488">
        <v>-62.83426</v>
      </c>
      <c r="M5488">
        <v>0.99837719999999897</v>
      </c>
      <c r="N5488">
        <v>0</v>
      </c>
      <c r="O5488">
        <v>-5.6329079999999997E-2</v>
      </c>
      <c r="P5488">
        <v>0.99499259999999901</v>
      </c>
      <c r="Q5488">
        <v>2.785692E-2</v>
      </c>
      <c r="R5488">
        <v>9.5988180000000006E-2</v>
      </c>
      <c r="S5488">
        <v>2.9967039999999998</v>
      </c>
      <c r="T5488">
        <v>-0.26421479999999897</v>
      </c>
      <c r="U5488">
        <v>0.2677002</v>
      </c>
      <c r="V5488">
        <v>-0.15202939999999901</v>
      </c>
      <c r="W5488">
        <v>3.5528160000000003E-2</v>
      </c>
      <c r="X5488">
        <v>0.98773719999999998</v>
      </c>
      <c r="Y5488">
        <v>-0.1441711</v>
      </c>
      <c r="Z5488">
        <v>1.127918E-2</v>
      </c>
      <c r="AA5488">
        <v>0.98948849999999999</v>
      </c>
      <c r="AB5488">
        <v>26</v>
      </c>
      <c r="AC5488">
        <v>12.409299999999901</v>
      </c>
      <c r="AD5488">
        <v>-1.105624138362</v>
      </c>
      <c r="AE5488">
        <v>1.12669999999999</v>
      </c>
      <c r="AF5488">
        <v>-1.80969169921503</v>
      </c>
      <c r="AG5488">
        <v>-1.105624138362</v>
      </c>
      <c r="AH5488">
        <v>12.2298388653681</v>
      </c>
      <c r="AI5488">
        <v>95.110368658707301</v>
      </c>
      <c r="AJ5488">
        <v>98.417175418562906</v>
      </c>
      <c r="AK5488">
        <v>12.412346573247399</v>
      </c>
    </row>
    <row r="5489" spans="1:37" x14ac:dyDescent="0.2">
      <c r="A5489" t="str">
        <f>"20200111153800352"</f>
        <v>20200111153800352</v>
      </c>
      <c r="B5489" t="str">
        <f>"1578728280348635"</f>
        <v>1578728280348635</v>
      </c>
      <c r="C5489" t="s">
        <v>37</v>
      </c>
      <c r="D5489">
        <v>5.5993690000000003</v>
      </c>
      <c r="E5489">
        <v>0.50222149999999999</v>
      </c>
      <c r="F5489" t="s">
        <v>58</v>
      </c>
      <c r="G5489">
        <v>-261.5795</v>
      </c>
      <c r="H5489" s="1">
        <v>-3.3643909999999998E-8</v>
      </c>
      <c r="I5489">
        <v>-61.701909999999998</v>
      </c>
      <c r="J5489">
        <v>-274.08789999999999</v>
      </c>
      <c r="K5489">
        <v>1.1055139999999899</v>
      </c>
      <c r="L5489">
        <v>-62.840910000000001</v>
      </c>
      <c r="M5489">
        <v>0.99844599999999994</v>
      </c>
      <c r="N5489">
        <v>0</v>
      </c>
      <c r="O5489">
        <v>-5.5123209999999999E-2</v>
      </c>
      <c r="P5489">
        <v>0.99497639999999998</v>
      </c>
      <c r="Q5489">
        <v>2.7894740000000001E-2</v>
      </c>
      <c r="R5489">
        <v>9.6145809999999998E-2</v>
      </c>
      <c r="S5489">
        <v>2.9965519999999999</v>
      </c>
      <c r="T5489">
        <v>-0.2619052</v>
      </c>
      <c r="U5489">
        <v>0.26821899999999999</v>
      </c>
      <c r="V5489">
        <v>-0.1509848</v>
      </c>
      <c r="W5489">
        <v>3.5413319999999998E-2</v>
      </c>
      <c r="X5489">
        <v>0.98790159999999905</v>
      </c>
      <c r="Y5489">
        <v>-0.1431721</v>
      </c>
      <c r="Z5489">
        <v>1.103295E-2</v>
      </c>
      <c r="AA5489">
        <v>0.98963630000000002</v>
      </c>
      <c r="AB5489">
        <v>26</v>
      </c>
      <c r="AC5489">
        <v>12.5083999999999</v>
      </c>
      <c r="AD5489">
        <v>-1.1055140336439</v>
      </c>
      <c r="AE5489">
        <v>1.139</v>
      </c>
      <c r="AF5489">
        <v>-1.81275081769002</v>
      </c>
      <c r="AG5489">
        <v>-1.1055140336439</v>
      </c>
      <c r="AH5489">
        <v>12.3310631123316</v>
      </c>
      <c r="AI5489">
        <v>95.068839055836605</v>
      </c>
      <c r="AJ5489">
        <v>98.362971604526095</v>
      </c>
      <c r="AK5489">
        <v>12.512527493912801</v>
      </c>
    </row>
    <row r="5490" spans="1:37" x14ac:dyDescent="0.2">
      <c r="A5490" t="str">
        <f>"20200111153800363"</f>
        <v>20200111153800363</v>
      </c>
      <c r="B5490" t="str">
        <f>"1578728280358395"</f>
        <v>1578728280358395</v>
      </c>
      <c r="C5490" t="s">
        <v>37</v>
      </c>
      <c r="D5490">
        <v>5.7025649999999999</v>
      </c>
      <c r="E5490">
        <v>0.50225540000000002</v>
      </c>
      <c r="F5490" t="s">
        <v>39</v>
      </c>
      <c r="G5490">
        <v>-261.4237</v>
      </c>
      <c r="H5490" s="1">
        <v>3.2441219999999897E-8</v>
      </c>
      <c r="I5490">
        <v>-61.704819999999998</v>
      </c>
      <c r="J5490">
        <v>-273.976</v>
      </c>
      <c r="K5490">
        <v>1.1054360000000001</v>
      </c>
      <c r="L5490">
        <v>-62.846130000000002</v>
      </c>
      <c r="M5490">
        <v>0.998498</v>
      </c>
      <c r="N5490">
        <v>0</v>
      </c>
      <c r="O5490">
        <v>-5.4194819999999998E-2</v>
      </c>
      <c r="P5490">
        <v>0.99499009999999999</v>
      </c>
      <c r="Q5490">
        <v>2.7666409999999999E-2</v>
      </c>
      <c r="R5490">
        <v>9.6070420000000004E-2</v>
      </c>
      <c r="S5490">
        <v>2.996521</v>
      </c>
      <c r="T5490">
        <v>-0.2615789</v>
      </c>
      <c r="U5490">
        <v>0.2687988</v>
      </c>
      <c r="V5490">
        <v>-0.14998510000000001</v>
      </c>
      <c r="W5490">
        <v>3.506401E-2</v>
      </c>
      <c r="X5490">
        <v>0.98806629999999995</v>
      </c>
      <c r="Y5490">
        <v>-0.14245079999999999</v>
      </c>
      <c r="Z5490">
        <v>1.0907180000000001E-2</v>
      </c>
      <c r="AA5490">
        <v>0.9897418</v>
      </c>
      <c r="AB5490">
        <v>26</v>
      </c>
      <c r="AC5490">
        <v>12.552300000000001</v>
      </c>
      <c r="AD5490">
        <v>-1.1054359675587799</v>
      </c>
      <c r="AE5490">
        <v>1.14131</v>
      </c>
      <c r="AF5490">
        <v>-1.80603205692325</v>
      </c>
      <c r="AG5490">
        <v>-1.1054359675587799</v>
      </c>
      <c r="AH5490">
        <v>12.3767930894017</v>
      </c>
      <c r="AI5490">
        <v>95.050635243305607</v>
      </c>
      <c r="AJ5490">
        <v>98.302054320233694</v>
      </c>
      <c r="AK5490">
        <v>12.5566216653552</v>
      </c>
    </row>
    <row r="5491" spans="1:37" x14ac:dyDescent="0.2">
      <c r="A5491" t="str">
        <f>"20200111153800374"</f>
        <v>20200111153800374</v>
      </c>
      <c r="B5491" t="str">
        <f>"1578728280369131"</f>
        <v>1578728280369131</v>
      </c>
      <c r="C5491" t="s">
        <v>37</v>
      </c>
      <c r="D5491">
        <v>5.7067889999999997</v>
      </c>
      <c r="E5491">
        <v>0.50234709999999905</v>
      </c>
      <c r="F5491" t="s">
        <v>58</v>
      </c>
      <c r="G5491">
        <v>-261.34660000000002</v>
      </c>
      <c r="H5491" s="1">
        <v>6.2696299999999997E-8</v>
      </c>
      <c r="I5491">
        <v>-61.715469999999897</v>
      </c>
      <c r="J5491">
        <v>-273.84570000000002</v>
      </c>
      <c r="K5491">
        <v>1.1053489999999999</v>
      </c>
      <c r="L5491">
        <v>-62.852109999999897</v>
      </c>
      <c r="M5491">
        <v>0.99855450000000001</v>
      </c>
      <c r="N5491">
        <v>0</v>
      </c>
      <c r="O5491">
        <v>-5.3171049999999997E-2</v>
      </c>
      <c r="P5491">
        <v>0.99496189999999995</v>
      </c>
      <c r="Q5491">
        <v>2.8164359999999999E-2</v>
      </c>
      <c r="R5491">
        <v>9.6218049999999999E-2</v>
      </c>
      <c r="S5491">
        <v>2.996521</v>
      </c>
      <c r="T5491">
        <v>-0.26228119999999999</v>
      </c>
      <c r="U5491">
        <v>0.26824949999999997</v>
      </c>
      <c r="V5491">
        <v>-0.14911340000000001</v>
      </c>
      <c r="W5491">
        <v>3.5419039999999999E-2</v>
      </c>
      <c r="X5491">
        <v>0.98818549999999905</v>
      </c>
      <c r="Y5491">
        <v>-0.14126029999999901</v>
      </c>
      <c r="Z5491">
        <v>1.0795259999999999E-2</v>
      </c>
      <c r="AA5491">
        <v>0.98991359999999995</v>
      </c>
      <c r="AB5491">
        <v>26</v>
      </c>
      <c r="AC5491">
        <v>12.4991</v>
      </c>
      <c r="AD5491">
        <v>-1.1053489373037</v>
      </c>
      <c r="AE5491">
        <v>1.1366399999999901</v>
      </c>
      <c r="AF5491">
        <v>-1.78579136996624</v>
      </c>
      <c r="AG5491">
        <v>-1.1053489373037</v>
      </c>
      <c r="AH5491">
        <v>12.3253781785188</v>
      </c>
      <c r="AI5491">
        <v>95.071939403432395</v>
      </c>
      <c r="AJ5491">
        <v>98.244065612009393</v>
      </c>
      <c r="AK5491">
        <v>12.503031405773299</v>
      </c>
    </row>
    <row r="5492" spans="1:37" x14ac:dyDescent="0.2">
      <c r="A5492" t="str">
        <f>"20200111153800384"</f>
        <v>20200111153800384</v>
      </c>
      <c r="B5492" t="str">
        <f>"1578728280378891"</f>
        <v>1578728280378891</v>
      </c>
      <c r="C5492" t="s">
        <v>37</v>
      </c>
      <c r="D5492">
        <v>5.5516420000000002</v>
      </c>
      <c r="E5492">
        <v>0.50238779999999905</v>
      </c>
      <c r="F5492" t="s">
        <v>58</v>
      </c>
      <c r="G5492">
        <v>-261.1198</v>
      </c>
      <c r="H5492" s="1">
        <v>1.60581E-7</v>
      </c>
      <c r="I5492">
        <v>-61.71311</v>
      </c>
      <c r="J5492">
        <v>-273.72770000000003</v>
      </c>
      <c r="K5492">
        <v>1.1052789999999999</v>
      </c>
      <c r="L5492">
        <v>-62.85745</v>
      </c>
      <c r="M5492">
        <v>0.99860319999999902</v>
      </c>
      <c r="N5492">
        <v>0</v>
      </c>
      <c r="O5492">
        <v>-5.2272060000000002E-2</v>
      </c>
      <c r="P5492">
        <v>0.99494550000000004</v>
      </c>
      <c r="Q5492">
        <v>2.815057E-2</v>
      </c>
      <c r="R5492">
        <v>9.6390160000000003E-2</v>
      </c>
      <c r="S5492">
        <v>2.996613</v>
      </c>
      <c r="T5492">
        <v>-0.26028049999999903</v>
      </c>
      <c r="U5492">
        <v>0.2681885</v>
      </c>
      <c r="V5492">
        <v>-0.1483894</v>
      </c>
      <c r="W5492">
        <v>3.5273220000000001E-2</v>
      </c>
      <c r="X5492">
        <v>0.988299699999999</v>
      </c>
      <c r="Y5492">
        <v>-0.140364299999999</v>
      </c>
      <c r="Z5492">
        <v>1.0596339999999999E-2</v>
      </c>
      <c r="AA5492">
        <v>0.99004319999999901</v>
      </c>
      <c r="AB5492">
        <v>26</v>
      </c>
      <c r="AC5492">
        <v>12.607900000000001</v>
      </c>
      <c r="AD5492">
        <v>-1.1052788394190001</v>
      </c>
      <c r="AE5492">
        <v>1.1443399999999899</v>
      </c>
      <c r="AF5492">
        <v>-1.7882053762705299</v>
      </c>
      <c r="AG5492">
        <v>-1.1052788394190001</v>
      </c>
      <c r="AH5492">
        <v>12.436050411917901</v>
      </c>
      <c r="AI5492">
        <v>95.027492346152101</v>
      </c>
      <c r="AJ5492">
        <v>98.182591252383801</v>
      </c>
      <c r="AK5492">
        <v>12.6124807087406</v>
      </c>
    </row>
    <row r="5493" spans="1:37" x14ac:dyDescent="0.2">
      <c r="A5493" t="str">
        <f>"20200111153800395"</f>
        <v>20200111153800395</v>
      </c>
      <c r="B5493" t="str">
        <f>"1578728280388651"</f>
        <v>1578728280388651</v>
      </c>
      <c r="C5493" t="s">
        <v>37</v>
      </c>
      <c r="D5493">
        <v>5.5930429999999998</v>
      </c>
      <c r="E5493">
        <v>0.50239899999999904</v>
      </c>
      <c r="F5493" t="s">
        <v>58</v>
      </c>
      <c r="G5493">
        <v>-260.99270000000001</v>
      </c>
      <c r="H5493" s="1">
        <v>2.1413749999999999E-7</v>
      </c>
      <c r="I5493">
        <v>-61.716850000000001</v>
      </c>
      <c r="J5493">
        <v>-273.59039999999999</v>
      </c>
      <c r="K5493">
        <v>1.1052010000000001</v>
      </c>
      <c r="L5493">
        <v>-62.863619999999997</v>
      </c>
      <c r="M5493">
        <v>0.99865649999999995</v>
      </c>
      <c r="N5493">
        <v>0</v>
      </c>
      <c r="O5493">
        <v>-5.127147E-2</v>
      </c>
      <c r="P5493">
        <v>0.99492809999999898</v>
      </c>
      <c r="Q5493">
        <v>2.85445E-2</v>
      </c>
      <c r="R5493">
        <v>9.6456070000000005E-2</v>
      </c>
      <c r="S5493">
        <v>2.9965820000000001</v>
      </c>
      <c r="T5493">
        <v>-0.26007579999999902</v>
      </c>
      <c r="U5493">
        <v>0.26837159999999999</v>
      </c>
      <c r="V5493">
        <v>-0.14745929999999999</v>
      </c>
      <c r="W5493">
        <v>3.5510060000000003E-2</v>
      </c>
      <c r="X5493">
        <v>0.98843040000000004</v>
      </c>
      <c r="Y5493">
        <v>-0.1394415</v>
      </c>
      <c r="Z5493">
        <v>1.0461700000000001E-2</v>
      </c>
      <c r="AA5493">
        <v>0.99017509999999997</v>
      </c>
      <c r="AB5493">
        <v>27</v>
      </c>
      <c r="AC5493">
        <v>12.5976999999999</v>
      </c>
      <c r="AD5493">
        <v>-1.1052007858624999</v>
      </c>
      <c r="AE5493">
        <v>1.1467699999999901</v>
      </c>
      <c r="AF5493">
        <v>-1.7776132852145199</v>
      </c>
      <c r="AG5493">
        <v>-1.1052007858624999</v>
      </c>
      <c r="AH5493">
        <v>12.4274683632802</v>
      </c>
      <c r="AI5493">
        <v>95.031122538723395</v>
      </c>
      <c r="AJ5493">
        <v>98.140316230366096</v>
      </c>
      <c r="AK5493">
        <v>12.6025135464784</v>
      </c>
    </row>
    <row r="5494" spans="1:37" x14ac:dyDescent="0.2">
      <c r="A5494" t="str">
        <f>"20200111153800406"</f>
        <v>20200111153800406</v>
      </c>
      <c r="B5494" t="str">
        <f>"1578728280398411"</f>
        <v>1578728280398411</v>
      </c>
      <c r="C5494" t="s">
        <v>37</v>
      </c>
      <c r="D5494">
        <v>5.764316</v>
      </c>
      <c r="E5494">
        <v>0.50247249999999999</v>
      </c>
      <c r="F5494" t="s">
        <v>58</v>
      </c>
      <c r="G5494">
        <v>-260.7944</v>
      </c>
      <c r="H5494" s="1">
        <v>2.9920679999999998E-7</v>
      </c>
      <c r="I5494">
        <v>-61.716790000000003</v>
      </c>
      <c r="J5494">
        <v>-273.459</v>
      </c>
      <c r="K5494">
        <v>1.105135</v>
      </c>
      <c r="L5494">
        <v>-62.86938</v>
      </c>
      <c r="M5494">
        <v>0.99870460000000005</v>
      </c>
      <c r="N5494">
        <v>0</v>
      </c>
      <c r="O5494">
        <v>-5.035179E-2</v>
      </c>
      <c r="P5494">
        <v>0.99490650000000003</v>
      </c>
      <c r="Q5494">
        <v>2.8427669999999999E-2</v>
      </c>
      <c r="R5494">
        <v>9.671196E-2</v>
      </c>
      <c r="S5494">
        <v>2.9966430000000002</v>
      </c>
      <c r="T5494">
        <v>-0.25882240000000001</v>
      </c>
      <c r="U5494">
        <v>0.26855469999999998</v>
      </c>
      <c r="V5494">
        <v>-0.14679800000000001</v>
      </c>
      <c r="W5494">
        <v>3.523747E-2</v>
      </c>
      <c r="X5494">
        <v>0.98853869999999899</v>
      </c>
      <c r="Y5494">
        <v>-0.1386011</v>
      </c>
      <c r="Z5494">
        <v>1.029593E-2</v>
      </c>
      <c r="AA5494">
        <v>0.99029480000000003</v>
      </c>
      <c r="AB5494">
        <v>27</v>
      </c>
      <c r="AC5494">
        <v>12.6646</v>
      </c>
      <c r="AD5494">
        <v>-1.1051347007932</v>
      </c>
      <c r="AE5494">
        <v>1.15259</v>
      </c>
      <c r="AF5494">
        <v>-1.77542226347622</v>
      </c>
      <c r="AG5494">
        <v>-1.1051347007932</v>
      </c>
      <c r="AH5494">
        <v>12.4961266684656</v>
      </c>
      <c r="AI5494">
        <v>95.003991349708002</v>
      </c>
      <c r="AJ5494">
        <v>98.086337942310493</v>
      </c>
      <c r="AK5494">
        <v>12.669910364121799</v>
      </c>
    </row>
    <row r="5495" spans="1:37" x14ac:dyDescent="0.2">
      <c r="A5495" t="str">
        <f>"20200111153800417"</f>
        <v>20200111153800417</v>
      </c>
      <c r="B5495" t="str">
        <f>"1578728280409148"</f>
        <v>1578728280409148</v>
      </c>
      <c r="C5495" t="s">
        <v>37</v>
      </c>
      <c r="D5495">
        <v>5.5653090000000001</v>
      </c>
      <c r="E5495">
        <v>0.50264419999999999</v>
      </c>
      <c r="F5495" t="s">
        <v>58</v>
      </c>
      <c r="G5495">
        <v>-260.67529999999999</v>
      </c>
      <c r="H5495" s="1">
        <v>3.488196E-7</v>
      </c>
      <c r="I5495">
        <v>-61.722359999999902</v>
      </c>
      <c r="J5495">
        <v>-273.31220000000002</v>
      </c>
      <c r="K5495">
        <v>1.105064</v>
      </c>
      <c r="L5495">
        <v>-62.87576</v>
      </c>
      <c r="M5495">
        <v>0.99875590000000003</v>
      </c>
      <c r="N5495">
        <v>0</v>
      </c>
      <c r="O5495">
        <v>-4.9350529999999997E-2</v>
      </c>
      <c r="P5495">
        <v>0.99486419999999998</v>
      </c>
      <c r="Q5495">
        <v>2.884917E-2</v>
      </c>
      <c r="R5495">
        <v>9.7020380000000003E-2</v>
      </c>
      <c r="S5495">
        <v>2.9966430000000002</v>
      </c>
      <c r="T5495">
        <v>-0.25905660000000003</v>
      </c>
      <c r="U5495">
        <v>0.26885989999999999</v>
      </c>
      <c r="V5495">
        <v>-0.14610889999999899</v>
      </c>
      <c r="W5495">
        <v>3.5481459999999999E-2</v>
      </c>
      <c r="X5495">
        <v>0.98863199999999996</v>
      </c>
      <c r="Y5495">
        <v>-0.13771410000000001</v>
      </c>
      <c r="Z5495">
        <v>1.0180720000000001E-2</v>
      </c>
      <c r="AA5495">
        <v>0.99041970000000001</v>
      </c>
      <c r="AB5495">
        <v>27</v>
      </c>
      <c r="AC5495">
        <v>12.636900000000001</v>
      </c>
      <c r="AD5495">
        <v>-1.1050636511804</v>
      </c>
      <c r="AE5495">
        <v>1.1534</v>
      </c>
      <c r="AF5495">
        <v>-1.7622832883675199</v>
      </c>
      <c r="AG5495">
        <v>-1.1050636511804</v>
      </c>
      <c r="AH5495">
        <v>12.470008203502699</v>
      </c>
      <c r="AI5495">
        <v>95.014622055503693</v>
      </c>
      <c r="AJ5495">
        <v>98.043871362521202</v>
      </c>
      <c r="AK5495">
        <v>12.6423064611266</v>
      </c>
    </row>
    <row r="5496" spans="1:37" x14ac:dyDescent="0.2">
      <c r="A5496" t="str">
        <f>"20200111153800430"</f>
        <v>20200111153800430</v>
      </c>
      <c r="B5496" t="str">
        <f>"1578728280418907"</f>
        <v>1578728280418907</v>
      </c>
      <c r="C5496" t="s">
        <v>37</v>
      </c>
      <c r="D5496">
        <v>5.6036789999999996</v>
      </c>
      <c r="E5496">
        <v>0.50280119999999995</v>
      </c>
      <c r="F5496" t="s">
        <v>58</v>
      </c>
      <c r="G5496">
        <v>-260.53960000000001</v>
      </c>
      <c r="H5496" s="1">
        <v>4.0470410000000001E-7</v>
      </c>
      <c r="I5496">
        <v>-61.731219999999901</v>
      </c>
      <c r="J5496">
        <v>-273.17700000000002</v>
      </c>
      <c r="K5496">
        <v>1.105013</v>
      </c>
      <c r="L5496">
        <v>-62.881500000000003</v>
      </c>
      <c r="M5496">
        <v>0.99880029999999997</v>
      </c>
      <c r="N5496">
        <v>0</v>
      </c>
      <c r="O5496">
        <v>-4.8472010000000003E-2</v>
      </c>
      <c r="P5496">
        <v>0.994847699999999</v>
      </c>
      <c r="Q5496">
        <v>2.8796410000000001E-2</v>
      </c>
      <c r="R5496">
        <v>9.7206580000000001E-2</v>
      </c>
      <c r="S5496">
        <v>2.9967959999999998</v>
      </c>
      <c r="T5496">
        <v>-0.25927729999999999</v>
      </c>
      <c r="U5496">
        <v>0.26852419999999999</v>
      </c>
      <c r="V5496">
        <v>-0.14542089999999999</v>
      </c>
      <c r="W5496">
        <v>3.525797E-2</v>
      </c>
      <c r="X5496">
        <v>0.98874150000000005</v>
      </c>
      <c r="Y5496">
        <v>-0.13673399999999999</v>
      </c>
      <c r="Z5496">
        <v>1.0070930000000001E-2</v>
      </c>
      <c r="AA5496">
        <v>0.99055659999999901</v>
      </c>
      <c r="AB5496">
        <v>27</v>
      </c>
      <c r="AC5496">
        <v>12.6374</v>
      </c>
      <c r="AD5496">
        <v>-1.1050125952959</v>
      </c>
      <c r="AE5496">
        <v>1.15028</v>
      </c>
      <c r="AF5496">
        <v>-1.7482460530164301</v>
      </c>
      <c r="AG5496">
        <v>-1.1050125952959</v>
      </c>
      <c r="AH5496">
        <v>12.4722111947522</v>
      </c>
      <c r="AI5496">
        <v>95.014302392505101</v>
      </c>
      <c r="AJ5496">
        <v>97.979236245237502</v>
      </c>
      <c r="AK5496">
        <v>12.6425262184482</v>
      </c>
    </row>
    <row r="5497" spans="1:37" x14ac:dyDescent="0.2">
      <c r="A5497" t="str">
        <f>"20200111153800441"</f>
        <v>20200111153800441</v>
      </c>
      <c r="B5497" t="str">
        <f>"1578728280438982"</f>
        <v>1578728280438982</v>
      </c>
      <c r="C5497" t="s">
        <v>37</v>
      </c>
      <c r="D5497">
        <v>5.5635240000000001</v>
      </c>
      <c r="E5497">
        <v>0.502965</v>
      </c>
      <c r="F5497" t="s">
        <v>58</v>
      </c>
      <c r="G5497">
        <v>-260.49380000000002</v>
      </c>
      <c r="H5497" s="1">
        <v>4.1999359999999997E-7</v>
      </c>
      <c r="I5497">
        <v>-61.747590000000002</v>
      </c>
      <c r="J5497">
        <v>-273.0419</v>
      </c>
      <c r="K5497">
        <v>1.1049639999999901</v>
      </c>
      <c r="L5497">
        <v>-62.887209999999897</v>
      </c>
      <c r="M5497">
        <v>0.99884340000000005</v>
      </c>
      <c r="N5497">
        <v>0</v>
      </c>
      <c r="O5497">
        <v>-4.7602659999999998E-2</v>
      </c>
      <c r="P5497">
        <v>0.99483849999999996</v>
      </c>
      <c r="Q5497">
        <v>2.870379E-2</v>
      </c>
      <c r="R5497">
        <v>9.7327120000000003E-2</v>
      </c>
      <c r="S5497">
        <v>2.9968870000000001</v>
      </c>
      <c r="T5497">
        <v>-0.26110109999999997</v>
      </c>
      <c r="U5497">
        <v>0.26791379999999998</v>
      </c>
      <c r="V5497">
        <v>-0.144676799999999</v>
      </c>
      <c r="W5497">
        <v>3.4993000000000003E-2</v>
      </c>
      <c r="X5497">
        <v>0.98885999999999996</v>
      </c>
      <c r="Y5497">
        <v>-0.1356666</v>
      </c>
      <c r="Z5497">
        <v>1.0019490000000001E-2</v>
      </c>
      <c r="AA5497">
        <v>0.99070389999999997</v>
      </c>
      <c r="AB5497">
        <v>27</v>
      </c>
      <c r="AC5497">
        <v>12.5480999999999</v>
      </c>
      <c r="AD5497">
        <v>-1.1049635800063999</v>
      </c>
      <c r="AE5497">
        <v>1.1396199999999901</v>
      </c>
      <c r="AF5497">
        <v>-1.7224178424122401</v>
      </c>
      <c r="AG5497">
        <v>-1.1049635800063999</v>
      </c>
      <c r="AH5497">
        <v>12.384378029199899</v>
      </c>
      <c r="AI5497">
        <v>95.050209967385001</v>
      </c>
      <c r="AJ5497">
        <v>97.917898457740705</v>
      </c>
      <c r="AK5497">
        <v>12.552310022745999</v>
      </c>
    </row>
    <row r="5498" spans="1:37" x14ac:dyDescent="0.2">
      <c r="A5498" t="str">
        <f>"20200111153800452"</f>
        <v>20200111153800452</v>
      </c>
      <c r="B5498" t="str">
        <f>"1578728280448742"</f>
        <v>1578728280448742</v>
      </c>
      <c r="C5498" t="s">
        <v>37</v>
      </c>
      <c r="D5498">
        <v>5.532902</v>
      </c>
      <c r="E5498">
        <v>0.50298180000000003</v>
      </c>
      <c r="F5498" t="s">
        <v>39</v>
      </c>
      <c r="G5498">
        <v>-260.37029999999999</v>
      </c>
      <c r="H5498" s="1">
        <v>4.7031259999999898E-7</v>
      </c>
      <c r="I5498">
        <v>-61.757469999999998</v>
      </c>
      <c r="J5498">
        <v>-272.90069999999997</v>
      </c>
      <c r="K5498">
        <v>1.1049229999999901</v>
      </c>
      <c r="L5498">
        <v>-62.893039999999999</v>
      </c>
      <c r="M5498">
        <v>0.99888650000000001</v>
      </c>
      <c r="N5498">
        <v>0</v>
      </c>
      <c r="O5498">
        <v>-4.6719070000000001E-2</v>
      </c>
      <c r="P5498">
        <v>0.99481810000000004</v>
      </c>
      <c r="Q5498">
        <v>2.8974409999999999E-2</v>
      </c>
      <c r="R5498">
        <v>9.7454760000000001E-2</v>
      </c>
      <c r="S5498">
        <v>2.9969790000000001</v>
      </c>
      <c r="T5498">
        <v>-0.2613375</v>
      </c>
      <c r="U5498">
        <v>0.26718140000000001</v>
      </c>
      <c r="V5498">
        <v>-0.1439271</v>
      </c>
      <c r="W5498">
        <v>3.5078310000000001E-2</v>
      </c>
      <c r="X5498">
        <v>0.98896640000000002</v>
      </c>
      <c r="Y5498">
        <v>-0.1345536</v>
      </c>
      <c r="Z5498">
        <v>9.9032059999999995E-3</v>
      </c>
      <c r="AA5498">
        <v>0.99085679999999998</v>
      </c>
      <c r="AB5498">
        <v>27</v>
      </c>
      <c r="AC5498">
        <v>12.530399999999901</v>
      </c>
      <c r="AD5498">
        <v>-1.1049225296873999</v>
      </c>
      <c r="AE5498">
        <v>1.13557</v>
      </c>
      <c r="AF5498">
        <v>-1.70658957040832</v>
      </c>
      <c r="AG5498">
        <v>-1.1049225296873999</v>
      </c>
      <c r="AH5498">
        <v>12.3682758200544</v>
      </c>
      <c r="AI5498">
        <v>95.057315121660807</v>
      </c>
      <c r="AJ5498">
        <v>97.856134033343693</v>
      </c>
      <c r="AK5498">
        <v>12.5342550045617</v>
      </c>
    </row>
    <row r="5499" spans="1:37" x14ac:dyDescent="0.2">
      <c r="A5499" t="str">
        <f>"20200111153800464"</f>
        <v>20200111153800464</v>
      </c>
      <c r="B5499" t="str">
        <f>"1578728280458501"</f>
        <v>1578728280458501</v>
      </c>
      <c r="C5499" t="s">
        <v>37</v>
      </c>
      <c r="D5499">
        <v>5.5516209999999999</v>
      </c>
      <c r="E5499">
        <v>0.50303929999999997</v>
      </c>
      <c r="F5499" t="s">
        <v>39</v>
      </c>
      <c r="G5499">
        <v>-260.17250000000001</v>
      </c>
      <c r="H5499" s="1">
        <v>5.5541159999999995E-7</v>
      </c>
      <c r="I5499">
        <v>-61.756590000000003</v>
      </c>
      <c r="J5499">
        <v>-272.76690000000002</v>
      </c>
      <c r="K5499">
        <v>1.104889</v>
      </c>
      <c r="L5499">
        <v>-62.898440000000001</v>
      </c>
      <c r="M5499">
        <v>0.99892599999999998</v>
      </c>
      <c r="N5499">
        <v>0</v>
      </c>
      <c r="O5499">
        <v>-4.5889010000000001E-2</v>
      </c>
      <c r="P5499">
        <v>0.99480239999999998</v>
      </c>
      <c r="Q5499">
        <v>2.9425280000000002E-2</v>
      </c>
      <c r="R5499">
        <v>9.7479350000000006E-2</v>
      </c>
      <c r="S5499">
        <v>2.9970400000000001</v>
      </c>
      <c r="T5499">
        <v>-0.26017129999999999</v>
      </c>
      <c r="U5499">
        <v>0.26757809999999999</v>
      </c>
      <c r="V5499">
        <v>-0.14312820000000001</v>
      </c>
      <c r="W5499">
        <v>3.5353750000000003E-2</v>
      </c>
      <c r="X5499">
        <v>0.98907250000000002</v>
      </c>
      <c r="Y5499">
        <v>-0.13387019999999999</v>
      </c>
      <c r="Z5499">
        <v>9.7575779999999994E-3</v>
      </c>
      <c r="AA5499">
        <v>0.99095080000000002</v>
      </c>
      <c r="AB5499">
        <v>27</v>
      </c>
      <c r="AC5499">
        <v>12.5944</v>
      </c>
      <c r="AD5499">
        <v>-1.1048884445884</v>
      </c>
      <c r="AE5499">
        <v>1.14184999999999</v>
      </c>
      <c r="AF5499">
        <v>-1.7055838088270601</v>
      </c>
      <c r="AG5499">
        <v>-1.1048884445884</v>
      </c>
      <c r="AH5499">
        <v>12.4338181777351</v>
      </c>
      <c r="AI5499">
        <v>95.031185474815501</v>
      </c>
      <c r="AJ5499">
        <v>97.810686126853199</v>
      </c>
      <c r="AK5499">
        <v>12.5987947471531</v>
      </c>
    </row>
    <row r="5500" spans="1:37" x14ac:dyDescent="0.2">
      <c r="A5500" t="str">
        <f>"20200111153800475"</f>
        <v>20200111153800475</v>
      </c>
      <c r="B5500" t="str">
        <f>"1578728280468263"</f>
        <v>1578728280468263</v>
      </c>
      <c r="C5500" t="s">
        <v>37</v>
      </c>
      <c r="D5500">
        <v>5.5610900000000001</v>
      </c>
      <c r="E5500">
        <v>0.50312950000000001</v>
      </c>
      <c r="F5500" t="s">
        <v>58</v>
      </c>
      <c r="G5500">
        <v>-259.98700000000002</v>
      </c>
      <c r="H5500" s="1">
        <v>6.3460619999999997E-7</v>
      </c>
      <c r="I5500">
        <v>-61.758049999999997</v>
      </c>
      <c r="J5500">
        <v>-272.6352</v>
      </c>
      <c r="K5500">
        <v>1.1048629999999999</v>
      </c>
      <c r="L5500">
        <v>-62.9037199999999</v>
      </c>
      <c r="M5500">
        <v>0.99896399999999996</v>
      </c>
      <c r="N5500">
        <v>0</v>
      </c>
      <c r="O5500">
        <v>-4.5081709999999997E-2</v>
      </c>
      <c r="P5500">
        <v>0.99479649999999997</v>
      </c>
      <c r="Q5500">
        <v>2.9858699999999998E-2</v>
      </c>
      <c r="R5500">
        <v>9.7410129999999998E-2</v>
      </c>
      <c r="S5500">
        <v>2.997131</v>
      </c>
      <c r="T5500">
        <v>-0.2591174</v>
      </c>
      <c r="U5500">
        <v>0.26742549999999998</v>
      </c>
      <c r="V5500">
        <v>-0.14225950000000001</v>
      </c>
      <c r="W5500">
        <v>3.561346E-2</v>
      </c>
      <c r="X5500">
        <v>0.98918850000000003</v>
      </c>
      <c r="Y5500">
        <v>-0.13302820000000001</v>
      </c>
      <c r="Z5500">
        <v>9.6121130000000003E-3</v>
      </c>
      <c r="AA5500">
        <v>0.99106559999999899</v>
      </c>
      <c r="AB5500">
        <v>27</v>
      </c>
      <c r="AC5500">
        <v>12.6481999999999</v>
      </c>
      <c r="AD5500">
        <v>-1.1048623653937999</v>
      </c>
      <c r="AE5500">
        <v>1.14566999999999</v>
      </c>
      <c r="AF5500">
        <v>-1.70183826125002</v>
      </c>
      <c r="AG5500">
        <v>-1.1048623653937999</v>
      </c>
      <c r="AH5500">
        <v>12.4891660189967</v>
      </c>
      <c r="AI5500">
        <v>95.009492185889002</v>
      </c>
      <c r="AJ5500">
        <v>97.759626918024097</v>
      </c>
      <c r="AK5500">
        <v>12.652914374324199</v>
      </c>
    </row>
    <row r="5501" spans="1:37" x14ac:dyDescent="0.2">
      <c r="A5501" t="str">
        <f>"20200111153800494"</f>
        <v>20200111153800494</v>
      </c>
      <c r="B5501" t="str">
        <f>"1578728280488757"</f>
        <v>1578728280488757</v>
      </c>
      <c r="C5501" t="s">
        <v>37</v>
      </c>
      <c r="D5501">
        <v>5.7845870000000001</v>
      </c>
      <c r="E5501">
        <v>0.50338000000000005</v>
      </c>
      <c r="F5501" t="s">
        <v>59</v>
      </c>
      <c r="G5501">
        <v>-259.80079999999998</v>
      </c>
      <c r="H5501" s="1">
        <v>-3.5426319999999998E-6</v>
      </c>
      <c r="I5501">
        <v>-61.762279999999997</v>
      </c>
      <c r="J5501">
        <v>-272.3929</v>
      </c>
      <c r="K5501">
        <v>1.104822</v>
      </c>
      <c r="L5501">
        <v>-62.913089999999997</v>
      </c>
      <c r="M5501">
        <v>0.99903149999999996</v>
      </c>
      <c r="N5501">
        <v>0</v>
      </c>
      <c r="O5501">
        <v>-4.3605659999999997E-2</v>
      </c>
      <c r="P5501">
        <v>0.99472240000000001</v>
      </c>
      <c r="Q5501">
        <v>3.0418460000000001E-2</v>
      </c>
      <c r="R5501">
        <v>9.7991090000000003E-2</v>
      </c>
      <c r="S5501">
        <v>2.9973450000000001</v>
      </c>
      <c r="T5501">
        <v>-0.25803120000000002</v>
      </c>
      <c r="U5501">
        <v>0.266571</v>
      </c>
      <c r="V5501">
        <v>-0.14137479999999999</v>
      </c>
      <c r="W5501">
        <v>3.5850300000000002E-2</v>
      </c>
      <c r="X5501">
        <v>0.98930680000000004</v>
      </c>
      <c r="Y5501">
        <v>-0.13129440000000001</v>
      </c>
      <c r="Z5501">
        <v>9.3704410000000002E-3</v>
      </c>
      <c r="AA5501">
        <v>0.99129920000000005</v>
      </c>
      <c r="AB5501">
        <v>27</v>
      </c>
      <c r="AC5501">
        <v>12.5921</v>
      </c>
      <c r="AD5501">
        <v>-1.1048255426319999</v>
      </c>
      <c r="AE5501">
        <v>1.1508100000000001</v>
      </c>
      <c r="AF5501">
        <v>-1.6859404113603</v>
      </c>
      <c r="AG5501">
        <v>-1.1048255426319999</v>
      </c>
      <c r="AH5501">
        <v>12.435004903265799</v>
      </c>
      <c r="AI5501">
        <v>95.031490210896095</v>
      </c>
      <c r="AJ5501">
        <v>97.721093073658594</v>
      </c>
      <c r="AK5501">
        <v>12.5973164402008</v>
      </c>
    </row>
    <row r="5502" spans="1:37" x14ac:dyDescent="0.2">
      <c r="A5502" t="str">
        <f>"20200111153800507"</f>
        <v>20200111153800507</v>
      </c>
      <c r="B5502" t="str">
        <f>"1578728280498517"</f>
        <v>1578728280498517</v>
      </c>
      <c r="C5502" t="s">
        <v>37</v>
      </c>
      <c r="D5502">
        <v>5.6381610000000002</v>
      </c>
      <c r="E5502">
        <v>0.56764250000000005</v>
      </c>
      <c r="F5502" t="s">
        <v>59</v>
      </c>
      <c r="G5502">
        <v>-259.50630000000001</v>
      </c>
      <c r="H5502" s="1">
        <v>-3.4430910000000001E-6</v>
      </c>
      <c r="I5502">
        <v>-61.767479999999999</v>
      </c>
      <c r="J5502">
        <v>-272.24279999999999</v>
      </c>
      <c r="K5502">
        <v>1.104808</v>
      </c>
      <c r="L5502">
        <v>-62.918759999999999</v>
      </c>
      <c r="M5502">
        <v>0.99907219999999997</v>
      </c>
      <c r="N5502">
        <v>0</v>
      </c>
      <c r="O5502">
        <v>-4.2694269999999999E-2</v>
      </c>
      <c r="P5502">
        <v>0.99470919999999896</v>
      </c>
      <c r="Q5502">
        <v>3.1418519999999998E-2</v>
      </c>
      <c r="R5502">
        <v>9.7810289999999994E-2</v>
      </c>
      <c r="S5502">
        <v>2.997528</v>
      </c>
      <c r="T5502">
        <v>-0.256992</v>
      </c>
      <c r="U5502">
        <v>0.26647949999999998</v>
      </c>
      <c r="V5502">
        <v>-0.14029359999999999</v>
      </c>
      <c r="W5502">
        <v>3.6656099999999997E-2</v>
      </c>
      <c r="X5502">
        <v>0.98943110000000001</v>
      </c>
      <c r="Y5502">
        <v>-0.1303666</v>
      </c>
      <c r="Z5502">
        <v>9.214791E-3</v>
      </c>
      <c r="AA5502">
        <v>0.99142299999999906</v>
      </c>
      <c r="AB5502">
        <v>27</v>
      </c>
      <c r="AC5502">
        <v>12.7364999999999</v>
      </c>
      <c r="AD5502">
        <v>-1.1048114430910001</v>
      </c>
      <c r="AE5502">
        <v>1.1512799999999901</v>
      </c>
      <c r="AF5502">
        <v>-1.6814648660710101</v>
      </c>
      <c r="AG5502">
        <v>-1.1048114430910001</v>
      </c>
      <c r="AH5502">
        <v>12.581828074144401</v>
      </c>
      <c r="AI5502">
        <v>94.974276379237693</v>
      </c>
      <c r="AJ5502">
        <v>97.612037833478695</v>
      </c>
      <c r="AK5502">
        <v>12.741676895446099</v>
      </c>
    </row>
    <row r="5503" spans="1:37" x14ac:dyDescent="0.2">
      <c r="A5503" t="str">
        <f>"20200111153800517"</f>
        <v>20200111153800517</v>
      </c>
      <c r="B5503" t="str">
        <f>"1578728280508278"</f>
        <v>1578728280508278</v>
      </c>
      <c r="C5503" t="s">
        <v>37</v>
      </c>
      <c r="D5503">
        <v>5.6234999999999999</v>
      </c>
      <c r="E5503">
        <v>0.57883830000000003</v>
      </c>
      <c r="F5503" t="s">
        <v>38</v>
      </c>
      <c r="G5503">
        <v>-271.41210000000001</v>
      </c>
      <c r="H5503">
        <v>0.95595560000000002</v>
      </c>
      <c r="I5503">
        <v>-62.985500000000002</v>
      </c>
      <c r="J5503">
        <v>-272.11180000000002</v>
      </c>
      <c r="K5503">
        <v>1.104792</v>
      </c>
      <c r="L5503">
        <v>-62.923609999999996</v>
      </c>
      <c r="M5503">
        <v>0.99910669999999902</v>
      </c>
      <c r="N5503">
        <v>0</v>
      </c>
      <c r="O5503">
        <v>-4.1899270000000002E-2</v>
      </c>
      <c r="P5503">
        <v>0.99468199999999996</v>
      </c>
      <c r="Q5503">
        <v>3.2047010000000001E-2</v>
      </c>
      <c r="R5503">
        <v>9.7882849999999993E-2</v>
      </c>
      <c r="S5503">
        <v>3.0573429999999999</v>
      </c>
      <c r="T5503">
        <v>-0.54790410000000001</v>
      </c>
      <c r="U5503">
        <v>-0.24484249999999999</v>
      </c>
      <c r="V5503">
        <v>-0.13957829999999999</v>
      </c>
      <c r="W5503">
        <v>3.711689E-2</v>
      </c>
      <c r="X5503">
        <v>0.98951509999999998</v>
      </c>
      <c r="Y5503">
        <v>3.8052160000000002E-2</v>
      </c>
      <c r="Z5503">
        <v>4.0557249999999996E-3</v>
      </c>
      <c r="AA5503">
        <v>0.99926749999999998</v>
      </c>
      <c r="AB5503">
        <v>27</v>
      </c>
      <c r="AC5503">
        <v>0.69970000000000698</v>
      </c>
      <c r="AD5503">
        <v>-0.14883639999999901</v>
      </c>
      <c r="AE5503">
        <v>-6.1890000000005302E-2</v>
      </c>
      <c r="AF5503">
        <v>3.1121067460220201E-2</v>
      </c>
      <c r="AG5503">
        <v>-0.14883639999999901</v>
      </c>
      <c r="AH5503">
        <v>0.67152956609549996</v>
      </c>
      <c r="AI5503">
        <v>102.48392171161299</v>
      </c>
      <c r="AJ5503">
        <v>87.346608382602298</v>
      </c>
      <c r="AK5503">
        <v>0.68852941327530404</v>
      </c>
    </row>
    <row r="5504" spans="1:37" x14ac:dyDescent="0.2">
      <c r="A5504" t="str">
        <f>"20200111153800528"</f>
        <v>20200111153800528</v>
      </c>
      <c r="B5504" t="str">
        <f>"1578728280519014"</f>
        <v>1578728280519014</v>
      </c>
      <c r="C5504" t="s">
        <v>37</v>
      </c>
      <c r="D5504">
        <v>5.6510509999999998</v>
      </c>
      <c r="E5504">
        <v>0.58371410000000001</v>
      </c>
      <c r="F5504" t="s">
        <v>38</v>
      </c>
      <c r="G5504">
        <v>-271.404</v>
      </c>
      <c r="H5504">
        <v>0.97485049999999995</v>
      </c>
      <c r="I5504">
        <v>-63.000799999999998</v>
      </c>
      <c r="J5504">
        <v>-271.97859999999997</v>
      </c>
      <c r="K5504">
        <v>1.104781</v>
      </c>
      <c r="L5504">
        <v>-62.92841</v>
      </c>
      <c r="M5504">
        <v>0.99914119999999995</v>
      </c>
      <c r="N5504">
        <v>0</v>
      </c>
      <c r="O5504">
        <v>-4.1090099999999997E-2</v>
      </c>
      <c r="P5504">
        <v>0.99465840000000005</v>
      </c>
      <c r="Q5504">
        <v>3.2534550000000002E-2</v>
      </c>
      <c r="R5504">
        <v>9.7960619999999998E-2</v>
      </c>
      <c r="S5504">
        <v>3.0670169999999999</v>
      </c>
      <c r="T5504">
        <v>-0.56318069999999998</v>
      </c>
      <c r="U5504">
        <v>-0.33361819999999998</v>
      </c>
      <c r="V5504">
        <v>-0.13885510000000001</v>
      </c>
      <c r="W5504">
        <v>3.7444249999999998E-2</v>
      </c>
      <c r="X5504">
        <v>0.9896045</v>
      </c>
      <c r="Y5504">
        <v>6.6772970000000001E-2</v>
      </c>
      <c r="Z5504">
        <v>1.393224E-3</v>
      </c>
      <c r="AA5504">
        <v>0.99776719999999897</v>
      </c>
      <c r="AB5504">
        <v>27</v>
      </c>
      <c r="AC5504">
        <v>0.57459999999997502</v>
      </c>
      <c r="AD5504">
        <v>-0.1299305</v>
      </c>
      <c r="AE5504">
        <v>-7.2389999999998594E-2</v>
      </c>
      <c r="AF5504">
        <v>4.6383534940148699E-2</v>
      </c>
      <c r="AG5504">
        <v>-0.1299305</v>
      </c>
      <c r="AH5504">
        <v>0.54943461439701602</v>
      </c>
      <c r="AI5504">
        <v>103.259414230209</v>
      </c>
      <c r="AJ5504">
        <v>85.1745044511662</v>
      </c>
      <c r="AK5504">
        <v>0.566490743650231</v>
      </c>
    </row>
    <row r="5505" spans="1:37" x14ac:dyDescent="0.2">
      <c r="A5505" t="str">
        <f>"20200111153800539"</f>
        <v>20200111153800539</v>
      </c>
      <c r="B5505" t="str">
        <f>"1578728280528774"</f>
        <v>1578728280528774</v>
      </c>
      <c r="C5505" t="s">
        <v>37</v>
      </c>
      <c r="D5505">
        <v>5.5676180000000004</v>
      </c>
      <c r="E5505">
        <v>0.58767209999999903</v>
      </c>
      <c r="F5505" t="s">
        <v>38</v>
      </c>
      <c r="G5505">
        <v>-271.17309999999998</v>
      </c>
      <c r="H5505">
        <v>0.94377659999999997</v>
      </c>
      <c r="I5505">
        <v>-63.02608</v>
      </c>
      <c r="J5505">
        <v>-271.84199999999998</v>
      </c>
      <c r="K5505">
        <v>1.104768</v>
      </c>
      <c r="L5505">
        <v>-62.93329</v>
      </c>
      <c r="M5505">
        <v>0.99917579999999995</v>
      </c>
      <c r="N5505">
        <v>0</v>
      </c>
      <c r="O5505">
        <v>-4.0259009999999998E-2</v>
      </c>
      <c r="P5505">
        <v>0.99467369999999899</v>
      </c>
      <c r="Q5505">
        <v>3.2372619999999998E-2</v>
      </c>
      <c r="R5505">
        <v>9.7859849999999998E-2</v>
      </c>
      <c r="S5505">
        <v>3.072845</v>
      </c>
      <c r="T5505">
        <v>-0.61419760000000001</v>
      </c>
      <c r="U5505">
        <v>-0.37234499999999998</v>
      </c>
      <c r="V5505">
        <v>-0.13793179999999999</v>
      </c>
      <c r="W5505">
        <v>3.7121179999999997E-2</v>
      </c>
      <c r="X5505">
        <v>0.98974589999999996</v>
      </c>
      <c r="Y5505">
        <v>7.9464320000000005E-2</v>
      </c>
      <c r="Z5505" s="1">
        <v>9.761704E-5</v>
      </c>
      <c r="AA5505">
        <v>0.99683770000000005</v>
      </c>
      <c r="AB5505">
        <v>28</v>
      </c>
      <c r="AC5505">
        <v>0.66890000000000704</v>
      </c>
      <c r="AD5505">
        <v>-0.16099140000000001</v>
      </c>
      <c r="AE5505">
        <v>-9.2790000000007894E-2</v>
      </c>
      <c r="AF5505">
        <v>6.2247412664061003E-2</v>
      </c>
      <c r="AG5505">
        <v>-0.16099140000000001</v>
      </c>
      <c r="AH5505">
        <v>0.63595005241648805</v>
      </c>
      <c r="AI5505">
        <v>104.141186898141</v>
      </c>
      <c r="AJ5505">
        <v>84.409640877634601</v>
      </c>
      <c r="AK5505">
        <v>0.65895784419480496</v>
      </c>
    </row>
    <row r="5506" spans="1:37" x14ac:dyDescent="0.2">
      <c r="A5506" t="str">
        <f>"20200111153800550"</f>
        <v>20200111153800550</v>
      </c>
      <c r="B5506" t="str">
        <f>"1578728280538229"</f>
        <v>1578728280538229</v>
      </c>
      <c r="C5506" t="s">
        <v>37</v>
      </c>
      <c r="D5506">
        <v>5.551355</v>
      </c>
      <c r="E5506">
        <v>0.59050550000000002</v>
      </c>
      <c r="F5506" t="s">
        <v>38</v>
      </c>
      <c r="G5506">
        <v>-270.93770000000001</v>
      </c>
      <c r="H5506">
        <v>0.9176588</v>
      </c>
      <c r="I5506">
        <v>-63.052239999999998</v>
      </c>
      <c r="J5506">
        <v>-271.69380000000001</v>
      </c>
      <c r="K5506">
        <v>1.10476</v>
      </c>
      <c r="L5506">
        <v>-62.93835</v>
      </c>
      <c r="M5506">
        <v>0.99921269999999995</v>
      </c>
      <c r="N5506">
        <v>0</v>
      </c>
      <c r="O5506">
        <v>-3.9353430000000002E-2</v>
      </c>
      <c r="P5506">
        <v>0.99464390000000003</v>
      </c>
      <c r="Q5506">
        <v>3.245899E-2</v>
      </c>
      <c r="R5506">
        <v>9.8133059999999994E-2</v>
      </c>
      <c r="S5506">
        <v>3.0765380000000002</v>
      </c>
      <c r="T5506">
        <v>-0.636549699999999</v>
      </c>
      <c r="U5506">
        <v>-0.40448000000000001</v>
      </c>
      <c r="V5506">
        <v>-0.13730690000000001</v>
      </c>
      <c r="W5506">
        <v>3.704636E-2</v>
      </c>
      <c r="X5506">
        <v>0.98983559999999904</v>
      </c>
      <c r="Y5506">
        <v>9.017435E-2</v>
      </c>
      <c r="Z5506">
        <v>-1.1756080000000001E-3</v>
      </c>
      <c r="AA5506">
        <v>0.99592530000000001</v>
      </c>
      <c r="AB5506">
        <v>28</v>
      </c>
      <c r="AC5506">
        <v>0.75610000000000299</v>
      </c>
      <c r="AD5506">
        <v>-0.1871012</v>
      </c>
      <c r="AE5506">
        <v>-0.113890000000004</v>
      </c>
      <c r="AF5506">
        <v>7.9298225963999394E-2</v>
      </c>
      <c r="AG5506">
        <v>-0.1871012</v>
      </c>
      <c r="AH5506">
        <v>0.71706167107719099</v>
      </c>
      <c r="AI5506">
        <v>104.539143373521</v>
      </c>
      <c r="AJ5506">
        <v>83.689431504865894</v>
      </c>
      <c r="AK5506">
        <v>0.74530028029680195</v>
      </c>
    </row>
    <row r="5507" spans="1:37" x14ac:dyDescent="0.2">
      <c r="A5507" t="str">
        <f>"20200111153800562"</f>
        <v>20200111153800562</v>
      </c>
      <c r="B5507" t="str">
        <f>"1578728280558723"</f>
        <v>1578728280558723</v>
      </c>
      <c r="C5507" t="s">
        <v>37</v>
      </c>
      <c r="D5507">
        <v>5.524184</v>
      </c>
      <c r="E5507">
        <v>0.59394880000000005</v>
      </c>
      <c r="F5507" t="s">
        <v>38</v>
      </c>
      <c r="G5507">
        <v>-270.92570000000001</v>
      </c>
      <c r="H5507">
        <v>0.9429305</v>
      </c>
      <c r="I5507">
        <v>-63.044719999999998</v>
      </c>
      <c r="J5507">
        <v>-271.55829999999997</v>
      </c>
      <c r="K5507">
        <v>1.1047530000000001</v>
      </c>
      <c r="L5507">
        <v>-62.942929999999997</v>
      </c>
      <c r="M5507">
        <v>0.99924570000000001</v>
      </c>
      <c r="N5507">
        <v>0</v>
      </c>
      <c r="O5507">
        <v>-3.8524999999999997E-2</v>
      </c>
      <c r="P5507">
        <v>0.99464580000000002</v>
      </c>
      <c r="Q5507">
        <v>3.2096590000000001E-2</v>
      </c>
      <c r="R5507">
        <v>9.8232050000000001E-2</v>
      </c>
      <c r="S5507">
        <v>3.0793759999999999</v>
      </c>
      <c r="T5507">
        <v>-0.64883950000000001</v>
      </c>
      <c r="U5507">
        <v>-0.42623899999999998</v>
      </c>
      <c r="V5507">
        <v>-0.13658439999999999</v>
      </c>
      <c r="W5507">
        <v>3.6540780000000002E-2</v>
      </c>
      <c r="X5507">
        <v>0.98995429999999995</v>
      </c>
      <c r="Y5507">
        <v>9.7575609999999993E-2</v>
      </c>
      <c r="Z5507">
        <v>-2.1357559999999999E-3</v>
      </c>
      <c r="AA5507">
        <v>0.99522579999999905</v>
      </c>
      <c r="AB5507">
        <v>28</v>
      </c>
      <c r="AC5507">
        <v>0.63259999999996797</v>
      </c>
      <c r="AD5507">
        <v>-0.16182250000000001</v>
      </c>
      <c r="AE5507">
        <v>-0.101789999999994</v>
      </c>
      <c r="AF5507">
        <v>7.2705698807700295E-2</v>
      </c>
      <c r="AG5507">
        <v>-0.16182250000000001</v>
      </c>
      <c r="AH5507">
        <v>0.59791397041533301</v>
      </c>
      <c r="AI5507">
        <v>105.038318560566</v>
      </c>
      <c r="AJ5507">
        <v>83.066932306756996</v>
      </c>
      <c r="AK5507">
        <v>0.62367760594973598</v>
      </c>
    </row>
    <row r="5508" spans="1:37" x14ac:dyDescent="0.2">
      <c r="A5508" t="str">
        <f>"20200111153800572"</f>
        <v>20200111153800572</v>
      </c>
      <c r="B5508" t="str">
        <f>"1578728280568483"</f>
        <v>1578728280568483</v>
      </c>
      <c r="C5508" t="s">
        <v>37</v>
      </c>
      <c r="D5508">
        <v>5.4828190000000001</v>
      </c>
      <c r="E5508">
        <v>0.59520269999999897</v>
      </c>
      <c r="F5508" t="s">
        <v>38</v>
      </c>
      <c r="G5508">
        <v>-270.68770000000001</v>
      </c>
      <c r="H5508">
        <v>0.91838039999999999</v>
      </c>
      <c r="I5508">
        <v>-63.070990000000002</v>
      </c>
      <c r="J5508">
        <v>-271.42590000000001</v>
      </c>
      <c r="K5508">
        <v>1.1047469999999999</v>
      </c>
      <c r="L5508">
        <v>-62.947269999999897</v>
      </c>
      <c r="M5508">
        <v>0.99927739999999998</v>
      </c>
      <c r="N5508">
        <v>0</v>
      </c>
      <c r="O5508">
        <v>-3.771186E-2</v>
      </c>
      <c r="P5508">
        <v>0.99466520000000003</v>
      </c>
      <c r="Q5508">
        <v>3.1262890000000002E-2</v>
      </c>
      <c r="R5508">
        <v>9.8304550000000004E-2</v>
      </c>
      <c r="S5508">
        <v>3.082214</v>
      </c>
      <c r="T5508">
        <v>-0.65979730000000003</v>
      </c>
      <c r="U5508">
        <v>-0.45333859999999898</v>
      </c>
      <c r="V5508">
        <v>-0.13584979999999999</v>
      </c>
      <c r="W5508">
        <v>3.5576280000000002E-2</v>
      </c>
      <c r="X5508">
        <v>0.99009049999999998</v>
      </c>
      <c r="Y5508">
        <v>0.1065765</v>
      </c>
      <c r="Z5508">
        <v>-3.2867090000000001E-3</v>
      </c>
      <c r="AA5508">
        <v>0.99429909999999999</v>
      </c>
      <c r="AB5508">
        <v>28</v>
      </c>
      <c r="AC5508">
        <v>0.73820000000000596</v>
      </c>
      <c r="AD5508">
        <v>-0.18636659999999899</v>
      </c>
      <c r="AE5508">
        <v>-0.12372000000000501</v>
      </c>
      <c r="AF5508">
        <v>9.02007745357295E-2</v>
      </c>
      <c r="AG5508">
        <v>-0.18636659999999899</v>
      </c>
      <c r="AH5508">
        <v>0.69900569602640805</v>
      </c>
      <c r="AI5508">
        <v>104.811398753612</v>
      </c>
      <c r="AJ5508">
        <v>82.647097288317894</v>
      </c>
      <c r="AK5508">
        <v>0.72902513838671501</v>
      </c>
    </row>
    <row r="5509" spans="1:37" x14ac:dyDescent="0.2">
      <c r="A5509" t="str">
        <f>"20200111153800585"</f>
        <v>20200111153800585</v>
      </c>
      <c r="B5509" t="str">
        <f>"1578728280578243"</f>
        <v>1578728280578243</v>
      </c>
      <c r="C5509" t="s">
        <v>37</v>
      </c>
      <c r="D5509">
        <v>5.5527249999999997</v>
      </c>
      <c r="E5509">
        <v>0.59611729999999996</v>
      </c>
      <c r="F5509" t="s">
        <v>38</v>
      </c>
      <c r="G5509">
        <v>-270.67610000000002</v>
      </c>
      <c r="H5509">
        <v>0.94308099999999995</v>
      </c>
      <c r="I5509">
        <v>-63.059909999999903</v>
      </c>
      <c r="J5509">
        <v>-271.27390000000003</v>
      </c>
      <c r="K5509">
        <v>1.104741</v>
      </c>
      <c r="L5509">
        <v>-62.952119999999901</v>
      </c>
      <c r="M5509">
        <v>0.9993128</v>
      </c>
      <c r="N5509">
        <v>0</v>
      </c>
      <c r="O5509">
        <v>-3.6777009999999999E-2</v>
      </c>
      <c r="P5509">
        <v>0.99465199999999998</v>
      </c>
      <c r="Q5509">
        <v>3.0478620000000001E-2</v>
      </c>
      <c r="R5509">
        <v>9.8684040000000001E-2</v>
      </c>
      <c r="S5509">
        <v>3.0827330000000002</v>
      </c>
      <c r="T5509">
        <v>-0.66466950000000002</v>
      </c>
      <c r="U5509">
        <v>-0.46310420000000002</v>
      </c>
      <c r="V5509">
        <v>-0.13530049999999999</v>
      </c>
      <c r="W5509">
        <v>3.4647980000000002E-2</v>
      </c>
      <c r="X5509">
        <v>0.99019859999999904</v>
      </c>
      <c r="Y5509">
        <v>0.1104348</v>
      </c>
      <c r="Z5509">
        <v>-3.9161120000000002E-3</v>
      </c>
      <c r="AA5509">
        <v>0.99387569999999903</v>
      </c>
      <c r="AB5509">
        <v>28</v>
      </c>
      <c r="AC5509">
        <v>0.59780000000000599</v>
      </c>
      <c r="AD5509">
        <v>-0.16166</v>
      </c>
      <c r="AE5509">
        <v>-0.107790000000001</v>
      </c>
      <c r="AF5509">
        <v>8.0061069956194095E-2</v>
      </c>
      <c r="AG5509">
        <v>-0.16166</v>
      </c>
      <c r="AH5509">
        <v>0.56158452830107897</v>
      </c>
      <c r="AI5509">
        <v>105.906630270722</v>
      </c>
      <c r="AJ5509">
        <v>81.886424921405606</v>
      </c>
      <c r="AK5509">
        <v>0.58984821178814795</v>
      </c>
    </row>
    <row r="5510" spans="1:37" x14ac:dyDescent="0.2">
      <c r="A5510" t="str">
        <f>"20200111153800595"</f>
        <v>20200111153800595</v>
      </c>
      <c r="B5510" t="str">
        <f>"1578728280588979"</f>
        <v>1578728280588979</v>
      </c>
      <c r="C5510" t="s">
        <v>37</v>
      </c>
      <c r="D5510">
        <v>5.577242</v>
      </c>
      <c r="E5510">
        <v>0.59684709999999996</v>
      </c>
      <c r="F5510" t="s">
        <v>38</v>
      </c>
      <c r="G5510">
        <v>-270.43470000000002</v>
      </c>
      <c r="H5510">
        <v>0.92260799999999998</v>
      </c>
      <c r="I5510">
        <v>-63.079929999999997</v>
      </c>
      <c r="J5510">
        <v>-271.13420000000002</v>
      </c>
      <c r="K5510">
        <v>1.104738</v>
      </c>
      <c r="L5510">
        <v>-62.956479999999999</v>
      </c>
      <c r="M5510">
        <v>0.99934480000000003</v>
      </c>
      <c r="N5510">
        <v>0</v>
      </c>
      <c r="O5510">
        <v>-3.591681E-2</v>
      </c>
      <c r="P5510">
        <v>0.99463789999999996</v>
      </c>
      <c r="Q5510">
        <v>2.9884029999999999E-2</v>
      </c>
      <c r="R5510">
        <v>9.9008280000000004E-2</v>
      </c>
      <c r="S5510">
        <v>3.0831909999999998</v>
      </c>
      <c r="T5510">
        <v>-0.6692013</v>
      </c>
      <c r="U5510">
        <v>-0.46899409999999903</v>
      </c>
      <c r="V5510">
        <v>-0.13477069999999999</v>
      </c>
      <c r="W5510">
        <v>3.3927440000000003E-2</v>
      </c>
      <c r="X5510">
        <v>0.99029579999999995</v>
      </c>
      <c r="Y5510">
        <v>0.1130246</v>
      </c>
      <c r="Z5510">
        <v>-4.4006599999999998E-3</v>
      </c>
      <c r="AA5510">
        <v>0.99358239999999998</v>
      </c>
      <c r="AB5510">
        <v>28</v>
      </c>
      <c r="AC5510">
        <v>0.69950000000000001</v>
      </c>
      <c r="AD5510">
        <v>-0.18212999999999999</v>
      </c>
      <c r="AE5510">
        <v>-0.12344999999999801</v>
      </c>
      <c r="AF5510">
        <v>9.2185489201851503E-2</v>
      </c>
      <c r="AG5510">
        <v>-0.18212999999999999</v>
      </c>
      <c r="AH5510">
        <v>0.66008490350653404</v>
      </c>
      <c r="AI5510">
        <v>105.283898410524</v>
      </c>
      <c r="AJ5510">
        <v>82.049664174186105</v>
      </c>
      <c r="AK5510">
        <v>0.690928057873333</v>
      </c>
    </row>
    <row r="5511" spans="1:37" x14ac:dyDescent="0.2">
      <c r="A5511" t="str">
        <f>"20200111153800606"</f>
        <v>20200111153800606</v>
      </c>
      <c r="B5511" t="str">
        <f>"1578728280598740"</f>
        <v>1578728280598740</v>
      </c>
      <c r="C5511" t="s">
        <v>37</v>
      </c>
      <c r="D5511">
        <v>5.5240330000000002</v>
      </c>
      <c r="E5511">
        <v>0.59728130000000001</v>
      </c>
      <c r="F5511" t="s">
        <v>38</v>
      </c>
      <c r="G5511">
        <v>-270.42200000000003</v>
      </c>
      <c r="H5511">
        <v>0.94946730000000001</v>
      </c>
      <c r="I5511">
        <v>-63.066029999999998</v>
      </c>
      <c r="J5511">
        <v>-270.99869999999999</v>
      </c>
      <c r="K5511">
        <v>1.1047370000000001</v>
      </c>
      <c r="L5511">
        <v>-62.960540000000002</v>
      </c>
      <c r="M5511">
        <v>0.99937500000000001</v>
      </c>
      <c r="N5511">
        <v>0</v>
      </c>
      <c r="O5511">
        <v>-3.508058E-2</v>
      </c>
      <c r="P5511">
        <v>0.99460890000000002</v>
      </c>
      <c r="Q5511">
        <v>2.950442E-2</v>
      </c>
      <c r="R5511">
        <v>9.9413269999999998E-2</v>
      </c>
      <c r="S5511">
        <v>3.0835270000000001</v>
      </c>
      <c r="T5511">
        <v>-0.67225579999999996</v>
      </c>
      <c r="U5511">
        <v>-0.47357179999999999</v>
      </c>
      <c r="V5511">
        <v>-0.1343451</v>
      </c>
      <c r="W5511">
        <v>3.3433230000000001E-2</v>
      </c>
      <c r="X5511">
        <v>0.99037050000000004</v>
      </c>
      <c r="Y5511">
        <v>0.1151968</v>
      </c>
      <c r="Z5511">
        <v>-4.830984E-3</v>
      </c>
      <c r="AA5511">
        <v>0.99333099999999996</v>
      </c>
      <c r="AB5511">
        <v>28</v>
      </c>
      <c r="AC5511">
        <v>0.57669999999995902</v>
      </c>
      <c r="AD5511">
        <v>-0.15526970000000001</v>
      </c>
      <c r="AE5511">
        <v>-0.105490000000003</v>
      </c>
      <c r="AF5511">
        <v>7.9609886059432505E-2</v>
      </c>
      <c r="AG5511">
        <v>-0.15526970000000001</v>
      </c>
      <c r="AH5511">
        <v>0.54202671576163797</v>
      </c>
      <c r="AI5511">
        <v>105.82382555055899</v>
      </c>
      <c r="AJ5511">
        <v>81.644453289595504</v>
      </c>
      <c r="AK5511">
        <v>0.56942020889307499</v>
      </c>
    </row>
    <row r="5512" spans="1:37" x14ac:dyDescent="0.2">
      <c r="A5512" t="str">
        <f>"20200111153800618"</f>
        <v>20200111153800618</v>
      </c>
      <c r="B5512" t="str">
        <f>"1578728280608500"</f>
        <v>1578728280608500</v>
      </c>
      <c r="C5512" t="s">
        <v>37</v>
      </c>
      <c r="D5512">
        <v>5.5658459999999996</v>
      </c>
      <c r="E5512">
        <v>0.5978097</v>
      </c>
      <c r="F5512" t="s">
        <v>38</v>
      </c>
      <c r="G5512">
        <v>-270.1814</v>
      </c>
      <c r="H5512">
        <v>0.92405190000000004</v>
      </c>
      <c r="I5512">
        <v>-63.086730000000003</v>
      </c>
      <c r="J5512">
        <v>-270.85419999999999</v>
      </c>
      <c r="K5512">
        <v>1.1047359999999999</v>
      </c>
      <c r="L5512">
        <v>-62.964840000000002</v>
      </c>
      <c r="M5512">
        <v>0.99940640000000003</v>
      </c>
      <c r="N5512">
        <v>0</v>
      </c>
      <c r="O5512">
        <v>-3.418786E-2</v>
      </c>
      <c r="P5512">
        <v>0.99455990000000005</v>
      </c>
      <c r="Q5512">
        <v>2.960088E-2</v>
      </c>
      <c r="R5512">
        <v>9.9872139999999998E-2</v>
      </c>
      <c r="S5512">
        <v>3.084015</v>
      </c>
      <c r="T5512">
        <v>-0.68181740000000002</v>
      </c>
      <c r="U5512">
        <v>-0.47558590000000001</v>
      </c>
      <c r="V5512">
        <v>-0.13391739999999999</v>
      </c>
      <c r="W5512">
        <v>3.3409889999999998E-2</v>
      </c>
      <c r="X5512">
        <v>0.99042919999999901</v>
      </c>
      <c r="Y5512">
        <v>0.1165889</v>
      </c>
      <c r="Z5512">
        <v>-5.2419010000000002E-3</v>
      </c>
      <c r="AA5512">
        <v>0.9931664</v>
      </c>
      <c r="AB5512">
        <v>28</v>
      </c>
      <c r="AC5512">
        <v>0.67279999999999496</v>
      </c>
      <c r="AD5512">
        <v>-0.18068409999999999</v>
      </c>
      <c r="AE5512">
        <v>-0.12189</v>
      </c>
      <c r="AF5512">
        <v>9.2366954547341895E-2</v>
      </c>
      <c r="AG5512">
        <v>-0.18068409999999999</v>
      </c>
      <c r="AH5512">
        <v>0.632412480667911</v>
      </c>
      <c r="AI5512">
        <v>105.785950528944</v>
      </c>
      <c r="AJ5512">
        <v>81.690423805580096</v>
      </c>
      <c r="AK5512">
        <v>0.66417162239115701</v>
      </c>
    </row>
    <row r="5513" spans="1:37" x14ac:dyDescent="0.2">
      <c r="A5513" t="str">
        <f>"20200111153800630"</f>
        <v>20200111153800630</v>
      </c>
      <c r="B5513" t="str">
        <f>"1578728280618260"</f>
        <v>1578728280618260</v>
      </c>
      <c r="C5513" t="s">
        <v>37</v>
      </c>
      <c r="D5513">
        <v>5.548349</v>
      </c>
      <c r="E5513">
        <v>0.59812869999999996</v>
      </c>
      <c r="F5513" t="s">
        <v>38</v>
      </c>
      <c r="G5513">
        <v>-270.16820000000001</v>
      </c>
      <c r="H5513">
        <v>0.95201859999999905</v>
      </c>
      <c r="I5513">
        <v>-63.071319999999901</v>
      </c>
      <c r="J5513">
        <v>-270.70639999999997</v>
      </c>
      <c r="K5513">
        <v>1.1047309999999999</v>
      </c>
      <c r="L5513">
        <v>-62.968989999999998</v>
      </c>
      <c r="M5513">
        <v>0.99943769999999998</v>
      </c>
      <c r="N5513">
        <v>0</v>
      </c>
      <c r="O5513">
        <v>-3.3273820000000003E-2</v>
      </c>
      <c r="P5513">
        <v>0.99450289999999997</v>
      </c>
      <c r="Q5513">
        <v>2.9595779999999999E-2</v>
      </c>
      <c r="R5513">
        <v>0.100441</v>
      </c>
      <c r="S5513">
        <v>3.0848390000000001</v>
      </c>
      <c r="T5513">
        <v>-0.68674219999999997</v>
      </c>
      <c r="U5513">
        <v>-0.47808840000000002</v>
      </c>
      <c r="V5513">
        <v>-0.133578799999999</v>
      </c>
      <c r="W5513">
        <v>3.3293120000000002E-2</v>
      </c>
      <c r="X5513">
        <v>0.99047879999999999</v>
      </c>
      <c r="Y5513">
        <v>0.118158</v>
      </c>
      <c r="Z5513">
        <v>-5.6483130000000003E-3</v>
      </c>
      <c r="AA5513">
        <v>0.99297880000000005</v>
      </c>
      <c r="AB5513">
        <v>28</v>
      </c>
      <c r="AC5513">
        <v>0.53819999999996004</v>
      </c>
      <c r="AD5513">
        <v>-0.152712399999999</v>
      </c>
      <c r="AE5513">
        <v>-0.102329999999987</v>
      </c>
      <c r="AF5513">
        <v>7.8282427159855894E-2</v>
      </c>
      <c r="AG5513">
        <v>-0.152712399999999</v>
      </c>
      <c r="AH5513">
        <v>0.50227834433968399</v>
      </c>
      <c r="AI5513">
        <v>106.720933482893</v>
      </c>
      <c r="AJ5513">
        <v>81.1414529316325</v>
      </c>
      <c r="AK5513">
        <v>0.53078503248340803</v>
      </c>
    </row>
    <row r="5514" spans="1:37" x14ac:dyDescent="0.2">
      <c r="A5514" t="str">
        <f>"20200111153800643"</f>
        <v>20200111153800643</v>
      </c>
      <c r="B5514" t="str">
        <f>"1578728280638400"</f>
        <v>1578728280638400</v>
      </c>
      <c r="C5514" t="s">
        <v>37</v>
      </c>
      <c r="D5514">
        <v>5.5541109999999998</v>
      </c>
      <c r="E5514">
        <v>0.59873989999999999</v>
      </c>
      <c r="F5514" t="s">
        <v>38</v>
      </c>
      <c r="G5514">
        <v>-269.92469999999997</v>
      </c>
      <c r="H5514">
        <v>0.9300001</v>
      </c>
      <c r="I5514">
        <v>-63.090530000000001</v>
      </c>
      <c r="J5514">
        <v>-270.55110000000002</v>
      </c>
      <c r="K5514">
        <v>1.104733</v>
      </c>
      <c r="L5514">
        <v>-62.973329999999997</v>
      </c>
      <c r="M5514">
        <v>0.99946979999999996</v>
      </c>
      <c r="N5514">
        <v>0</v>
      </c>
      <c r="O5514">
        <v>-3.2313639999999998E-2</v>
      </c>
      <c r="P5514">
        <v>0.99443599999999999</v>
      </c>
      <c r="Q5514">
        <v>2.9987449999999999E-2</v>
      </c>
      <c r="R5514">
        <v>0.10098559999999999</v>
      </c>
      <c r="S5514">
        <v>3.08550999999999</v>
      </c>
      <c r="T5514">
        <v>-0.68975019999999998</v>
      </c>
      <c r="U5514">
        <v>-0.47888180000000002</v>
      </c>
      <c r="V5514">
        <v>-0.13317129999999999</v>
      </c>
      <c r="W5514">
        <v>3.3571440000000001E-2</v>
      </c>
      <c r="X5514">
        <v>0.99052430000000002</v>
      </c>
      <c r="Y5514">
        <v>0.119261899999999</v>
      </c>
      <c r="Z5514">
        <v>-6.0028260000000002E-3</v>
      </c>
      <c r="AA5514">
        <v>0.99284470000000002</v>
      </c>
      <c r="AB5514">
        <v>28</v>
      </c>
      <c r="AC5514">
        <v>0.62640000000004603</v>
      </c>
      <c r="AD5514">
        <v>-0.174732899999999</v>
      </c>
      <c r="AE5514">
        <v>-0.117199999999996</v>
      </c>
      <c r="AF5514">
        <v>9.0121991970646298E-2</v>
      </c>
      <c r="AG5514">
        <v>-0.174732899999999</v>
      </c>
      <c r="AH5514">
        <v>0.58581821290626501</v>
      </c>
      <c r="AI5514">
        <v>106.42569830651399</v>
      </c>
      <c r="AJ5514">
        <v>81.254209108807899</v>
      </c>
      <c r="AK5514">
        <v>0.61792923409712297</v>
      </c>
    </row>
    <row r="5515" spans="1:37" x14ac:dyDescent="0.2">
      <c r="A5515" t="str">
        <f>"20200111153800655"</f>
        <v>20200111153800655</v>
      </c>
      <c r="B5515" t="str">
        <f>"1578728280649135"</f>
        <v>1578728280649135</v>
      </c>
      <c r="C5515" t="s">
        <v>37</v>
      </c>
      <c r="D5515">
        <v>5.5576739999999996</v>
      </c>
      <c r="E5515">
        <v>0.62076580000000003</v>
      </c>
      <c r="F5515" t="s">
        <v>38</v>
      </c>
      <c r="G5515">
        <v>-269.67840000000001</v>
      </c>
      <c r="H5515">
        <v>0.90905609999999903</v>
      </c>
      <c r="I5515">
        <v>-63.109630000000003</v>
      </c>
      <c r="J5515">
        <v>-270.37889999999999</v>
      </c>
      <c r="K5515">
        <v>1.104735</v>
      </c>
      <c r="L5515">
        <v>-62.977909999999902</v>
      </c>
      <c r="M5515">
        <v>0.9995039</v>
      </c>
      <c r="N5515">
        <v>0</v>
      </c>
      <c r="O5515">
        <v>-3.1248450000000001E-2</v>
      </c>
      <c r="P5515">
        <v>0.99433069999999901</v>
      </c>
      <c r="Q5515">
        <v>2.9924630000000001E-2</v>
      </c>
      <c r="R5515">
        <v>0.10203429999999999</v>
      </c>
      <c r="S5515">
        <v>3.0865779999999998</v>
      </c>
      <c r="T5515">
        <v>-0.69202769999999902</v>
      </c>
      <c r="U5515">
        <v>-0.48187259999999998</v>
      </c>
      <c r="V5515">
        <v>-0.13316040000000001</v>
      </c>
      <c r="W5515">
        <v>3.3391289999999997E-2</v>
      </c>
      <c r="X5515">
        <v>0.99053189999999902</v>
      </c>
      <c r="Y5515">
        <v>0.12112390000000001</v>
      </c>
      <c r="Z5515">
        <v>-6.45889599999999E-3</v>
      </c>
      <c r="AA5515">
        <v>0.99261639999999995</v>
      </c>
      <c r="AB5515">
        <v>28</v>
      </c>
      <c r="AC5515">
        <v>0.70049999999997603</v>
      </c>
      <c r="AD5515">
        <v>-0.19567889999999999</v>
      </c>
      <c r="AE5515">
        <v>-0.131720000000008</v>
      </c>
      <c r="AF5515">
        <v>0.10207302732548799</v>
      </c>
      <c r="AG5515">
        <v>-0.19567889999999999</v>
      </c>
      <c r="AH5515">
        <v>0.65491500664451097</v>
      </c>
      <c r="AI5515">
        <v>106.447709012907</v>
      </c>
      <c r="AJ5515">
        <v>81.141327970085896</v>
      </c>
      <c r="AK5515">
        <v>0.69110259783969796</v>
      </c>
    </row>
    <row r="5516" spans="1:37" x14ac:dyDescent="0.2">
      <c r="A5516" t="str">
        <f>"20200111153800668"</f>
        <v>20200111153800668</v>
      </c>
      <c r="B5516" t="str">
        <f>"1578728280658896"</f>
        <v>1578728280658896</v>
      </c>
      <c r="C5516" t="s">
        <v>37</v>
      </c>
      <c r="D5516">
        <v>5.5238649999999998</v>
      </c>
      <c r="E5516">
        <v>0.62185389999999996</v>
      </c>
      <c r="F5516" t="s">
        <v>38</v>
      </c>
      <c r="G5516">
        <v>-269.66669999999999</v>
      </c>
      <c r="H5516">
        <v>0.93496619999999997</v>
      </c>
      <c r="I5516">
        <v>-63.127749999999999</v>
      </c>
      <c r="J5516">
        <v>-270.22239999999999</v>
      </c>
      <c r="K5516">
        <v>1.1047419999999999</v>
      </c>
      <c r="L5516">
        <v>-62.981900000000003</v>
      </c>
      <c r="M5516">
        <v>0.99953419999999904</v>
      </c>
      <c r="N5516">
        <v>0</v>
      </c>
      <c r="O5516">
        <v>-3.0280680000000001E-2</v>
      </c>
      <c r="P5516">
        <v>0.99423760000000005</v>
      </c>
      <c r="Q5516">
        <v>3.0163519999999999E-2</v>
      </c>
      <c r="R5516">
        <v>0.1028688</v>
      </c>
      <c r="S5516">
        <v>3.1064449999999999</v>
      </c>
      <c r="T5516">
        <v>-0.74051140000000004</v>
      </c>
      <c r="U5516">
        <v>-0.65338130000000005</v>
      </c>
      <c r="V5516">
        <v>-0.1330336</v>
      </c>
      <c r="W5516">
        <v>3.3532359999999997E-2</v>
      </c>
      <c r="X5516">
        <v>0.99054409999999904</v>
      </c>
      <c r="Y5516">
        <v>0.17229359999999999</v>
      </c>
      <c r="Z5516">
        <v>-1.300307E-2</v>
      </c>
      <c r="AA5516">
        <v>0.98495979999999905</v>
      </c>
      <c r="AB5516">
        <v>28</v>
      </c>
      <c r="AC5516">
        <v>0.55570000000000097</v>
      </c>
      <c r="AD5516">
        <v>-0.1697758</v>
      </c>
      <c r="AE5516">
        <v>-0.14584999999999501</v>
      </c>
      <c r="AF5516">
        <v>0.118599318994891</v>
      </c>
      <c r="AG5516">
        <v>-0.1697758</v>
      </c>
      <c r="AH5516">
        <v>0.51489809029116096</v>
      </c>
      <c r="AI5516">
        <v>107.812917511802</v>
      </c>
      <c r="AJ5516">
        <v>77.028978835255899</v>
      </c>
      <c r="AK5516">
        <v>0.55498618371737596</v>
      </c>
    </row>
    <row r="5517" spans="1:37" x14ac:dyDescent="0.2">
      <c r="A5517" t="str">
        <f>"20200111153800681"</f>
        <v>20200111153800681</v>
      </c>
      <c r="B5517" t="str">
        <f>"1578728280678416"</f>
        <v>1578728280678416</v>
      </c>
      <c r="C5517" t="s">
        <v>37</v>
      </c>
      <c r="D5517">
        <v>5.545712</v>
      </c>
      <c r="E5517">
        <v>0.62037469999999995</v>
      </c>
      <c r="F5517" t="s">
        <v>38</v>
      </c>
      <c r="G5517">
        <v>-269.42110000000002</v>
      </c>
      <c r="H5517">
        <v>0.90759219999999896</v>
      </c>
      <c r="I5517">
        <v>-63.151969999999999</v>
      </c>
      <c r="J5517">
        <v>-270.05149999999998</v>
      </c>
      <c r="K5517">
        <v>1.1047450000000001</v>
      </c>
      <c r="L5517">
        <v>-62.986109999999996</v>
      </c>
      <c r="M5517">
        <v>0.99956599999999995</v>
      </c>
      <c r="N5517">
        <v>0</v>
      </c>
      <c r="O5517">
        <v>-2.9223969999999998E-2</v>
      </c>
      <c r="P5517">
        <v>0.99414809999999998</v>
      </c>
      <c r="Q5517">
        <v>3.032197E-2</v>
      </c>
      <c r="R5517">
        <v>0.10368289999999999</v>
      </c>
      <c r="S5517">
        <v>3.1087950000000002</v>
      </c>
      <c r="T5517">
        <v>-0.76495990000000003</v>
      </c>
      <c r="U5517">
        <v>-0.65921019999999997</v>
      </c>
      <c r="V5517">
        <v>-0.13279859999999999</v>
      </c>
      <c r="W5517">
        <v>3.3590019999999998E-2</v>
      </c>
      <c r="X5517">
        <v>0.990573699999999</v>
      </c>
      <c r="Y5517">
        <v>0.17461109999999999</v>
      </c>
      <c r="Z5517">
        <v>-1.3939419999999999E-2</v>
      </c>
      <c r="AA5517">
        <v>0.98453880000000005</v>
      </c>
      <c r="AB5517">
        <v>29</v>
      </c>
      <c r="AC5517">
        <v>0.630399999999951</v>
      </c>
      <c r="AD5517">
        <v>-0.19715279999999999</v>
      </c>
      <c r="AE5517">
        <v>-0.16586000000000201</v>
      </c>
      <c r="AF5517">
        <v>0.135015609752933</v>
      </c>
      <c r="AG5517">
        <v>-0.19715279999999999</v>
      </c>
      <c r="AH5517">
        <v>0.58176094702378101</v>
      </c>
      <c r="AI5517">
        <v>108.26888458056899</v>
      </c>
      <c r="AJ5517">
        <v>76.934049988754595</v>
      </c>
      <c r="AK5517">
        <v>0.62892308027834698</v>
      </c>
    </row>
    <row r="5518" spans="1:37" x14ac:dyDescent="0.2">
      <c r="A5518" t="str">
        <f>"20200111153800695"</f>
        <v>20200111153800695</v>
      </c>
      <c r="B5518" t="str">
        <f>"1578728280689154"</f>
        <v>1578728280689154</v>
      </c>
      <c r="C5518" t="s">
        <v>37</v>
      </c>
      <c r="D5518">
        <v>5.5388310000000001</v>
      </c>
      <c r="E5518">
        <v>0.61945779999999995</v>
      </c>
      <c r="F5518" t="s">
        <v>38</v>
      </c>
      <c r="G5518">
        <v>-269.17250000000001</v>
      </c>
      <c r="H5518">
        <v>0.88418589999999997</v>
      </c>
      <c r="I5518">
        <v>-63.168430000000001</v>
      </c>
      <c r="J5518">
        <v>-269.88040000000001</v>
      </c>
      <c r="K5518">
        <v>1.104746</v>
      </c>
      <c r="L5518">
        <v>-62.990139999999997</v>
      </c>
      <c r="M5518">
        <v>0.99959669999999901</v>
      </c>
      <c r="N5518">
        <v>0</v>
      </c>
      <c r="O5518">
        <v>-2.816799E-2</v>
      </c>
      <c r="P5518">
        <v>0.99404729999999997</v>
      </c>
      <c r="Q5518">
        <v>3.0478749999999999E-2</v>
      </c>
      <c r="R5518">
        <v>0.10460019999999901</v>
      </c>
      <c r="S5518">
        <v>3.108673</v>
      </c>
      <c r="T5518">
        <v>-0.78007910000000003</v>
      </c>
      <c r="U5518">
        <v>-0.6447754</v>
      </c>
      <c r="V5518">
        <v>-0.13266749999999999</v>
      </c>
      <c r="W5518">
        <v>3.3654839999999998E-2</v>
      </c>
      <c r="X5518">
        <v>0.9905891</v>
      </c>
      <c r="Y5518">
        <v>0.17118</v>
      </c>
      <c r="Z5518">
        <v>-1.4052E-2</v>
      </c>
      <c r="AA5518">
        <v>0.98513949999999995</v>
      </c>
      <c r="AB5518">
        <v>29</v>
      </c>
      <c r="AC5518">
        <v>0.70789999999999498</v>
      </c>
      <c r="AD5518">
        <v>-0.22056009999999901</v>
      </c>
      <c r="AE5518">
        <v>-0.178290000000004</v>
      </c>
      <c r="AF5518">
        <v>0.14503908627043499</v>
      </c>
      <c r="AG5518">
        <v>-0.22056009999999901</v>
      </c>
      <c r="AH5518">
        <v>0.65302931327452396</v>
      </c>
      <c r="AI5518">
        <v>108.24815019499</v>
      </c>
      <c r="AJ5518">
        <v>77.477759062760896</v>
      </c>
      <c r="AK5518">
        <v>0.70436523072477697</v>
      </c>
    </row>
    <row r="5519" spans="1:37" x14ac:dyDescent="0.2">
      <c r="A5519" t="str">
        <f>"20200111153800708"</f>
        <v>20200111153800708</v>
      </c>
      <c r="B5519" t="str">
        <f>"1578728280698913"</f>
        <v>1578728280698913</v>
      </c>
      <c r="C5519" t="s">
        <v>37</v>
      </c>
      <c r="D5519">
        <v>5.5429839999999997</v>
      </c>
      <c r="E5519">
        <v>0.61909639999999999</v>
      </c>
      <c r="F5519" t="s">
        <v>38</v>
      </c>
      <c r="G5519">
        <v>-269.1567</v>
      </c>
      <c r="H5519">
        <v>0.92292209999999997</v>
      </c>
      <c r="I5519">
        <v>-63.137880000000003</v>
      </c>
      <c r="J5519">
        <v>-269.69740000000002</v>
      </c>
      <c r="K5519">
        <v>1.104746</v>
      </c>
      <c r="L5519">
        <v>-62.994259999999997</v>
      </c>
      <c r="M5519">
        <v>0.99962809999999902</v>
      </c>
      <c r="N5519">
        <v>0</v>
      </c>
      <c r="O5519">
        <v>-2.7039179999999999E-2</v>
      </c>
      <c r="P5519">
        <v>0.99393849999999995</v>
      </c>
      <c r="Q5519">
        <v>3.035792E-2</v>
      </c>
      <c r="R5519">
        <v>0.1056643</v>
      </c>
      <c r="S5519">
        <v>3.108673</v>
      </c>
      <c r="T5519">
        <v>-0.7809893</v>
      </c>
      <c r="U5519">
        <v>-0.63458249999999905</v>
      </c>
      <c r="V5519">
        <v>-0.13260939999999999</v>
      </c>
      <c r="W5519">
        <v>3.3442760000000002E-2</v>
      </c>
      <c r="X5519">
        <v>0.99060400000000004</v>
      </c>
      <c r="Y5519">
        <v>0.1692043</v>
      </c>
      <c r="Z5519">
        <v>-1.410631E-2</v>
      </c>
      <c r="AA5519">
        <v>0.98548009999999997</v>
      </c>
      <c r="AB5519">
        <v>29</v>
      </c>
      <c r="AC5519">
        <v>0.54070000000001495</v>
      </c>
      <c r="AD5519">
        <v>-0.18182390000000001</v>
      </c>
      <c r="AE5519">
        <v>-0.14362000000000499</v>
      </c>
      <c r="AF5519">
        <v>0.116628069352589</v>
      </c>
      <c r="AG5519">
        <v>-0.18182390000000001</v>
      </c>
      <c r="AH5519">
        <v>0.49237670556073798</v>
      </c>
      <c r="AI5519">
        <v>109.76514506689701</v>
      </c>
      <c r="AJ5519">
        <v>76.674087706456007</v>
      </c>
      <c r="AK5519">
        <v>0.53767727992818104</v>
      </c>
    </row>
    <row r="5520" spans="1:37" x14ac:dyDescent="0.2">
      <c r="A5520" t="str">
        <f>"20200111153800721"</f>
        <v>20200111153800721</v>
      </c>
      <c r="B5520" t="str">
        <f>"1578728280708673"</f>
        <v>1578728280708673</v>
      </c>
      <c r="C5520" t="s">
        <v>37</v>
      </c>
      <c r="D5520">
        <v>5.6768080000000003</v>
      </c>
      <c r="E5520">
        <v>0.6191624</v>
      </c>
      <c r="F5520" t="s">
        <v>38</v>
      </c>
      <c r="G5520">
        <v>-268.90440000000001</v>
      </c>
      <c r="H5520">
        <v>0.90475190000000005</v>
      </c>
      <c r="I5520">
        <v>-63.154669999999903</v>
      </c>
      <c r="J5520">
        <v>-269.53699999999998</v>
      </c>
      <c r="K5520">
        <v>1.1047480000000001</v>
      </c>
      <c r="L5520">
        <v>-62.997709999999998</v>
      </c>
      <c r="M5520">
        <v>0.99965469999999901</v>
      </c>
      <c r="N5520">
        <v>0</v>
      </c>
      <c r="O5520">
        <v>-2.604998E-2</v>
      </c>
      <c r="P5520">
        <v>0.99383529999999998</v>
      </c>
      <c r="Q5520">
        <v>3.0413180000000001E-2</v>
      </c>
      <c r="R5520">
        <v>0.1066148</v>
      </c>
      <c r="S5520">
        <v>3.1090089999999999</v>
      </c>
      <c r="T5520">
        <v>-0.78418310000000002</v>
      </c>
      <c r="U5520">
        <v>-0.6281738</v>
      </c>
      <c r="V5520">
        <v>-0.13257729999999901</v>
      </c>
      <c r="W5520">
        <v>3.3422269999999997E-2</v>
      </c>
      <c r="X5520">
        <v>0.99060899999999996</v>
      </c>
      <c r="Y5520">
        <v>0.1681725</v>
      </c>
      <c r="Z5520">
        <v>-1.427959E-2</v>
      </c>
      <c r="AA5520">
        <v>0.98565419999999904</v>
      </c>
      <c r="AB5520">
        <v>29</v>
      </c>
      <c r="AC5520">
        <v>0.63260000000002403</v>
      </c>
      <c r="AD5520">
        <v>-0.19999610000000001</v>
      </c>
      <c r="AE5520">
        <v>-0.15695999999999799</v>
      </c>
      <c r="AF5520">
        <v>0.1283433726489</v>
      </c>
      <c r="AG5520">
        <v>-0.19999610000000001</v>
      </c>
      <c r="AH5520">
        <v>0.58170434038928998</v>
      </c>
      <c r="AI5520">
        <v>108.55875618968901</v>
      </c>
      <c r="AJ5520">
        <v>77.557973503887595</v>
      </c>
      <c r="AK5520">
        <v>0.62837122861079697</v>
      </c>
    </row>
    <row r="5521" spans="1:37" x14ac:dyDescent="0.2">
      <c r="A5521" t="str">
        <f>"20200111153800732"</f>
        <v>20200111153800732</v>
      </c>
      <c r="B5521" t="str">
        <f>"1578728280729168"</f>
        <v>1578728280729168</v>
      </c>
      <c r="C5521" t="s">
        <v>37</v>
      </c>
      <c r="D5521">
        <v>5.5097750000000003</v>
      </c>
      <c r="E5521">
        <v>0.61859489999999995</v>
      </c>
      <c r="F5521" t="s">
        <v>38</v>
      </c>
      <c r="G5521">
        <v>-268.65280000000001</v>
      </c>
      <c r="H5521">
        <v>0.88133139999999999</v>
      </c>
      <c r="I5521">
        <v>-63.175469999999997</v>
      </c>
      <c r="J5521">
        <v>-269.3836</v>
      </c>
      <c r="K5521">
        <v>1.1047499999999999</v>
      </c>
      <c r="L5521">
        <v>-63.000819999999997</v>
      </c>
      <c r="M5521">
        <v>0.99967899999999998</v>
      </c>
      <c r="N5521">
        <v>0</v>
      </c>
      <c r="O5521">
        <v>-2.5105479999999999E-2</v>
      </c>
      <c r="P5521">
        <v>0.99376549999999997</v>
      </c>
      <c r="Q5521">
        <v>3.0409169999999999E-2</v>
      </c>
      <c r="R5521">
        <v>0.107263699999999</v>
      </c>
      <c r="S5521">
        <v>3.109772</v>
      </c>
      <c r="T5521">
        <v>-0.78579580000000004</v>
      </c>
      <c r="U5521">
        <v>-0.62561040000000001</v>
      </c>
      <c r="V5521">
        <v>-0.13228860000000001</v>
      </c>
      <c r="W5521">
        <v>3.3354130000000003E-2</v>
      </c>
      <c r="X5521">
        <v>0.99064989999999997</v>
      </c>
      <c r="Y5521">
        <v>0.16822889999999999</v>
      </c>
      <c r="Z5521">
        <v>-1.454517E-2</v>
      </c>
      <c r="AA5521">
        <v>0.98564059999999898</v>
      </c>
      <c r="AB5521">
        <v>29</v>
      </c>
      <c r="AC5521">
        <v>0.73079999999998702</v>
      </c>
      <c r="AD5521">
        <v>-0.223418599999999</v>
      </c>
      <c r="AE5521">
        <v>-0.174649999999999</v>
      </c>
      <c r="AF5521">
        <v>0.143555479341197</v>
      </c>
      <c r="AG5521">
        <v>-0.223418599999999</v>
      </c>
      <c r="AH5521">
        <v>0.67525271742637305</v>
      </c>
      <c r="AI5521">
        <v>107.933337550404</v>
      </c>
      <c r="AJ5521">
        <v>77.997882482636598</v>
      </c>
      <c r="AK5521">
        <v>0.72559649865923503</v>
      </c>
    </row>
    <row r="5522" spans="1:37" x14ac:dyDescent="0.2">
      <c r="A5522" t="str">
        <f>"20200111153800744"</f>
        <v>20200111153800744</v>
      </c>
      <c r="B5522" t="str">
        <f>"1578728280738459"</f>
        <v>1578728280738459</v>
      </c>
      <c r="C5522" t="s">
        <v>37</v>
      </c>
      <c r="D5522">
        <v>5.5461039999999997</v>
      </c>
      <c r="E5522">
        <v>0.61841069999999998</v>
      </c>
      <c r="F5522" t="s">
        <v>38</v>
      </c>
      <c r="G5522">
        <v>-268.63850000000002</v>
      </c>
      <c r="H5522">
        <v>0.91660900000000001</v>
      </c>
      <c r="I5522">
        <v>-63.149019999999901</v>
      </c>
      <c r="J5522">
        <v>-269.23509999999999</v>
      </c>
      <c r="K5522">
        <v>1.104752</v>
      </c>
      <c r="L5522">
        <v>-63.003749999999997</v>
      </c>
      <c r="M5522">
        <v>0.99970170000000003</v>
      </c>
      <c r="N5522">
        <v>0</v>
      </c>
      <c r="O5522">
        <v>-2.419114E-2</v>
      </c>
      <c r="P5522">
        <v>0.99365170000000003</v>
      </c>
      <c r="Q5522">
        <v>3.07082999999999E-2</v>
      </c>
      <c r="R5522">
        <v>0.1082287</v>
      </c>
      <c r="S5522">
        <v>3.1096189999999999</v>
      </c>
      <c r="T5522">
        <v>-0.78508540000000004</v>
      </c>
      <c r="U5522">
        <v>-0.61886600000000003</v>
      </c>
      <c r="V5522">
        <v>-0.13234609999999999</v>
      </c>
      <c r="W5522">
        <v>3.359289E-2</v>
      </c>
      <c r="X5522">
        <v>0.99063409999999996</v>
      </c>
      <c r="Y5522">
        <v>0.1670951</v>
      </c>
      <c r="Z5522">
        <v>-1.4621220000000001E-2</v>
      </c>
      <c r="AA5522">
        <v>0.98583240000000005</v>
      </c>
      <c r="AB5522">
        <v>29</v>
      </c>
      <c r="AC5522">
        <v>0.59659999999996605</v>
      </c>
      <c r="AD5522">
        <v>-0.18814299999999901</v>
      </c>
      <c r="AE5522">
        <v>-0.14526999999999601</v>
      </c>
      <c r="AF5522">
        <v>0.11956925455112299</v>
      </c>
      <c r="AG5522">
        <v>-0.18814299999999901</v>
      </c>
      <c r="AH5522">
        <v>0.54844875730541298</v>
      </c>
      <c r="AI5522">
        <v>108.529751755471</v>
      </c>
      <c r="AJ5522">
        <v>77.701188070681795</v>
      </c>
      <c r="AK5522">
        <v>0.592022494904343</v>
      </c>
    </row>
    <row r="5523" spans="1:37" x14ac:dyDescent="0.2">
      <c r="A5523" t="str">
        <f>"20200111153800755"</f>
        <v>20200111153800755</v>
      </c>
      <c r="B5523" t="str">
        <f>"1578728280748219"</f>
        <v>1578728280748219</v>
      </c>
      <c r="C5523" t="s">
        <v>37</v>
      </c>
      <c r="D5523">
        <v>5.5083159999999998</v>
      </c>
      <c r="E5523">
        <v>0.61833760000000004</v>
      </c>
      <c r="F5523" t="s">
        <v>38</v>
      </c>
      <c r="G5523">
        <v>-268.38630000000001</v>
      </c>
      <c r="H5523">
        <v>0.89098679999999997</v>
      </c>
      <c r="I5523">
        <v>-63.171439999999997</v>
      </c>
      <c r="J5523">
        <v>-269.0915</v>
      </c>
      <c r="K5523">
        <v>1.1047549999999999</v>
      </c>
      <c r="L5523">
        <v>-63.006439999999998</v>
      </c>
      <c r="M5523">
        <v>0.99972280000000002</v>
      </c>
      <c r="N5523">
        <v>0</v>
      </c>
      <c r="O5523">
        <v>-2.3307680000000001E-2</v>
      </c>
      <c r="P5523">
        <v>0.99359200000000003</v>
      </c>
      <c r="Q5523">
        <v>3.0764670000000001E-2</v>
      </c>
      <c r="R5523">
        <v>0.10875899999999999</v>
      </c>
      <c r="S5523">
        <v>3.1102599999999998</v>
      </c>
      <c r="T5523">
        <v>-0.78332539999999995</v>
      </c>
      <c r="U5523">
        <v>-0.61407469999999997</v>
      </c>
      <c r="V5523">
        <v>-0.131999799999999</v>
      </c>
      <c r="W5523">
        <v>3.3596220000000003E-2</v>
      </c>
      <c r="X5523">
        <v>0.99068020000000001</v>
      </c>
      <c r="Y5523">
        <v>0.1664765</v>
      </c>
      <c r="Z5523">
        <v>-1.472938E-2</v>
      </c>
      <c r="AA5523">
        <v>0.98593539999999902</v>
      </c>
      <c r="AB5523">
        <v>29</v>
      </c>
      <c r="AC5523">
        <v>0.70519999999998995</v>
      </c>
      <c r="AD5523">
        <v>-0.21376819999999899</v>
      </c>
      <c r="AE5523">
        <v>-0.16499999999999901</v>
      </c>
      <c r="AF5523">
        <v>0.13661657366058899</v>
      </c>
      <c r="AG5523">
        <v>-0.21376819999999899</v>
      </c>
      <c r="AH5523">
        <v>0.65204824991098498</v>
      </c>
      <c r="AI5523">
        <v>107.79007555226001</v>
      </c>
      <c r="AJ5523">
        <v>78.1666122409287</v>
      </c>
      <c r="AK5523">
        <v>0.69966266996458903</v>
      </c>
    </row>
    <row r="5524" spans="1:37" x14ac:dyDescent="0.2">
      <c r="A5524" t="str">
        <f>"20200111153800765"</f>
        <v>20200111153800765</v>
      </c>
      <c r="B5524" t="str">
        <f>"1578728280758956"</f>
        <v>1578728280758956</v>
      </c>
      <c r="C5524" t="s">
        <v>37</v>
      </c>
      <c r="D5524">
        <v>5.495787</v>
      </c>
      <c r="E5524">
        <v>0.61832399999999998</v>
      </c>
      <c r="F5524" t="s">
        <v>38</v>
      </c>
      <c r="G5524">
        <v>-268.37279999999998</v>
      </c>
      <c r="H5524">
        <v>0.92414010000000002</v>
      </c>
      <c r="I5524">
        <v>-63.147869999999998</v>
      </c>
      <c r="J5524">
        <v>-268.96179999999998</v>
      </c>
      <c r="K5524">
        <v>1.104757</v>
      </c>
      <c r="L5524">
        <v>-63.008759999999903</v>
      </c>
      <c r="M5524">
        <v>0.9997414</v>
      </c>
      <c r="N5524">
        <v>0</v>
      </c>
      <c r="O5524">
        <v>-2.2510410000000002E-2</v>
      </c>
      <c r="P5524">
        <v>0.99351690000000004</v>
      </c>
      <c r="Q5524">
        <v>3.1056279999999999E-2</v>
      </c>
      <c r="R5524">
        <v>0.1093615</v>
      </c>
      <c r="S5524">
        <v>3.110474</v>
      </c>
      <c r="T5524">
        <v>-0.78179339999999997</v>
      </c>
      <c r="U5524">
        <v>-0.61169430000000002</v>
      </c>
      <c r="V5524">
        <v>-0.13181209999999999</v>
      </c>
      <c r="W5524">
        <v>3.3843079999999998E-2</v>
      </c>
      <c r="X5524">
        <v>0.99069680000000004</v>
      </c>
      <c r="Y5524">
        <v>0.166514299999999</v>
      </c>
      <c r="Z5524">
        <v>-1.4901380000000001E-2</v>
      </c>
      <c r="AA5524">
        <v>0.98592639999999998</v>
      </c>
      <c r="AB5524">
        <v>29</v>
      </c>
      <c r="AC5524">
        <v>0.58899999999999797</v>
      </c>
      <c r="AD5524">
        <v>-0.1806169</v>
      </c>
      <c r="AE5524">
        <v>-0.13911000000000201</v>
      </c>
      <c r="AF5524">
        <v>0.11552655247877</v>
      </c>
      <c r="AG5524">
        <v>-0.1806169</v>
      </c>
      <c r="AH5524">
        <v>0.54356865977118696</v>
      </c>
      <c r="AI5524">
        <v>108.00521043046299</v>
      </c>
      <c r="AJ5524">
        <v>78.001263949473994</v>
      </c>
      <c r="AK5524">
        <v>0.58432502665784003</v>
      </c>
    </row>
    <row r="5525" spans="1:37" x14ac:dyDescent="0.2">
      <c r="A5525" t="str">
        <f>"20200111153800774"</f>
        <v>20200111153800774</v>
      </c>
      <c r="B5525" t="str">
        <f>"1578728280768715"</f>
        <v>1578728280768715</v>
      </c>
      <c r="C5525" t="s">
        <v>37</v>
      </c>
      <c r="D5525">
        <v>5.4908049999999999</v>
      </c>
      <c r="E5525">
        <v>0.61836740000000001</v>
      </c>
      <c r="F5525" t="s">
        <v>38</v>
      </c>
      <c r="G5525">
        <v>-268.12119999999999</v>
      </c>
      <c r="H5525">
        <v>0.89364089999999996</v>
      </c>
      <c r="I5525">
        <v>-63.17353</v>
      </c>
      <c r="J5525">
        <v>-268.8236</v>
      </c>
      <c r="K5525">
        <v>1.104759</v>
      </c>
      <c r="L5525">
        <v>-63.011109999999903</v>
      </c>
      <c r="M5525">
        <v>0.99976039999999899</v>
      </c>
      <c r="N5525">
        <v>0</v>
      </c>
      <c r="O5525">
        <v>-2.1661529999999998E-2</v>
      </c>
      <c r="P5525">
        <v>0.99344539999999903</v>
      </c>
      <c r="Q5525">
        <v>3.1126230000000001E-2</v>
      </c>
      <c r="R5525">
        <v>0.1099895</v>
      </c>
      <c r="S5525">
        <v>3.111084</v>
      </c>
      <c r="T5525">
        <v>-0.78135129999999997</v>
      </c>
      <c r="U5525">
        <v>-0.60949709999999901</v>
      </c>
      <c r="V5525">
        <v>-0.13159699999999999</v>
      </c>
      <c r="W5525">
        <v>3.3867849999999998E-2</v>
      </c>
      <c r="X5525">
        <v>0.99072459999999996</v>
      </c>
      <c r="Y5525">
        <v>0.16662079999999899</v>
      </c>
      <c r="Z5525">
        <v>-1.5112220000000001E-2</v>
      </c>
      <c r="AA5525">
        <v>0.98590519999999904</v>
      </c>
      <c r="AB5525">
        <v>29</v>
      </c>
      <c r="AC5525">
        <v>0.70240000000001102</v>
      </c>
      <c r="AD5525">
        <v>-0.2111181</v>
      </c>
      <c r="AE5525">
        <v>-0.162420000000011</v>
      </c>
      <c r="AF5525">
        <v>0.135543236751059</v>
      </c>
      <c r="AG5525">
        <v>-0.2111181</v>
      </c>
      <c r="AH5525">
        <v>0.65001167924568304</v>
      </c>
      <c r="AI5525">
        <v>107.638173427141</v>
      </c>
      <c r="AJ5525">
        <v>78.221224488726406</v>
      </c>
      <c r="AK5525">
        <v>0.69674816421168795</v>
      </c>
    </row>
    <row r="5526" spans="1:37" x14ac:dyDescent="0.2">
      <c r="A5526" t="str">
        <f>"20200111153800786"</f>
        <v>20200111153800786</v>
      </c>
      <c r="B5526" t="str">
        <f>"1578728280778475"</f>
        <v>1578728280778475</v>
      </c>
      <c r="C5526" t="s">
        <v>37</v>
      </c>
      <c r="D5526">
        <v>5.4306960000000002</v>
      </c>
      <c r="E5526">
        <v>0.61863179999999995</v>
      </c>
      <c r="F5526" t="s">
        <v>38</v>
      </c>
      <c r="G5526">
        <v>-268.10829999999999</v>
      </c>
      <c r="H5526">
        <v>0.92544439999999994</v>
      </c>
      <c r="I5526">
        <v>-63.150859999999902</v>
      </c>
      <c r="J5526">
        <v>-268.68540000000002</v>
      </c>
      <c r="K5526">
        <v>1.104759</v>
      </c>
      <c r="L5526">
        <v>-63.013339999999999</v>
      </c>
      <c r="M5526">
        <v>0.99977850000000001</v>
      </c>
      <c r="N5526">
        <v>0</v>
      </c>
      <c r="O5526">
        <v>-2.0813120000000001E-2</v>
      </c>
      <c r="P5526">
        <v>0.99338789999999999</v>
      </c>
      <c r="Q5526">
        <v>3.1256880000000001E-2</v>
      </c>
      <c r="R5526">
        <v>0.11047029999999999</v>
      </c>
      <c r="S5526">
        <v>3.11145</v>
      </c>
      <c r="T5526">
        <v>-0.78001480000000001</v>
      </c>
      <c r="U5526">
        <v>-0.60748290000000005</v>
      </c>
      <c r="V5526">
        <v>-0.13123670000000001</v>
      </c>
      <c r="W5526">
        <v>3.395745E-2</v>
      </c>
      <c r="X5526">
        <v>0.99076929999999996</v>
      </c>
      <c r="Y5526">
        <v>0.16680420000000001</v>
      </c>
      <c r="Z5526">
        <v>-1.5316079999999999E-2</v>
      </c>
      <c r="AA5526">
        <v>0.985871099999999</v>
      </c>
      <c r="AB5526">
        <v>29</v>
      </c>
      <c r="AC5526">
        <v>0.57710000000002903</v>
      </c>
      <c r="AD5526">
        <v>-0.17931459999999999</v>
      </c>
      <c r="AE5526">
        <v>-0.13751999999999401</v>
      </c>
      <c r="AF5526">
        <v>0.114975098512886</v>
      </c>
      <c r="AG5526">
        <v>-0.17931459999999999</v>
      </c>
      <c r="AH5526">
        <v>0.53129921994981599</v>
      </c>
      <c r="AI5526">
        <v>108.25599450724199</v>
      </c>
      <c r="AJ5526">
        <v>77.789271301196294</v>
      </c>
      <c r="AK5526">
        <v>0.572408822582681</v>
      </c>
    </row>
    <row r="5527" spans="1:37" x14ac:dyDescent="0.2">
      <c r="A5527" t="str">
        <f>"20200111153800797"</f>
        <v>20200111153800797</v>
      </c>
      <c r="B5527" t="str">
        <f>"1578728280789211"</f>
        <v>1578728280789211</v>
      </c>
      <c r="C5527" t="s">
        <v>37</v>
      </c>
      <c r="D5527">
        <v>5.4621370000000002</v>
      </c>
      <c r="E5527">
        <v>0.61865340000000002</v>
      </c>
      <c r="F5527" t="s">
        <v>38</v>
      </c>
      <c r="G5527">
        <v>-267.85419999999999</v>
      </c>
      <c r="H5527">
        <v>0.89725449999999995</v>
      </c>
      <c r="I5527">
        <v>-63.175959999999897</v>
      </c>
      <c r="J5527">
        <v>-268.53489999999999</v>
      </c>
      <c r="K5527">
        <v>1.1047629999999999</v>
      </c>
      <c r="L5527">
        <v>-63.015689999999999</v>
      </c>
      <c r="M5527">
        <v>0.9997973</v>
      </c>
      <c r="N5527">
        <v>0</v>
      </c>
      <c r="O5527">
        <v>-1.9888900000000001E-2</v>
      </c>
      <c r="P5527">
        <v>0.99331749999999996</v>
      </c>
      <c r="Q5527">
        <v>3.1281110000000001E-2</v>
      </c>
      <c r="R5527">
        <v>0.11109380000000001</v>
      </c>
      <c r="S5527">
        <v>3.1120299999999999</v>
      </c>
      <c r="T5527">
        <v>-0.77689299999999994</v>
      </c>
      <c r="U5527">
        <v>-0.60824579999999995</v>
      </c>
      <c r="V5527">
        <v>-0.13094330000000001</v>
      </c>
      <c r="W5527">
        <v>3.3938400000000001E-2</v>
      </c>
      <c r="X5527">
        <v>0.99080879999999905</v>
      </c>
      <c r="Y5527">
        <v>0.1678897</v>
      </c>
      <c r="Z5527">
        <v>-1.561071E-2</v>
      </c>
      <c r="AA5527">
        <v>0.98568219999999995</v>
      </c>
      <c r="AB5527">
        <v>30</v>
      </c>
      <c r="AC5527">
        <v>0.68070000000000097</v>
      </c>
      <c r="AD5527">
        <v>-0.20750850000000001</v>
      </c>
      <c r="AE5527">
        <v>-0.160269999999997</v>
      </c>
      <c r="AF5527">
        <v>0.13482825753237701</v>
      </c>
      <c r="AG5527">
        <v>-0.20750850000000001</v>
      </c>
      <c r="AH5527">
        <v>0.62842065694185301</v>
      </c>
      <c r="AI5527">
        <v>107.89314205065</v>
      </c>
      <c r="AJ5527">
        <v>77.890713257852894</v>
      </c>
      <c r="AK5527">
        <v>0.67538948664655496</v>
      </c>
    </row>
    <row r="5528" spans="1:37" x14ac:dyDescent="0.2">
      <c r="A5528" t="str">
        <f>"20200111153800807"</f>
        <v>20200111153800807</v>
      </c>
      <c r="B5528" t="str">
        <f>"1578728280798971"</f>
        <v>1578728280798971</v>
      </c>
      <c r="C5528" t="s">
        <v>37</v>
      </c>
      <c r="D5528">
        <v>5.4814910000000001</v>
      </c>
      <c r="E5528">
        <v>0.61904899999999996</v>
      </c>
      <c r="F5528" t="s">
        <v>38</v>
      </c>
      <c r="G5528">
        <v>-267.84030000000001</v>
      </c>
      <c r="H5528">
        <v>0.93163660000000004</v>
      </c>
      <c r="I5528">
        <v>-63.151200000000003</v>
      </c>
      <c r="J5528">
        <v>-268.39089999999999</v>
      </c>
      <c r="K5528">
        <v>1.1047629999999999</v>
      </c>
      <c r="L5528">
        <v>-63.01773</v>
      </c>
      <c r="M5528">
        <v>0.99981469999999995</v>
      </c>
      <c r="N5528">
        <v>0</v>
      </c>
      <c r="O5528">
        <v>-1.9005810000000001E-2</v>
      </c>
      <c r="P5528">
        <v>0.99323830000000002</v>
      </c>
      <c r="Q5528">
        <v>3.1415720000000001E-2</v>
      </c>
      <c r="R5528">
        <v>0.1117635</v>
      </c>
      <c r="S5528">
        <v>3.1124269999999998</v>
      </c>
      <c r="T5528">
        <v>-0.7758446</v>
      </c>
      <c r="U5528">
        <v>-0.60653690000000005</v>
      </c>
      <c r="V5528">
        <v>-0.1307374</v>
      </c>
      <c r="W5528">
        <v>3.4035139999999998E-2</v>
      </c>
      <c r="X5528">
        <v>0.99083259999999995</v>
      </c>
      <c r="Y5528">
        <v>0.1681917</v>
      </c>
      <c r="Z5528">
        <v>-1.5840529999999999E-2</v>
      </c>
      <c r="AA5528">
        <v>0.98562700000000003</v>
      </c>
      <c r="AB5528">
        <v>30</v>
      </c>
      <c r="AC5528">
        <v>0.550599999999974</v>
      </c>
      <c r="AD5528">
        <v>-0.17312639999999899</v>
      </c>
      <c r="AE5528">
        <v>-0.13346999999999501</v>
      </c>
      <c r="AF5528">
        <v>0.112477998347913</v>
      </c>
      <c r="AG5528">
        <v>-0.17312639999999899</v>
      </c>
      <c r="AH5528">
        <v>0.505804971111671</v>
      </c>
      <c r="AI5528">
        <v>108.47537750294001</v>
      </c>
      <c r="AJ5528">
        <v>77.462892213089205</v>
      </c>
      <c r="AK5528">
        <v>0.54631741624315</v>
      </c>
    </row>
    <row r="5529" spans="1:37" x14ac:dyDescent="0.2">
      <c r="A5529" t="str">
        <f>"20200111153800820"</f>
        <v>20200111153800820</v>
      </c>
      <c r="B5529" t="str">
        <f>"1578728280808732"</f>
        <v>1578728280808732</v>
      </c>
      <c r="C5529" t="s">
        <v>37</v>
      </c>
      <c r="D5529">
        <v>5.4253830000000001</v>
      </c>
      <c r="E5529">
        <v>0.61904899999999996</v>
      </c>
      <c r="F5529" t="s">
        <v>38</v>
      </c>
      <c r="G5529">
        <v>-267.58449999999999</v>
      </c>
      <c r="H5529">
        <v>0.90399830000000003</v>
      </c>
      <c r="I5529">
        <v>-63.175190000000001</v>
      </c>
      <c r="J5529">
        <v>-268.22730000000001</v>
      </c>
      <c r="K5529">
        <v>1.1047629999999999</v>
      </c>
      <c r="L5529">
        <v>-63.019959999999998</v>
      </c>
      <c r="M5529">
        <v>0.99983330000000004</v>
      </c>
      <c r="N5529">
        <v>0</v>
      </c>
      <c r="O5529">
        <v>-1.800268E-2</v>
      </c>
      <c r="P5529">
        <v>0.99318419999999896</v>
      </c>
      <c r="Q5529">
        <v>3.1608160000000003E-2</v>
      </c>
      <c r="R5529">
        <v>0.11218839999999999</v>
      </c>
      <c r="S5529">
        <v>3.1133120000000001</v>
      </c>
      <c r="T5529">
        <v>-0.77515480000000003</v>
      </c>
      <c r="U5529">
        <v>-0.60760499999999995</v>
      </c>
      <c r="V5529">
        <v>-0.13016829999999999</v>
      </c>
      <c r="W5529">
        <v>3.4187629999999997E-2</v>
      </c>
      <c r="X5529">
        <v>0.99090230000000001</v>
      </c>
      <c r="Y5529">
        <v>0.1693983</v>
      </c>
      <c r="Z5529">
        <v>-1.6212259999999999E-2</v>
      </c>
      <c r="AA5529">
        <v>0.98541429999999997</v>
      </c>
      <c r="AB5529">
        <v>30</v>
      </c>
      <c r="AC5529">
        <v>0.64280000000002202</v>
      </c>
      <c r="AD5529">
        <v>-0.20076469999999899</v>
      </c>
      <c r="AE5529">
        <v>-0.155230000000003</v>
      </c>
      <c r="AF5529">
        <v>0.13151082871834399</v>
      </c>
      <c r="AG5529">
        <v>-0.20076469999999899</v>
      </c>
      <c r="AH5529">
        <v>0.59101441738310001</v>
      </c>
      <c r="AI5529">
        <v>108.344758952749</v>
      </c>
      <c r="AJ5529">
        <v>77.455091775373006</v>
      </c>
      <c r="AK5529">
        <v>0.63788682725932</v>
      </c>
    </row>
    <row r="5530" spans="1:37" x14ac:dyDescent="0.2">
      <c r="A5530" t="str">
        <f>"20200111153800831"</f>
        <v>20200111153800831</v>
      </c>
      <c r="B5530" t="str">
        <f>"1578728280818492"</f>
        <v>1578728280818492</v>
      </c>
      <c r="C5530" t="s">
        <v>37</v>
      </c>
      <c r="D5530">
        <v>5.5648039999999996</v>
      </c>
      <c r="E5530">
        <v>0.61587499999999995</v>
      </c>
      <c r="F5530" t="s">
        <v>38</v>
      </c>
      <c r="G5530">
        <v>-267.32560000000001</v>
      </c>
      <c r="H5530">
        <v>0.88038609999999995</v>
      </c>
      <c r="I5530">
        <v>-63.19556</v>
      </c>
      <c r="J5530">
        <v>-268.07749999999999</v>
      </c>
      <c r="K5530">
        <v>1.1047719999999901</v>
      </c>
      <c r="L5530">
        <v>-63.021819999999998</v>
      </c>
      <c r="M5530">
        <v>0.99984959999999901</v>
      </c>
      <c r="N5530">
        <v>0</v>
      </c>
      <c r="O5530">
        <v>-1.7085010000000001E-2</v>
      </c>
      <c r="P5530">
        <v>0.9931314</v>
      </c>
      <c r="Q5530">
        <v>3.1794469999999998E-2</v>
      </c>
      <c r="R5530">
        <v>0.1126035</v>
      </c>
      <c r="S5530">
        <v>3.1137389999999998</v>
      </c>
      <c r="T5530">
        <v>-0.77484119999999901</v>
      </c>
      <c r="U5530">
        <v>-0.60598750000000001</v>
      </c>
      <c r="V5530">
        <v>-0.12967390000000001</v>
      </c>
      <c r="W5530">
        <v>3.434156E-2</v>
      </c>
      <c r="X5530">
        <v>0.9909618</v>
      </c>
      <c r="Y5530">
        <v>0.16975019999999999</v>
      </c>
      <c r="Z5530">
        <v>-1.646999E-2</v>
      </c>
      <c r="AA5530">
        <v>0.98534949999999999</v>
      </c>
      <c r="AB5530">
        <v>30</v>
      </c>
      <c r="AC5530">
        <v>0.75189999999997703</v>
      </c>
      <c r="AD5530">
        <v>-0.224385899999999</v>
      </c>
      <c r="AE5530">
        <v>-0.173740000000002</v>
      </c>
      <c r="AF5530">
        <v>0.14832816645460101</v>
      </c>
      <c r="AG5530">
        <v>-0.224385899999999</v>
      </c>
      <c r="AH5530">
        <v>0.69592279165740201</v>
      </c>
      <c r="AI5530">
        <v>107.502463384903</v>
      </c>
      <c r="AJ5530">
        <v>77.968084638578006</v>
      </c>
      <c r="AK5530">
        <v>0.74609571036886801</v>
      </c>
    </row>
    <row r="5531" spans="1:37" x14ac:dyDescent="0.2">
      <c r="A5531" t="str">
        <f>"20200111153800842"</f>
        <v>20200111153800842</v>
      </c>
      <c r="B5531" t="str">
        <f>"1578728280838987"</f>
        <v>1578728280838987</v>
      </c>
      <c r="C5531" t="s">
        <v>37</v>
      </c>
      <c r="D5531">
        <v>5.427346</v>
      </c>
      <c r="E5531">
        <v>0.52954279999999998</v>
      </c>
      <c r="F5531" t="s">
        <v>38</v>
      </c>
      <c r="G5531">
        <v>-267.31200000000001</v>
      </c>
      <c r="H5531">
        <v>0.91475609999999996</v>
      </c>
      <c r="I5531">
        <v>-63.164490000000001</v>
      </c>
      <c r="J5531">
        <v>-267.93439999999998</v>
      </c>
      <c r="K5531">
        <v>1.1047739999999999</v>
      </c>
      <c r="L5531">
        <v>-63.023530000000001</v>
      </c>
      <c r="M5531">
        <v>0.99986419999999998</v>
      </c>
      <c r="N5531">
        <v>0</v>
      </c>
      <c r="O5531">
        <v>-1.6209310000000001E-2</v>
      </c>
      <c r="P5531">
        <v>0.99306079999999997</v>
      </c>
      <c r="Q5531">
        <v>3.1973370000000001E-2</v>
      </c>
      <c r="R5531">
        <v>0.1131728</v>
      </c>
      <c r="S5531">
        <v>3.1111759999999999</v>
      </c>
      <c r="T5531">
        <v>-0.77239740000000001</v>
      </c>
      <c r="U5531">
        <v>-0.57946779999999998</v>
      </c>
      <c r="V5531">
        <v>-0.12937499999999999</v>
      </c>
      <c r="W5531">
        <v>3.4489770000000003E-2</v>
      </c>
      <c r="X5531">
        <v>0.99099579999999998</v>
      </c>
      <c r="Y5531">
        <v>0.1628443</v>
      </c>
      <c r="Z5531">
        <v>-1.5819489999999999E-2</v>
      </c>
      <c r="AA5531">
        <v>0.98652489999999904</v>
      </c>
      <c r="AB5531">
        <v>30</v>
      </c>
      <c r="AC5531">
        <v>0.62239999999996998</v>
      </c>
      <c r="AD5531">
        <v>-0.19001789999999999</v>
      </c>
      <c r="AE5531">
        <v>-0.14095999999999201</v>
      </c>
      <c r="AF5531">
        <v>0.12019620001143499</v>
      </c>
      <c r="AG5531">
        <v>-0.19001789999999999</v>
      </c>
      <c r="AH5531">
        <v>0.57373584385633403</v>
      </c>
      <c r="AI5531">
        <v>107.960461981902</v>
      </c>
      <c r="AJ5531">
        <v>78.167801118436998</v>
      </c>
      <c r="AK5531">
        <v>0.616219723266903</v>
      </c>
    </row>
    <row r="5532" spans="1:37" x14ac:dyDescent="0.2">
      <c r="A5532" t="str">
        <f>"20200111153800854"</f>
        <v>20200111153800854</v>
      </c>
      <c r="B5532" t="str">
        <f>"1578728280848748"</f>
        <v>1578728280848748</v>
      </c>
      <c r="C5532" t="s">
        <v>37</v>
      </c>
      <c r="D5532">
        <v>5.409281</v>
      </c>
      <c r="E5532">
        <v>0.52260079999999998</v>
      </c>
      <c r="F5532" t="s">
        <v>38</v>
      </c>
      <c r="G5532">
        <v>-267.01819999999998</v>
      </c>
      <c r="H5532">
        <v>0.959134499999999</v>
      </c>
      <c r="I5532">
        <v>-62.991489999999999</v>
      </c>
      <c r="J5532">
        <v>-267.77099999999899</v>
      </c>
      <c r="K5532">
        <v>1.104776</v>
      </c>
      <c r="L5532">
        <v>-63.025239999999997</v>
      </c>
      <c r="M5532">
        <v>0.99987999999999899</v>
      </c>
      <c r="N5532">
        <v>0</v>
      </c>
      <c r="O5532">
        <v>-1.520988E-2</v>
      </c>
      <c r="P5532">
        <v>0.99299869999999901</v>
      </c>
      <c r="Q5532">
        <v>3.2212780000000003E-2</v>
      </c>
      <c r="R5532">
        <v>0.11364829999999999</v>
      </c>
      <c r="S5532">
        <v>3.0243530000000001</v>
      </c>
      <c r="T5532">
        <v>-0.4808154</v>
      </c>
      <c r="U5532">
        <v>0.1061096</v>
      </c>
      <c r="V5532">
        <v>-0.12886</v>
      </c>
      <c r="W5532">
        <v>3.46985E-2</v>
      </c>
      <c r="X5532">
        <v>0.99105549999999998</v>
      </c>
      <c r="Y5532">
        <v>-4.9448899999999997E-2</v>
      </c>
      <c r="Z5532">
        <v>6.3073869999999898E-3</v>
      </c>
      <c r="AA5532">
        <v>0.9987568</v>
      </c>
      <c r="AB5532">
        <v>30</v>
      </c>
      <c r="AC5532">
        <v>0.75279999999997904</v>
      </c>
      <c r="AD5532">
        <v>-0.14564150000000001</v>
      </c>
      <c r="AE5532">
        <v>3.3750000000004797E-2</v>
      </c>
      <c r="AF5532">
        <v>-4.3568671704735301E-2</v>
      </c>
      <c r="AG5532">
        <v>-0.14564150000000001</v>
      </c>
      <c r="AH5532">
        <v>0.72511357051020398</v>
      </c>
      <c r="AI5532">
        <v>101.337022992622</v>
      </c>
      <c r="AJ5532">
        <v>93.438500552543303</v>
      </c>
      <c r="AK5532">
        <v>0.74087742968349501</v>
      </c>
    </row>
    <row r="5533" spans="1:37" x14ac:dyDescent="0.2">
      <c r="A5533" t="str">
        <f>"20200111153800867"</f>
        <v>20200111153800867</v>
      </c>
      <c r="B5533" t="str">
        <f>"1578728280858507"</f>
        <v>1578728280858507</v>
      </c>
      <c r="C5533" t="s">
        <v>37</v>
      </c>
      <c r="D5533">
        <v>5.4399300000000004</v>
      </c>
      <c r="E5533">
        <v>0.51868840000000005</v>
      </c>
      <c r="F5533" t="s">
        <v>38</v>
      </c>
      <c r="G5533">
        <v>-266.99770000000001</v>
      </c>
      <c r="H5533">
        <v>1.002918</v>
      </c>
      <c r="I5533">
        <v>-62.98366</v>
      </c>
      <c r="J5533">
        <v>-267.60050000000001</v>
      </c>
      <c r="K5533">
        <v>1.1047799999999901</v>
      </c>
      <c r="L5533">
        <v>-63.026890000000002</v>
      </c>
      <c r="M5533">
        <v>0.99989530000000004</v>
      </c>
      <c r="N5533">
        <v>0</v>
      </c>
      <c r="O5533">
        <v>-1.4170139999999999E-2</v>
      </c>
      <c r="P5533">
        <v>0.99293770000000003</v>
      </c>
      <c r="Q5533">
        <v>3.2431189999999999E-2</v>
      </c>
      <c r="R5533">
        <v>0.1141191</v>
      </c>
      <c r="S5533">
        <v>3.01544199999999</v>
      </c>
      <c r="T5533">
        <v>-0.39723989999999998</v>
      </c>
      <c r="U5533">
        <v>0.1625366</v>
      </c>
      <c r="V5533">
        <v>-0.12830050000000001</v>
      </c>
      <c r="W5533">
        <v>3.4887210000000002E-2</v>
      </c>
      <c r="X5533">
        <v>0.99112149999999999</v>
      </c>
      <c r="Y5533">
        <v>-6.726588E-2</v>
      </c>
      <c r="Z5533">
        <v>6.2659119999999898E-3</v>
      </c>
      <c r="AA5533">
        <v>0.99771540000000003</v>
      </c>
      <c r="AB5533">
        <v>30</v>
      </c>
      <c r="AC5533">
        <v>0.602800000000002</v>
      </c>
      <c r="AD5533">
        <v>-0.101861999999999</v>
      </c>
      <c r="AE5533">
        <v>4.3230000000001198E-2</v>
      </c>
      <c r="AF5533">
        <v>-5.0337439897391402E-2</v>
      </c>
      <c r="AG5533">
        <v>-0.101861999999999</v>
      </c>
      <c r="AH5533">
        <v>0.58549383238831998</v>
      </c>
      <c r="AI5533">
        <v>99.833755470373305</v>
      </c>
      <c r="AJ5533">
        <v>94.913882893387594</v>
      </c>
      <c r="AK5533">
        <v>0.59641659321667595</v>
      </c>
    </row>
    <row r="5534" spans="1:37" x14ac:dyDescent="0.2">
      <c r="A5534" t="str">
        <f>"20200111153800879"</f>
        <v>20200111153800879</v>
      </c>
      <c r="B5534" t="str">
        <f>"1578728280868267"</f>
        <v>1578728280868267</v>
      </c>
      <c r="C5534" t="s">
        <v>37</v>
      </c>
      <c r="D5534">
        <v>5.3924010000000004</v>
      </c>
      <c r="E5534">
        <v>0.51659309999999903</v>
      </c>
      <c r="F5534" t="s">
        <v>59</v>
      </c>
      <c r="G5534">
        <v>-257.58980000000003</v>
      </c>
      <c r="H5534" s="1">
        <v>-2.83573699999999E-6</v>
      </c>
      <c r="I5534">
        <v>-62.378390000000003</v>
      </c>
      <c r="J5534">
        <v>-267.4323</v>
      </c>
      <c r="K5534">
        <v>1.1047819999999999</v>
      </c>
      <c r="L5534">
        <v>-63.028410000000001</v>
      </c>
      <c r="M5534">
        <v>0.99990949999999901</v>
      </c>
      <c r="N5534">
        <v>0</v>
      </c>
      <c r="O5534">
        <v>-1.314543E-2</v>
      </c>
      <c r="P5534">
        <v>0.99285999999999996</v>
      </c>
      <c r="Q5534">
        <v>3.2360420000000001E-2</v>
      </c>
      <c r="R5534">
        <v>0.1148129</v>
      </c>
      <c r="S5534">
        <v>3.0097959999999899</v>
      </c>
      <c r="T5534">
        <v>-0.33216259999999997</v>
      </c>
      <c r="U5534">
        <v>0.19497679999999901</v>
      </c>
      <c r="V5534">
        <v>-0.12797819999999999</v>
      </c>
      <c r="W5534">
        <v>3.478904E-2</v>
      </c>
      <c r="X5534">
        <v>0.99116669999999996</v>
      </c>
      <c r="Y5534">
        <v>-7.7211249999999995E-2</v>
      </c>
      <c r="Z5534">
        <v>5.6882080000000002E-3</v>
      </c>
      <c r="AA5534">
        <v>0.99699850000000001</v>
      </c>
      <c r="AB5534">
        <v>30</v>
      </c>
      <c r="AC5534">
        <v>9.8424999999999692</v>
      </c>
      <c r="AD5534">
        <v>-1.104784835737</v>
      </c>
      <c r="AE5534">
        <v>0.65001999999999704</v>
      </c>
      <c r="AF5534">
        <v>-0.76969282267613603</v>
      </c>
      <c r="AG5534">
        <v>-1.104784835737</v>
      </c>
      <c r="AH5534">
        <v>9.7112812435815101</v>
      </c>
      <c r="AI5534">
        <v>96.470121617334101</v>
      </c>
      <c r="AJ5534">
        <v>94.531652761351793</v>
      </c>
      <c r="AK5534">
        <v>9.8041807391791593</v>
      </c>
    </row>
    <row r="5535" spans="1:37" x14ac:dyDescent="0.2">
      <c r="A5535" t="str">
        <f>"20200111153800890"</f>
        <v>20200111153800890</v>
      </c>
      <c r="B5535" t="str">
        <f>"1578728280879004"</f>
        <v>1578728280879004</v>
      </c>
      <c r="C5535" t="s">
        <v>37</v>
      </c>
      <c r="D5535">
        <v>5.3838359999999996</v>
      </c>
      <c r="E5535">
        <v>0.51548320000000003</v>
      </c>
      <c r="F5535" t="s">
        <v>59</v>
      </c>
      <c r="G5535">
        <v>-256.2901</v>
      </c>
      <c r="H5535" s="1">
        <v>-2.2466919999999998E-6</v>
      </c>
      <c r="I5535">
        <v>-62.236869999999897</v>
      </c>
      <c r="J5535">
        <v>-267.28089999999997</v>
      </c>
      <c r="K5535">
        <v>1.1047830000000001</v>
      </c>
      <c r="L5535">
        <v>-63.029539999999997</v>
      </c>
      <c r="M5535">
        <v>0.99992109999999901</v>
      </c>
      <c r="N5535">
        <v>0</v>
      </c>
      <c r="O5535">
        <v>-1.2228960000000001E-2</v>
      </c>
      <c r="P5535">
        <v>0.99281459999999999</v>
      </c>
      <c r="Q5535">
        <v>3.2432200000000001E-2</v>
      </c>
      <c r="R5535">
        <v>0.1151851</v>
      </c>
      <c r="S5535">
        <v>3.0066220000000001</v>
      </c>
      <c r="T5535">
        <v>-0.2981182</v>
      </c>
      <c r="U5535">
        <v>0.21359249999999999</v>
      </c>
      <c r="V5535">
        <v>-0.12744149999999899</v>
      </c>
      <c r="W5535">
        <v>3.4839559999999999E-2</v>
      </c>
      <c r="X5535">
        <v>0.99123399999999995</v>
      </c>
      <c r="Y5535">
        <v>-8.2592349999999995E-2</v>
      </c>
      <c r="Z5535">
        <v>5.2877419999999998E-3</v>
      </c>
      <c r="AA5535">
        <v>0.99656939999999905</v>
      </c>
      <c r="AB5535">
        <v>30</v>
      </c>
      <c r="AC5535">
        <v>10.990799999999901</v>
      </c>
      <c r="AD5535">
        <v>-1.1047852466920001</v>
      </c>
      <c r="AE5535">
        <v>0.79267000000000798</v>
      </c>
      <c r="AF5535">
        <v>-0.91779187027380005</v>
      </c>
      <c r="AG5535">
        <v>-1.1047852466920001</v>
      </c>
      <c r="AH5535">
        <v>10.871011296226101</v>
      </c>
      <c r="AI5535">
        <v>95.782428768431998</v>
      </c>
      <c r="AJ5535">
        <v>94.8257878630113</v>
      </c>
      <c r="AK5535">
        <v>10.965481246216401</v>
      </c>
    </row>
    <row r="5536" spans="1:37" x14ac:dyDescent="0.2">
      <c r="A5536" t="str">
        <f>"20200111153800902"</f>
        <v>20200111153800902</v>
      </c>
      <c r="B5536" t="str">
        <f>"1578728280898523"</f>
        <v>1578728280898523</v>
      </c>
      <c r="C5536" t="s">
        <v>37</v>
      </c>
      <c r="D5536">
        <v>5.3196519999999996</v>
      </c>
      <c r="E5536">
        <v>0.51425529999999997</v>
      </c>
      <c r="F5536" t="s">
        <v>59</v>
      </c>
      <c r="G5536">
        <v>-255.1311</v>
      </c>
      <c r="H5536" s="1">
        <v>-1.724707E-6</v>
      </c>
      <c r="I5536">
        <v>-62.125500000000002</v>
      </c>
      <c r="J5536">
        <v>-267.11930000000001</v>
      </c>
      <c r="K5536">
        <v>1.1047830000000001</v>
      </c>
      <c r="L5536">
        <v>-63.030669999999901</v>
      </c>
      <c r="M5536">
        <v>0.99993259999999995</v>
      </c>
      <c r="N5536">
        <v>0</v>
      </c>
      <c r="O5536">
        <v>-1.1252409999999999E-2</v>
      </c>
      <c r="P5536">
        <v>0.99273539999999905</v>
      </c>
      <c r="Q5536">
        <v>3.249432E-2</v>
      </c>
      <c r="R5536">
        <v>0.11584659999999999</v>
      </c>
      <c r="S5536">
        <v>3.0047000000000001</v>
      </c>
      <c r="T5536">
        <v>-0.27321699999999999</v>
      </c>
      <c r="U5536">
        <v>0.22357179999999999</v>
      </c>
      <c r="V5536">
        <v>-0.1271341</v>
      </c>
      <c r="W5536">
        <v>3.4879109999999998E-2</v>
      </c>
      <c r="X5536">
        <v>0.99127209999999999</v>
      </c>
      <c r="Y5536">
        <v>-8.5023879999999996E-2</v>
      </c>
      <c r="Z5536">
        <v>4.8721240000000002E-3</v>
      </c>
      <c r="AA5536">
        <v>0.996367</v>
      </c>
      <c r="AB5536">
        <v>30</v>
      </c>
      <c r="AC5536">
        <v>11.988200000000001</v>
      </c>
      <c r="AD5536">
        <v>-1.104784724707</v>
      </c>
      <c r="AE5536">
        <v>0.90516999999999104</v>
      </c>
      <c r="AF5536">
        <v>-1.03130047830184</v>
      </c>
      <c r="AG5536">
        <v>-1.104784724707</v>
      </c>
      <c r="AH5536">
        <v>11.876959598653</v>
      </c>
      <c r="AI5536">
        <v>95.294504205616406</v>
      </c>
      <c r="AJ5536">
        <v>94.962661168484004</v>
      </c>
      <c r="AK5536">
        <v>11.972731487531499</v>
      </c>
    </row>
    <row r="5537" spans="1:37" x14ac:dyDescent="0.2">
      <c r="A5537" t="str">
        <f>"20200111153800914"</f>
        <v>20200111153800914</v>
      </c>
      <c r="B5537" t="str">
        <f>"1578728280909260"</f>
        <v>1578728280909260</v>
      </c>
      <c r="C5537" t="s">
        <v>37</v>
      </c>
      <c r="D5537">
        <v>5.3288010000000003</v>
      </c>
      <c r="E5537">
        <v>0.51437679999999997</v>
      </c>
      <c r="F5537" t="s">
        <v>59</v>
      </c>
      <c r="G5537">
        <v>-253.72020000000001</v>
      </c>
      <c r="H5537" s="1">
        <v>-1.0874190000000001E-6</v>
      </c>
      <c r="I5537">
        <v>-61.98151</v>
      </c>
      <c r="J5537">
        <v>-266.95339999999999</v>
      </c>
      <c r="K5537">
        <v>1.1047819999999999</v>
      </c>
      <c r="L5537">
        <v>-63.031680000000001</v>
      </c>
      <c r="M5537">
        <v>0.99994359999999904</v>
      </c>
      <c r="N5537">
        <v>0</v>
      </c>
      <c r="O5537">
        <v>-1.0257499999999999E-2</v>
      </c>
      <c r="P5537">
        <v>0.99265349999999997</v>
      </c>
      <c r="Q5537">
        <v>3.2495799999999998E-2</v>
      </c>
      <c r="R5537">
        <v>0.116547699999999</v>
      </c>
      <c r="S5537">
        <v>3.0026250000000001</v>
      </c>
      <c r="T5537">
        <v>-0.24757270000000001</v>
      </c>
      <c r="U5537">
        <v>0.23510739999999999</v>
      </c>
      <c r="V5537">
        <v>-0.12684819999999999</v>
      </c>
      <c r="W5537">
        <v>3.4861000000000003E-2</v>
      </c>
      <c r="X5537">
        <v>0.99130929999999995</v>
      </c>
      <c r="Y5537">
        <v>-8.7952550000000004E-2</v>
      </c>
      <c r="Z5537">
        <v>4.4574039999999999E-3</v>
      </c>
      <c r="AA5537">
        <v>0.99611469999999902</v>
      </c>
      <c r="AB5537">
        <v>31</v>
      </c>
      <c r="AC5537">
        <v>13.233199999999901</v>
      </c>
      <c r="AD5537">
        <v>-1.1047830874189899</v>
      </c>
      <c r="AE5537">
        <v>1.05017</v>
      </c>
      <c r="AF5537">
        <v>-1.17769779244648</v>
      </c>
      <c r="AG5537">
        <v>-1.1047830874189899</v>
      </c>
      <c r="AH5537">
        <v>13.1307846310269</v>
      </c>
      <c r="AI5537">
        <v>94.790221946941799</v>
      </c>
      <c r="AJ5537">
        <v>95.125135218753201</v>
      </c>
      <c r="AK5537">
        <v>13.229702293966801</v>
      </c>
    </row>
    <row r="5538" spans="1:37" x14ac:dyDescent="0.2">
      <c r="A5538" t="str">
        <f>"20200111153800925"</f>
        <v>20200111153800925</v>
      </c>
      <c r="B5538" t="str">
        <f>"1578728280919020"</f>
        <v>1578728280919020</v>
      </c>
      <c r="C5538" t="s">
        <v>37</v>
      </c>
      <c r="D5538">
        <v>5.3311529999999996</v>
      </c>
      <c r="E5538">
        <v>0.514374</v>
      </c>
      <c r="F5538" t="s">
        <v>59</v>
      </c>
      <c r="G5538">
        <v>-253.101</v>
      </c>
      <c r="H5538" s="1">
        <v>-8.1297259999999896E-7</v>
      </c>
      <c r="I5538">
        <v>-61.941969999999998</v>
      </c>
      <c r="J5538">
        <v>-266.80419999999998</v>
      </c>
      <c r="K5538">
        <v>1.104776</v>
      </c>
      <c r="L5538">
        <v>-63.032409999999999</v>
      </c>
      <c r="M5538">
        <v>0.99995210000000001</v>
      </c>
      <c r="N5538">
        <v>0</v>
      </c>
      <c r="O5538">
        <v>-9.3673699999999999E-3</v>
      </c>
      <c r="P5538">
        <v>0.99257070000000003</v>
      </c>
      <c r="Q5538">
        <v>3.3104969999999997E-2</v>
      </c>
      <c r="R5538">
        <v>0.117078399999999</v>
      </c>
      <c r="S5538">
        <v>3.00228899999999</v>
      </c>
      <c r="T5538">
        <v>-0.23944389999999999</v>
      </c>
      <c r="U5538">
        <v>0.23617550000000001</v>
      </c>
      <c r="V5538">
        <v>-0.12649759999999999</v>
      </c>
      <c r="W5538">
        <v>3.5454300000000001E-2</v>
      </c>
      <c r="X5538">
        <v>0.99133309999999997</v>
      </c>
      <c r="Y5538">
        <v>-8.7452429999999998E-2</v>
      </c>
      <c r="Z5538">
        <v>4.2212769999999998E-3</v>
      </c>
      <c r="AA5538">
        <v>0.99615969999999998</v>
      </c>
      <c r="AB5538">
        <v>31</v>
      </c>
      <c r="AC5538">
        <v>13.703199999999899</v>
      </c>
      <c r="AD5538">
        <v>-1.1047768129726001</v>
      </c>
      <c r="AE5538">
        <v>1.0904400000000001</v>
      </c>
      <c r="AF5538">
        <v>-1.21093422230352</v>
      </c>
      <c r="AG5538">
        <v>-1.1047768129726001</v>
      </c>
      <c r="AH5538">
        <v>13.604512944100801</v>
      </c>
      <c r="AI5538">
        <v>94.624407411662702</v>
      </c>
      <c r="AJ5538">
        <v>95.086478024485004</v>
      </c>
      <c r="AK5538">
        <v>13.702907207721699</v>
      </c>
    </row>
    <row r="5539" spans="1:37" x14ac:dyDescent="0.2">
      <c r="A5539" t="str">
        <f>"20200111153800936"</f>
        <v>20200111153800936</v>
      </c>
      <c r="B5539" t="str">
        <f>"1578728280928779"</f>
        <v>1578728280928779</v>
      </c>
      <c r="C5539" t="s">
        <v>37</v>
      </c>
      <c r="D5539">
        <v>5.324325</v>
      </c>
      <c r="E5539">
        <v>0.51420299999999997</v>
      </c>
      <c r="F5539" t="s">
        <v>59</v>
      </c>
      <c r="G5539">
        <v>-252.5027</v>
      </c>
      <c r="H5539" s="1">
        <v>-5.4709860000000003E-7</v>
      </c>
      <c r="I5539">
        <v>-61.900500000000001</v>
      </c>
      <c r="J5539">
        <v>-266.642</v>
      </c>
      <c r="K5539">
        <v>1.104773</v>
      </c>
      <c r="L5539">
        <v>-63.033079999999998</v>
      </c>
      <c r="M5539">
        <v>0.99996079999999998</v>
      </c>
      <c r="N5539">
        <v>0</v>
      </c>
      <c r="O5539">
        <v>-8.4044040000000007E-3</v>
      </c>
      <c r="P5539">
        <v>0.99244359999999998</v>
      </c>
      <c r="Q5539">
        <v>3.3255880000000002E-2</v>
      </c>
      <c r="R5539">
        <v>0.1181104</v>
      </c>
      <c r="S5539">
        <v>3.002167</v>
      </c>
      <c r="T5539">
        <v>-0.2319137</v>
      </c>
      <c r="U5539">
        <v>0.23760990000000001</v>
      </c>
      <c r="V5539">
        <v>-0.12657409999999999</v>
      </c>
      <c r="W5539">
        <v>3.5587250000000001E-2</v>
      </c>
      <c r="X5539">
        <v>0.99131859999999905</v>
      </c>
      <c r="Y5539">
        <v>-8.6992349999999996E-2</v>
      </c>
      <c r="Z5539">
        <v>3.9971199999999998E-3</v>
      </c>
      <c r="AA5539">
        <v>0.996201</v>
      </c>
      <c r="AB5539">
        <v>31</v>
      </c>
      <c r="AC5539">
        <v>14.139299999999899</v>
      </c>
      <c r="AD5539">
        <v>-1.1047735470986</v>
      </c>
      <c r="AE5539">
        <v>1.1325799999999999</v>
      </c>
      <c r="AF5539">
        <v>-1.2438276069229599</v>
      </c>
      <c r="AG5539">
        <v>-1.1047735470986</v>
      </c>
      <c r="AH5539">
        <v>14.044088400532999</v>
      </c>
      <c r="AI5539">
        <v>94.480424968797294</v>
      </c>
      <c r="AJ5539">
        <v>95.061247636191695</v>
      </c>
      <c r="AK5539">
        <v>14.142278837164</v>
      </c>
    </row>
    <row r="5540" spans="1:37" x14ac:dyDescent="0.2">
      <c r="A5540" t="str">
        <f>"20200111153800948"</f>
        <v>20200111153800948</v>
      </c>
      <c r="B5540" t="str">
        <f>"1578728280938539"</f>
        <v>1578728280938539</v>
      </c>
      <c r="C5540" t="s">
        <v>37</v>
      </c>
      <c r="D5540">
        <v>5.3328670000000002</v>
      </c>
      <c r="E5540">
        <v>0.51420059999999901</v>
      </c>
      <c r="F5540" t="s">
        <v>59</v>
      </c>
      <c r="G5540">
        <v>-252.10499999999999</v>
      </c>
      <c r="H5540" s="1">
        <v>-3.677777E-7</v>
      </c>
      <c r="I5540">
        <v>-61.861229999999999</v>
      </c>
      <c r="J5540">
        <v>-266.49299999999999</v>
      </c>
      <c r="K5540">
        <v>1.104768</v>
      </c>
      <c r="L5540">
        <v>-63.033540000000002</v>
      </c>
      <c r="M5540">
        <v>0.99996790000000002</v>
      </c>
      <c r="N5540">
        <v>0</v>
      </c>
      <c r="O5540">
        <v>-7.528458E-3</v>
      </c>
      <c r="P5540">
        <v>0.99233349999999898</v>
      </c>
      <c r="Q5540">
        <v>3.3722389999999998E-2</v>
      </c>
      <c r="R5540">
        <v>0.1189011</v>
      </c>
      <c r="S5540">
        <v>3.001709</v>
      </c>
      <c r="T5540">
        <v>-0.22812249999999901</v>
      </c>
      <c r="U5540">
        <v>0.24197389999999999</v>
      </c>
      <c r="V5540">
        <v>-0.12649730000000001</v>
      </c>
      <c r="W5540">
        <v>3.6040429999999998E-2</v>
      </c>
      <c r="X5540">
        <v>0.99131199999999997</v>
      </c>
      <c r="Y5540">
        <v>-8.7580740000000004E-2</v>
      </c>
      <c r="Z5540">
        <v>3.8882509999999901E-3</v>
      </c>
      <c r="AA5540">
        <v>0.99614979999999997</v>
      </c>
      <c r="AB5540">
        <v>31</v>
      </c>
      <c r="AC5540">
        <v>14.388</v>
      </c>
      <c r="AD5540">
        <v>-1.1047683677777</v>
      </c>
      <c r="AE5540">
        <v>1.17230999999999</v>
      </c>
      <c r="AF5540">
        <v>-1.27313998204089</v>
      </c>
      <c r="AG5540">
        <v>-1.1047683677777</v>
      </c>
      <c r="AH5540">
        <v>14.295041869641601</v>
      </c>
      <c r="AI5540">
        <v>94.401869672856705</v>
      </c>
      <c r="AJ5540">
        <v>95.089428461735693</v>
      </c>
      <c r="AK5540">
        <v>14.3940828334117</v>
      </c>
    </row>
    <row r="5541" spans="1:37" x14ac:dyDescent="0.2">
      <c r="A5541" t="str">
        <f>"20200111153800958"</f>
        <v>20200111153800958</v>
      </c>
      <c r="B5541" t="str">
        <f>"1578728280949276"</f>
        <v>1578728280949276</v>
      </c>
      <c r="C5541" t="s">
        <v>37</v>
      </c>
      <c r="D5541">
        <v>5.3182989999999997</v>
      </c>
      <c r="E5541">
        <v>0.51411459999999998</v>
      </c>
      <c r="F5541" t="s">
        <v>59</v>
      </c>
      <c r="G5541">
        <v>-251.62370000000001</v>
      </c>
      <c r="H5541" s="1">
        <v>-1.5307459999999999E-7</v>
      </c>
      <c r="I5541">
        <v>-61.824240000000003</v>
      </c>
      <c r="J5541">
        <v>-266.34649999999999</v>
      </c>
      <c r="K5541">
        <v>1.1047610000000001</v>
      </c>
      <c r="L5541">
        <v>-63.033940000000001</v>
      </c>
      <c r="M5541">
        <v>0.99997400000000003</v>
      </c>
      <c r="N5541">
        <v>0</v>
      </c>
      <c r="O5541">
        <v>-6.6692009999999996E-3</v>
      </c>
      <c r="P5541">
        <v>0.99216340000000003</v>
      </c>
      <c r="Q5541">
        <v>3.4335810000000001E-2</v>
      </c>
      <c r="R5541">
        <v>0.12013699999999999</v>
      </c>
      <c r="S5541">
        <v>3.0015259999999899</v>
      </c>
      <c r="T5541">
        <v>-0.2230094</v>
      </c>
      <c r="U5541">
        <v>0.2441101</v>
      </c>
      <c r="V5541">
        <v>-0.1268822</v>
      </c>
      <c r="W5541">
        <v>3.6638469999999999E-2</v>
      </c>
      <c r="X5541">
        <v>0.99124089999999998</v>
      </c>
      <c r="Y5541">
        <v>-8.7448769999999995E-2</v>
      </c>
      <c r="Z5541">
        <v>3.7329199999999998E-3</v>
      </c>
      <c r="AA5541">
        <v>0.99616199999999999</v>
      </c>
      <c r="AB5541">
        <v>31</v>
      </c>
      <c r="AC5541">
        <v>14.7227999999999</v>
      </c>
      <c r="AD5541">
        <v>-1.1047611530746</v>
      </c>
      <c r="AE5541">
        <v>1.20969999999999</v>
      </c>
      <c r="AF5541">
        <v>-1.3005887692792699</v>
      </c>
      <c r="AG5541">
        <v>-1.1047611530746</v>
      </c>
      <c r="AH5541">
        <v>14.6325669289264</v>
      </c>
      <c r="AI5541">
        <v>94.300758013553505</v>
      </c>
      <c r="AJ5541">
        <v>95.0792821208763</v>
      </c>
      <c r="AK5541">
        <v>14.7317359222065</v>
      </c>
    </row>
    <row r="5542" spans="1:37" x14ac:dyDescent="0.2">
      <c r="A5542" t="str">
        <f>"20200111153800968"</f>
        <v>20200111153800968</v>
      </c>
      <c r="B5542" t="str">
        <f>"1578728280959036"</f>
        <v>1578728280959036</v>
      </c>
      <c r="C5542" t="s">
        <v>37</v>
      </c>
      <c r="D5542">
        <v>5.3370280000000001</v>
      </c>
      <c r="E5542">
        <v>0.51413140000000002</v>
      </c>
      <c r="F5542" t="s">
        <v>59</v>
      </c>
      <c r="G5542">
        <v>-251.21680000000001</v>
      </c>
      <c r="H5542" s="1">
        <v>3.071915E-8</v>
      </c>
      <c r="I5542">
        <v>-61.782719999999998</v>
      </c>
      <c r="J5542">
        <v>-266.20639999999997</v>
      </c>
      <c r="K5542">
        <v>1.1047439999999999</v>
      </c>
      <c r="L5542">
        <v>-63.034119999999902</v>
      </c>
      <c r="M5542">
        <v>0.99997899999999995</v>
      </c>
      <c r="N5542">
        <v>0</v>
      </c>
      <c r="O5542">
        <v>-5.8608439999999996E-3</v>
      </c>
      <c r="P5542">
        <v>0.99203920000000001</v>
      </c>
      <c r="Q5542">
        <v>3.4248569999999999E-2</v>
      </c>
      <c r="R5542">
        <v>0.121183399999999</v>
      </c>
      <c r="S5542">
        <v>3.0012209999999899</v>
      </c>
      <c r="T5542">
        <v>-0.2191476</v>
      </c>
      <c r="U5542">
        <v>0.24819949999999999</v>
      </c>
      <c r="V5542">
        <v>-0.12712609999999999</v>
      </c>
      <c r="W5542">
        <v>3.6540309999999999E-2</v>
      </c>
      <c r="X5542">
        <v>0.99121329999999996</v>
      </c>
      <c r="Y5542">
        <v>-8.8009399999999904E-2</v>
      </c>
      <c r="Z5542">
        <v>3.6301689999999999E-3</v>
      </c>
      <c r="AA5542">
        <v>0.99611299999999903</v>
      </c>
      <c r="AB5542">
        <v>31</v>
      </c>
      <c r="AC5542">
        <v>14.9895999999999</v>
      </c>
      <c r="AD5542">
        <v>-1.1047439692808501</v>
      </c>
      <c r="AE5542">
        <v>1.2513999999999901</v>
      </c>
      <c r="AF5542">
        <v>-1.3320452360433299</v>
      </c>
      <c r="AG5542">
        <v>-1.1047439692808501</v>
      </c>
      <c r="AH5542">
        <v>14.9016259592527</v>
      </c>
      <c r="AI5542">
        <v>94.223134653024601</v>
      </c>
      <c r="AJ5542">
        <v>95.108050699514095</v>
      </c>
      <c r="AK5542">
        <v>15.0017752275524</v>
      </c>
    </row>
    <row r="5543" spans="1:37" x14ac:dyDescent="0.2">
      <c r="A5543" t="str">
        <f>"20200111153800978"</f>
        <v>20200111153800978</v>
      </c>
      <c r="B5543" t="str">
        <f>"1578728280968795"</f>
        <v>1578728280968795</v>
      </c>
      <c r="C5543" t="s">
        <v>37</v>
      </c>
      <c r="D5543">
        <v>5.2991409999999997</v>
      </c>
      <c r="E5543">
        <v>0.51421830000000002</v>
      </c>
      <c r="F5543" t="s">
        <v>59</v>
      </c>
      <c r="G5543">
        <v>-251.00729999999999</v>
      </c>
      <c r="H5543" s="1">
        <v>1.2482970000000001E-7</v>
      </c>
      <c r="I5543">
        <v>-61.763750000000002</v>
      </c>
      <c r="J5543">
        <v>-266.0659</v>
      </c>
      <c r="K5543">
        <v>1.1047309999999999</v>
      </c>
      <c r="L5543">
        <v>-63.0342699999999</v>
      </c>
      <c r="M5543">
        <v>0.99998349999999903</v>
      </c>
      <c r="N5543">
        <v>0</v>
      </c>
      <c r="O5543">
        <v>-5.0512939999999996E-3</v>
      </c>
      <c r="P5543">
        <v>0.99188519999999902</v>
      </c>
      <c r="Q5543">
        <v>3.4157319999999998E-2</v>
      </c>
      <c r="R5543">
        <v>0.1224625</v>
      </c>
      <c r="S5543">
        <v>3.0009459999999999</v>
      </c>
      <c r="T5543">
        <v>-0.21812280000000001</v>
      </c>
      <c r="U5543">
        <v>0.25082399999999999</v>
      </c>
      <c r="V5543">
        <v>-0.12760099999999999</v>
      </c>
      <c r="W5543">
        <v>3.6436900000000001E-2</v>
      </c>
      <c r="X5543">
        <v>0.99115599999999904</v>
      </c>
      <c r="Y5543">
        <v>-8.8079889999999994E-2</v>
      </c>
      <c r="Z5543">
        <v>3.5573229999999998E-3</v>
      </c>
      <c r="AA5543">
        <v>0.99610699999999996</v>
      </c>
      <c r="AB5543">
        <v>31</v>
      </c>
      <c r="AC5543">
        <v>15.0586</v>
      </c>
      <c r="AD5543">
        <v>-1.1047308751703</v>
      </c>
      <c r="AE5543">
        <v>1.2705199999999901</v>
      </c>
      <c r="AF5543">
        <v>-1.33941172886918</v>
      </c>
      <c r="AG5543">
        <v>-1.1047308751703</v>
      </c>
      <c r="AH5543">
        <v>14.9719804282109</v>
      </c>
      <c r="AI5543">
        <v>94.203284733768498</v>
      </c>
      <c r="AJ5543">
        <v>95.112141660826794</v>
      </c>
      <c r="AK5543">
        <v>15.072314090036601</v>
      </c>
    </row>
    <row r="5544" spans="1:37" x14ac:dyDescent="0.2">
      <c r="A5544" t="str">
        <f>"20200111153800988"</f>
        <v>20200111153800988</v>
      </c>
      <c r="B5544" t="str">
        <f>"1578728280978557"</f>
        <v>1578728280978557</v>
      </c>
      <c r="C5544" t="s">
        <v>37</v>
      </c>
      <c r="D5544">
        <v>5.3221360000000004</v>
      </c>
      <c r="E5544">
        <v>0.51430209999999998</v>
      </c>
      <c r="F5544" t="s">
        <v>59</v>
      </c>
      <c r="G5544">
        <v>-250.74160000000001</v>
      </c>
      <c r="H5544" s="1">
        <v>2.4445720000000001E-7</v>
      </c>
      <c r="I5544">
        <v>-61.73836</v>
      </c>
      <c r="J5544">
        <v>-265.9348</v>
      </c>
      <c r="K5544">
        <v>1.1047169999999999</v>
      </c>
      <c r="L5544">
        <v>-63.0342699999999</v>
      </c>
      <c r="M5544">
        <v>0.99998699999999996</v>
      </c>
      <c r="N5544">
        <v>0</v>
      </c>
      <c r="O5544">
        <v>-4.313028E-3</v>
      </c>
      <c r="P5544">
        <v>0.99179130000000004</v>
      </c>
      <c r="Q5544">
        <v>3.3244969999999999E-2</v>
      </c>
      <c r="R5544">
        <v>0.1234706</v>
      </c>
      <c r="S5544">
        <v>3.0006710000000001</v>
      </c>
      <c r="T5544">
        <v>-0.21631839999999899</v>
      </c>
      <c r="U5544">
        <v>0.25375370000000003</v>
      </c>
      <c r="V5544">
        <v>-0.12787280000000001</v>
      </c>
      <c r="W5544">
        <v>3.5516249999999999E-2</v>
      </c>
      <c r="X5544">
        <v>0.99115439999999999</v>
      </c>
      <c r="Y5544">
        <v>-8.8323059999999995E-2</v>
      </c>
      <c r="Z5544">
        <v>3.4838239999999999E-3</v>
      </c>
      <c r="AA5544">
        <v>0.99608580000000002</v>
      </c>
      <c r="AB5544">
        <v>31</v>
      </c>
      <c r="AC5544">
        <v>15.1931999999999</v>
      </c>
      <c r="AD5544">
        <v>-1.1047167555427999</v>
      </c>
      <c r="AE5544">
        <v>1.2959099999999899</v>
      </c>
      <c r="AF5544">
        <v>-1.3543184185311099</v>
      </c>
      <c r="AG5544">
        <v>-1.1047167555427999</v>
      </c>
      <c r="AH5544">
        <v>15.108170486201599</v>
      </c>
      <c r="AI5544">
        <v>94.165409394653096</v>
      </c>
      <c r="AJ5544">
        <v>95.1223859803995</v>
      </c>
      <c r="AK5544">
        <v>15.208924778855399</v>
      </c>
    </row>
    <row r="5545" spans="1:37" x14ac:dyDescent="0.2">
      <c r="A5545" t="str">
        <f>"20200111153800998"</f>
        <v>20200111153800998</v>
      </c>
      <c r="B5545" t="str">
        <f>"1578728280989291"</f>
        <v>1578728280989291</v>
      </c>
      <c r="C5545" t="s">
        <v>37</v>
      </c>
      <c r="D5545">
        <v>5.3492249999999997</v>
      </c>
      <c r="E5545">
        <v>0.51445940000000001</v>
      </c>
      <c r="F5545" t="s">
        <v>59</v>
      </c>
      <c r="G5545">
        <v>-250.71690000000001</v>
      </c>
      <c r="H5545" s="1">
        <v>2.5560380000000001E-7</v>
      </c>
      <c r="I5545">
        <v>-61.735759999999999</v>
      </c>
      <c r="J5545">
        <v>-265.78500000000003</v>
      </c>
      <c r="K5545">
        <v>1.1047</v>
      </c>
      <c r="L5545">
        <v>-63.034239999999997</v>
      </c>
      <c r="M5545">
        <v>0.9999903</v>
      </c>
      <c r="N5545">
        <v>0</v>
      </c>
      <c r="O5545">
        <v>-3.4716450000000002E-3</v>
      </c>
      <c r="P5545">
        <v>0.99171299999999996</v>
      </c>
      <c r="Q5545">
        <v>3.2404080000000002E-2</v>
      </c>
      <c r="R5545">
        <v>0.12432020000000001</v>
      </c>
      <c r="S5545">
        <v>3.000305</v>
      </c>
      <c r="T5545">
        <v>-0.21780340000000001</v>
      </c>
      <c r="U5545">
        <v>0.25601199999999902</v>
      </c>
      <c r="V5545">
        <v>-0.12788459999999999</v>
      </c>
      <c r="W5545">
        <v>3.4667999999999997E-2</v>
      </c>
      <c r="X5545">
        <v>0.99118300000000004</v>
      </c>
      <c r="Y5545">
        <v>-8.8238639999999993E-2</v>
      </c>
      <c r="Z5545">
        <v>3.4440429999999999E-3</v>
      </c>
      <c r="AA5545">
        <v>0.99609340000000002</v>
      </c>
      <c r="AB5545">
        <v>31</v>
      </c>
      <c r="AC5545">
        <v>15.068099999999999</v>
      </c>
      <c r="AD5545">
        <v>-1.1046997443961999</v>
      </c>
      <c r="AE5545">
        <v>1.2984800000000001</v>
      </c>
      <c r="AF5545">
        <v>-1.3436148805580499</v>
      </c>
      <c r="AG5545">
        <v>-1.1046997443961999</v>
      </c>
      <c r="AH5545">
        <v>14.983559618951199</v>
      </c>
      <c r="AI5545">
        <v>94.199851560318507</v>
      </c>
      <c r="AJ5545">
        <v>95.124156602279299</v>
      </c>
      <c r="AK5545">
        <v>15.0841877914321</v>
      </c>
    </row>
    <row r="5546" spans="1:37" x14ac:dyDescent="0.2">
      <c r="A5546" t="str">
        <f>"20200111153801008"</f>
        <v>20200111153801008</v>
      </c>
      <c r="B5546" t="str">
        <f>"1578728280999052"</f>
        <v>1578728280999052</v>
      </c>
      <c r="C5546" t="s">
        <v>37</v>
      </c>
      <c r="D5546">
        <v>5.3002799999999999</v>
      </c>
      <c r="E5546">
        <v>0.51454960000000005</v>
      </c>
      <c r="F5546" t="s">
        <v>59</v>
      </c>
      <c r="G5546">
        <v>-250.6652</v>
      </c>
      <c r="H5546" s="1">
        <v>2.7751850000000002E-7</v>
      </c>
      <c r="I5546">
        <v>-61.73704</v>
      </c>
      <c r="J5546">
        <v>-265.64299999999997</v>
      </c>
      <c r="K5546">
        <v>1.1046769999999999</v>
      </c>
      <c r="L5546">
        <v>-63.034030000000001</v>
      </c>
      <c r="M5546">
        <v>0.99999269999999996</v>
      </c>
      <c r="N5546">
        <v>0</v>
      </c>
      <c r="O5546">
        <v>-2.6999939999999998E-3</v>
      </c>
      <c r="P5546">
        <v>0.99167450000000001</v>
      </c>
      <c r="Q5546">
        <v>3.162616E-2</v>
      </c>
      <c r="R5546">
        <v>0.1248262</v>
      </c>
      <c r="S5546">
        <v>3</v>
      </c>
      <c r="T5546">
        <v>-0.21918979999999899</v>
      </c>
      <c r="U5546">
        <v>0.25738529999999998</v>
      </c>
      <c r="V5546">
        <v>-0.12762200000000001</v>
      </c>
      <c r="W5546">
        <v>3.3886439999999997E-2</v>
      </c>
      <c r="X5546">
        <v>0.99124380000000001</v>
      </c>
      <c r="Y5546">
        <v>-8.7931040000000002E-2</v>
      </c>
      <c r="Z5546">
        <v>3.3987850000000001E-3</v>
      </c>
      <c r="AA5546">
        <v>0.99612080000000003</v>
      </c>
      <c r="AB5546">
        <v>31</v>
      </c>
      <c r="AC5546">
        <v>14.977799999999901</v>
      </c>
      <c r="AD5546">
        <v>-1.1046767224815</v>
      </c>
      <c r="AE5546">
        <v>1.2969900000000001</v>
      </c>
      <c r="AF5546">
        <v>-1.3302431332807001</v>
      </c>
      <c r="AG5546">
        <v>-1.1046767224815</v>
      </c>
      <c r="AH5546">
        <v>14.893828673987301</v>
      </c>
      <c r="AI5546">
        <v>94.225108982991102</v>
      </c>
      <c r="AJ5546">
        <v>95.103833074784305</v>
      </c>
      <c r="AK5546">
        <v>14.993865079589</v>
      </c>
    </row>
    <row r="5547" spans="1:37" x14ac:dyDescent="0.2">
      <c r="A5547" t="str">
        <f>"20200111153801020"</f>
        <v>20200111153801020</v>
      </c>
      <c r="B5547" t="str">
        <f>"1578728281008812"</f>
        <v>1578728281008812</v>
      </c>
      <c r="C5547" t="s">
        <v>37</v>
      </c>
      <c r="D5547">
        <v>5.3237680000000003</v>
      </c>
      <c r="E5547">
        <v>0.51466849999999997</v>
      </c>
      <c r="F5547" t="s">
        <v>59</v>
      </c>
      <c r="G5547">
        <v>-250.62219999999999</v>
      </c>
      <c r="H5547" s="1">
        <v>2.9503099999999999E-7</v>
      </c>
      <c r="I5547">
        <v>-61.741209999999903</v>
      </c>
      <c r="J5547">
        <v>-265.48169999999999</v>
      </c>
      <c r="K5547">
        <v>1.1046530000000001</v>
      </c>
      <c r="L5547">
        <v>-63.033749999999998</v>
      </c>
      <c r="M5547">
        <v>0.99999479999999996</v>
      </c>
      <c r="N5547">
        <v>0</v>
      </c>
      <c r="O5547">
        <v>-1.8280869999999999E-3</v>
      </c>
      <c r="P5547">
        <v>0.99158799999999903</v>
      </c>
      <c r="Q5547">
        <v>3.0543009999999999E-2</v>
      </c>
      <c r="R5547">
        <v>0.1257799</v>
      </c>
      <c r="S5547">
        <v>2.999695</v>
      </c>
      <c r="T5547">
        <v>-0.22060669999999999</v>
      </c>
      <c r="U5547">
        <v>0.25817869999999998</v>
      </c>
      <c r="V5547">
        <v>-0.1277055</v>
      </c>
      <c r="W5547">
        <v>3.2798430000000003E-2</v>
      </c>
      <c r="X5547">
        <v>0.99126959999999997</v>
      </c>
      <c r="Y5547">
        <v>-8.733349E-2</v>
      </c>
      <c r="Z5547">
        <v>3.3351790000000002E-3</v>
      </c>
      <c r="AA5547">
        <v>0.99617359999999899</v>
      </c>
      <c r="AB5547">
        <v>31</v>
      </c>
      <c r="AC5547">
        <v>14.859499999999899</v>
      </c>
      <c r="AD5547">
        <v>-1.104652704969</v>
      </c>
      <c r="AE5547">
        <v>1.29254</v>
      </c>
      <c r="AF5547">
        <v>-1.31250343134541</v>
      </c>
      <c r="AG5547">
        <v>-1.104652704969</v>
      </c>
      <c r="AH5547">
        <v>14.7760668858595</v>
      </c>
      <c r="AI5547">
        <v>94.258749722130702</v>
      </c>
      <c r="AJ5547">
        <v>95.076050186398604</v>
      </c>
      <c r="AK5547">
        <v>14.875317659508401</v>
      </c>
    </row>
    <row r="5548" spans="1:37" x14ac:dyDescent="0.2">
      <c r="A5548" t="str">
        <f>"20200111153801031"</f>
        <v>20200111153801031</v>
      </c>
      <c r="B5548" t="str">
        <f>"1578728281018571"</f>
        <v>1578728281018571</v>
      </c>
      <c r="C5548" t="s">
        <v>37</v>
      </c>
      <c r="D5548">
        <v>5.3199149999999999</v>
      </c>
      <c r="E5548">
        <v>0.51482399999999995</v>
      </c>
      <c r="F5548" t="s">
        <v>59</v>
      </c>
      <c r="G5548">
        <v>-250.63200000000001</v>
      </c>
      <c r="H5548" s="1">
        <v>2.8980599999999902E-7</v>
      </c>
      <c r="I5548">
        <v>-61.745840000000001</v>
      </c>
      <c r="J5548">
        <v>-265.31869999999998</v>
      </c>
      <c r="K5548">
        <v>1.1046290000000001</v>
      </c>
      <c r="L5548">
        <v>-63.033259999999999</v>
      </c>
      <c r="M5548">
        <v>0.99999579999999999</v>
      </c>
      <c r="N5548">
        <v>0</v>
      </c>
      <c r="O5548">
        <v>-9.8335320000000003E-4</v>
      </c>
      <c r="P5548">
        <v>0.99152059999999997</v>
      </c>
      <c r="Q5548">
        <v>3.0191409999999998E-2</v>
      </c>
      <c r="R5548">
        <v>0.12639310000000001</v>
      </c>
      <c r="S5548">
        <v>2.9993289999999999</v>
      </c>
      <c r="T5548">
        <v>-0.22311700000000001</v>
      </c>
      <c r="U5548">
        <v>0.26013179999999902</v>
      </c>
      <c r="V5548">
        <v>-0.1274787</v>
      </c>
      <c r="W5548">
        <v>3.2446719999999998E-2</v>
      </c>
      <c r="X5548">
        <v>0.99131039999999904</v>
      </c>
      <c r="Y5548">
        <v>-8.7143609999999996E-2</v>
      </c>
      <c r="Z5548">
        <v>3.3036659999999998E-3</v>
      </c>
      <c r="AA5548">
        <v>0.99619029999999997</v>
      </c>
      <c r="AB5548">
        <v>31</v>
      </c>
      <c r="AC5548">
        <v>14.686699999999901</v>
      </c>
      <c r="AD5548">
        <v>-1.104628710194</v>
      </c>
      <c r="AE5548">
        <v>1.28741999999999</v>
      </c>
      <c r="AF5548">
        <v>-1.29459400478852</v>
      </c>
      <c r="AG5548">
        <v>-1.104628710194</v>
      </c>
      <c r="AH5548">
        <v>14.6034455412463</v>
      </c>
      <c r="AI5548">
        <v>94.308875590198198</v>
      </c>
      <c r="AJ5548">
        <v>95.066021932810202</v>
      </c>
      <c r="AK5548">
        <v>14.7022719299014</v>
      </c>
    </row>
    <row r="5549" spans="1:37" x14ac:dyDescent="0.2">
      <c r="A5549" t="str">
        <f>"20200111153801041"</f>
        <v>20200111153801041</v>
      </c>
      <c r="B5549" t="str">
        <f>"1578728281039068"</f>
        <v>1578728281039068</v>
      </c>
      <c r="C5549" t="s">
        <v>37</v>
      </c>
      <c r="D5549">
        <v>5.2811430000000001</v>
      </c>
      <c r="E5549">
        <v>0.51505800000000002</v>
      </c>
      <c r="F5549" t="s">
        <v>59</v>
      </c>
      <c r="G5549">
        <v>-250.5247</v>
      </c>
      <c r="H5549" s="1">
        <v>3.3548240000000001E-7</v>
      </c>
      <c r="I5549">
        <v>-61.747430000000001</v>
      </c>
      <c r="J5549">
        <v>-265.17540000000002</v>
      </c>
      <c r="K5549">
        <v>1.104606</v>
      </c>
      <c r="L5549">
        <v>-63.032809999999998</v>
      </c>
      <c r="M5549">
        <v>0.99999640000000001</v>
      </c>
      <c r="N5549">
        <v>0</v>
      </c>
      <c r="O5549">
        <v>-2.4996339999999999E-4</v>
      </c>
      <c r="P5549">
        <v>0.99142219999999903</v>
      </c>
      <c r="Q5549">
        <v>3.0007249999999999E-2</v>
      </c>
      <c r="R5549">
        <v>0.12720699999999999</v>
      </c>
      <c r="S5549">
        <v>2.9992369999999999</v>
      </c>
      <c r="T5549">
        <v>-0.2239448</v>
      </c>
      <c r="U5549">
        <v>0.2606812</v>
      </c>
      <c r="V5549">
        <v>-0.12756310000000001</v>
      </c>
      <c r="W5549">
        <v>3.2261320000000003E-2</v>
      </c>
      <c r="X5549">
        <v>0.99130560000000001</v>
      </c>
      <c r="Y5549">
        <v>-8.6598439999999999E-2</v>
      </c>
      <c r="Z5549">
        <v>3.2410939999999999E-3</v>
      </c>
      <c r="AA5549">
        <v>0.99623809999999902</v>
      </c>
      <c r="AB5549">
        <v>31</v>
      </c>
      <c r="AC5549">
        <v>14.650700000000001</v>
      </c>
      <c r="AD5549">
        <v>-1.1046056645175999</v>
      </c>
      <c r="AE5549">
        <v>1.28537999999999</v>
      </c>
      <c r="AF5549">
        <v>-1.28181122268806</v>
      </c>
      <c r="AG5549">
        <v>-1.1046056645175999</v>
      </c>
      <c r="AH5549">
        <v>14.5681968636608</v>
      </c>
      <c r="AI5549">
        <v>94.319422001707693</v>
      </c>
      <c r="AJ5549">
        <v>95.028331670079197</v>
      </c>
      <c r="AK5549">
        <v>14.666136285439</v>
      </c>
    </row>
    <row r="5550" spans="1:37" x14ac:dyDescent="0.2">
      <c r="A5550" t="str">
        <f>"20200111153801053"</f>
        <v>20200111153801053</v>
      </c>
      <c r="B5550" t="str">
        <f>"1578728281048828"</f>
        <v>1578728281048828</v>
      </c>
      <c r="C5550" t="s">
        <v>37</v>
      </c>
      <c r="D5550">
        <v>5.2704839999999997</v>
      </c>
      <c r="E5550">
        <v>0.51513929999999997</v>
      </c>
      <c r="F5550" t="s">
        <v>59</v>
      </c>
      <c r="G5550">
        <v>-250.35470000000001</v>
      </c>
      <c r="H5550" s="1">
        <v>4.0978239999999998E-7</v>
      </c>
      <c r="I5550">
        <v>-61.741309999999999</v>
      </c>
      <c r="J5550">
        <v>-265.00799999999998</v>
      </c>
      <c r="K5550">
        <v>1.104576</v>
      </c>
      <c r="L5550">
        <v>-63.0321</v>
      </c>
      <c r="M5550">
        <v>0.99999640000000001</v>
      </c>
      <c r="N5550">
        <v>0</v>
      </c>
      <c r="O5550">
        <v>5.7557910000000003E-4</v>
      </c>
      <c r="P5550">
        <v>0.99131179999999997</v>
      </c>
      <c r="Q5550">
        <v>3.030132E-2</v>
      </c>
      <c r="R5550">
        <v>0.1279951</v>
      </c>
      <c r="S5550">
        <v>2.9991759999999998</v>
      </c>
      <c r="T5550">
        <v>-0.22353200000000001</v>
      </c>
      <c r="U5550">
        <v>0.26135249999999999</v>
      </c>
      <c r="V5550">
        <v>-0.1275317</v>
      </c>
      <c r="W5550">
        <v>3.2557280000000001E-2</v>
      </c>
      <c r="X5550">
        <v>0.99129999999999996</v>
      </c>
      <c r="Y5550">
        <v>-8.6003869999999996E-2</v>
      </c>
      <c r="Z5550">
        <v>3.1517579999999902E-3</v>
      </c>
      <c r="AA5550">
        <v>0.9962898</v>
      </c>
      <c r="AB5550">
        <v>32</v>
      </c>
      <c r="AC5550">
        <v>14.6532999999999</v>
      </c>
      <c r="AD5550">
        <v>-1.1045755902176</v>
      </c>
      <c r="AE5550">
        <v>1.2907900000000001</v>
      </c>
      <c r="AF5550">
        <v>-1.2751656115521099</v>
      </c>
      <c r="AG5550">
        <v>-1.1045755902176</v>
      </c>
      <c r="AH5550">
        <v>14.5718770992489</v>
      </c>
      <c r="AI5550">
        <v>94.318397264698106</v>
      </c>
      <c r="AJ5550">
        <v>95.001137683327499</v>
      </c>
      <c r="AK5550">
        <v>14.669210502511801</v>
      </c>
    </row>
    <row r="5551" spans="1:37" x14ac:dyDescent="0.2">
      <c r="A5551" t="str">
        <f>"20200111153801066"</f>
        <v>20200111153801066</v>
      </c>
      <c r="B5551" t="str">
        <f>"1578728281058587"</f>
        <v>1578728281058587</v>
      </c>
      <c r="C5551" t="s">
        <v>37</v>
      </c>
      <c r="D5551">
        <v>5.2945679999999999</v>
      </c>
      <c r="E5551">
        <v>0.51529659999999999</v>
      </c>
      <c r="F5551" t="s">
        <v>59</v>
      </c>
      <c r="G5551">
        <v>-250.1061</v>
      </c>
      <c r="H5551" s="1">
        <v>5.2007269999999997E-7</v>
      </c>
      <c r="I5551">
        <v>-61.72486</v>
      </c>
      <c r="J5551">
        <v>-264.83940000000001</v>
      </c>
      <c r="K5551">
        <v>1.104544</v>
      </c>
      <c r="L5551">
        <v>-63.031280000000002</v>
      </c>
      <c r="M5551">
        <v>0.99999539999999998</v>
      </c>
      <c r="N5551">
        <v>0</v>
      </c>
      <c r="O5551">
        <v>1.37906799999999E-3</v>
      </c>
      <c r="P5551">
        <v>0.99119829999999998</v>
      </c>
      <c r="Q5551">
        <v>3.087428E-2</v>
      </c>
      <c r="R5551">
        <v>0.12873479999999901</v>
      </c>
      <c r="S5551">
        <v>2.9991150000000002</v>
      </c>
      <c r="T5551">
        <v>-0.22230459999999999</v>
      </c>
      <c r="U5551">
        <v>0.26309199999999999</v>
      </c>
      <c r="V5551">
        <v>-0.12747439999999999</v>
      </c>
      <c r="W5551">
        <v>3.3133460000000003E-2</v>
      </c>
      <c r="X5551">
        <v>0.99128830000000001</v>
      </c>
      <c r="Y5551">
        <v>-8.5783979999999996E-2</v>
      </c>
      <c r="Z5551">
        <v>3.0670009999999902E-3</v>
      </c>
      <c r="AA5551">
        <v>0.996309</v>
      </c>
      <c r="AB5551">
        <v>32</v>
      </c>
      <c r="AC5551">
        <v>14.7333</v>
      </c>
      <c r="AD5551">
        <v>-1.1045434799273</v>
      </c>
      <c r="AE5551">
        <v>1.3064199999999999</v>
      </c>
      <c r="AF5551">
        <v>-1.27896825285991</v>
      </c>
      <c r="AG5551">
        <v>-1.1045434799273</v>
      </c>
      <c r="AH5551">
        <v>14.6533726285227</v>
      </c>
      <c r="AI5551">
        <v>94.294430286784007</v>
      </c>
      <c r="AJ5551">
        <v>94.988220005412103</v>
      </c>
      <c r="AK5551">
        <v>14.750495092749</v>
      </c>
    </row>
    <row r="5552" spans="1:37" x14ac:dyDescent="0.2">
      <c r="A5552" t="str">
        <f>"20200111153801076"</f>
        <v>20200111153801076</v>
      </c>
      <c r="B5552" t="str">
        <f>"1578728281069325"</f>
        <v>1578728281069325</v>
      </c>
      <c r="C5552" t="s">
        <v>37</v>
      </c>
      <c r="D5552">
        <v>5.2742279999999999</v>
      </c>
      <c r="E5552">
        <v>0.51524879999999995</v>
      </c>
      <c r="F5552" t="s">
        <v>60</v>
      </c>
      <c r="G5552">
        <v>-249.7962</v>
      </c>
      <c r="H5552" s="1">
        <v>-3.4423820000000002E-6</v>
      </c>
      <c r="I5552">
        <v>-61.706400000000002</v>
      </c>
      <c r="J5552">
        <v>-264.67739999999998</v>
      </c>
      <c r="K5552">
        <v>1.1045129999999901</v>
      </c>
      <c r="L5552">
        <v>-63.030430000000003</v>
      </c>
      <c r="M5552">
        <v>0.99999419999999895</v>
      </c>
      <c r="N5552">
        <v>0</v>
      </c>
      <c r="O5552">
        <v>2.128137E-3</v>
      </c>
      <c r="P5552">
        <v>0.99106620000000001</v>
      </c>
      <c r="Q5552">
        <v>3.1624050000000001E-2</v>
      </c>
      <c r="R5552">
        <v>0.1295693</v>
      </c>
      <c r="S5552">
        <v>2.9991759999999998</v>
      </c>
      <c r="T5552">
        <v>-0.22021389999999999</v>
      </c>
      <c r="U5552">
        <v>0.26412959999999902</v>
      </c>
      <c r="V5552">
        <v>-0.12756670000000001</v>
      </c>
      <c r="W5552">
        <v>3.3886920000000001E-2</v>
      </c>
      <c r="X5552">
        <v>0.99125090000000005</v>
      </c>
      <c r="Y5552">
        <v>-8.5385320000000001E-2</v>
      </c>
      <c r="Z5552">
        <v>2.9687189999999999E-3</v>
      </c>
      <c r="AA5552">
        <v>0.9963436</v>
      </c>
      <c r="AB5552">
        <v>32</v>
      </c>
      <c r="AC5552">
        <v>14.8811999999999</v>
      </c>
      <c r="AD5552">
        <v>-1.10451644238199</v>
      </c>
      <c r="AE5552">
        <v>1.32403</v>
      </c>
      <c r="AF5552">
        <v>-1.2853324446246901</v>
      </c>
      <c r="AG5552">
        <v>-1.10451644238199</v>
      </c>
      <c r="AH5552">
        <v>14.803075191464499</v>
      </c>
      <c r="AI5552">
        <v>94.251223012563202</v>
      </c>
      <c r="AJ5552">
        <v>94.962474536361</v>
      </c>
      <c r="AK5552">
        <v>14.8997674877445</v>
      </c>
    </row>
    <row r="5553" spans="1:37" x14ac:dyDescent="0.2">
      <c r="A5553" t="str">
        <f>"20200111153801087"</f>
        <v>20200111153801087</v>
      </c>
      <c r="B5553" t="str">
        <f>"1578728281079084"</f>
        <v>1578728281079084</v>
      </c>
      <c r="C5553" t="s">
        <v>37</v>
      </c>
      <c r="D5553">
        <v>5.2612160000000001</v>
      </c>
      <c r="E5553">
        <v>0.51531199999999999</v>
      </c>
      <c r="F5553" t="s">
        <v>60</v>
      </c>
      <c r="G5553">
        <v>-249.51179999999999</v>
      </c>
      <c r="H5553" s="1">
        <v>-3.340976E-6</v>
      </c>
      <c r="I5553">
        <v>-61.680239999999998</v>
      </c>
      <c r="J5553">
        <v>-264.52719999999999</v>
      </c>
      <c r="K5553">
        <v>1.104481</v>
      </c>
      <c r="L5553">
        <v>-63.029509999999902</v>
      </c>
      <c r="M5553">
        <v>0.99999259999999901</v>
      </c>
      <c r="N5553">
        <v>0</v>
      </c>
      <c r="O5553">
        <v>2.7784400000000001E-3</v>
      </c>
      <c r="P5553">
        <v>0.99092849999999999</v>
      </c>
      <c r="Q5553">
        <v>3.2279559999999999E-2</v>
      </c>
      <c r="R5553">
        <v>0.13045709999999999</v>
      </c>
      <c r="S5553">
        <v>2.9991150000000002</v>
      </c>
      <c r="T5553">
        <v>-0.21842739999999999</v>
      </c>
      <c r="U5553">
        <v>0.26699829999999902</v>
      </c>
      <c r="V5553">
        <v>-0.12780910000000001</v>
      </c>
      <c r="W5553">
        <v>3.4548379999999997E-2</v>
      </c>
      <c r="X5553">
        <v>0.99119690000000005</v>
      </c>
      <c r="Y5553">
        <v>-8.5689260000000003E-2</v>
      </c>
      <c r="Z5553">
        <v>2.908463E-3</v>
      </c>
      <c r="AA5553">
        <v>0.99631769999999997</v>
      </c>
      <c r="AB5553">
        <v>32</v>
      </c>
      <c r="AC5553">
        <v>15.0154</v>
      </c>
      <c r="AD5553">
        <v>-1.1044843409759999</v>
      </c>
      <c r="AE5553">
        <v>1.34926999999999</v>
      </c>
      <c r="AF5553">
        <v>-1.3005647871717501</v>
      </c>
      <c r="AG5553">
        <v>-1.1044843409759999</v>
      </c>
      <c r="AH5553">
        <v>14.938909910294401</v>
      </c>
      <c r="AI5553">
        <v>94.212502450529001</v>
      </c>
      <c r="AJ5553">
        <v>94.975561443879698</v>
      </c>
      <c r="AK5553">
        <v>15.0360361709123</v>
      </c>
    </row>
    <row r="5554" spans="1:37" x14ac:dyDescent="0.2">
      <c r="A5554" t="str">
        <f>"20200111153801097"</f>
        <v>20200111153801097</v>
      </c>
      <c r="B5554" t="str">
        <f>"1578728281088843"</f>
        <v>1578728281088843</v>
      </c>
      <c r="C5554" t="s">
        <v>37</v>
      </c>
      <c r="D5554">
        <v>5.2747419999999998</v>
      </c>
      <c r="E5554">
        <v>0.51536939999999998</v>
      </c>
      <c r="F5554" t="s">
        <v>60</v>
      </c>
      <c r="G5554">
        <v>-249.1583</v>
      </c>
      <c r="H5554" s="1">
        <v>-3.2153789999999998E-6</v>
      </c>
      <c r="I5554">
        <v>-61.650419999999997</v>
      </c>
      <c r="J5554">
        <v>-264.3716</v>
      </c>
      <c r="K5554">
        <v>1.1044449999999999</v>
      </c>
      <c r="L5554">
        <v>-63.028559999999999</v>
      </c>
      <c r="M5554">
        <v>0.9999905</v>
      </c>
      <c r="N5554">
        <v>0</v>
      </c>
      <c r="O5554">
        <v>3.4395879999999999E-3</v>
      </c>
      <c r="P5554">
        <v>0.99079309999999998</v>
      </c>
      <c r="Q5554">
        <v>3.3073810000000002E-2</v>
      </c>
      <c r="R5554">
        <v>0.1312827</v>
      </c>
      <c r="S5554">
        <v>2.9990839999999999</v>
      </c>
      <c r="T5554">
        <v>-0.21552849999999901</v>
      </c>
      <c r="U5554">
        <v>0.26910400000000001</v>
      </c>
      <c r="V5554">
        <v>-0.1279785</v>
      </c>
      <c r="W5554">
        <v>3.5349940000000003E-2</v>
      </c>
      <c r="X5554">
        <v>0.99114669999999905</v>
      </c>
      <c r="Y5554">
        <v>-8.573277E-2</v>
      </c>
      <c r="Z5554">
        <v>2.8241059999999998E-3</v>
      </c>
      <c r="AA5554">
        <v>0.99631419999999904</v>
      </c>
      <c r="AB5554">
        <v>32</v>
      </c>
      <c r="AC5554">
        <v>15.2133</v>
      </c>
      <c r="AD5554">
        <v>-1.1044482153790001</v>
      </c>
      <c r="AE5554">
        <v>1.3781399999999999</v>
      </c>
      <c r="AF5554">
        <v>-1.3189095687683701</v>
      </c>
      <c r="AG5554">
        <v>-1.1044482153790001</v>
      </c>
      <c r="AH5554">
        <v>15.138812031873201</v>
      </c>
      <c r="AI5554">
        <v>94.156916537036494</v>
      </c>
      <c r="AJ5554">
        <v>94.979098010386295</v>
      </c>
      <c r="AK5554">
        <v>15.2362383168363</v>
      </c>
    </row>
    <row r="5555" spans="1:37" x14ac:dyDescent="0.2">
      <c r="A5555" t="str">
        <f>"20200111153801109"</f>
        <v>20200111153801109</v>
      </c>
      <c r="B5555" t="str">
        <f>"1578728281098606"</f>
        <v>1578728281098606</v>
      </c>
      <c r="C5555" t="s">
        <v>37</v>
      </c>
      <c r="D5555">
        <v>5.2543369999999996</v>
      </c>
      <c r="E5555">
        <v>0.51545029999999903</v>
      </c>
      <c r="F5555" t="s">
        <v>60</v>
      </c>
      <c r="G5555">
        <v>-248.81639999999999</v>
      </c>
      <c r="H5555" s="1">
        <v>-3.0939729999999998E-6</v>
      </c>
      <c r="I5555">
        <v>-61.621969999999997</v>
      </c>
      <c r="J5555">
        <v>-264.2199</v>
      </c>
      <c r="K5555">
        <v>1.104403</v>
      </c>
      <c r="L5555">
        <v>-63.027469999999902</v>
      </c>
      <c r="M5555">
        <v>0.99998849999999995</v>
      </c>
      <c r="N5555">
        <v>0</v>
      </c>
      <c r="O5555">
        <v>4.025692E-3</v>
      </c>
      <c r="P5555">
        <v>0.99070630000000004</v>
      </c>
      <c r="Q5555">
        <v>3.3823779999999998E-2</v>
      </c>
      <c r="R5555">
        <v>0.131747</v>
      </c>
      <c r="S5555">
        <v>2.9990540000000001</v>
      </c>
      <c r="T5555">
        <v>-0.21293770000000001</v>
      </c>
      <c r="U5555">
        <v>0.27117920000000001</v>
      </c>
      <c r="V5555">
        <v>-0.12786059999999999</v>
      </c>
      <c r="W5555">
        <v>3.611048E-2</v>
      </c>
      <c r="X5555">
        <v>0.99113449999999903</v>
      </c>
      <c r="Y5555">
        <v>-8.5839840000000001E-2</v>
      </c>
      <c r="Z5555">
        <v>2.7524999999999902E-3</v>
      </c>
      <c r="AA5555">
        <v>0.9963052</v>
      </c>
      <c r="AB5555">
        <v>32</v>
      </c>
      <c r="AC5555">
        <v>15.403499999999999</v>
      </c>
      <c r="AD5555">
        <v>-1.104406093973</v>
      </c>
      <c r="AE5555">
        <v>1.40549999999999</v>
      </c>
      <c r="AF5555">
        <v>-1.3366640565963199</v>
      </c>
      <c r="AG5555">
        <v>-1.104406093973</v>
      </c>
      <c r="AH5555">
        <v>15.330873266602399</v>
      </c>
      <c r="AI5555">
        <v>94.104839301003906</v>
      </c>
      <c r="AJ5555">
        <v>94.982888371644606</v>
      </c>
      <c r="AK5555">
        <v>15.4286116918285</v>
      </c>
    </row>
    <row r="5556" spans="1:37" x14ac:dyDescent="0.2">
      <c r="A5556" t="str">
        <f>"20200111153801121"</f>
        <v>20200111153801121</v>
      </c>
      <c r="B5556" t="str">
        <f>"1578728281109339"</f>
        <v>1578728281109339</v>
      </c>
      <c r="C5556" t="s">
        <v>37</v>
      </c>
      <c r="D5556">
        <v>5.2385599999999997</v>
      </c>
      <c r="E5556">
        <v>0.51543430000000001</v>
      </c>
      <c r="F5556" t="s">
        <v>60</v>
      </c>
      <c r="G5556">
        <v>-248.447</v>
      </c>
      <c r="H5556" s="1">
        <v>-2.933808E-6</v>
      </c>
      <c r="I5556">
        <v>-61.597389999999997</v>
      </c>
      <c r="J5556">
        <v>-264.04599999999999</v>
      </c>
      <c r="K5556">
        <v>1.1043529999999999</v>
      </c>
      <c r="L5556">
        <v>-63.026249999999997</v>
      </c>
      <c r="M5556">
        <v>0.99998560000000003</v>
      </c>
      <c r="N5556">
        <v>0</v>
      </c>
      <c r="O5556">
        <v>4.6797389999999996E-3</v>
      </c>
      <c r="P5556">
        <v>0.99059529999999996</v>
      </c>
      <c r="Q5556">
        <v>3.4417730000000001E-2</v>
      </c>
      <c r="R5556">
        <v>0.1324256</v>
      </c>
      <c r="S5556">
        <v>2.9991460000000001</v>
      </c>
      <c r="T5556">
        <v>-0.2099973</v>
      </c>
      <c r="U5556">
        <v>0.27191159999999998</v>
      </c>
      <c r="V5556">
        <v>-0.12788849999999999</v>
      </c>
      <c r="W5556">
        <v>3.6716619999999998E-2</v>
      </c>
      <c r="X5556">
        <v>0.99110869999999995</v>
      </c>
      <c r="Y5556">
        <v>-8.5434979999999994E-2</v>
      </c>
      <c r="Z5556">
        <v>2.6547039999999999E-3</v>
      </c>
      <c r="AA5556">
        <v>0.99634020000000001</v>
      </c>
      <c r="AB5556">
        <v>32</v>
      </c>
      <c r="AC5556">
        <v>15.598999999999901</v>
      </c>
      <c r="AD5556">
        <v>-1.104355933808</v>
      </c>
      <c r="AE5556">
        <v>1.42885999999999</v>
      </c>
      <c r="AF5556">
        <v>-1.3491390224273301</v>
      </c>
      <c r="AG5556">
        <v>-1.104355933808</v>
      </c>
      <c r="AH5556">
        <v>15.528333068377499</v>
      </c>
      <c r="AI5556">
        <v>94.052739884441607</v>
      </c>
      <c r="AJ5556">
        <v>94.965526359555099</v>
      </c>
      <c r="AK5556">
        <v>15.625904966204001</v>
      </c>
    </row>
    <row r="5557" spans="1:37" x14ac:dyDescent="0.2">
      <c r="A5557" t="str">
        <f>"20200111153801132"</f>
        <v>20200111153801132</v>
      </c>
      <c r="B5557" t="str">
        <f>"1578728281128859"</f>
        <v>1578728281128859</v>
      </c>
      <c r="C5557" t="s">
        <v>37</v>
      </c>
      <c r="D5557">
        <v>5.2639189999999996</v>
      </c>
      <c r="E5557">
        <v>0.51560589999999995</v>
      </c>
      <c r="F5557" t="s">
        <v>60</v>
      </c>
      <c r="G5557">
        <v>-248.1191</v>
      </c>
      <c r="H5557" s="1">
        <v>-2.7861470000000001E-6</v>
      </c>
      <c r="I5557">
        <v>-61.570990000000002</v>
      </c>
      <c r="J5557">
        <v>-263.87979999999999</v>
      </c>
      <c r="K5557">
        <v>1.1042940000000001</v>
      </c>
      <c r="L5557">
        <v>-63.024929999999998</v>
      </c>
      <c r="M5557">
        <v>0.99998279999999995</v>
      </c>
      <c r="N5557">
        <v>0</v>
      </c>
      <c r="O5557">
        <v>5.2380529999999899E-3</v>
      </c>
      <c r="P5557">
        <v>0.99049880000000001</v>
      </c>
      <c r="Q5557">
        <v>3.4946119999999997E-2</v>
      </c>
      <c r="R5557">
        <v>0.133008399999999</v>
      </c>
      <c r="S5557">
        <v>2.9990839999999999</v>
      </c>
      <c r="T5557">
        <v>-0.20795369999999999</v>
      </c>
      <c r="U5557">
        <v>0.27401729999999902</v>
      </c>
      <c r="V5557">
        <v>-0.1279148</v>
      </c>
      <c r="W5557">
        <v>3.7260309999999998E-2</v>
      </c>
      <c r="X5557">
        <v>0.99108499999999999</v>
      </c>
      <c r="Y5557">
        <v>-8.5579130000000003E-2</v>
      </c>
      <c r="Z5557">
        <v>2.5953E-3</v>
      </c>
      <c r="AA5557">
        <v>0.99632799999999999</v>
      </c>
      <c r="AB5557">
        <v>32</v>
      </c>
      <c r="AC5557">
        <v>15.7606999999999</v>
      </c>
      <c r="AD5557">
        <v>-1.1042967861470001</v>
      </c>
      <c r="AE5557">
        <v>1.45394</v>
      </c>
      <c r="AF5557">
        <v>-1.3647210792981499</v>
      </c>
      <c r="AG5557">
        <v>-1.1042967861470001</v>
      </c>
      <c r="AH5557">
        <v>15.691714165633099</v>
      </c>
      <c r="AI5557">
        <v>94.010436858969797</v>
      </c>
      <c r="AJ5557">
        <v>94.970553196986899</v>
      </c>
      <c r="AK5557">
        <v>15.7896114097879</v>
      </c>
    </row>
    <row r="5558" spans="1:37" x14ac:dyDescent="0.2">
      <c r="A5558" t="str">
        <f>"20200111153801143"</f>
        <v>20200111153801143</v>
      </c>
      <c r="B5558" t="str">
        <f>"1578728281138619"</f>
        <v>1578728281138619</v>
      </c>
      <c r="C5558" t="s">
        <v>37</v>
      </c>
      <c r="D5558">
        <v>5.2298390000000001</v>
      </c>
      <c r="E5558">
        <v>0.5156771</v>
      </c>
      <c r="F5558" t="s">
        <v>60</v>
      </c>
      <c r="G5558">
        <v>-247.7894</v>
      </c>
      <c r="H5558" s="1">
        <v>-2.6398539999999999E-6</v>
      </c>
      <c r="I5558">
        <v>-61.552810000000001</v>
      </c>
      <c r="J5558">
        <v>-263.72919999999999</v>
      </c>
      <c r="K5558">
        <v>1.104241</v>
      </c>
      <c r="L5558">
        <v>-63.023739999999997</v>
      </c>
      <c r="M5558">
        <v>0.99998009999999904</v>
      </c>
      <c r="N5558">
        <v>0</v>
      </c>
      <c r="O5558">
        <v>5.7210789999999996E-3</v>
      </c>
      <c r="P5558">
        <v>0.99043239999999999</v>
      </c>
      <c r="Q5558">
        <v>3.5308689999999997E-2</v>
      </c>
      <c r="R5558">
        <v>0.13340529999999901</v>
      </c>
      <c r="S5558">
        <v>2.9991460000000001</v>
      </c>
      <c r="T5558">
        <v>-0.20583419999999999</v>
      </c>
      <c r="U5558">
        <v>0.2743835</v>
      </c>
      <c r="V5558">
        <v>-0.12782979999999999</v>
      </c>
      <c r="W5558">
        <v>3.7637230000000001E-2</v>
      </c>
      <c r="X5558">
        <v>0.99108169999999995</v>
      </c>
      <c r="Y5558">
        <v>-8.5222530000000005E-2</v>
      </c>
      <c r="Z5558">
        <v>2.523609E-3</v>
      </c>
      <c r="AA5558">
        <v>0.99635879999999999</v>
      </c>
      <c r="AB5558">
        <v>32</v>
      </c>
      <c r="AC5558">
        <v>15.9397999999999</v>
      </c>
      <c r="AD5558">
        <v>-1.1042436398540001</v>
      </c>
      <c r="AE5558">
        <v>1.4709300000000001</v>
      </c>
      <c r="AF5558">
        <v>-1.3731783100800701</v>
      </c>
      <c r="AG5558">
        <v>-1.1042436398540001</v>
      </c>
      <c r="AH5558">
        <v>15.872423568924599</v>
      </c>
      <c r="AI5558">
        <v>93.964889433921002</v>
      </c>
      <c r="AJ5558">
        <v>94.944544811682903</v>
      </c>
      <c r="AK5558">
        <v>15.9699343342039</v>
      </c>
    </row>
    <row r="5559" spans="1:37" x14ac:dyDescent="0.2">
      <c r="A5559" t="str">
        <f>"20200111153801153"</f>
        <v>20200111153801153</v>
      </c>
      <c r="B5559" t="str">
        <f>"1578728281149355"</f>
        <v>1578728281149355</v>
      </c>
      <c r="C5559" t="s">
        <v>37</v>
      </c>
      <c r="D5559">
        <v>5.2097470000000001</v>
      </c>
      <c r="E5559">
        <v>0.51573970000000002</v>
      </c>
      <c r="F5559" t="s">
        <v>60</v>
      </c>
      <c r="G5559">
        <v>-247.56270000000001</v>
      </c>
      <c r="H5559" s="1">
        <v>-2.5394330000000001E-6</v>
      </c>
      <c r="I5559">
        <v>-61.540889999999997</v>
      </c>
      <c r="J5559">
        <v>-263.56889999999999</v>
      </c>
      <c r="K5559">
        <v>1.1041829999999999</v>
      </c>
      <c r="L5559">
        <v>-63.022399999999998</v>
      </c>
      <c r="M5559">
        <v>0.99997729999999996</v>
      </c>
      <c r="N5559">
        <v>0</v>
      </c>
      <c r="O5559">
        <v>6.1885380000000004E-3</v>
      </c>
      <c r="P5559">
        <v>0.99036880000000005</v>
      </c>
      <c r="Q5559">
        <v>3.533087E-2</v>
      </c>
      <c r="R5559">
        <v>0.1338713</v>
      </c>
      <c r="S5559">
        <v>2.9992070000000002</v>
      </c>
      <c r="T5559">
        <v>-0.20485900000000001</v>
      </c>
      <c r="U5559">
        <v>0.27508539999999998</v>
      </c>
      <c r="V5559">
        <v>-0.1278272</v>
      </c>
      <c r="W5559">
        <v>3.7675350000000003E-2</v>
      </c>
      <c r="X5559">
        <v>0.99108059999999998</v>
      </c>
      <c r="Y5559">
        <v>-8.4989529999999994E-2</v>
      </c>
      <c r="Z5559">
        <v>2.4718489999999999E-3</v>
      </c>
      <c r="AA5559">
        <v>0.99637880000000001</v>
      </c>
      <c r="AB5559">
        <v>32</v>
      </c>
      <c r="AC5559">
        <v>16.0061999999999</v>
      </c>
      <c r="AD5559">
        <v>-1.104185539433</v>
      </c>
      <c r="AE5559">
        <v>1.4815099999999899</v>
      </c>
      <c r="AF5559">
        <v>-1.3759339736424501</v>
      </c>
      <c r="AG5559">
        <v>-1.104185539433</v>
      </c>
      <c r="AH5559">
        <v>15.939849916837</v>
      </c>
      <c r="AI5559">
        <v>93.948029010409201</v>
      </c>
      <c r="AJ5559">
        <v>94.933564298413003</v>
      </c>
      <c r="AK5559">
        <v>16.0371829002666</v>
      </c>
    </row>
    <row r="5560" spans="1:37" x14ac:dyDescent="0.2">
      <c r="A5560" t="str">
        <f>"20200111153801165"</f>
        <v>20200111153801165</v>
      </c>
      <c r="B5560" t="str">
        <f>"1578728281159118"</f>
        <v>1578728281159118</v>
      </c>
      <c r="C5560" t="s">
        <v>37</v>
      </c>
      <c r="D5560">
        <v>5.2146140000000001</v>
      </c>
      <c r="E5560">
        <v>0.51579759999999997</v>
      </c>
      <c r="F5560" t="s">
        <v>60</v>
      </c>
      <c r="G5560">
        <v>-247.36580000000001</v>
      </c>
      <c r="H5560" s="1">
        <v>-2.4525729999999999E-6</v>
      </c>
      <c r="I5560">
        <v>-61.5319</v>
      </c>
      <c r="J5560">
        <v>-263.39839999999998</v>
      </c>
      <c r="K5560">
        <v>1.1041239999999899</v>
      </c>
      <c r="L5560">
        <v>-63.020940000000003</v>
      </c>
      <c r="M5560">
        <v>0.99997440000000004</v>
      </c>
      <c r="N5560">
        <v>0</v>
      </c>
      <c r="O5560">
        <v>6.643408E-3</v>
      </c>
      <c r="P5560">
        <v>0.99034049999999996</v>
      </c>
      <c r="Q5560">
        <v>3.5507370000000003E-2</v>
      </c>
      <c r="R5560">
        <v>0.1340335</v>
      </c>
      <c r="S5560">
        <v>2.9991759999999998</v>
      </c>
      <c r="T5560">
        <v>-0.2043836</v>
      </c>
      <c r="U5560">
        <v>0.27587889999999998</v>
      </c>
      <c r="V5560">
        <v>-0.12753329999999999</v>
      </c>
      <c r="W5560">
        <v>3.7870239999999999E-2</v>
      </c>
      <c r="X5560">
        <v>0.99111099999999996</v>
      </c>
      <c r="Y5560">
        <v>-8.4800940000000005E-2</v>
      </c>
      <c r="Z5560">
        <v>2.4288249999999999E-3</v>
      </c>
      <c r="AA5560">
        <v>0.99639489999999997</v>
      </c>
      <c r="AB5560">
        <v>32</v>
      </c>
      <c r="AC5560">
        <v>16.032599999999899</v>
      </c>
      <c r="AD5560">
        <v>-1.1041264525729999</v>
      </c>
      <c r="AE5560">
        <v>1.4890399999999999</v>
      </c>
      <c r="AF5560">
        <v>-1.3760253368219899</v>
      </c>
      <c r="AG5560">
        <v>-1.1041264525729999</v>
      </c>
      <c r="AH5560">
        <v>15.967058487632899</v>
      </c>
      <c r="AI5560">
        <v>93.941159924036995</v>
      </c>
      <c r="AJ5560">
        <v>94.925524104492297</v>
      </c>
      <c r="AK5560">
        <v>16.064230379894902</v>
      </c>
    </row>
    <row r="5561" spans="1:37" x14ac:dyDescent="0.2">
      <c r="A5561" t="str">
        <f>"20200111153801176"</f>
        <v>20200111153801176</v>
      </c>
      <c r="B5561" t="str">
        <f>"1578728281168875"</f>
        <v>1578728281168875</v>
      </c>
      <c r="C5561" t="s">
        <v>37</v>
      </c>
      <c r="D5561">
        <v>5.2154870000000004</v>
      </c>
      <c r="E5561">
        <v>0.51586369999999904</v>
      </c>
      <c r="F5561" t="s">
        <v>60</v>
      </c>
      <c r="G5561">
        <v>-247.1337</v>
      </c>
      <c r="H5561" s="1">
        <v>-2.3510360000000002E-6</v>
      </c>
      <c r="I5561">
        <v>-61.524450000000002</v>
      </c>
      <c r="J5561">
        <v>-263.22629999999998</v>
      </c>
      <c r="K5561">
        <v>1.1040570000000001</v>
      </c>
      <c r="L5561">
        <v>-63.019410000000001</v>
      </c>
      <c r="M5561">
        <v>0.99997159999999996</v>
      </c>
      <c r="N5561">
        <v>0</v>
      </c>
      <c r="O5561">
        <v>7.0651840000000004E-3</v>
      </c>
      <c r="P5561">
        <v>0.99029599999999995</v>
      </c>
      <c r="Q5561">
        <v>3.5546000000000001E-2</v>
      </c>
      <c r="R5561">
        <v>0.13435269999999999</v>
      </c>
      <c r="S5561">
        <v>2.9992070000000002</v>
      </c>
      <c r="T5561">
        <v>-0.20360059999999999</v>
      </c>
      <c r="U5561">
        <v>0.27593990000000002</v>
      </c>
      <c r="V5561">
        <v>-0.12742899999999999</v>
      </c>
      <c r="W5561">
        <v>3.7928370000000003E-2</v>
      </c>
      <c r="X5561">
        <v>0.99112219999999995</v>
      </c>
      <c r="Y5561">
        <v>-8.4403119999999998E-2</v>
      </c>
      <c r="Z5561">
        <v>2.377522E-3</v>
      </c>
      <c r="AA5561">
        <v>0.9964288</v>
      </c>
      <c r="AB5561">
        <v>33</v>
      </c>
      <c r="AC5561">
        <v>16.092599999999901</v>
      </c>
      <c r="AD5561">
        <v>-1.1040593510359999</v>
      </c>
      <c r="AE5561">
        <v>1.4949599999999901</v>
      </c>
      <c r="AF5561">
        <v>-1.3748094306931</v>
      </c>
      <c r="AG5561">
        <v>-1.1040593510359999</v>
      </c>
      <c r="AH5561">
        <v>16.027964454013201</v>
      </c>
      <c r="AI5561">
        <v>93.926127380606104</v>
      </c>
      <c r="AJ5561">
        <v>94.902583990064997</v>
      </c>
      <c r="AK5561">
        <v>16.124661006062802</v>
      </c>
    </row>
    <row r="5562" spans="1:37" x14ac:dyDescent="0.2">
      <c r="A5562" t="str">
        <f>"20200111153801187"</f>
        <v>20200111153801187</v>
      </c>
      <c r="B5562" t="str">
        <f>"1578728281178636"</f>
        <v>1578728281178636</v>
      </c>
      <c r="C5562" t="s">
        <v>37</v>
      </c>
      <c r="D5562">
        <v>5.2245860000000004</v>
      </c>
      <c r="E5562">
        <v>0.51590530000000001</v>
      </c>
      <c r="F5562" t="s">
        <v>60</v>
      </c>
      <c r="G5562">
        <v>-246.93819999999999</v>
      </c>
      <c r="H5562" s="1">
        <v>-2.26569299999999E-6</v>
      </c>
      <c r="I5562">
        <v>-61.518949999999997</v>
      </c>
      <c r="J5562">
        <v>-263.0718</v>
      </c>
      <c r="K5562">
        <v>1.1039939999999999</v>
      </c>
      <c r="L5562">
        <v>-63.018039999999999</v>
      </c>
      <c r="M5562">
        <v>0.999969199999999</v>
      </c>
      <c r="N5562">
        <v>0</v>
      </c>
      <c r="O5562">
        <v>7.3834790000000001E-3</v>
      </c>
      <c r="P5562">
        <v>0.99024439999999903</v>
      </c>
      <c r="Q5562">
        <v>3.5310800000000003E-2</v>
      </c>
      <c r="R5562">
        <v>0.13479249999999901</v>
      </c>
      <c r="S5562">
        <v>2.9992070000000002</v>
      </c>
      <c r="T5562">
        <v>-0.20329610000000001</v>
      </c>
      <c r="U5562">
        <v>0.27627560000000001</v>
      </c>
      <c r="V5562">
        <v>-0.12754779999999999</v>
      </c>
      <c r="W5562">
        <v>3.7711090000000003E-2</v>
      </c>
      <c r="X5562">
        <v>0.99111530000000003</v>
      </c>
      <c r="Y5562">
        <v>-8.4198259999999997E-2</v>
      </c>
      <c r="Z5562">
        <v>2.3455400000000001E-3</v>
      </c>
      <c r="AA5562">
        <v>0.99644630000000001</v>
      </c>
      <c r="AB5562">
        <v>33</v>
      </c>
      <c r="AC5562">
        <v>16.133600000000001</v>
      </c>
      <c r="AD5562">
        <v>-1.103996265693</v>
      </c>
      <c r="AE5562">
        <v>1.49909</v>
      </c>
      <c r="AF5562">
        <v>-1.37355009878754</v>
      </c>
      <c r="AG5562">
        <v>-1.103996265693</v>
      </c>
      <c r="AH5562">
        <v>16.069627699189201</v>
      </c>
      <c r="AI5562">
        <v>93.915856672834394</v>
      </c>
      <c r="AJ5562">
        <v>94.885477404311303</v>
      </c>
      <c r="AK5562">
        <v>16.165963689773999</v>
      </c>
    </row>
    <row r="5563" spans="1:37" x14ac:dyDescent="0.2">
      <c r="A5563" t="str">
        <f>"20200111153801198"</f>
        <v>20200111153801198</v>
      </c>
      <c r="B5563" t="str">
        <f>"1578728281188396"</f>
        <v>1578728281188396</v>
      </c>
      <c r="C5563" t="s">
        <v>37</v>
      </c>
      <c r="D5563">
        <v>5.2306989999999898</v>
      </c>
      <c r="E5563">
        <v>0.51598159999999904</v>
      </c>
      <c r="F5563" t="s">
        <v>60</v>
      </c>
      <c r="G5563">
        <v>-246.81829999999999</v>
      </c>
      <c r="H5563" s="1">
        <v>-2.2134389999999999E-6</v>
      </c>
      <c r="I5563">
        <v>-61.515909999999998</v>
      </c>
      <c r="J5563">
        <v>-262.91300000000001</v>
      </c>
      <c r="K5563">
        <v>1.103931</v>
      </c>
      <c r="L5563">
        <v>-63.016599999999997</v>
      </c>
      <c r="M5563">
        <v>0.99996700000000005</v>
      </c>
      <c r="N5563">
        <v>0</v>
      </c>
      <c r="O5563">
        <v>7.6951449999999996E-3</v>
      </c>
      <c r="P5563">
        <v>0.99018039999999996</v>
      </c>
      <c r="Q5563">
        <v>3.5325189999999999E-2</v>
      </c>
      <c r="R5563">
        <v>0.13525999999999999</v>
      </c>
      <c r="S5563">
        <v>2.9990839999999999</v>
      </c>
      <c r="T5563">
        <v>-0.20370849999999999</v>
      </c>
      <c r="U5563">
        <v>0.27716059999999998</v>
      </c>
      <c r="V5563">
        <v>-0.12770119999999999</v>
      </c>
      <c r="W5563">
        <v>3.7743970000000002E-2</v>
      </c>
      <c r="X5563">
        <v>0.99109419999999904</v>
      </c>
      <c r="Y5563">
        <v>-8.4182989999999999E-2</v>
      </c>
      <c r="Z5563">
        <v>2.328737E-3</v>
      </c>
      <c r="AA5563">
        <v>0.99644759999999999</v>
      </c>
      <c r="AB5563">
        <v>33</v>
      </c>
      <c r="AC5563">
        <v>16.0947</v>
      </c>
      <c r="AD5563">
        <v>-1.1039332134390001</v>
      </c>
      <c r="AE5563">
        <v>1.5006899999999901</v>
      </c>
      <c r="AF5563">
        <v>-1.37040251189752</v>
      </c>
      <c r="AG5563">
        <v>-1.1039332134390001</v>
      </c>
      <c r="AH5563">
        <v>16.031002610614799</v>
      </c>
      <c r="AI5563">
        <v>93.925035408165499</v>
      </c>
      <c r="AJ5563">
        <v>94.886023424610499</v>
      </c>
      <c r="AK5563">
        <v>16.127297240575899</v>
      </c>
    </row>
    <row r="5564" spans="1:37" x14ac:dyDescent="0.2">
      <c r="A5564" t="str">
        <f>"20200111153801209"</f>
        <v>20200111153801209</v>
      </c>
      <c r="B5564" t="str">
        <f>"1578728281199132"</f>
        <v>1578728281199132</v>
      </c>
      <c r="C5564" t="s">
        <v>37</v>
      </c>
      <c r="D5564">
        <v>5.2560029999999998</v>
      </c>
      <c r="E5564">
        <v>0.51607749999999997</v>
      </c>
      <c r="F5564" t="s">
        <v>60</v>
      </c>
      <c r="G5564">
        <v>-246.63550000000001</v>
      </c>
      <c r="H5564" s="1">
        <v>-2.1330449999999999E-6</v>
      </c>
      <c r="I5564">
        <v>-61.508580000000002</v>
      </c>
      <c r="J5564">
        <v>-262.74880000000002</v>
      </c>
      <c r="K5564">
        <v>1.103861</v>
      </c>
      <c r="L5564">
        <v>-63.015079999999998</v>
      </c>
      <c r="M5564">
        <v>0.99996509999999905</v>
      </c>
      <c r="N5564">
        <v>0</v>
      </c>
      <c r="O5564">
        <v>7.9422429999999999E-3</v>
      </c>
      <c r="P5564">
        <v>0.99012129999999998</v>
      </c>
      <c r="Q5564">
        <v>3.5232590000000001E-2</v>
      </c>
      <c r="R5564">
        <v>0.13571649999999999</v>
      </c>
      <c r="S5564">
        <v>2.99902299999999</v>
      </c>
      <c r="T5564">
        <v>-0.20339160000000001</v>
      </c>
      <c r="U5564">
        <v>0.27783200000000002</v>
      </c>
      <c r="V5564">
        <v>-0.1279071</v>
      </c>
      <c r="W5564">
        <v>3.767011E-2</v>
      </c>
      <c r="X5564">
        <v>0.99107049999999997</v>
      </c>
      <c r="Y5564">
        <v>-8.4160970000000002E-2</v>
      </c>
      <c r="Z5564">
        <v>2.3077029999999999E-3</v>
      </c>
      <c r="AA5564">
        <v>0.99644949999999999</v>
      </c>
      <c r="AB5564">
        <v>33</v>
      </c>
      <c r="AC5564">
        <v>16.113299999999999</v>
      </c>
      <c r="AD5564">
        <v>-1.1038631330449999</v>
      </c>
      <c r="AE5564">
        <v>1.5065</v>
      </c>
      <c r="AF5564">
        <v>-1.3720927174344599</v>
      </c>
      <c r="AG5564">
        <v>-1.1038631330449999</v>
      </c>
      <c r="AH5564">
        <v>16.050084592173199</v>
      </c>
      <c r="AI5564">
        <v>93.920134166187694</v>
      </c>
      <c r="AJ5564">
        <v>94.8862324855845</v>
      </c>
      <c r="AK5564">
        <v>16.146404171135099</v>
      </c>
    </row>
    <row r="5565" spans="1:37" x14ac:dyDescent="0.2">
      <c r="A5565" t="str">
        <f>"20200111153801220"</f>
        <v>20200111153801220</v>
      </c>
      <c r="B5565" t="str">
        <f>"1578728281208892"</f>
        <v>1578728281208892</v>
      </c>
      <c r="C5565" t="s">
        <v>37</v>
      </c>
      <c r="D5565">
        <v>5.2130570000000001</v>
      </c>
      <c r="E5565">
        <v>0.51611090000000004</v>
      </c>
      <c r="F5565" t="s">
        <v>60</v>
      </c>
      <c r="G5565">
        <v>-246.49019999999999</v>
      </c>
      <c r="H5565" s="1">
        <v>-2.0699170000000001E-6</v>
      </c>
      <c r="I5565">
        <v>-61.505510000000001</v>
      </c>
      <c r="J5565">
        <v>-262.5872</v>
      </c>
      <c r="K5565">
        <v>1.1037889999999999</v>
      </c>
      <c r="L5565">
        <v>-63.013579999999997</v>
      </c>
      <c r="M5565">
        <v>0.99996319999999905</v>
      </c>
      <c r="N5565">
        <v>0</v>
      </c>
      <c r="O5565">
        <v>8.1707930000000008E-3</v>
      </c>
      <c r="P5565">
        <v>0.99006669999999997</v>
      </c>
      <c r="Q5565">
        <v>3.5001810000000001E-2</v>
      </c>
      <c r="R5565">
        <v>0.13617290000000001</v>
      </c>
      <c r="S5565">
        <v>2.9990540000000001</v>
      </c>
      <c r="T5565">
        <v>-0.20361789999999999</v>
      </c>
      <c r="U5565">
        <v>0.27844239999999998</v>
      </c>
      <c r="V5565">
        <v>-0.1281312</v>
      </c>
      <c r="W5565">
        <v>3.7458070000000003E-2</v>
      </c>
      <c r="X5565">
        <v>0.99104959999999898</v>
      </c>
      <c r="Y5565">
        <v>-8.4133559999999996E-2</v>
      </c>
      <c r="Z5565">
        <v>2.2938289999999998E-3</v>
      </c>
      <c r="AA5565">
        <v>0.99645189999999995</v>
      </c>
      <c r="AB5565">
        <v>33</v>
      </c>
      <c r="AC5565">
        <v>16.097000000000001</v>
      </c>
      <c r="AD5565">
        <v>-1.1037910699169999</v>
      </c>
      <c r="AE5565">
        <v>1.50807</v>
      </c>
      <c r="AF5565">
        <v>-1.37010774121606</v>
      </c>
      <c r="AG5565">
        <v>-1.1037910699169999</v>
      </c>
      <c r="AH5565">
        <v>16.034048484783501</v>
      </c>
      <c r="AI5565">
        <v>93.923799900552893</v>
      </c>
      <c r="AJ5565">
        <v>94.884054062248495</v>
      </c>
      <c r="AK5565">
        <v>16.1302901635698</v>
      </c>
    </row>
    <row r="5566" spans="1:37" x14ac:dyDescent="0.2">
      <c r="A5566" t="str">
        <f>"20200111153801244"</f>
        <v>20200111153801244</v>
      </c>
      <c r="B5566" t="str">
        <f>"1578728281239147"</f>
        <v>1578728281239147</v>
      </c>
      <c r="C5566" t="s">
        <v>37</v>
      </c>
      <c r="D5566">
        <v>5.268192</v>
      </c>
      <c r="E5566">
        <v>0.51632670000000003</v>
      </c>
      <c r="F5566" t="s">
        <v>60</v>
      </c>
      <c r="G5566">
        <v>-246.3826</v>
      </c>
      <c r="H5566" s="1">
        <v>-2.0231090000000002E-6</v>
      </c>
      <c r="I5566">
        <v>-61.503149999999998</v>
      </c>
      <c r="J5566">
        <v>-262.25189999999998</v>
      </c>
      <c r="K5566">
        <v>1.1036410000000001</v>
      </c>
      <c r="L5566">
        <v>-63.010469999999998</v>
      </c>
      <c r="M5566">
        <v>0.99996049999999903</v>
      </c>
      <c r="N5566">
        <v>0</v>
      </c>
      <c r="O5566">
        <v>8.4899269999999995E-3</v>
      </c>
      <c r="P5566">
        <v>0.98996149999999905</v>
      </c>
      <c r="Q5566">
        <v>3.4245930000000001E-2</v>
      </c>
      <c r="R5566">
        <v>0.1371272</v>
      </c>
      <c r="S5566">
        <v>2.9988709999999998</v>
      </c>
      <c r="T5566">
        <v>-0.20426949999999999</v>
      </c>
      <c r="U5566">
        <v>0.2795105</v>
      </c>
      <c r="V5566">
        <v>-0.12875699999999901</v>
      </c>
      <c r="W5566">
        <v>3.673854E-2</v>
      </c>
      <c r="X5566">
        <v>0.99099539999999997</v>
      </c>
      <c r="Y5566">
        <v>-8.4172529999999995E-2</v>
      </c>
      <c r="Z5566">
        <v>2.280916E-3</v>
      </c>
      <c r="AA5566">
        <v>0.99644859999999902</v>
      </c>
      <c r="AB5566">
        <v>33</v>
      </c>
      <c r="AC5566">
        <v>15.8692999999999</v>
      </c>
      <c r="AD5566">
        <v>-1.103643023109</v>
      </c>
      <c r="AE5566">
        <v>1.50732</v>
      </c>
      <c r="AF5566">
        <v>-1.3659883208409</v>
      </c>
      <c r="AG5566">
        <v>-1.103643023109</v>
      </c>
      <c r="AH5566">
        <v>15.805762248018</v>
      </c>
      <c r="AI5566">
        <v>93.979429786147193</v>
      </c>
      <c r="AJ5566">
        <v>94.939425132697295</v>
      </c>
      <c r="AK5566">
        <v>15.903020853158701</v>
      </c>
    </row>
    <row r="5567" spans="1:37" x14ac:dyDescent="0.2">
      <c r="A5567" t="str">
        <f>"20200111153801254"</f>
        <v>20200111153801254</v>
      </c>
      <c r="B5567" t="str">
        <f>"1578728281248907"</f>
        <v>1578728281248907</v>
      </c>
      <c r="C5567" t="s">
        <v>37</v>
      </c>
      <c r="D5567">
        <v>5.2808099999999998</v>
      </c>
      <c r="E5567">
        <v>0.51643589999999995</v>
      </c>
      <c r="F5567" t="s">
        <v>60</v>
      </c>
      <c r="G5567">
        <v>-246.2535</v>
      </c>
      <c r="H5567" s="1">
        <v>-1.9702920000000002E-6</v>
      </c>
      <c r="I5567">
        <v>-61.512659999999997</v>
      </c>
      <c r="J5567">
        <v>-262.07819999999998</v>
      </c>
      <c r="K5567">
        <v>1.1035729999999999</v>
      </c>
      <c r="L5567">
        <v>-63.008850000000002</v>
      </c>
      <c r="M5567">
        <v>0.99995959999999995</v>
      </c>
      <c r="N5567">
        <v>0</v>
      </c>
      <c r="O5567">
        <v>8.6034089999999994E-3</v>
      </c>
      <c r="P5567">
        <v>0.98991810000000002</v>
      </c>
      <c r="Q5567">
        <v>3.4068130000000002E-2</v>
      </c>
      <c r="R5567">
        <v>0.13748469999999999</v>
      </c>
      <c r="S5567">
        <v>2.9986570000000001</v>
      </c>
      <c r="T5567">
        <v>-0.20686199999999999</v>
      </c>
      <c r="U5567">
        <v>0.28073120000000001</v>
      </c>
      <c r="V5567">
        <v>-0.12899679999999999</v>
      </c>
      <c r="W5567">
        <v>3.657842E-2</v>
      </c>
      <c r="X5567">
        <v>0.99097009999999996</v>
      </c>
      <c r="Y5567">
        <v>-8.4463259999999998E-2</v>
      </c>
      <c r="Z5567">
        <v>2.3121119999999998E-3</v>
      </c>
      <c r="AA5567">
        <v>0.99642389999999903</v>
      </c>
      <c r="AB5567">
        <v>33</v>
      </c>
      <c r="AC5567">
        <v>15.824699999999901</v>
      </c>
      <c r="AD5567">
        <v>-1.1035749702919999</v>
      </c>
      <c r="AE5567">
        <v>1.4961899999999999</v>
      </c>
      <c r="AF5567">
        <v>-1.3534637921083801</v>
      </c>
      <c r="AG5567">
        <v>-1.1035749702919999</v>
      </c>
      <c r="AH5567">
        <v>15.7610149983671</v>
      </c>
      <c r="AI5567">
        <v>93.990632929188607</v>
      </c>
      <c r="AJ5567">
        <v>94.908185168828595</v>
      </c>
      <c r="AK5567">
        <v>15.857469398689</v>
      </c>
    </row>
    <row r="5568" spans="1:37" x14ac:dyDescent="0.2">
      <c r="A5568" t="str">
        <f>"20200111153801266"</f>
        <v>20200111153801266</v>
      </c>
      <c r="B5568" t="str">
        <f>"1578728281258667"</f>
        <v>1578728281258667</v>
      </c>
      <c r="C5568" t="s">
        <v>37</v>
      </c>
      <c r="D5568">
        <v>5.2610960000000002</v>
      </c>
      <c r="E5568">
        <v>0.51656659999999999</v>
      </c>
      <c r="F5568" t="s">
        <v>60</v>
      </c>
      <c r="G5568">
        <v>-246.1345</v>
      </c>
      <c r="H5568" s="1">
        <v>-1.9198299999999998E-6</v>
      </c>
      <c r="I5568">
        <v>-61.514869999999902</v>
      </c>
      <c r="J5568">
        <v>-261.90949999999998</v>
      </c>
      <c r="K5568">
        <v>1.1035159999999999</v>
      </c>
      <c r="L5568">
        <v>-63.007319999999901</v>
      </c>
      <c r="M5568">
        <v>0.99995889999999998</v>
      </c>
      <c r="N5568">
        <v>0</v>
      </c>
      <c r="O5568">
        <v>8.6867379999999994E-3</v>
      </c>
      <c r="P5568">
        <v>0.98986319999999905</v>
      </c>
      <c r="Q5568">
        <v>3.3789619999999999E-2</v>
      </c>
      <c r="R5568">
        <v>0.13794679999999901</v>
      </c>
      <c r="S5568">
        <v>2.998688</v>
      </c>
      <c r="T5568">
        <v>-0.20755989999999999</v>
      </c>
      <c r="U5568">
        <v>0.28097529999999998</v>
      </c>
      <c r="V5568">
        <v>-0.12937190000000001</v>
      </c>
      <c r="W5568">
        <v>3.6314909999999999E-2</v>
      </c>
      <c r="X5568">
        <v>0.99093099999999901</v>
      </c>
      <c r="Y5568">
        <v>-8.4458720000000001E-2</v>
      </c>
      <c r="Z5568">
        <v>2.3139580000000001E-3</v>
      </c>
      <c r="AA5568">
        <v>0.99642430000000004</v>
      </c>
      <c r="AB5568">
        <v>33</v>
      </c>
      <c r="AC5568">
        <v>15.774999999999901</v>
      </c>
      <c r="AD5568">
        <v>-1.10351791983</v>
      </c>
      <c r="AE5568">
        <v>1.4924499999999901</v>
      </c>
      <c r="AF5568">
        <v>-1.34881804226358</v>
      </c>
      <c r="AG5568">
        <v>-1.10351791983</v>
      </c>
      <c r="AH5568">
        <v>15.7111687352955</v>
      </c>
      <c r="AI5568">
        <v>94.003054393637399</v>
      </c>
      <c r="AJ5568">
        <v>94.906862937208004</v>
      </c>
      <c r="AK5568">
        <v>15.8075262118855</v>
      </c>
    </row>
    <row r="5569" spans="1:37" x14ac:dyDescent="0.2">
      <c r="A5569" t="str">
        <f>"20200111153801278"</f>
        <v>20200111153801278</v>
      </c>
      <c r="B5569" t="str">
        <f>"1578728281268427"</f>
        <v>1578728281268427</v>
      </c>
      <c r="C5569" t="s">
        <v>37</v>
      </c>
      <c r="D5569">
        <v>5.290578</v>
      </c>
      <c r="E5569">
        <v>0.51667870000000005</v>
      </c>
      <c r="F5569" t="s">
        <v>60</v>
      </c>
      <c r="G5569">
        <v>-246.02449999999999</v>
      </c>
      <c r="H5569" s="1">
        <v>-1.8730619999999999E-6</v>
      </c>
      <c r="I5569">
        <v>-61.516539999999999</v>
      </c>
      <c r="J5569">
        <v>-261.72449999999998</v>
      </c>
      <c r="K5569">
        <v>1.1034569999999999</v>
      </c>
      <c r="L5569">
        <v>-63.005650000000003</v>
      </c>
      <c r="M5569">
        <v>0.99995829999999997</v>
      </c>
      <c r="N5569">
        <v>0</v>
      </c>
      <c r="O5569">
        <v>8.7587919999999996E-3</v>
      </c>
      <c r="P5569">
        <v>0.9898055</v>
      </c>
      <c r="Q5569">
        <v>3.3884049999999999E-2</v>
      </c>
      <c r="R5569">
        <v>0.13833679999999901</v>
      </c>
      <c r="S5569">
        <v>2.998596</v>
      </c>
      <c r="T5569">
        <v>-0.20830989999999999</v>
      </c>
      <c r="U5569">
        <v>0.2814026</v>
      </c>
      <c r="V5569">
        <v>-0.129686</v>
      </c>
      <c r="W5569">
        <v>3.642451E-2</v>
      </c>
      <c r="X5569">
        <v>0.99088589999999999</v>
      </c>
      <c r="Y5569">
        <v>-8.4529179999999995E-2</v>
      </c>
      <c r="Z5569">
        <v>2.3198049999999999E-3</v>
      </c>
      <c r="AA5569">
        <v>0.99641829999999998</v>
      </c>
      <c r="AB5569">
        <v>33</v>
      </c>
      <c r="AC5569">
        <v>15.6999999999999</v>
      </c>
      <c r="AD5569">
        <v>-1.1034588730620001</v>
      </c>
      <c r="AE5569">
        <v>1.4891099999999999</v>
      </c>
      <c r="AF5569">
        <v>-1.3449547579821799</v>
      </c>
      <c r="AG5569">
        <v>-1.1034588730620001</v>
      </c>
      <c r="AH5569">
        <v>15.635890444091901</v>
      </c>
      <c r="AI5569">
        <v>94.021992444401107</v>
      </c>
      <c r="AJ5569">
        <v>94.916318382505395</v>
      </c>
      <c r="AK5569">
        <v>15.732374098183699</v>
      </c>
    </row>
    <row r="5570" spans="1:37" x14ac:dyDescent="0.2">
      <c r="A5570" t="str">
        <f>"20200111153801288"</f>
        <v>20200111153801288</v>
      </c>
      <c r="B5570" t="str">
        <f>"1578728281279164"</f>
        <v>1578728281279164</v>
      </c>
      <c r="C5570" t="s">
        <v>37</v>
      </c>
      <c r="D5570">
        <v>5.2696120000000004</v>
      </c>
      <c r="E5570">
        <v>0.51684679999999905</v>
      </c>
      <c r="F5570" t="s">
        <v>60</v>
      </c>
      <c r="G5570">
        <v>-245.87559999999999</v>
      </c>
      <c r="H5570" s="1">
        <v>-1.8092E-6</v>
      </c>
      <c r="I5570">
        <v>-61.5165199999999</v>
      </c>
      <c r="J5570">
        <v>-261.56900000000002</v>
      </c>
      <c r="K5570">
        <v>1.1034139999999999</v>
      </c>
      <c r="L5570">
        <v>-63.00421</v>
      </c>
      <c r="M5570">
        <v>0.99995789999999996</v>
      </c>
      <c r="N5570">
        <v>0</v>
      </c>
      <c r="O5570">
        <v>8.7833679999999997E-3</v>
      </c>
      <c r="P5570">
        <v>0.98979599999999901</v>
      </c>
      <c r="Q5570">
        <v>3.425856E-2</v>
      </c>
      <c r="R5570">
        <v>0.1383122</v>
      </c>
      <c r="S5570">
        <v>2.998688</v>
      </c>
      <c r="T5570">
        <v>-0.20878060000000001</v>
      </c>
      <c r="U5570">
        <v>0.2817383</v>
      </c>
      <c r="V5570">
        <v>-0.1296341</v>
      </c>
      <c r="W5570">
        <v>3.6810969999999998E-2</v>
      </c>
      <c r="X5570">
        <v>0.99087829999999999</v>
      </c>
      <c r="Y5570">
        <v>-8.4611480000000003E-2</v>
      </c>
      <c r="Z5570">
        <v>2.326102E-3</v>
      </c>
      <c r="AA5570">
        <v>0.9964113</v>
      </c>
      <c r="AB5570">
        <v>33</v>
      </c>
      <c r="AC5570">
        <v>15.6934</v>
      </c>
      <c r="AD5570">
        <v>-1.1034158091999999</v>
      </c>
      <c r="AE5570">
        <v>1.48769</v>
      </c>
      <c r="AF5570">
        <v>-1.3432100526617401</v>
      </c>
      <c r="AG5570">
        <v>-1.1034158091999999</v>
      </c>
      <c r="AH5570">
        <v>15.629284656187499</v>
      </c>
      <c r="AI5570">
        <v>94.023556026490894</v>
      </c>
      <c r="AJ5570">
        <v>94.912037092559402</v>
      </c>
      <c r="AK5570">
        <v>15.725656697184499</v>
      </c>
    </row>
    <row r="5571" spans="1:37" x14ac:dyDescent="0.2">
      <c r="A5571" t="str">
        <f>"20200111153801299"</f>
        <v>20200111153801299</v>
      </c>
      <c r="B5571" t="str">
        <f>"1578728281288924"</f>
        <v>1578728281288924</v>
      </c>
      <c r="C5571" t="s">
        <v>37</v>
      </c>
      <c r="D5571">
        <v>5.2545459999999897</v>
      </c>
      <c r="E5571">
        <v>0.51696999999999904</v>
      </c>
      <c r="F5571" t="s">
        <v>60</v>
      </c>
      <c r="G5571">
        <v>-245.6799</v>
      </c>
      <c r="H5571" s="1">
        <v>-1.725666E-6</v>
      </c>
      <c r="I5571">
        <v>-61.5182199999999</v>
      </c>
      <c r="J5571">
        <v>-261.41039999999998</v>
      </c>
      <c r="K5571">
        <v>1.1033729999999999</v>
      </c>
      <c r="L5571">
        <v>-63.002780000000001</v>
      </c>
      <c r="M5571">
        <v>0.99995780000000001</v>
      </c>
      <c r="N5571">
        <v>0</v>
      </c>
      <c r="O5571">
        <v>8.8048999999999992E-3</v>
      </c>
      <c r="P5571">
        <v>0.98978899999999903</v>
      </c>
      <c r="Q5571">
        <v>3.452707E-2</v>
      </c>
      <c r="R5571">
        <v>0.13829569999999999</v>
      </c>
      <c r="S5571">
        <v>2.9989319999999999</v>
      </c>
      <c r="T5571">
        <v>-0.2082601</v>
      </c>
      <c r="U5571">
        <v>0.2804565</v>
      </c>
      <c r="V5571">
        <v>-0.1295926</v>
      </c>
      <c r="W5571">
        <v>3.709163E-2</v>
      </c>
      <c r="X5571">
        <v>0.99087329999999996</v>
      </c>
      <c r="Y5571">
        <v>-8.4162379999999995E-2</v>
      </c>
      <c r="Z5571">
        <v>2.303144E-3</v>
      </c>
      <c r="AA5571">
        <v>0.99644940000000004</v>
      </c>
      <c r="AB5571">
        <v>34</v>
      </c>
      <c r="AC5571">
        <v>15.7304999999999</v>
      </c>
      <c r="AD5571">
        <v>-1.103374725666</v>
      </c>
      <c r="AE5571">
        <v>1.4845600000000001</v>
      </c>
      <c r="AF5571">
        <v>-1.33946457042843</v>
      </c>
      <c r="AG5571">
        <v>-1.103374725666</v>
      </c>
      <c r="AH5571">
        <v>15.666563349589</v>
      </c>
      <c r="AI5571">
        <v>94.014015330008505</v>
      </c>
      <c r="AJ5571">
        <v>94.886807549161404</v>
      </c>
      <c r="AK5571">
        <v>15.7623858697646</v>
      </c>
    </row>
    <row r="5572" spans="1:37" x14ac:dyDescent="0.2">
      <c r="A5572" t="str">
        <f>"20200111153801309"</f>
        <v>20200111153801309</v>
      </c>
      <c r="B5572" t="str">
        <f>"1578728281298684"</f>
        <v>1578728281298684</v>
      </c>
      <c r="C5572" t="s">
        <v>37</v>
      </c>
      <c r="D5572">
        <v>5.2880690000000001</v>
      </c>
      <c r="E5572">
        <v>0.51710619999999996</v>
      </c>
      <c r="F5572" t="s">
        <v>60</v>
      </c>
      <c r="G5572">
        <v>-245.46940000000001</v>
      </c>
      <c r="H5572" s="1">
        <v>-1.6348589999999999E-6</v>
      </c>
      <c r="I5572">
        <v>-61.516219999999997</v>
      </c>
      <c r="J5572">
        <v>-261.25029999999998</v>
      </c>
      <c r="K5572">
        <v>1.103335</v>
      </c>
      <c r="L5572">
        <v>-63.001339999999999</v>
      </c>
      <c r="M5572">
        <v>0.99995789999999996</v>
      </c>
      <c r="N5572">
        <v>0</v>
      </c>
      <c r="O5572">
        <v>8.7893609999999903E-3</v>
      </c>
      <c r="P5572">
        <v>0.98981399999999997</v>
      </c>
      <c r="Q5572">
        <v>3.4932730000000002E-2</v>
      </c>
      <c r="R5572">
        <v>0.13801449999999901</v>
      </c>
      <c r="S5572">
        <v>2.9990839999999999</v>
      </c>
      <c r="T5572">
        <v>-0.20758499999999999</v>
      </c>
      <c r="U5572">
        <v>0.2796631</v>
      </c>
      <c r="V5572">
        <v>-0.12932370000000001</v>
      </c>
      <c r="W5572">
        <v>3.7509519999999998E-2</v>
      </c>
      <c r="X5572">
        <v>0.99089280000000002</v>
      </c>
      <c r="Y5572">
        <v>-8.3913509999999997E-2</v>
      </c>
      <c r="Z5572">
        <v>2.288095E-3</v>
      </c>
      <c r="AA5572">
        <v>0.99647039999999998</v>
      </c>
      <c r="AB5572">
        <v>34</v>
      </c>
      <c r="AC5572">
        <v>15.7808999999999</v>
      </c>
      <c r="AD5572">
        <v>-1.1033366348589999</v>
      </c>
      <c r="AE5572">
        <v>1.48512</v>
      </c>
      <c r="AF5572">
        <v>-1.33986603471608</v>
      </c>
      <c r="AG5572">
        <v>-1.1033366348589999</v>
      </c>
      <c r="AH5572">
        <v>15.7171887927458</v>
      </c>
      <c r="AI5572">
        <v>94.001074923096695</v>
      </c>
      <c r="AJ5572">
        <v>94.8725958351298</v>
      </c>
      <c r="AK5572">
        <v>15.8127358881258</v>
      </c>
    </row>
    <row r="5573" spans="1:37" x14ac:dyDescent="0.2">
      <c r="A5573" t="str">
        <f>"20200111153801322"</f>
        <v>20200111153801322</v>
      </c>
      <c r="B5573" t="str">
        <f>"1578728281308443"</f>
        <v>1578728281308443</v>
      </c>
      <c r="C5573" t="s">
        <v>37</v>
      </c>
      <c r="D5573">
        <v>5.2911199999999896</v>
      </c>
      <c r="E5573">
        <v>0.51722120000000005</v>
      </c>
      <c r="F5573" t="s">
        <v>60</v>
      </c>
      <c r="G5573">
        <v>-245.26730000000001</v>
      </c>
      <c r="H5573" s="1">
        <v>-1.549203E-6</v>
      </c>
      <c r="I5573">
        <v>-61.520150000000001</v>
      </c>
      <c r="J5573">
        <v>-261.07639999999998</v>
      </c>
      <c r="K5573">
        <v>1.103294</v>
      </c>
      <c r="L5573">
        <v>-62.9998199999999</v>
      </c>
      <c r="M5573">
        <v>0.99995800000000001</v>
      </c>
      <c r="N5573">
        <v>0</v>
      </c>
      <c r="O5573">
        <v>8.7665969999999992E-3</v>
      </c>
      <c r="P5573">
        <v>0.98987139999999996</v>
      </c>
      <c r="Q5573">
        <v>3.5290830000000002E-2</v>
      </c>
      <c r="R5573">
        <v>0.1375111</v>
      </c>
      <c r="S5573">
        <v>2.9994200000000002</v>
      </c>
      <c r="T5573">
        <v>-0.20705580000000001</v>
      </c>
      <c r="U5573">
        <v>0.27795409999999998</v>
      </c>
      <c r="V5573">
        <v>-0.12883889999999901</v>
      </c>
      <c r="W5573">
        <v>3.787977E-2</v>
      </c>
      <c r="X5573">
        <v>0.99094179999999998</v>
      </c>
      <c r="Y5573">
        <v>-8.3365159999999994E-2</v>
      </c>
      <c r="Z5573">
        <v>2.2647840000000002E-3</v>
      </c>
      <c r="AA5573">
        <v>0.99651650000000003</v>
      </c>
      <c r="AB5573">
        <v>34</v>
      </c>
      <c r="AC5573">
        <v>15.8090999999999</v>
      </c>
      <c r="AD5573">
        <v>-1.1032955492030001</v>
      </c>
      <c r="AE5573">
        <v>1.47966999999999</v>
      </c>
      <c r="AF5573">
        <v>-1.33457708679522</v>
      </c>
      <c r="AG5573">
        <v>-1.1032955492030001</v>
      </c>
      <c r="AH5573">
        <v>15.7454427230745</v>
      </c>
      <c r="AI5573">
        <v>93.993934574788398</v>
      </c>
      <c r="AJ5573">
        <v>94.844786309833296</v>
      </c>
      <c r="AK5573">
        <v>15.8403700592856</v>
      </c>
    </row>
    <row r="5574" spans="1:37" x14ac:dyDescent="0.2">
      <c r="A5574" t="str">
        <f>"20200111153801332"</f>
        <v>20200111153801332</v>
      </c>
      <c r="B5574" t="str">
        <f>"1578728281328939"</f>
        <v>1578728281328939</v>
      </c>
      <c r="C5574" t="s">
        <v>37</v>
      </c>
      <c r="D5574">
        <v>5.3025159999999998</v>
      </c>
      <c r="E5574">
        <v>0.51748309999999997</v>
      </c>
      <c r="F5574" t="s">
        <v>60</v>
      </c>
      <c r="G5574">
        <v>-245.0591</v>
      </c>
      <c r="H5574" s="1">
        <v>-1.462032E-6</v>
      </c>
      <c r="I5574">
        <v>-61.528190000000002</v>
      </c>
      <c r="J5574">
        <v>-260.91050000000001</v>
      </c>
      <c r="K5574">
        <v>1.1032569999999999</v>
      </c>
      <c r="L5574">
        <v>-62.998350000000002</v>
      </c>
      <c r="M5574">
        <v>0.99995869999999998</v>
      </c>
      <c r="N5574">
        <v>0</v>
      </c>
      <c r="O5574">
        <v>8.7186280000000008E-3</v>
      </c>
      <c r="P5574">
        <v>0.98991499999999999</v>
      </c>
      <c r="Q5574">
        <v>3.5705220000000003E-2</v>
      </c>
      <c r="R5574">
        <v>0.13708919999999999</v>
      </c>
      <c r="S5574">
        <v>2.99981699999999</v>
      </c>
      <c r="T5574">
        <v>-0.20663289999999901</v>
      </c>
      <c r="U5574">
        <v>0.27560419999999902</v>
      </c>
      <c r="V5574">
        <v>-0.1284602</v>
      </c>
      <c r="W5574">
        <v>3.8306229999999997E-2</v>
      </c>
      <c r="X5574">
        <v>0.99097449999999998</v>
      </c>
      <c r="Y5574">
        <v>-8.2629190000000005E-2</v>
      </c>
      <c r="Z5574">
        <v>2.2379800000000001E-3</v>
      </c>
      <c r="AA5574">
        <v>0.99657790000000002</v>
      </c>
      <c r="AB5574">
        <v>34</v>
      </c>
      <c r="AC5574">
        <v>15.8514</v>
      </c>
      <c r="AD5574">
        <v>-1.1032584620319901</v>
      </c>
      <c r="AE5574">
        <v>1.4701599999999999</v>
      </c>
      <c r="AF5574">
        <v>-1.32553485486936</v>
      </c>
      <c r="AG5574">
        <v>-1.1032584620319901</v>
      </c>
      <c r="AH5574">
        <v>15.787788870992101</v>
      </c>
      <c r="AI5574">
        <v>93.983389159824</v>
      </c>
      <c r="AJ5574">
        <v>94.799269104141501</v>
      </c>
      <c r="AK5574">
        <v>15.881703287763001</v>
      </c>
    </row>
    <row r="5575" spans="1:37" x14ac:dyDescent="0.2">
      <c r="A5575" t="str">
        <f>"20200111153801344"</f>
        <v>20200111153801344</v>
      </c>
      <c r="B5575" t="str">
        <f>"1578728281338702"</f>
        <v>1578728281338702</v>
      </c>
      <c r="C5575" t="s">
        <v>37</v>
      </c>
      <c r="D5575">
        <v>5.315607</v>
      </c>
      <c r="E5575">
        <v>0.51760419999999996</v>
      </c>
      <c r="F5575" t="s">
        <v>60</v>
      </c>
      <c r="G5575">
        <v>-244.8809</v>
      </c>
      <c r="H5575" s="1">
        <v>-1.3896180000000001E-6</v>
      </c>
      <c r="I5575">
        <v>-61.543430000000001</v>
      </c>
      <c r="J5575">
        <v>-260.73660000000001</v>
      </c>
      <c r="K5575">
        <v>1.1032200000000001</v>
      </c>
      <c r="L5575">
        <v>-62.99689</v>
      </c>
      <c r="M5575">
        <v>0.99995900000000004</v>
      </c>
      <c r="N5575">
        <v>0</v>
      </c>
      <c r="O5575">
        <v>8.6582559999999996E-3</v>
      </c>
      <c r="P5575">
        <v>0.98997029999999997</v>
      </c>
      <c r="Q5575">
        <v>3.627507E-2</v>
      </c>
      <c r="R5575">
        <v>0.13653889999999999</v>
      </c>
      <c r="S5575">
        <v>3.0002749999999998</v>
      </c>
      <c r="T5575">
        <v>-0.206498299999999</v>
      </c>
      <c r="U5575">
        <v>0.2723083</v>
      </c>
      <c r="V5575">
        <v>-0.12796589999999999</v>
      </c>
      <c r="W5575">
        <v>3.8888010000000001E-2</v>
      </c>
      <c r="X5575">
        <v>0.99101589999999995</v>
      </c>
      <c r="Y5575">
        <v>-8.1592280000000003E-2</v>
      </c>
      <c r="Z5575">
        <v>2.2048699999999998E-3</v>
      </c>
      <c r="AA5575">
        <v>0.99666330000000003</v>
      </c>
      <c r="AB5575">
        <v>34</v>
      </c>
      <c r="AC5575">
        <v>15.855700000000001</v>
      </c>
      <c r="AD5575">
        <v>-1.1032213896180001</v>
      </c>
      <c r="AE5575">
        <v>1.45345999999999</v>
      </c>
      <c r="AF5575">
        <v>-1.30983397779903</v>
      </c>
      <c r="AG5575">
        <v>-1.1032213896180001</v>
      </c>
      <c r="AH5575">
        <v>15.791875328816801</v>
      </c>
      <c r="AI5575">
        <v>93.9825625375003</v>
      </c>
      <c r="AJ5575">
        <v>94.741461252689504</v>
      </c>
      <c r="AK5575">
        <v>15.8844606104457</v>
      </c>
    </row>
    <row r="5576" spans="1:37" x14ac:dyDescent="0.2">
      <c r="A5576" t="str">
        <f>"20200111153801355"</f>
        <v>20200111153801355</v>
      </c>
      <c r="B5576" t="str">
        <f>"1578728281348459"</f>
        <v>1578728281348459</v>
      </c>
      <c r="C5576" t="s">
        <v>37</v>
      </c>
      <c r="D5576">
        <v>5.3095439999999998</v>
      </c>
      <c r="E5576">
        <v>0.51773279999999999</v>
      </c>
      <c r="F5576" t="s">
        <v>60</v>
      </c>
      <c r="G5576">
        <v>-244.61179999999999</v>
      </c>
      <c r="H5576" s="1">
        <v>-1.275252E-6</v>
      </c>
      <c r="I5576">
        <v>-61.54748</v>
      </c>
      <c r="J5576">
        <v>-260.55709999999999</v>
      </c>
      <c r="K5576">
        <v>1.1031839999999999</v>
      </c>
      <c r="L5576">
        <v>-62.995330000000003</v>
      </c>
      <c r="M5576">
        <v>0.99995990000000001</v>
      </c>
      <c r="N5576">
        <v>0</v>
      </c>
      <c r="O5576">
        <v>8.5785710000000001E-3</v>
      </c>
      <c r="P5576">
        <v>0.99001819999999896</v>
      </c>
      <c r="Q5576">
        <v>3.6396060000000001E-2</v>
      </c>
      <c r="R5576">
        <v>0.13616049999999999</v>
      </c>
      <c r="S5576">
        <v>3.0007320000000002</v>
      </c>
      <c r="T5576">
        <v>-0.20530279999999901</v>
      </c>
      <c r="U5576">
        <v>0.26971440000000002</v>
      </c>
      <c r="V5576">
        <v>-0.12766279999999999</v>
      </c>
      <c r="W5576">
        <v>3.9020949999999999E-2</v>
      </c>
      <c r="X5576">
        <v>0.99104969999999903</v>
      </c>
      <c r="Y5576">
        <v>-8.0807019999999993E-2</v>
      </c>
      <c r="Z5576">
        <v>2.170543E-3</v>
      </c>
      <c r="AA5576">
        <v>0.99672739999999904</v>
      </c>
      <c r="AB5576">
        <v>34</v>
      </c>
      <c r="AC5576">
        <v>15.9453</v>
      </c>
      <c r="AD5576">
        <v>-1.1031852752519999</v>
      </c>
      <c r="AE5576">
        <v>1.4478499999999901</v>
      </c>
      <c r="AF5576">
        <v>-1.3048137724765501</v>
      </c>
      <c r="AG5576">
        <v>-1.1031852752519999</v>
      </c>
      <c r="AH5576">
        <v>15.8817351555995</v>
      </c>
      <c r="AI5576">
        <v>93.960225836048394</v>
      </c>
      <c r="AJ5576">
        <v>94.696765797026799</v>
      </c>
      <c r="AK5576">
        <v>15.973386249790099</v>
      </c>
    </row>
    <row r="5577" spans="1:37" x14ac:dyDescent="0.2">
      <c r="A5577" t="str">
        <f>"20200111153801367"</f>
        <v>20200111153801367</v>
      </c>
      <c r="B5577" t="str">
        <f>"1578728281359195"</f>
        <v>1578728281359195</v>
      </c>
      <c r="C5577" t="s">
        <v>37</v>
      </c>
      <c r="D5577">
        <v>5.2757110000000003</v>
      </c>
      <c r="E5577">
        <v>0.51781440000000001</v>
      </c>
      <c r="F5577" t="s">
        <v>60</v>
      </c>
      <c r="G5577">
        <v>-244.42529999999999</v>
      </c>
      <c r="H5577" s="1">
        <v>-1.197847E-6</v>
      </c>
      <c r="I5577">
        <v>-61.557250000000003</v>
      </c>
      <c r="J5577">
        <v>-260.37049999999999</v>
      </c>
      <c r="K5577">
        <v>1.103148</v>
      </c>
      <c r="L5577">
        <v>-62.993769999999998</v>
      </c>
      <c r="M5577">
        <v>0.99996059999999998</v>
      </c>
      <c r="N5577">
        <v>0</v>
      </c>
      <c r="O5577">
        <v>8.4801069999999902E-3</v>
      </c>
      <c r="P5577">
        <v>0.99008890000000005</v>
      </c>
      <c r="Q5577">
        <v>3.6808229999999997E-2</v>
      </c>
      <c r="R5577">
        <v>0.13553229999999999</v>
      </c>
      <c r="S5577">
        <v>3.0010379999999999</v>
      </c>
      <c r="T5577">
        <v>-0.20522840000000001</v>
      </c>
      <c r="U5577">
        <v>0.26751710000000001</v>
      </c>
      <c r="V5577">
        <v>-0.12712860000000001</v>
      </c>
      <c r="W5577">
        <v>3.9445479999999998E-2</v>
      </c>
      <c r="X5577">
        <v>0.99110159999999903</v>
      </c>
      <c r="Y5577">
        <v>-8.0173540000000001E-2</v>
      </c>
      <c r="Z5577">
        <v>2.1547269999999999E-3</v>
      </c>
      <c r="AA5577">
        <v>0.99677859999999996</v>
      </c>
      <c r="AB5577">
        <v>34</v>
      </c>
      <c r="AC5577">
        <v>15.9452</v>
      </c>
      <c r="AD5577">
        <v>-1.1031491978470001</v>
      </c>
      <c r="AE5577">
        <v>1.43651999999999</v>
      </c>
      <c r="AF5577">
        <v>-1.29510191702191</v>
      </c>
      <c r="AG5577">
        <v>-1.1031491978470001</v>
      </c>
      <c r="AH5577">
        <v>15.881405855354799</v>
      </c>
      <c r="AI5577">
        <v>93.960374327911893</v>
      </c>
      <c r="AJ5577">
        <v>94.662058218236993</v>
      </c>
      <c r="AK5577">
        <v>15.9722659341335</v>
      </c>
    </row>
    <row r="5578" spans="1:37" x14ac:dyDescent="0.2">
      <c r="A5578" t="str">
        <f>"20200111153801378"</f>
        <v>20200111153801378</v>
      </c>
      <c r="B5578" t="str">
        <f>"1578728281368955"</f>
        <v>1578728281368955</v>
      </c>
      <c r="C5578" t="s">
        <v>37</v>
      </c>
      <c r="D5578">
        <v>5.2734909999999999</v>
      </c>
      <c r="E5578">
        <v>0.51791259999999995</v>
      </c>
      <c r="F5578" t="s">
        <v>60</v>
      </c>
      <c r="G5578">
        <v>-244.12549999999999</v>
      </c>
      <c r="H5578" s="1">
        <v>-1.069911E-6</v>
      </c>
      <c r="I5578">
        <v>-61.559780000000003</v>
      </c>
      <c r="J5578">
        <v>-260.20139999999998</v>
      </c>
      <c r="K5578">
        <v>1.1031169999999999</v>
      </c>
      <c r="L5578">
        <v>-62.992369999999902</v>
      </c>
      <c r="M5578">
        <v>0.9999614</v>
      </c>
      <c r="N5578">
        <v>0</v>
      </c>
      <c r="O5578">
        <v>8.3837999999999899E-3</v>
      </c>
      <c r="P5578">
        <v>0.99015710000000001</v>
      </c>
      <c r="Q5578">
        <v>3.7112550000000001E-2</v>
      </c>
      <c r="R5578">
        <v>0.1349495</v>
      </c>
      <c r="S5578">
        <v>3.001312</v>
      </c>
      <c r="T5578">
        <v>-0.20380999999999999</v>
      </c>
      <c r="U5578">
        <v>0.26492309999999902</v>
      </c>
      <c r="V5578">
        <v>-0.12663779999999999</v>
      </c>
      <c r="W5578">
        <v>3.9760900000000002E-2</v>
      </c>
      <c r="X5578">
        <v>0.99115180000000003</v>
      </c>
      <c r="Y5578">
        <v>-7.941049E-2</v>
      </c>
      <c r="Z5578">
        <v>2.1204449999999999E-3</v>
      </c>
      <c r="AA5578">
        <v>0.99683980000000005</v>
      </c>
      <c r="AB5578">
        <v>34</v>
      </c>
      <c r="AC5578">
        <v>16.075899999999901</v>
      </c>
      <c r="AD5578">
        <v>-1.1031180699109999</v>
      </c>
      <c r="AE5578">
        <v>1.43258999999999</v>
      </c>
      <c r="AF5578">
        <v>-1.2917277245879399</v>
      </c>
      <c r="AG5578">
        <v>-1.1031180699109999</v>
      </c>
      <c r="AH5578">
        <v>16.012542700414802</v>
      </c>
      <c r="AI5578">
        <v>93.928208989681394</v>
      </c>
      <c r="AJ5578">
        <v>94.612048715098396</v>
      </c>
      <c r="AK5578">
        <v>16.102389689833</v>
      </c>
    </row>
    <row r="5579" spans="1:37" x14ac:dyDescent="0.2">
      <c r="A5579" t="str">
        <f>"20200111153801390"</f>
        <v>20200111153801390</v>
      </c>
      <c r="B5579" t="str">
        <f>"1578728281378716"</f>
        <v>1578728281378716</v>
      </c>
      <c r="C5579" t="s">
        <v>37</v>
      </c>
      <c r="D5579">
        <v>5.2602370000000001</v>
      </c>
      <c r="E5579">
        <v>0.51802060000000005</v>
      </c>
      <c r="F5579" t="s">
        <v>60</v>
      </c>
      <c r="G5579">
        <v>-243.9203</v>
      </c>
      <c r="H5579" s="1">
        <v>-9.8432319999999992E-7</v>
      </c>
      <c r="I5579">
        <v>-61.568950000000001</v>
      </c>
      <c r="J5579">
        <v>-260.02870000000001</v>
      </c>
      <c r="K5579">
        <v>1.1030879999999901</v>
      </c>
      <c r="L5579">
        <v>-62.991</v>
      </c>
      <c r="M5579">
        <v>0.99996240000000003</v>
      </c>
      <c r="N5579">
        <v>0</v>
      </c>
      <c r="O5579">
        <v>8.2695600000000005E-3</v>
      </c>
      <c r="P5579">
        <v>0.99023660000000002</v>
      </c>
      <c r="Q5579">
        <v>3.7291999999999999E-2</v>
      </c>
      <c r="R5579">
        <v>0.1343172</v>
      </c>
      <c r="S5579">
        <v>3.001709</v>
      </c>
      <c r="T5579">
        <v>-0.20337920000000001</v>
      </c>
      <c r="U5579">
        <v>0.26242070000000001</v>
      </c>
      <c r="V5579">
        <v>-0.12611510000000001</v>
      </c>
      <c r="W5579">
        <v>3.9950529999999998E-2</v>
      </c>
      <c r="X5579">
        <v>0.99121079999999995</v>
      </c>
      <c r="Y5579">
        <v>-7.8690220000000005E-2</v>
      </c>
      <c r="Z5579">
        <v>2.0991589999999902E-3</v>
      </c>
      <c r="AA5579">
        <v>0.99689689999999997</v>
      </c>
      <c r="AB5579">
        <v>34</v>
      </c>
      <c r="AC5579">
        <v>16.1084</v>
      </c>
      <c r="AD5579">
        <v>-1.1030889843231999</v>
      </c>
      <c r="AE5579">
        <v>1.42205</v>
      </c>
      <c r="AF5579">
        <v>-1.28282240687918</v>
      </c>
      <c r="AG5579">
        <v>-1.1030889843231999</v>
      </c>
      <c r="AH5579">
        <v>16.044949793973299</v>
      </c>
      <c r="AI5579">
        <v>93.920420530856802</v>
      </c>
      <c r="AJ5579">
        <v>94.571176409675104</v>
      </c>
      <c r="AK5579">
        <v>16.133903821643798</v>
      </c>
    </row>
    <row r="5580" spans="1:37" x14ac:dyDescent="0.2">
      <c r="A5580" t="str">
        <f>"20200111153801402"</f>
        <v>20200111153801402</v>
      </c>
      <c r="B5580" t="str">
        <f>"1578728281388475"</f>
        <v>1578728281388475</v>
      </c>
      <c r="C5580" t="s">
        <v>37</v>
      </c>
      <c r="D5580">
        <v>5.268294</v>
      </c>
      <c r="E5580">
        <v>0.51811609999999997</v>
      </c>
      <c r="F5580" t="s">
        <v>60</v>
      </c>
      <c r="G5580">
        <v>-243.73580000000001</v>
      </c>
      <c r="H5580" s="1">
        <v>-9.0844629999999998E-7</v>
      </c>
      <c r="I5580">
        <v>-61.58126</v>
      </c>
      <c r="J5580">
        <v>-259.85169999999999</v>
      </c>
      <c r="K5580">
        <v>1.103057</v>
      </c>
      <c r="L5580">
        <v>-62.98959</v>
      </c>
      <c r="M5580">
        <v>0.9999633</v>
      </c>
      <c r="N5580">
        <v>0</v>
      </c>
      <c r="O5580">
        <v>8.1492379999999996E-3</v>
      </c>
      <c r="P5580">
        <v>0.99032589999999998</v>
      </c>
      <c r="Q5580">
        <v>3.7427309999999998E-2</v>
      </c>
      <c r="R5580">
        <v>0.1336193</v>
      </c>
      <c r="S5580">
        <v>3.002014</v>
      </c>
      <c r="T5580">
        <v>-0.2032467</v>
      </c>
      <c r="U5580">
        <v>0.2597351</v>
      </c>
      <c r="V5580">
        <v>-0.12553300000000001</v>
      </c>
      <c r="W5580">
        <v>4.0096319999999998E-2</v>
      </c>
      <c r="X5580">
        <v>0.99127880000000002</v>
      </c>
      <c r="Y5580">
        <v>-7.7917940000000005E-2</v>
      </c>
      <c r="Z5580">
        <v>2.0797200000000002E-3</v>
      </c>
      <c r="AA5580">
        <v>0.996957599999999</v>
      </c>
      <c r="AB5580">
        <v>34</v>
      </c>
      <c r="AC5580">
        <v>16.1158999999999</v>
      </c>
      <c r="AD5580">
        <v>-1.1030579084462999</v>
      </c>
      <c r="AE5580">
        <v>1.4083299999999901</v>
      </c>
      <c r="AF5580">
        <v>-1.2710410748596701</v>
      </c>
      <c r="AG5580">
        <v>-1.1030579084462999</v>
      </c>
      <c r="AH5580">
        <v>16.052210858889001</v>
      </c>
      <c r="AI5580">
        <v>93.918780501569202</v>
      </c>
      <c r="AJ5580">
        <v>94.527330303218605</v>
      </c>
      <c r="AK5580">
        <v>16.140190693470799</v>
      </c>
    </row>
    <row r="5581" spans="1:37" x14ac:dyDescent="0.2">
      <c r="A5581" t="str">
        <f>"20200111153801411"</f>
        <v>20200111153801411</v>
      </c>
      <c r="B5581" t="str">
        <f>"1578728281399212"</f>
        <v>1578728281399212</v>
      </c>
      <c r="C5581" t="s">
        <v>37</v>
      </c>
      <c r="D5581">
        <v>5.2602359999999999</v>
      </c>
      <c r="E5581">
        <v>0.51824519999999996</v>
      </c>
      <c r="F5581" t="s">
        <v>60</v>
      </c>
      <c r="G5581">
        <v>-243.53139999999999</v>
      </c>
      <c r="H5581" s="1">
        <v>-8.2392889999999997E-7</v>
      </c>
      <c r="I5581">
        <v>-61.59308</v>
      </c>
      <c r="J5581">
        <v>-259.68630000000002</v>
      </c>
      <c r="K5581">
        <v>1.1030329999999999</v>
      </c>
      <c r="L5581">
        <v>-62.988369999999897</v>
      </c>
      <c r="M5581">
        <v>0.99996439999999998</v>
      </c>
      <c r="N5581">
        <v>0</v>
      </c>
      <c r="O5581">
        <v>8.0269069999999998E-3</v>
      </c>
      <c r="P5581">
        <v>0.99044310000000002</v>
      </c>
      <c r="Q5581">
        <v>3.7251329999999999E-2</v>
      </c>
      <c r="R5581">
        <v>0.1327979</v>
      </c>
      <c r="S5581">
        <v>3.0023499999999999</v>
      </c>
      <c r="T5581">
        <v>-0.2029232</v>
      </c>
      <c r="U5581">
        <v>0.25689699999999999</v>
      </c>
      <c r="V5581">
        <v>-0.12482989999999999</v>
      </c>
      <c r="W5581">
        <v>3.9929569999999998E-2</v>
      </c>
      <c r="X5581">
        <v>0.99137439999999999</v>
      </c>
      <c r="Y5581">
        <v>-7.7096919999999999E-2</v>
      </c>
      <c r="Z5581">
        <v>2.056848E-3</v>
      </c>
      <c r="AA5581">
        <v>0.9970215</v>
      </c>
      <c r="AB5581">
        <v>34</v>
      </c>
      <c r="AC5581">
        <v>16.154900000000001</v>
      </c>
      <c r="AD5581">
        <v>-1.1030338239288999</v>
      </c>
      <c r="AE5581">
        <v>1.3952899999999799</v>
      </c>
      <c r="AF5581">
        <v>-1.25974134408623</v>
      </c>
      <c r="AG5581">
        <v>-1.1030338239288999</v>
      </c>
      <c r="AH5581">
        <v>16.0911186531463</v>
      </c>
      <c r="AI5581">
        <v>93.909521883333298</v>
      </c>
      <c r="AJ5581">
        <v>94.476440958074704</v>
      </c>
      <c r="AK5581">
        <v>16.1780014643454</v>
      </c>
    </row>
    <row r="5582" spans="1:37" x14ac:dyDescent="0.2">
      <c r="A5582" t="str">
        <f>"20200111153801422"</f>
        <v>20200111153801422</v>
      </c>
      <c r="B5582" t="str">
        <f>"1578728281418731"</f>
        <v>1578728281418731</v>
      </c>
      <c r="C5582" t="s">
        <v>37</v>
      </c>
      <c r="D5582">
        <v>5.2802489999999898</v>
      </c>
      <c r="E5582">
        <v>0.51847010000000004</v>
      </c>
      <c r="F5582" t="s">
        <v>60</v>
      </c>
      <c r="G5582">
        <v>-243.40979999999999</v>
      </c>
      <c r="H5582" s="1">
        <v>-7.7760719999999899E-7</v>
      </c>
      <c r="I5582">
        <v>-61.615079999999999</v>
      </c>
      <c r="J5582">
        <v>-259.52179999999998</v>
      </c>
      <c r="K5582">
        <v>1.1030089999999999</v>
      </c>
      <c r="L5582">
        <v>-62.987119999999997</v>
      </c>
      <c r="M5582">
        <v>0.9999652</v>
      </c>
      <c r="N5582">
        <v>0</v>
      </c>
      <c r="O5582">
        <v>7.9027319999999904E-3</v>
      </c>
      <c r="P5582">
        <v>0.99050899999999997</v>
      </c>
      <c r="Q5582">
        <v>3.6878340000000003E-2</v>
      </c>
      <c r="R5582">
        <v>0.13240739999999901</v>
      </c>
      <c r="S5582">
        <v>3.00259399999999</v>
      </c>
      <c r="T5582">
        <v>-0.20348160000000001</v>
      </c>
      <c r="U5582">
        <v>0.25332640000000001</v>
      </c>
      <c r="V5582">
        <v>-0.124559899999999</v>
      </c>
      <c r="W5582">
        <v>3.9564589999999997E-2</v>
      </c>
      <c r="X5582">
        <v>0.99142299999999906</v>
      </c>
      <c r="Y5582">
        <v>-7.6037950000000007E-2</v>
      </c>
      <c r="Z5582">
        <v>2.0350419999999999E-3</v>
      </c>
      <c r="AA5582">
        <v>0.99710290000000001</v>
      </c>
      <c r="AB5582">
        <v>34</v>
      </c>
      <c r="AC5582">
        <v>16.111999999999899</v>
      </c>
      <c r="AD5582">
        <v>-1.1030097776072001</v>
      </c>
      <c r="AE5582">
        <v>1.3720399999999899</v>
      </c>
      <c r="AF5582">
        <v>-1.2389034131527401</v>
      </c>
      <c r="AG5582">
        <v>-1.1030097776072001</v>
      </c>
      <c r="AH5582">
        <v>16.047671878375301</v>
      </c>
      <c r="AI5582">
        <v>93.920316339390496</v>
      </c>
      <c r="AJ5582">
        <v>94.414560354731606</v>
      </c>
      <c r="AK5582">
        <v>16.133173430934701</v>
      </c>
    </row>
    <row r="5583" spans="1:37" x14ac:dyDescent="0.2">
      <c r="A5583" t="str">
        <f>"20200111153801435"</f>
        <v>20200111153801435</v>
      </c>
      <c r="B5583" t="str">
        <f>"1578728281428492"</f>
        <v>1578728281428492</v>
      </c>
      <c r="C5583" t="s">
        <v>37</v>
      </c>
      <c r="D5583">
        <v>5.2969269999999904</v>
      </c>
      <c r="E5583">
        <v>0.51847010000000004</v>
      </c>
      <c r="F5583" t="s">
        <v>60</v>
      </c>
      <c r="G5583">
        <v>-243.36609999999999</v>
      </c>
      <c r="H5583" s="1">
        <v>-7.6543850000000002E-7</v>
      </c>
      <c r="I5583">
        <v>-61.63993</v>
      </c>
      <c r="J5583">
        <v>-259.32769999999999</v>
      </c>
      <c r="K5583">
        <v>1.102983</v>
      </c>
      <c r="L5583">
        <v>-62.985689999999998</v>
      </c>
      <c r="M5583">
        <v>0.99996659999999904</v>
      </c>
      <c r="N5583">
        <v>0</v>
      </c>
      <c r="O5583">
        <v>7.7486930000000001E-3</v>
      </c>
      <c r="P5583">
        <v>0.99059699999999995</v>
      </c>
      <c r="Q5583">
        <v>3.6726420000000003E-2</v>
      </c>
      <c r="R5583">
        <v>0.13179189999999999</v>
      </c>
      <c r="S5583">
        <v>3.0029300000000001</v>
      </c>
      <c r="T5583">
        <v>-0.2050208</v>
      </c>
      <c r="U5583">
        <v>0.25039670000000003</v>
      </c>
      <c r="V5583">
        <v>-0.124095</v>
      </c>
      <c r="W5583">
        <v>3.9422140000000001E-2</v>
      </c>
      <c r="X5583">
        <v>0.99148689999999995</v>
      </c>
      <c r="Y5583">
        <v>-7.5215409999999996E-2</v>
      </c>
      <c r="Z5583">
        <v>2.0327409999999998E-3</v>
      </c>
      <c r="AA5583">
        <v>0.99716530000000003</v>
      </c>
      <c r="AB5583">
        <v>35</v>
      </c>
      <c r="AC5583">
        <v>15.961600000000001</v>
      </c>
      <c r="AD5583">
        <v>-1.1029837654385</v>
      </c>
      <c r="AE5583">
        <v>1.3457599999999901</v>
      </c>
      <c r="AF5583">
        <v>-1.21627078230314</v>
      </c>
      <c r="AG5583">
        <v>-1.1029837654385</v>
      </c>
      <c r="AH5583">
        <v>15.8961781467496</v>
      </c>
      <c r="AI5583">
        <v>93.957673922448393</v>
      </c>
      <c r="AJ5583">
        <v>94.3753704622534</v>
      </c>
      <c r="AK5583">
        <v>15.9807499034278</v>
      </c>
    </row>
    <row r="5584" spans="1:37" x14ac:dyDescent="0.2">
      <c r="A5584" t="str">
        <f>"20200111153801446"</f>
        <v>20200111153801446</v>
      </c>
      <c r="B5584" t="str">
        <f>"1578728281439228"</f>
        <v>1578728281439228</v>
      </c>
      <c r="C5584" t="s">
        <v>37</v>
      </c>
      <c r="D5584">
        <v>5.2328199999999896</v>
      </c>
      <c r="E5584">
        <v>0.53268409999999999</v>
      </c>
      <c r="F5584" t="s">
        <v>60</v>
      </c>
      <c r="G5584">
        <v>-243.2056</v>
      </c>
      <c r="H5584" s="1">
        <v>-6.9972950000000002E-7</v>
      </c>
      <c r="I5584">
        <v>-61.651649999999997</v>
      </c>
      <c r="J5584">
        <v>-259.1635</v>
      </c>
      <c r="K5584">
        <v>1.102965</v>
      </c>
      <c r="L5584">
        <v>-62.984499999999997</v>
      </c>
      <c r="M5584">
        <v>0.99996759999999996</v>
      </c>
      <c r="N5584">
        <v>0</v>
      </c>
      <c r="O5584">
        <v>7.6149379999999999E-3</v>
      </c>
      <c r="P5584">
        <v>0.99068919999999905</v>
      </c>
      <c r="Q5584">
        <v>3.6836029999999999E-2</v>
      </c>
      <c r="R5584">
        <v>0.1310653</v>
      </c>
      <c r="S5584">
        <v>3.0029910000000002</v>
      </c>
      <c r="T5584">
        <v>-0.20544770000000001</v>
      </c>
      <c r="U5584">
        <v>0.2484741</v>
      </c>
      <c r="V5584">
        <v>-0.1234987</v>
      </c>
      <c r="W5584">
        <v>3.9539350000000001E-2</v>
      </c>
      <c r="X5584">
        <v>0.99155669999999996</v>
      </c>
      <c r="Y5584">
        <v>-7.4713260000000004E-2</v>
      </c>
      <c r="Z5584">
        <v>2.0289710000000001E-3</v>
      </c>
      <c r="AA5584">
        <v>0.99720299999999995</v>
      </c>
      <c r="AB5584">
        <v>35</v>
      </c>
      <c r="AC5584">
        <v>15.957899999999899</v>
      </c>
      <c r="AD5584">
        <v>-1.1029656997294901</v>
      </c>
      <c r="AE5584">
        <v>1.3328500000000001</v>
      </c>
      <c r="AF5584">
        <v>-1.2055731682949</v>
      </c>
      <c r="AG5584">
        <v>-1.1029656997294901</v>
      </c>
      <c r="AH5584">
        <v>15.8921928434899</v>
      </c>
      <c r="AI5584">
        <v>93.958794073866599</v>
      </c>
      <c r="AJ5584">
        <v>94.338118167528094</v>
      </c>
      <c r="AK5584">
        <v>15.975973628344599</v>
      </c>
    </row>
    <row r="5585" spans="1:37" x14ac:dyDescent="0.2">
      <c r="A5585" t="str">
        <f>"20200111153801456"</f>
        <v>20200111153801456</v>
      </c>
      <c r="B5585" t="str">
        <f>"1578728281448988"</f>
        <v>1578728281448988</v>
      </c>
      <c r="C5585" t="s">
        <v>37</v>
      </c>
      <c r="D5585">
        <v>5.2180010000000001</v>
      </c>
      <c r="E5585">
        <v>0.53579460000000001</v>
      </c>
      <c r="F5585" t="s">
        <v>60</v>
      </c>
      <c r="G5585">
        <v>-243.5735</v>
      </c>
      <c r="H5585" s="1">
        <v>-1.0283419999999899E-6</v>
      </c>
      <c r="I5585">
        <v>-62.293590000000002</v>
      </c>
      <c r="J5585">
        <v>-258.9896</v>
      </c>
      <c r="K5585">
        <v>1.102948</v>
      </c>
      <c r="L5585">
        <v>-62.983249999999998</v>
      </c>
      <c r="M5585">
        <v>0.99996870000000004</v>
      </c>
      <c r="N5585">
        <v>0</v>
      </c>
      <c r="O5585">
        <v>7.4706340000000003E-3</v>
      </c>
      <c r="P5585">
        <v>0.99073149999999999</v>
      </c>
      <c r="Q5585">
        <v>3.6956559999999999E-2</v>
      </c>
      <c r="R5585">
        <v>0.13071289999999999</v>
      </c>
      <c r="S5585">
        <v>3.0184630000000001</v>
      </c>
      <c r="T5585">
        <v>-0.213550299999999</v>
      </c>
      <c r="U5585">
        <v>0.1337585</v>
      </c>
      <c r="V5585">
        <v>-0.1232876</v>
      </c>
      <c r="W5585">
        <v>3.9667510000000003E-2</v>
      </c>
      <c r="X5585">
        <v>0.99157790000000001</v>
      </c>
      <c r="Y5585">
        <v>-3.673245E-2</v>
      </c>
      <c r="Z5585">
        <v>7.6952679999999895E-4</v>
      </c>
      <c r="AA5585">
        <v>0.99932489999999996</v>
      </c>
      <c r="AB5585">
        <v>35</v>
      </c>
      <c r="AC5585">
        <v>15.4161</v>
      </c>
      <c r="AD5585">
        <v>-1.102949028342</v>
      </c>
      <c r="AE5585">
        <v>0.68965999999999605</v>
      </c>
      <c r="AF5585">
        <v>-0.57155254561629798</v>
      </c>
      <c r="AG5585">
        <v>-1.102949028342</v>
      </c>
      <c r="AH5585">
        <v>15.342445109519099</v>
      </c>
      <c r="AI5585">
        <v>94.109007275825803</v>
      </c>
      <c r="AJ5585">
        <v>92.133454746958805</v>
      </c>
      <c r="AK5585">
        <v>15.3926537936162</v>
      </c>
    </row>
    <row r="5586" spans="1:37" x14ac:dyDescent="0.2">
      <c r="A5586" t="str">
        <f>"20200111153801467"</f>
        <v>20200111153801467</v>
      </c>
      <c r="B5586" t="str">
        <f>"1578728281458747"</f>
        <v>1578728281458747</v>
      </c>
      <c r="C5586" t="s">
        <v>37</v>
      </c>
      <c r="D5586">
        <v>5.1967809999999997</v>
      </c>
      <c r="E5586">
        <v>0.53758899999999998</v>
      </c>
      <c r="F5586" t="s">
        <v>60</v>
      </c>
      <c r="G5586">
        <v>-243.13820000000001</v>
      </c>
      <c r="H5586" s="1">
        <v>-8.7424690000000001E-7</v>
      </c>
      <c r="I5586">
        <v>-62.416289999999996</v>
      </c>
      <c r="J5586">
        <v>-258.8252</v>
      </c>
      <c r="K5586">
        <v>1.102932</v>
      </c>
      <c r="L5586">
        <v>-62.982119999999902</v>
      </c>
      <c r="M5586">
        <v>0.99996960000000001</v>
      </c>
      <c r="N5586">
        <v>0</v>
      </c>
      <c r="O5586">
        <v>7.3313479999999997E-3</v>
      </c>
      <c r="P5586">
        <v>0.99079689999999998</v>
      </c>
      <c r="Q5586">
        <v>3.691386E-2</v>
      </c>
      <c r="R5586">
        <v>0.1302275</v>
      </c>
      <c r="S5586">
        <v>3.021652</v>
      </c>
      <c r="T5586">
        <v>-0.2102473</v>
      </c>
      <c r="U5586">
        <v>0.1080627</v>
      </c>
      <c r="V5586">
        <v>-0.122938899999999</v>
      </c>
      <c r="W5586">
        <v>3.9631300000000001E-2</v>
      </c>
      <c r="X5586">
        <v>0.99162260000000002</v>
      </c>
      <c r="Y5586">
        <v>-2.8361529999999999E-2</v>
      </c>
      <c r="Z5586">
        <v>4.7587550000000001E-4</v>
      </c>
      <c r="AA5586">
        <v>0.99959759999999998</v>
      </c>
      <c r="AB5586">
        <v>35</v>
      </c>
      <c r="AC5586">
        <v>15.6869999999999</v>
      </c>
      <c r="AD5586">
        <v>-1.1029328742469</v>
      </c>
      <c r="AE5586">
        <v>0.56582999999999095</v>
      </c>
      <c r="AF5586">
        <v>-0.44859287692040201</v>
      </c>
      <c r="AG5586">
        <v>-1.1029328742469</v>
      </c>
      <c r="AH5586">
        <v>15.613643838450001</v>
      </c>
      <c r="AI5586">
        <v>94.038946170418001</v>
      </c>
      <c r="AJ5586">
        <v>91.645702323435799</v>
      </c>
      <c r="AK5586">
        <v>15.6589773104212</v>
      </c>
    </row>
    <row r="5587" spans="1:37" x14ac:dyDescent="0.2">
      <c r="A5587" t="str">
        <f>"20200111153801477"</f>
        <v>20200111153801477</v>
      </c>
      <c r="B5587" t="str">
        <f>"1578728281468507"</f>
        <v>1578728281468507</v>
      </c>
      <c r="C5587" t="s">
        <v>37</v>
      </c>
      <c r="D5587">
        <v>5.1823569999999997</v>
      </c>
      <c r="E5587">
        <v>0.53871759999999902</v>
      </c>
      <c r="F5587" t="s">
        <v>60</v>
      </c>
      <c r="G5587">
        <v>-242.5804</v>
      </c>
      <c r="H5587" s="1">
        <v>-6.5343650000000002E-7</v>
      </c>
      <c r="I5587">
        <v>-62.485709999999997</v>
      </c>
      <c r="J5587">
        <v>-258.6619</v>
      </c>
      <c r="K5587">
        <v>1.10292099999999</v>
      </c>
      <c r="L5587">
        <v>-62.980989999999998</v>
      </c>
      <c r="M5587">
        <v>0.99997060000000004</v>
      </c>
      <c r="N5587">
        <v>0</v>
      </c>
      <c r="O5587">
        <v>7.1921839999999999E-3</v>
      </c>
      <c r="P5587">
        <v>0.99081180000000002</v>
      </c>
      <c r="Q5587">
        <v>3.6969990000000001E-2</v>
      </c>
      <c r="R5587">
        <v>0.13009749999999901</v>
      </c>
      <c r="S5587">
        <v>3.0233759999999998</v>
      </c>
      <c r="T5587">
        <v>-0.20527110000000001</v>
      </c>
      <c r="U5587">
        <v>9.2376710000000001E-2</v>
      </c>
      <c r="V5587">
        <v>-0.1229461</v>
      </c>
      <c r="W5587">
        <v>3.9694189999999997E-2</v>
      </c>
      <c r="X5587">
        <v>0.99161919999999903</v>
      </c>
      <c r="Y5587">
        <v>-2.3313179999999999E-2</v>
      </c>
      <c r="Z5587">
        <v>3.0270520000000002E-4</v>
      </c>
      <c r="AA5587">
        <v>0.99972809999999901</v>
      </c>
      <c r="AB5587">
        <v>35</v>
      </c>
      <c r="AC5587">
        <v>16.081499999999998</v>
      </c>
      <c r="AD5587">
        <v>-1.1029216534364901</v>
      </c>
      <c r="AE5587">
        <v>0.49528000000000799</v>
      </c>
      <c r="AF5587">
        <v>-0.37783017222162901</v>
      </c>
      <c r="AG5587">
        <v>-1.1029216534364901</v>
      </c>
      <c r="AH5587">
        <v>16.0094146855471</v>
      </c>
      <c r="AI5587">
        <v>93.939904062922196</v>
      </c>
      <c r="AJ5587">
        <v>91.351958007318501</v>
      </c>
      <c r="AK5587">
        <v>16.051808321384499</v>
      </c>
    </row>
    <row r="5588" spans="1:37" x14ac:dyDescent="0.2">
      <c r="A5588" t="str">
        <f>"20200111153801489"</f>
        <v>20200111153801489</v>
      </c>
      <c r="B5588" t="str">
        <f>"1578728281479243"</f>
        <v>1578728281479243</v>
      </c>
      <c r="C5588" t="s">
        <v>37</v>
      </c>
      <c r="D5588">
        <v>5.2214279999999897</v>
      </c>
      <c r="E5588">
        <v>0.53935559999999905</v>
      </c>
      <c r="F5588" t="s">
        <v>60</v>
      </c>
      <c r="G5588">
        <v>-242.04509999999999</v>
      </c>
      <c r="H5588" s="1">
        <v>-4.3435470000000002E-7</v>
      </c>
      <c r="I5588">
        <v>-62.525359999999999</v>
      </c>
      <c r="J5588">
        <v>-258.48630000000003</v>
      </c>
      <c r="K5588">
        <v>1.1029089999999999</v>
      </c>
      <c r="L5588">
        <v>-62.97983</v>
      </c>
      <c r="M5588">
        <v>0.99997169999999902</v>
      </c>
      <c r="N5588">
        <v>0</v>
      </c>
      <c r="O5588">
        <v>7.0406259999999899E-3</v>
      </c>
      <c r="P5588">
        <v>0.99081350000000001</v>
      </c>
      <c r="Q5588">
        <v>3.7306119999999998E-2</v>
      </c>
      <c r="R5588">
        <v>0.1299901</v>
      </c>
      <c r="S5588">
        <v>3.0243989999999998</v>
      </c>
      <c r="T5588">
        <v>-0.20074110000000001</v>
      </c>
      <c r="U5588">
        <v>8.2916260000000006E-2</v>
      </c>
      <c r="V5588">
        <v>-0.1229875</v>
      </c>
      <c r="W5588">
        <v>4.0036769999999999E-2</v>
      </c>
      <c r="X5588">
        <v>0.99160029999999999</v>
      </c>
      <c r="Y5588">
        <v>-2.0337569999999999E-2</v>
      </c>
      <c r="Z5588">
        <v>2.073736E-4</v>
      </c>
      <c r="AA5588">
        <v>0.99979319999999905</v>
      </c>
      <c r="AB5588">
        <v>35</v>
      </c>
      <c r="AC5588">
        <v>16.441199999999998</v>
      </c>
      <c r="AD5588">
        <v>-1.1029094343546999</v>
      </c>
      <c r="AE5588">
        <v>0.45447000000000698</v>
      </c>
      <c r="AF5588">
        <v>-0.33718581041222001</v>
      </c>
      <c r="AG5588">
        <v>-1.1029094343546999</v>
      </c>
      <c r="AH5588">
        <v>16.3703817571045</v>
      </c>
      <c r="AI5588">
        <v>93.853506073755696</v>
      </c>
      <c r="AJ5588">
        <v>91.179972022726901</v>
      </c>
      <c r="AK5588">
        <v>16.410956777850402</v>
      </c>
    </row>
    <row r="5589" spans="1:37" x14ac:dyDescent="0.2">
      <c r="A5589" t="str">
        <f>"20200111153801500"</f>
        <v>20200111153801500</v>
      </c>
      <c r="B5589" t="str">
        <f>"1578728281489003"</f>
        <v>1578728281489003</v>
      </c>
      <c r="C5589" t="s">
        <v>37</v>
      </c>
      <c r="D5589">
        <v>5.2011000000000003</v>
      </c>
      <c r="E5589">
        <v>0.53965220000000003</v>
      </c>
      <c r="F5589" t="s">
        <v>60</v>
      </c>
      <c r="G5589">
        <v>-241.58949999999999</v>
      </c>
      <c r="H5589" s="1">
        <v>-2.4460130000000001E-7</v>
      </c>
      <c r="I5589">
        <v>-62.546810000000001</v>
      </c>
      <c r="J5589">
        <v>-258.30739999999997</v>
      </c>
      <c r="K5589">
        <v>1.1029040000000001</v>
      </c>
      <c r="L5589">
        <v>-62.978700000000003</v>
      </c>
      <c r="M5589">
        <v>0.99997259999999999</v>
      </c>
      <c r="N5589">
        <v>0</v>
      </c>
      <c r="O5589">
        <v>6.8862080000000004E-3</v>
      </c>
      <c r="P5589">
        <v>0.99079169999999905</v>
      </c>
      <c r="Q5589">
        <v>3.7448240000000001E-2</v>
      </c>
      <c r="R5589">
        <v>0.13011300000000001</v>
      </c>
      <c r="S5589">
        <v>3.0251160000000001</v>
      </c>
      <c r="T5589">
        <v>-0.19745889999999999</v>
      </c>
      <c r="U5589">
        <v>7.7514650000000004E-2</v>
      </c>
      <c r="V5589">
        <v>-0.12326289999999999</v>
      </c>
      <c r="W5589">
        <v>4.0185899999999997E-2</v>
      </c>
      <c r="X5589">
        <v>0.99156</v>
      </c>
      <c r="Y5589">
        <v>-1.8705570000000001E-2</v>
      </c>
      <c r="Z5589">
        <v>1.6081489999999999E-4</v>
      </c>
      <c r="AA5589">
        <v>0.99982499999999996</v>
      </c>
      <c r="AB5589">
        <v>35</v>
      </c>
      <c r="AC5589">
        <v>16.717899999999901</v>
      </c>
      <c r="AD5589">
        <v>-1.1029042446013</v>
      </c>
      <c r="AE5589">
        <v>0.43189000000000199</v>
      </c>
      <c r="AF5589">
        <v>-0.31538468596046898</v>
      </c>
      <c r="AG5589">
        <v>-1.1029042446013</v>
      </c>
      <c r="AH5589">
        <v>16.648069748220198</v>
      </c>
      <c r="AI5589">
        <v>93.789524529008901</v>
      </c>
      <c r="AJ5589">
        <v>91.085293999080704</v>
      </c>
      <c r="AK5589">
        <v>16.687543007120599</v>
      </c>
    </row>
    <row r="5590" spans="1:37" x14ac:dyDescent="0.2">
      <c r="A5590" t="str">
        <f>"20200111153801510"</f>
        <v>20200111153801510</v>
      </c>
      <c r="B5590" t="str">
        <f>"1578728281498763"</f>
        <v>1578728281498763</v>
      </c>
      <c r="C5590" t="s">
        <v>37</v>
      </c>
      <c r="D5590">
        <v>5.2060940000000002</v>
      </c>
      <c r="E5590">
        <v>0.54007609999999995</v>
      </c>
      <c r="F5590" t="s">
        <v>38</v>
      </c>
      <c r="G5590">
        <v>-257.28030000000001</v>
      </c>
      <c r="H5590">
        <v>1.036257</v>
      </c>
      <c r="I5590">
        <v>-62.953219999999902</v>
      </c>
      <c r="J5590">
        <v>-258.13920000000002</v>
      </c>
      <c r="K5590">
        <v>1.102897</v>
      </c>
      <c r="L5590">
        <v>-62.977629999999998</v>
      </c>
      <c r="M5590">
        <v>0.99997369999999997</v>
      </c>
      <c r="N5590">
        <v>0</v>
      </c>
      <c r="O5590">
        <v>6.7400230000000004E-3</v>
      </c>
      <c r="P5590">
        <v>0.99075609999999903</v>
      </c>
      <c r="Q5590">
        <v>3.7513089999999999E-2</v>
      </c>
      <c r="R5590">
        <v>0.13036539999999999</v>
      </c>
      <c r="S5590">
        <v>3.0254059999999998</v>
      </c>
      <c r="T5590">
        <v>-0.19629630000000001</v>
      </c>
      <c r="U5590">
        <v>7.5378420000000002E-2</v>
      </c>
      <c r="V5590">
        <v>-0.1236597</v>
      </c>
      <c r="W5590">
        <v>4.0256889999999997E-2</v>
      </c>
      <c r="X5590">
        <v>0.99150780000000005</v>
      </c>
      <c r="Y5590">
        <v>-1.814493E-2</v>
      </c>
      <c r="Z5590">
        <v>1.511626E-4</v>
      </c>
      <c r="AA5590">
        <v>0.99983539999999904</v>
      </c>
      <c r="AB5590">
        <v>35</v>
      </c>
      <c r="AC5590">
        <v>0.85890000000000499</v>
      </c>
      <c r="AD5590">
        <v>-6.6640000000000005E-2</v>
      </c>
      <c r="AE5590">
        <v>2.4410000000010201E-2</v>
      </c>
      <c r="AF5590">
        <v>-1.85090872539974E-2</v>
      </c>
      <c r="AG5590">
        <v>-6.6640000000000005E-2</v>
      </c>
      <c r="AH5590">
        <v>0.85390877163650702</v>
      </c>
      <c r="AI5590">
        <v>94.461338725825797</v>
      </c>
      <c r="AJ5590">
        <v>91.241732815214704</v>
      </c>
      <c r="AK5590">
        <v>0.85670512207453497</v>
      </c>
    </row>
    <row r="5591" spans="1:37" x14ac:dyDescent="0.2">
      <c r="A5591" t="str">
        <f>"20200111153801523"</f>
        <v>20200111153801523</v>
      </c>
      <c r="B5591" t="str">
        <f>"1578728281519259"</f>
        <v>1578728281519259</v>
      </c>
      <c r="C5591" t="s">
        <v>37</v>
      </c>
      <c r="D5591">
        <v>5.2085189999999999</v>
      </c>
      <c r="E5591">
        <v>0.54072619999999905</v>
      </c>
      <c r="F5591" t="s">
        <v>60</v>
      </c>
      <c r="G5591">
        <v>-240.91409999999999</v>
      </c>
      <c r="H5591" s="1">
        <v>4.0642819999999998E-8</v>
      </c>
      <c r="I5591">
        <v>-62.563749999999999</v>
      </c>
      <c r="J5591">
        <v>-257.9547</v>
      </c>
      <c r="K5591">
        <v>1.1028899999999999</v>
      </c>
      <c r="L5591">
        <v>-62.976500000000001</v>
      </c>
      <c r="M5591">
        <v>0.99997479999999905</v>
      </c>
      <c r="N5591">
        <v>0</v>
      </c>
      <c r="O5591">
        <v>6.5794709999999999E-3</v>
      </c>
      <c r="P5591">
        <v>0.99071149999999997</v>
      </c>
      <c r="Q5591">
        <v>3.7703729999999998E-2</v>
      </c>
      <c r="R5591">
        <v>0.13064980000000001</v>
      </c>
      <c r="S5591">
        <v>3.0257869999999998</v>
      </c>
      <c r="T5591">
        <v>-0.19373679999999999</v>
      </c>
      <c r="U5591">
        <v>7.2692870000000007E-2</v>
      </c>
      <c r="V5591">
        <v>-0.12410259999999999</v>
      </c>
      <c r="W5591">
        <v>4.045414E-2</v>
      </c>
      <c r="X5591">
        <v>0.9914444</v>
      </c>
      <c r="Y5591">
        <v>-1.7417220000000001E-2</v>
      </c>
      <c r="Z5591">
        <v>1.3617579999999999E-4</v>
      </c>
      <c r="AA5591">
        <v>0.99984830000000002</v>
      </c>
      <c r="AB5591">
        <v>35</v>
      </c>
      <c r="AC5591">
        <v>17.040600000000001</v>
      </c>
      <c r="AD5591">
        <v>-1.1028899593571799</v>
      </c>
      <c r="AE5591">
        <v>0.412750000000002</v>
      </c>
      <c r="AF5591">
        <v>-0.299369256846438</v>
      </c>
      <c r="AG5591">
        <v>-1.1028899593571799</v>
      </c>
      <c r="AH5591">
        <v>16.971895833281099</v>
      </c>
      <c r="AI5591">
        <v>93.717465042739505</v>
      </c>
      <c r="AJ5591">
        <v>91.010542162751804</v>
      </c>
      <c r="AK5591">
        <v>17.010327345178901</v>
      </c>
    </row>
    <row r="5592" spans="1:37" x14ac:dyDescent="0.2">
      <c r="A5592" t="str">
        <f>"20200111153801533"</f>
        <v>20200111153801533</v>
      </c>
      <c r="B5592" t="str">
        <f>"1578728281529019"</f>
        <v>1578728281529019</v>
      </c>
      <c r="C5592" t="s">
        <v>37</v>
      </c>
      <c r="D5592">
        <v>5.229241</v>
      </c>
      <c r="E5592">
        <v>0.54087589999999997</v>
      </c>
      <c r="F5592" t="s">
        <v>38</v>
      </c>
      <c r="G5592">
        <v>-256.95620000000002</v>
      </c>
      <c r="H5592">
        <v>1.039647</v>
      </c>
      <c r="I5592">
        <v>-62.953989999999997</v>
      </c>
      <c r="J5592">
        <v>-257.76960000000003</v>
      </c>
      <c r="K5592">
        <v>1.1028789999999999</v>
      </c>
      <c r="L5592">
        <v>-62.975369999999998</v>
      </c>
      <c r="M5592">
        <v>0.99997590000000003</v>
      </c>
      <c r="N5592">
        <v>0</v>
      </c>
      <c r="O5592">
        <v>6.4183269999999997E-3</v>
      </c>
      <c r="P5592">
        <v>0.99064680000000005</v>
      </c>
      <c r="Q5592">
        <v>3.795362E-2</v>
      </c>
      <c r="R5592">
        <v>0.13106699999999999</v>
      </c>
      <c r="S5592">
        <v>3.0264129999999998</v>
      </c>
      <c r="T5592">
        <v>-0.19167579999999901</v>
      </c>
      <c r="U5592">
        <v>6.8298339999999999E-2</v>
      </c>
      <c r="V5592">
        <v>-0.1246795</v>
      </c>
      <c r="W5592">
        <v>4.071143E-2</v>
      </c>
      <c r="X5592">
        <v>0.99136150000000001</v>
      </c>
      <c r="Y5592">
        <v>-1.612506E-2</v>
      </c>
      <c r="Z5592">
        <v>1.0402499999999999E-4</v>
      </c>
      <c r="AA5592">
        <v>0.99987000000000004</v>
      </c>
      <c r="AB5592">
        <v>35</v>
      </c>
      <c r="AC5592">
        <v>0.81340000000000101</v>
      </c>
      <c r="AD5592">
        <v>-6.3232000000000094E-2</v>
      </c>
      <c r="AE5592">
        <v>2.1379999999993501E-2</v>
      </c>
      <c r="AF5592">
        <v>-1.6061876363726399E-2</v>
      </c>
      <c r="AG5592">
        <v>-6.3232000000000094E-2</v>
      </c>
      <c r="AH5592">
        <v>0.80863710465159899</v>
      </c>
      <c r="AI5592">
        <v>94.470311004771702</v>
      </c>
      <c r="AJ5592">
        <v>91.137910594109002</v>
      </c>
      <c r="AK5592">
        <v>0.81126459106486604</v>
      </c>
    </row>
    <row r="5593" spans="1:37" x14ac:dyDescent="0.2">
      <c r="A5593" t="str">
        <f>"20200111153801545"</f>
        <v>20200111153801545</v>
      </c>
      <c r="B5593" t="str">
        <f>"1578728281538779"</f>
        <v>1578728281538779</v>
      </c>
      <c r="C5593" t="s">
        <v>37</v>
      </c>
      <c r="D5593">
        <v>5.2364629999999996</v>
      </c>
      <c r="E5593">
        <v>0.54100389999999998</v>
      </c>
      <c r="F5593" t="s">
        <v>60</v>
      </c>
      <c r="G5593">
        <v>-240.18379999999999</v>
      </c>
      <c r="H5593" s="1">
        <v>3.5006600000000001E-7</v>
      </c>
      <c r="I5593">
        <v>-62.578290000000003</v>
      </c>
      <c r="J5593">
        <v>-257.58789999999999</v>
      </c>
      <c r="K5593">
        <v>1.102873</v>
      </c>
      <c r="L5593">
        <v>-62.974299999999999</v>
      </c>
      <c r="M5593">
        <v>0.9999768</v>
      </c>
      <c r="N5593">
        <v>0</v>
      </c>
      <c r="O5593">
        <v>6.2602839999999996E-3</v>
      </c>
      <c r="P5593">
        <v>0.99055170000000003</v>
      </c>
      <c r="Q5593">
        <v>3.858048E-2</v>
      </c>
      <c r="R5593">
        <v>0.13160250000000001</v>
      </c>
      <c r="S5593">
        <v>3.0265499999999999</v>
      </c>
      <c r="T5593">
        <v>-0.1898079</v>
      </c>
      <c r="U5593">
        <v>6.8328860000000005E-2</v>
      </c>
      <c r="V5593">
        <v>-0.12537110000000001</v>
      </c>
      <c r="W5593">
        <v>4.1344599999999898E-2</v>
      </c>
      <c r="X5593">
        <v>0.99124809999999997</v>
      </c>
      <c r="Y5593">
        <v>-1.6291880000000002E-2</v>
      </c>
      <c r="Z5593">
        <v>1.18133799999999E-4</v>
      </c>
      <c r="AA5593">
        <v>0.99986730000000001</v>
      </c>
      <c r="AB5593">
        <v>35</v>
      </c>
      <c r="AC5593">
        <v>17.4041</v>
      </c>
      <c r="AD5593">
        <v>-1.102872649934</v>
      </c>
      <c r="AE5593">
        <v>0.39600999999999598</v>
      </c>
      <c r="AF5593">
        <v>-0.28589978082788903</v>
      </c>
      <c r="AG5593">
        <v>-1.102872649934</v>
      </c>
      <c r="AH5593">
        <v>17.336657494573899</v>
      </c>
      <c r="AI5593">
        <v>93.6394765194445</v>
      </c>
      <c r="AJ5593">
        <v>90.944782239690298</v>
      </c>
      <c r="AK5593">
        <v>17.374054214569899</v>
      </c>
    </row>
    <row r="5594" spans="1:37" x14ac:dyDescent="0.2">
      <c r="A5594" t="str">
        <f>"20200111153801556"</f>
        <v>20200111153801556</v>
      </c>
      <c r="B5594" t="str">
        <f>"1578728281548541"</f>
        <v>1578728281548541</v>
      </c>
      <c r="C5594" t="s">
        <v>37</v>
      </c>
      <c r="D5594">
        <v>5.1931529999999997</v>
      </c>
      <c r="E5594">
        <v>0.54110849999999999</v>
      </c>
      <c r="F5594" t="s">
        <v>61</v>
      </c>
      <c r="G5594">
        <v>-239.75700000000001</v>
      </c>
      <c r="H5594" s="1">
        <v>-3.5820109999999998E-6</v>
      </c>
      <c r="I5594">
        <v>-62.568649999999998</v>
      </c>
      <c r="J5594">
        <v>-257.41090000000003</v>
      </c>
      <c r="K5594">
        <v>1.1028709999999999</v>
      </c>
      <c r="L5594">
        <v>-62.973300000000002</v>
      </c>
      <c r="M5594">
        <v>0.99997780000000003</v>
      </c>
      <c r="N5594">
        <v>0</v>
      </c>
      <c r="O5594">
        <v>6.1066549999999999E-3</v>
      </c>
      <c r="P5594">
        <v>0.99046060000000002</v>
      </c>
      <c r="Q5594">
        <v>3.8758580000000001E-2</v>
      </c>
      <c r="R5594">
        <v>0.13223470000000001</v>
      </c>
      <c r="S5594">
        <v>3.0267330000000001</v>
      </c>
      <c r="T5594">
        <v>-0.18720999999999999</v>
      </c>
      <c r="U5594">
        <v>6.8847660000000005E-2</v>
      </c>
      <c r="V5594">
        <v>-0.12615560000000001</v>
      </c>
      <c r="W5594">
        <v>4.1528969999999998E-2</v>
      </c>
      <c r="X5594">
        <v>0.99114080000000004</v>
      </c>
      <c r="Y5594">
        <v>-1.6615049999999999E-2</v>
      </c>
      <c r="Z5594">
        <v>1.35988E-4</v>
      </c>
      <c r="AA5594">
        <v>0.99986200000000003</v>
      </c>
      <c r="AB5594">
        <v>36</v>
      </c>
      <c r="AC5594">
        <v>17.6539</v>
      </c>
      <c r="AD5594">
        <v>-1.102874582011</v>
      </c>
      <c r="AE5594">
        <v>0.40465000000000301</v>
      </c>
      <c r="AF5594">
        <v>-0.29568242591008598</v>
      </c>
      <c r="AG5594">
        <v>-1.102874582011</v>
      </c>
      <c r="AH5594">
        <v>17.587438529549701</v>
      </c>
      <c r="AI5594">
        <v>93.587704527564497</v>
      </c>
      <c r="AJ5594">
        <v>90.963173754755701</v>
      </c>
      <c r="AK5594">
        <v>17.624464657722999</v>
      </c>
    </row>
    <row r="5595" spans="1:37" x14ac:dyDescent="0.2">
      <c r="A5595" t="str">
        <f>"20200111153801568"</f>
        <v>20200111153801568</v>
      </c>
      <c r="B5595" t="str">
        <f>"1578728281559276"</f>
        <v>1578728281559276</v>
      </c>
      <c r="C5595" t="s">
        <v>37</v>
      </c>
      <c r="D5595">
        <v>5.1758989999999896</v>
      </c>
      <c r="E5595">
        <v>0.54115619999999998</v>
      </c>
      <c r="F5595" t="s">
        <v>61</v>
      </c>
      <c r="G5595">
        <v>-239.51329999999999</v>
      </c>
      <c r="H5595" s="1">
        <v>-3.497403E-6</v>
      </c>
      <c r="I5595">
        <v>-62.559289999999997</v>
      </c>
      <c r="J5595">
        <v>-257.22989999999999</v>
      </c>
      <c r="K5595">
        <v>1.102867</v>
      </c>
      <c r="L5595">
        <v>-62.972290000000001</v>
      </c>
      <c r="M5595">
        <v>0.99997860000000005</v>
      </c>
      <c r="N5595">
        <v>0</v>
      </c>
      <c r="O5595">
        <v>5.9498069999999997E-3</v>
      </c>
      <c r="P5595">
        <v>0.99037699999999995</v>
      </c>
      <c r="Q5595">
        <v>3.9239879999999998E-2</v>
      </c>
      <c r="R5595">
        <v>0.1327168</v>
      </c>
      <c r="S5595">
        <v>3.0268860000000002</v>
      </c>
      <c r="T5595">
        <v>-0.1865212</v>
      </c>
      <c r="U5595">
        <v>7.0007319999999998E-2</v>
      </c>
      <c r="V5595">
        <v>-0.12679289999999999</v>
      </c>
      <c r="W5595">
        <v>4.2017310000000002E-2</v>
      </c>
      <c r="X5595">
        <v>0.99103889999999994</v>
      </c>
      <c r="Y5595">
        <v>-1.715243E-2</v>
      </c>
      <c r="Z5595">
        <v>1.6167469999999999E-4</v>
      </c>
      <c r="AA5595">
        <v>0.99985290000000004</v>
      </c>
      <c r="AB5595">
        <v>36</v>
      </c>
      <c r="AC5595">
        <v>17.7166</v>
      </c>
      <c r="AD5595">
        <v>-1.1028704974029999</v>
      </c>
      <c r="AE5595">
        <v>0.41299999999999598</v>
      </c>
      <c r="AF5595">
        <v>-0.30639526696540198</v>
      </c>
      <c r="AG5595">
        <v>-1.1028704974029999</v>
      </c>
      <c r="AH5595">
        <v>17.6503829935962</v>
      </c>
      <c r="AI5595">
        <v>93.574896843292905</v>
      </c>
      <c r="AJ5595">
        <v>90.9945049142557</v>
      </c>
      <c r="AK5595">
        <v>17.687459433573</v>
      </c>
    </row>
    <row r="5596" spans="1:37" x14ac:dyDescent="0.2">
      <c r="A5596" t="str">
        <f>"20200111153801576"</f>
        <v>20200111153801576</v>
      </c>
      <c r="B5596" t="str">
        <f>"1578728281569036"</f>
        <v>1578728281569036</v>
      </c>
      <c r="C5596" t="s">
        <v>37</v>
      </c>
      <c r="D5596">
        <v>5.1794190000000002</v>
      </c>
      <c r="E5596">
        <v>0.54127990000000004</v>
      </c>
      <c r="F5596" t="s">
        <v>61</v>
      </c>
      <c r="G5596">
        <v>-239.17330000000001</v>
      </c>
      <c r="H5596" s="1">
        <v>-3.379553E-6</v>
      </c>
      <c r="I5596">
        <v>-62.547150000000002</v>
      </c>
      <c r="J5596">
        <v>-257.06970000000001</v>
      </c>
      <c r="K5596">
        <v>1.1028659999999999</v>
      </c>
      <c r="L5596">
        <v>-62.971469999999997</v>
      </c>
      <c r="M5596">
        <v>0.99997950000000002</v>
      </c>
      <c r="N5596">
        <v>0</v>
      </c>
      <c r="O5596">
        <v>5.8109640000000001E-3</v>
      </c>
      <c r="P5596">
        <v>0.99030959999999901</v>
      </c>
      <c r="Q5596">
        <v>3.9455240000000003E-2</v>
      </c>
      <c r="R5596">
        <v>0.13315589999999999</v>
      </c>
      <c r="S5596">
        <v>3.0269619999999899</v>
      </c>
      <c r="T5596">
        <v>-0.18488279999999899</v>
      </c>
      <c r="U5596">
        <v>7.1258539999999995E-2</v>
      </c>
      <c r="V5596">
        <v>-0.1273697</v>
      </c>
      <c r="W5596">
        <v>4.2238369999999997E-2</v>
      </c>
      <c r="X5596">
        <v>0.99095549999999999</v>
      </c>
      <c r="Y5596">
        <v>-1.7702829999999999E-2</v>
      </c>
      <c r="Z5596">
        <v>1.8551439999999999E-4</v>
      </c>
      <c r="AA5596">
        <v>0.99984329999999999</v>
      </c>
      <c r="AB5596">
        <v>36</v>
      </c>
      <c r="AC5596">
        <v>17.8964</v>
      </c>
      <c r="AD5596">
        <v>-1.10286937955299</v>
      </c>
      <c r="AE5596">
        <v>0.42431999999999398</v>
      </c>
      <c r="AF5596">
        <v>-0.319105946589478</v>
      </c>
      <c r="AG5596">
        <v>-1.10286937955299</v>
      </c>
      <c r="AH5596">
        <v>17.830885846715798</v>
      </c>
      <c r="AI5596">
        <v>93.538763447579399</v>
      </c>
      <c r="AJ5596">
        <v>91.025270004938704</v>
      </c>
      <c r="AK5596">
        <v>17.8678101498788</v>
      </c>
    </row>
    <row r="5597" spans="1:37" x14ac:dyDescent="0.2">
      <c r="A5597" t="str">
        <f>"20200111153801601"</f>
        <v>20200111153801601</v>
      </c>
      <c r="B5597" t="str">
        <f>"1578728281588555"</f>
        <v>1578728281588555</v>
      </c>
      <c r="C5597" t="s">
        <v>37</v>
      </c>
      <c r="D5597">
        <v>5.2050830000000001</v>
      </c>
      <c r="E5597">
        <v>0.54144459999999905</v>
      </c>
      <c r="F5597" t="s">
        <v>61</v>
      </c>
      <c r="G5597">
        <v>-238.9537</v>
      </c>
      <c r="H5597" s="1">
        <v>-3.303844E-6</v>
      </c>
      <c r="I5597">
        <v>-62.541649999999997</v>
      </c>
      <c r="J5597">
        <v>-256.70069999999998</v>
      </c>
      <c r="K5597">
        <v>1.102865</v>
      </c>
      <c r="L5597">
        <v>-62.969540000000002</v>
      </c>
      <c r="M5597">
        <v>0.99998120000000001</v>
      </c>
      <c r="N5597">
        <v>0</v>
      </c>
      <c r="O5597">
        <v>5.4953739999999999E-3</v>
      </c>
      <c r="P5597">
        <v>0.99022410000000005</v>
      </c>
      <c r="Q5597">
        <v>3.9924830000000001E-2</v>
      </c>
      <c r="R5597">
        <v>0.13365050000000001</v>
      </c>
      <c r="S5597">
        <v>3.0270389999999998</v>
      </c>
      <c r="T5597">
        <v>-0.18428050000000001</v>
      </c>
      <c r="U5597">
        <v>7.1807860000000001E-2</v>
      </c>
      <c r="V5597">
        <v>-0.12817590000000001</v>
      </c>
      <c r="W5597">
        <v>4.2720969999999997E-2</v>
      </c>
      <c r="X5597">
        <v>0.99083089999999996</v>
      </c>
      <c r="Y5597">
        <v>-1.8197769999999999E-2</v>
      </c>
      <c r="Z5597">
        <v>2.1914699999999999E-4</v>
      </c>
      <c r="AA5597">
        <v>0.99983440000000001</v>
      </c>
      <c r="AB5597">
        <v>36</v>
      </c>
      <c r="AC5597">
        <v>17.7469999999999</v>
      </c>
      <c r="AD5597">
        <v>-1.1028683038439999</v>
      </c>
      <c r="AE5597">
        <v>0.42789000000000499</v>
      </c>
      <c r="AF5597">
        <v>-0.32908662499157998</v>
      </c>
      <c r="AG5597">
        <v>-1.1028683038439999</v>
      </c>
      <c r="AH5597">
        <v>17.680842042238101</v>
      </c>
      <c r="AI5597">
        <v>93.568666943092396</v>
      </c>
      <c r="AJ5597">
        <v>91.066300902071404</v>
      </c>
      <c r="AK5597">
        <v>17.718261535064499</v>
      </c>
    </row>
    <row r="5598" spans="1:37" x14ac:dyDescent="0.2">
      <c r="A5598" t="str">
        <f>"20200111153801611"</f>
        <v>20200111153801611</v>
      </c>
      <c r="B5598" t="str">
        <f>"1578728281599291"</f>
        <v>1578728281599291</v>
      </c>
      <c r="C5598" t="s">
        <v>37</v>
      </c>
      <c r="D5598">
        <v>5.1951989999999997</v>
      </c>
      <c r="E5598">
        <v>0.54146329999999998</v>
      </c>
      <c r="F5598" t="s">
        <v>61</v>
      </c>
      <c r="G5598">
        <v>-238.40299999999999</v>
      </c>
      <c r="H5598" s="1">
        <v>-3.1149399999999999E-6</v>
      </c>
      <c r="I5598">
        <v>-62.533230000000003</v>
      </c>
      <c r="J5598">
        <v>-256.52330000000001</v>
      </c>
      <c r="K5598">
        <v>1.102867</v>
      </c>
      <c r="L5598">
        <v>-62.968690000000002</v>
      </c>
      <c r="M5598">
        <v>0.99998199999999904</v>
      </c>
      <c r="N5598">
        <v>0</v>
      </c>
      <c r="O5598">
        <v>5.3484359999999998E-3</v>
      </c>
      <c r="P5598">
        <v>0.99018649999999997</v>
      </c>
      <c r="Q5598">
        <v>4.0185209999999999E-2</v>
      </c>
      <c r="R5598">
        <v>0.13385039999999901</v>
      </c>
      <c r="S5598">
        <v>3.027237</v>
      </c>
      <c r="T5598">
        <v>-0.18246180000000001</v>
      </c>
      <c r="U5598">
        <v>7.2174070000000007E-2</v>
      </c>
      <c r="V5598">
        <v>-0.12852169999999999</v>
      </c>
      <c r="W5598">
        <v>4.2987280000000003E-2</v>
      </c>
      <c r="X5598">
        <v>0.99077459999999995</v>
      </c>
      <c r="Y5598">
        <v>-1.8463730000000001E-2</v>
      </c>
      <c r="Z5598">
        <v>2.3382709999999999E-4</v>
      </c>
      <c r="AA5598">
        <v>0.99982950000000004</v>
      </c>
      <c r="AB5598">
        <v>36</v>
      </c>
      <c r="AC5598">
        <v>18.1203</v>
      </c>
      <c r="AD5598">
        <v>-1.10287011494</v>
      </c>
      <c r="AE5598">
        <v>0.43545999999999901</v>
      </c>
      <c r="AF5598">
        <v>-0.33728941441983001</v>
      </c>
      <c r="AG5598">
        <v>-1.10287011494</v>
      </c>
      <c r="AH5598">
        <v>18.0555235711319</v>
      </c>
      <c r="AI5598">
        <v>93.494798073710797</v>
      </c>
      <c r="AJ5598">
        <v>91.070199507159103</v>
      </c>
      <c r="AK5598">
        <v>18.0923193114429</v>
      </c>
    </row>
    <row r="5599" spans="1:37" x14ac:dyDescent="0.2">
      <c r="A5599" t="str">
        <f>"20200111153801623"</f>
        <v>20200111153801623</v>
      </c>
      <c r="B5599" t="str">
        <f>"1578728281618812"</f>
        <v>1578728281618812</v>
      </c>
      <c r="C5599" t="s">
        <v>37</v>
      </c>
      <c r="D5599">
        <v>5.2070319999999999</v>
      </c>
      <c r="E5599">
        <v>0.54159029999999997</v>
      </c>
      <c r="F5599" t="s">
        <v>61</v>
      </c>
      <c r="G5599">
        <v>-238.18729999999999</v>
      </c>
      <c r="H5599" s="1">
        <v>-3.0407049999999999E-6</v>
      </c>
      <c r="I5599">
        <v>-62.528519999999901</v>
      </c>
      <c r="J5599">
        <v>-256.33940000000001</v>
      </c>
      <c r="K5599">
        <v>1.10287</v>
      </c>
      <c r="L5599">
        <v>-62.967799999999997</v>
      </c>
      <c r="M5599">
        <v>0.999982699999999</v>
      </c>
      <c r="N5599">
        <v>0</v>
      </c>
      <c r="O5599">
        <v>5.1972679999999997E-3</v>
      </c>
      <c r="P5599">
        <v>0.99021859999999995</v>
      </c>
      <c r="Q5599">
        <v>4.0202269999999998E-2</v>
      </c>
      <c r="R5599">
        <v>0.1336079</v>
      </c>
      <c r="S5599">
        <v>3.027298</v>
      </c>
      <c r="T5599">
        <v>-0.18208479999999999</v>
      </c>
      <c r="U5599">
        <v>7.2662350000000001E-2</v>
      </c>
      <c r="V5599">
        <v>-0.12842899999999999</v>
      </c>
      <c r="W5599">
        <v>4.3010140000000002E-2</v>
      </c>
      <c r="X5599">
        <v>0.99078559999999904</v>
      </c>
      <c r="Y5599">
        <v>-1.8774829999999999E-2</v>
      </c>
      <c r="Z5599">
        <v>2.5176840000000001E-4</v>
      </c>
      <c r="AA5599">
        <v>0.99982369999999898</v>
      </c>
      <c r="AB5599">
        <v>36</v>
      </c>
      <c r="AC5599">
        <v>18.152100000000001</v>
      </c>
      <c r="AD5599">
        <v>-1.102873040705</v>
      </c>
      <c r="AE5599">
        <v>0.439280000000003</v>
      </c>
      <c r="AF5599">
        <v>-0.34366450200228998</v>
      </c>
      <c r="AG5599">
        <v>-1.102873040705</v>
      </c>
      <c r="AH5599">
        <v>18.087408172849401</v>
      </c>
      <c r="AI5599">
        <v>93.488640938959094</v>
      </c>
      <c r="AJ5599">
        <v>91.088500706122105</v>
      </c>
      <c r="AK5599">
        <v>18.124259119895399</v>
      </c>
    </row>
    <row r="5600" spans="1:37" x14ac:dyDescent="0.2">
      <c r="A5600" t="str">
        <f>"20200111153801634"</f>
        <v>20200111153801634</v>
      </c>
      <c r="B5600" t="str">
        <f>"1578728281628571"</f>
        <v>1578728281628571</v>
      </c>
      <c r="C5600" t="s">
        <v>37</v>
      </c>
      <c r="D5600">
        <v>5.1922449999999998</v>
      </c>
      <c r="E5600">
        <v>0.54159489999999999</v>
      </c>
      <c r="F5600" t="s">
        <v>61</v>
      </c>
      <c r="G5600">
        <v>-238.01419999999999</v>
      </c>
      <c r="H5600" s="1">
        <v>-2.983566E-6</v>
      </c>
      <c r="I5600">
        <v>-62.538440000000001</v>
      </c>
      <c r="J5600">
        <v>-256.1456</v>
      </c>
      <c r="K5600">
        <v>1.1028789999999999</v>
      </c>
      <c r="L5600">
        <v>-62.966919999999902</v>
      </c>
      <c r="M5600">
        <v>0.99998349999999903</v>
      </c>
      <c r="N5600">
        <v>0</v>
      </c>
      <c r="O5600">
        <v>5.0416929999999999E-3</v>
      </c>
      <c r="P5600">
        <v>0.99024219999999896</v>
      </c>
      <c r="Q5600">
        <v>4.0286570000000001E-2</v>
      </c>
      <c r="R5600">
        <v>0.13340659999999999</v>
      </c>
      <c r="S5600">
        <v>3.027466</v>
      </c>
      <c r="T5600">
        <v>-0.1822039</v>
      </c>
      <c r="U5600">
        <v>7.0922849999999996E-2</v>
      </c>
      <c r="V5600">
        <v>-0.12838169999999999</v>
      </c>
      <c r="W5600">
        <v>4.3100189999999997E-2</v>
      </c>
      <c r="X5600">
        <v>0.9907878</v>
      </c>
      <c r="Y5600">
        <v>-1.8355349999999999E-2</v>
      </c>
      <c r="Z5600">
        <v>2.4866379999999999E-4</v>
      </c>
      <c r="AA5600">
        <v>0.99983149999999998</v>
      </c>
      <c r="AB5600">
        <v>36</v>
      </c>
      <c r="AC5600">
        <v>18.131399999999999</v>
      </c>
      <c r="AD5600">
        <v>-1.102881983566</v>
      </c>
      <c r="AE5600">
        <v>0.42847999999999298</v>
      </c>
      <c r="AF5600">
        <v>-0.335819434945758</v>
      </c>
      <c r="AG5600">
        <v>-1.102881983566</v>
      </c>
      <c r="AH5600">
        <v>18.0665219826992</v>
      </c>
      <c r="AI5600">
        <v>93.492719315474901</v>
      </c>
      <c r="AJ5600">
        <v>91.064887905851194</v>
      </c>
      <c r="AK5600">
        <v>18.103268763234901</v>
      </c>
    </row>
    <row r="5601" spans="1:37" x14ac:dyDescent="0.2">
      <c r="A5601" t="str">
        <f>"20200111153801647"</f>
        <v>20200111153801647</v>
      </c>
      <c r="B5601" t="str">
        <f>"1578728281639309"</f>
        <v>1578728281639309</v>
      </c>
      <c r="C5601" t="s">
        <v>37</v>
      </c>
      <c r="D5601">
        <v>5.1753019999999896</v>
      </c>
      <c r="E5601">
        <v>0.54160390000000003</v>
      </c>
      <c r="F5601" t="s">
        <v>61</v>
      </c>
      <c r="G5601">
        <v>-237.80719999999999</v>
      </c>
      <c r="H5601" s="1">
        <v>-2.910504E-6</v>
      </c>
      <c r="I5601">
        <v>-62.541319999999899</v>
      </c>
      <c r="J5601">
        <v>-255.95060000000001</v>
      </c>
      <c r="K5601">
        <v>1.1028849999999999</v>
      </c>
      <c r="L5601">
        <v>-62.966030000000003</v>
      </c>
      <c r="M5601">
        <v>0.99998430000000005</v>
      </c>
      <c r="N5601">
        <v>0</v>
      </c>
      <c r="O5601">
        <v>4.8925080000000003E-3</v>
      </c>
      <c r="P5601">
        <v>0.9902668</v>
      </c>
      <c r="Q5601">
        <v>4.0410290000000001E-2</v>
      </c>
      <c r="R5601">
        <v>0.13318749999999999</v>
      </c>
      <c r="S5601">
        <v>3.02749599999999</v>
      </c>
      <c r="T5601">
        <v>-0.1820755</v>
      </c>
      <c r="U5601">
        <v>7.0251460000000002E-2</v>
      </c>
      <c r="V5601">
        <v>-0.1283106</v>
      </c>
      <c r="W5601">
        <v>4.3228809999999999E-2</v>
      </c>
      <c r="X5601">
        <v>0.99079139999999999</v>
      </c>
      <c r="Y5601">
        <v>-1.8282570000000001E-2</v>
      </c>
      <c r="Z5601">
        <v>2.5526310000000002E-4</v>
      </c>
      <c r="AA5601">
        <v>0.99983279999999997</v>
      </c>
      <c r="AB5601">
        <v>36</v>
      </c>
      <c r="AC5601">
        <v>18.1434</v>
      </c>
      <c r="AD5601">
        <v>-1.1028879105039999</v>
      </c>
      <c r="AE5601">
        <v>0.42471000000001102</v>
      </c>
      <c r="AF5601">
        <v>-0.33470177901822701</v>
      </c>
      <c r="AG5601">
        <v>-1.1028879105039999</v>
      </c>
      <c r="AH5601">
        <v>18.078495613544501</v>
      </c>
      <c r="AI5601">
        <v>93.490435259321501</v>
      </c>
      <c r="AJ5601">
        <v>91.060641833858099</v>
      </c>
      <c r="AK5601">
        <v>18.115197781778701</v>
      </c>
    </row>
    <row r="5602" spans="1:37" x14ac:dyDescent="0.2">
      <c r="A5602" t="str">
        <f>"20200111153801658"</f>
        <v>20200111153801658</v>
      </c>
      <c r="B5602" t="str">
        <f>"1578728281649070"</f>
        <v>1578728281649070</v>
      </c>
      <c r="C5602" t="s">
        <v>37</v>
      </c>
      <c r="D5602">
        <v>5.1719790000000003</v>
      </c>
      <c r="E5602">
        <v>0.5416031</v>
      </c>
      <c r="F5602" t="s">
        <v>61</v>
      </c>
      <c r="G5602">
        <v>-237.58029999999999</v>
      </c>
      <c r="H5602" s="1">
        <v>-2.8138679999999998E-6</v>
      </c>
      <c r="I5602">
        <v>-62.543959999999998</v>
      </c>
      <c r="J5602">
        <v>-255.7543</v>
      </c>
      <c r="K5602">
        <v>1.1028910000000001</v>
      </c>
      <c r="L5602">
        <v>-62.965179999999997</v>
      </c>
      <c r="M5602">
        <v>0.99998500000000001</v>
      </c>
      <c r="N5602">
        <v>0</v>
      </c>
      <c r="O5602">
        <v>4.7472629999999998E-3</v>
      </c>
      <c r="P5602">
        <v>0.99029509999999898</v>
      </c>
      <c r="Q5602">
        <v>4.0355500000000002E-2</v>
      </c>
      <c r="R5602">
        <v>0.13299359999999999</v>
      </c>
      <c r="S5602">
        <v>3.02751199999999</v>
      </c>
      <c r="T5602">
        <v>-0.18176099999999901</v>
      </c>
      <c r="U5602">
        <v>6.9549559999999996E-2</v>
      </c>
      <c r="V5602">
        <v>-0.12826129999999999</v>
      </c>
      <c r="W5602">
        <v>4.3178790000000002E-2</v>
      </c>
      <c r="X5602">
        <v>0.99080000000000001</v>
      </c>
      <c r="Y5602">
        <v>-1.8195969999999999E-2</v>
      </c>
      <c r="Z5602">
        <v>2.6093619999999998E-4</v>
      </c>
      <c r="AA5602">
        <v>0.99983440000000001</v>
      </c>
      <c r="AB5602">
        <v>36</v>
      </c>
      <c r="AC5602">
        <v>18.173999999999999</v>
      </c>
      <c r="AD5602">
        <v>-1.102893813868</v>
      </c>
      <c r="AE5602">
        <v>0.42122000000000498</v>
      </c>
      <c r="AF5602">
        <v>-0.33370988020687398</v>
      </c>
      <c r="AG5602">
        <v>-1.102893813868</v>
      </c>
      <c r="AH5602">
        <v>18.109140130768498</v>
      </c>
      <c r="AI5602">
        <v>93.484567398010199</v>
      </c>
      <c r="AJ5602">
        <v>91.055710196239403</v>
      </c>
      <c r="AK5602">
        <v>18.1457624068162</v>
      </c>
    </row>
    <row r="5603" spans="1:37" x14ac:dyDescent="0.2">
      <c r="A5603" t="str">
        <f>"20200111153801670"</f>
        <v>20200111153801670</v>
      </c>
      <c r="B5603" t="str">
        <f>"1578728281658828"</f>
        <v>1578728281658828</v>
      </c>
      <c r="C5603" t="s">
        <v>37</v>
      </c>
      <c r="D5603">
        <v>5.1801820000000003</v>
      </c>
      <c r="E5603">
        <v>0.54164449999999997</v>
      </c>
      <c r="F5603" t="s">
        <v>61</v>
      </c>
      <c r="G5603">
        <v>-237.4194</v>
      </c>
      <c r="H5603" s="1">
        <v>-2.7459179999999999E-6</v>
      </c>
      <c r="I5603">
        <v>-62.547989999999999</v>
      </c>
      <c r="J5603">
        <v>-255.57069999999999</v>
      </c>
      <c r="K5603">
        <v>1.102903</v>
      </c>
      <c r="L5603">
        <v>-62.964390000000002</v>
      </c>
      <c r="M5603">
        <v>0.99998549999999997</v>
      </c>
      <c r="N5603">
        <v>0</v>
      </c>
      <c r="O5603">
        <v>4.628025E-3</v>
      </c>
      <c r="P5603">
        <v>0.99032070000000005</v>
      </c>
      <c r="Q5603">
        <v>4.0123949999999999E-2</v>
      </c>
      <c r="R5603">
        <v>0.1328715</v>
      </c>
      <c r="S5603">
        <v>3.0275729999999998</v>
      </c>
      <c r="T5603">
        <v>-0.18211640000000001</v>
      </c>
      <c r="U5603">
        <v>6.8878170000000002E-2</v>
      </c>
      <c r="V5603">
        <v>-0.12825829999999999</v>
      </c>
      <c r="W5603">
        <v>4.2950589999999997E-2</v>
      </c>
      <c r="X5603">
        <v>0.99081030000000003</v>
      </c>
      <c r="Y5603">
        <v>-1.8093000000000001E-2</v>
      </c>
      <c r="Z5603">
        <v>2.6551199999999997E-4</v>
      </c>
      <c r="AA5603">
        <v>0.99983630000000001</v>
      </c>
      <c r="AB5603">
        <v>36</v>
      </c>
      <c r="AC5603">
        <v>18.1512999999999</v>
      </c>
      <c r="AD5603">
        <v>-1.1029057459180001</v>
      </c>
      <c r="AE5603">
        <v>0.416399999999995</v>
      </c>
      <c r="AF5603">
        <v>-0.33116852192871299</v>
      </c>
      <c r="AG5603">
        <v>-1.1029057459180001</v>
      </c>
      <c r="AH5603">
        <v>18.0862933102281</v>
      </c>
      <c r="AI5603">
        <v>93.489003424311406</v>
      </c>
      <c r="AJ5603">
        <v>91.048995400046806</v>
      </c>
      <c r="AK5603">
        <v>18.122915863014299</v>
      </c>
    </row>
    <row r="5604" spans="1:37" x14ac:dyDescent="0.2">
      <c r="A5604" t="str">
        <f>"20200111153801683"</f>
        <v>20200111153801683</v>
      </c>
      <c r="B5604" t="str">
        <f>"1578728281679323"</f>
        <v>1578728281679323</v>
      </c>
      <c r="C5604" t="s">
        <v>37</v>
      </c>
      <c r="D5604">
        <v>5.2050700000000001</v>
      </c>
      <c r="E5604">
        <v>0.50741950000000002</v>
      </c>
      <c r="F5604" t="s">
        <v>61</v>
      </c>
      <c r="G5604">
        <v>-237.39580000000001</v>
      </c>
      <c r="H5604" s="1">
        <v>-2.73775899999999E-6</v>
      </c>
      <c r="I5604">
        <v>-62.555430000000001</v>
      </c>
      <c r="J5604">
        <v>-255.36349999999999</v>
      </c>
      <c r="K5604">
        <v>1.102919</v>
      </c>
      <c r="L5604">
        <v>-62.963529999999999</v>
      </c>
      <c r="M5604">
        <v>0.99998619999999905</v>
      </c>
      <c r="N5604">
        <v>0</v>
      </c>
      <c r="O5604">
        <v>4.5015849999999998E-3</v>
      </c>
      <c r="P5604">
        <v>0.99036429999999998</v>
      </c>
      <c r="Q5604">
        <v>3.9930609999999998E-2</v>
      </c>
      <c r="R5604">
        <v>0.132607</v>
      </c>
      <c r="S5604">
        <v>3.0276489999999998</v>
      </c>
      <c r="T5604">
        <v>-0.18372579999999999</v>
      </c>
      <c r="U5604">
        <v>6.8115229999999999E-2</v>
      </c>
      <c r="V5604">
        <v>-0.1281205</v>
      </c>
      <c r="W5604">
        <v>4.2760510000000002E-2</v>
      </c>
      <c r="X5604">
        <v>0.99083639999999995</v>
      </c>
      <c r="Y5604">
        <v>-1.7966599999999999E-2</v>
      </c>
      <c r="Z5604">
        <v>2.716811E-4</v>
      </c>
      <c r="AA5604">
        <v>0.99983849999999996</v>
      </c>
      <c r="AB5604">
        <v>37</v>
      </c>
      <c r="AC5604">
        <v>17.967699999999901</v>
      </c>
      <c r="AD5604">
        <v>-1.1029217377589999</v>
      </c>
      <c r="AE5604">
        <v>0.40810000000000402</v>
      </c>
      <c r="AF5604">
        <v>-0.32598478054685098</v>
      </c>
      <c r="AG5604">
        <v>-1.1029217377589999</v>
      </c>
      <c r="AH5604">
        <v>17.901936339931201</v>
      </c>
      <c r="AI5604">
        <v>93.524901066613396</v>
      </c>
      <c r="AJ5604">
        <v>91.0432105091474</v>
      </c>
      <c r="AK5604">
        <v>17.9388412991397</v>
      </c>
    </row>
    <row r="5605" spans="1:37" x14ac:dyDescent="0.2">
      <c r="A5605" t="str">
        <f>"20200111153801696"</f>
        <v>20200111153801696</v>
      </c>
      <c r="B5605" t="str">
        <f>"1578728281689084"</f>
        <v>1578728281689084</v>
      </c>
      <c r="C5605" t="s">
        <v>37</v>
      </c>
      <c r="D5605">
        <v>5.1077309999999896</v>
      </c>
      <c r="E5605">
        <v>0.50741950000000002</v>
      </c>
      <c r="F5605" t="s">
        <v>61</v>
      </c>
      <c r="G5605">
        <v>-235.66050000000001</v>
      </c>
      <c r="H5605" s="1">
        <v>-1.509781E-6</v>
      </c>
      <c r="I5605">
        <v>-60.738030000000002</v>
      </c>
      <c r="J5605">
        <v>-255.13290000000001</v>
      </c>
      <c r="K5605">
        <v>1.1029420000000001</v>
      </c>
      <c r="L5605">
        <v>-62.96255</v>
      </c>
      <c r="M5605">
        <v>0.99998659999999995</v>
      </c>
      <c r="N5605">
        <v>0</v>
      </c>
      <c r="O5605">
        <v>4.3845849999999999E-3</v>
      </c>
      <c r="P5605">
        <v>0.99037280000000005</v>
      </c>
      <c r="Q5605">
        <v>3.9829459999999997E-2</v>
      </c>
      <c r="R5605">
        <v>0.13257140000000001</v>
      </c>
      <c r="S5605">
        <v>2.990707</v>
      </c>
      <c r="T5605">
        <v>-0.1674118</v>
      </c>
      <c r="U5605">
        <v>0.33779910000000002</v>
      </c>
      <c r="V5605">
        <v>-0.1282027</v>
      </c>
      <c r="W5605">
        <v>4.2665710000000003E-2</v>
      </c>
      <c r="X5605">
        <v>0.99082979999999998</v>
      </c>
      <c r="Y5605">
        <v>-0.1077182</v>
      </c>
      <c r="Z5605">
        <v>2.7585509999999902E-3</v>
      </c>
      <c r="AA5605">
        <v>0.99417759999999999</v>
      </c>
      <c r="AB5605">
        <v>37</v>
      </c>
      <c r="AC5605">
        <v>19.4724</v>
      </c>
      <c r="AD5605">
        <v>-1.1029435097810001</v>
      </c>
      <c r="AE5605">
        <v>2.2245199999999898</v>
      </c>
      <c r="AF5605">
        <v>-2.1323668761978798</v>
      </c>
      <c r="AG5605">
        <v>-1.1029435097810001</v>
      </c>
      <c r="AH5605">
        <v>19.420463501730801</v>
      </c>
      <c r="AI5605">
        <v>93.231121581883698</v>
      </c>
      <c r="AJ5605">
        <v>96.265976038342899</v>
      </c>
      <c r="AK5605">
        <v>19.568287495397499</v>
      </c>
    </row>
    <row r="5606" spans="1:37" x14ac:dyDescent="0.2">
      <c r="A5606" t="str">
        <f>"20200111153801707"</f>
        <v>20200111153801707</v>
      </c>
      <c r="B5606" t="str">
        <f>"1578728281698844"</f>
        <v>1578728281698844</v>
      </c>
      <c r="C5606" t="s">
        <v>37</v>
      </c>
      <c r="D5606">
        <v>5.1704829999999999</v>
      </c>
      <c r="E5606">
        <v>0.45879409999999998</v>
      </c>
      <c r="F5606" t="s">
        <v>61</v>
      </c>
      <c r="G5606">
        <v>-235.4622</v>
      </c>
      <c r="H5606" s="1">
        <v>-1.4257759999999999E-6</v>
      </c>
      <c r="I5606">
        <v>-60.742089999999997</v>
      </c>
      <c r="J5606">
        <v>-254.9451</v>
      </c>
      <c r="K5606">
        <v>1.1029579999999899</v>
      </c>
      <c r="L5606">
        <v>-62.961819999999904</v>
      </c>
      <c r="M5606">
        <v>0.99998690000000001</v>
      </c>
      <c r="N5606">
        <v>0</v>
      </c>
      <c r="O5606">
        <v>4.3082299999999997E-3</v>
      </c>
      <c r="P5606">
        <v>0.99036589999999902</v>
      </c>
      <c r="Q5606">
        <v>3.9694819999999999E-2</v>
      </c>
      <c r="R5606">
        <v>0.13266549999999999</v>
      </c>
      <c r="S5606">
        <v>2.9906919999999899</v>
      </c>
      <c r="T5606">
        <v>-0.1676888</v>
      </c>
      <c r="U5606">
        <v>0.33758539999999998</v>
      </c>
      <c r="V5606">
        <v>-0.1283744</v>
      </c>
      <c r="W5606">
        <v>4.2537070000000003E-2</v>
      </c>
      <c r="X5606">
        <v>0.990813099999999</v>
      </c>
      <c r="Y5606">
        <v>-0.1077239</v>
      </c>
      <c r="Z5606">
        <v>2.7675569999999999E-3</v>
      </c>
      <c r="AA5606">
        <v>0.99417699999999998</v>
      </c>
      <c r="AB5606">
        <v>37</v>
      </c>
      <c r="AC5606">
        <v>19.482900000000001</v>
      </c>
      <c r="AD5606">
        <v>-1.10295942577599</v>
      </c>
      <c r="AE5606">
        <v>2.21972999999999</v>
      </c>
      <c r="AF5606">
        <v>-2.1290363924977198</v>
      </c>
      <c r="AG5606">
        <v>-1.10295942577599</v>
      </c>
      <c r="AH5606">
        <v>19.430806898731898</v>
      </c>
      <c r="AI5606">
        <v>93.229532018795396</v>
      </c>
      <c r="AJ5606">
        <v>96.252963107405293</v>
      </c>
      <c r="AK5606">
        <v>19.578191239011201</v>
      </c>
    </row>
    <row r="5607" spans="1:37" x14ac:dyDescent="0.2">
      <c r="A5607" t="str">
        <f>"20200111153801724"</f>
        <v>20200111153801724</v>
      </c>
      <c r="B5607" t="str">
        <f>"1578728281719339"</f>
        <v>1578728281719339</v>
      </c>
      <c r="C5607" t="s">
        <v>37</v>
      </c>
      <c r="D5607">
        <v>5.1123699999999896</v>
      </c>
      <c r="E5607">
        <v>0.4537503</v>
      </c>
      <c r="F5607" t="s">
        <v>61</v>
      </c>
      <c r="G5607">
        <v>-239.10059999999999</v>
      </c>
      <c r="H5607" s="1">
        <v>-3.1239240000000001E-6</v>
      </c>
      <c r="I5607">
        <v>-59.072189999999999</v>
      </c>
      <c r="J5607">
        <v>-254.67590000000001</v>
      </c>
      <c r="K5607">
        <v>1.102994</v>
      </c>
      <c r="L5607">
        <v>-62.960719999999903</v>
      </c>
      <c r="M5607">
        <v>0.99998729999999902</v>
      </c>
      <c r="N5607">
        <v>0</v>
      </c>
      <c r="O5607">
        <v>4.2171730000000003E-3</v>
      </c>
      <c r="P5607">
        <v>0.99028959999999999</v>
      </c>
      <c r="Q5607">
        <v>3.9537269999999999E-2</v>
      </c>
      <c r="R5607">
        <v>0.1332806</v>
      </c>
      <c r="S5607">
        <v>2.9406889999999999</v>
      </c>
      <c r="T5607">
        <v>-0.2047062</v>
      </c>
      <c r="U5607">
        <v>0.72189329999999996</v>
      </c>
      <c r="V5607">
        <v>-0.12908339999999999</v>
      </c>
      <c r="W5607">
        <v>4.2394149999999999E-2</v>
      </c>
      <c r="X5607">
        <v>0.99072709999999997</v>
      </c>
      <c r="Y5607">
        <v>-0.23378449999999901</v>
      </c>
      <c r="Z5607">
        <v>7.7198569999999897E-3</v>
      </c>
      <c r="AA5607">
        <v>0.97225779999999995</v>
      </c>
      <c r="AB5607">
        <v>37</v>
      </c>
      <c r="AC5607">
        <v>15.5753</v>
      </c>
      <c r="AD5607">
        <v>-1.102997123924</v>
      </c>
      <c r="AE5607">
        <v>3.88852999999999</v>
      </c>
      <c r="AF5607">
        <v>-3.8048494698430599</v>
      </c>
      <c r="AG5607">
        <v>-1.102997123924</v>
      </c>
      <c r="AH5607">
        <v>15.518301230520301</v>
      </c>
      <c r="AI5607">
        <v>93.949005913849803</v>
      </c>
      <c r="AJ5607">
        <v>103.77628158619601</v>
      </c>
      <c r="AK5607">
        <v>16.0159656351004</v>
      </c>
    </row>
    <row r="5608" spans="1:37" x14ac:dyDescent="0.2">
      <c r="A5608" t="str">
        <f>"20200111153801734"</f>
        <v>20200111153801734</v>
      </c>
      <c r="B5608" t="str">
        <f>"1578728281729100"</f>
        <v>1578728281729100</v>
      </c>
      <c r="C5608" t="s">
        <v>37</v>
      </c>
      <c r="D5608">
        <v>5.0648749999999998</v>
      </c>
      <c r="E5608">
        <v>0.45409460000000001</v>
      </c>
      <c r="F5608" t="s">
        <v>60</v>
      </c>
      <c r="G5608">
        <v>-240.1335</v>
      </c>
      <c r="H5608" s="1">
        <v>6.4664359999999996E-7</v>
      </c>
      <c r="I5608">
        <v>-59.1781199999999</v>
      </c>
      <c r="J5608">
        <v>-254.49700000000001</v>
      </c>
      <c r="K5608">
        <v>1.1030199999999999</v>
      </c>
      <c r="L5608">
        <v>-62.959989999999998</v>
      </c>
      <c r="M5608">
        <v>0.99998729999999902</v>
      </c>
      <c r="N5608">
        <v>0</v>
      </c>
      <c r="O5608">
        <v>4.1714370000000001E-3</v>
      </c>
      <c r="P5608">
        <v>0.99027339999999997</v>
      </c>
      <c r="Q5608">
        <v>3.9151180000000001E-2</v>
      </c>
      <c r="R5608">
        <v>0.13351450000000001</v>
      </c>
      <c r="S5608">
        <v>2.9355470000000001</v>
      </c>
      <c r="T5608">
        <v>-0.22265180000000001</v>
      </c>
      <c r="U5608">
        <v>0.76354979999999995</v>
      </c>
      <c r="V5608">
        <v>-0.12936510000000001</v>
      </c>
      <c r="W5608">
        <v>4.2023989999999997E-2</v>
      </c>
      <c r="X5608">
        <v>0.99070609999999903</v>
      </c>
      <c r="Y5608">
        <v>-0.24703629999999999</v>
      </c>
      <c r="Z5608">
        <v>8.8918139999999996E-3</v>
      </c>
      <c r="AA5608">
        <v>0.96896539999999998</v>
      </c>
      <c r="AB5608">
        <v>37</v>
      </c>
      <c r="AC5608">
        <v>14.3635</v>
      </c>
      <c r="AD5608">
        <v>-1.1030193533563999</v>
      </c>
      <c r="AE5608">
        <v>3.7818700000000098</v>
      </c>
      <c r="AF5608">
        <v>-3.7015070655231401</v>
      </c>
      <c r="AG5608">
        <v>-1.1030193533563999</v>
      </c>
      <c r="AH5608">
        <v>14.300286607499601</v>
      </c>
      <c r="AI5608">
        <v>94.270451467789997</v>
      </c>
      <c r="AJ5608">
        <v>104.512022348383</v>
      </c>
      <c r="AK5608">
        <v>14.812697367685301</v>
      </c>
    </row>
    <row r="5609" spans="1:37" x14ac:dyDescent="0.2">
      <c r="A5609" t="str">
        <f>"20200111153801746"</f>
        <v>20200111153801746</v>
      </c>
      <c r="B5609" t="str">
        <f>"1578728281738859"</f>
        <v>1578728281738859</v>
      </c>
      <c r="C5609" t="s">
        <v>37</v>
      </c>
      <c r="D5609">
        <v>5.0680149999999999</v>
      </c>
      <c r="E5609">
        <v>0.45455659999999998</v>
      </c>
      <c r="F5609" t="s">
        <v>61</v>
      </c>
      <c r="G5609">
        <v>-239.9375</v>
      </c>
      <c r="H5609" s="1">
        <v>-3.463141E-6</v>
      </c>
      <c r="I5609">
        <v>-59.183769999999903</v>
      </c>
      <c r="J5609">
        <v>-254.29810000000001</v>
      </c>
      <c r="K5609">
        <v>1.1030500000000001</v>
      </c>
      <c r="L5609">
        <v>-62.959169999999901</v>
      </c>
      <c r="M5609">
        <v>0.99998739999999997</v>
      </c>
      <c r="N5609">
        <v>0</v>
      </c>
      <c r="O5609">
        <v>4.1358250000000001E-3</v>
      </c>
      <c r="P5609">
        <v>0.99021159999999997</v>
      </c>
      <c r="Q5609">
        <v>3.8953660000000001E-2</v>
      </c>
      <c r="R5609">
        <v>0.1340287</v>
      </c>
      <c r="S5609">
        <v>2.9356230000000001</v>
      </c>
      <c r="T5609">
        <v>-0.2224013</v>
      </c>
      <c r="U5609">
        <v>0.76138309999999998</v>
      </c>
      <c r="V5609">
        <v>-0.1299168</v>
      </c>
      <c r="W5609">
        <v>4.1851520000000003E-2</v>
      </c>
      <c r="X5609">
        <v>0.9906412</v>
      </c>
      <c r="Y5609">
        <v>-0.24639759999999999</v>
      </c>
      <c r="Z5609">
        <v>8.8613029999999992E-3</v>
      </c>
      <c r="AA5609">
        <v>0.96912830000000005</v>
      </c>
      <c r="AB5609">
        <v>37</v>
      </c>
      <c r="AC5609">
        <v>14.3606</v>
      </c>
      <c r="AD5609">
        <v>-1.1030534631410001</v>
      </c>
      <c r="AE5609">
        <v>3.7753999999999901</v>
      </c>
      <c r="AF5609">
        <v>-3.6955803901638098</v>
      </c>
      <c r="AG5609">
        <v>-1.1030534631410001</v>
      </c>
      <c r="AH5609">
        <v>14.2971922287499</v>
      </c>
      <c r="AI5609">
        <v>94.271873825007603</v>
      </c>
      <c r="AJ5609">
        <v>104.49276924712601</v>
      </c>
      <c r="AK5609">
        <v>14.808232405946899</v>
      </c>
    </row>
    <row r="5610" spans="1:37" x14ac:dyDescent="0.2">
      <c r="A5610" t="str">
        <f>"20200111153801757"</f>
        <v>20200111153801757</v>
      </c>
      <c r="B5610" t="str">
        <f>"1578728281748619"</f>
        <v>1578728281748619</v>
      </c>
      <c r="C5610" t="s">
        <v>37</v>
      </c>
      <c r="D5610">
        <v>5.1313690000000003</v>
      </c>
      <c r="E5610">
        <v>0.45468819999999999</v>
      </c>
      <c r="F5610" t="s">
        <v>61</v>
      </c>
      <c r="G5610">
        <v>-239.74879999999999</v>
      </c>
      <c r="H5610" s="1">
        <v>-3.3799800000000001E-6</v>
      </c>
      <c r="I5610">
        <v>-59.196210000000001</v>
      </c>
      <c r="J5610">
        <v>-254.12219999999999</v>
      </c>
      <c r="K5610">
        <v>1.1030799999999901</v>
      </c>
      <c r="L5610">
        <v>-62.958469999999998</v>
      </c>
      <c r="M5610">
        <v>0.99998739999999997</v>
      </c>
      <c r="N5610">
        <v>0</v>
      </c>
      <c r="O5610">
        <v>4.111946E-3</v>
      </c>
      <c r="P5610">
        <v>0.99016990000000005</v>
      </c>
      <c r="Q5610">
        <v>3.8687770000000003E-2</v>
      </c>
      <c r="R5610">
        <v>0.13441329999999899</v>
      </c>
      <c r="S5610">
        <v>2.935638</v>
      </c>
      <c r="T5610">
        <v>-0.22256500000000001</v>
      </c>
      <c r="U5610">
        <v>0.7592468</v>
      </c>
      <c r="V5610">
        <v>-0.1303272</v>
      </c>
      <c r="W5610">
        <v>4.1611870000000002E-2</v>
      </c>
      <c r="X5610">
        <v>0.99059739999999996</v>
      </c>
      <c r="Y5610">
        <v>-0.24575909999999901</v>
      </c>
      <c r="Z5610">
        <v>8.8465579999999992E-3</v>
      </c>
      <c r="AA5610">
        <v>0.969290599999999</v>
      </c>
      <c r="AB5610">
        <v>37</v>
      </c>
      <c r="AC5610">
        <v>14.3734</v>
      </c>
      <c r="AD5610">
        <v>-1.1030833799799999</v>
      </c>
      <c r="AE5610">
        <v>3.7622599999999902</v>
      </c>
      <c r="AF5610">
        <v>-3.6828251841441202</v>
      </c>
      <c r="AG5610">
        <v>-1.1030833799799999</v>
      </c>
      <c r="AH5610">
        <v>14.3098712449645</v>
      </c>
      <c r="AI5610">
        <v>94.269370471165601</v>
      </c>
      <c r="AJ5610">
        <v>104.432580147108</v>
      </c>
      <c r="AK5610">
        <v>14.817301013599501</v>
      </c>
    </row>
    <row r="5611" spans="1:37" x14ac:dyDescent="0.2">
      <c r="A5611" t="str">
        <f>"20200111153801768"</f>
        <v>20200111153801768</v>
      </c>
      <c r="B5611" t="str">
        <f>"1578728281759358"</f>
        <v>1578728281759358</v>
      </c>
      <c r="C5611" t="s">
        <v>37</v>
      </c>
      <c r="D5611">
        <v>5.1697629999999997</v>
      </c>
      <c r="E5611">
        <v>0.45478489999999999</v>
      </c>
      <c r="F5611" t="s">
        <v>61</v>
      </c>
      <c r="G5611">
        <v>-239.77080000000001</v>
      </c>
      <c r="H5611" s="1">
        <v>-3.3805000000000001E-6</v>
      </c>
      <c r="I5611">
        <v>-59.246369999999999</v>
      </c>
      <c r="J5611">
        <v>-253.94309999999999</v>
      </c>
      <c r="K5611">
        <v>1.1031169999999999</v>
      </c>
      <c r="L5611">
        <v>-62.957700000000003</v>
      </c>
      <c r="M5611">
        <v>0.99998719999999996</v>
      </c>
      <c r="N5611">
        <v>0</v>
      </c>
      <c r="O5611">
        <v>4.1121300000000003E-3</v>
      </c>
      <c r="P5611">
        <v>0.99012599999999995</v>
      </c>
      <c r="Q5611">
        <v>3.830836E-2</v>
      </c>
      <c r="R5611">
        <v>0.13484479999999999</v>
      </c>
      <c r="S5611">
        <v>2.9355159999999998</v>
      </c>
      <c r="T5611">
        <v>-0.2256301</v>
      </c>
      <c r="U5611">
        <v>0.75927730000000004</v>
      </c>
      <c r="V5611">
        <v>-0.13076119999999999</v>
      </c>
      <c r="W5611">
        <v>4.1274089999999999E-2</v>
      </c>
      <c r="X5611">
        <v>0.99055439999999995</v>
      </c>
      <c r="Y5611">
        <v>-0.24576010000000001</v>
      </c>
      <c r="Z5611">
        <v>8.9684239999999991E-3</v>
      </c>
      <c r="AA5611">
        <v>0.96928919999999996</v>
      </c>
      <c r="AB5611">
        <v>37</v>
      </c>
      <c r="AC5611">
        <v>14.1722999999999</v>
      </c>
      <c r="AD5611">
        <v>-1.1031203804999901</v>
      </c>
      <c r="AE5611">
        <v>3.7113299999999998</v>
      </c>
      <c r="AF5611">
        <v>-3.6324253020139299</v>
      </c>
      <c r="AG5611">
        <v>-1.1031203804999901</v>
      </c>
      <c r="AH5611">
        <v>14.107456803953401</v>
      </c>
      <c r="AI5611">
        <v>94.330415858806305</v>
      </c>
      <c r="AJ5611">
        <v>104.439032619503</v>
      </c>
      <c r="AK5611">
        <v>14.609302708343</v>
      </c>
    </row>
    <row r="5612" spans="1:37" x14ac:dyDescent="0.2">
      <c r="A5612" t="str">
        <f>"20200111153801778"</f>
        <v>20200111153801778</v>
      </c>
      <c r="B5612" t="str">
        <f>"1578728281769116"</f>
        <v>1578728281769116</v>
      </c>
      <c r="C5612" t="s">
        <v>37</v>
      </c>
      <c r="D5612">
        <v>5.0951810000000002</v>
      </c>
      <c r="E5612">
        <v>0.45526369999999999</v>
      </c>
      <c r="F5612" t="s">
        <v>61</v>
      </c>
      <c r="G5612">
        <v>-239.6592</v>
      </c>
      <c r="H5612" s="1">
        <v>-3.3300829999999998E-6</v>
      </c>
      <c r="I5612">
        <v>-59.260739999999998</v>
      </c>
      <c r="J5612">
        <v>-253.75790000000001</v>
      </c>
      <c r="K5612">
        <v>1.103154</v>
      </c>
      <c r="L5612">
        <v>-62.956940000000003</v>
      </c>
      <c r="M5612">
        <v>0.99998690000000001</v>
      </c>
      <c r="N5612">
        <v>0</v>
      </c>
      <c r="O5612">
        <v>4.1171389999999997E-3</v>
      </c>
      <c r="P5612">
        <v>0.99005529999999997</v>
      </c>
      <c r="Q5612">
        <v>3.8057609999999999E-2</v>
      </c>
      <c r="R5612">
        <v>0.13543329999999901</v>
      </c>
      <c r="S5612">
        <v>2.9352109999999998</v>
      </c>
      <c r="T5612">
        <v>-0.22667999999999999</v>
      </c>
      <c r="U5612">
        <v>0.75967410000000002</v>
      </c>
      <c r="V5612">
        <v>-0.13134749999999901</v>
      </c>
      <c r="W5612">
        <v>4.1069699999999897E-2</v>
      </c>
      <c r="X5612">
        <v>0.99048530000000001</v>
      </c>
      <c r="Y5612">
        <v>-0.2458958</v>
      </c>
      <c r="Z5612">
        <v>9.0155549999999997E-3</v>
      </c>
      <c r="AA5612">
        <v>0.96925439999999996</v>
      </c>
      <c r="AB5612">
        <v>37</v>
      </c>
      <c r="AC5612">
        <v>14.098699999999999</v>
      </c>
      <c r="AD5612">
        <v>-1.103157330083</v>
      </c>
      <c r="AE5612">
        <v>3.6961999999999899</v>
      </c>
      <c r="AF5612">
        <v>-3.6173994688789302</v>
      </c>
      <c r="AG5612">
        <v>-1.103157330083</v>
      </c>
      <c r="AH5612">
        <v>14.033406598877599</v>
      </c>
      <c r="AI5612">
        <v>94.353022187185601</v>
      </c>
      <c r="AJ5612">
        <v>104.454503655208</v>
      </c>
      <c r="AK5612">
        <v>14.5340646682813</v>
      </c>
    </row>
    <row r="5613" spans="1:37" x14ac:dyDescent="0.2">
      <c r="A5613" t="str">
        <f>"20200111153801790"</f>
        <v>20200111153801790</v>
      </c>
      <c r="B5613" t="str">
        <f>"1578728281778876"</f>
        <v>1578728281778876</v>
      </c>
      <c r="C5613" t="s">
        <v>37</v>
      </c>
      <c r="D5613">
        <v>5.1834769999999999</v>
      </c>
      <c r="E5613">
        <v>0.45522249999999997</v>
      </c>
      <c r="F5613" t="s">
        <v>61</v>
      </c>
      <c r="G5613">
        <v>-239.3732</v>
      </c>
      <c r="H5613" s="1">
        <v>-3.2101969999999999E-6</v>
      </c>
      <c r="I5613">
        <v>-59.244950000000003</v>
      </c>
      <c r="J5613">
        <v>-253.57689999999999</v>
      </c>
      <c r="K5613">
        <v>1.103207</v>
      </c>
      <c r="L5613">
        <v>-62.956150000000001</v>
      </c>
      <c r="M5613">
        <v>0.99998670000000001</v>
      </c>
      <c r="N5613">
        <v>0</v>
      </c>
      <c r="O5613">
        <v>4.1578090000000002E-3</v>
      </c>
      <c r="P5613">
        <v>0.98998549999999996</v>
      </c>
      <c r="Q5613">
        <v>3.7836590000000003E-2</v>
      </c>
      <c r="R5613">
        <v>0.1360045</v>
      </c>
      <c r="S5613">
        <v>2.9351959999999999</v>
      </c>
      <c r="T5613">
        <v>-0.2250984</v>
      </c>
      <c r="U5613">
        <v>0.75741579999999997</v>
      </c>
      <c r="V5613">
        <v>-0.131881</v>
      </c>
      <c r="W5613">
        <v>4.0931049999999997E-2</v>
      </c>
      <c r="X5613">
        <v>0.99042019999999997</v>
      </c>
      <c r="Y5613">
        <v>-0.24516969999999999</v>
      </c>
      <c r="Z5613">
        <v>8.9233019999999993E-3</v>
      </c>
      <c r="AA5613">
        <v>0.9694391</v>
      </c>
      <c r="AB5613">
        <v>37</v>
      </c>
      <c r="AC5613">
        <v>14.2036999999999</v>
      </c>
      <c r="AD5613">
        <v>-1.1032102101970001</v>
      </c>
      <c r="AE5613">
        <v>3.7111999999999901</v>
      </c>
      <c r="AF5613">
        <v>-3.6316030035027702</v>
      </c>
      <c r="AG5613">
        <v>-1.1032102101970001</v>
      </c>
      <c r="AH5613">
        <v>14.1391611560353</v>
      </c>
      <c r="AI5613">
        <v>94.321752999025605</v>
      </c>
      <c r="AJ5613">
        <v>104.40487911512</v>
      </c>
      <c r="AK5613">
        <v>14.6397230622464</v>
      </c>
    </row>
    <row r="5614" spans="1:37" x14ac:dyDescent="0.2">
      <c r="A5614" t="str">
        <f>"20200111153801801"</f>
        <v>20200111153801801</v>
      </c>
      <c r="B5614" t="str">
        <f>"1578728281788635"</f>
        <v>1578728281788635</v>
      </c>
      <c r="C5614" t="s">
        <v>37</v>
      </c>
      <c r="D5614">
        <v>5.1568569999999996</v>
      </c>
      <c r="E5614">
        <v>0.45516909999999999</v>
      </c>
      <c r="F5614" t="s">
        <v>61</v>
      </c>
      <c r="G5614">
        <v>-239.23060000000001</v>
      </c>
      <c r="H5614" s="1">
        <v>-3.1492439999999998E-6</v>
      </c>
      <c r="I5614">
        <v>-59.243679999999998</v>
      </c>
      <c r="J5614">
        <v>-253.3861</v>
      </c>
      <c r="K5614">
        <v>1.103267</v>
      </c>
      <c r="L5614">
        <v>-62.955319999999901</v>
      </c>
      <c r="M5614">
        <v>0.99998600000000004</v>
      </c>
      <c r="N5614">
        <v>0</v>
      </c>
      <c r="O5614">
        <v>4.2088940000000004E-3</v>
      </c>
      <c r="P5614">
        <v>0.98991070000000003</v>
      </c>
      <c r="Q5614">
        <v>3.7725880000000003E-2</v>
      </c>
      <c r="R5614">
        <v>0.13657829999999899</v>
      </c>
      <c r="S5614">
        <v>2.934647</v>
      </c>
      <c r="T5614">
        <v>-0.2256695</v>
      </c>
      <c r="U5614">
        <v>0.75939939999999995</v>
      </c>
      <c r="V5614">
        <v>-0.1324082</v>
      </c>
      <c r="W5614">
        <v>4.0917240000000001E-2</v>
      </c>
      <c r="X5614">
        <v>0.99035039999999996</v>
      </c>
      <c r="Y5614">
        <v>-0.2457734</v>
      </c>
      <c r="Z5614">
        <v>8.9656969999999999E-3</v>
      </c>
      <c r="AA5614">
        <v>0.96928579999999998</v>
      </c>
      <c r="AB5614">
        <v>37</v>
      </c>
      <c r="AC5614">
        <v>14.1554999999999</v>
      </c>
      <c r="AD5614">
        <v>-1.103270149244</v>
      </c>
      <c r="AE5614">
        <v>3.7116399999999801</v>
      </c>
      <c r="AF5614">
        <v>-3.6313878390515999</v>
      </c>
      <c r="AG5614">
        <v>-1.103270149244</v>
      </c>
      <c r="AH5614">
        <v>14.090907097327699</v>
      </c>
      <c r="AI5614">
        <v>94.335830186206195</v>
      </c>
      <c r="AJ5614">
        <v>104.45132537834699</v>
      </c>
      <c r="AK5614">
        <v>14.593075257989501</v>
      </c>
    </row>
    <row r="5615" spans="1:37" x14ac:dyDescent="0.2">
      <c r="A5615" t="str">
        <f>"20200111153801813"</f>
        <v>20200111153801813</v>
      </c>
      <c r="B5615" t="str">
        <f>"1578728281809132"</f>
        <v>1578728281809132</v>
      </c>
      <c r="C5615" t="s">
        <v>37</v>
      </c>
      <c r="D5615">
        <v>5.1698069999999996</v>
      </c>
      <c r="E5615">
        <v>0.45534579999999902</v>
      </c>
      <c r="F5615" t="s">
        <v>61</v>
      </c>
      <c r="G5615">
        <v>-239.16419999999999</v>
      </c>
      <c r="H5615" s="1">
        <v>-3.1168649999999998E-6</v>
      </c>
      <c r="I5615">
        <v>-59.265650000000001</v>
      </c>
      <c r="J5615">
        <v>-253.19130000000001</v>
      </c>
      <c r="K5615">
        <v>1.1033409999999999</v>
      </c>
      <c r="L5615">
        <v>-62.954439999999998</v>
      </c>
      <c r="M5615">
        <v>0.99998509999999996</v>
      </c>
      <c r="N5615">
        <v>0</v>
      </c>
      <c r="O5615">
        <v>4.2946109999999899E-3</v>
      </c>
      <c r="P5615">
        <v>0.98985460000000003</v>
      </c>
      <c r="Q5615">
        <v>3.7584289999999999E-2</v>
      </c>
      <c r="R5615">
        <v>0.1370237</v>
      </c>
      <c r="S5615">
        <v>2.9342349999999899</v>
      </c>
      <c r="T5615">
        <v>-0.22762379999999999</v>
      </c>
      <c r="U5615">
        <v>0.76123050000000003</v>
      </c>
      <c r="V5615">
        <v>-0.1327718</v>
      </c>
      <c r="W5615">
        <v>4.0919150000000001E-2</v>
      </c>
      <c r="X5615">
        <v>0.9903016</v>
      </c>
      <c r="Y5615">
        <v>-0.2462772</v>
      </c>
      <c r="Z5615">
        <v>9.0563180000000007E-3</v>
      </c>
      <c r="AA5615">
        <v>0.96915709999999999</v>
      </c>
      <c r="AB5615">
        <v>38</v>
      </c>
      <c r="AC5615">
        <v>14.027100000000001</v>
      </c>
      <c r="AD5615">
        <v>-1.103344116865</v>
      </c>
      <c r="AE5615">
        <v>3.68879</v>
      </c>
      <c r="AF5615">
        <v>-3.6076377122254999</v>
      </c>
      <c r="AG5615">
        <v>-1.103344116865</v>
      </c>
      <c r="AH5615">
        <v>13.9620160488577</v>
      </c>
      <c r="AI5615">
        <v>94.375279102899498</v>
      </c>
      <c r="AJ5615">
        <v>104.487747866286</v>
      </c>
      <c r="AK5615">
        <v>14.462721398528499</v>
      </c>
    </row>
    <row r="5616" spans="1:37" x14ac:dyDescent="0.2">
      <c r="A5616" t="str">
        <f>"20200111153801825"</f>
        <v>20200111153801825</v>
      </c>
      <c r="B5616" t="str">
        <f>"1578728281818891"</f>
        <v>1578728281818891</v>
      </c>
      <c r="C5616" t="s">
        <v>37</v>
      </c>
      <c r="D5616">
        <v>5.1811020000000001</v>
      </c>
      <c r="E5616">
        <v>0.45535369999999997</v>
      </c>
      <c r="F5616" t="s">
        <v>61</v>
      </c>
      <c r="G5616">
        <v>-239.0796</v>
      </c>
      <c r="H5616" s="1">
        <v>-3.0754030000000001E-6</v>
      </c>
      <c r="I5616">
        <v>-59.294849999999997</v>
      </c>
      <c r="J5616">
        <v>-252.98310000000001</v>
      </c>
      <c r="K5616">
        <v>1.103426</v>
      </c>
      <c r="L5616">
        <v>-62.95346</v>
      </c>
      <c r="M5616">
        <v>0.99998410000000004</v>
      </c>
      <c r="N5616">
        <v>0</v>
      </c>
      <c r="O5616">
        <v>4.4063330000000001E-3</v>
      </c>
      <c r="P5616">
        <v>0.98975959999999996</v>
      </c>
      <c r="Q5616">
        <v>3.7515220000000002E-2</v>
      </c>
      <c r="R5616">
        <v>0.13772709999999999</v>
      </c>
      <c r="S5616">
        <v>2.9341279999999998</v>
      </c>
      <c r="T5616">
        <v>-0.229409</v>
      </c>
      <c r="U5616">
        <v>0.76089479999999998</v>
      </c>
      <c r="V5616">
        <v>-0.1333694</v>
      </c>
      <c r="W5616">
        <v>4.102397E-2</v>
      </c>
      <c r="X5616">
        <v>0.99021700000000001</v>
      </c>
      <c r="Y5616">
        <v>-0.2460638</v>
      </c>
      <c r="Z5616">
        <v>9.1108159999999903E-3</v>
      </c>
      <c r="AA5616">
        <v>0.96921080000000004</v>
      </c>
      <c r="AB5616">
        <v>38</v>
      </c>
      <c r="AC5616">
        <v>13.903499999999999</v>
      </c>
      <c r="AD5616">
        <v>-1.1034290754030001</v>
      </c>
      <c r="AE5616">
        <v>3.6586099999999999</v>
      </c>
      <c r="AF5616">
        <v>-3.5762442290315799</v>
      </c>
      <c r="AG5616">
        <v>-1.1034290754030001</v>
      </c>
      <c r="AH5616">
        <v>13.8379714550692</v>
      </c>
      <c r="AI5616">
        <v>94.414632979967706</v>
      </c>
      <c r="AJ5616">
        <v>104.490303044467</v>
      </c>
      <c r="AK5616">
        <v>14.335150243420401</v>
      </c>
    </row>
    <row r="5617" spans="1:37" x14ac:dyDescent="0.2">
      <c r="A5617" t="str">
        <f>"20200111153801836"</f>
        <v>20200111153801836</v>
      </c>
      <c r="B5617" t="str">
        <f>"1578728281828652"</f>
        <v>1578728281828652</v>
      </c>
      <c r="C5617" t="s">
        <v>37</v>
      </c>
      <c r="D5617">
        <v>5.1915579999999997</v>
      </c>
      <c r="E5617">
        <v>0.45546979999999998</v>
      </c>
      <c r="F5617" t="s">
        <v>61</v>
      </c>
      <c r="G5617">
        <v>-238.9829</v>
      </c>
      <c r="H5617" s="1">
        <v>-3.0306240000000001E-6</v>
      </c>
      <c r="I5617">
        <v>-59.313479999999998</v>
      </c>
      <c r="J5617">
        <v>-252.79320000000001</v>
      </c>
      <c r="K5617">
        <v>1.103502</v>
      </c>
      <c r="L5617">
        <v>-62.952550000000002</v>
      </c>
      <c r="M5617">
        <v>0.99998279999999995</v>
      </c>
      <c r="N5617">
        <v>0</v>
      </c>
      <c r="O5617">
        <v>4.5272150000000002E-3</v>
      </c>
      <c r="P5617">
        <v>0.9896933</v>
      </c>
      <c r="Q5617">
        <v>3.7740740000000002E-2</v>
      </c>
      <c r="R5617">
        <v>0.13814170000000001</v>
      </c>
      <c r="S5617">
        <v>2.9336700000000002</v>
      </c>
      <c r="T5617">
        <v>-0.23121799999999901</v>
      </c>
      <c r="U5617">
        <v>0.76272580000000001</v>
      </c>
      <c r="V5617">
        <v>-0.1336685</v>
      </c>
      <c r="W5617">
        <v>4.1427980000000003E-2</v>
      </c>
      <c r="X5617">
        <v>0.99015980000000003</v>
      </c>
      <c r="Y5617">
        <v>-0.24653809999999901</v>
      </c>
      <c r="Z5617">
        <v>9.1921260000000001E-3</v>
      </c>
      <c r="AA5617">
        <v>0.96908950000000005</v>
      </c>
      <c r="AB5617">
        <v>38</v>
      </c>
      <c r="AC5617">
        <v>13.8103</v>
      </c>
      <c r="AD5617">
        <v>-1.103505030624</v>
      </c>
      <c r="AE5617">
        <v>3.63906999999999</v>
      </c>
      <c r="AF5617">
        <v>-3.5552843461580999</v>
      </c>
      <c r="AG5617">
        <v>-1.103505030624</v>
      </c>
      <c r="AH5617">
        <v>13.7445756887908</v>
      </c>
      <c r="AI5617">
        <v>94.444567786647795</v>
      </c>
      <c r="AJ5617">
        <v>104.502717024467</v>
      </c>
      <c r="AK5617">
        <v>14.2397728563186</v>
      </c>
    </row>
    <row r="5618" spans="1:37" x14ac:dyDescent="0.2">
      <c r="A5618" t="str">
        <f>"20200111153801848"</f>
        <v>20200111153801848</v>
      </c>
      <c r="B5618" t="str">
        <f>"1578728281839388"</f>
        <v>1578728281839388</v>
      </c>
      <c r="C5618" t="s">
        <v>37</v>
      </c>
      <c r="D5618">
        <v>5.2247370000000002</v>
      </c>
      <c r="E5618">
        <v>0.45552229999999999</v>
      </c>
      <c r="F5618" t="s">
        <v>61</v>
      </c>
      <c r="G5618">
        <v>-238.86330000000001</v>
      </c>
      <c r="H5618" s="1">
        <v>-2.9762369999999999E-6</v>
      </c>
      <c r="I5618">
        <v>-59.330840000000002</v>
      </c>
      <c r="J5618">
        <v>-252.6095</v>
      </c>
      <c r="K5618">
        <v>1.1035820000000001</v>
      </c>
      <c r="L5618">
        <v>-62.951599999999999</v>
      </c>
      <c r="M5618">
        <v>0.99998120000000001</v>
      </c>
      <c r="N5618">
        <v>0</v>
      </c>
      <c r="O5618">
        <v>4.6713500000000003E-3</v>
      </c>
      <c r="P5618">
        <v>0.98962099999999897</v>
      </c>
      <c r="Q5618">
        <v>3.8040490000000003E-2</v>
      </c>
      <c r="R5618">
        <v>0.13857610000000001</v>
      </c>
      <c r="S5618">
        <v>2.9336700000000002</v>
      </c>
      <c r="T5618">
        <v>-0.23240069999999999</v>
      </c>
      <c r="U5618">
        <v>0.76272580000000001</v>
      </c>
      <c r="V5618">
        <v>-0.13396449999999999</v>
      </c>
      <c r="W5618">
        <v>4.1930599999999998E-2</v>
      </c>
      <c r="X5618">
        <v>0.990098699999999</v>
      </c>
      <c r="Y5618">
        <v>-0.2463921</v>
      </c>
      <c r="Z5618">
        <v>9.222114E-3</v>
      </c>
      <c r="AA5618">
        <v>0.9691263</v>
      </c>
      <c r="AB5618">
        <v>38</v>
      </c>
      <c r="AC5618">
        <v>13.7461999999999</v>
      </c>
      <c r="AD5618">
        <v>-1.103584976237</v>
      </c>
      <c r="AE5618">
        <v>3.62075999999999</v>
      </c>
      <c r="AF5618">
        <v>-3.5351993913458002</v>
      </c>
      <c r="AG5618">
        <v>-1.103584976237</v>
      </c>
      <c r="AH5618">
        <v>13.680509089234601</v>
      </c>
      <c r="AI5618">
        <v>94.465896935074596</v>
      </c>
      <c r="AJ5618">
        <v>104.48892609098</v>
      </c>
      <c r="AK5618">
        <v>14.1729271315765</v>
      </c>
    </row>
    <row r="5619" spans="1:37" x14ac:dyDescent="0.2">
      <c r="A5619" t="str">
        <f>"20200111153801857"</f>
        <v>20200111153801857</v>
      </c>
      <c r="B5619" t="str">
        <f>"1578728281849149"</f>
        <v>1578728281849149</v>
      </c>
      <c r="C5619" t="s">
        <v>37</v>
      </c>
      <c r="D5619">
        <v>5.2130039999999997</v>
      </c>
      <c r="E5619">
        <v>0.45573029999999998</v>
      </c>
      <c r="F5619" t="s">
        <v>61</v>
      </c>
      <c r="G5619">
        <v>-238.6644</v>
      </c>
      <c r="H5619" s="1">
        <v>-2.892522E-6</v>
      </c>
      <c r="I5619">
        <v>-59.321619999999903</v>
      </c>
      <c r="J5619">
        <v>-252.43</v>
      </c>
      <c r="K5619">
        <v>1.1036649999999999</v>
      </c>
      <c r="L5619">
        <v>-62.950650000000003</v>
      </c>
      <c r="M5619">
        <v>0.99997969999999903</v>
      </c>
      <c r="N5619">
        <v>0</v>
      </c>
      <c r="O5619">
        <v>4.8202920000000003E-3</v>
      </c>
      <c r="P5619">
        <v>0.98958849999999998</v>
      </c>
      <c r="Q5619">
        <v>3.7802090000000003E-2</v>
      </c>
      <c r="R5619">
        <v>0.1388731</v>
      </c>
      <c r="S5619">
        <v>2.9334560000000001</v>
      </c>
      <c r="T5619">
        <v>-0.23214699999999999</v>
      </c>
      <c r="U5619">
        <v>0.76358029999999999</v>
      </c>
      <c r="V5619">
        <v>-0.1341176</v>
      </c>
      <c r="W5619">
        <v>4.1900590000000001E-2</v>
      </c>
      <c r="X5619">
        <v>0.99007919999999905</v>
      </c>
      <c r="Y5619">
        <v>-0.24653079999999999</v>
      </c>
      <c r="Z5619">
        <v>9.2062140000000008E-3</v>
      </c>
      <c r="AA5619">
        <v>0.96909120000000004</v>
      </c>
      <c r="AB5619">
        <v>38</v>
      </c>
      <c r="AC5619">
        <v>13.765599999999999</v>
      </c>
      <c r="AD5619">
        <v>-1.10366789252199</v>
      </c>
      <c r="AE5619">
        <v>3.6290300000000002</v>
      </c>
      <c r="AF5619">
        <v>-3.5413480359567502</v>
      </c>
      <c r="AG5619">
        <v>-1.10366789252199</v>
      </c>
      <c r="AH5619">
        <v>13.7005868286164</v>
      </c>
      <c r="AI5619">
        <v>94.459637005767505</v>
      </c>
      <c r="AJ5619">
        <v>104.492690720803</v>
      </c>
      <c r="AK5619">
        <v>14.1938475466385</v>
      </c>
    </row>
    <row r="5620" spans="1:37" x14ac:dyDescent="0.2">
      <c r="A5620" t="str">
        <f>"20200111153801868"</f>
        <v>20200111153801868</v>
      </c>
      <c r="B5620" t="str">
        <f>"1578728281858908"</f>
        <v>1578728281858908</v>
      </c>
      <c r="C5620" t="s">
        <v>37</v>
      </c>
      <c r="D5620">
        <v>5.212866</v>
      </c>
      <c r="E5620">
        <v>0.455789</v>
      </c>
      <c r="F5620" t="s">
        <v>61</v>
      </c>
      <c r="G5620">
        <v>-238.56030000000001</v>
      </c>
      <c r="H5620" s="1">
        <v>-2.8437759999999898E-6</v>
      </c>
      <c r="I5620">
        <v>-59.344760000000001</v>
      </c>
      <c r="J5620">
        <v>-252.25919999999999</v>
      </c>
      <c r="K5620">
        <v>1.1037489999999901</v>
      </c>
      <c r="L5620">
        <v>-62.949709999999897</v>
      </c>
      <c r="M5620">
        <v>0.99997769999999997</v>
      </c>
      <c r="N5620">
        <v>0</v>
      </c>
      <c r="O5620">
        <v>4.9906170000000001E-3</v>
      </c>
      <c r="P5620">
        <v>0.9895526</v>
      </c>
      <c r="Q5620">
        <v>3.7848149999999997E-2</v>
      </c>
      <c r="R5620">
        <v>0.1391162</v>
      </c>
      <c r="S5620">
        <v>2.9334410000000002</v>
      </c>
      <c r="T5620">
        <v>-0.23342599999999999</v>
      </c>
      <c r="U5620">
        <v>0.76263429999999999</v>
      </c>
      <c r="V5620">
        <v>-0.13419629999999999</v>
      </c>
      <c r="W5620">
        <v>4.2183099999999897E-2</v>
      </c>
      <c r="X5620">
        <v>0.99005650000000001</v>
      </c>
      <c r="Y5620">
        <v>-0.24606829999999999</v>
      </c>
      <c r="Z5620">
        <v>9.2258159999999995E-3</v>
      </c>
      <c r="AA5620">
        <v>0.96920859999999998</v>
      </c>
      <c r="AB5620">
        <v>38</v>
      </c>
      <c r="AC5620">
        <v>13.698899999999901</v>
      </c>
      <c r="AD5620">
        <v>-1.1037518437759899</v>
      </c>
      <c r="AE5620">
        <v>3.6049499999999899</v>
      </c>
      <c r="AF5620">
        <v>-3.5151961643379499</v>
      </c>
      <c r="AG5620">
        <v>-1.1037518437759899</v>
      </c>
      <c r="AH5620">
        <v>13.6339428274458</v>
      </c>
      <c r="AI5620">
        <v>94.482394301848004</v>
      </c>
      <c r="AJ5620">
        <v>104.457524898895</v>
      </c>
      <c r="AK5620">
        <v>14.1230049645419</v>
      </c>
    </row>
    <row r="5621" spans="1:37" x14ac:dyDescent="0.2">
      <c r="A5621" t="str">
        <f>"20200111153801880"</f>
        <v>20200111153801880</v>
      </c>
      <c r="B5621" t="str">
        <f>"1578728281868668"</f>
        <v>1578728281868668</v>
      </c>
      <c r="C5621" t="s">
        <v>37</v>
      </c>
      <c r="D5621">
        <v>5.2475699999999996</v>
      </c>
      <c r="E5621">
        <v>0.45581159999999998</v>
      </c>
      <c r="F5621" t="s">
        <v>61</v>
      </c>
      <c r="G5621">
        <v>-238.4179</v>
      </c>
      <c r="H5621" s="1">
        <v>-2.7816889999999999E-6</v>
      </c>
      <c r="I5621">
        <v>-59.3504</v>
      </c>
      <c r="J5621">
        <v>-252.06950000000001</v>
      </c>
      <c r="K5621">
        <v>1.103842</v>
      </c>
      <c r="L5621">
        <v>-62.94858</v>
      </c>
      <c r="M5621">
        <v>0.99997559999999996</v>
      </c>
      <c r="N5621">
        <v>0</v>
      </c>
      <c r="O5621">
        <v>5.18448E-3</v>
      </c>
      <c r="P5621">
        <v>0.989548599999999</v>
      </c>
      <c r="Q5621">
        <v>3.732634E-2</v>
      </c>
      <c r="R5621">
        <v>0.13928650000000001</v>
      </c>
      <c r="S5621">
        <v>2.9333800000000001</v>
      </c>
      <c r="T5621">
        <v>-0.23391770000000001</v>
      </c>
      <c r="U5621">
        <v>0.76278690000000005</v>
      </c>
      <c r="V5621">
        <v>-0.1341783</v>
      </c>
      <c r="W5621">
        <v>4.1930599999999998E-2</v>
      </c>
      <c r="X5621">
        <v>0.99006970000000005</v>
      </c>
      <c r="Y5621">
        <v>-0.2459305</v>
      </c>
      <c r="Z5621">
        <v>9.224744E-3</v>
      </c>
      <c r="AA5621">
        <v>0.96924359999999998</v>
      </c>
      <c r="AB5621">
        <v>38</v>
      </c>
      <c r="AC5621">
        <v>13.6516</v>
      </c>
      <c r="AD5621">
        <v>-1.103844781689</v>
      </c>
      <c r="AE5621">
        <v>3.5981800000000002</v>
      </c>
      <c r="AF5621">
        <v>-3.50592144637245</v>
      </c>
      <c r="AG5621">
        <v>-1.103844781689</v>
      </c>
      <c r="AH5621">
        <v>13.5870090976352</v>
      </c>
      <c r="AI5621">
        <v>94.497966287442594</v>
      </c>
      <c r="AJ5621">
        <v>104.468698861549</v>
      </c>
      <c r="AK5621">
        <v>14.0753960764669</v>
      </c>
    </row>
    <row r="5622" spans="1:37" x14ac:dyDescent="0.2">
      <c r="A5622" t="str">
        <f>"20200111153801890"</f>
        <v>20200111153801890</v>
      </c>
      <c r="B5622" t="str">
        <f>"1578728281878428"</f>
        <v>1578728281878428</v>
      </c>
      <c r="C5622" t="s">
        <v>37</v>
      </c>
      <c r="D5622">
        <v>5.2533769999999897</v>
      </c>
      <c r="E5622">
        <v>0.45576129999999998</v>
      </c>
      <c r="F5622" t="s">
        <v>61</v>
      </c>
      <c r="G5622">
        <v>-238.38509999999999</v>
      </c>
      <c r="H5622" s="1">
        <v>-2.760705E-6</v>
      </c>
      <c r="I5622">
        <v>-59.389309999999902</v>
      </c>
      <c r="J5622">
        <v>-251.8843</v>
      </c>
      <c r="K5622">
        <v>1.1039319999999999</v>
      </c>
      <c r="L5622">
        <v>-62.947450000000003</v>
      </c>
      <c r="M5622">
        <v>0.9999728</v>
      </c>
      <c r="N5622">
        <v>0</v>
      </c>
      <c r="O5622">
        <v>5.4037449999999997E-3</v>
      </c>
      <c r="P5622">
        <v>0.98952759999999995</v>
      </c>
      <c r="Q5622">
        <v>3.6957669999999998E-2</v>
      </c>
      <c r="R5622">
        <v>0.1395333</v>
      </c>
      <c r="S5622">
        <v>2.93322799999999</v>
      </c>
      <c r="T5622">
        <v>-0.23660679999999901</v>
      </c>
      <c r="U5622">
        <v>0.7629089</v>
      </c>
      <c r="V5622">
        <v>-0.13421179999999999</v>
      </c>
      <c r="W5622">
        <v>4.1864390000000001E-2</v>
      </c>
      <c r="X5622">
        <v>0.99006799999999995</v>
      </c>
      <c r="Y5622">
        <v>-0.24575269999999999</v>
      </c>
      <c r="Z5622">
        <v>9.3064759999999993E-3</v>
      </c>
      <c r="AA5622">
        <v>0.96928789999999998</v>
      </c>
      <c r="AB5622">
        <v>38</v>
      </c>
      <c r="AC5622">
        <v>13.4992</v>
      </c>
      <c r="AD5622">
        <v>-1.1039347607050001</v>
      </c>
      <c r="AE5622">
        <v>3.5581399999999999</v>
      </c>
      <c r="AF5622">
        <v>-3.4634831566895898</v>
      </c>
      <c r="AG5622">
        <v>-1.1039347607050001</v>
      </c>
      <c r="AH5622">
        <v>13.4342239804526</v>
      </c>
      <c r="AI5622">
        <v>94.549522466003907</v>
      </c>
      <c r="AJ5622">
        <v>104.456644571795</v>
      </c>
      <c r="AK5622">
        <v>13.9173546872074</v>
      </c>
    </row>
    <row r="5623" spans="1:37" x14ac:dyDescent="0.2">
      <c r="A5623" t="str">
        <f>"20200111153801902"</f>
        <v>20200111153801902</v>
      </c>
      <c r="B5623" t="str">
        <f>"1578728281898924"</f>
        <v>1578728281898924</v>
      </c>
      <c r="C5623" t="s">
        <v>37</v>
      </c>
      <c r="D5623">
        <v>5.2745759999999997</v>
      </c>
      <c r="E5623">
        <v>0.45568379999999897</v>
      </c>
      <c r="F5623" t="s">
        <v>61</v>
      </c>
      <c r="G5623">
        <v>-238.30619999999999</v>
      </c>
      <c r="H5623" s="1">
        <v>-2.722899E-6</v>
      </c>
      <c r="I5623">
        <v>-59.411659999999998</v>
      </c>
      <c r="J5623">
        <v>-251.6859</v>
      </c>
      <c r="K5623">
        <v>1.1040270000000001</v>
      </c>
      <c r="L5623">
        <v>-62.946169999999903</v>
      </c>
      <c r="M5623">
        <v>0.99996960000000001</v>
      </c>
      <c r="N5623">
        <v>0</v>
      </c>
      <c r="O5623">
        <v>5.6447440000000002E-3</v>
      </c>
      <c r="P5623">
        <v>0.98952320000000005</v>
      </c>
      <c r="Q5623">
        <v>3.6087019999999997E-2</v>
      </c>
      <c r="R5623">
        <v>0.13979229999999901</v>
      </c>
      <c r="S5623">
        <v>2.932938</v>
      </c>
      <c r="T5623">
        <v>-0.238455</v>
      </c>
      <c r="U5623">
        <v>0.76373290000000005</v>
      </c>
      <c r="V5623">
        <v>-0.13423560000000001</v>
      </c>
      <c r="W5623">
        <v>4.1322209999999998E-2</v>
      </c>
      <c r="X5623">
        <v>0.99008750000000001</v>
      </c>
      <c r="Y5623">
        <v>-0.24578659999999999</v>
      </c>
      <c r="Z5623">
        <v>9.3616299999999993E-3</v>
      </c>
      <c r="AA5623">
        <v>0.9692788</v>
      </c>
      <c r="AB5623">
        <v>38</v>
      </c>
      <c r="AC5623">
        <v>13.3797</v>
      </c>
      <c r="AD5623">
        <v>-1.1040297228989999</v>
      </c>
      <c r="AE5623">
        <v>3.5345099999999898</v>
      </c>
      <c r="AF5623">
        <v>-3.4370521051157401</v>
      </c>
      <c r="AG5623">
        <v>-1.1040297228989999</v>
      </c>
      <c r="AH5623">
        <v>13.314695632663399</v>
      </c>
      <c r="AI5623">
        <v>94.590219660677405</v>
      </c>
      <c r="AJ5623">
        <v>104.47433507053</v>
      </c>
      <c r="AK5623">
        <v>13.7954096928214</v>
      </c>
    </row>
    <row r="5624" spans="1:37" x14ac:dyDescent="0.2">
      <c r="A5624" t="str">
        <f>"20200111153801914"</f>
        <v>20200111153801914</v>
      </c>
      <c r="B5624" t="str">
        <f>"1578728281908684"</f>
        <v>1578728281908684</v>
      </c>
      <c r="C5624" t="s">
        <v>37</v>
      </c>
      <c r="D5624">
        <v>5.2946949999999999</v>
      </c>
      <c r="E5624">
        <v>0.45562159999999902</v>
      </c>
      <c r="F5624" t="s">
        <v>61</v>
      </c>
      <c r="G5624">
        <v>-238.38299999999899</v>
      </c>
      <c r="H5624" s="1">
        <v>-2.7442459999999999E-6</v>
      </c>
      <c r="I5624">
        <v>-59.4771199999999</v>
      </c>
      <c r="J5624">
        <v>-251.47810000000001</v>
      </c>
      <c r="K5624">
        <v>1.1041209999999999</v>
      </c>
      <c r="L5624">
        <v>-62.944789999999998</v>
      </c>
      <c r="M5624">
        <v>0.99996600000000002</v>
      </c>
      <c r="N5624">
        <v>0</v>
      </c>
      <c r="O5624">
        <v>5.915376E-3</v>
      </c>
      <c r="P5624">
        <v>0.98949349999999903</v>
      </c>
      <c r="Q5624">
        <v>3.5049780000000003E-2</v>
      </c>
      <c r="R5624">
        <v>0.14026540000000001</v>
      </c>
      <c r="S5624">
        <v>2.932617</v>
      </c>
      <c r="T5624">
        <v>-0.24338370000000001</v>
      </c>
      <c r="U5624">
        <v>0.76473999999999998</v>
      </c>
      <c r="V5624">
        <v>-0.134443799999999</v>
      </c>
      <c r="W5624">
        <v>4.0641860000000002E-2</v>
      </c>
      <c r="X5624">
        <v>0.99008739999999995</v>
      </c>
      <c r="Y5624">
        <v>-0.24583160000000001</v>
      </c>
      <c r="Z5624">
        <v>9.5348919999999997E-3</v>
      </c>
      <c r="AA5624">
        <v>0.96926559999999995</v>
      </c>
      <c r="AB5624">
        <v>38</v>
      </c>
      <c r="AC5624">
        <v>13.0951</v>
      </c>
      <c r="AD5624">
        <v>-1.1041237442459999</v>
      </c>
      <c r="AE5624">
        <v>3.4676700000000098</v>
      </c>
      <c r="AF5624">
        <v>-3.3677724620801501</v>
      </c>
      <c r="AG5624">
        <v>-1.1041237442459999</v>
      </c>
      <c r="AH5624">
        <v>13.0288292763535</v>
      </c>
      <c r="AI5624">
        <v>94.690495274485897</v>
      </c>
      <c r="AJ5624">
        <v>104.49294347791999</v>
      </c>
      <c r="AK5624">
        <v>13.502272879456999</v>
      </c>
    </row>
    <row r="5625" spans="1:37" x14ac:dyDescent="0.2">
      <c r="A5625" t="str">
        <f>"20200111153801926"</f>
        <v>20200111153801926</v>
      </c>
      <c r="B5625" t="str">
        <f>"1578728281918443"</f>
        <v>1578728281918443</v>
      </c>
      <c r="C5625" t="s">
        <v>37</v>
      </c>
      <c r="D5625">
        <v>5.2759799999999997</v>
      </c>
      <c r="E5625">
        <v>0.4555496</v>
      </c>
      <c r="F5625" t="s">
        <v>61</v>
      </c>
      <c r="G5625">
        <v>-238.3749</v>
      </c>
      <c r="H5625" s="1">
        <v>-2.7331959999999998E-6</v>
      </c>
      <c r="I5625">
        <v>-59.519659999999902</v>
      </c>
      <c r="J5625">
        <v>-251.29060000000001</v>
      </c>
      <c r="K5625">
        <v>1.1041989999999999</v>
      </c>
      <c r="L5625">
        <v>-62.943480000000001</v>
      </c>
      <c r="M5625">
        <v>0.99996240000000003</v>
      </c>
      <c r="N5625">
        <v>0</v>
      </c>
      <c r="O5625">
        <v>6.1679450000000002E-3</v>
      </c>
      <c r="P5625">
        <v>0.98944619999999905</v>
      </c>
      <c r="Q5625">
        <v>3.4049740000000002E-2</v>
      </c>
      <c r="R5625">
        <v>0.14084369999999999</v>
      </c>
      <c r="S5625">
        <v>2.9319459999999999</v>
      </c>
      <c r="T5625">
        <v>-0.24705659999999999</v>
      </c>
      <c r="U5625">
        <v>0.76638790000000001</v>
      </c>
      <c r="V5625">
        <v>-0.13477410000000001</v>
      </c>
      <c r="W5625">
        <v>3.9971010000000001E-2</v>
      </c>
      <c r="X5625">
        <v>0.9900698</v>
      </c>
      <c r="Y5625">
        <v>-0.24612719999999999</v>
      </c>
      <c r="Z5625">
        <v>9.6711060000000005E-3</v>
      </c>
      <c r="AA5625">
        <v>0.96918930000000003</v>
      </c>
      <c r="AB5625">
        <v>38</v>
      </c>
      <c r="AC5625">
        <v>12.915699999999999</v>
      </c>
      <c r="AD5625">
        <v>-1.1042017331959999</v>
      </c>
      <c r="AE5625">
        <v>3.4238200000000099</v>
      </c>
      <c r="AF5625">
        <v>-3.3214076767677101</v>
      </c>
      <c r="AG5625">
        <v>-1.1042017331959999</v>
      </c>
      <c r="AH5625">
        <v>12.848826094943</v>
      </c>
      <c r="AI5625">
        <v>94.756226311755995</v>
      </c>
      <c r="AJ5625">
        <v>104.49362711142101</v>
      </c>
      <c r="AK5625">
        <v>13.317032043250901</v>
      </c>
    </row>
    <row r="5626" spans="1:37" x14ac:dyDescent="0.2">
      <c r="A5626" t="str">
        <f>"20200111153801937"</f>
        <v>20200111153801937</v>
      </c>
      <c r="B5626" t="str">
        <f>"1578728281929179"</f>
        <v>1578728281929179</v>
      </c>
      <c r="C5626" t="s">
        <v>37</v>
      </c>
      <c r="D5626">
        <v>5.3024319999999996</v>
      </c>
      <c r="E5626">
        <v>0.45547840000000001</v>
      </c>
      <c r="F5626" t="s">
        <v>61</v>
      </c>
      <c r="G5626">
        <v>-238.35890000000001</v>
      </c>
      <c r="H5626" s="1">
        <v>-2.72033599999999E-6</v>
      </c>
      <c r="I5626">
        <v>-59.55359</v>
      </c>
      <c r="J5626">
        <v>-251.08070000000001</v>
      </c>
      <c r="K5626">
        <v>1.1042879999999999</v>
      </c>
      <c r="L5626">
        <v>-62.941959999999902</v>
      </c>
      <c r="M5626">
        <v>0.99995820000000002</v>
      </c>
      <c r="N5626">
        <v>0</v>
      </c>
      <c r="O5626">
        <v>6.4573679999999998E-3</v>
      </c>
      <c r="P5626">
        <v>0.98941259999999998</v>
      </c>
      <c r="Q5626">
        <v>3.2815459999999998E-2</v>
      </c>
      <c r="R5626">
        <v>0.14137149999999901</v>
      </c>
      <c r="S5626">
        <v>2.9312290000000001</v>
      </c>
      <c r="T5626">
        <v>-0.25028879999999998</v>
      </c>
      <c r="U5626">
        <v>0.76837159999999904</v>
      </c>
      <c r="V5626">
        <v>-0.13501849999999899</v>
      </c>
      <c r="W5626">
        <v>3.9111949999999999E-2</v>
      </c>
      <c r="X5626">
        <v>0.99007080000000003</v>
      </c>
      <c r="Y5626">
        <v>-0.2464972</v>
      </c>
      <c r="Z5626">
        <v>9.7899430000000006E-3</v>
      </c>
      <c r="AA5626">
        <v>0.96909409999999896</v>
      </c>
      <c r="AB5626">
        <v>38</v>
      </c>
      <c r="AC5626">
        <v>12.7218</v>
      </c>
      <c r="AD5626">
        <v>-1.104290720336</v>
      </c>
      <c r="AE5626">
        <v>3.3883699999999899</v>
      </c>
      <c r="AF5626">
        <v>-3.2830498556677901</v>
      </c>
      <c r="AG5626">
        <v>-1.104290720336</v>
      </c>
      <c r="AH5626">
        <v>12.654383188772201</v>
      </c>
      <c r="AI5626">
        <v>94.828255829026702</v>
      </c>
      <c r="AJ5626">
        <v>104.544144035309</v>
      </c>
      <c r="AK5626">
        <v>13.119881410977101</v>
      </c>
    </row>
    <row r="5627" spans="1:37" x14ac:dyDescent="0.2">
      <c r="A5627" t="str">
        <f>"20200111153801950"</f>
        <v>20200111153801950</v>
      </c>
      <c r="B5627" t="str">
        <f>"1578728281938941"</f>
        <v>1578728281938941</v>
      </c>
      <c r="C5627" t="s">
        <v>37</v>
      </c>
      <c r="D5627">
        <v>5.3224220000000004</v>
      </c>
      <c r="E5627">
        <v>0.4553934</v>
      </c>
      <c r="F5627" t="s">
        <v>61</v>
      </c>
      <c r="G5627">
        <v>-238.35299999999901</v>
      </c>
      <c r="H5627" s="1">
        <v>-2.7101239999999999E-6</v>
      </c>
      <c r="I5627">
        <v>-59.596869999999903</v>
      </c>
      <c r="J5627">
        <v>-250.87889999999999</v>
      </c>
      <c r="K5627">
        <v>1.10436</v>
      </c>
      <c r="L5627">
        <v>-62.940369999999902</v>
      </c>
      <c r="M5627">
        <v>0.9999536</v>
      </c>
      <c r="N5627">
        <v>0</v>
      </c>
      <c r="O5627">
        <v>6.7413680000000002E-3</v>
      </c>
      <c r="P5627">
        <v>0.98932059999999999</v>
      </c>
      <c r="Q5627">
        <v>3.217246E-2</v>
      </c>
      <c r="R5627">
        <v>0.14216210000000001</v>
      </c>
      <c r="S5627">
        <v>2.9304809999999999</v>
      </c>
      <c r="T5627">
        <v>-0.2542565</v>
      </c>
      <c r="U5627">
        <v>0.77017209999999903</v>
      </c>
      <c r="V5627">
        <v>-0.13553019999999999</v>
      </c>
      <c r="W5627">
        <v>3.8848939999999998E-2</v>
      </c>
      <c r="X5627">
        <v>0.99001130000000004</v>
      </c>
      <c r="Y5627">
        <v>-0.24681320000000001</v>
      </c>
      <c r="Z5627">
        <v>9.9355559999999999E-3</v>
      </c>
      <c r="AA5627">
        <v>0.96901209999999904</v>
      </c>
      <c r="AB5627">
        <v>38</v>
      </c>
      <c r="AC5627">
        <v>12.5259</v>
      </c>
      <c r="AD5627">
        <v>-1.1043627101239999</v>
      </c>
      <c r="AE5627">
        <v>3.3434999999999899</v>
      </c>
      <c r="AF5627">
        <v>-3.23550256855758</v>
      </c>
      <c r="AG5627">
        <v>-1.1043627101239999</v>
      </c>
      <c r="AH5627">
        <v>12.457758519472</v>
      </c>
      <c r="AI5627">
        <v>94.904080939724196</v>
      </c>
      <c r="AJ5627">
        <v>104.559074114403</v>
      </c>
      <c r="AK5627">
        <v>12.9183528824743</v>
      </c>
    </row>
    <row r="5628" spans="1:37" x14ac:dyDescent="0.2">
      <c r="A5628" t="str">
        <f>"20200111153801964"</f>
        <v>20200111153801964</v>
      </c>
      <c r="B5628" t="str">
        <f>"1578728281959436"</f>
        <v>1578728281959436</v>
      </c>
      <c r="C5628" t="s">
        <v>37</v>
      </c>
      <c r="D5628">
        <v>5.3164169999999897</v>
      </c>
      <c r="E5628">
        <v>0.45521139999999999</v>
      </c>
      <c r="F5628" t="s">
        <v>61</v>
      </c>
      <c r="G5628">
        <v>-238.25909999999999</v>
      </c>
      <c r="H5628" s="1">
        <v>-2.6673599999999998E-6</v>
      </c>
      <c r="I5628">
        <v>-59.610869999999998</v>
      </c>
      <c r="J5628">
        <v>-250.65880000000001</v>
      </c>
      <c r="K5628">
        <v>1.104438</v>
      </c>
      <c r="L5628">
        <v>-62.938630000000003</v>
      </c>
      <c r="M5628">
        <v>0.99994839999999996</v>
      </c>
      <c r="N5628">
        <v>0</v>
      </c>
      <c r="O5628">
        <v>7.0540189999999999E-3</v>
      </c>
      <c r="P5628">
        <v>0.98924749999999995</v>
      </c>
      <c r="Q5628">
        <v>3.1486569999999998E-2</v>
      </c>
      <c r="R5628">
        <v>0.14282229999999899</v>
      </c>
      <c r="S5628">
        <v>2.9296419999999999</v>
      </c>
      <c r="T5628">
        <v>-0.25637470000000001</v>
      </c>
      <c r="U5628">
        <v>0.77291869999999996</v>
      </c>
      <c r="V5628">
        <v>-0.1358829</v>
      </c>
      <c r="W5628">
        <v>3.8584500000000001E-2</v>
      </c>
      <c r="X5628">
        <v>0.9899732</v>
      </c>
      <c r="Y5628">
        <v>-0.24741269999999899</v>
      </c>
      <c r="Z5628">
        <v>1.0018529999999999E-2</v>
      </c>
      <c r="AA5628">
        <v>0.96885840000000001</v>
      </c>
      <c r="AB5628">
        <v>38</v>
      </c>
      <c r="AC5628">
        <v>12.399699999999999</v>
      </c>
      <c r="AD5628">
        <v>-1.10444066736</v>
      </c>
      <c r="AE5628">
        <v>3.3277600000000001</v>
      </c>
      <c r="AF5628">
        <v>-3.2164043331444998</v>
      </c>
      <c r="AG5628">
        <v>-1.10444066736</v>
      </c>
      <c r="AH5628">
        <v>12.3316068567099</v>
      </c>
      <c r="AI5628">
        <v>94.953017499638804</v>
      </c>
      <c r="AJ5628">
        <v>104.618539702248</v>
      </c>
      <c r="AK5628">
        <v>12.7919339308192</v>
      </c>
    </row>
    <row r="5629" spans="1:37" x14ac:dyDescent="0.2">
      <c r="A5629" t="str">
        <f>"20200111153801977"</f>
        <v>20200111153801977</v>
      </c>
      <c r="B5629" t="str">
        <f>"1578728281969196"</f>
        <v>1578728281969196</v>
      </c>
      <c r="C5629" t="s">
        <v>37</v>
      </c>
      <c r="D5629">
        <v>5.2358229999999999</v>
      </c>
      <c r="E5629">
        <v>0.45526719999999998</v>
      </c>
      <c r="F5629" t="s">
        <v>61</v>
      </c>
      <c r="G5629">
        <v>-238.166</v>
      </c>
      <c r="H5629" s="1">
        <v>-2.6242950000000001E-6</v>
      </c>
      <c r="I5629">
        <v>-59.628430000000002</v>
      </c>
      <c r="J5629">
        <v>-250.43270000000001</v>
      </c>
      <c r="K5629">
        <v>1.104508</v>
      </c>
      <c r="L5629">
        <v>-62.93674</v>
      </c>
      <c r="M5629">
        <v>0.99994280000000002</v>
      </c>
      <c r="N5629">
        <v>0</v>
      </c>
      <c r="O5629">
        <v>7.3810830000000001E-3</v>
      </c>
      <c r="P5629">
        <v>0.98914099999999905</v>
      </c>
      <c r="Q5629">
        <v>3.0538450000000002E-2</v>
      </c>
      <c r="R5629">
        <v>0.14376369999999999</v>
      </c>
      <c r="S5629">
        <v>2.928833</v>
      </c>
      <c r="T5629">
        <v>-0.25892599999999999</v>
      </c>
      <c r="U5629">
        <v>0.77603149999999999</v>
      </c>
      <c r="V5629">
        <v>-0.13650199999999901</v>
      </c>
      <c r="W5629">
        <v>3.8078460000000001E-2</v>
      </c>
      <c r="X5629">
        <v>0.98990769999999995</v>
      </c>
      <c r="Y5629">
        <v>-0.24810549999999901</v>
      </c>
      <c r="Z5629">
        <v>1.01209E-2</v>
      </c>
      <c r="AA5629">
        <v>0.96868009999999904</v>
      </c>
      <c r="AB5629">
        <v>38</v>
      </c>
      <c r="AC5629">
        <v>12.2667</v>
      </c>
      <c r="AD5629">
        <v>-1.104510624295</v>
      </c>
      <c r="AE5629">
        <v>3.3083099999999899</v>
      </c>
      <c r="AF5629">
        <v>-3.1935397436622099</v>
      </c>
      <c r="AG5629">
        <v>-1.104510624295</v>
      </c>
      <c r="AH5629">
        <v>12.1985918975362</v>
      </c>
      <c r="AI5629">
        <v>95.005886785105901</v>
      </c>
      <c r="AJ5629">
        <v>104.670548997284</v>
      </c>
      <c r="AK5629">
        <v>12.657973143286601</v>
      </c>
    </row>
    <row r="5630" spans="1:37" x14ac:dyDescent="0.2">
      <c r="A5630" t="str">
        <f>"20200111153801993"</f>
        <v>20200111153801993</v>
      </c>
      <c r="B5630" t="str">
        <f>"1578728281988715"</f>
        <v>1578728281988715</v>
      </c>
      <c r="C5630" t="s">
        <v>37</v>
      </c>
      <c r="D5630">
        <v>5.2332029999999996</v>
      </c>
      <c r="E5630">
        <v>0.45538400000000001</v>
      </c>
      <c r="F5630" t="s">
        <v>61</v>
      </c>
      <c r="G5630">
        <v>-238.04679999999999</v>
      </c>
      <c r="H5630" s="1">
        <v>-2.570255E-6</v>
      </c>
      <c r="I5630">
        <v>-59.64479</v>
      </c>
      <c r="J5630">
        <v>-250.16390000000001</v>
      </c>
      <c r="K5630">
        <v>1.104579</v>
      </c>
      <c r="L5630">
        <v>-62.934359999999998</v>
      </c>
      <c r="M5630">
        <v>0.99993549999999998</v>
      </c>
      <c r="N5630">
        <v>0</v>
      </c>
      <c r="O5630">
        <v>7.7780719999999996E-3</v>
      </c>
      <c r="P5630">
        <v>0.98886939999999901</v>
      </c>
      <c r="Q5630">
        <v>3.0481080000000001E-2</v>
      </c>
      <c r="R5630">
        <v>0.14563190000000001</v>
      </c>
      <c r="S5630">
        <v>2.927902</v>
      </c>
      <c r="T5630">
        <v>-0.26109479999999902</v>
      </c>
      <c r="U5630">
        <v>0.77816770000000002</v>
      </c>
      <c r="V5630">
        <v>-0.1379802</v>
      </c>
      <c r="W5630">
        <v>3.852684E-2</v>
      </c>
      <c r="X5630">
        <v>0.98968539999999905</v>
      </c>
      <c r="Y5630">
        <v>-0.24844259999999899</v>
      </c>
      <c r="Z5630">
        <v>1.018757E-2</v>
      </c>
      <c r="AA5630">
        <v>0.96859309999999998</v>
      </c>
      <c r="AB5630">
        <v>38</v>
      </c>
      <c r="AC5630">
        <v>12.117100000000001</v>
      </c>
      <c r="AD5630">
        <v>-1.1045815702549999</v>
      </c>
      <c r="AE5630">
        <v>3.2895699999999901</v>
      </c>
      <c r="AF5630">
        <v>-3.1706800220278502</v>
      </c>
      <c r="AG5630">
        <v>-1.1045815702549999</v>
      </c>
      <c r="AH5630">
        <v>12.0490667672683</v>
      </c>
      <c r="AI5630">
        <v>95.066337592389104</v>
      </c>
      <c r="AJ5630">
        <v>104.74299793961301</v>
      </c>
      <c r="AK5630">
        <v>12.508130244346001</v>
      </c>
    </row>
    <row r="5631" spans="1:37" x14ac:dyDescent="0.2">
      <c r="A5631" t="str">
        <f>"20200111153802005"</f>
        <v>20200111153802005</v>
      </c>
      <c r="B5631" t="str">
        <f>"1578728281998475"</f>
        <v>1578728281998475</v>
      </c>
      <c r="C5631" t="s">
        <v>37</v>
      </c>
      <c r="D5631">
        <v>5.2953199999999896</v>
      </c>
      <c r="E5631">
        <v>0.4553914</v>
      </c>
      <c r="F5631" t="s">
        <v>61</v>
      </c>
      <c r="G5631">
        <v>-237.75790000000001</v>
      </c>
      <c r="H5631" s="1">
        <v>-2.4512689999999999E-6</v>
      </c>
      <c r="I5631">
        <v>-59.616909999999997</v>
      </c>
      <c r="J5631">
        <v>-249.96469999999999</v>
      </c>
      <c r="K5631">
        <v>1.104627</v>
      </c>
      <c r="L5631">
        <v>-62.932589999999998</v>
      </c>
      <c r="M5631">
        <v>0.99992999999999899</v>
      </c>
      <c r="N5631">
        <v>0</v>
      </c>
      <c r="O5631">
        <v>8.0744990000000006E-3</v>
      </c>
      <c r="P5631">
        <v>0.98872260000000001</v>
      </c>
      <c r="Q5631">
        <v>3.002726E-2</v>
      </c>
      <c r="R5631">
        <v>0.1467184</v>
      </c>
      <c r="S5631">
        <v>2.9265439999999998</v>
      </c>
      <c r="T5631">
        <v>-0.26056780000000002</v>
      </c>
      <c r="U5631">
        <v>0.78256230000000004</v>
      </c>
      <c r="V5631">
        <v>-0.13877529999999999</v>
      </c>
      <c r="W5631">
        <v>3.8433450000000001E-2</v>
      </c>
      <c r="X5631">
        <v>0.98957779999999995</v>
      </c>
      <c r="Y5631">
        <v>-0.24962480000000001</v>
      </c>
      <c r="Z5631">
        <v>1.019546E-2</v>
      </c>
      <c r="AA5631">
        <v>0.96828899999999996</v>
      </c>
      <c r="AB5631">
        <v>38</v>
      </c>
      <c r="AC5631">
        <v>12.2067999999999</v>
      </c>
      <c r="AD5631">
        <v>-1.104629451269</v>
      </c>
      <c r="AE5631">
        <v>3.31568</v>
      </c>
      <c r="AF5631">
        <v>-3.19265625767793</v>
      </c>
      <c r="AG5631">
        <v>-1.104629451269</v>
      </c>
      <c r="AH5631">
        <v>12.140587690541601</v>
      </c>
      <c r="AI5631">
        <v>95.028772415770703</v>
      </c>
      <c r="AJ5631">
        <v>104.733696711257</v>
      </c>
      <c r="AK5631">
        <v>12.6018700864607</v>
      </c>
    </row>
    <row r="5632" spans="1:37" x14ac:dyDescent="0.2">
      <c r="A5632" t="str">
        <f>"20200111153802016"</f>
        <v>20200111153802016</v>
      </c>
      <c r="B5632" t="str">
        <f>"1578728282009211"</f>
        <v>1578728282009211</v>
      </c>
      <c r="C5632" t="s">
        <v>37</v>
      </c>
      <c r="D5632">
        <v>5.3127050000000002</v>
      </c>
      <c r="E5632">
        <v>0.45541199999999998</v>
      </c>
      <c r="F5632" t="s">
        <v>61</v>
      </c>
      <c r="G5632">
        <v>-237.61320000000001</v>
      </c>
      <c r="H5632" s="1">
        <v>-2.389324E-6</v>
      </c>
      <c r="I5632">
        <v>-59.616280000000003</v>
      </c>
      <c r="J5632">
        <v>-249.76840000000001</v>
      </c>
      <c r="K5632">
        <v>1.104668</v>
      </c>
      <c r="L5632">
        <v>-62.930759999999999</v>
      </c>
      <c r="M5632">
        <v>0.99992449999999999</v>
      </c>
      <c r="N5632">
        <v>0</v>
      </c>
      <c r="O5632">
        <v>8.3678409999999905E-3</v>
      </c>
      <c r="P5632">
        <v>0.98858649999999904</v>
      </c>
      <c r="Q5632">
        <v>2.9636200000000001E-2</v>
      </c>
      <c r="R5632">
        <v>0.14771129999999999</v>
      </c>
      <c r="S5632">
        <v>2.9255979999999999</v>
      </c>
      <c r="T5632">
        <v>-0.26164510000000002</v>
      </c>
      <c r="U5632">
        <v>0.78549190000000002</v>
      </c>
      <c r="V5632">
        <v>-0.1394792</v>
      </c>
      <c r="W5632">
        <v>3.8381029999999997E-2</v>
      </c>
      <c r="X5632">
        <v>0.9894809</v>
      </c>
      <c r="Y5632">
        <v>-0.25031439999999999</v>
      </c>
      <c r="Z5632">
        <v>1.024387E-2</v>
      </c>
      <c r="AA5632">
        <v>0.96811039999999904</v>
      </c>
      <c r="AB5632">
        <v>38</v>
      </c>
      <c r="AC5632">
        <v>12.155200000000001</v>
      </c>
      <c r="AD5632">
        <v>-1.104670389324</v>
      </c>
      <c r="AE5632">
        <v>3.3144799999999899</v>
      </c>
      <c r="AF5632">
        <v>-3.18813775843992</v>
      </c>
      <c r="AG5632">
        <v>-1.104670389324</v>
      </c>
      <c r="AH5632">
        <v>12.089570170945899</v>
      </c>
      <c r="AI5632">
        <v>95.049159828689099</v>
      </c>
      <c r="AJ5632">
        <v>104.773130958129</v>
      </c>
      <c r="AK5632">
        <v>12.5515826075465</v>
      </c>
    </row>
    <row r="5633" spans="1:37" x14ac:dyDescent="0.2">
      <c r="A5633" t="str">
        <f>"20200111153802027"</f>
        <v>20200111153802027</v>
      </c>
      <c r="B5633" t="str">
        <f>"1578728282018971"</f>
        <v>1578728282018971</v>
      </c>
      <c r="C5633" t="s">
        <v>37</v>
      </c>
      <c r="D5633">
        <v>5.3299969999999997</v>
      </c>
      <c r="E5633">
        <v>0.45538990000000001</v>
      </c>
      <c r="F5633" t="s">
        <v>61</v>
      </c>
      <c r="G5633">
        <v>-237.45240000000001</v>
      </c>
      <c r="H5633" s="1">
        <v>-2.3210840000000001E-6</v>
      </c>
      <c r="I5633">
        <v>-59.6119699999999</v>
      </c>
      <c r="J5633">
        <v>-249.5789</v>
      </c>
      <c r="K5633">
        <v>1.1047039999999999</v>
      </c>
      <c r="L5633">
        <v>-62.928890000000003</v>
      </c>
      <c r="M5633">
        <v>0.99991919999999901</v>
      </c>
      <c r="N5633">
        <v>0</v>
      </c>
      <c r="O5633">
        <v>8.6491559999999999E-3</v>
      </c>
      <c r="P5633">
        <v>0.98839909999999997</v>
      </c>
      <c r="Q5633">
        <v>2.9220969999999999E-2</v>
      </c>
      <c r="R5633">
        <v>0.14904229999999999</v>
      </c>
      <c r="S5633">
        <v>2.9247589999999999</v>
      </c>
      <c r="T5633">
        <v>-0.26233229999999902</v>
      </c>
      <c r="U5633">
        <v>0.7881165</v>
      </c>
      <c r="V5633">
        <v>-0.1405342</v>
      </c>
      <c r="W5633">
        <v>3.8271920000000001E-2</v>
      </c>
      <c r="X5633">
        <v>0.98933579999999999</v>
      </c>
      <c r="Y5633">
        <v>-0.25091560000000002</v>
      </c>
      <c r="Z5633">
        <v>1.027404E-2</v>
      </c>
      <c r="AA5633">
        <v>0.96795450000000005</v>
      </c>
      <c r="AB5633">
        <v>38</v>
      </c>
      <c r="AC5633">
        <v>12.126499999999901</v>
      </c>
      <c r="AD5633">
        <v>-1.104706321084</v>
      </c>
      <c r="AE5633">
        <v>3.3169200000000099</v>
      </c>
      <c r="AF5633">
        <v>-3.1872974204771398</v>
      </c>
      <c r="AG5633">
        <v>-1.104706321084</v>
      </c>
      <c r="AH5633">
        <v>12.061605360249199</v>
      </c>
      <c r="AI5633">
        <v>95.060296277408497</v>
      </c>
      <c r="AJ5633">
        <v>104.80214828629001</v>
      </c>
      <c r="AK5633">
        <v>12.524438700748799</v>
      </c>
    </row>
    <row r="5634" spans="1:37" x14ac:dyDescent="0.2">
      <c r="A5634" t="str">
        <f>"20200111153802039"</f>
        <v>20200111153802039</v>
      </c>
      <c r="B5634" t="str">
        <f>"1578728282028731"</f>
        <v>1578728282028731</v>
      </c>
      <c r="C5634" t="s">
        <v>37</v>
      </c>
      <c r="D5634">
        <v>5.3458259999999997</v>
      </c>
      <c r="E5634">
        <v>0.45538309999999999</v>
      </c>
      <c r="F5634" t="s">
        <v>61</v>
      </c>
      <c r="G5634">
        <v>-237.3066</v>
      </c>
      <c r="H5634" s="1">
        <v>-2.2599499999999999E-6</v>
      </c>
      <c r="I5634">
        <v>-59.603999999999999</v>
      </c>
      <c r="J5634">
        <v>-249.3802</v>
      </c>
      <c r="K5634">
        <v>1.1047370000000001</v>
      </c>
      <c r="L5634">
        <v>-62.926969999999997</v>
      </c>
      <c r="M5634">
        <v>0.99991369999999902</v>
      </c>
      <c r="N5634">
        <v>0</v>
      </c>
      <c r="O5634">
        <v>8.9430959999999993E-3</v>
      </c>
      <c r="P5634">
        <v>0.98824880000000004</v>
      </c>
      <c r="Q5634">
        <v>2.875192E-2</v>
      </c>
      <c r="R5634">
        <v>0.15012609999999901</v>
      </c>
      <c r="S5634">
        <v>2.9235380000000002</v>
      </c>
      <c r="T5634">
        <v>-0.26316669999999998</v>
      </c>
      <c r="U5634">
        <v>0.79205319999999901</v>
      </c>
      <c r="V5634">
        <v>-0.1413285</v>
      </c>
      <c r="W5634">
        <v>3.8116589999999999E-2</v>
      </c>
      <c r="X5634">
        <v>0.98922869999999996</v>
      </c>
      <c r="Y5634">
        <v>-0.2519383</v>
      </c>
      <c r="Z5634">
        <v>1.0328169999999999E-2</v>
      </c>
      <c r="AA5634">
        <v>0.9676882</v>
      </c>
      <c r="AB5634">
        <v>38</v>
      </c>
      <c r="AC5634">
        <v>12.073600000000001</v>
      </c>
      <c r="AD5634">
        <v>-1.1047392599500001</v>
      </c>
      <c r="AE5634">
        <v>3.32296999999999</v>
      </c>
      <c r="AF5634">
        <v>-3.1900294318762601</v>
      </c>
      <c r="AG5634">
        <v>-1.1047392599500001</v>
      </c>
      <c r="AH5634">
        <v>12.0093698316947</v>
      </c>
      <c r="AI5634">
        <v>95.080619072845195</v>
      </c>
      <c r="AJ5634">
        <v>104.875862802695</v>
      </c>
      <c r="AK5634">
        <v>12.474842698933401</v>
      </c>
    </row>
    <row r="5635" spans="1:37" x14ac:dyDescent="0.2">
      <c r="A5635" t="str">
        <f>"20200111153802050"</f>
        <v>20200111153802050</v>
      </c>
      <c r="B5635" t="str">
        <f>"1578728282038491"</f>
        <v>1578728282038491</v>
      </c>
      <c r="C5635" t="s">
        <v>37</v>
      </c>
      <c r="D5635">
        <v>5.3054129999999997</v>
      </c>
      <c r="E5635">
        <v>0.45537139999999998</v>
      </c>
      <c r="F5635" t="s">
        <v>61</v>
      </c>
      <c r="G5635">
        <v>-237.16</v>
      </c>
      <c r="H5635" s="1">
        <v>-2.1973699999999999E-6</v>
      </c>
      <c r="I5635">
        <v>-59.602350000000001</v>
      </c>
      <c r="J5635">
        <v>-249.19200000000001</v>
      </c>
      <c r="K5635">
        <v>1.104765</v>
      </c>
      <c r="L5635">
        <v>-62.924990000000001</v>
      </c>
      <c r="M5635">
        <v>0.99990840000000003</v>
      </c>
      <c r="N5635">
        <v>0</v>
      </c>
      <c r="O5635">
        <v>9.2173240000000007E-3</v>
      </c>
      <c r="P5635">
        <v>0.98808549999999995</v>
      </c>
      <c r="Q5635">
        <v>2.8568880000000001E-2</v>
      </c>
      <c r="R5635">
        <v>0.15123210000000001</v>
      </c>
      <c r="S5635">
        <v>2.922577</v>
      </c>
      <c r="T5635">
        <v>-0.26421050000000001</v>
      </c>
      <c r="U5635">
        <v>0.79510499999999995</v>
      </c>
      <c r="V5635">
        <v>-0.14216519999999999</v>
      </c>
      <c r="W5635">
        <v>3.8204259999999997E-2</v>
      </c>
      <c r="X5635">
        <v>0.98910540000000002</v>
      </c>
      <c r="Y5635">
        <v>-0.25268489999999999</v>
      </c>
      <c r="Z5635">
        <v>1.0379660000000001E-2</v>
      </c>
      <c r="AA5635">
        <v>0.96749289999999999</v>
      </c>
      <c r="AB5635">
        <v>38</v>
      </c>
      <c r="AC5635">
        <v>12.032</v>
      </c>
      <c r="AD5635">
        <v>-1.10476719737</v>
      </c>
      <c r="AE5635">
        <v>3.3226399999999998</v>
      </c>
      <c r="AF5635">
        <v>-3.1866284820339201</v>
      </c>
      <c r="AG5635">
        <v>-1.10476719737</v>
      </c>
      <c r="AH5635">
        <v>11.9683634580855</v>
      </c>
      <c r="AI5635">
        <v>95.097274763438094</v>
      </c>
      <c r="AJ5635">
        <v>104.909357739417</v>
      </c>
      <c r="AK5635">
        <v>12.434501819845099</v>
      </c>
    </row>
    <row r="5636" spans="1:37" x14ac:dyDescent="0.2">
      <c r="A5636" t="str">
        <f>"20200111153802061"</f>
        <v>20200111153802061</v>
      </c>
      <c r="B5636" t="str">
        <f>"1578728282058987"</f>
        <v>1578728282058987</v>
      </c>
      <c r="C5636" t="s">
        <v>37</v>
      </c>
      <c r="D5636">
        <v>5.4289230000000002</v>
      </c>
      <c r="E5636">
        <v>0.45538669999999998</v>
      </c>
      <c r="F5636" t="s">
        <v>61</v>
      </c>
      <c r="G5636">
        <v>-237.0035</v>
      </c>
      <c r="H5636" s="1">
        <v>-2.1316110000000001E-6</v>
      </c>
      <c r="I5636">
        <v>-59.594589999999997</v>
      </c>
      <c r="J5636">
        <v>-249.0018</v>
      </c>
      <c r="K5636">
        <v>1.104792</v>
      </c>
      <c r="L5636">
        <v>-62.923029999999997</v>
      </c>
      <c r="M5636">
        <v>0.99990299999999999</v>
      </c>
      <c r="N5636">
        <v>0</v>
      </c>
      <c r="O5636">
        <v>9.4937349999999997E-3</v>
      </c>
      <c r="P5636">
        <v>0.98796079999999997</v>
      </c>
      <c r="Q5636">
        <v>2.8227530000000001E-2</v>
      </c>
      <c r="R5636">
        <v>0.15210770000000001</v>
      </c>
      <c r="S5636">
        <v>2.9216609999999998</v>
      </c>
      <c r="T5636">
        <v>-0.26482149999999999</v>
      </c>
      <c r="U5636">
        <v>0.7983093</v>
      </c>
      <c r="V5636">
        <v>-0.1427688</v>
      </c>
      <c r="W5636">
        <v>3.8131360000000003E-2</v>
      </c>
      <c r="X5636">
        <v>0.98902119999999905</v>
      </c>
      <c r="Y5636">
        <v>-0.25347550000000002</v>
      </c>
      <c r="Z5636">
        <v>1.0415809999999999E-2</v>
      </c>
      <c r="AA5636">
        <v>0.96728579999999997</v>
      </c>
      <c r="AB5636">
        <v>38</v>
      </c>
      <c r="AC5636">
        <v>11.9983</v>
      </c>
      <c r="AD5636">
        <v>-1.1047941316109999</v>
      </c>
      <c r="AE5636">
        <v>3.3284400000000001</v>
      </c>
      <c r="AF5636">
        <v>-3.1892671477521102</v>
      </c>
      <c r="AG5636">
        <v>-1.1047941316109999</v>
      </c>
      <c r="AH5636">
        <v>11.935396040354201</v>
      </c>
      <c r="AI5636">
        <v>95.110192822633095</v>
      </c>
      <c r="AJ5636">
        <v>104.96052186207601</v>
      </c>
      <c r="AK5636">
        <v>12.403454101704</v>
      </c>
    </row>
    <row r="5637" spans="1:37" x14ac:dyDescent="0.2">
      <c r="A5637" t="str">
        <f>"20200111153802073"</f>
        <v>20200111153802073</v>
      </c>
      <c r="B5637" t="str">
        <f>"1578728282068747"</f>
        <v>1578728282068747</v>
      </c>
      <c r="C5637" t="s">
        <v>37</v>
      </c>
      <c r="D5637">
        <v>5.5336369999999997</v>
      </c>
      <c r="E5637">
        <v>0.45538669999999998</v>
      </c>
      <c r="F5637" t="s">
        <v>61</v>
      </c>
      <c r="G5637">
        <v>-236.86099999999999</v>
      </c>
      <c r="H5637" s="1">
        <v>-2.07042499999999E-6</v>
      </c>
      <c r="I5637">
        <v>-59.594839999999998</v>
      </c>
      <c r="J5637">
        <v>-248.80009999999999</v>
      </c>
      <c r="K5637">
        <v>1.104822</v>
      </c>
      <c r="L5637">
        <v>-62.920839999999998</v>
      </c>
      <c r="M5637">
        <v>0.99989749999999999</v>
      </c>
      <c r="N5637">
        <v>0</v>
      </c>
      <c r="O5637">
        <v>9.7839539999999992E-3</v>
      </c>
      <c r="P5637">
        <v>0.98787420000000004</v>
      </c>
      <c r="Q5637">
        <v>2.7644419999999999E-2</v>
      </c>
      <c r="R5637">
        <v>0.15277579999999999</v>
      </c>
      <c r="S5637">
        <v>2.920868</v>
      </c>
      <c r="T5637">
        <v>-0.26579419999999998</v>
      </c>
      <c r="U5637">
        <v>0.80068969999999995</v>
      </c>
      <c r="V5637">
        <v>-0.14315020000000001</v>
      </c>
      <c r="W5637">
        <v>3.7812579999999998E-2</v>
      </c>
      <c r="X5637">
        <v>0.98897839999999904</v>
      </c>
      <c r="Y5637">
        <v>-0.25398690000000002</v>
      </c>
      <c r="Z5637">
        <v>1.045249E-2</v>
      </c>
      <c r="AA5637">
        <v>0.96715119999999899</v>
      </c>
      <c r="AB5637">
        <v>38</v>
      </c>
      <c r="AC5637">
        <v>11.9390999999999</v>
      </c>
      <c r="AD5637">
        <v>-1.1048240704250001</v>
      </c>
      <c r="AE5637">
        <v>3.3260000000000001</v>
      </c>
      <c r="AF5637">
        <v>-3.1837229516157</v>
      </c>
      <c r="AG5637">
        <v>-1.1048240704250001</v>
      </c>
      <c r="AH5637">
        <v>11.8766920916904</v>
      </c>
      <c r="AI5637">
        <v>95.134365820786101</v>
      </c>
      <c r="AJ5637">
        <v>105.006179311116</v>
      </c>
      <c r="AK5637">
        <v>12.345547501024701</v>
      </c>
    </row>
    <row r="5638" spans="1:37" x14ac:dyDescent="0.2">
      <c r="A5638" t="str">
        <f>"20200111153802084"</f>
        <v>20200111153802084</v>
      </c>
      <c r="B5638" t="str">
        <f>"1578728282078507"</f>
        <v>1578728282078507</v>
      </c>
      <c r="C5638" t="s">
        <v>37</v>
      </c>
      <c r="D5638">
        <v>5.5463550000000001</v>
      </c>
      <c r="E5638">
        <v>0.47940109999999903</v>
      </c>
      <c r="F5638" t="s">
        <v>61</v>
      </c>
      <c r="G5638">
        <v>-236.74250000000001</v>
      </c>
      <c r="H5638" s="1">
        <v>-2.0174980000000001E-6</v>
      </c>
      <c r="I5638">
        <v>-59.606580000000001</v>
      </c>
      <c r="J5638">
        <v>-248.62370000000001</v>
      </c>
      <c r="K5638">
        <v>1.10484</v>
      </c>
      <c r="L5638">
        <v>-62.918880000000001</v>
      </c>
      <c r="M5638">
        <v>0.99989259999999902</v>
      </c>
      <c r="N5638">
        <v>0</v>
      </c>
      <c r="O5638">
        <v>1.003739E-2</v>
      </c>
      <c r="P5638">
        <v>0.98781330000000001</v>
      </c>
      <c r="Q5638">
        <v>2.776818E-2</v>
      </c>
      <c r="R5638">
        <v>0.15314749999999999</v>
      </c>
      <c r="S5638">
        <v>2.9201509999999899</v>
      </c>
      <c r="T5638">
        <v>-0.26756990000000003</v>
      </c>
      <c r="U5638">
        <v>0.80264279999999999</v>
      </c>
      <c r="V5638">
        <v>-0.14327279999999901</v>
      </c>
      <c r="W5638">
        <v>3.8157080000000003E-2</v>
      </c>
      <c r="X5638">
        <v>0.98894740000000003</v>
      </c>
      <c r="Y5638">
        <v>-0.25439060000000002</v>
      </c>
      <c r="Z5638">
        <v>1.0519000000000001E-2</v>
      </c>
      <c r="AA5638">
        <v>0.96704439999999903</v>
      </c>
      <c r="AB5638">
        <v>38</v>
      </c>
      <c r="AC5638">
        <v>11.8812</v>
      </c>
      <c r="AD5638">
        <v>-1.104842017498</v>
      </c>
      <c r="AE5638">
        <v>3.3122999999999898</v>
      </c>
      <c r="AF5638">
        <v>-3.1674554462354698</v>
      </c>
      <c r="AG5638">
        <v>-1.104842017498</v>
      </c>
      <c r="AH5638">
        <v>11.819018176625001</v>
      </c>
      <c r="AI5638">
        <v>95.159456372504195</v>
      </c>
      <c r="AJ5638">
        <v>105.002528658687</v>
      </c>
      <c r="AK5638">
        <v>12.285871582712801</v>
      </c>
    </row>
    <row r="5639" spans="1:37" x14ac:dyDescent="0.2">
      <c r="A5639" t="str">
        <f>"20200111153802103"</f>
        <v>20200111153802103</v>
      </c>
      <c r="B5639" t="str">
        <f>"1578728282099004"</f>
        <v>1578728282099004</v>
      </c>
      <c r="C5639" t="s">
        <v>37</v>
      </c>
      <c r="D5639">
        <v>5.7735580000000004</v>
      </c>
      <c r="E5639">
        <v>0.53812059999999995</v>
      </c>
      <c r="F5639" t="s">
        <v>61</v>
      </c>
      <c r="G5639">
        <v>-233.88919999999999</v>
      </c>
      <c r="H5639" s="1">
        <v>-7.5140599999999997E-7</v>
      </c>
      <c r="I5639">
        <v>-59.843619999999902</v>
      </c>
      <c r="J5639">
        <v>-248.30770000000001</v>
      </c>
      <c r="K5639">
        <v>1.1048789999999999</v>
      </c>
      <c r="L5639">
        <v>-62.91525</v>
      </c>
      <c r="M5639">
        <v>0.99988379999999999</v>
      </c>
      <c r="N5639">
        <v>0</v>
      </c>
      <c r="O5639">
        <v>1.049017E-2</v>
      </c>
      <c r="P5639">
        <v>0.9876838</v>
      </c>
      <c r="Q5639">
        <v>2.748919E-2</v>
      </c>
      <c r="R5639">
        <v>0.15403020000000001</v>
      </c>
      <c r="S5639">
        <v>2.94782999999999</v>
      </c>
      <c r="T5639">
        <v>-0.22103789999999901</v>
      </c>
      <c r="U5639">
        <v>0.61523439999999996</v>
      </c>
      <c r="V5639">
        <v>-0.14370949999999999</v>
      </c>
      <c r="W5639">
        <v>3.8243329999999999E-2</v>
      </c>
      <c r="X5639">
        <v>0.98888069999999895</v>
      </c>
      <c r="Y5639">
        <v>-0.19353239999999999</v>
      </c>
      <c r="Z5639">
        <v>6.391786E-3</v>
      </c>
      <c r="AA5639">
        <v>0.98107310000000003</v>
      </c>
      <c r="AB5639">
        <v>37</v>
      </c>
      <c r="AC5639">
        <v>14.4185</v>
      </c>
      <c r="AD5639">
        <v>-1.104879751406</v>
      </c>
      <c r="AE5639">
        <v>3.0716299999999999</v>
      </c>
      <c r="AF5639">
        <v>-2.9038876927994202</v>
      </c>
      <c r="AG5639">
        <v>-1.104879751406</v>
      </c>
      <c r="AH5639">
        <v>14.3692167263247</v>
      </c>
      <c r="AI5639">
        <v>94.310147248840906</v>
      </c>
      <c r="AJ5639">
        <v>101.42507713321</v>
      </c>
      <c r="AK5639">
        <v>14.7012826762003</v>
      </c>
    </row>
    <row r="5640" spans="1:37" x14ac:dyDescent="0.2">
      <c r="A5640" t="str">
        <f>"20200111153802115"</f>
        <v>20200111153802115</v>
      </c>
      <c r="B5640" t="str">
        <f>"1578728282108763"</f>
        <v>1578728282108763</v>
      </c>
      <c r="C5640" t="s">
        <v>37</v>
      </c>
      <c r="D5640">
        <v>5.9327139999999998</v>
      </c>
      <c r="E5640">
        <v>0.54717389999999999</v>
      </c>
      <c r="F5640" t="s">
        <v>38</v>
      </c>
      <c r="G5640">
        <v>-247.3235</v>
      </c>
      <c r="H5640">
        <v>1.0208059999999901</v>
      </c>
      <c r="I5640">
        <v>-62.865310000000001</v>
      </c>
      <c r="J5640">
        <v>-248.10849999999999</v>
      </c>
      <c r="K5640">
        <v>1.1048990000000001</v>
      </c>
      <c r="L5640">
        <v>-62.9129</v>
      </c>
      <c r="M5640">
        <v>0.9998785</v>
      </c>
      <c r="N5640">
        <v>0</v>
      </c>
      <c r="O5640">
        <v>1.077581E-2</v>
      </c>
      <c r="P5640">
        <v>0.98764399999999997</v>
      </c>
      <c r="Q5640">
        <v>2.73306E-2</v>
      </c>
      <c r="R5640">
        <v>0.15431310000000001</v>
      </c>
      <c r="S5640">
        <v>3.0206149999999998</v>
      </c>
      <c r="T5640">
        <v>-0.25800210000000001</v>
      </c>
      <c r="U5640">
        <v>0.1539307</v>
      </c>
      <c r="V5640">
        <v>-0.14371010000000001</v>
      </c>
      <c r="W5640">
        <v>3.8296699999999899E-2</v>
      </c>
      <c r="X5640">
        <v>0.98887849999999999</v>
      </c>
      <c r="Y5640">
        <v>-4.0022309999999998E-2</v>
      </c>
      <c r="Z5640">
        <v>7.8690259999999903E-4</v>
      </c>
      <c r="AA5640">
        <v>0.99919849999999999</v>
      </c>
      <c r="AB5640">
        <v>37</v>
      </c>
      <c r="AC5640">
        <v>0.78499999999999603</v>
      </c>
      <c r="AD5640">
        <v>-8.4093000000000195E-2</v>
      </c>
      <c r="AE5640">
        <v>4.7589999999999501E-2</v>
      </c>
      <c r="AF5640">
        <v>-3.8685371759557198E-2</v>
      </c>
      <c r="AG5640">
        <v>-8.4093000000000195E-2</v>
      </c>
      <c r="AH5640">
        <v>0.77658798859775802</v>
      </c>
      <c r="AI5640">
        <v>96.172610660122899</v>
      </c>
      <c r="AJ5640">
        <v>92.851805429544896</v>
      </c>
      <c r="AK5640">
        <v>0.78208509426499595</v>
      </c>
    </row>
    <row r="5641" spans="1:37" x14ac:dyDescent="0.2">
      <c r="A5641" t="str">
        <f>"20200111153802127"</f>
        <v>20200111153802127</v>
      </c>
      <c r="B5641" t="str">
        <f>"1578728282118523"</f>
        <v>1578728282118523</v>
      </c>
      <c r="C5641" t="s">
        <v>37</v>
      </c>
      <c r="D5641">
        <v>5.7543439999999997</v>
      </c>
      <c r="E5641">
        <v>0.55335579999999995</v>
      </c>
      <c r="F5641" t="s">
        <v>38</v>
      </c>
      <c r="G5641">
        <v>-247.31739999999999</v>
      </c>
      <c r="H5641">
        <v>1.034834</v>
      </c>
      <c r="I5641">
        <v>-62.891489999999997</v>
      </c>
      <c r="J5641">
        <v>-247.90440000000001</v>
      </c>
      <c r="K5641">
        <v>1.1049149999999901</v>
      </c>
      <c r="L5641">
        <v>-62.910400000000003</v>
      </c>
      <c r="M5641">
        <v>0.99987289999999995</v>
      </c>
      <c r="N5641">
        <v>0</v>
      </c>
      <c r="O5641">
        <v>1.10697E-2</v>
      </c>
      <c r="P5641">
        <v>0.98758769999999996</v>
      </c>
      <c r="Q5641">
        <v>2.7459799999999999E-2</v>
      </c>
      <c r="R5641">
        <v>0.15465009999999901</v>
      </c>
      <c r="S5641">
        <v>3.0320130000000001</v>
      </c>
      <c r="T5641">
        <v>-0.2685052</v>
      </c>
      <c r="U5641">
        <v>8.2885739999999999E-2</v>
      </c>
      <c r="V5641">
        <v>-0.14375779999999999</v>
      </c>
      <c r="W5641">
        <v>3.8627370000000001E-2</v>
      </c>
      <c r="X5641">
        <v>0.98885879999999904</v>
      </c>
      <c r="Y5641">
        <v>-1.6238490000000001E-2</v>
      </c>
      <c r="Z5641">
        <v>-2.6073639999999999E-4</v>
      </c>
      <c r="AA5641">
        <v>0.99986810000000004</v>
      </c>
      <c r="AB5641">
        <v>37</v>
      </c>
      <c r="AC5641">
        <v>0.58700000000001695</v>
      </c>
      <c r="AD5641">
        <v>-7.0080999999999796E-2</v>
      </c>
      <c r="AE5641">
        <v>1.8909999999998199E-2</v>
      </c>
      <c r="AF5641">
        <v>-1.2236269556846299E-2</v>
      </c>
      <c r="AG5641">
        <v>-7.0080999999999796E-2</v>
      </c>
      <c r="AH5641">
        <v>0.578930091372995</v>
      </c>
      <c r="AI5641">
        <v>96.9006937640128</v>
      </c>
      <c r="AJ5641">
        <v>91.210823624537596</v>
      </c>
      <c r="AK5641">
        <v>0.58328477054592498</v>
      </c>
    </row>
    <row r="5642" spans="1:37" x14ac:dyDescent="0.2">
      <c r="A5642" t="str">
        <f>"20200111153802138"</f>
        <v>20200111153802138</v>
      </c>
      <c r="B5642" t="str">
        <f>"1578728282129259"</f>
        <v>1578728282129259</v>
      </c>
      <c r="C5642" t="s">
        <v>37</v>
      </c>
      <c r="D5642">
        <v>5.6728019999999999</v>
      </c>
      <c r="E5642">
        <v>0.55738549999999998</v>
      </c>
      <c r="F5642" t="s">
        <v>38</v>
      </c>
      <c r="G5642">
        <v>-246.99209999999999</v>
      </c>
      <c r="H5642">
        <v>1.022573</v>
      </c>
      <c r="I5642">
        <v>-62.900109999999998</v>
      </c>
      <c r="J5642">
        <v>-247.7199</v>
      </c>
      <c r="K5642">
        <v>1.104932</v>
      </c>
      <c r="L5642">
        <v>-62.908140000000003</v>
      </c>
      <c r="M5642">
        <v>0.99986790000000003</v>
      </c>
      <c r="N5642">
        <v>0</v>
      </c>
      <c r="O5642">
        <v>1.1335680000000001E-2</v>
      </c>
      <c r="P5642">
        <v>0.98752989999999996</v>
      </c>
      <c r="Q5642">
        <v>2.7752240000000001E-2</v>
      </c>
      <c r="R5642">
        <v>0.15496679999999999</v>
      </c>
      <c r="S5642">
        <v>3.0398860000000001</v>
      </c>
      <c r="T5642">
        <v>-0.2743604</v>
      </c>
      <c r="U5642">
        <v>3.4759520000000002E-2</v>
      </c>
      <c r="V5642">
        <v>-0.14381269999999999</v>
      </c>
      <c r="W5642">
        <v>3.9094799999999999E-2</v>
      </c>
      <c r="X5642">
        <v>0.98883239999999994</v>
      </c>
      <c r="Y5642">
        <v>-1.427783E-4</v>
      </c>
      <c r="Z5642">
        <v>-1.0145830000000001E-3</v>
      </c>
      <c r="AA5642">
        <v>0.99999950000000004</v>
      </c>
      <c r="AB5642">
        <v>37</v>
      </c>
      <c r="AC5642">
        <v>0.727800000000002</v>
      </c>
      <c r="AD5642">
        <v>-8.2359000000000002E-2</v>
      </c>
      <c r="AE5642">
        <v>8.0300000000050799E-3</v>
      </c>
      <c r="AF5642">
        <v>2.1838744355836699E-4</v>
      </c>
      <c r="AG5642">
        <v>-8.2359000000000002E-2</v>
      </c>
      <c r="AH5642">
        <v>0.71864277214886696</v>
      </c>
      <c r="AI5642">
        <v>96.537775652773703</v>
      </c>
      <c r="AJ5642">
        <v>89.982588458530003</v>
      </c>
      <c r="AK5642">
        <v>0.723346726360107</v>
      </c>
    </row>
    <row r="5643" spans="1:37" x14ac:dyDescent="0.2">
      <c r="A5643" t="str">
        <f>"20200111153802149"</f>
        <v>20200111153802149</v>
      </c>
      <c r="B5643" t="str">
        <f>"1578728282139020"</f>
        <v>1578728282139020</v>
      </c>
      <c r="C5643" t="s">
        <v>37</v>
      </c>
      <c r="D5643">
        <v>5.7905410000000002</v>
      </c>
      <c r="E5643">
        <v>0.55925539999999996</v>
      </c>
      <c r="F5643" t="s">
        <v>38</v>
      </c>
      <c r="G5643">
        <v>-246.98169999999999</v>
      </c>
      <c r="H5643">
        <v>1.039863</v>
      </c>
      <c r="I5643">
        <v>-62.907350000000001</v>
      </c>
      <c r="J5643">
        <v>-247.5283</v>
      </c>
      <c r="K5643">
        <v>1.1049450000000001</v>
      </c>
      <c r="L5643">
        <v>-62.905700000000003</v>
      </c>
      <c r="M5643">
        <v>0.99986260000000005</v>
      </c>
      <c r="N5643">
        <v>0</v>
      </c>
      <c r="O5643">
        <v>1.1612849999999999E-2</v>
      </c>
      <c r="P5643">
        <v>0.98747830000000003</v>
      </c>
      <c r="Q5643">
        <v>2.7662559999999999E-2</v>
      </c>
      <c r="R5643">
        <v>0.15531049999999999</v>
      </c>
      <c r="S5643">
        <v>3.0448300000000001</v>
      </c>
      <c r="T5643">
        <v>-0.26835110000000001</v>
      </c>
      <c r="U5643">
        <v>3.8452149999999999E-3</v>
      </c>
      <c r="V5643">
        <v>-0.14388299999999901</v>
      </c>
      <c r="W5643">
        <v>3.9168649999999999E-2</v>
      </c>
      <c r="X5643">
        <v>0.98881919999999901</v>
      </c>
      <c r="Y5643">
        <v>1.026606E-2</v>
      </c>
      <c r="Z5643">
        <v>-1.473067E-3</v>
      </c>
      <c r="AA5643">
        <v>0.99994620000000001</v>
      </c>
      <c r="AB5643">
        <v>37</v>
      </c>
      <c r="AC5643">
        <v>0.54660000000001197</v>
      </c>
      <c r="AD5643">
        <v>-6.5082000000000001E-2</v>
      </c>
      <c r="AE5643">
        <v>-1.64999999999793E-3</v>
      </c>
      <c r="AF5643">
        <v>7.8861166745476195E-3</v>
      </c>
      <c r="AG5643">
        <v>-6.5082000000000001E-2</v>
      </c>
      <c r="AH5643">
        <v>0.53890403331764303</v>
      </c>
      <c r="AI5643">
        <v>96.885379896744894</v>
      </c>
      <c r="AJ5643">
        <v>89.1616151938765</v>
      </c>
      <c r="AK5643">
        <v>0.54287697932978196</v>
      </c>
    </row>
    <row r="5644" spans="1:37" x14ac:dyDescent="0.2">
      <c r="A5644" t="str">
        <f>"20200111153802161"</f>
        <v>20200111153802161</v>
      </c>
      <c r="B5644" t="str">
        <f>"1578728282148779"</f>
        <v>1578728282148779</v>
      </c>
      <c r="C5644" t="s">
        <v>37</v>
      </c>
      <c r="D5644">
        <v>5.7513959999999997</v>
      </c>
      <c r="E5644">
        <v>0.55977650000000001</v>
      </c>
      <c r="F5644" t="s">
        <v>38</v>
      </c>
      <c r="G5644">
        <v>-246.6542</v>
      </c>
      <c r="H5644">
        <v>1.030305</v>
      </c>
      <c r="I5644">
        <v>-62.908799999999999</v>
      </c>
      <c r="J5644">
        <v>-247.34309999999999</v>
      </c>
      <c r="K5644">
        <v>1.1049549999999999</v>
      </c>
      <c r="L5644">
        <v>-62.903289999999998</v>
      </c>
      <c r="M5644">
        <v>0.99985769999999996</v>
      </c>
      <c r="N5644">
        <v>0</v>
      </c>
      <c r="O5644">
        <v>1.1880989999999999E-2</v>
      </c>
      <c r="P5644">
        <v>0.98741060000000003</v>
      </c>
      <c r="Q5644">
        <v>2.7726870000000001E-2</v>
      </c>
      <c r="R5644">
        <v>0.15572949999999999</v>
      </c>
      <c r="S5644">
        <v>3.0469059999999999</v>
      </c>
      <c r="T5644">
        <v>-0.2601677</v>
      </c>
      <c r="U5644">
        <v>-9.8876950000000002E-3</v>
      </c>
      <c r="V5644">
        <v>-0.14403740000000001</v>
      </c>
      <c r="W5644">
        <v>3.9386400000000002E-2</v>
      </c>
      <c r="X5644">
        <v>0.98878809999999995</v>
      </c>
      <c r="Y5644">
        <v>1.502878E-2</v>
      </c>
      <c r="Z5644">
        <v>-1.6531709999999999E-3</v>
      </c>
      <c r="AA5644">
        <v>0.99988569999999999</v>
      </c>
      <c r="AB5644">
        <v>37</v>
      </c>
      <c r="AC5644">
        <v>0.68889999999998897</v>
      </c>
      <c r="AD5644">
        <v>-7.46499999999998E-2</v>
      </c>
      <c r="AE5644">
        <v>-5.5099999999939104E-3</v>
      </c>
      <c r="AF5644">
        <v>1.35360796794459E-2</v>
      </c>
      <c r="AG5644">
        <v>-7.46499999999998E-2</v>
      </c>
      <c r="AH5644">
        <v>0.68079245158365398</v>
      </c>
      <c r="AI5644">
        <v>96.256349355268298</v>
      </c>
      <c r="AJ5644">
        <v>88.860947915505605</v>
      </c>
      <c r="AK5644">
        <v>0.68500672265779305</v>
      </c>
    </row>
    <row r="5645" spans="1:37" x14ac:dyDescent="0.2">
      <c r="A5645" t="str">
        <f>"20200111153802172"</f>
        <v>20200111153802172</v>
      </c>
      <c r="B5645" t="str">
        <f>"1578728282169276"</f>
        <v>1578728282169276</v>
      </c>
      <c r="C5645" t="s">
        <v>37</v>
      </c>
      <c r="D5645">
        <v>5.7836290000000004</v>
      </c>
      <c r="E5645">
        <v>0.56109339999999996</v>
      </c>
      <c r="F5645" t="s">
        <v>38</v>
      </c>
      <c r="G5645">
        <v>-246.3261</v>
      </c>
      <c r="H5645">
        <v>1.018438</v>
      </c>
      <c r="I5645">
        <v>-62.907819999999901</v>
      </c>
      <c r="J5645">
        <v>-247.15770000000001</v>
      </c>
      <c r="K5645">
        <v>1.1049659999999999</v>
      </c>
      <c r="L5645">
        <v>-62.900849999999998</v>
      </c>
      <c r="M5645">
        <v>0.99985279999999999</v>
      </c>
      <c r="N5645">
        <v>0</v>
      </c>
      <c r="O5645">
        <v>1.2149510000000001E-2</v>
      </c>
      <c r="P5645">
        <v>0.98736100000000004</v>
      </c>
      <c r="Q5645">
        <v>2.7641820000000001E-2</v>
      </c>
      <c r="R5645">
        <v>0.15605869999999999</v>
      </c>
      <c r="S5645">
        <v>3.0475620000000001</v>
      </c>
      <c r="T5645">
        <v>-0.2592006</v>
      </c>
      <c r="U5645">
        <v>-1.2908940000000001E-2</v>
      </c>
      <c r="V5645">
        <v>-0.1441016</v>
      </c>
      <c r="W5645">
        <v>3.9440240000000001E-2</v>
      </c>
      <c r="X5645">
        <v>0.98877660000000001</v>
      </c>
      <c r="Y5645">
        <v>1.628311E-2</v>
      </c>
      <c r="Z5645">
        <v>-1.722737E-3</v>
      </c>
      <c r="AA5645">
        <v>0.99986589999999997</v>
      </c>
      <c r="AB5645">
        <v>37</v>
      </c>
      <c r="AC5645">
        <v>0.831600000000008</v>
      </c>
      <c r="AD5645">
        <v>-8.6527999999999897E-2</v>
      </c>
      <c r="AE5645">
        <v>-6.9699999999954798E-3</v>
      </c>
      <c r="AF5645">
        <v>1.68909045460446E-2</v>
      </c>
      <c r="AG5645">
        <v>-8.6527999999999897E-2</v>
      </c>
      <c r="AH5645">
        <v>0.82254929560951595</v>
      </c>
      <c r="AI5645">
        <v>96.003882052969402</v>
      </c>
      <c r="AJ5645">
        <v>88.8236066193992</v>
      </c>
      <c r="AK5645">
        <v>0.827260382919486</v>
      </c>
    </row>
    <row r="5646" spans="1:37" x14ac:dyDescent="0.2">
      <c r="A5646" t="str">
        <f>"20200111153802182"</f>
        <v>20200111153802182</v>
      </c>
      <c r="B5646" t="str">
        <f>"1578728282179036"</f>
        <v>1578728282179036</v>
      </c>
      <c r="C5646" t="s">
        <v>37</v>
      </c>
      <c r="D5646">
        <v>5.6602169999999896</v>
      </c>
      <c r="E5646">
        <v>0.56170889999999996</v>
      </c>
      <c r="F5646" t="s">
        <v>38</v>
      </c>
      <c r="G5646">
        <v>-246.31909999999999</v>
      </c>
      <c r="H5646">
        <v>1.0326869999999999</v>
      </c>
      <c r="I5646">
        <v>-62.907290000000003</v>
      </c>
      <c r="J5646">
        <v>-246.9838</v>
      </c>
      <c r="K5646">
        <v>1.1049739999999999</v>
      </c>
      <c r="L5646">
        <v>-62.898499999999999</v>
      </c>
      <c r="M5646">
        <v>0.99984819999999996</v>
      </c>
      <c r="N5646">
        <v>0</v>
      </c>
      <c r="O5646">
        <v>1.2401570000000001E-2</v>
      </c>
      <c r="P5646">
        <v>0.98726219999999998</v>
      </c>
      <c r="Q5646">
        <v>2.7540829999999999E-2</v>
      </c>
      <c r="R5646">
        <v>0.1566999</v>
      </c>
      <c r="S5646">
        <v>3.049347</v>
      </c>
      <c r="T5646">
        <v>-0.26274169999999902</v>
      </c>
      <c r="U5646">
        <v>-2.261353E-2</v>
      </c>
      <c r="V5646">
        <v>-0.14449429999999999</v>
      </c>
      <c r="W5646">
        <v>3.9464060000000002E-2</v>
      </c>
      <c r="X5646">
        <v>0.98871830000000005</v>
      </c>
      <c r="Y5646">
        <v>1.969831E-2</v>
      </c>
      <c r="Z5646">
        <v>-1.913695E-3</v>
      </c>
      <c r="AA5646">
        <v>0.99980409999999997</v>
      </c>
      <c r="AB5646">
        <v>37</v>
      </c>
      <c r="AC5646">
        <v>0.66470000000000995</v>
      </c>
      <c r="AD5646">
        <v>-7.2286999999999699E-2</v>
      </c>
      <c r="AE5646">
        <v>-8.7900000000047298E-3</v>
      </c>
      <c r="AF5646">
        <v>1.6834204132552301E-2</v>
      </c>
      <c r="AG5646">
        <v>-7.2286999999999699E-2</v>
      </c>
      <c r="AH5646">
        <v>0.65677365274884203</v>
      </c>
      <c r="AI5646">
        <v>96.278864157359706</v>
      </c>
      <c r="AJ5646">
        <v>88.531735094295399</v>
      </c>
      <c r="AK5646">
        <v>0.66095418278639595</v>
      </c>
    </row>
    <row r="5647" spans="1:37" x14ac:dyDescent="0.2">
      <c r="A5647" t="str">
        <f>"20200111153802192"</f>
        <v>20200111153802192</v>
      </c>
      <c r="B5647" t="str">
        <f>"1578728282188795"</f>
        <v>1578728282188795</v>
      </c>
      <c r="C5647" t="s">
        <v>37</v>
      </c>
      <c r="D5647">
        <v>5.7559579999999997</v>
      </c>
      <c r="E5647">
        <v>0.56188729999999998</v>
      </c>
      <c r="F5647" t="s">
        <v>38</v>
      </c>
      <c r="G5647">
        <v>-245.99170000000001</v>
      </c>
      <c r="H5647">
        <v>1.0200340000000001</v>
      </c>
      <c r="I5647">
        <v>-62.90699</v>
      </c>
      <c r="J5647">
        <v>-246.8126</v>
      </c>
      <c r="K5647">
        <v>1.1049819999999999</v>
      </c>
      <c r="L5647">
        <v>-62.896119999999897</v>
      </c>
      <c r="M5647">
        <v>0.9998437</v>
      </c>
      <c r="N5647">
        <v>0</v>
      </c>
      <c r="O5647">
        <v>1.264988E-2</v>
      </c>
      <c r="P5647">
        <v>0.98718689999999998</v>
      </c>
      <c r="Q5647">
        <v>2.7549629999999999E-2</v>
      </c>
      <c r="R5647">
        <v>0.1571727</v>
      </c>
      <c r="S5647">
        <v>3.050049</v>
      </c>
      <c r="T5647">
        <v>-0.26110290000000003</v>
      </c>
      <c r="U5647">
        <v>-2.5573729999999999E-2</v>
      </c>
      <c r="V5647">
        <v>-0.14472270000000001</v>
      </c>
      <c r="W5647">
        <v>3.9585559999999999E-2</v>
      </c>
      <c r="X5647">
        <v>0.98868009999999995</v>
      </c>
      <c r="Y5647">
        <v>2.0911389999999998E-2</v>
      </c>
      <c r="Z5647">
        <v>-1.9744089999999999E-3</v>
      </c>
      <c r="AA5647">
        <v>0.99977939999999998</v>
      </c>
      <c r="AB5647">
        <v>37</v>
      </c>
      <c r="AC5647">
        <v>0.82089999999999397</v>
      </c>
      <c r="AD5647">
        <v>-8.4947999999999801E-2</v>
      </c>
      <c r="AE5647">
        <v>-1.08700000000041E-2</v>
      </c>
      <c r="AF5647">
        <v>2.1029060060513999E-2</v>
      </c>
      <c r="AG5647">
        <v>-8.4947999999999801E-2</v>
      </c>
      <c r="AH5647">
        <v>0.81200303925736395</v>
      </c>
      <c r="AI5647">
        <v>95.970307508710405</v>
      </c>
      <c r="AJ5647">
        <v>88.516499235939904</v>
      </c>
      <c r="AK5647">
        <v>0.81670516089603895</v>
      </c>
    </row>
    <row r="5648" spans="1:37" x14ac:dyDescent="0.2">
      <c r="A5648" t="str">
        <f>"20200111153802204"</f>
        <v>20200111153802204</v>
      </c>
      <c r="B5648" t="str">
        <f>"1578728282198555"</f>
        <v>1578728282198555</v>
      </c>
      <c r="C5648" t="s">
        <v>37</v>
      </c>
      <c r="D5648">
        <v>5.8756649999999997</v>
      </c>
      <c r="E5648">
        <v>0.56168759999999995</v>
      </c>
      <c r="F5648" t="s">
        <v>38</v>
      </c>
      <c r="G5648">
        <v>-245.98480000000001</v>
      </c>
      <c r="H5648">
        <v>1.034038</v>
      </c>
      <c r="I5648">
        <v>-62.903280000000002</v>
      </c>
      <c r="J5648">
        <v>-246.625</v>
      </c>
      <c r="K5648">
        <v>1.104992</v>
      </c>
      <c r="L5648">
        <v>-62.893459999999997</v>
      </c>
      <c r="M5648">
        <v>0.99983869999999897</v>
      </c>
      <c r="N5648">
        <v>0</v>
      </c>
      <c r="O5648">
        <v>1.29217E-2</v>
      </c>
      <c r="P5648">
        <v>0.98709460000000004</v>
      </c>
      <c r="Q5648">
        <v>2.7359609999999999E-2</v>
      </c>
      <c r="R5648">
        <v>0.15778399999999901</v>
      </c>
      <c r="S5648">
        <v>3.0503230000000001</v>
      </c>
      <c r="T5648">
        <v>-0.26141500000000001</v>
      </c>
      <c r="U5648">
        <v>-2.572632E-2</v>
      </c>
      <c r="V5648">
        <v>-0.14506579999999999</v>
      </c>
      <c r="W5648">
        <v>3.9513140000000002E-2</v>
      </c>
      <c r="X5648">
        <v>0.98863269999999903</v>
      </c>
      <c r="Y5648">
        <v>2.123003E-2</v>
      </c>
      <c r="Z5648">
        <v>-2.0134670000000001E-3</v>
      </c>
      <c r="AA5648">
        <v>0.99977260000000001</v>
      </c>
      <c r="AB5648">
        <v>37</v>
      </c>
      <c r="AC5648">
        <v>0.640199999999992</v>
      </c>
      <c r="AD5648">
        <v>-7.0953999999999906E-2</v>
      </c>
      <c r="AE5648">
        <v>-9.8200000000048197E-3</v>
      </c>
      <c r="AF5648">
        <v>1.7872806910547202E-2</v>
      </c>
      <c r="AG5648">
        <v>-7.0953999999999906E-2</v>
      </c>
      <c r="AH5648">
        <v>0.63225515659951703</v>
      </c>
      <c r="AI5648">
        <v>96.400616494933502</v>
      </c>
      <c r="AJ5648">
        <v>88.380774351758703</v>
      </c>
      <c r="AK5648">
        <v>0.63647505087751999</v>
      </c>
    </row>
    <row r="5649" spans="1:37" x14ac:dyDescent="0.2">
      <c r="A5649" t="str">
        <f>"20200111153802215"</f>
        <v>20200111153802215</v>
      </c>
      <c r="B5649" t="str">
        <f>"1578728282209291"</f>
        <v>1578728282209291</v>
      </c>
      <c r="C5649" t="s">
        <v>37</v>
      </c>
      <c r="D5649">
        <v>5.8987639999999999</v>
      </c>
      <c r="E5649">
        <v>0.56124339999999995</v>
      </c>
      <c r="F5649" t="s">
        <v>38</v>
      </c>
      <c r="G5649">
        <v>-245.65790000000001</v>
      </c>
      <c r="H5649">
        <v>1.020956</v>
      </c>
      <c r="I5649">
        <v>-62.9007199999999</v>
      </c>
      <c r="J5649">
        <v>-246.42689999999999</v>
      </c>
      <c r="K5649">
        <v>1.105002</v>
      </c>
      <c r="L5649">
        <v>-62.890659999999997</v>
      </c>
      <c r="M5649">
        <v>0.99983349999999904</v>
      </c>
      <c r="N5649">
        <v>0</v>
      </c>
      <c r="O5649">
        <v>1.320879E-2</v>
      </c>
      <c r="P5649">
        <v>0.9870234</v>
      </c>
      <c r="Q5649">
        <v>2.7450680000000002E-2</v>
      </c>
      <c r="R5649">
        <v>0.15821399999999999</v>
      </c>
      <c r="S5649">
        <v>3.05017099999999</v>
      </c>
      <c r="T5649">
        <v>-0.26499509999999998</v>
      </c>
      <c r="U5649">
        <v>-2.2460939999999999E-2</v>
      </c>
      <c r="V5649">
        <v>-0.14521310000000001</v>
      </c>
      <c r="W5649">
        <v>3.9719930000000001E-2</v>
      </c>
      <c r="X5649">
        <v>0.9886028</v>
      </c>
      <c r="Y5649">
        <v>2.0445700000000001E-2</v>
      </c>
      <c r="Z5649">
        <v>-2.0319370000000002E-3</v>
      </c>
      <c r="AA5649">
        <v>0.99978889999999998</v>
      </c>
      <c r="AB5649">
        <v>37</v>
      </c>
      <c r="AC5649">
        <v>0.76899999999997704</v>
      </c>
      <c r="AD5649">
        <v>-8.4045999999999996E-2</v>
      </c>
      <c r="AE5649">
        <v>-1.0059999999995701E-2</v>
      </c>
      <c r="AF5649">
        <v>1.99788825056103E-2</v>
      </c>
      <c r="AG5649">
        <v>-8.4045999999999996E-2</v>
      </c>
      <c r="AH5649">
        <v>0.75972672692252396</v>
      </c>
      <c r="AI5649">
        <v>96.310605445497302</v>
      </c>
      <c r="AJ5649">
        <v>88.493613769680294</v>
      </c>
      <c r="AK5649">
        <v>0.76462251174196005</v>
      </c>
    </row>
    <row r="5650" spans="1:37" x14ac:dyDescent="0.2">
      <c r="A5650" t="str">
        <f>"20200111153802226"</f>
        <v>20200111153802226</v>
      </c>
      <c r="B5650" t="str">
        <f>"1578728282219051"</f>
        <v>1578728282219051</v>
      </c>
      <c r="C5650" t="s">
        <v>37</v>
      </c>
      <c r="D5650">
        <v>5.7290239999999999</v>
      </c>
      <c r="E5650">
        <v>0.56130609999999903</v>
      </c>
      <c r="F5650" t="s">
        <v>38</v>
      </c>
      <c r="G5650">
        <v>-245.6499</v>
      </c>
      <c r="H5650">
        <v>1.0367729999999999</v>
      </c>
      <c r="I5650">
        <v>-62.895350000000001</v>
      </c>
      <c r="J5650">
        <v>-246.24549999999999</v>
      </c>
      <c r="K5650">
        <v>1.1050089999999999</v>
      </c>
      <c r="L5650">
        <v>-62.887999999999998</v>
      </c>
      <c r="M5650">
        <v>0.99982870000000001</v>
      </c>
      <c r="N5650">
        <v>0</v>
      </c>
      <c r="O5650">
        <v>1.3470940000000001E-2</v>
      </c>
      <c r="P5650">
        <v>0.98690710000000004</v>
      </c>
      <c r="Q5650">
        <v>2.7459219999999999E-2</v>
      </c>
      <c r="R5650">
        <v>0.1589352</v>
      </c>
      <c r="S5650">
        <v>3.0497740000000002</v>
      </c>
      <c r="T5650">
        <v>-0.26778669999999999</v>
      </c>
      <c r="U5650">
        <v>-1.7883300000000001E-2</v>
      </c>
      <c r="V5650">
        <v>-0.14567629999999901</v>
      </c>
      <c r="W5650">
        <v>3.9823789999999998E-2</v>
      </c>
      <c r="X5650">
        <v>0.98853049999999998</v>
      </c>
      <c r="Y5650">
        <v>1.9209230000000001E-2</v>
      </c>
      <c r="Z5650">
        <v>-2.022331E-3</v>
      </c>
      <c r="AA5650">
        <v>0.99981339999999996</v>
      </c>
      <c r="AB5650">
        <v>37</v>
      </c>
      <c r="AC5650">
        <v>0.59559999999999003</v>
      </c>
      <c r="AD5650">
        <v>-6.8235999999999894E-2</v>
      </c>
      <c r="AE5650">
        <v>-7.3499999999953004E-3</v>
      </c>
      <c r="AF5650">
        <v>1.5174132593782299E-2</v>
      </c>
      <c r="AG5650">
        <v>-6.8235999999999894E-2</v>
      </c>
      <c r="AH5650">
        <v>0.58773377031960194</v>
      </c>
      <c r="AI5650">
        <v>96.620215385354598</v>
      </c>
      <c r="AJ5650">
        <v>88.521063955889701</v>
      </c>
      <c r="AK5650">
        <v>0.59187616168423995</v>
      </c>
    </row>
    <row r="5651" spans="1:37" x14ac:dyDescent="0.2">
      <c r="A5651" t="str">
        <f>"20200111153802237"</f>
        <v>20200111153802237</v>
      </c>
      <c r="B5651" t="str">
        <f>"1578728282228811"</f>
        <v>1578728282228811</v>
      </c>
      <c r="C5651" t="s">
        <v>37</v>
      </c>
      <c r="D5651">
        <v>5.8848240000000001</v>
      </c>
      <c r="E5651">
        <v>0.56086210000000003</v>
      </c>
      <c r="F5651" t="s">
        <v>38</v>
      </c>
      <c r="G5651">
        <v>-245.32329999999999</v>
      </c>
      <c r="H5651">
        <v>1.024003</v>
      </c>
      <c r="I5651">
        <v>-62.893079999999998</v>
      </c>
      <c r="J5651">
        <v>-246.05430000000001</v>
      </c>
      <c r="K5651">
        <v>1.1050139999999999</v>
      </c>
      <c r="L5651">
        <v>-62.885190000000001</v>
      </c>
      <c r="M5651">
        <v>0.99982369999999898</v>
      </c>
      <c r="N5651">
        <v>0</v>
      </c>
      <c r="O5651">
        <v>1.3746909999999999E-2</v>
      </c>
      <c r="P5651">
        <v>0.9867802</v>
      </c>
      <c r="Q5651">
        <v>2.766557E-2</v>
      </c>
      <c r="R5651">
        <v>0.159686299999999</v>
      </c>
      <c r="S5651">
        <v>3.0498660000000002</v>
      </c>
      <c r="T5651">
        <v>-0.26786859999999901</v>
      </c>
      <c r="U5651">
        <v>-1.6326899999999998E-2</v>
      </c>
      <c r="V5651">
        <v>-0.14615629999999999</v>
      </c>
      <c r="W5651">
        <v>4.0127299999999998E-2</v>
      </c>
      <c r="X5651">
        <v>0.98844730000000003</v>
      </c>
      <c r="Y5651">
        <v>1.8974599999999901E-2</v>
      </c>
      <c r="Z5651">
        <v>-2.0367979999999998E-3</v>
      </c>
      <c r="AA5651">
        <v>0.99981790000000004</v>
      </c>
      <c r="AB5651">
        <v>37</v>
      </c>
      <c r="AC5651">
        <v>0.73100000000002296</v>
      </c>
      <c r="AD5651">
        <v>-8.1010999999999903E-2</v>
      </c>
      <c r="AE5651">
        <v>-7.8900000000032798E-3</v>
      </c>
      <c r="AF5651">
        <v>1.77214461016947E-2</v>
      </c>
      <c r="AG5651">
        <v>-8.1010999999999903E-2</v>
      </c>
      <c r="AH5651">
        <v>0.72195672630470697</v>
      </c>
      <c r="AI5651">
        <v>96.400484634050301</v>
      </c>
      <c r="AJ5651">
        <v>88.593876644735303</v>
      </c>
      <c r="AK5651">
        <v>0.726703754242088</v>
      </c>
    </row>
    <row r="5652" spans="1:37" x14ac:dyDescent="0.2">
      <c r="A5652" t="str">
        <f>"20200111153802249"</f>
        <v>20200111153802249</v>
      </c>
      <c r="B5652" t="str">
        <f>"1578728282238804"</f>
        <v>1578728282238804</v>
      </c>
      <c r="C5652" t="s">
        <v>37</v>
      </c>
      <c r="D5652">
        <v>5.8726510000000003</v>
      </c>
      <c r="E5652">
        <v>0.56045840000000002</v>
      </c>
      <c r="F5652" t="s">
        <v>38</v>
      </c>
      <c r="G5652">
        <v>-245.31440000000001</v>
      </c>
      <c r="H5652">
        <v>1.039191</v>
      </c>
      <c r="I5652">
        <v>-62.887919999999902</v>
      </c>
      <c r="J5652">
        <v>-245.87039999999999</v>
      </c>
      <c r="K5652">
        <v>1.10502099999999</v>
      </c>
      <c r="L5652">
        <v>-62.882419999999897</v>
      </c>
      <c r="M5652">
        <v>0.99981900000000001</v>
      </c>
      <c r="N5652">
        <v>0</v>
      </c>
      <c r="O5652">
        <v>1.401054E-2</v>
      </c>
      <c r="P5652">
        <v>0.98666069999999995</v>
      </c>
      <c r="Q5652">
        <v>2.753738E-2</v>
      </c>
      <c r="R5652">
        <v>0.160444899999999</v>
      </c>
      <c r="S5652">
        <v>3.0495000000000001</v>
      </c>
      <c r="T5652">
        <v>-0.27129019999999998</v>
      </c>
      <c r="U5652">
        <v>-1.0650629999999999E-2</v>
      </c>
      <c r="V5652">
        <v>-0.1466557</v>
      </c>
      <c r="W5652">
        <v>4.00825E-2</v>
      </c>
      <c r="X5652">
        <v>0.98837520000000001</v>
      </c>
      <c r="Y5652">
        <v>1.7379869999999999E-2</v>
      </c>
      <c r="Z5652">
        <v>-2.0155780000000001E-3</v>
      </c>
      <c r="AA5652">
        <v>0.99984689999999998</v>
      </c>
      <c r="AB5652">
        <v>37</v>
      </c>
      <c r="AC5652">
        <v>0.55599999999998295</v>
      </c>
      <c r="AD5652">
        <v>-6.5829999999999805E-2</v>
      </c>
      <c r="AE5652">
        <v>-5.49999999999784E-3</v>
      </c>
      <c r="AF5652">
        <v>1.310625505979E-2</v>
      </c>
      <c r="AG5652">
        <v>-6.5829999999999805E-2</v>
      </c>
      <c r="AH5652">
        <v>0.54818444263516297</v>
      </c>
      <c r="AI5652">
        <v>96.845767627773697</v>
      </c>
      <c r="AJ5652">
        <v>88.630406102034598</v>
      </c>
      <c r="AK5652">
        <v>0.55227850398953204</v>
      </c>
    </row>
    <row r="5653" spans="1:37" x14ac:dyDescent="0.2">
      <c r="A5653" t="str">
        <f>"20200111153802261"</f>
        <v>20200111153802261</v>
      </c>
      <c r="B5653" t="str">
        <f>"1578728282248548"</f>
        <v>1578728282248548</v>
      </c>
      <c r="C5653" t="s">
        <v>37</v>
      </c>
      <c r="D5653">
        <v>5.9254790000000002</v>
      </c>
      <c r="E5653">
        <v>0.56010990000000005</v>
      </c>
      <c r="F5653" t="s">
        <v>38</v>
      </c>
      <c r="G5653">
        <v>-244.98939999999999</v>
      </c>
      <c r="H5653">
        <v>1.0261400000000001</v>
      </c>
      <c r="I5653">
        <v>-62.883980000000001</v>
      </c>
      <c r="J5653">
        <v>-245.6874</v>
      </c>
      <c r="K5653">
        <v>1.105029</v>
      </c>
      <c r="L5653">
        <v>-62.87961</v>
      </c>
      <c r="M5653">
        <v>0.99981419999999999</v>
      </c>
      <c r="N5653">
        <v>0</v>
      </c>
      <c r="O5653">
        <v>1.427198E-2</v>
      </c>
      <c r="P5653">
        <v>0.98659490000000005</v>
      </c>
      <c r="Q5653">
        <v>2.74468E-2</v>
      </c>
      <c r="R5653">
        <v>0.16086520000000001</v>
      </c>
      <c r="S5653">
        <v>3.049042</v>
      </c>
      <c r="T5653">
        <v>-0.27300790000000003</v>
      </c>
      <c r="U5653">
        <v>-5.3405759999999997E-3</v>
      </c>
      <c r="V5653">
        <v>-0.14681830000000001</v>
      </c>
      <c r="W5653">
        <v>4.0073449999999997E-2</v>
      </c>
      <c r="X5653">
        <v>0.98835139999999999</v>
      </c>
      <c r="Y5653">
        <v>1.5903819999999999E-2</v>
      </c>
      <c r="Z5653">
        <v>-1.9860070000000001E-3</v>
      </c>
      <c r="AA5653">
        <v>0.99987159999999997</v>
      </c>
      <c r="AB5653">
        <v>37</v>
      </c>
      <c r="AC5653">
        <v>0.69800000000000695</v>
      </c>
      <c r="AD5653">
        <v>-7.8888999999999904E-2</v>
      </c>
      <c r="AE5653">
        <v>-4.3700000000086404E-3</v>
      </c>
      <c r="AF5653">
        <v>1.41514713748182E-2</v>
      </c>
      <c r="AG5653">
        <v>-7.8888999999999904E-2</v>
      </c>
      <c r="AH5653">
        <v>0.68906485202934198</v>
      </c>
      <c r="AI5653">
        <v>96.5298232497546</v>
      </c>
      <c r="AJ5653">
        <v>88.823469786501903</v>
      </c>
      <c r="AK5653">
        <v>0.69371039257408496</v>
      </c>
    </row>
    <row r="5654" spans="1:37" x14ac:dyDescent="0.2">
      <c r="A5654" t="str">
        <f>"20200111153802270"</f>
        <v>20200111153802270</v>
      </c>
      <c r="B5654" t="str">
        <f>"1578728282259285"</f>
        <v>1578728282259285</v>
      </c>
      <c r="C5654" t="s">
        <v>37</v>
      </c>
      <c r="D5654">
        <v>5.9391350000000003</v>
      </c>
      <c r="E5654">
        <v>0.55997750000000002</v>
      </c>
      <c r="F5654" t="s">
        <v>38</v>
      </c>
      <c r="G5654">
        <v>-244.66370000000001</v>
      </c>
      <c r="H5654">
        <v>1.0122879999999901</v>
      </c>
      <c r="I5654">
        <v>-62.880180000000003</v>
      </c>
      <c r="J5654">
        <v>-245.51089999999999</v>
      </c>
      <c r="K5654">
        <v>1.105038</v>
      </c>
      <c r="L5654">
        <v>-62.876860000000001</v>
      </c>
      <c r="M5654">
        <v>0.99980970000000002</v>
      </c>
      <c r="N5654">
        <v>0</v>
      </c>
      <c r="O5654">
        <v>1.4521920000000001E-2</v>
      </c>
      <c r="P5654">
        <v>0.9865159</v>
      </c>
      <c r="Q5654">
        <v>2.7542440000000001E-2</v>
      </c>
      <c r="R5654">
        <v>0.1613318</v>
      </c>
      <c r="S5654">
        <v>3.0486909999999998</v>
      </c>
      <c r="T5654">
        <v>-0.27617559999999902</v>
      </c>
      <c r="U5654">
        <v>-1.525879E-3</v>
      </c>
      <c r="V5654">
        <v>-0.14703840000000001</v>
      </c>
      <c r="W5654">
        <v>4.0239740000000003E-2</v>
      </c>
      <c r="X5654">
        <v>0.98831190000000002</v>
      </c>
      <c r="Y5654">
        <v>1.4903110000000001E-2</v>
      </c>
      <c r="Z5654">
        <v>-1.9865489999999898E-3</v>
      </c>
      <c r="AA5654">
        <v>0.99988699999999997</v>
      </c>
      <c r="AB5654">
        <v>37</v>
      </c>
      <c r="AC5654">
        <v>0.84719999999998596</v>
      </c>
      <c r="AD5654">
        <v>-9.2750000000000096E-2</v>
      </c>
      <c r="AE5654">
        <v>-3.3200000000022101E-3</v>
      </c>
      <c r="AF5654">
        <v>1.5438627638525699E-2</v>
      </c>
      <c r="AG5654">
        <v>-9.2750000000000096E-2</v>
      </c>
      <c r="AH5654">
        <v>0.83703036346603499</v>
      </c>
      <c r="AI5654">
        <v>96.321992364604498</v>
      </c>
      <c r="AJ5654">
        <v>88.943326366579299</v>
      </c>
      <c r="AK5654">
        <v>0.842294926428649</v>
      </c>
    </row>
    <row r="5655" spans="1:37" x14ac:dyDescent="0.2">
      <c r="A5655" t="str">
        <f>"20200111153802282"</f>
        <v>20200111153802282</v>
      </c>
      <c r="B5655" t="str">
        <f>"1578728282269044"</f>
        <v>1578728282269044</v>
      </c>
      <c r="C5655" t="s">
        <v>37</v>
      </c>
      <c r="D5655">
        <v>5.8286680000000004</v>
      </c>
      <c r="E5655">
        <v>0.55959619999999999</v>
      </c>
      <c r="F5655" t="s">
        <v>38</v>
      </c>
      <c r="G5655">
        <v>-244.65629999999999</v>
      </c>
      <c r="H5655">
        <v>1.027415</v>
      </c>
      <c r="I5655">
        <v>-62.87668</v>
      </c>
      <c r="J5655">
        <v>-245.3313</v>
      </c>
      <c r="K5655">
        <v>1.1050450000000001</v>
      </c>
      <c r="L5655">
        <v>-62.874019999999902</v>
      </c>
      <c r="M5655">
        <v>0.99980519999999995</v>
      </c>
      <c r="N5655">
        <v>0</v>
      </c>
      <c r="O5655">
        <v>1.4775119999999999E-2</v>
      </c>
      <c r="P5655">
        <v>0.98638649999999894</v>
      </c>
      <c r="Q5655">
        <v>2.7447539999999999E-2</v>
      </c>
      <c r="R5655">
        <v>0.162138</v>
      </c>
      <c r="S5655">
        <v>3.048584</v>
      </c>
      <c r="T5655">
        <v>-0.276860099999999</v>
      </c>
      <c r="U5655">
        <v>8.5449219999999995E-4</v>
      </c>
      <c r="V5655">
        <v>-0.147596</v>
      </c>
      <c r="W5655">
        <v>4.0213060000000002E-2</v>
      </c>
      <c r="X5655">
        <v>0.98822989999999999</v>
      </c>
      <c r="Y5655">
        <v>1.4376160000000001E-2</v>
      </c>
      <c r="Z5655">
        <v>-1.9905909999999999E-3</v>
      </c>
      <c r="AA5655">
        <v>0.99989470000000003</v>
      </c>
      <c r="AB5655">
        <v>37</v>
      </c>
      <c r="AC5655">
        <v>0.67500000000001104</v>
      </c>
      <c r="AD5655">
        <v>-7.7630000000000005E-2</v>
      </c>
      <c r="AE5655">
        <v>-2.6600000000129801E-3</v>
      </c>
      <c r="AF5655">
        <v>1.24688504644535E-2</v>
      </c>
      <c r="AG5655">
        <v>-7.7630000000000005E-2</v>
      </c>
      <c r="AH5655">
        <v>0.66607713241586797</v>
      </c>
      <c r="AI5655">
        <v>96.646566690479602</v>
      </c>
      <c r="AJ5655">
        <v>88.927558027795698</v>
      </c>
      <c r="AK5655">
        <v>0.67070159941605201</v>
      </c>
    </row>
    <row r="5656" spans="1:37" x14ac:dyDescent="0.2">
      <c r="A5656" t="str">
        <f>"20200111153802293"</f>
        <v>20200111153802293</v>
      </c>
      <c r="B5656" t="str">
        <f>"1578728282288565"</f>
        <v>1578728282288565</v>
      </c>
      <c r="C5656" t="s">
        <v>37</v>
      </c>
      <c r="D5656">
        <v>5.8179210000000001</v>
      </c>
      <c r="E5656">
        <v>0.55948450000000005</v>
      </c>
      <c r="F5656" t="s">
        <v>38</v>
      </c>
      <c r="G5656">
        <v>-244.33170000000001</v>
      </c>
      <c r="H5656">
        <v>1.011703</v>
      </c>
      <c r="I5656">
        <v>-62.872199999999999</v>
      </c>
      <c r="J5656">
        <v>-245.14230000000001</v>
      </c>
      <c r="K5656">
        <v>1.105046</v>
      </c>
      <c r="L5656">
        <v>-62.870939999999997</v>
      </c>
      <c r="M5656">
        <v>0.99980029999999998</v>
      </c>
      <c r="N5656">
        <v>0</v>
      </c>
      <c r="O5656">
        <v>1.503936E-2</v>
      </c>
      <c r="P5656">
        <v>0.98630189999999995</v>
      </c>
      <c r="Q5656">
        <v>2.752508E-2</v>
      </c>
      <c r="R5656">
        <v>0.1626377</v>
      </c>
      <c r="S5656">
        <v>3.04834</v>
      </c>
      <c r="T5656">
        <v>-0.284632</v>
      </c>
      <c r="U5656">
        <v>6.0119630000000004E-3</v>
      </c>
      <c r="V5656">
        <v>-0.14783550000000001</v>
      </c>
      <c r="W5656">
        <v>4.0357419999999998E-2</v>
      </c>
      <c r="X5656">
        <v>0.98818819999999996</v>
      </c>
      <c r="Y5656">
        <v>1.2946920000000001E-2</v>
      </c>
      <c r="Z5656">
        <v>-2.004427E-3</v>
      </c>
      <c r="AA5656">
        <v>0.99991419999999998</v>
      </c>
      <c r="AB5656">
        <v>37</v>
      </c>
      <c r="AC5656">
        <v>0.81059999999999299</v>
      </c>
      <c r="AD5656">
        <v>-9.3342999999999898E-2</v>
      </c>
      <c r="AE5656">
        <v>-1.2599999999949301E-3</v>
      </c>
      <c r="AF5656">
        <v>1.3275779263750599E-2</v>
      </c>
      <c r="AG5656">
        <v>-9.3342999999999898E-2</v>
      </c>
      <c r="AH5656">
        <v>0.79988277033969801</v>
      </c>
      <c r="AI5656">
        <v>96.655166336295196</v>
      </c>
      <c r="AJ5656">
        <v>89.0491403023549</v>
      </c>
      <c r="AK5656">
        <v>0.80542014393133399</v>
      </c>
    </row>
    <row r="5657" spans="1:37" x14ac:dyDescent="0.2">
      <c r="A5657" t="str">
        <f>"20200111153802305"</f>
        <v>20200111153802305</v>
      </c>
      <c r="B5657" t="str">
        <f>"1578728282299300"</f>
        <v>1578728282299300</v>
      </c>
      <c r="C5657" t="s">
        <v>37</v>
      </c>
      <c r="D5657">
        <v>5.8244579999999999</v>
      </c>
      <c r="E5657">
        <v>0.559227699999999</v>
      </c>
      <c r="F5657" t="s">
        <v>38</v>
      </c>
      <c r="G5657">
        <v>-244.32400000000001</v>
      </c>
      <c r="H5657">
        <v>1.0273139999999901</v>
      </c>
      <c r="I5657">
        <v>-62.86889</v>
      </c>
      <c r="J5657">
        <v>-244.94309999999999</v>
      </c>
      <c r="K5657">
        <v>1.1050519999999999</v>
      </c>
      <c r="L5657">
        <v>-62.86768</v>
      </c>
      <c r="M5657">
        <v>0.99979530000000005</v>
      </c>
      <c r="N5657">
        <v>0</v>
      </c>
      <c r="O5657">
        <v>1.531545E-2</v>
      </c>
      <c r="P5657">
        <v>0.98616389999999998</v>
      </c>
      <c r="Q5657">
        <v>2.7386589999999999E-2</v>
      </c>
      <c r="R5657">
        <v>0.16349659999999999</v>
      </c>
      <c r="S5657">
        <v>3.048416</v>
      </c>
      <c r="T5657">
        <v>-0.28954950000000002</v>
      </c>
      <c r="U5657">
        <v>8.2092290000000002E-3</v>
      </c>
      <c r="V5657">
        <v>-0.14842259999999999</v>
      </c>
      <c r="W5657">
        <v>4.0284050000000002E-2</v>
      </c>
      <c r="X5657">
        <v>0.98810319999999996</v>
      </c>
      <c r="Y5657">
        <v>1.249893E-2</v>
      </c>
      <c r="Z5657">
        <v>-2.043787E-3</v>
      </c>
      <c r="AA5657">
        <v>0.99991980000000003</v>
      </c>
      <c r="AB5657">
        <v>37</v>
      </c>
      <c r="AC5657">
        <v>0.619099999999974</v>
      </c>
      <c r="AD5657">
        <v>-7.7738000000000307E-2</v>
      </c>
      <c r="AE5657">
        <v>-1.2099999999932701E-3</v>
      </c>
      <c r="AF5657">
        <v>1.0526512565156401E-2</v>
      </c>
      <c r="AG5657">
        <v>-7.7738000000000307E-2</v>
      </c>
      <c r="AH5657">
        <v>0.609400546415379</v>
      </c>
      <c r="AI5657">
        <v>97.268583647124998</v>
      </c>
      <c r="AJ5657">
        <v>89.010396739302607</v>
      </c>
      <c r="AK5657">
        <v>0.61442902770144803</v>
      </c>
    </row>
    <row r="5658" spans="1:37" x14ac:dyDescent="0.2">
      <c r="A5658" t="str">
        <f>"20200111153802315"</f>
        <v>20200111153802315</v>
      </c>
      <c r="B5658" t="str">
        <f>"1578728282309060"</f>
        <v>1578728282309060</v>
      </c>
      <c r="C5658" t="s">
        <v>37</v>
      </c>
      <c r="D5658">
        <v>5.8198470000000002</v>
      </c>
      <c r="E5658">
        <v>0.55935859999999904</v>
      </c>
      <c r="F5658" t="s">
        <v>38</v>
      </c>
      <c r="G5658">
        <v>-243.99889999999999</v>
      </c>
      <c r="H5658">
        <v>1.0134379999999901</v>
      </c>
      <c r="I5658">
        <v>-62.863889999999998</v>
      </c>
      <c r="J5658">
        <v>-244.76140000000001</v>
      </c>
      <c r="K5658">
        <v>1.105057</v>
      </c>
      <c r="L5658">
        <v>-62.864719999999998</v>
      </c>
      <c r="M5658">
        <v>0.99979050000000003</v>
      </c>
      <c r="N5658">
        <v>0</v>
      </c>
      <c r="O5658">
        <v>1.556544E-2</v>
      </c>
      <c r="P5658">
        <v>0.98600750000000004</v>
      </c>
      <c r="Q5658">
        <v>2.7325809999999999E-2</v>
      </c>
      <c r="R5658">
        <v>0.1644466</v>
      </c>
      <c r="S5658">
        <v>3.0482330000000002</v>
      </c>
      <c r="T5658">
        <v>-0.2957359</v>
      </c>
      <c r="U5658">
        <v>1.266479E-2</v>
      </c>
      <c r="V5658">
        <v>-0.14912739999999999</v>
      </c>
      <c r="W5658">
        <v>4.0277380000000002E-2</v>
      </c>
      <c r="X5658">
        <v>0.98799740000000003</v>
      </c>
      <c r="Y5658">
        <v>1.1286350000000001E-2</v>
      </c>
      <c r="Z5658">
        <v>-2.0528809999999999E-3</v>
      </c>
      <c r="AA5658">
        <v>0.999934199999999</v>
      </c>
      <c r="AB5658">
        <v>37</v>
      </c>
      <c r="AC5658">
        <v>0.76250000000001705</v>
      </c>
      <c r="AD5658">
        <v>-9.1619000000000103E-2</v>
      </c>
      <c r="AE5658">
        <v>8.2999999999344698E-4</v>
      </c>
      <c r="AF5658">
        <v>1.0882678872729999E-2</v>
      </c>
      <c r="AG5658">
        <v>-9.1619000000000103E-2</v>
      </c>
      <c r="AH5658">
        <v>0.75156976747226001</v>
      </c>
      <c r="AI5658">
        <v>96.949543121593507</v>
      </c>
      <c r="AJ5658">
        <v>89.170419003828698</v>
      </c>
      <c r="AK5658">
        <v>0.75721172022014704</v>
      </c>
    </row>
    <row r="5659" spans="1:37" x14ac:dyDescent="0.2">
      <c r="A5659" t="str">
        <f>"20200111153802327"</f>
        <v>20200111153802327</v>
      </c>
      <c r="B5659" t="str">
        <f>"1578728282318820"</f>
        <v>1578728282318820</v>
      </c>
      <c r="C5659" t="s">
        <v>37</v>
      </c>
      <c r="D5659">
        <v>5.4250480000000003</v>
      </c>
      <c r="E5659">
        <v>0.55935859999999904</v>
      </c>
      <c r="F5659" t="s">
        <v>38</v>
      </c>
      <c r="G5659">
        <v>-243.9905</v>
      </c>
      <c r="H5659">
        <v>1.0304439999999999</v>
      </c>
      <c r="I5659">
        <v>-62.861190000000001</v>
      </c>
      <c r="J5659">
        <v>-244.5772</v>
      </c>
      <c r="K5659">
        <v>1.1050629999999999</v>
      </c>
      <c r="L5659">
        <v>-62.861600000000003</v>
      </c>
      <c r="M5659">
        <v>0.99978590000000001</v>
      </c>
      <c r="N5659">
        <v>0</v>
      </c>
      <c r="O5659">
        <v>1.581544E-2</v>
      </c>
      <c r="P5659">
        <v>0.98588430000000005</v>
      </c>
      <c r="Q5659">
        <v>2.7436289999999999E-2</v>
      </c>
      <c r="R5659">
        <v>0.16516529999999999</v>
      </c>
      <c r="S5659">
        <v>3.0483090000000002</v>
      </c>
      <c r="T5659">
        <v>-0.29498779999999902</v>
      </c>
      <c r="U5659">
        <v>1.4495849999999999E-2</v>
      </c>
      <c r="V5659">
        <v>-0.14960039999999999</v>
      </c>
      <c r="W5659">
        <v>4.0439370000000002E-2</v>
      </c>
      <c r="X5659">
        <v>0.987919199999999</v>
      </c>
      <c r="Y5659">
        <v>1.0936980000000001E-2</v>
      </c>
      <c r="Z5659">
        <v>-2.054929E-3</v>
      </c>
      <c r="AA5659">
        <v>0.99993809999999905</v>
      </c>
      <c r="AB5659">
        <v>37</v>
      </c>
      <c r="AC5659">
        <v>0.58670000000000699</v>
      </c>
      <c r="AD5659">
        <v>-7.4618999999999699E-2</v>
      </c>
      <c r="AE5659">
        <v>4.1000000000224098E-4</v>
      </c>
      <c r="AF5659">
        <v>8.7286036199487899E-3</v>
      </c>
      <c r="AG5659">
        <v>-7.4618999999999699E-2</v>
      </c>
      <c r="AH5659">
        <v>0.57729487090832898</v>
      </c>
      <c r="AI5659">
        <v>97.364173061066495</v>
      </c>
      <c r="AJ5659">
        <v>89.133763231280398</v>
      </c>
      <c r="AK5659">
        <v>0.58216282229219896</v>
      </c>
    </row>
    <row r="5660" spans="1:37" x14ac:dyDescent="0.2">
      <c r="A5660" t="str">
        <f>"20200111153802337"</f>
        <v>20200111153802337</v>
      </c>
      <c r="B5660" t="str">
        <f>"1578728282328580"</f>
        <v>1578728282328580</v>
      </c>
      <c r="C5660" t="s">
        <v>37</v>
      </c>
      <c r="D5660">
        <v>5.4158869999999997</v>
      </c>
      <c r="E5660">
        <v>0.51421269999999997</v>
      </c>
      <c r="F5660" t="s">
        <v>38</v>
      </c>
      <c r="G5660">
        <v>-243.66540000000001</v>
      </c>
      <c r="H5660">
        <v>1.016945</v>
      </c>
      <c r="I5660">
        <v>-62.856699999999996</v>
      </c>
      <c r="J5660">
        <v>-244.39789999999999</v>
      </c>
      <c r="K5660">
        <v>1.105067</v>
      </c>
      <c r="L5660">
        <v>-62.858550000000001</v>
      </c>
      <c r="M5660">
        <v>0.99978149999999999</v>
      </c>
      <c r="N5660">
        <v>0</v>
      </c>
      <c r="O5660">
        <v>1.6057539999999999E-2</v>
      </c>
      <c r="P5660">
        <v>0.98569549999999995</v>
      </c>
      <c r="Q5660">
        <v>2.7231140000000001E-2</v>
      </c>
      <c r="R5660">
        <v>0.16632179999999999</v>
      </c>
      <c r="S5660">
        <v>3.0483699999999998</v>
      </c>
      <c r="T5660">
        <v>-0.29460439999999999</v>
      </c>
      <c r="U5660">
        <v>1.6693119999999999E-2</v>
      </c>
      <c r="V5660">
        <v>-0.1505203</v>
      </c>
      <c r="W5660">
        <v>4.0280709999999997E-2</v>
      </c>
      <c r="X5660">
        <v>0.98778589999999999</v>
      </c>
      <c r="Y5660">
        <v>1.0459899999999999E-2</v>
      </c>
      <c r="Z5660">
        <v>-2.0525669999999999E-3</v>
      </c>
      <c r="AA5660">
        <v>0.99994319999999903</v>
      </c>
      <c r="AB5660">
        <v>37</v>
      </c>
      <c r="AC5660">
        <v>0.73249999999998705</v>
      </c>
      <c r="AD5660">
        <v>-8.8122000000000006E-2</v>
      </c>
      <c r="AE5660">
        <v>1.85000000000457E-3</v>
      </c>
      <c r="AF5660">
        <v>9.7720123393330392E-3</v>
      </c>
      <c r="AG5660">
        <v>-8.8122000000000006E-2</v>
      </c>
      <c r="AH5660">
        <v>0.721986135257081</v>
      </c>
      <c r="AI5660">
        <v>96.958183986126599</v>
      </c>
      <c r="AJ5660">
        <v>89.224554529401303</v>
      </c>
      <c r="AK5660">
        <v>0.72740975977272604</v>
      </c>
    </row>
    <row r="5661" spans="1:37" x14ac:dyDescent="0.2">
      <c r="A5661" t="str">
        <f>"20200111153802353"</f>
        <v>20200111153802353</v>
      </c>
      <c r="B5661" t="str">
        <f>"1578728282349075"</f>
        <v>1578728282349075</v>
      </c>
      <c r="C5661" t="s">
        <v>37</v>
      </c>
      <c r="D5661">
        <v>5.6031949999999897</v>
      </c>
      <c r="E5661">
        <v>0.50041610000000003</v>
      </c>
      <c r="F5661" t="s">
        <v>62</v>
      </c>
      <c r="G5661">
        <v>-226.91540000000001</v>
      </c>
      <c r="H5661" s="1">
        <v>-2.141717E-6</v>
      </c>
      <c r="I5661">
        <v>-60.639969999999998</v>
      </c>
      <c r="J5661">
        <v>-244.13890000000001</v>
      </c>
      <c r="K5661">
        <v>1.10507</v>
      </c>
      <c r="L5661">
        <v>-62.854030000000002</v>
      </c>
      <c r="M5661">
        <v>0.99977499999999997</v>
      </c>
      <c r="N5661">
        <v>0</v>
      </c>
      <c r="O5661">
        <v>1.6402030000000001E-2</v>
      </c>
      <c r="P5661">
        <v>0.98551869999999997</v>
      </c>
      <c r="Q5661">
        <v>2.7159160000000002E-2</v>
      </c>
      <c r="R5661">
        <v>0.16737769999999999</v>
      </c>
      <c r="S5661">
        <v>2.9848479999999999</v>
      </c>
      <c r="T5661">
        <v>-0.188671799999999</v>
      </c>
      <c r="U5661">
        <v>0.37878420000000002</v>
      </c>
      <c r="V5661">
        <v>-0.1512377</v>
      </c>
      <c r="W5661">
        <v>4.0270229999999997E-2</v>
      </c>
      <c r="X5661">
        <v>0.98767680000000002</v>
      </c>
      <c r="Y5661">
        <v>-0.10942010000000001</v>
      </c>
      <c r="Z5661">
        <v>2.4096079999999902E-3</v>
      </c>
      <c r="AA5661">
        <v>0.99399269999999995</v>
      </c>
      <c r="AB5661">
        <v>37</v>
      </c>
      <c r="AC5661">
        <v>17.223500000000001</v>
      </c>
      <c r="AD5661">
        <v>-1.105072141717</v>
      </c>
      <c r="AE5661">
        <v>2.2140599999999999</v>
      </c>
      <c r="AF5661">
        <v>-1.9234468430867799</v>
      </c>
      <c r="AG5661">
        <v>-1.105072141717</v>
      </c>
      <c r="AH5661">
        <v>17.187895560639301</v>
      </c>
      <c r="AI5661">
        <v>93.655931937402201</v>
      </c>
      <c r="AJ5661">
        <v>96.385236106040793</v>
      </c>
      <c r="AK5661">
        <v>17.330452561893001</v>
      </c>
    </row>
    <row r="5662" spans="1:37" x14ac:dyDescent="0.2">
      <c r="A5662" t="str">
        <f>"20200111153802365"</f>
        <v>20200111153802365</v>
      </c>
      <c r="B5662" t="str">
        <f>"1578728282358836"</f>
        <v>1578728282358836</v>
      </c>
      <c r="C5662" t="s">
        <v>37</v>
      </c>
      <c r="D5662">
        <v>5.325869</v>
      </c>
      <c r="E5662">
        <v>0.49807479999999998</v>
      </c>
      <c r="F5662" t="s">
        <v>62</v>
      </c>
      <c r="G5662">
        <v>-227.48599999999999</v>
      </c>
      <c r="H5662" s="1">
        <v>-2.391943E-6</v>
      </c>
      <c r="I5662">
        <v>-60.101259999999897</v>
      </c>
      <c r="J5662">
        <v>-243.952</v>
      </c>
      <c r="K5662">
        <v>1.1050739999999999</v>
      </c>
      <c r="L5662">
        <v>-62.850740000000002</v>
      </c>
      <c r="M5662">
        <v>0.9997703</v>
      </c>
      <c r="N5662">
        <v>0</v>
      </c>
      <c r="O5662">
        <v>1.664829E-2</v>
      </c>
      <c r="P5662">
        <v>0.98533649999999995</v>
      </c>
      <c r="Q5662">
        <v>2.6709399999999901E-2</v>
      </c>
      <c r="R5662">
        <v>0.16851949999999999</v>
      </c>
      <c r="S5662">
        <v>2.96623199999999</v>
      </c>
      <c r="T5662">
        <v>-0.19683639999999999</v>
      </c>
      <c r="U5662">
        <v>0.49032589999999998</v>
      </c>
      <c r="V5662">
        <v>-0.152138299999999</v>
      </c>
      <c r="W5662">
        <v>3.986E-2</v>
      </c>
      <c r="X5662">
        <v>0.98755509999999902</v>
      </c>
      <c r="Y5662">
        <v>-0.1463624</v>
      </c>
      <c r="Z5662">
        <v>3.7224889999999998E-3</v>
      </c>
      <c r="AA5662">
        <v>0.98922399999999999</v>
      </c>
      <c r="AB5662">
        <v>37</v>
      </c>
      <c r="AC5662">
        <v>16.466000000000001</v>
      </c>
      <c r="AD5662">
        <v>-1.10507639194299</v>
      </c>
      <c r="AE5662">
        <v>2.7494800000000001</v>
      </c>
      <c r="AF5662">
        <v>-2.46414545187409</v>
      </c>
      <c r="AG5662">
        <v>-1.10507639194299</v>
      </c>
      <c r="AH5662">
        <v>16.437468055039599</v>
      </c>
      <c r="AI5662">
        <v>93.803779818150005</v>
      </c>
      <c r="AJ5662">
        <v>98.525738129467399</v>
      </c>
      <c r="AK5662">
        <v>16.657837875921</v>
      </c>
    </row>
    <row r="5663" spans="1:37" x14ac:dyDescent="0.2">
      <c r="A5663" t="str">
        <f>"20200111153802376"</f>
        <v>20200111153802376</v>
      </c>
      <c r="B5663" t="str">
        <f>"1578728282368596"</f>
        <v>1578728282368596</v>
      </c>
      <c r="C5663" t="s">
        <v>37</v>
      </c>
      <c r="D5663">
        <v>5.611783</v>
      </c>
      <c r="E5663">
        <v>0.497305199999999</v>
      </c>
      <c r="F5663" t="s">
        <v>62</v>
      </c>
      <c r="G5663">
        <v>-227.35749999999999</v>
      </c>
      <c r="H5663" s="1">
        <v>-2.36310999999999E-6</v>
      </c>
      <c r="I5663">
        <v>-59.982390000000002</v>
      </c>
      <c r="J5663">
        <v>-243.75919999999999</v>
      </c>
      <c r="K5663">
        <v>1.105075</v>
      </c>
      <c r="L5663">
        <v>-62.847290000000001</v>
      </c>
      <c r="M5663">
        <v>0.99976559999999903</v>
      </c>
      <c r="N5663">
        <v>0</v>
      </c>
      <c r="O5663">
        <v>1.690038E-2</v>
      </c>
      <c r="P5663">
        <v>0.98509930000000001</v>
      </c>
      <c r="Q5663">
        <v>2.6565970000000001E-2</v>
      </c>
      <c r="R5663">
        <v>0.16992279999999901</v>
      </c>
      <c r="S5663">
        <v>2.962418</v>
      </c>
      <c r="T5663">
        <v>-0.1972766</v>
      </c>
      <c r="U5663">
        <v>0.51205440000000002</v>
      </c>
      <c r="V5663">
        <v>-0.1532954</v>
      </c>
      <c r="W5663">
        <v>3.9753759999999999E-2</v>
      </c>
      <c r="X5663">
        <v>0.98738040000000005</v>
      </c>
      <c r="Y5663">
        <v>-0.15335190000000001</v>
      </c>
      <c r="Z5663">
        <v>3.947412E-3</v>
      </c>
      <c r="AA5663">
        <v>0.98816380000000004</v>
      </c>
      <c r="AB5663">
        <v>37</v>
      </c>
      <c r="AC5663">
        <v>16.401700000000002</v>
      </c>
      <c r="AD5663">
        <v>-1.1050773631099999</v>
      </c>
      <c r="AE5663">
        <v>2.8648999999999898</v>
      </c>
      <c r="AF5663">
        <v>-2.5759232178513498</v>
      </c>
      <c r="AG5663">
        <v>-1.1050773631099999</v>
      </c>
      <c r="AH5663">
        <v>16.3756430929865</v>
      </c>
      <c r="AI5663">
        <v>93.813881282263495</v>
      </c>
      <c r="AJ5663">
        <v>98.9394945326422</v>
      </c>
      <c r="AK5663">
        <v>16.613797371811199</v>
      </c>
    </row>
    <row r="5664" spans="1:37" x14ac:dyDescent="0.2">
      <c r="A5664" t="str">
        <f>"20200111153802387"</f>
        <v>20200111153802387</v>
      </c>
      <c r="B5664" t="str">
        <f>"1578728282378356"</f>
        <v>1578728282378356</v>
      </c>
      <c r="C5664" t="s">
        <v>37</v>
      </c>
      <c r="D5664">
        <v>5.4943759999999999</v>
      </c>
      <c r="E5664">
        <v>0.49679859999999998</v>
      </c>
      <c r="F5664" t="s">
        <v>62</v>
      </c>
      <c r="G5664">
        <v>-227.28729999999999</v>
      </c>
      <c r="H5664" s="1">
        <v>-2.3420479999999998E-6</v>
      </c>
      <c r="I5664">
        <v>-59.941359999999897</v>
      </c>
      <c r="J5664">
        <v>-243.58</v>
      </c>
      <c r="K5664">
        <v>1.1050759999999999</v>
      </c>
      <c r="L5664">
        <v>-62.844019999999901</v>
      </c>
      <c r="M5664">
        <v>0.99976129999999996</v>
      </c>
      <c r="N5664">
        <v>0</v>
      </c>
      <c r="O5664">
        <v>1.7132089999999999E-2</v>
      </c>
      <c r="P5664">
        <v>0.98485699999999998</v>
      </c>
      <c r="Q5664">
        <v>2.645026E-2</v>
      </c>
      <c r="R5664">
        <v>0.17134059999999901</v>
      </c>
      <c r="S5664">
        <v>2.9606319999999999</v>
      </c>
      <c r="T5664">
        <v>-0.198625</v>
      </c>
      <c r="U5664">
        <v>0.52230829999999995</v>
      </c>
      <c r="V5664">
        <v>-0.1544874</v>
      </c>
      <c r="W5664">
        <v>3.9668469999999997E-2</v>
      </c>
      <c r="X5664">
        <v>0.98719809999999997</v>
      </c>
      <c r="Y5664">
        <v>-0.1565327</v>
      </c>
      <c r="Z5664">
        <v>4.06589E-3</v>
      </c>
      <c r="AA5664">
        <v>0.9876644</v>
      </c>
      <c r="AB5664">
        <v>37</v>
      </c>
      <c r="AC5664">
        <v>16.2927</v>
      </c>
      <c r="AD5664">
        <v>-1.1050783420479999</v>
      </c>
      <c r="AE5664">
        <v>2.9026599999999898</v>
      </c>
      <c r="AF5664">
        <v>-2.61143606293744</v>
      </c>
      <c r="AG5664">
        <v>-1.1050783420479999</v>
      </c>
      <c r="AH5664">
        <v>16.267506043258901</v>
      </c>
      <c r="AI5664">
        <v>93.837246493862494</v>
      </c>
      <c r="AJ5664">
        <v>99.119928976901505</v>
      </c>
      <c r="AK5664">
        <v>16.5127995603514</v>
      </c>
    </row>
    <row r="5665" spans="1:37" x14ac:dyDescent="0.2">
      <c r="A5665" t="str">
        <f>"20200111153802397"</f>
        <v>20200111153802397</v>
      </c>
      <c r="B5665" t="str">
        <f>"1578728282389092"</f>
        <v>1578728282389092</v>
      </c>
      <c r="C5665" t="s">
        <v>37</v>
      </c>
      <c r="D5665">
        <v>5.3153079999999999</v>
      </c>
      <c r="E5665">
        <v>0.4967589</v>
      </c>
      <c r="F5665" t="s">
        <v>62</v>
      </c>
      <c r="G5665">
        <v>-227.03559999999999</v>
      </c>
      <c r="H5665" s="1">
        <v>-2.2480049999999998E-6</v>
      </c>
      <c r="I5665">
        <v>-59.878450000000001</v>
      </c>
      <c r="J5665">
        <v>-243.3963</v>
      </c>
      <c r="K5665">
        <v>1.1050770000000001</v>
      </c>
      <c r="L5665">
        <v>-62.840669999999903</v>
      </c>
      <c r="M5665">
        <v>0.999756599999999</v>
      </c>
      <c r="N5665">
        <v>0</v>
      </c>
      <c r="O5665">
        <v>1.736946E-2</v>
      </c>
      <c r="P5665">
        <v>0.98467019999999905</v>
      </c>
      <c r="Q5665">
        <v>2.6268690000000001E-2</v>
      </c>
      <c r="R5665">
        <v>0.17243729999999999</v>
      </c>
      <c r="S5665">
        <v>2.959152</v>
      </c>
      <c r="T5665">
        <v>-0.19765539999999901</v>
      </c>
      <c r="U5665">
        <v>0.53042599999999995</v>
      </c>
      <c r="V5665">
        <v>-0.1553525</v>
      </c>
      <c r="W5665">
        <v>3.9518369999999997E-2</v>
      </c>
      <c r="X5665">
        <v>0.98706839999999996</v>
      </c>
      <c r="Y5665">
        <v>-0.1590065</v>
      </c>
      <c r="Z5665">
        <v>4.1132970000000001E-3</v>
      </c>
      <c r="AA5665">
        <v>0.98726899999999995</v>
      </c>
      <c r="AB5665">
        <v>37</v>
      </c>
      <c r="AC5665">
        <v>16.360700000000001</v>
      </c>
      <c r="AD5665">
        <v>-1.105079248005</v>
      </c>
      <c r="AE5665">
        <v>2.9622199999999901</v>
      </c>
      <c r="AF5665">
        <v>-2.6657941235585398</v>
      </c>
      <c r="AG5665">
        <v>-1.105079248005</v>
      </c>
      <c r="AH5665">
        <v>16.337517629745399</v>
      </c>
      <c r="AI5665">
        <v>93.819269141819902</v>
      </c>
      <c r="AJ5665">
        <v>99.267287521782606</v>
      </c>
      <c r="AK5665">
        <v>16.590423163856101</v>
      </c>
    </row>
    <row r="5666" spans="1:37" x14ac:dyDescent="0.2">
      <c r="A5666" t="str">
        <f>"20200111153802408"</f>
        <v>20200111153802408</v>
      </c>
      <c r="B5666" t="str">
        <f>"1578728282398852"</f>
        <v>1578728282398852</v>
      </c>
      <c r="C5666" t="s">
        <v>37</v>
      </c>
      <c r="D5666">
        <v>5.4381979999999999</v>
      </c>
      <c r="E5666">
        <v>0.49668509999999999</v>
      </c>
      <c r="F5666" t="s">
        <v>62</v>
      </c>
      <c r="G5666">
        <v>-226.82320000000001</v>
      </c>
      <c r="H5666" s="1">
        <v>-2.1634310000000001E-6</v>
      </c>
      <c r="I5666">
        <v>-59.848730000000003</v>
      </c>
      <c r="J5666">
        <v>-243.22669999999999</v>
      </c>
      <c r="K5666">
        <v>1.105078</v>
      </c>
      <c r="L5666">
        <v>-62.837490000000003</v>
      </c>
      <c r="M5666">
        <v>0.99975259999999999</v>
      </c>
      <c r="N5666">
        <v>0</v>
      </c>
      <c r="O5666">
        <v>1.7585839999999998E-2</v>
      </c>
      <c r="P5666">
        <v>0.98446420000000001</v>
      </c>
      <c r="Q5666">
        <v>2.6052840000000001E-2</v>
      </c>
      <c r="R5666">
        <v>0.17364279999999899</v>
      </c>
      <c r="S5666">
        <v>2.95845</v>
      </c>
      <c r="T5666">
        <v>-0.19726679999999999</v>
      </c>
      <c r="U5666">
        <v>0.53408809999999995</v>
      </c>
      <c r="V5666">
        <v>-0.15634719999999999</v>
      </c>
      <c r="W5666">
        <v>3.9326840000000002E-2</v>
      </c>
      <c r="X5666">
        <v>0.98691890000000004</v>
      </c>
      <c r="Y5666">
        <v>-0.16001670000000001</v>
      </c>
      <c r="Z5666">
        <v>4.1248270000000002E-3</v>
      </c>
      <c r="AA5666">
        <v>0.98710569999999898</v>
      </c>
      <c r="AB5666">
        <v>37</v>
      </c>
      <c r="AC5666">
        <v>16.403499999999902</v>
      </c>
      <c r="AD5666">
        <v>-1.1050801634309999</v>
      </c>
      <c r="AE5666">
        <v>2.9887599999999899</v>
      </c>
      <c r="AF5666">
        <v>-2.6879941030981702</v>
      </c>
      <c r="AG5666">
        <v>-1.1050801634309999</v>
      </c>
      <c r="AH5666">
        <v>16.3815683412484</v>
      </c>
      <c r="AI5666">
        <v>93.808477795155795</v>
      </c>
      <c r="AJ5666">
        <v>99.318424743549002</v>
      </c>
      <c r="AK5666">
        <v>16.637376469410398</v>
      </c>
    </row>
    <row r="5667" spans="1:37" x14ac:dyDescent="0.2">
      <c r="A5667" t="str">
        <f>"20200111153802420"</f>
        <v>20200111153802420</v>
      </c>
      <c r="B5667" t="str">
        <f>"1578728282408612"</f>
        <v>1578728282408612</v>
      </c>
      <c r="C5667" t="s">
        <v>37</v>
      </c>
      <c r="D5667">
        <v>5.44672</v>
      </c>
      <c r="E5667">
        <v>0.49676350000000002</v>
      </c>
      <c r="F5667" t="s">
        <v>62</v>
      </c>
      <c r="G5667">
        <v>-226.73910000000001</v>
      </c>
      <c r="H5667" s="1">
        <v>-2.1298649999999998E-6</v>
      </c>
      <c r="I5667">
        <v>-59.837400000000002</v>
      </c>
      <c r="J5667">
        <v>-243.0471</v>
      </c>
      <c r="K5667">
        <v>1.1050789999999999</v>
      </c>
      <c r="L5667">
        <v>-62.834109999999903</v>
      </c>
      <c r="M5667">
        <v>0.99974819999999998</v>
      </c>
      <c r="N5667">
        <v>0</v>
      </c>
      <c r="O5667">
        <v>1.781514E-2</v>
      </c>
      <c r="P5667">
        <v>0.98423640000000001</v>
      </c>
      <c r="Q5667">
        <v>2.5980030000000001E-2</v>
      </c>
      <c r="R5667">
        <v>0.17493979999999901</v>
      </c>
      <c r="S5667">
        <v>2.9576720000000001</v>
      </c>
      <c r="T5667">
        <v>-0.1982371</v>
      </c>
      <c r="U5667">
        <v>0.53817749999999998</v>
      </c>
      <c r="V5667">
        <v>-0.15742139999999999</v>
      </c>
      <c r="W5667">
        <v>3.9279670000000003E-2</v>
      </c>
      <c r="X5667">
        <v>0.98675000000000002</v>
      </c>
      <c r="Y5667">
        <v>-0.16115189999999999</v>
      </c>
      <c r="Z5667">
        <v>4.16812E-3</v>
      </c>
      <c r="AA5667">
        <v>0.98692080000000004</v>
      </c>
      <c r="AB5667">
        <v>37</v>
      </c>
      <c r="AC5667">
        <v>16.3079999999999</v>
      </c>
      <c r="AD5667">
        <v>-1.1050811298649901</v>
      </c>
      <c r="AE5667">
        <v>2.99670999999999</v>
      </c>
      <c r="AF5667">
        <v>-2.6937128952344702</v>
      </c>
      <c r="AG5667">
        <v>-1.1050811298649901</v>
      </c>
      <c r="AH5667">
        <v>16.286461078075401</v>
      </c>
      <c r="AI5667">
        <v>93.829853322667105</v>
      </c>
      <c r="AJ5667">
        <v>99.391462503197204</v>
      </c>
      <c r="AK5667">
        <v>16.544670075683001</v>
      </c>
    </row>
    <row r="5668" spans="1:37" x14ac:dyDescent="0.2">
      <c r="A5668" t="str">
        <f>"20200111153802431"</f>
        <v>20200111153802431</v>
      </c>
      <c r="B5668" t="str">
        <f>"1578728282418372"</f>
        <v>1578728282418372</v>
      </c>
      <c r="C5668" t="s">
        <v>37</v>
      </c>
      <c r="D5668">
        <v>5.4570850000000002</v>
      </c>
      <c r="E5668">
        <v>0.49690200000000001</v>
      </c>
      <c r="F5668" t="s">
        <v>62</v>
      </c>
      <c r="G5668">
        <v>-226.46209999999999</v>
      </c>
      <c r="H5668" s="1">
        <v>-2.019918E-6</v>
      </c>
      <c r="I5668">
        <v>-59.797150000000002</v>
      </c>
      <c r="J5668">
        <v>-242.8546</v>
      </c>
      <c r="K5668">
        <v>1.105081</v>
      </c>
      <c r="L5668">
        <v>-62.830440000000003</v>
      </c>
      <c r="M5668">
        <v>0.9997433</v>
      </c>
      <c r="N5668">
        <v>0</v>
      </c>
      <c r="O5668">
        <v>1.805899E-2</v>
      </c>
      <c r="P5668">
        <v>0.98405679999999995</v>
      </c>
      <c r="Q5668">
        <v>2.589373E-2</v>
      </c>
      <c r="R5668">
        <v>0.17595959999999999</v>
      </c>
      <c r="S5668">
        <v>2.9570310000000002</v>
      </c>
      <c r="T5668">
        <v>-0.19703019999999999</v>
      </c>
      <c r="U5668">
        <v>0.54147339999999999</v>
      </c>
      <c r="V5668">
        <v>-0.15820319999999999</v>
      </c>
      <c r="W5668">
        <v>3.9218210000000003E-2</v>
      </c>
      <c r="X5668">
        <v>0.98662739999999904</v>
      </c>
      <c r="Y5668">
        <v>-0.16201570000000001</v>
      </c>
      <c r="Z5668">
        <v>4.1556989999999997E-3</v>
      </c>
      <c r="AA5668">
        <v>0.98677950000000003</v>
      </c>
      <c r="AB5668">
        <v>37</v>
      </c>
      <c r="AC5668">
        <v>16.392499999999998</v>
      </c>
      <c r="AD5668">
        <v>-1.105083019918</v>
      </c>
      <c r="AE5668">
        <v>3.03329</v>
      </c>
      <c r="AF5668">
        <v>-2.7247624406676998</v>
      </c>
      <c r="AG5668">
        <v>-1.105083019918</v>
      </c>
      <c r="AH5668">
        <v>16.3726650849399</v>
      </c>
      <c r="AI5668">
        <v>93.809125755419203</v>
      </c>
      <c r="AJ5668">
        <v>99.448650751290401</v>
      </c>
      <c r="AK5668">
        <v>16.634593497365501</v>
      </c>
    </row>
    <row r="5669" spans="1:37" x14ac:dyDescent="0.2">
      <c r="A5669" t="str">
        <f>"20200111153802443"</f>
        <v>20200111153802443</v>
      </c>
      <c r="B5669" t="str">
        <f>"1578728282438868"</f>
        <v>1578728282438868</v>
      </c>
      <c r="C5669" t="s">
        <v>37</v>
      </c>
      <c r="D5669">
        <v>5.4229820000000002</v>
      </c>
      <c r="E5669">
        <v>0.49707979999999902</v>
      </c>
      <c r="F5669" t="s">
        <v>62</v>
      </c>
      <c r="G5669">
        <v>-226.1995</v>
      </c>
      <c r="H5669" s="1">
        <v>-1.913525E-6</v>
      </c>
      <c r="I5669">
        <v>-59.76885</v>
      </c>
      <c r="J5669">
        <v>-242.66290000000001</v>
      </c>
      <c r="K5669">
        <v>1.1050819999999999</v>
      </c>
      <c r="L5669">
        <v>-62.826779999999999</v>
      </c>
      <c r="M5669">
        <v>0.99973849999999997</v>
      </c>
      <c r="N5669">
        <v>0</v>
      </c>
      <c r="O5669">
        <v>1.8301370000000001E-2</v>
      </c>
      <c r="P5669">
        <v>0.9838829</v>
      </c>
      <c r="Q5669">
        <v>2.5530250000000001E-2</v>
      </c>
      <c r="R5669">
        <v>0.17698150000000001</v>
      </c>
      <c r="S5669">
        <v>2.9565890000000001</v>
      </c>
      <c r="T5669">
        <v>-0.19617179999999901</v>
      </c>
      <c r="U5669">
        <v>0.54348750000000001</v>
      </c>
      <c r="V5669">
        <v>-0.15898770000000001</v>
      </c>
      <c r="W5669">
        <v>3.887848E-2</v>
      </c>
      <c r="X5669">
        <v>0.98651469999999897</v>
      </c>
      <c r="Y5669">
        <v>-0.16245519999999999</v>
      </c>
      <c r="Z5669">
        <v>4.1365179999999996E-3</v>
      </c>
      <c r="AA5669">
        <v>0.98670729999999995</v>
      </c>
      <c r="AB5669">
        <v>37</v>
      </c>
      <c r="AC5669">
        <v>16.4634</v>
      </c>
      <c r="AD5669">
        <v>-1.1050839135249999</v>
      </c>
      <c r="AE5669">
        <v>3.0579299999999998</v>
      </c>
      <c r="AF5669">
        <v>-2.74413503551974</v>
      </c>
      <c r="AG5669">
        <v>-1.1050839135249999</v>
      </c>
      <c r="AH5669">
        <v>16.444988343110602</v>
      </c>
      <c r="AI5669">
        <v>93.792152174636996</v>
      </c>
      <c r="AJ5669">
        <v>99.473520945380102</v>
      </c>
      <c r="AK5669">
        <v>16.7089535625108</v>
      </c>
    </row>
    <row r="5670" spans="1:37" x14ac:dyDescent="0.2">
      <c r="A5670" t="str">
        <f>"20200111153802457"</f>
        <v>20200111153802457</v>
      </c>
      <c r="B5670" t="str">
        <f>"1578728282448628"</f>
        <v>1578728282448628</v>
      </c>
      <c r="C5670" t="s">
        <v>37</v>
      </c>
      <c r="D5670">
        <v>5.4447609999999997</v>
      </c>
      <c r="E5670">
        <v>0.49724849999999998</v>
      </c>
      <c r="F5670" t="s">
        <v>62</v>
      </c>
      <c r="G5670">
        <v>-225.97929999999999</v>
      </c>
      <c r="H5670" s="1">
        <v>-1.823249E-6</v>
      </c>
      <c r="I5670">
        <v>-59.750050000000002</v>
      </c>
      <c r="J5670">
        <v>-242.42240000000001</v>
      </c>
      <c r="K5670">
        <v>1.105084</v>
      </c>
      <c r="L5670">
        <v>-62.82208</v>
      </c>
      <c r="M5670">
        <v>0.99973259999999897</v>
      </c>
      <c r="N5670">
        <v>0</v>
      </c>
      <c r="O5670">
        <v>1.8603250000000002E-2</v>
      </c>
      <c r="P5670">
        <v>0.98370249999999904</v>
      </c>
      <c r="Q5670">
        <v>2.5168360000000001E-2</v>
      </c>
      <c r="R5670">
        <v>0.17803429999999901</v>
      </c>
      <c r="S5670">
        <v>2.9561609999999998</v>
      </c>
      <c r="T5670">
        <v>-0.1958095</v>
      </c>
      <c r="U5670">
        <v>0.54516600000000004</v>
      </c>
      <c r="V5670">
        <v>-0.1597451</v>
      </c>
      <c r="W5670">
        <v>3.854399E-2</v>
      </c>
      <c r="X5670">
        <v>0.98640559999999999</v>
      </c>
      <c r="Y5670">
        <v>-0.1627256</v>
      </c>
      <c r="Z5670">
        <v>4.1183540000000003E-3</v>
      </c>
      <c r="AA5670">
        <v>0.9866627</v>
      </c>
      <c r="AB5670">
        <v>37</v>
      </c>
      <c r="AC5670">
        <v>16.443100000000001</v>
      </c>
      <c r="AD5670">
        <v>-1.105085823249</v>
      </c>
      <c r="AE5670">
        <v>3.0720299999999998</v>
      </c>
      <c r="AF5670">
        <v>-2.7535566956006199</v>
      </c>
      <c r="AG5670">
        <v>-1.105085823249</v>
      </c>
      <c r="AH5670">
        <v>16.425720658704901</v>
      </c>
      <c r="AI5670">
        <v>93.796120178035096</v>
      </c>
      <c r="AJ5670">
        <v>99.516400854038906</v>
      </c>
      <c r="AK5670">
        <v>16.6915424185555</v>
      </c>
    </row>
    <row r="5671" spans="1:37" x14ac:dyDescent="0.2">
      <c r="A5671" t="str">
        <f>"20200111153802468"</f>
        <v>20200111153802468</v>
      </c>
      <c r="B5671" t="str">
        <f>"1578728282458387"</f>
        <v>1578728282458387</v>
      </c>
      <c r="C5671" t="s">
        <v>37</v>
      </c>
      <c r="D5671">
        <v>5.4277759999999997</v>
      </c>
      <c r="E5671">
        <v>0.49742979999999998</v>
      </c>
      <c r="F5671" t="s">
        <v>62</v>
      </c>
      <c r="G5671">
        <v>-225.6969</v>
      </c>
      <c r="H5671" s="1">
        <v>-1.7071539999999999E-6</v>
      </c>
      <c r="I5671">
        <v>-59.727130000000002</v>
      </c>
      <c r="J5671">
        <v>-242.2449</v>
      </c>
      <c r="K5671">
        <v>1.105083</v>
      </c>
      <c r="L5671">
        <v>-62.818539999999999</v>
      </c>
      <c r="M5671">
        <v>0.99972809999999901</v>
      </c>
      <c r="N5671">
        <v>0</v>
      </c>
      <c r="O5671">
        <v>1.882385E-2</v>
      </c>
      <c r="P5671">
        <v>0.98355930000000003</v>
      </c>
      <c r="Q5671">
        <v>2.493395E-2</v>
      </c>
      <c r="R5671">
        <v>0.1788554</v>
      </c>
      <c r="S5671">
        <v>2.9557039999999999</v>
      </c>
      <c r="T5671">
        <v>-0.1952895</v>
      </c>
      <c r="U5671">
        <v>0.54693599999999998</v>
      </c>
      <c r="V5671">
        <v>-0.1603504</v>
      </c>
      <c r="W5671">
        <v>3.8327189999999997E-2</v>
      </c>
      <c r="X5671">
        <v>0.98631579999999996</v>
      </c>
      <c r="Y5671">
        <v>-0.1631078</v>
      </c>
      <c r="Z5671">
        <v>4.1059240000000004E-3</v>
      </c>
      <c r="AA5671">
        <v>0.98659969999999997</v>
      </c>
      <c r="AB5671">
        <v>37</v>
      </c>
      <c r="AC5671">
        <v>16.547999999999998</v>
      </c>
      <c r="AD5671">
        <v>-1.105084707154</v>
      </c>
      <c r="AE5671">
        <v>3.0914100000000002</v>
      </c>
      <c r="AF5671">
        <v>-2.76741010971213</v>
      </c>
      <c r="AG5671">
        <v>-1.105084707154</v>
      </c>
      <c r="AH5671">
        <v>16.532024496727502</v>
      </c>
      <c r="AI5671">
        <v>93.771924397658907</v>
      </c>
      <c r="AJ5671">
        <v>99.503027422532895</v>
      </c>
      <c r="AK5671">
        <v>16.798440549221201</v>
      </c>
    </row>
    <row r="5672" spans="1:37" x14ac:dyDescent="0.2">
      <c r="A5672" t="str">
        <f>"20200111153802483"</f>
        <v>20200111153802483</v>
      </c>
      <c r="B5672" t="str">
        <f>"1578728282478883"</f>
        <v>1578728282478883</v>
      </c>
      <c r="C5672" t="s">
        <v>37</v>
      </c>
      <c r="D5672">
        <v>5.465306</v>
      </c>
      <c r="E5672">
        <v>0.4976064</v>
      </c>
      <c r="F5672" t="s">
        <v>62</v>
      </c>
      <c r="G5672">
        <v>-225.38310000000001</v>
      </c>
      <c r="H5672" s="1">
        <v>-1.5802619999999999E-6</v>
      </c>
      <c r="I5672">
        <v>-59.692129999999999</v>
      </c>
      <c r="J5672">
        <v>-242.00020000000001</v>
      </c>
      <c r="K5672">
        <v>1.1050709999999999</v>
      </c>
      <c r="L5672">
        <v>-62.813659999999999</v>
      </c>
      <c r="M5672">
        <v>0.99972220000000001</v>
      </c>
      <c r="N5672">
        <v>0</v>
      </c>
      <c r="O5672">
        <v>1.9125969999999999E-2</v>
      </c>
      <c r="P5672">
        <v>0.98326499999999994</v>
      </c>
      <c r="Q5672">
        <v>2.4632749999999998E-2</v>
      </c>
      <c r="R5672">
        <v>0.1805089</v>
      </c>
      <c r="S5672">
        <v>2.95541399999999</v>
      </c>
      <c r="T5672">
        <v>-0.19369049999999999</v>
      </c>
      <c r="U5672">
        <v>0.54797359999999995</v>
      </c>
      <c r="V5672">
        <v>-0.1617102</v>
      </c>
      <c r="W5672">
        <v>3.804797E-2</v>
      </c>
      <c r="X5672">
        <v>0.98610450000000005</v>
      </c>
      <c r="Y5672">
        <v>-0.16316729999999999</v>
      </c>
      <c r="Z5672">
        <v>4.0549770000000004E-3</v>
      </c>
      <c r="AA5672">
        <v>0.98659010000000003</v>
      </c>
      <c r="AB5672">
        <v>37</v>
      </c>
      <c r="AC5672">
        <v>16.617099999999901</v>
      </c>
      <c r="AD5672">
        <v>-1.1050725802619901</v>
      </c>
      <c r="AE5672">
        <v>3.1215299999999901</v>
      </c>
      <c r="AF5672">
        <v>-2.7911872289151298</v>
      </c>
      <c r="AG5672">
        <v>-1.1050725802619901</v>
      </c>
      <c r="AH5672">
        <v>16.602843921230701</v>
      </c>
      <c r="AI5672">
        <v>93.755401539986096</v>
      </c>
      <c r="AJ5672">
        <v>99.543044202146703</v>
      </c>
      <c r="AK5672">
        <v>16.872057901372099</v>
      </c>
    </row>
    <row r="5673" spans="1:37" x14ac:dyDescent="0.2">
      <c r="A5673" t="str">
        <f>"20200111153802494"</f>
        <v>20200111153802494</v>
      </c>
      <c r="B5673" t="str">
        <f>"1578728282488643"</f>
        <v>1578728282488643</v>
      </c>
      <c r="C5673" t="s">
        <v>37</v>
      </c>
      <c r="D5673">
        <v>5.4764029999999897</v>
      </c>
      <c r="E5673">
        <v>0.49775959999999903</v>
      </c>
      <c r="F5673" t="s">
        <v>62</v>
      </c>
      <c r="G5673">
        <v>-225.0401</v>
      </c>
      <c r="H5673" s="1">
        <v>-1.4427069999999999E-6</v>
      </c>
      <c r="I5673">
        <v>-59.648819999999901</v>
      </c>
      <c r="J5673">
        <v>-241.80860000000001</v>
      </c>
      <c r="K5673">
        <v>1.105062</v>
      </c>
      <c r="L5673">
        <v>-62.809780000000003</v>
      </c>
      <c r="M5673">
        <v>0.99971739999999998</v>
      </c>
      <c r="N5673">
        <v>0</v>
      </c>
      <c r="O5673">
        <v>1.935883E-2</v>
      </c>
      <c r="P5673">
        <v>0.98309329999999995</v>
      </c>
      <c r="Q5673">
        <v>2.430502E-2</v>
      </c>
      <c r="R5673">
        <v>0.18148520000000001</v>
      </c>
      <c r="S5673">
        <v>2.9546809999999999</v>
      </c>
      <c r="T5673">
        <v>-0.19251940000000001</v>
      </c>
      <c r="U5673">
        <v>0.55136109999999905</v>
      </c>
      <c r="V5673">
        <v>-0.1624592</v>
      </c>
      <c r="W5673">
        <v>3.7736810000000003E-2</v>
      </c>
      <c r="X5673">
        <v>0.98599340000000002</v>
      </c>
      <c r="Y5673">
        <v>-0.16407659999999999</v>
      </c>
      <c r="Z5673">
        <v>4.04540299999999E-3</v>
      </c>
      <c r="AA5673">
        <v>0.98643930000000002</v>
      </c>
      <c r="AB5673">
        <v>37</v>
      </c>
      <c r="AC5673">
        <v>16.7685</v>
      </c>
      <c r="AD5673">
        <v>-1.1050634427070001</v>
      </c>
      <c r="AE5673">
        <v>3.1609600000000002</v>
      </c>
      <c r="AF5673">
        <v>-2.82387494136711</v>
      </c>
      <c r="AG5673">
        <v>-1.1050634427070001</v>
      </c>
      <c r="AH5673">
        <v>16.756280591093802</v>
      </c>
      <c r="AI5673">
        <v>93.720830006407198</v>
      </c>
      <c r="AJ5673">
        <v>99.565963507020896</v>
      </c>
      <c r="AK5673">
        <v>17.028457773514099</v>
      </c>
    </row>
    <row r="5674" spans="1:37" x14ac:dyDescent="0.2">
      <c r="A5674" t="str">
        <f>"20200111153802506"</f>
        <v>20200111153802506</v>
      </c>
      <c r="B5674" t="str">
        <f>"1578728282498405"</f>
        <v>1578728282498405</v>
      </c>
      <c r="C5674" t="s">
        <v>37</v>
      </c>
      <c r="D5674">
        <v>5.4504419999999998</v>
      </c>
      <c r="E5674">
        <v>0.49793670000000001</v>
      </c>
      <c r="F5674" t="s">
        <v>62</v>
      </c>
      <c r="G5674">
        <v>-224.81440000000001</v>
      </c>
      <c r="H5674" s="1">
        <v>-1.3501720000000001E-6</v>
      </c>
      <c r="I5674">
        <v>-59.629379999999998</v>
      </c>
      <c r="J5674">
        <v>-241.61779999999999</v>
      </c>
      <c r="K5674">
        <v>1.1050580000000001</v>
      </c>
      <c r="L5674">
        <v>-62.80585</v>
      </c>
      <c r="M5674">
        <v>0.99971270000000001</v>
      </c>
      <c r="N5674">
        <v>0</v>
      </c>
      <c r="O5674">
        <v>1.9587340000000002E-2</v>
      </c>
      <c r="P5674">
        <v>0.98289389999999999</v>
      </c>
      <c r="Q5674">
        <v>2.4069360000000001E-2</v>
      </c>
      <c r="R5674">
        <v>0.18259400000000001</v>
      </c>
      <c r="S5674">
        <v>2.9542999999999999</v>
      </c>
      <c r="T5674">
        <v>-0.19210569999999999</v>
      </c>
      <c r="U5674">
        <v>0.55288700000000002</v>
      </c>
      <c r="V5674">
        <v>-0.1633454</v>
      </c>
      <c r="W5674">
        <v>3.75162E-2</v>
      </c>
      <c r="X5674">
        <v>0.98585540000000005</v>
      </c>
      <c r="Y5674">
        <v>-0.1643675</v>
      </c>
      <c r="Z5674">
        <v>4.0317169999999998E-3</v>
      </c>
      <c r="AA5674">
        <v>0.98639089999999996</v>
      </c>
      <c r="AB5674">
        <v>37</v>
      </c>
      <c r="AC5674">
        <v>16.8033999999999</v>
      </c>
      <c r="AD5674">
        <v>-1.1050593501720001</v>
      </c>
      <c r="AE5674">
        <v>3.1764699999999899</v>
      </c>
      <c r="AF5674">
        <v>-2.8348576703461799</v>
      </c>
      <c r="AG5674">
        <v>-1.1050593501720001</v>
      </c>
      <c r="AH5674">
        <v>16.7922808353512</v>
      </c>
      <c r="AI5674">
        <v>93.712683949439295</v>
      </c>
      <c r="AJ5674">
        <v>99.582272170135695</v>
      </c>
      <c r="AK5674">
        <v>17.065704492690202</v>
      </c>
    </row>
    <row r="5675" spans="1:37" x14ac:dyDescent="0.2">
      <c r="A5675" t="str">
        <f>"20200111153802517"</f>
        <v>20200111153802517</v>
      </c>
      <c r="B5675" t="str">
        <f>"1578728282509140"</f>
        <v>1578728282509140</v>
      </c>
      <c r="C5675" t="s">
        <v>37</v>
      </c>
      <c r="D5675">
        <v>5.49735</v>
      </c>
      <c r="E5675">
        <v>0.49797129999999901</v>
      </c>
      <c r="F5675" t="s">
        <v>62</v>
      </c>
      <c r="G5675">
        <v>-224.58580000000001</v>
      </c>
      <c r="H5675" s="1">
        <v>-1.256953E-6</v>
      </c>
      <c r="I5675">
        <v>-59.607509999999998</v>
      </c>
      <c r="J5675">
        <v>-241.4273</v>
      </c>
      <c r="K5675">
        <v>1.105056</v>
      </c>
      <c r="L5675">
        <v>-62.801909999999999</v>
      </c>
      <c r="M5675">
        <v>0.99970809999999999</v>
      </c>
      <c r="N5675">
        <v>0</v>
      </c>
      <c r="O5675">
        <v>1.9813330000000001E-2</v>
      </c>
      <c r="P5675">
        <v>0.98275599999999996</v>
      </c>
      <c r="Q5675">
        <v>2.3754529999999999E-2</v>
      </c>
      <c r="R5675">
        <v>0.1833745</v>
      </c>
      <c r="S5675">
        <v>2.9538570000000002</v>
      </c>
      <c r="T5675">
        <v>-0.1916503</v>
      </c>
      <c r="U5675">
        <v>0.5546875</v>
      </c>
      <c r="V5675">
        <v>-0.16390469999999999</v>
      </c>
      <c r="W5675">
        <v>3.7216480000000003E-2</v>
      </c>
      <c r="X5675">
        <v>0.98577389999999998</v>
      </c>
      <c r="Y5675">
        <v>-0.16475309999999899</v>
      </c>
      <c r="Z5675">
        <v>4.0204300000000002E-3</v>
      </c>
      <c r="AA5675">
        <v>0.98632659999999905</v>
      </c>
      <c r="AB5675">
        <v>37</v>
      </c>
      <c r="AC5675">
        <v>16.8414999999999</v>
      </c>
      <c r="AD5675">
        <v>-1.1050572569529999</v>
      </c>
      <c r="AE5675">
        <v>3.1943999999999999</v>
      </c>
      <c r="AF5675">
        <v>-2.84821799464661</v>
      </c>
      <c r="AG5675">
        <v>-1.1050572569529999</v>
      </c>
      <c r="AH5675">
        <v>16.831541984200499</v>
      </c>
      <c r="AI5675">
        <v>93.703798137811503</v>
      </c>
      <c r="AJ5675">
        <v>99.604552875282707</v>
      </c>
      <c r="AK5675">
        <v>17.106557305667302</v>
      </c>
    </row>
    <row r="5676" spans="1:37" x14ac:dyDescent="0.2">
      <c r="A5676" t="str">
        <f>"20200111153802528"</f>
        <v>20200111153802528</v>
      </c>
      <c r="B5676" t="str">
        <f>"1578728282518900"</f>
        <v>1578728282518900</v>
      </c>
      <c r="C5676" t="s">
        <v>37</v>
      </c>
      <c r="D5676">
        <v>5.5468539999999997</v>
      </c>
      <c r="E5676">
        <v>0.49805290000000002</v>
      </c>
      <c r="F5676" t="s">
        <v>62</v>
      </c>
      <c r="G5676">
        <v>-224.43809999999999</v>
      </c>
      <c r="H5676" s="1">
        <v>-1.1952710000000001E-6</v>
      </c>
      <c r="I5676">
        <v>-59.599909999999902</v>
      </c>
      <c r="J5676">
        <v>-241.25810000000001</v>
      </c>
      <c r="K5676">
        <v>1.105054</v>
      </c>
      <c r="L5676">
        <v>-62.798369999999998</v>
      </c>
      <c r="M5676">
        <v>0.99970409999999899</v>
      </c>
      <c r="N5676">
        <v>0</v>
      </c>
      <c r="O5676">
        <v>2.0005720000000001E-2</v>
      </c>
      <c r="P5676">
        <v>0.98261119999999902</v>
      </c>
      <c r="Q5676">
        <v>2.382664E-2</v>
      </c>
      <c r="R5676">
        <v>0.1841402</v>
      </c>
      <c r="S5676">
        <v>2.9534150000000001</v>
      </c>
      <c r="T5676">
        <v>-0.19210469999999999</v>
      </c>
      <c r="U5676">
        <v>0.55664060000000004</v>
      </c>
      <c r="V5676">
        <v>-0.16448279999999901</v>
      </c>
      <c r="W5676">
        <v>3.7301290000000001E-2</v>
      </c>
      <c r="X5676">
        <v>0.98567439999999995</v>
      </c>
      <c r="Y5676">
        <v>-0.16521810000000001</v>
      </c>
      <c r="Z5676">
        <v>4.0328869999999998E-3</v>
      </c>
      <c r="AA5676">
        <v>0.98624880000000004</v>
      </c>
      <c r="AB5676">
        <v>37</v>
      </c>
      <c r="AC5676">
        <v>16.82</v>
      </c>
      <c r="AD5676">
        <v>-1.1050551952709999</v>
      </c>
      <c r="AE5676">
        <v>3.1984599999999999</v>
      </c>
      <c r="AF5676">
        <v>-2.8494214586970101</v>
      </c>
      <c r="AG5676">
        <v>-1.1050551952709999</v>
      </c>
      <c r="AH5676">
        <v>16.810598628954502</v>
      </c>
      <c r="AI5676">
        <v>93.708220780740106</v>
      </c>
      <c r="AJ5676">
        <v>99.620282595828797</v>
      </c>
      <c r="AK5676">
        <v>17.086151582427298</v>
      </c>
    </row>
    <row r="5677" spans="1:37" x14ac:dyDescent="0.2">
      <c r="A5677" t="str">
        <f>"20200111153802538"</f>
        <v>20200111153802538</v>
      </c>
      <c r="B5677" t="str">
        <f>"1578728282528663"</f>
        <v>1578728282528663</v>
      </c>
      <c r="C5677" t="s">
        <v>37</v>
      </c>
      <c r="D5677">
        <v>5.5018789999999997</v>
      </c>
      <c r="E5677">
        <v>0.4981428</v>
      </c>
      <c r="F5677" t="s">
        <v>62</v>
      </c>
      <c r="G5677">
        <v>-224.1652</v>
      </c>
      <c r="H5677" s="1">
        <v>-1.0852419999999899E-6</v>
      </c>
      <c r="I5677">
        <v>-59.567999999999998</v>
      </c>
      <c r="J5677">
        <v>-241.07730000000001</v>
      </c>
      <c r="K5677">
        <v>1.1050489999999999</v>
      </c>
      <c r="L5677">
        <v>-62.794559999999997</v>
      </c>
      <c r="M5677">
        <v>0.99969989999999997</v>
      </c>
      <c r="N5677">
        <v>0</v>
      </c>
      <c r="O5677">
        <v>2.0209939999999999E-2</v>
      </c>
      <c r="P5677">
        <v>0.98244799999999999</v>
      </c>
      <c r="Q5677">
        <v>2.4100489999999999E-2</v>
      </c>
      <c r="R5677">
        <v>0.1849741</v>
      </c>
      <c r="S5677">
        <v>2.9531099999999899</v>
      </c>
      <c r="T5677">
        <v>-0.19091820000000001</v>
      </c>
      <c r="U5677">
        <v>0.55810550000000003</v>
      </c>
      <c r="V5677">
        <v>-0.16511789999999901</v>
      </c>
      <c r="W5677">
        <v>3.7588150000000001E-2</v>
      </c>
      <c r="X5677">
        <v>0.98555729999999997</v>
      </c>
      <c r="Y5677">
        <v>-0.16551099999999999</v>
      </c>
      <c r="Z5677">
        <v>4.0045719999999996E-3</v>
      </c>
      <c r="AA5677">
        <v>0.98619979999999996</v>
      </c>
      <c r="AB5677">
        <v>37</v>
      </c>
      <c r="AC5677">
        <v>16.912099999999999</v>
      </c>
      <c r="AD5677">
        <v>-1.105050085242</v>
      </c>
      <c r="AE5677">
        <v>3.2265599999999899</v>
      </c>
      <c r="AF5677">
        <v>-2.87224344950834</v>
      </c>
      <c r="AG5677">
        <v>-1.105050085242</v>
      </c>
      <c r="AH5677">
        <v>16.9042234628483</v>
      </c>
      <c r="AI5677">
        <v>93.687472960745694</v>
      </c>
      <c r="AJ5677">
        <v>99.643187771308902</v>
      </c>
      <c r="AK5677">
        <v>17.182074642081101</v>
      </c>
    </row>
    <row r="5678" spans="1:37" x14ac:dyDescent="0.2">
      <c r="A5678" t="str">
        <f>"20200111153802555"</f>
        <v>20200111153802555</v>
      </c>
      <c r="B5678" t="str">
        <f>"1578728282548328"</f>
        <v>1578728282548328</v>
      </c>
      <c r="C5678" t="s">
        <v>37</v>
      </c>
      <c r="D5678">
        <v>5.5016879999999997</v>
      </c>
      <c r="E5678">
        <v>0.4982916</v>
      </c>
      <c r="F5678" t="s">
        <v>62</v>
      </c>
      <c r="G5678">
        <v>-223.85470000000001</v>
      </c>
      <c r="H5678" s="1">
        <v>-9.605947E-7</v>
      </c>
      <c r="I5678">
        <v>-59.529240000000001</v>
      </c>
      <c r="J5678">
        <v>-240.81610000000001</v>
      </c>
      <c r="K5678">
        <v>1.105035</v>
      </c>
      <c r="L5678">
        <v>-62.788999999999902</v>
      </c>
      <c r="M5678">
        <v>0.99969399999999997</v>
      </c>
      <c r="N5678">
        <v>0</v>
      </c>
      <c r="O5678">
        <v>2.0482360000000002E-2</v>
      </c>
      <c r="P5678">
        <v>0.98228559999999998</v>
      </c>
      <c r="Q5678">
        <v>2.4120599999999999E-2</v>
      </c>
      <c r="R5678">
        <v>0.18583160000000001</v>
      </c>
      <c r="S5678">
        <v>2.9528500000000002</v>
      </c>
      <c r="T5678">
        <v>-0.1894631</v>
      </c>
      <c r="U5678">
        <v>0.55984500000000004</v>
      </c>
      <c r="V5678">
        <v>-0.165708299999999</v>
      </c>
      <c r="W5678">
        <v>3.762865E-2</v>
      </c>
      <c r="X5678">
        <v>0.98545659999999902</v>
      </c>
      <c r="Y5678">
        <v>-0.16582330000000001</v>
      </c>
      <c r="Z5678">
        <v>3.9668709999999899E-3</v>
      </c>
      <c r="AA5678">
        <v>0.98614749999999995</v>
      </c>
      <c r="AB5678">
        <v>37</v>
      </c>
      <c r="AC5678">
        <v>16.961399999999902</v>
      </c>
      <c r="AD5678">
        <v>-1.1050359605947</v>
      </c>
      <c r="AE5678">
        <v>3.2597599999999902</v>
      </c>
      <c r="AF5678">
        <v>-2.89976338490303</v>
      </c>
      <c r="AG5678">
        <v>-1.1050359605947</v>
      </c>
      <c r="AH5678">
        <v>16.955211657041001</v>
      </c>
      <c r="AI5678">
        <v>93.675692105663103</v>
      </c>
      <c r="AJ5678">
        <v>99.705108690174896</v>
      </c>
      <c r="AK5678">
        <v>17.236848160197098</v>
      </c>
    </row>
    <row r="5679" spans="1:37" x14ac:dyDescent="0.2">
      <c r="A5679" t="str">
        <f>"20200111153802565"</f>
        <v>20200111153802565</v>
      </c>
      <c r="B5679" t="str">
        <f>"1578728282559064"</f>
        <v>1578728282559064</v>
      </c>
      <c r="C5679" t="s">
        <v>37</v>
      </c>
      <c r="D5679">
        <v>5.5072449999999904</v>
      </c>
      <c r="E5679">
        <v>0.49843989999999999</v>
      </c>
      <c r="F5679" t="s">
        <v>62</v>
      </c>
      <c r="G5679">
        <v>-223.62299999999999</v>
      </c>
      <c r="H5679" s="1">
        <v>-8.6292980000000003E-7</v>
      </c>
      <c r="I5679">
        <v>-59.521359999999902</v>
      </c>
      <c r="J5679">
        <v>-240.6328</v>
      </c>
      <c r="K5679">
        <v>1.1050229999999901</v>
      </c>
      <c r="L5679">
        <v>-62.785059999999902</v>
      </c>
      <c r="M5679">
        <v>0.99969019999999997</v>
      </c>
      <c r="N5679">
        <v>0</v>
      </c>
      <c r="O5679">
        <v>2.0659360000000002E-2</v>
      </c>
      <c r="P5679">
        <v>0.98213379999999995</v>
      </c>
      <c r="Q5679">
        <v>2.4101689999999999E-2</v>
      </c>
      <c r="R5679">
        <v>0.186634299999999</v>
      </c>
      <c r="S5679">
        <v>2.9526059999999998</v>
      </c>
      <c r="T5679">
        <v>-0.18976949999999901</v>
      </c>
      <c r="U5679">
        <v>0.56115719999999902</v>
      </c>
      <c r="V5679">
        <v>-0.16633800000000001</v>
      </c>
      <c r="W5679">
        <v>3.762389E-2</v>
      </c>
      <c r="X5679">
        <v>0.98535079999999997</v>
      </c>
      <c r="Y5679">
        <v>-0.1660855</v>
      </c>
      <c r="Z5679">
        <v>3.9705259999999899E-3</v>
      </c>
      <c r="AA5679">
        <v>0.98610339999999996</v>
      </c>
      <c r="AB5679">
        <v>37</v>
      </c>
      <c r="AC5679">
        <v>17.009799999999998</v>
      </c>
      <c r="AD5679">
        <v>-1.1050238629297999</v>
      </c>
      <c r="AE5679">
        <v>3.2637</v>
      </c>
      <c r="AF5679">
        <v>-2.8997545175295798</v>
      </c>
      <c r="AG5679">
        <v>-1.1050238629297999</v>
      </c>
      <c r="AH5679">
        <v>17.004385685120301</v>
      </c>
      <c r="AI5679">
        <v>93.665351873637505</v>
      </c>
      <c r="AJ5679">
        <v>99.677545497914195</v>
      </c>
      <c r="AK5679">
        <v>17.285218729535998</v>
      </c>
    </row>
    <row r="5680" spans="1:37" x14ac:dyDescent="0.2">
      <c r="A5680" t="str">
        <f>"20200111153802577"</f>
        <v>20200111153802577</v>
      </c>
      <c r="B5680" t="str">
        <f>"1578728282568824"</f>
        <v>1578728282568824</v>
      </c>
      <c r="C5680" t="s">
        <v>37</v>
      </c>
      <c r="D5680">
        <v>5.5246399999999998</v>
      </c>
      <c r="E5680">
        <v>0.49857669999999998</v>
      </c>
      <c r="F5680" t="s">
        <v>62</v>
      </c>
      <c r="G5680">
        <v>-223.3811</v>
      </c>
      <c r="H5680" s="1">
        <v>-7.6394759999999903E-7</v>
      </c>
      <c r="I5680">
        <v>-59.499839999999999</v>
      </c>
      <c r="J5680">
        <v>-240.4442</v>
      </c>
      <c r="K5680">
        <v>1.105008</v>
      </c>
      <c r="L5680">
        <v>-62.781009999999903</v>
      </c>
      <c r="M5680">
        <v>0.99968650000000003</v>
      </c>
      <c r="N5680">
        <v>0</v>
      </c>
      <c r="O5680">
        <v>2.083202E-2</v>
      </c>
      <c r="P5680">
        <v>0.98197179999999995</v>
      </c>
      <c r="Q5680">
        <v>2.3981740000000001E-2</v>
      </c>
      <c r="R5680">
        <v>0.1874999</v>
      </c>
      <c r="S5680">
        <v>2.9523929999999998</v>
      </c>
      <c r="T5680">
        <v>-0.18911049999999999</v>
      </c>
      <c r="U5680">
        <v>0.56222530000000004</v>
      </c>
      <c r="V5680">
        <v>-0.1670344</v>
      </c>
      <c r="W5680">
        <v>3.751906E-2</v>
      </c>
      <c r="X5680">
        <v>0.98523689999999997</v>
      </c>
      <c r="Y5680">
        <v>-0.16627449999999999</v>
      </c>
      <c r="Z5680">
        <v>3.9519680000000001E-3</v>
      </c>
      <c r="AA5680">
        <v>0.98607160000000005</v>
      </c>
      <c r="AB5680">
        <v>37</v>
      </c>
      <c r="AC5680">
        <v>17.063099999999899</v>
      </c>
      <c r="AD5680">
        <v>-1.1050087639476001</v>
      </c>
      <c r="AE5680">
        <v>3.2811699999999902</v>
      </c>
      <c r="AF5680">
        <v>-2.9131828217133999</v>
      </c>
      <c r="AG5680">
        <v>-1.1050087639476001</v>
      </c>
      <c r="AH5680">
        <v>17.058765216313699</v>
      </c>
      <c r="AI5680">
        <v>93.653502298164597</v>
      </c>
      <c r="AJ5680">
        <v>99.691106021286402</v>
      </c>
      <c r="AK5680">
        <v>17.340967367088901</v>
      </c>
    </row>
    <row r="5681" spans="1:37" x14ac:dyDescent="0.2">
      <c r="A5681" t="str">
        <f>"20200111153802587"</f>
        <v>20200111153802587</v>
      </c>
      <c r="B5681" t="str">
        <f>"1578728282578584"</f>
        <v>1578728282578584</v>
      </c>
      <c r="C5681" t="s">
        <v>37</v>
      </c>
      <c r="D5681">
        <v>5.5135249999999996</v>
      </c>
      <c r="E5681">
        <v>0.49861129999999998</v>
      </c>
      <c r="F5681" t="s">
        <v>62</v>
      </c>
      <c r="G5681">
        <v>-223.11330000000001</v>
      </c>
      <c r="H5681" s="1">
        <v>-6.551925E-7</v>
      </c>
      <c r="I5681">
        <v>-59.472050000000003</v>
      </c>
      <c r="J5681">
        <v>-240.2792</v>
      </c>
      <c r="K5681">
        <v>1.1049929999999999</v>
      </c>
      <c r="L5681">
        <v>-62.7774</v>
      </c>
      <c r="M5681">
        <v>0.99968359999999901</v>
      </c>
      <c r="N5681">
        <v>0</v>
      </c>
      <c r="O5681">
        <v>2.0962419999999999E-2</v>
      </c>
      <c r="P5681">
        <v>0.98181269999999998</v>
      </c>
      <c r="Q5681">
        <v>2.3481200000000001E-2</v>
      </c>
      <c r="R5681">
        <v>0.18839400000000001</v>
      </c>
      <c r="S5681">
        <v>2.9520419999999898</v>
      </c>
      <c r="T5681">
        <v>-0.188221</v>
      </c>
      <c r="U5681">
        <v>0.56362919999999905</v>
      </c>
      <c r="V5681">
        <v>-0.16780129999999999</v>
      </c>
      <c r="W5681">
        <v>3.703207E-2</v>
      </c>
      <c r="X5681">
        <v>0.98512509999999998</v>
      </c>
      <c r="Y5681">
        <v>-0.1666221</v>
      </c>
      <c r="Z5681">
        <v>3.936452E-3</v>
      </c>
      <c r="AA5681">
        <v>0.98601289999999997</v>
      </c>
      <c r="AB5681">
        <v>37</v>
      </c>
      <c r="AC5681">
        <v>17.165899999999901</v>
      </c>
      <c r="AD5681">
        <v>-1.1049936551924999</v>
      </c>
      <c r="AE5681">
        <v>3.30534999999999</v>
      </c>
      <c r="AF5681">
        <v>-2.93303092836164</v>
      </c>
      <c r="AG5681">
        <v>-1.1049936551924999</v>
      </c>
      <c r="AH5681">
        <v>17.1628472947326</v>
      </c>
      <c r="AI5681">
        <v>93.6312833767889</v>
      </c>
      <c r="AJ5681">
        <v>99.697832342617602</v>
      </c>
      <c r="AK5681">
        <v>17.4466904789147</v>
      </c>
    </row>
    <row r="5682" spans="1:37" x14ac:dyDescent="0.2">
      <c r="A5682" t="str">
        <f>"20200111153802606"</f>
        <v>20200111153802606</v>
      </c>
      <c r="B5682" t="str">
        <f>"1578728282599079"</f>
        <v>1578728282599079</v>
      </c>
      <c r="C5682" t="s">
        <v>37</v>
      </c>
      <c r="D5682">
        <v>5.5523949999999997</v>
      </c>
      <c r="E5682">
        <v>0.49874649999999998</v>
      </c>
      <c r="F5682" t="s">
        <v>62</v>
      </c>
      <c r="G5682">
        <v>-223.04660000000001</v>
      </c>
      <c r="H5682" s="1">
        <v>-6.2622460000000002E-7</v>
      </c>
      <c r="I5682">
        <v>-59.47363</v>
      </c>
      <c r="J5682">
        <v>-239.9641</v>
      </c>
      <c r="K5682">
        <v>1.1049690000000001</v>
      </c>
      <c r="L5682">
        <v>-62.7705699999999</v>
      </c>
      <c r="M5682">
        <v>0.99967899999999998</v>
      </c>
      <c r="N5682">
        <v>0</v>
      </c>
      <c r="O5682">
        <v>2.117892E-2</v>
      </c>
      <c r="P5682">
        <v>0.98148630000000003</v>
      </c>
      <c r="Q5682">
        <v>2.436408E-2</v>
      </c>
      <c r="R5682">
        <v>0.18997639999999999</v>
      </c>
      <c r="S5682">
        <v>2.9515380000000002</v>
      </c>
      <c r="T5682">
        <v>-0.1892588</v>
      </c>
      <c r="U5682">
        <v>0.5658569</v>
      </c>
      <c r="V5682">
        <v>-0.1691732</v>
      </c>
      <c r="W5682">
        <v>3.7940759999999997E-2</v>
      </c>
      <c r="X5682">
        <v>0.98485579999999995</v>
      </c>
      <c r="Y5682">
        <v>-0.16715369999999999</v>
      </c>
      <c r="Z5682">
        <v>3.9616440000000003E-3</v>
      </c>
      <c r="AA5682">
        <v>0.98592289999999905</v>
      </c>
      <c r="AB5682">
        <v>37</v>
      </c>
      <c r="AC5682">
        <v>16.917499999999901</v>
      </c>
      <c r="AD5682">
        <v>-1.1049696262246</v>
      </c>
      <c r="AE5682">
        <v>3.2969399999999802</v>
      </c>
      <c r="AF5682">
        <v>-2.9258461721228399</v>
      </c>
      <c r="AG5682">
        <v>-1.1049696262246</v>
      </c>
      <c r="AH5682">
        <v>16.914020819901001</v>
      </c>
      <c r="AI5682">
        <v>93.683196309682202</v>
      </c>
      <c r="AJ5682">
        <v>99.814102344696494</v>
      </c>
      <c r="AK5682">
        <v>17.200745158098499</v>
      </c>
    </row>
    <row r="5683" spans="1:37" x14ac:dyDescent="0.2">
      <c r="A5683" t="str">
        <f>"20200111153802617"</f>
        <v>20200111153802617</v>
      </c>
      <c r="B5683" t="str">
        <f>"1578728282608840"</f>
        <v>1578728282608840</v>
      </c>
      <c r="C5683" t="s">
        <v>37</v>
      </c>
      <c r="D5683">
        <v>5.7839299999999998</v>
      </c>
      <c r="E5683">
        <v>0.49882589999999999</v>
      </c>
      <c r="F5683" t="s">
        <v>62</v>
      </c>
      <c r="G5683">
        <v>-222.59989999999999</v>
      </c>
      <c r="H5683" s="1">
        <v>-4.4609689999999998E-7</v>
      </c>
      <c r="I5683">
        <v>-59.421659999999903</v>
      </c>
      <c r="J5683">
        <v>-239.77789999999999</v>
      </c>
      <c r="K5683">
        <v>1.1049519999999999</v>
      </c>
      <c r="L5683">
        <v>-62.766509999999997</v>
      </c>
      <c r="M5683">
        <v>0.99967659999999903</v>
      </c>
      <c r="N5683">
        <v>0</v>
      </c>
      <c r="O5683">
        <v>2.1284290000000001E-2</v>
      </c>
      <c r="P5683">
        <v>0.98130229999999996</v>
      </c>
      <c r="Q5683">
        <v>2.5133099999999998E-2</v>
      </c>
      <c r="R5683">
        <v>0.19082560000000001</v>
      </c>
      <c r="S5683">
        <v>2.9510800000000001</v>
      </c>
      <c r="T5683">
        <v>-0.1877915</v>
      </c>
      <c r="U5683">
        <v>0.56915280000000001</v>
      </c>
      <c r="V5683">
        <v>-0.1699194</v>
      </c>
      <c r="W5683">
        <v>3.8726959999999998E-2</v>
      </c>
      <c r="X5683">
        <v>0.98469669999999898</v>
      </c>
      <c r="Y5683">
        <v>-0.1681425</v>
      </c>
      <c r="Z5683">
        <v>3.9556950000000004E-3</v>
      </c>
      <c r="AA5683">
        <v>0.98575469999999898</v>
      </c>
      <c r="AB5683">
        <v>37</v>
      </c>
      <c r="AC5683">
        <v>17.177999999999901</v>
      </c>
      <c r="AD5683">
        <v>-1.1049524460969</v>
      </c>
      <c r="AE5683">
        <v>3.3448500000000001</v>
      </c>
      <c r="AF5683">
        <v>-2.9666091043429401</v>
      </c>
      <c r="AG5683">
        <v>-1.1049524460969</v>
      </c>
      <c r="AH5683">
        <v>17.176833820902999</v>
      </c>
      <c r="AI5683">
        <v>93.627103259761697</v>
      </c>
      <c r="AJ5683">
        <v>99.798881642032995</v>
      </c>
      <c r="AK5683">
        <v>17.466118904811701</v>
      </c>
    </row>
    <row r="5684" spans="1:37" x14ac:dyDescent="0.2">
      <c r="A5684" t="str">
        <f>"20200111153802629"</f>
        <v>20200111153802629</v>
      </c>
      <c r="B5684" t="str">
        <f>"1578728282618600"</f>
        <v>1578728282618600</v>
      </c>
      <c r="C5684" t="s">
        <v>37</v>
      </c>
      <c r="D5684">
        <v>5.7767499999999998</v>
      </c>
      <c r="E5684">
        <v>0.49890020000000002</v>
      </c>
      <c r="F5684" t="s">
        <v>62</v>
      </c>
      <c r="G5684">
        <v>-222.17349999999999</v>
      </c>
      <c r="H5684" s="1">
        <v>-2.7680689999999998E-7</v>
      </c>
      <c r="I5684">
        <v>-59.359909999999999</v>
      </c>
      <c r="J5684">
        <v>-239.60570000000001</v>
      </c>
      <c r="K5684">
        <v>1.1049290000000001</v>
      </c>
      <c r="L5684">
        <v>-62.762729999999998</v>
      </c>
      <c r="M5684">
        <v>0.99967510000000004</v>
      </c>
      <c r="N5684">
        <v>0</v>
      </c>
      <c r="O5684">
        <v>2.1354149999999999E-2</v>
      </c>
      <c r="P5684">
        <v>0.98112239999999995</v>
      </c>
      <c r="Q5684">
        <v>2.598286E-2</v>
      </c>
      <c r="R5684">
        <v>0.1916342</v>
      </c>
      <c r="S5684">
        <v>2.9508509999999899</v>
      </c>
      <c r="T5684">
        <v>-0.185212299999999</v>
      </c>
      <c r="U5684">
        <v>0.57101440000000003</v>
      </c>
      <c r="V5684">
        <v>-0.1706606</v>
      </c>
      <c r="W5684">
        <v>3.9592710000000003E-2</v>
      </c>
      <c r="X5684">
        <v>0.98453409999999997</v>
      </c>
      <c r="Y5684">
        <v>-0.16869419999999999</v>
      </c>
      <c r="Z5684">
        <v>3.914341E-3</v>
      </c>
      <c r="AA5684">
        <v>0.98566069999999995</v>
      </c>
      <c r="AB5684">
        <v>37</v>
      </c>
      <c r="AC5684">
        <v>17.432200000000002</v>
      </c>
      <c r="AD5684">
        <v>-1.1049292768068999</v>
      </c>
      <c r="AE5684">
        <v>3.4028200000000002</v>
      </c>
      <c r="AF5684">
        <v>-3.0180777480491501</v>
      </c>
      <c r="AG5684">
        <v>-1.1049292768068999</v>
      </c>
      <c r="AH5684">
        <v>17.433426283779099</v>
      </c>
      <c r="AI5684">
        <v>93.573537154208793</v>
      </c>
      <c r="AJ5684">
        <v>99.821706503582206</v>
      </c>
      <c r="AK5684">
        <v>17.7272111171491</v>
      </c>
    </row>
    <row r="5685" spans="1:37" x14ac:dyDescent="0.2">
      <c r="A5685" t="str">
        <f>"20200111153802640"</f>
        <v>20200111153802640</v>
      </c>
      <c r="B5685" t="str">
        <f>"1578728282629337"</f>
        <v>1578728282629337</v>
      </c>
      <c r="C5685" t="s">
        <v>37</v>
      </c>
      <c r="D5685">
        <v>5.583888</v>
      </c>
      <c r="E5685">
        <v>0.498942</v>
      </c>
      <c r="F5685" t="s">
        <v>62</v>
      </c>
      <c r="G5685">
        <v>-221.85990000000001</v>
      </c>
      <c r="H5685" s="1">
        <v>-1.5148079999999999E-7</v>
      </c>
      <c r="I5685">
        <v>-59.318359999999998</v>
      </c>
      <c r="J5685">
        <v>-239.41579999999999</v>
      </c>
      <c r="K5685">
        <v>1.1049069999999901</v>
      </c>
      <c r="L5685">
        <v>-62.758609999999997</v>
      </c>
      <c r="M5685">
        <v>0.99967340000000005</v>
      </c>
      <c r="N5685">
        <v>0</v>
      </c>
      <c r="O5685">
        <v>2.1423890000000001E-2</v>
      </c>
      <c r="P5685">
        <v>0.98088149999999996</v>
      </c>
      <c r="Q5685">
        <v>2.701141E-2</v>
      </c>
      <c r="R5685">
        <v>0.19272259999999999</v>
      </c>
      <c r="S5685">
        <v>2.9507289999999999</v>
      </c>
      <c r="T5685">
        <v>-0.18372559999999999</v>
      </c>
      <c r="U5685">
        <v>0.57272339999999999</v>
      </c>
      <c r="V5685">
        <v>-0.1716828</v>
      </c>
      <c r="W5685">
        <v>4.063758E-2</v>
      </c>
      <c r="X5685">
        <v>0.98431380000000002</v>
      </c>
      <c r="Y5685">
        <v>-0.1691869</v>
      </c>
      <c r="Z5685">
        <v>3.8938179999999998E-3</v>
      </c>
      <c r="AA5685">
        <v>0.98557629999999996</v>
      </c>
      <c r="AB5685">
        <v>37</v>
      </c>
      <c r="AC5685">
        <v>17.555899999999902</v>
      </c>
      <c r="AD5685">
        <v>-1.10490715148079</v>
      </c>
      <c r="AE5685">
        <v>3.44024999999999</v>
      </c>
      <c r="AF5685">
        <v>-3.05166740297692</v>
      </c>
      <c r="AG5685">
        <v>-1.10490715148079</v>
      </c>
      <c r="AH5685">
        <v>17.558602767225398</v>
      </c>
      <c r="AI5685">
        <v>93.547651098184403</v>
      </c>
      <c r="AJ5685">
        <v>99.859463809566904</v>
      </c>
      <c r="AK5685">
        <v>17.8560360911654</v>
      </c>
    </row>
    <row r="5686" spans="1:37" x14ac:dyDescent="0.2">
      <c r="A5686" t="str">
        <f>"20200111153802654"</f>
        <v>20200111153802654</v>
      </c>
      <c r="B5686" t="str">
        <f>"1578728282649366"</f>
        <v>1578728282649366</v>
      </c>
      <c r="C5686" t="s">
        <v>37</v>
      </c>
      <c r="D5686">
        <v>5.6506949999999998</v>
      </c>
      <c r="E5686">
        <v>0.4989826</v>
      </c>
      <c r="F5686" t="s">
        <v>62</v>
      </c>
      <c r="G5686">
        <v>-221.2645</v>
      </c>
      <c r="H5686" s="1">
        <v>8.167518E-8</v>
      </c>
      <c r="I5686">
        <v>-59.217569999999903</v>
      </c>
      <c r="J5686">
        <v>-239.18010000000001</v>
      </c>
      <c r="K5686">
        <v>1.104873</v>
      </c>
      <c r="L5686">
        <v>-62.753480000000003</v>
      </c>
      <c r="M5686">
        <v>0.99967260000000002</v>
      </c>
      <c r="N5686">
        <v>0</v>
      </c>
      <c r="O5686">
        <v>2.1463800000000002E-2</v>
      </c>
      <c r="P5686">
        <v>0.98064390000000001</v>
      </c>
      <c r="Q5686">
        <v>2.779734E-2</v>
      </c>
      <c r="R5686">
        <v>0.193817299999999</v>
      </c>
      <c r="S5686">
        <v>2.9503330000000001</v>
      </c>
      <c r="T5686">
        <v>-0.17959229999999901</v>
      </c>
      <c r="U5686">
        <v>0.57556149999999995</v>
      </c>
      <c r="V5686">
        <v>-0.17273910000000001</v>
      </c>
      <c r="W5686">
        <v>4.1445610000000001E-2</v>
      </c>
      <c r="X5686">
        <v>0.98409530000000001</v>
      </c>
      <c r="Y5686">
        <v>-0.17009649999999901</v>
      </c>
      <c r="Z5686">
        <v>3.8315350000000001E-3</v>
      </c>
      <c r="AA5686">
        <v>0.98541990000000002</v>
      </c>
      <c r="AB5686">
        <v>37</v>
      </c>
      <c r="AC5686">
        <v>17.915600000000001</v>
      </c>
      <c r="AD5686">
        <v>-1.10487291832482</v>
      </c>
      <c r="AE5686">
        <v>3.5359099999999999</v>
      </c>
      <c r="AF5686">
        <v>-3.1390300015033801</v>
      </c>
      <c r="AG5686">
        <v>-1.10487291832482</v>
      </c>
      <c r="AH5686">
        <v>17.921766834305</v>
      </c>
      <c r="AI5686">
        <v>93.475038519596694</v>
      </c>
      <c r="AJ5686">
        <v>99.934685214925906</v>
      </c>
      <c r="AK5686">
        <v>18.228109610685902</v>
      </c>
    </row>
    <row r="5687" spans="1:37" x14ac:dyDescent="0.2">
      <c r="A5687" t="str">
        <f>"20200111153802666"</f>
        <v>20200111153802666</v>
      </c>
      <c r="B5687" t="str">
        <f>"1578728282659126"</f>
        <v>1578728282659126</v>
      </c>
      <c r="C5687" t="s">
        <v>37</v>
      </c>
      <c r="D5687">
        <v>5.6174660000000003</v>
      </c>
      <c r="E5687">
        <v>0.4989826</v>
      </c>
      <c r="F5687" t="s">
        <v>62</v>
      </c>
      <c r="G5687">
        <v>-220.8794</v>
      </c>
      <c r="H5687" s="1">
        <v>2.01804E-7</v>
      </c>
      <c r="I5687">
        <v>-59.166229999999999</v>
      </c>
      <c r="J5687">
        <v>-238.97540000000001</v>
      </c>
      <c r="K5687">
        <v>1.104841</v>
      </c>
      <c r="L5687">
        <v>-62.749019999999902</v>
      </c>
      <c r="M5687">
        <v>0.99967229999999996</v>
      </c>
      <c r="N5687">
        <v>0</v>
      </c>
      <c r="O5687">
        <v>2.146874E-2</v>
      </c>
      <c r="P5687">
        <v>0.98037540000000001</v>
      </c>
      <c r="Q5687">
        <v>2.8475110000000001E-2</v>
      </c>
      <c r="R5687">
        <v>0.19507249999999901</v>
      </c>
      <c r="S5687">
        <v>2.9499970000000002</v>
      </c>
      <c r="T5687">
        <v>-0.17810029999999999</v>
      </c>
      <c r="U5687">
        <v>0.57824709999999901</v>
      </c>
      <c r="V5687">
        <v>-0.17399049999999999</v>
      </c>
      <c r="W5687">
        <v>4.214213E-2</v>
      </c>
      <c r="X5687">
        <v>0.98384519999999998</v>
      </c>
      <c r="Y5687">
        <v>-0.17097950000000001</v>
      </c>
      <c r="Z5687">
        <v>3.825944E-3</v>
      </c>
      <c r="AA5687">
        <v>0.98526719999999901</v>
      </c>
      <c r="AB5687">
        <v>37</v>
      </c>
      <c r="AC5687">
        <v>18.096</v>
      </c>
      <c r="AD5687">
        <v>-1.104840798196</v>
      </c>
      <c r="AE5687">
        <v>3.5827899999999802</v>
      </c>
      <c r="AF5687">
        <v>-3.1820140039577698</v>
      </c>
      <c r="AG5687">
        <v>-1.104840798196</v>
      </c>
      <c r="AH5687">
        <v>18.103814899797701</v>
      </c>
      <c r="AI5687">
        <v>93.4397207788423</v>
      </c>
      <c r="AJ5687">
        <v>99.968759523970803</v>
      </c>
      <c r="AK5687">
        <v>18.414505158620901</v>
      </c>
    </row>
    <row r="5688" spans="1:37" x14ac:dyDescent="0.2">
      <c r="A5688" t="str">
        <f>"20200111153802686"</f>
        <v>20200111153802686</v>
      </c>
      <c r="B5688" t="str">
        <f>"1578728282678646"</f>
        <v>1578728282678646</v>
      </c>
      <c r="C5688" t="s">
        <v>37</v>
      </c>
      <c r="D5688">
        <v>5.5485489999999897</v>
      </c>
      <c r="E5688">
        <v>0.53040790000000004</v>
      </c>
      <c r="F5688" t="s">
        <v>62</v>
      </c>
      <c r="G5688">
        <v>-220.46610000000001</v>
      </c>
      <c r="H5688" s="1">
        <v>3.2128149999999901E-7</v>
      </c>
      <c r="I5688">
        <v>-59.097969999999997</v>
      </c>
      <c r="J5688">
        <v>-238.67259999999999</v>
      </c>
      <c r="K5688">
        <v>1.1047879999999899</v>
      </c>
      <c r="L5688">
        <v>-62.742519999999899</v>
      </c>
      <c r="M5688">
        <v>0.99967340000000005</v>
      </c>
      <c r="N5688">
        <v>0</v>
      </c>
      <c r="O5688">
        <v>2.141786E-2</v>
      </c>
      <c r="P5688">
        <v>0.97977369999999997</v>
      </c>
      <c r="Q5688">
        <v>2.950587E-2</v>
      </c>
      <c r="R5688">
        <v>0.19792190000000001</v>
      </c>
      <c r="S5688">
        <v>2.9494020000000001</v>
      </c>
      <c r="T5688">
        <v>-0.17605370000000001</v>
      </c>
      <c r="U5688">
        <v>0.5817871</v>
      </c>
      <c r="V5688">
        <v>-0.17689559999999999</v>
      </c>
      <c r="W5688">
        <v>4.3200229999999999E-2</v>
      </c>
      <c r="X5688">
        <v>0.98328110000000002</v>
      </c>
      <c r="Y5688">
        <v>-0.17220940000000001</v>
      </c>
      <c r="Z5688">
        <v>3.8217020000000002E-3</v>
      </c>
      <c r="AA5688">
        <v>0.98505290000000001</v>
      </c>
      <c r="AB5688">
        <v>37</v>
      </c>
      <c r="AC5688">
        <v>18.206499999999899</v>
      </c>
      <c r="AD5688">
        <v>-1.10478767871849</v>
      </c>
      <c r="AE5688">
        <v>3.64454999999999</v>
      </c>
      <c r="AF5688">
        <v>-3.2422530612776002</v>
      </c>
      <c r="AG5688">
        <v>-1.10478767871849</v>
      </c>
      <c r="AH5688">
        <v>18.215898905386201</v>
      </c>
      <c r="AI5688">
        <v>93.417140809258399</v>
      </c>
      <c r="AJ5688">
        <v>100.092400369052</v>
      </c>
      <c r="AK5688">
        <v>18.535148600959801</v>
      </c>
    </row>
    <row r="5689" spans="1:37" x14ac:dyDescent="0.2">
      <c r="A5689" t="str">
        <f>"20200111153802698"</f>
        <v>20200111153802698</v>
      </c>
      <c r="B5689" t="str">
        <f>"1578728282688405"</f>
        <v>1578728282688405</v>
      </c>
      <c r="C5689" t="s">
        <v>37</v>
      </c>
      <c r="D5689">
        <v>5.586176</v>
      </c>
      <c r="E5689">
        <v>0.53014499999999998</v>
      </c>
      <c r="F5689" t="s">
        <v>62</v>
      </c>
      <c r="G5689">
        <v>-225.04810000000001</v>
      </c>
      <c r="H5689" s="1">
        <v>-1.4643840000000001E-6</v>
      </c>
      <c r="I5689">
        <v>-61.196459999999902</v>
      </c>
      <c r="J5689">
        <v>-238.47069999999999</v>
      </c>
      <c r="K5689">
        <v>1.1047439999999999</v>
      </c>
      <c r="L5689">
        <v>-62.738219999999998</v>
      </c>
      <c r="M5689">
        <v>0.99967499999999998</v>
      </c>
      <c r="N5689">
        <v>0</v>
      </c>
      <c r="O5689">
        <v>2.1343609999999999E-2</v>
      </c>
      <c r="P5689">
        <v>0.97948969999999902</v>
      </c>
      <c r="Q5689">
        <v>2.9444149999999999E-2</v>
      </c>
      <c r="R5689">
        <v>0.19933139999999999</v>
      </c>
      <c r="S5689">
        <v>3.0004879999999998</v>
      </c>
      <c r="T5689">
        <v>-0.24330370000000001</v>
      </c>
      <c r="U5689">
        <v>0.34048459999999903</v>
      </c>
      <c r="V5689">
        <v>-0.17837819999999999</v>
      </c>
      <c r="W5689">
        <v>4.316068E-2</v>
      </c>
      <c r="X5689">
        <v>0.98301489999999903</v>
      </c>
      <c r="Y5689">
        <v>-9.1290990000000002E-2</v>
      </c>
      <c r="Z5689">
        <v>1.9615499999999998E-3</v>
      </c>
      <c r="AA5689">
        <v>0.99582230000000005</v>
      </c>
      <c r="AB5689">
        <v>37</v>
      </c>
      <c r="AC5689">
        <v>13.4225999999999</v>
      </c>
      <c r="AD5689">
        <v>-1.104745464384</v>
      </c>
      <c r="AE5689">
        <v>1.54176</v>
      </c>
      <c r="AF5689">
        <v>-1.24655978271959</v>
      </c>
      <c r="AG5689">
        <v>-1.104745464384</v>
      </c>
      <c r="AH5689">
        <v>13.363107478339501</v>
      </c>
      <c r="AI5689">
        <v>94.7056323473508</v>
      </c>
      <c r="AJ5689">
        <v>95.329338259524903</v>
      </c>
      <c r="AK5689">
        <v>13.4665145940077</v>
      </c>
    </row>
    <row r="5690" spans="1:37" x14ac:dyDescent="0.2">
      <c r="A5690" t="str">
        <f>"20200111153802711"</f>
        <v>20200111153802711</v>
      </c>
      <c r="B5690" t="str">
        <f>"1578728282699142"</f>
        <v>1578728282699142</v>
      </c>
      <c r="C5690" t="s">
        <v>37</v>
      </c>
      <c r="D5690">
        <v>5.5981129999999997</v>
      </c>
      <c r="E5690">
        <v>0.52944409999999997</v>
      </c>
      <c r="F5690" t="s">
        <v>62</v>
      </c>
      <c r="G5690">
        <v>-224.9135</v>
      </c>
      <c r="H5690" s="1">
        <v>-1.40159699999999E-6</v>
      </c>
      <c r="I5690">
        <v>-61.1736199999999</v>
      </c>
      <c r="J5690">
        <v>-238.2593</v>
      </c>
      <c r="K5690">
        <v>1.1046819999999999</v>
      </c>
      <c r="L5690">
        <v>-62.733800000000002</v>
      </c>
      <c r="M5690">
        <v>0.99967790000000001</v>
      </c>
      <c r="N5690">
        <v>0</v>
      </c>
      <c r="O5690">
        <v>2.120379E-2</v>
      </c>
      <c r="P5690">
        <v>0.97920819999999997</v>
      </c>
      <c r="Q5690">
        <v>2.9002489999999999E-2</v>
      </c>
      <c r="R5690">
        <v>0.20077400000000001</v>
      </c>
      <c r="S5690">
        <v>2.9997250000000002</v>
      </c>
      <c r="T5690">
        <v>-0.24444199999999999</v>
      </c>
      <c r="U5690">
        <v>0.34619139999999998</v>
      </c>
      <c r="V5690">
        <v>-0.17995799999999901</v>
      </c>
      <c r="W5690">
        <v>4.2745739999999997E-2</v>
      </c>
      <c r="X5690">
        <v>0.98274509999999904</v>
      </c>
      <c r="Y5690">
        <v>-9.331921E-2</v>
      </c>
      <c r="Z5690">
        <v>2.0645500000000001E-3</v>
      </c>
      <c r="AA5690">
        <v>0.99563409999999997</v>
      </c>
      <c r="AB5690">
        <v>37</v>
      </c>
      <c r="AC5690">
        <v>13.345799999999899</v>
      </c>
      <c r="AD5690">
        <v>-1.104683401597</v>
      </c>
      <c r="AE5690">
        <v>1.5601799999999999</v>
      </c>
      <c r="AF5690">
        <v>-1.2682478375035799</v>
      </c>
      <c r="AG5690">
        <v>-1.104683401597</v>
      </c>
      <c r="AH5690">
        <v>13.2860814300005</v>
      </c>
      <c r="AI5690">
        <v>94.731567464585694</v>
      </c>
      <c r="AJ5690">
        <v>95.452754354883993</v>
      </c>
      <c r="AK5690">
        <v>13.3921147605485</v>
      </c>
    </row>
    <row r="5691" spans="1:37" x14ac:dyDescent="0.2">
      <c r="A5691" t="str">
        <f>"20200111153802723"</f>
        <v>20200111153802723</v>
      </c>
      <c r="B5691" t="str">
        <f>"1578728282718661"</f>
        <v>1578728282718661</v>
      </c>
      <c r="C5691" t="s">
        <v>37</v>
      </c>
      <c r="D5691">
        <v>5.6231159999999996</v>
      </c>
      <c r="E5691">
        <v>0.52898400000000001</v>
      </c>
      <c r="F5691" t="s">
        <v>62</v>
      </c>
      <c r="G5691">
        <v>-224.9281</v>
      </c>
      <c r="H5691" s="1">
        <v>-1.403699E-6</v>
      </c>
      <c r="I5691">
        <v>-61.154899999999998</v>
      </c>
      <c r="J5691">
        <v>-238.06639999999999</v>
      </c>
      <c r="K5691">
        <v>1.104617</v>
      </c>
      <c r="L5691">
        <v>-62.729799999999997</v>
      </c>
      <c r="M5691">
        <v>0.99968109999999999</v>
      </c>
      <c r="N5691">
        <v>0</v>
      </c>
      <c r="O5691">
        <v>2.1047650000000001E-2</v>
      </c>
      <c r="P5691">
        <v>0.97890569999999899</v>
      </c>
      <c r="Q5691">
        <v>2.8706369999999998E-2</v>
      </c>
      <c r="R5691">
        <v>0.20228599999999999</v>
      </c>
      <c r="S5691">
        <v>2.9982449999999998</v>
      </c>
      <c r="T5691">
        <v>-0.24844910000000001</v>
      </c>
      <c r="U5691">
        <v>0.35510249999999999</v>
      </c>
      <c r="V5691">
        <v>-0.1816239</v>
      </c>
      <c r="W5691">
        <v>4.2475150000000003E-2</v>
      </c>
      <c r="X5691">
        <v>0.9824503</v>
      </c>
      <c r="Y5691">
        <v>-9.6430470000000004E-2</v>
      </c>
      <c r="Z5691">
        <v>2.2400649999999999E-3</v>
      </c>
      <c r="AA5691">
        <v>0.99533719999999903</v>
      </c>
      <c r="AB5691">
        <v>37</v>
      </c>
      <c r="AC5691">
        <v>13.1382999999999</v>
      </c>
      <c r="AD5691">
        <v>-1.1046184036990001</v>
      </c>
      <c r="AE5691">
        <v>1.57489999999999</v>
      </c>
      <c r="AF5691">
        <v>-1.2890110873521301</v>
      </c>
      <c r="AG5691">
        <v>-1.1046184036990001</v>
      </c>
      <c r="AH5691">
        <v>13.0774079182607</v>
      </c>
      <c r="AI5691">
        <v>94.805005531851194</v>
      </c>
      <c r="AJ5691">
        <v>95.629334074411602</v>
      </c>
      <c r="AK5691">
        <v>13.187127407502199</v>
      </c>
    </row>
    <row r="5692" spans="1:37" x14ac:dyDescent="0.2">
      <c r="A5692" t="str">
        <f>"20200111153802734"</f>
        <v>20200111153802734</v>
      </c>
      <c r="B5692" t="str">
        <f>"1578728282728421"</f>
        <v>1578728282728421</v>
      </c>
      <c r="C5692" t="s">
        <v>37</v>
      </c>
      <c r="D5692">
        <v>5.6227710000000002</v>
      </c>
      <c r="E5692">
        <v>0.52849760000000001</v>
      </c>
      <c r="F5692" t="s">
        <v>62</v>
      </c>
      <c r="G5692">
        <v>-224.86850000000001</v>
      </c>
      <c r="H5692" s="1">
        <v>-1.3733009999999899E-6</v>
      </c>
      <c r="I5692">
        <v>-61.133279999999999</v>
      </c>
      <c r="J5692">
        <v>-237.87880000000001</v>
      </c>
      <c r="K5692">
        <v>1.1045399999999901</v>
      </c>
      <c r="L5692">
        <v>-62.72598</v>
      </c>
      <c r="M5692">
        <v>0.9996855</v>
      </c>
      <c r="N5692">
        <v>0</v>
      </c>
      <c r="O5692">
        <v>2.0841780000000001E-2</v>
      </c>
      <c r="P5692">
        <v>0.978626</v>
      </c>
      <c r="Q5692">
        <v>2.8322750000000001E-2</v>
      </c>
      <c r="R5692">
        <v>0.20368929999999999</v>
      </c>
      <c r="S5692">
        <v>2.9970699999999999</v>
      </c>
      <c r="T5692">
        <v>-0.25084509999999999</v>
      </c>
      <c r="U5692">
        <v>0.3625488</v>
      </c>
      <c r="V5692">
        <v>-0.1832281</v>
      </c>
      <c r="W5692">
        <v>4.2120699999999997E-2</v>
      </c>
      <c r="X5692">
        <v>0.98216769999999998</v>
      </c>
      <c r="Y5692">
        <v>-9.9103670000000005E-2</v>
      </c>
      <c r="Z5692">
        <v>2.3905479999999902E-3</v>
      </c>
      <c r="AA5692">
        <v>0.99507420000000002</v>
      </c>
      <c r="AB5692">
        <v>37</v>
      </c>
      <c r="AC5692">
        <v>13.010300000000001</v>
      </c>
      <c r="AD5692">
        <v>-1.1045413733010001</v>
      </c>
      <c r="AE5692">
        <v>1.5927</v>
      </c>
      <c r="AF5692">
        <v>-1.31185410601024</v>
      </c>
      <c r="AG5692">
        <v>-1.1045413733010001</v>
      </c>
      <c r="AH5692">
        <v>12.948720456615099</v>
      </c>
      <c r="AI5692">
        <v>94.850884263174805</v>
      </c>
      <c r="AJ5692">
        <v>95.784982039727097</v>
      </c>
      <c r="AK5692">
        <v>13.0617890927833</v>
      </c>
    </row>
    <row r="5693" spans="1:37" x14ac:dyDescent="0.2">
      <c r="A5693" t="str">
        <f>"20200111153802745"</f>
        <v>20200111153802745</v>
      </c>
      <c r="B5693" t="str">
        <f>"1578728282739157"</f>
        <v>1578728282739157</v>
      </c>
      <c r="C5693" t="s">
        <v>37</v>
      </c>
      <c r="D5693">
        <v>5.7166360000000003</v>
      </c>
      <c r="E5693">
        <v>0.52878480000000005</v>
      </c>
      <c r="F5693" t="s">
        <v>62</v>
      </c>
      <c r="G5693">
        <v>-224.99340000000001</v>
      </c>
      <c r="H5693" s="1">
        <v>-1.4274690000000001E-6</v>
      </c>
      <c r="I5693">
        <v>-61.13599</v>
      </c>
      <c r="J5693">
        <v>-237.70570000000001</v>
      </c>
      <c r="K5693">
        <v>1.1044659999999999</v>
      </c>
      <c r="L5693">
        <v>-62.722499999999997</v>
      </c>
      <c r="M5693">
        <v>0.99968989999999902</v>
      </c>
      <c r="N5693">
        <v>0</v>
      </c>
      <c r="O5693">
        <v>2.0616900000000001E-2</v>
      </c>
      <c r="P5693">
        <v>0.9784214</v>
      </c>
      <c r="Q5693">
        <v>2.7874429999999999E-2</v>
      </c>
      <c r="R5693">
        <v>0.20473050000000001</v>
      </c>
      <c r="S5693">
        <v>2.995987</v>
      </c>
      <c r="T5693">
        <v>-0.25681739999999997</v>
      </c>
      <c r="U5693">
        <v>0.36968990000000002</v>
      </c>
      <c r="V5693">
        <v>-0.1844877</v>
      </c>
      <c r="W5693">
        <v>4.1702870000000003E-2</v>
      </c>
      <c r="X5693">
        <v>0.98194969999999904</v>
      </c>
      <c r="Y5693">
        <v>-0.1016838</v>
      </c>
      <c r="Z5693">
        <v>2.5769209999999998E-3</v>
      </c>
      <c r="AA5693">
        <v>0.99481339999999996</v>
      </c>
      <c r="AB5693">
        <v>37</v>
      </c>
      <c r="AC5693">
        <v>12.712300000000001</v>
      </c>
      <c r="AD5693">
        <v>-1.1044674274689901</v>
      </c>
      <c r="AE5693">
        <v>1.5865099999999901</v>
      </c>
      <c r="AF5693">
        <v>-1.3142902404202801</v>
      </c>
      <c r="AG5693">
        <v>-1.1044674274689901</v>
      </c>
      <c r="AH5693">
        <v>12.6482988177743</v>
      </c>
      <c r="AI5693">
        <v>94.963898382057295</v>
      </c>
      <c r="AJ5693">
        <v>95.932339303733002</v>
      </c>
      <c r="AK5693">
        <v>12.764273191925801</v>
      </c>
    </row>
    <row r="5694" spans="1:37" x14ac:dyDescent="0.2">
      <c r="A5694" t="str">
        <f>"20200111153802756"</f>
        <v>20200111153802756</v>
      </c>
      <c r="B5694" t="str">
        <f>"1578728282748449"</f>
        <v>1578728282748449</v>
      </c>
      <c r="C5694" t="s">
        <v>37</v>
      </c>
      <c r="D5694">
        <v>5.6836060000000002</v>
      </c>
      <c r="E5694">
        <v>0.52886719999999998</v>
      </c>
      <c r="F5694" t="s">
        <v>62</v>
      </c>
      <c r="G5694">
        <v>-224.85980000000001</v>
      </c>
      <c r="H5694" s="1">
        <v>-1.3701179999999899E-6</v>
      </c>
      <c r="I5694">
        <v>-61.1357199999999</v>
      </c>
      <c r="J5694">
        <v>-237.5112</v>
      </c>
      <c r="K5694">
        <v>1.104379</v>
      </c>
      <c r="L5694">
        <v>-62.718719999999998</v>
      </c>
      <c r="M5694">
        <v>0.99969599999999903</v>
      </c>
      <c r="N5694">
        <v>0</v>
      </c>
      <c r="O5694">
        <v>2.0327990000000001E-2</v>
      </c>
      <c r="P5694">
        <v>0.97821659999999899</v>
      </c>
      <c r="Q5694">
        <v>2.7058820000000001E-2</v>
      </c>
      <c r="R5694">
        <v>0.2058161</v>
      </c>
      <c r="S5694">
        <v>2.996048</v>
      </c>
      <c r="T5694">
        <v>-0.25759569999999998</v>
      </c>
      <c r="U5694">
        <v>0.37008669999999999</v>
      </c>
      <c r="V5694">
        <v>-0.18585379999999899</v>
      </c>
      <c r="W5694">
        <v>4.0923910000000001E-2</v>
      </c>
      <c r="X5694">
        <v>0.98172479999999995</v>
      </c>
      <c r="Y5694">
        <v>-0.1020943</v>
      </c>
      <c r="Z5694">
        <v>2.62686E-3</v>
      </c>
      <c r="AA5694">
        <v>0.99477119999999997</v>
      </c>
      <c r="AB5694">
        <v>37</v>
      </c>
      <c r="AC5694">
        <v>12.651399999999899</v>
      </c>
      <c r="AD5694">
        <v>-1.1043803701179999</v>
      </c>
      <c r="AE5694">
        <v>1.583</v>
      </c>
      <c r="AF5694">
        <v>-1.31559980556612</v>
      </c>
      <c r="AG5694">
        <v>-1.1043803701179999</v>
      </c>
      <c r="AH5694">
        <v>12.5865355013021</v>
      </c>
      <c r="AI5694">
        <v>94.987428805536993</v>
      </c>
      <c r="AJ5694">
        <v>95.967137703911803</v>
      </c>
      <c r="AK5694">
        <v>12.703201752938</v>
      </c>
    </row>
    <row r="5695" spans="1:37" x14ac:dyDescent="0.2">
      <c r="A5695" t="str">
        <f>"20200111153802774"</f>
        <v>20200111153802774</v>
      </c>
      <c r="B5695" t="str">
        <f>"1578728282768944"</f>
        <v>1578728282768944</v>
      </c>
      <c r="C5695" t="s">
        <v>37</v>
      </c>
      <c r="D5695">
        <v>5.6908329999999996</v>
      </c>
      <c r="E5695">
        <v>0.52922199999999997</v>
      </c>
      <c r="F5695" t="s">
        <v>62</v>
      </c>
      <c r="G5695">
        <v>-224.83580000000001</v>
      </c>
      <c r="H5695" s="1">
        <v>-1.36168999999999E-6</v>
      </c>
      <c r="I5695">
        <v>-61.144179999999999</v>
      </c>
      <c r="J5695">
        <v>-237.22540000000001</v>
      </c>
      <c r="K5695">
        <v>1.104239</v>
      </c>
      <c r="L5695">
        <v>-62.713349999999998</v>
      </c>
      <c r="M5695">
        <v>0.9997064</v>
      </c>
      <c r="N5695">
        <v>0</v>
      </c>
      <c r="O5695">
        <v>1.979701E-2</v>
      </c>
      <c r="P5695">
        <v>0.97781289999999998</v>
      </c>
      <c r="Q5695">
        <v>2.5808029999999999E-2</v>
      </c>
      <c r="R5695">
        <v>0.2078844</v>
      </c>
      <c r="S5695">
        <v>2.9957579999999999</v>
      </c>
      <c r="T5695">
        <v>-0.261013</v>
      </c>
      <c r="U5695">
        <v>0.3721313</v>
      </c>
      <c r="V5695">
        <v>-0.1884402</v>
      </c>
      <c r="W5695">
        <v>3.9730399999999999E-2</v>
      </c>
      <c r="X5695">
        <v>0.98128069999999901</v>
      </c>
      <c r="Y5695">
        <v>-0.10328859999999999</v>
      </c>
      <c r="Z5695">
        <v>2.759428E-3</v>
      </c>
      <c r="AA5695">
        <v>0.99464759999999997</v>
      </c>
      <c r="AB5695">
        <v>37</v>
      </c>
      <c r="AC5695">
        <v>12.3896</v>
      </c>
      <c r="AD5695">
        <v>-1.1042403616900001</v>
      </c>
      <c r="AE5695">
        <v>1.56916999999999</v>
      </c>
      <c r="AF5695">
        <v>-1.3132939665704799</v>
      </c>
      <c r="AG5695">
        <v>-1.1042403616900001</v>
      </c>
      <c r="AH5695">
        <v>12.321905362627099</v>
      </c>
      <c r="AI5695">
        <v>95.092252559427493</v>
      </c>
      <c r="AJ5695">
        <v>96.083734626741204</v>
      </c>
      <c r="AK5695">
        <v>12.440797385399099</v>
      </c>
    </row>
    <row r="5696" spans="1:37" x14ac:dyDescent="0.2">
      <c r="A5696" t="str">
        <f>"20200111153802785"</f>
        <v>20200111153802785</v>
      </c>
      <c r="B5696" t="str">
        <f>"1578728282778705"</f>
        <v>1578728282778705</v>
      </c>
      <c r="C5696" t="s">
        <v>37</v>
      </c>
      <c r="D5696">
        <v>5.6968100000000002</v>
      </c>
      <c r="E5696">
        <v>0.52926289999999998</v>
      </c>
      <c r="F5696" t="s">
        <v>62</v>
      </c>
      <c r="G5696">
        <v>-224.7346</v>
      </c>
      <c r="H5696" s="1">
        <v>-1.3197879999999999E-6</v>
      </c>
      <c r="I5696">
        <v>-61.150979999999997</v>
      </c>
      <c r="J5696">
        <v>-237.04769999999999</v>
      </c>
      <c r="K5696">
        <v>1.10415</v>
      </c>
      <c r="L5696">
        <v>-62.710140000000003</v>
      </c>
      <c r="M5696">
        <v>0.99971409999999905</v>
      </c>
      <c r="N5696">
        <v>0</v>
      </c>
      <c r="O5696">
        <v>1.9410790000000001E-2</v>
      </c>
      <c r="P5696">
        <v>0.97755749999999997</v>
      </c>
      <c r="Q5696">
        <v>2.4710510000000002E-2</v>
      </c>
      <c r="R5696">
        <v>0.2092156</v>
      </c>
      <c r="S5696">
        <v>2.995377</v>
      </c>
      <c r="T5696">
        <v>-0.2648027</v>
      </c>
      <c r="U5696">
        <v>0.37466430000000001</v>
      </c>
      <c r="V5696">
        <v>-0.19014909999999999</v>
      </c>
      <c r="W5696">
        <v>3.8669790000000002E-2</v>
      </c>
      <c r="X5696">
        <v>0.98099329999999996</v>
      </c>
      <c r="Y5696">
        <v>-0.104501199999999</v>
      </c>
      <c r="Z5696">
        <v>2.8867630000000001E-3</v>
      </c>
      <c r="AA5696">
        <v>0.99452050000000003</v>
      </c>
      <c r="AB5696">
        <v>37</v>
      </c>
      <c r="AC5696">
        <v>12.313099999999899</v>
      </c>
      <c r="AD5696">
        <v>-1.104151319788</v>
      </c>
      <c r="AE5696">
        <v>1.5591599999999901</v>
      </c>
      <c r="AF5696">
        <v>-1.3094722944589099</v>
      </c>
      <c r="AG5696">
        <v>-1.104151319788</v>
      </c>
      <c r="AH5696">
        <v>12.2441429816399</v>
      </c>
      <c r="AI5696">
        <v>95.123814464100604</v>
      </c>
      <c r="AJ5696">
        <v>96.104399354310104</v>
      </c>
      <c r="AK5696">
        <v>12.3633694914366</v>
      </c>
    </row>
    <row r="5697" spans="1:37" x14ac:dyDescent="0.2">
      <c r="A5697" t="str">
        <f>"20200111153802796"</f>
        <v>20200111153802796</v>
      </c>
      <c r="B5697" t="str">
        <f>"1578728282788464"</f>
        <v>1578728282788464</v>
      </c>
      <c r="C5697" t="s">
        <v>37</v>
      </c>
      <c r="D5697">
        <v>5.695767</v>
      </c>
      <c r="E5697">
        <v>0.52926359999999995</v>
      </c>
      <c r="F5697" t="s">
        <v>62</v>
      </c>
      <c r="G5697">
        <v>-224.70910000000001</v>
      </c>
      <c r="H5697" s="1">
        <v>-1.3092769999999999E-6</v>
      </c>
      <c r="I5697">
        <v>-61.152909999999999</v>
      </c>
      <c r="J5697">
        <v>-236.85659999999999</v>
      </c>
      <c r="K5697">
        <v>1.1040509999999999</v>
      </c>
      <c r="L5697">
        <v>-62.706819999999901</v>
      </c>
      <c r="M5697">
        <v>0.99972269999999896</v>
      </c>
      <c r="N5697">
        <v>0</v>
      </c>
      <c r="O5697">
        <v>1.8954209999999999E-2</v>
      </c>
      <c r="P5697">
        <v>0.97728519999999897</v>
      </c>
      <c r="Q5697">
        <v>2.386048E-2</v>
      </c>
      <c r="R5697">
        <v>0.21058109999999999</v>
      </c>
      <c r="S5697">
        <v>2.9947360000000001</v>
      </c>
      <c r="T5697">
        <v>-0.26799119999999998</v>
      </c>
      <c r="U5697">
        <v>0.37796020000000002</v>
      </c>
      <c r="V5697">
        <v>-0.191960299999999</v>
      </c>
      <c r="W5697">
        <v>3.7860709999999999E-2</v>
      </c>
      <c r="X5697">
        <v>0.98067209999999905</v>
      </c>
      <c r="Y5697">
        <v>-0.1060432</v>
      </c>
      <c r="Z5697">
        <v>3.0309859999999998E-3</v>
      </c>
      <c r="AA5697">
        <v>0.99435689999999999</v>
      </c>
      <c r="AB5697">
        <v>36</v>
      </c>
      <c r="AC5697">
        <v>12.1474999999999</v>
      </c>
      <c r="AD5697">
        <v>-1.104052309277</v>
      </c>
      <c r="AE5697">
        <v>1.5539099999999899</v>
      </c>
      <c r="AF5697">
        <v>-1.3126931423472199</v>
      </c>
      <c r="AG5697">
        <v>-1.104052309277</v>
      </c>
      <c r="AH5697">
        <v>12.0766207183798</v>
      </c>
      <c r="AI5697">
        <v>95.193077088525897</v>
      </c>
      <c r="AJ5697">
        <v>96.203527507528406</v>
      </c>
      <c r="AK5697">
        <v>12.197822049988501</v>
      </c>
    </row>
    <row r="5698" spans="1:37" x14ac:dyDescent="0.2">
      <c r="A5698" t="str">
        <f>"20200111153802807"</f>
        <v>20200111153802807</v>
      </c>
      <c r="B5698" t="str">
        <f>"1578728282799201"</f>
        <v>1578728282799201</v>
      </c>
      <c r="C5698" t="s">
        <v>37</v>
      </c>
      <c r="D5698">
        <v>5.692793</v>
      </c>
      <c r="E5698">
        <v>0.52932209999999902</v>
      </c>
      <c r="F5698" t="s">
        <v>62</v>
      </c>
      <c r="G5698">
        <v>-224.6628</v>
      </c>
      <c r="H5698" s="1">
        <v>-1.2893150000000001E-6</v>
      </c>
      <c r="I5698">
        <v>-61.152380000000001</v>
      </c>
      <c r="J5698">
        <v>-236.68780000000001</v>
      </c>
      <c r="K5698">
        <v>1.1039680000000001</v>
      </c>
      <c r="L5698">
        <v>-62.704009999999997</v>
      </c>
      <c r="M5698">
        <v>0.99973140000000005</v>
      </c>
      <c r="N5698">
        <v>0</v>
      </c>
      <c r="O5698">
        <v>1.849253E-2</v>
      </c>
      <c r="P5698">
        <v>0.97695089999999996</v>
      </c>
      <c r="Q5698">
        <v>2.3149300000000001E-2</v>
      </c>
      <c r="R5698">
        <v>0.212205899999999</v>
      </c>
      <c r="S5698">
        <v>2.99411</v>
      </c>
      <c r="T5698">
        <v>-0.27109420000000001</v>
      </c>
      <c r="U5698">
        <v>0.3816833</v>
      </c>
      <c r="V5698">
        <v>-0.19403870000000001</v>
      </c>
      <c r="W5698">
        <v>3.718407E-2</v>
      </c>
      <c r="X5698">
        <v>0.98028890000000002</v>
      </c>
      <c r="Y5698">
        <v>-0.1077282</v>
      </c>
      <c r="Z5698">
        <v>3.183689E-3</v>
      </c>
      <c r="AA5698">
        <v>0.99417529999999998</v>
      </c>
      <c r="AB5698">
        <v>36</v>
      </c>
      <c r="AC5698">
        <v>12.025</v>
      </c>
      <c r="AD5698">
        <v>-1.1039692893149999</v>
      </c>
      <c r="AE5698">
        <v>1.5516299999999801</v>
      </c>
      <c r="AF5698">
        <v>-1.3180432124394399</v>
      </c>
      <c r="AG5698">
        <v>-1.1039692893149999</v>
      </c>
      <c r="AH5698">
        <v>11.952548944250299</v>
      </c>
      <c r="AI5698">
        <v>95.245402057732505</v>
      </c>
      <c r="AJ5698">
        <v>96.292751746979107</v>
      </c>
      <c r="AK5698">
        <v>12.0755708919416</v>
      </c>
    </row>
    <row r="5699" spans="1:37" x14ac:dyDescent="0.2">
      <c r="A5699" t="str">
        <f>"20200111153802817"</f>
        <v>20200111153802817</v>
      </c>
      <c r="B5699" t="str">
        <f>"1578728282808960"</f>
        <v>1578728282808960</v>
      </c>
      <c r="C5699" t="s">
        <v>37</v>
      </c>
      <c r="D5699">
        <v>5.7985949999999997</v>
      </c>
      <c r="E5699">
        <v>0.52964409999999995</v>
      </c>
      <c r="F5699" t="s">
        <v>62</v>
      </c>
      <c r="G5699">
        <v>-224.6011</v>
      </c>
      <c r="H5699" s="1">
        <v>-1.261481E-6</v>
      </c>
      <c r="I5699">
        <v>-61.146369999999997</v>
      </c>
      <c r="J5699">
        <v>-236.5043</v>
      </c>
      <c r="K5699">
        <v>1.1038790000000001</v>
      </c>
      <c r="L5699">
        <v>-62.7010199999999</v>
      </c>
      <c r="M5699">
        <v>0.99974079999999999</v>
      </c>
      <c r="N5699">
        <v>0</v>
      </c>
      <c r="O5699">
        <v>1.797118E-2</v>
      </c>
      <c r="P5699">
        <v>0.97661299999999995</v>
      </c>
      <c r="Q5699">
        <v>2.2635929999999999E-2</v>
      </c>
      <c r="R5699">
        <v>0.21381030000000001</v>
      </c>
      <c r="S5699">
        <v>2.9934689999999899</v>
      </c>
      <c r="T5699">
        <v>-0.27341490000000002</v>
      </c>
      <c r="U5699">
        <v>0.38577270000000002</v>
      </c>
      <c r="V5699">
        <v>-0.19615369999999999</v>
      </c>
      <c r="W5699">
        <v>3.6709470000000001E-2</v>
      </c>
      <c r="X5699">
        <v>0.97988580000000003</v>
      </c>
      <c r="Y5699">
        <v>-0.10959339999999999</v>
      </c>
      <c r="Z5699">
        <v>3.343188E-3</v>
      </c>
      <c r="AA5699">
        <v>0.99397089999999999</v>
      </c>
      <c r="AB5699">
        <v>36</v>
      </c>
      <c r="AC5699">
        <v>11.903199999999901</v>
      </c>
      <c r="AD5699">
        <v>-1.1038802614809999</v>
      </c>
      <c r="AE5699">
        <v>1.5546499999999901</v>
      </c>
      <c r="AF5699">
        <v>-1.3292233759393199</v>
      </c>
      <c r="AG5699">
        <v>-1.1038802614809999</v>
      </c>
      <c r="AH5699">
        <v>11.8291900207346</v>
      </c>
      <c r="AI5699">
        <v>95.298154352921003</v>
      </c>
      <c r="AJ5699">
        <v>96.411322653429906</v>
      </c>
      <c r="AK5699">
        <v>11.954711329073501</v>
      </c>
    </row>
    <row r="5700" spans="1:37" x14ac:dyDescent="0.2">
      <c r="A5700" t="str">
        <f>"20200111153802829"</f>
        <v>20200111153802829</v>
      </c>
      <c r="B5700" t="str">
        <f>"1578728282818722"</f>
        <v>1578728282818722</v>
      </c>
      <c r="C5700" t="s">
        <v>37</v>
      </c>
      <c r="D5700">
        <v>5.7635759999999996</v>
      </c>
      <c r="E5700">
        <v>0.52995859999999995</v>
      </c>
      <c r="F5700" t="s">
        <v>62</v>
      </c>
      <c r="G5700">
        <v>-224.49209999999999</v>
      </c>
      <c r="H5700" s="1">
        <v>-1.2141799999999901E-6</v>
      </c>
      <c r="I5700">
        <v>-61.143940000000001</v>
      </c>
      <c r="J5700">
        <v>-236.33019999999999</v>
      </c>
      <c r="K5700">
        <v>1.103804</v>
      </c>
      <c r="L5700">
        <v>-62.698360000000001</v>
      </c>
      <c r="M5700">
        <v>0.99975079999999905</v>
      </c>
      <c r="N5700">
        <v>0</v>
      </c>
      <c r="O5700">
        <v>1.7409029999999999E-2</v>
      </c>
      <c r="P5700">
        <v>0.97631669999999904</v>
      </c>
      <c r="Q5700">
        <v>2.2183000000000001E-2</v>
      </c>
      <c r="R5700">
        <v>0.21520629999999999</v>
      </c>
      <c r="S5700">
        <v>2.993271</v>
      </c>
      <c r="T5700">
        <v>-0.27507090000000001</v>
      </c>
      <c r="U5700">
        <v>0.38800050000000003</v>
      </c>
      <c r="V5700">
        <v>-0.19810050000000001</v>
      </c>
      <c r="W5700">
        <v>3.629156E-2</v>
      </c>
      <c r="X5700">
        <v>0.97950969999999904</v>
      </c>
      <c r="Y5700">
        <v>-0.1108759</v>
      </c>
      <c r="Z5700">
        <v>3.4732890000000001E-3</v>
      </c>
      <c r="AA5700">
        <v>0.99382819999999905</v>
      </c>
      <c r="AB5700">
        <v>36</v>
      </c>
      <c r="AC5700">
        <v>11.838099999999899</v>
      </c>
      <c r="AD5700">
        <v>-1.1038052141800001</v>
      </c>
      <c r="AE5700">
        <v>1.5544199999999999</v>
      </c>
      <c r="AF5700">
        <v>-1.33665051341161</v>
      </c>
      <c r="AG5700">
        <v>-1.1038052141800001</v>
      </c>
      <c r="AH5700">
        <v>11.762836131008401</v>
      </c>
      <c r="AI5700">
        <v>95.326761752873097</v>
      </c>
      <c r="AJ5700">
        <v>96.482903409867902</v>
      </c>
      <c r="AK5700">
        <v>11.889883699633501</v>
      </c>
    </row>
    <row r="5701" spans="1:37" x14ac:dyDescent="0.2">
      <c r="A5701" t="str">
        <f>"20200111153802841"</f>
        <v>20200111153802841</v>
      </c>
      <c r="B5701" t="str">
        <f>"1578728282828481"</f>
        <v>1578728282828481</v>
      </c>
      <c r="C5701" t="s">
        <v>37</v>
      </c>
      <c r="D5701">
        <v>5.7835640000000001</v>
      </c>
      <c r="E5701">
        <v>0.53021359999999995</v>
      </c>
      <c r="F5701" t="s">
        <v>62</v>
      </c>
      <c r="G5701">
        <v>-224.33170000000001</v>
      </c>
      <c r="H5701" s="1">
        <v>-1.143601E-6</v>
      </c>
      <c r="I5701">
        <v>-61.13588</v>
      </c>
      <c r="J5701">
        <v>-236.1454</v>
      </c>
      <c r="K5701">
        <v>1.1037269999999999</v>
      </c>
      <c r="L5701">
        <v>-62.695650000000001</v>
      </c>
      <c r="M5701">
        <v>0.99976119999999902</v>
      </c>
      <c r="N5701">
        <v>0</v>
      </c>
      <c r="O5701">
        <v>1.6799410000000001E-2</v>
      </c>
      <c r="P5701">
        <v>0.97597800000000001</v>
      </c>
      <c r="Q5701">
        <v>2.2268739999999999E-2</v>
      </c>
      <c r="R5701">
        <v>0.21672820000000001</v>
      </c>
      <c r="S5701">
        <v>2.9931030000000001</v>
      </c>
      <c r="T5701">
        <v>-0.27535080000000001</v>
      </c>
      <c r="U5701">
        <v>0.38977050000000002</v>
      </c>
      <c r="V5701">
        <v>-0.20021820000000001</v>
      </c>
      <c r="W5701">
        <v>3.6414499999999898E-2</v>
      </c>
      <c r="X5701">
        <v>0.97907440000000001</v>
      </c>
      <c r="Y5701">
        <v>-0.11205859999999999</v>
      </c>
      <c r="Z5701">
        <v>3.5866320000000002E-3</v>
      </c>
      <c r="AA5701">
        <v>0.99369509999999905</v>
      </c>
      <c r="AB5701">
        <v>36</v>
      </c>
      <c r="AC5701">
        <v>11.8136999999999</v>
      </c>
      <c r="AD5701">
        <v>-1.103728143601</v>
      </c>
      <c r="AE5701">
        <v>1.5597699999999901</v>
      </c>
      <c r="AF5701">
        <v>-1.34948972135878</v>
      </c>
      <c r="AG5701">
        <v>-1.103728143601</v>
      </c>
      <c r="AH5701">
        <v>11.7375395682907</v>
      </c>
      <c r="AI5701">
        <v>95.337003524957794</v>
      </c>
      <c r="AJ5701">
        <v>96.558619422997296</v>
      </c>
      <c r="AK5701">
        <v>11.8663041188156</v>
      </c>
    </row>
    <row r="5702" spans="1:37" x14ac:dyDescent="0.2">
      <c r="A5702" t="str">
        <f>"20200111153802852"</f>
        <v>20200111153802852</v>
      </c>
      <c r="B5702" t="str">
        <f>"1578728282839216"</f>
        <v>1578728282839216</v>
      </c>
      <c r="C5702" t="s">
        <v>37</v>
      </c>
      <c r="D5702">
        <v>5.71685</v>
      </c>
      <c r="E5702">
        <v>0.53041470000000002</v>
      </c>
      <c r="F5702" t="s">
        <v>62</v>
      </c>
      <c r="G5702">
        <v>-224.12520000000001</v>
      </c>
      <c r="H5702" s="1">
        <v>-1.05137E-6</v>
      </c>
      <c r="I5702">
        <v>-61.119609999999902</v>
      </c>
      <c r="J5702">
        <v>-235.95009999999999</v>
      </c>
      <c r="K5702">
        <v>1.1036549999999901</v>
      </c>
      <c r="L5702">
        <v>-62.692959999999999</v>
      </c>
      <c r="M5702">
        <v>0.99977280000000002</v>
      </c>
      <c r="N5702">
        <v>0</v>
      </c>
      <c r="O5702">
        <v>1.609412E-2</v>
      </c>
      <c r="P5702">
        <v>0.97567139999999997</v>
      </c>
      <c r="Q5702">
        <v>2.2189360000000002E-2</v>
      </c>
      <c r="R5702">
        <v>0.2181129</v>
      </c>
      <c r="S5702">
        <v>2.9929809999999999</v>
      </c>
      <c r="T5702">
        <v>-0.27482299999999998</v>
      </c>
      <c r="U5702">
        <v>0.39242549999999998</v>
      </c>
      <c r="V5702">
        <v>-0.20229279999999999</v>
      </c>
      <c r="W5702">
        <v>3.6370659999999999E-2</v>
      </c>
      <c r="X5702">
        <v>0.97864949999999995</v>
      </c>
      <c r="Y5702">
        <v>-0.113623499999999</v>
      </c>
      <c r="Z5702">
        <v>3.7154369999999998E-3</v>
      </c>
      <c r="AA5702">
        <v>0.99351690000000004</v>
      </c>
      <c r="AB5702">
        <v>36</v>
      </c>
      <c r="AC5702">
        <v>11.8248999999999</v>
      </c>
      <c r="AD5702">
        <v>-1.10365605136999</v>
      </c>
      <c r="AE5702">
        <v>1.57335</v>
      </c>
      <c r="AF5702">
        <v>-1.3710803910029501</v>
      </c>
      <c r="AG5702">
        <v>-1.10365605136999</v>
      </c>
      <c r="AH5702">
        <v>11.748133482659499</v>
      </c>
      <c r="AI5702">
        <v>95.3308216568863</v>
      </c>
      <c r="AJ5702">
        <v>96.656661517574904</v>
      </c>
      <c r="AK5702">
        <v>11.879249069057501</v>
      </c>
    </row>
    <row r="5703" spans="1:37" x14ac:dyDescent="0.2">
      <c r="A5703" t="str">
        <f>"20200111153802875"</f>
        <v>20200111153802875</v>
      </c>
      <c r="B5703" t="str">
        <f>"1578728282868498"</f>
        <v>1578728282868498</v>
      </c>
      <c r="C5703" t="s">
        <v>37</v>
      </c>
      <c r="D5703">
        <v>5.8775230000000001</v>
      </c>
      <c r="E5703">
        <v>0.53098449999999997</v>
      </c>
      <c r="F5703" t="s">
        <v>62</v>
      </c>
      <c r="G5703">
        <v>-223.94309999999999</v>
      </c>
      <c r="H5703" s="1">
        <v>-9.7071209999999993E-7</v>
      </c>
      <c r="I5703">
        <v>-61.10801</v>
      </c>
      <c r="J5703">
        <v>-235.56630000000001</v>
      </c>
      <c r="K5703">
        <v>1.103531</v>
      </c>
      <c r="L5703">
        <v>-62.688139999999997</v>
      </c>
      <c r="M5703">
        <v>0.999795199999999</v>
      </c>
      <c r="N5703">
        <v>0</v>
      </c>
      <c r="O5703">
        <v>1.4636420000000001E-2</v>
      </c>
      <c r="P5703">
        <v>0.97496799999999995</v>
      </c>
      <c r="Q5703">
        <v>2.2687189999999999E-2</v>
      </c>
      <c r="R5703">
        <v>0.22118499999999999</v>
      </c>
      <c r="S5703">
        <v>2.9927519999999999</v>
      </c>
      <c r="T5703">
        <v>-0.27508709999999997</v>
      </c>
      <c r="U5703">
        <v>0.39505000000000001</v>
      </c>
      <c r="V5703">
        <v>-0.20678959999999999</v>
      </c>
      <c r="W5703">
        <v>3.6932949999999999E-2</v>
      </c>
      <c r="X5703">
        <v>0.97768809999999995</v>
      </c>
      <c r="Y5703">
        <v>-0.1159216</v>
      </c>
      <c r="Z5703">
        <v>3.957075E-3</v>
      </c>
      <c r="AA5703">
        <v>0.99325049999999904</v>
      </c>
      <c r="AB5703">
        <v>36</v>
      </c>
      <c r="AC5703">
        <v>11.623200000000001</v>
      </c>
      <c r="AD5703">
        <v>-1.1035319707121001</v>
      </c>
      <c r="AE5703">
        <v>1.58013</v>
      </c>
      <c r="AF5703">
        <v>-1.39745395608324</v>
      </c>
      <c r="AG5703">
        <v>-1.1035319707121001</v>
      </c>
      <c r="AH5703">
        <v>11.5429243379395</v>
      </c>
      <c r="AI5703">
        <v>95.421670713511901</v>
      </c>
      <c r="AJ5703">
        <v>96.902967648565607</v>
      </c>
      <c r="AK5703">
        <v>11.6794590046437</v>
      </c>
    </row>
    <row r="5704" spans="1:37" x14ac:dyDescent="0.2">
      <c r="A5704" t="str">
        <f>"20200111153802887"</f>
        <v>20200111153802887</v>
      </c>
      <c r="B5704" t="str">
        <f>"1578728282879232"</f>
        <v>1578728282879232</v>
      </c>
      <c r="C5704" t="s">
        <v>37</v>
      </c>
      <c r="D5704">
        <v>5.8031410000000001</v>
      </c>
      <c r="E5704">
        <v>0.53121180000000001</v>
      </c>
      <c r="F5704" t="s">
        <v>62</v>
      </c>
      <c r="G5704">
        <v>-223.36789999999999</v>
      </c>
      <c r="H5704" s="1">
        <v>-7.1309469999999899E-7</v>
      </c>
      <c r="I5704">
        <v>-61.059219999999897</v>
      </c>
      <c r="J5704">
        <v>-235.39760000000001</v>
      </c>
      <c r="K5704">
        <v>1.1034889999999999</v>
      </c>
      <c r="L5704">
        <v>-62.686219999999999</v>
      </c>
      <c r="M5704">
        <v>0.99980469999999899</v>
      </c>
      <c r="N5704">
        <v>0</v>
      </c>
      <c r="O5704">
        <v>1.396233E-2</v>
      </c>
      <c r="P5704">
        <v>0.97467499999999996</v>
      </c>
      <c r="Q5704">
        <v>2.2991919999999999E-2</v>
      </c>
      <c r="R5704">
        <v>0.222440999999999</v>
      </c>
      <c r="S5704">
        <v>2.992661</v>
      </c>
      <c r="T5704">
        <v>-0.2707329</v>
      </c>
      <c r="U5704">
        <v>0.39962769999999997</v>
      </c>
      <c r="V5704">
        <v>-0.20870369999999999</v>
      </c>
      <c r="W5704">
        <v>3.7261259999999997E-2</v>
      </c>
      <c r="X5704">
        <v>0.97726880000000005</v>
      </c>
      <c r="Y5704">
        <v>-0.11808969999999901</v>
      </c>
      <c r="Z5704">
        <v>4.0524289999999998E-3</v>
      </c>
      <c r="AA5704">
        <v>0.99299470000000001</v>
      </c>
      <c r="AB5704">
        <v>36</v>
      </c>
      <c r="AC5704">
        <v>12.0297</v>
      </c>
      <c r="AD5704">
        <v>-1.1034897130946999</v>
      </c>
      <c r="AE5704">
        <v>1.627</v>
      </c>
      <c r="AF5704">
        <v>-1.44690605268155</v>
      </c>
      <c r="AG5704">
        <v>-1.1034897130946999</v>
      </c>
      <c r="AH5704">
        <v>11.9524789127844</v>
      </c>
      <c r="AI5704">
        <v>95.236754353594193</v>
      </c>
      <c r="AJ5704">
        <v>96.902348864304003</v>
      </c>
      <c r="AK5704">
        <v>12.0902017697286</v>
      </c>
    </row>
    <row r="5705" spans="1:37" x14ac:dyDescent="0.2">
      <c r="A5705" t="str">
        <f>"20200111153802896"</f>
        <v>20200111153802896</v>
      </c>
      <c r="B5705" t="str">
        <f>"1578728282888993"</f>
        <v>1578728282888993</v>
      </c>
      <c r="C5705" t="s">
        <v>37</v>
      </c>
      <c r="D5705">
        <v>5.8323960000000001</v>
      </c>
      <c r="E5705">
        <v>0.53164630000000002</v>
      </c>
      <c r="F5705" t="s">
        <v>62</v>
      </c>
      <c r="G5705">
        <v>-223.03059999999999</v>
      </c>
      <c r="H5705" s="1">
        <v>-5.6105000000000001E-7</v>
      </c>
      <c r="I5705">
        <v>-61.02628</v>
      </c>
      <c r="J5705">
        <v>-235.21879999999999</v>
      </c>
      <c r="K5705">
        <v>1.103445</v>
      </c>
      <c r="L5705">
        <v>-62.6843</v>
      </c>
      <c r="M5705">
        <v>0.9998146</v>
      </c>
      <c r="N5705">
        <v>0</v>
      </c>
      <c r="O5705">
        <v>1.3237769999999999E-2</v>
      </c>
      <c r="P5705">
        <v>0.97418479999999996</v>
      </c>
      <c r="Q5705">
        <v>2.3502430000000001E-2</v>
      </c>
      <c r="R5705">
        <v>0.22452569999999999</v>
      </c>
      <c r="S5705">
        <v>2.9925839999999999</v>
      </c>
      <c r="T5705">
        <v>-0.2670228</v>
      </c>
      <c r="U5705">
        <v>0.40167239999999999</v>
      </c>
      <c r="V5705">
        <v>-0.21149780000000001</v>
      </c>
      <c r="W5705">
        <v>3.7794950000000001E-2</v>
      </c>
      <c r="X5705">
        <v>0.97664740000000005</v>
      </c>
      <c r="Y5705">
        <v>-0.11948209999999999</v>
      </c>
      <c r="Z5705">
        <v>4.1229689999999998E-3</v>
      </c>
      <c r="AA5705">
        <v>0.99282780000000004</v>
      </c>
      <c r="AB5705">
        <v>36</v>
      </c>
      <c r="AC5705">
        <v>12.188199999999901</v>
      </c>
      <c r="AD5705">
        <v>-1.10344556105</v>
      </c>
      <c r="AE5705">
        <v>1.6580199999999901</v>
      </c>
      <c r="AF5705">
        <v>-1.4845673170912601</v>
      </c>
      <c r="AG5705">
        <v>-1.10344556105</v>
      </c>
      <c r="AH5705">
        <v>12.1116146141573</v>
      </c>
      <c r="AI5705">
        <v>95.1671804473729</v>
      </c>
      <c r="AJ5705">
        <v>96.988106551183193</v>
      </c>
      <c r="AK5705">
        <v>12.2520504727594</v>
      </c>
    </row>
    <row r="5706" spans="1:37" x14ac:dyDescent="0.2">
      <c r="A5706" t="str">
        <f>"20200111153802908"</f>
        <v>20200111153802908</v>
      </c>
      <c r="B5706" t="str">
        <f>"1578728282898753"</f>
        <v>1578728282898753</v>
      </c>
      <c r="C5706" t="s">
        <v>37</v>
      </c>
      <c r="D5706">
        <v>6.1138240000000001</v>
      </c>
      <c r="E5706">
        <v>0.53164630000000002</v>
      </c>
      <c r="F5706" t="s">
        <v>62</v>
      </c>
      <c r="G5706">
        <v>-222.75129999999999</v>
      </c>
      <c r="H5706" s="1">
        <v>-4.3544059999999899E-7</v>
      </c>
      <c r="I5706">
        <v>-61.000140000000002</v>
      </c>
      <c r="J5706">
        <v>-235.05029999999999</v>
      </c>
      <c r="K5706">
        <v>1.1034170000000001</v>
      </c>
      <c r="L5706">
        <v>-62.682679999999998</v>
      </c>
      <c r="M5706">
        <v>0.99982359999999904</v>
      </c>
      <c r="N5706">
        <v>0</v>
      </c>
      <c r="O5706">
        <v>1.2539349999999999E-2</v>
      </c>
      <c r="P5706">
        <v>0.97376430000000003</v>
      </c>
      <c r="Q5706">
        <v>2.3966080000000001E-2</v>
      </c>
      <c r="R5706">
        <v>0.22629349999999901</v>
      </c>
      <c r="S5706">
        <v>2.9927060000000001</v>
      </c>
      <c r="T5706">
        <v>-0.26487169999999999</v>
      </c>
      <c r="U5706">
        <v>0.40426640000000003</v>
      </c>
      <c r="V5706">
        <v>-0.21394839999999901</v>
      </c>
      <c r="W5706">
        <v>3.8277159999999998E-2</v>
      </c>
      <c r="X5706">
        <v>0.97609469999999998</v>
      </c>
      <c r="Y5706">
        <v>-0.1210135</v>
      </c>
      <c r="Z5706">
        <v>4.2182109999999899E-3</v>
      </c>
      <c r="AA5706">
        <v>0.99264189999999997</v>
      </c>
      <c r="AB5706">
        <v>36</v>
      </c>
      <c r="AC5706">
        <v>12.298999999999999</v>
      </c>
      <c r="AD5706">
        <v>-1.1034174354405999</v>
      </c>
      <c r="AE5706">
        <v>1.6825399999999999</v>
      </c>
      <c r="AF5706">
        <v>-1.51619157037853</v>
      </c>
      <c r="AG5706">
        <v>-1.1034174354405999</v>
      </c>
      <c r="AH5706">
        <v>12.2225612418996</v>
      </c>
      <c r="AI5706">
        <v>95.119485324986698</v>
      </c>
      <c r="AJ5706">
        <v>97.071337323251498</v>
      </c>
      <c r="AK5706">
        <v>12.365571973301799</v>
      </c>
    </row>
    <row r="5707" spans="1:37" x14ac:dyDescent="0.2">
      <c r="A5707" t="str">
        <f>"20200111153802918"</f>
        <v>20200111153802918</v>
      </c>
      <c r="B5707" t="str">
        <f>"1578728282908513"</f>
        <v>1578728282908513</v>
      </c>
      <c r="C5707" t="s">
        <v>37</v>
      </c>
      <c r="D5707">
        <v>5.6940949999999999</v>
      </c>
      <c r="E5707">
        <v>0.52911869999999905</v>
      </c>
      <c r="F5707" t="s">
        <v>62</v>
      </c>
      <c r="G5707">
        <v>-222.5059</v>
      </c>
      <c r="H5707" s="1">
        <v>-3.2261119999999901E-7</v>
      </c>
      <c r="I5707">
        <v>-60.966189999999997</v>
      </c>
      <c r="J5707">
        <v>-234.8768</v>
      </c>
      <c r="K5707">
        <v>1.1033899999999901</v>
      </c>
      <c r="L5707">
        <v>-62.681059999999903</v>
      </c>
      <c r="M5707">
        <v>0.99983250000000001</v>
      </c>
      <c r="N5707">
        <v>0</v>
      </c>
      <c r="O5707">
        <v>1.181633E-2</v>
      </c>
      <c r="P5707">
        <v>0.97335799999999995</v>
      </c>
      <c r="Q5707">
        <v>2.469416E-2</v>
      </c>
      <c r="R5707">
        <v>0.2279574</v>
      </c>
      <c r="S5707">
        <v>2.9921570000000002</v>
      </c>
      <c r="T5707">
        <v>-0.2631925</v>
      </c>
      <c r="U5707">
        <v>0.4094238</v>
      </c>
      <c r="V5707">
        <v>-0.2163176</v>
      </c>
      <c r="W5707">
        <v>3.9022859999999999E-2</v>
      </c>
      <c r="X5707">
        <v>0.97554289999999999</v>
      </c>
      <c r="Y5707">
        <v>-0.12342839999999999</v>
      </c>
      <c r="Z5707">
        <v>4.3605229999999998E-3</v>
      </c>
      <c r="AA5707">
        <v>0.99234389999999995</v>
      </c>
      <c r="AB5707">
        <v>36</v>
      </c>
      <c r="AC5707">
        <v>12.370900000000001</v>
      </c>
      <c r="AD5707">
        <v>-1.1033903226111901</v>
      </c>
      <c r="AE5707">
        <v>1.7148699999999899</v>
      </c>
      <c r="AF5707">
        <v>-1.55640909664376</v>
      </c>
      <c r="AG5707">
        <v>-1.1033903226111901</v>
      </c>
      <c r="AH5707">
        <v>12.294340591637001</v>
      </c>
      <c r="AI5707">
        <v>95.088037938205403</v>
      </c>
      <c r="AJ5707">
        <v>97.215011767143096</v>
      </c>
      <c r="AK5707">
        <v>12.4414906688597</v>
      </c>
    </row>
    <row r="5708" spans="1:37" x14ac:dyDescent="0.2">
      <c r="A5708" t="str">
        <f>"20200111153802941"</f>
        <v>20200111153802941</v>
      </c>
      <c r="B5708" t="str">
        <f>"1578728282938768"</f>
        <v>1578728282938768</v>
      </c>
      <c r="C5708" t="s">
        <v>37</v>
      </c>
      <c r="D5708">
        <v>5.6561089999999998</v>
      </c>
      <c r="E5708">
        <v>0.42256379999999999</v>
      </c>
      <c r="F5708" t="s">
        <v>62</v>
      </c>
      <c r="G5708">
        <v>-222.303</v>
      </c>
      <c r="H5708" s="1">
        <v>-2.107845E-7</v>
      </c>
      <c r="I5708">
        <v>-60.854769999999903</v>
      </c>
      <c r="J5708">
        <v>-234.51249999999999</v>
      </c>
      <c r="K5708">
        <v>1.1033489999999999</v>
      </c>
      <c r="L5708">
        <v>-62.678190000000001</v>
      </c>
      <c r="M5708">
        <v>0.9998494</v>
      </c>
      <c r="N5708">
        <v>0</v>
      </c>
      <c r="O5708">
        <v>1.027935E-2</v>
      </c>
      <c r="P5708">
        <v>0.97241460000000002</v>
      </c>
      <c r="Q5708">
        <v>2.6054750000000002E-2</v>
      </c>
      <c r="R5708">
        <v>0.2317998</v>
      </c>
      <c r="S5708">
        <v>2.9871369999999899</v>
      </c>
      <c r="T5708">
        <v>-0.26213009999999998</v>
      </c>
      <c r="U5708">
        <v>0.43386839999999999</v>
      </c>
      <c r="V5708">
        <v>-0.22165989999999999</v>
      </c>
      <c r="W5708">
        <v>4.0411740000000002E-2</v>
      </c>
      <c r="X5708">
        <v>0.97428630000000005</v>
      </c>
      <c r="Y5708">
        <v>-0.13309409999999999</v>
      </c>
      <c r="Z5708">
        <v>4.9027039999999999E-3</v>
      </c>
      <c r="AA5708">
        <v>0.99109130000000001</v>
      </c>
      <c r="AB5708">
        <v>36</v>
      </c>
      <c r="AC5708">
        <v>12.209499999999901</v>
      </c>
      <c r="AD5708">
        <v>-1.1033492107845</v>
      </c>
      <c r="AE5708">
        <v>1.82342</v>
      </c>
      <c r="AF5708">
        <v>-1.68435067657116</v>
      </c>
      <c r="AG5708">
        <v>-1.1033492107845</v>
      </c>
      <c r="AH5708">
        <v>12.1306974665967</v>
      </c>
      <c r="AI5708">
        <v>95.147926942404098</v>
      </c>
      <c r="AJ5708">
        <v>97.904992136630895</v>
      </c>
      <c r="AK5708">
        <v>12.296675880444299</v>
      </c>
    </row>
    <row r="5709" spans="1:37" x14ac:dyDescent="0.2">
      <c r="A5709" t="str">
        <f>"20200111153802952"</f>
        <v>20200111153802952</v>
      </c>
      <c r="B5709" t="str">
        <f>"1578728282948528"</f>
        <v>1578728282948528</v>
      </c>
      <c r="C5709" t="s">
        <v>37</v>
      </c>
      <c r="D5709">
        <v>5.6747709999999998</v>
      </c>
      <c r="E5709">
        <v>0.41540139999999998</v>
      </c>
      <c r="F5709" t="s">
        <v>38</v>
      </c>
      <c r="G5709">
        <v>-233.50099999999901</v>
      </c>
      <c r="H5709">
        <v>1.011398</v>
      </c>
      <c r="I5709">
        <v>-62.215969999999999</v>
      </c>
      <c r="J5709">
        <v>-234.3192</v>
      </c>
      <c r="K5709">
        <v>1.103332</v>
      </c>
      <c r="L5709">
        <v>-62.676909999999999</v>
      </c>
      <c r="M5709">
        <v>0.99985749999999995</v>
      </c>
      <c r="N5709">
        <v>0</v>
      </c>
      <c r="O5709">
        <v>9.4637060000000005E-3</v>
      </c>
      <c r="P5709">
        <v>0.97189289999999995</v>
      </c>
      <c r="Q5709">
        <v>2.6325999999999999E-2</v>
      </c>
      <c r="R5709">
        <v>0.23394770000000001</v>
      </c>
      <c r="S5709">
        <v>2.7880549999999999</v>
      </c>
      <c r="T5709">
        <v>-0.2534709</v>
      </c>
      <c r="U5709">
        <v>1.274689</v>
      </c>
      <c r="V5709">
        <v>-0.22460549999999899</v>
      </c>
      <c r="W5709">
        <v>4.0693790000000001E-2</v>
      </c>
      <c r="X5709">
        <v>0.97359969999999996</v>
      </c>
      <c r="Y5709">
        <v>-0.40582269999999998</v>
      </c>
      <c r="Z5709">
        <v>1.6723450000000001E-2</v>
      </c>
      <c r="AA5709">
        <v>0.91379880000000002</v>
      </c>
      <c r="AB5709">
        <v>36</v>
      </c>
      <c r="AC5709">
        <v>0.81820000000001802</v>
      </c>
      <c r="AD5709">
        <v>-9.1933999999999905E-2</v>
      </c>
      <c r="AE5709">
        <v>0.46094000000000002</v>
      </c>
      <c r="AF5709">
        <v>-0.44887360820129102</v>
      </c>
      <c r="AG5709">
        <v>-9.1933999999999905E-2</v>
      </c>
      <c r="AH5709">
        <v>0.81471811935563498</v>
      </c>
      <c r="AI5709">
        <v>95.644416790612695</v>
      </c>
      <c r="AJ5709">
        <v>118.852818029768</v>
      </c>
      <c r="AK5709">
        <v>0.93472187869014201</v>
      </c>
    </row>
    <row r="5710" spans="1:37" x14ac:dyDescent="0.2">
      <c r="A5710" t="str">
        <f>"20200111153802964"</f>
        <v>20200111153802964</v>
      </c>
      <c r="B5710" t="str">
        <f>"1578728282959265"</f>
        <v>1578728282959265</v>
      </c>
      <c r="C5710" t="s">
        <v>37</v>
      </c>
      <c r="D5710">
        <v>5.6659360000000003</v>
      </c>
      <c r="E5710">
        <v>0.41194439999999999</v>
      </c>
      <c r="F5710" t="s">
        <v>62</v>
      </c>
      <c r="G5710">
        <v>-222.54259999999999</v>
      </c>
      <c r="H5710" s="1">
        <v>-1.0344640000000001E-6</v>
      </c>
      <c r="I5710">
        <v>-57.00253</v>
      </c>
      <c r="J5710">
        <v>-234.14609999999999</v>
      </c>
      <c r="K5710">
        <v>1.103318</v>
      </c>
      <c r="L5710">
        <v>-62.675869999999897</v>
      </c>
      <c r="M5710">
        <v>0.99986399999999998</v>
      </c>
      <c r="N5710">
        <v>0</v>
      </c>
      <c r="O5710">
        <v>8.7347540000000008E-3</v>
      </c>
      <c r="P5710">
        <v>0.97131449999999997</v>
      </c>
      <c r="Q5710">
        <v>2.663424E-2</v>
      </c>
      <c r="R5710">
        <v>0.236302599999999</v>
      </c>
      <c r="S5710">
        <v>2.7722470000000001</v>
      </c>
      <c r="T5710">
        <v>-0.25972590000000001</v>
      </c>
      <c r="U5710">
        <v>1.3357540000000001</v>
      </c>
      <c r="V5710">
        <v>-0.22767289999999901</v>
      </c>
      <c r="W5710">
        <v>4.1010150000000002E-2</v>
      </c>
      <c r="X5710">
        <v>0.97287369999999995</v>
      </c>
      <c r="Y5710">
        <v>-0.42470740000000001</v>
      </c>
      <c r="Z5710">
        <v>1.8048430000000001E-2</v>
      </c>
      <c r="AA5710">
        <v>0.90515069999999997</v>
      </c>
      <c r="AB5710">
        <v>36</v>
      </c>
      <c r="AC5710">
        <v>11.603499999999899</v>
      </c>
      <c r="AD5710">
        <v>-1.103319034464</v>
      </c>
      <c r="AE5710">
        <v>5.6733399999999801</v>
      </c>
      <c r="AF5710">
        <v>-5.5313983058852996</v>
      </c>
      <c r="AG5710">
        <v>-1.103319034464</v>
      </c>
      <c r="AH5710">
        <v>11.568206283142599</v>
      </c>
      <c r="AI5710">
        <v>94.917884924660797</v>
      </c>
      <c r="AJ5710">
        <v>115.555038880246</v>
      </c>
      <c r="AK5710">
        <v>12.870006865557601</v>
      </c>
    </row>
    <row r="5711" spans="1:37" x14ac:dyDescent="0.2">
      <c r="A5711" t="str">
        <f>"20200111153802976"</f>
        <v>20200111153802976</v>
      </c>
      <c r="B5711" t="str">
        <f>"1578728282969024"</f>
        <v>1578728282969024</v>
      </c>
      <c r="C5711" t="s">
        <v>37</v>
      </c>
      <c r="D5711">
        <v>5.536111</v>
      </c>
      <c r="E5711">
        <v>0.40998069999999998</v>
      </c>
      <c r="F5711" t="s">
        <v>38</v>
      </c>
      <c r="G5711">
        <v>-233.18010000000001</v>
      </c>
      <c r="H5711">
        <v>1.0121469999999999</v>
      </c>
      <c r="I5711">
        <v>-62.197189999999999</v>
      </c>
      <c r="J5711">
        <v>-233.93340000000001</v>
      </c>
      <c r="K5711">
        <v>1.1033029999999999</v>
      </c>
      <c r="L5711">
        <v>-62.674769999999903</v>
      </c>
      <c r="M5711">
        <v>0.99987150000000002</v>
      </c>
      <c r="N5711">
        <v>0</v>
      </c>
      <c r="O5711">
        <v>7.8423909999999902E-3</v>
      </c>
      <c r="P5711">
        <v>0.97075199999999995</v>
      </c>
      <c r="Q5711">
        <v>2.710218E-2</v>
      </c>
      <c r="R5711">
        <v>0.23854989999999901</v>
      </c>
      <c r="S5711">
        <v>2.76268</v>
      </c>
      <c r="T5711">
        <v>-0.2607428</v>
      </c>
      <c r="U5711">
        <v>1.369049</v>
      </c>
      <c r="V5711">
        <v>-0.23078969999999999</v>
      </c>
      <c r="W5711">
        <v>4.148611E-2</v>
      </c>
      <c r="X5711">
        <v>0.97211890000000001</v>
      </c>
      <c r="Y5711">
        <v>-0.435455599999999</v>
      </c>
      <c r="Z5711">
        <v>1.868775E-2</v>
      </c>
      <c r="AA5711">
        <v>0.90001620000000004</v>
      </c>
      <c r="AB5711">
        <v>36</v>
      </c>
      <c r="AC5711">
        <v>0.75329999999999497</v>
      </c>
      <c r="AD5711">
        <v>-9.1156000000000195E-2</v>
      </c>
      <c r="AE5711">
        <v>0.47757999999999601</v>
      </c>
      <c r="AF5711">
        <v>-0.46678154779581899</v>
      </c>
      <c r="AG5711">
        <v>-9.1156000000000195E-2</v>
      </c>
      <c r="AH5711">
        <v>0.74919723399314497</v>
      </c>
      <c r="AI5711">
        <v>95.895923603270205</v>
      </c>
      <c r="AJ5711">
        <v>121.92465102869301</v>
      </c>
      <c r="AK5711">
        <v>0.88740685433550703</v>
      </c>
    </row>
    <row r="5712" spans="1:37" x14ac:dyDescent="0.2">
      <c r="A5712" t="str">
        <f>"20200111153802988"</f>
        <v>20200111153802988</v>
      </c>
      <c r="B5712" t="str">
        <f>"1578728282978784"</f>
        <v>1578728282978784</v>
      </c>
      <c r="C5712" t="s">
        <v>37</v>
      </c>
      <c r="D5712">
        <v>5.5220070000000003</v>
      </c>
      <c r="E5712">
        <v>0.40938959999999902</v>
      </c>
      <c r="F5712" t="s">
        <v>62</v>
      </c>
      <c r="G5712">
        <v>-222.3143</v>
      </c>
      <c r="H5712" s="1">
        <v>-1.015335E-6</v>
      </c>
      <c r="I5712">
        <v>-56.81353</v>
      </c>
      <c r="J5712">
        <v>-233.7414</v>
      </c>
      <c r="K5712">
        <v>1.103294</v>
      </c>
      <c r="L5712">
        <v>-62.67398</v>
      </c>
      <c r="M5712">
        <v>0.99987739999999903</v>
      </c>
      <c r="N5712">
        <v>0</v>
      </c>
      <c r="O5712">
        <v>7.044799E-3</v>
      </c>
      <c r="P5712">
        <v>0.97020799999999996</v>
      </c>
      <c r="Q5712">
        <v>2.7440820000000001E-2</v>
      </c>
      <c r="R5712">
        <v>0.24071500000000001</v>
      </c>
      <c r="S5712">
        <v>2.7560579999999999</v>
      </c>
      <c r="T5712">
        <v>-0.2617041</v>
      </c>
      <c r="U5712">
        <v>1.3902889999999899</v>
      </c>
      <c r="V5712">
        <v>-0.23373249999999901</v>
      </c>
      <c r="W5712">
        <v>4.1828650000000002E-2</v>
      </c>
      <c r="X5712">
        <v>0.97140079999999995</v>
      </c>
      <c r="Y5712">
        <v>-0.44252570000000002</v>
      </c>
      <c r="Z5712">
        <v>1.915352E-2</v>
      </c>
      <c r="AA5712">
        <v>0.89655119999999899</v>
      </c>
      <c r="AB5712">
        <v>36</v>
      </c>
      <c r="AC5712">
        <v>11.4270999999999</v>
      </c>
      <c r="AD5712">
        <v>-1.1032950153350001</v>
      </c>
      <c r="AE5712">
        <v>5.8604500000000002</v>
      </c>
      <c r="AF5712">
        <v>-5.7374483484152297</v>
      </c>
      <c r="AG5712">
        <v>-1.1032950153350001</v>
      </c>
      <c r="AH5712">
        <v>11.3840829825582</v>
      </c>
      <c r="AI5712">
        <v>94.946361816816705</v>
      </c>
      <c r="AJ5712">
        <v>116.747584515572</v>
      </c>
      <c r="AK5712">
        <v>12.795816456770799</v>
      </c>
    </row>
    <row r="5713" spans="1:37" x14ac:dyDescent="0.2">
      <c r="A5713" t="str">
        <f>"20200111153803001"</f>
        <v>20200111153803001</v>
      </c>
      <c r="B5713" t="str">
        <f>"1578728282988545"</f>
        <v>1578728282988545</v>
      </c>
      <c r="C5713" t="s">
        <v>37</v>
      </c>
      <c r="D5713">
        <v>5.6149509999999996</v>
      </c>
      <c r="E5713">
        <v>0.40958129999999998</v>
      </c>
      <c r="F5713" t="s">
        <v>38</v>
      </c>
      <c r="G5713">
        <v>-232.8502</v>
      </c>
      <c r="H5713">
        <v>1.018084</v>
      </c>
      <c r="I5713">
        <v>-62.220500000000001</v>
      </c>
      <c r="J5713">
        <v>-233.5444</v>
      </c>
      <c r="K5713">
        <v>1.1032850000000001</v>
      </c>
      <c r="L5713">
        <v>-62.673250000000003</v>
      </c>
      <c r="M5713">
        <v>0.99988279999999996</v>
      </c>
      <c r="N5713">
        <v>0</v>
      </c>
      <c r="O5713">
        <v>6.2306729999999999E-3</v>
      </c>
      <c r="P5713">
        <v>0.96962230000000005</v>
      </c>
      <c r="Q5713">
        <v>2.7329340000000001E-2</v>
      </c>
      <c r="R5713">
        <v>0.24307590000000001</v>
      </c>
      <c r="S5713">
        <v>2.752014</v>
      </c>
      <c r="T5713">
        <v>-0.26315870000000002</v>
      </c>
      <c r="U5713">
        <v>1.400787</v>
      </c>
      <c r="V5713">
        <v>-0.23688809999999999</v>
      </c>
      <c r="W5713">
        <v>4.1721460000000002E-2</v>
      </c>
      <c r="X5713">
        <v>0.97064069999999902</v>
      </c>
      <c r="Y5713">
        <v>-0.44646540000000001</v>
      </c>
      <c r="Z5713">
        <v>1.951951E-2</v>
      </c>
      <c r="AA5713">
        <v>0.89458799999999905</v>
      </c>
      <c r="AB5713">
        <v>36</v>
      </c>
      <c r="AC5713">
        <v>0.69419999999999404</v>
      </c>
      <c r="AD5713">
        <v>-8.5200999999999999E-2</v>
      </c>
      <c r="AE5713">
        <v>0.45275000000000098</v>
      </c>
      <c r="AF5713">
        <v>-0.44372609742900598</v>
      </c>
      <c r="AG5713">
        <v>-8.5200999999999999E-2</v>
      </c>
      <c r="AH5713">
        <v>0.68971869655110396</v>
      </c>
      <c r="AI5713">
        <v>95.931058723770207</v>
      </c>
      <c r="AJ5713">
        <v>122.754942877573</v>
      </c>
      <c r="AK5713">
        <v>0.82453862269315803</v>
      </c>
    </row>
    <row r="5714" spans="1:37" x14ac:dyDescent="0.2">
      <c r="A5714" t="str">
        <f>"20200111153803011"</f>
        <v>20200111153803011</v>
      </c>
      <c r="B5714" t="str">
        <f>"1578728283009040"</f>
        <v>1578728283009040</v>
      </c>
      <c r="C5714" t="s">
        <v>37</v>
      </c>
      <c r="D5714">
        <v>5.5150009999999998</v>
      </c>
      <c r="E5714">
        <v>0.41025859999999897</v>
      </c>
      <c r="F5714" t="s">
        <v>38</v>
      </c>
      <c r="G5714">
        <v>-232.5395</v>
      </c>
      <c r="H5714">
        <v>1.0080439999999999</v>
      </c>
      <c r="I5714">
        <v>-62.159300000000002</v>
      </c>
      <c r="J5714">
        <v>-233.35169999999999</v>
      </c>
      <c r="K5714">
        <v>1.1032789999999999</v>
      </c>
      <c r="L5714">
        <v>-62.672730000000001</v>
      </c>
      <c r="M5714">
        <v>0.99988739999999998</v>
      </c>
      <c r="N5714">
        <v>0</v>
      </c>
      <c r="O5714">
        <v>5.4454890000000004E-3</v>
      </c>
      <c r="P5714">
        <v>0.96903779999999995</v>
      </c>
      <c r="Q5714">
        <v>2.7398470000000001E-2</v>
      </c>
      <c r="R5714">
        <v>0.24538760000000001</v>
      </c>
      <c r="S5714">
        <v>2.748856</v>
      </c>
      <c r="T5714">
        <v>-0.26053320000000002</v>
      </c>
      <c r="U5714">
        <v>1.4060360000000001</v>
      </c>
      <c r="V5714">
        <v>-0.23996500000000001</v>
      </c>
      <c r="W5714">
        <v>4.1791010000000003E-2</v>
      </c>
      <c r="X5714">
        <v>0.96988159999999901</v>
      </c>
      <c r="Y5714">
        <v>-0.44895439999999998</v>
      </c>
      <c r="Z5714">
        <v>1.9518170000000001E-2</v>
      </c>
      <c r="AA5714">
        <v>0.89334150000000001</v>
      </c>
      <c r="AB5714">
        <v>36</v>
      </c>
      <c r="AC5714">
        <v>0.81219999999999004</v>
      </c>
      <c r="AD5714">
        <v>-9.5235000000000097E-2</v>
      </c>
      <c r="AE5714">
        <v>0.51342999999999905</v>
      </c>
      <c r="AF5714">
        <v>-0.50404768483085904</v>
      </c>
      <c r="AG5714">
        <v>-9.5235000000000097E-2</v>
      </c>
      <c r="AH5714">
        <v>0.80705610243554604</v>
      </c>
      <c r="AI5714">
        <v>95.715499721270106</v>
      </c>
      <c r="AJ5714">
        <v>121.986879457679</v>
      </c>
      <c r="AK5714">
        <v>0.95628098709887799</v>
      </c>
    </row>
    <row r="5715" spans="1:37" x14ac:dyDescent="0.2">
      <c r="A5715" t="str">
        <f>"20200111153803023"</f>
        <v>20200111153803023</v>
      </c>
      <c r="B5715" t="str">
        <f>"1578728283018804"</f>
        <v>1578728283018804</v>
      </c>
      <c r="C5715" t="s">
        <v>37</v>
      </c>
      <c r="D5715">
        <v>5.5196699999999996</v>
      </c>
      <c r="E5715">
        <v>0.41052489999999903</v>
      </c>
      <c r="F5715" t="s">
        <v>38</v>
      </c>
      <c r="G5715">
        <v>-232.51920000000001</v>
      </c>
      <c r="H5715">
        <v>1.024535</v>
      </c>
      <c r="I5715">
        <v>-62.246369999999999</v>
      </c>
      <c r="J5715">
        <v>-233.1739</v>
      </c>
      <c r="K5715">
        <v>1.103275</v>
      </c>
      <c r="L5715">
        <v>-62.67239</v>
      </c>
      <c r="M5715">
        <v>0.99989089999999903</v>
      </c>
      <c r="N5715">
        <v>0</v>
      </c>
      <c r="O5715">
        <v>4.7253E-3</v>
      </c>
      <c r="P5715">
        <v>0.96835789999999999</v>
      </c>
      <c r="Q5715">
        <v>2.7658189999999999E-2</v>
      </c>
      <c r="R5715">
        <v>0.24802829999999901</v>
      </c>
      <c r="S5715">
        <v>2.746902</v>
      </c>
      <c r="T5715">
        <v>-0.25983610000000001</v>
      </c>
      <c r="U5715">
        <v>1.4070739999999999</v>
      </c>
      <c r="V5715">
        <v>-0.24330689999999999</v>
      </c>
      <c r="W5715">
        <v>4.2050650000000002E-2</v>
      </c>
      <c r="X5715">
        <v>0.96903739999999905</v>
      </c>
      <c r="Y5715">
        <v>-0.45012179999999902</v>
      </c>
      <c r="Z5715">
        <v>1.9592769999999999E-2</v>
      </c>
      <c r="AA5715">
        <v>0.892752199999999</v>
      </c>
      <c r="AB5715">
        <v>36</v>
      </c>
      <c r="AC5715">
        <v>0.65469999999999096</v>
      </c>
      <c r="AD5715">
        <v>-7.8740000000000004E-2</v>
      </c>
      <c r="AE5715">
        <v>0.42602000000000101</v>
      </c>
      <c r="AF5715">
        <v>-0.41866686461034303</v>
      </c>
      <c r="AG5715">
        <v>-7.8740000000000004E-2</v>
      </c>
      <c r="AH5715">
        <v>0.65009975584917401</v>
      </c>
      <c r="AI5715">
        <v>95.8144028396012</v>
      </c>
      <c r="AJ5715">
        <v>122.781698569898</v>
      </c>
      <c r="AK5715">
        <v>0.77724617958392705</v>
      </c>
    </row>
    <row r="5716" spans="1:37" x14ac:dyDescent="0.2">
      <c r="A5716" t="str">
        <f>"20200111153803034"</f>
        <v>20200111153803034</v>
      </c>
      <c r="B5716" t="str">
        <f>"1578728283028561"</f>
        <v>1578728283028561</v>
      </c>
      <c r="C5716" t="s">
        <v>37</v>
      </c>
      <c r="D5716">
        <v>5.5438289999999997</v>
      </c>
      <c r="E5716">
        <v>0.41077029999999998</v>
      </c>
      <c r="F5716" t="s">
        <v>38</v>
      </c>
      <c r="G5716">
        <v>-232.2115</v>
      </c>
      <c r="H5716">
        <v>1.0116879999999999</v>
      </c>
      <c r="I5716">
        <v>-62.177349999999997</v>
      </c>
      <c r="J5716">
        <v>-232.9913</v>
      </c>
      <c r="K5716">
        <v>1.103272</v>
      </c>
      <c r="L5716">
        <v>-62.672179999999997</v>
      </c>
      <c r="M5716">
        <v>0.99989430000000001</v>
      </c>
      <c r="N5716">
        <v>0</v>
      </c>
      <c r="O5716">
        <v>3.9928139999999999E-3</v>
      </c>
      <c r="P5716">
        <v>0.96769769999999899</v>
      </c>
      <c r="Q5716">
        <v>2.7572119999999999E-2</v>
      </c>
      <c r="R5716">
        <v>0.25060169999999998</v>
      </c>
      <c r="S5716">
        <v>2.7438349999999998</v>
      </c>
      <c r="T5716">
        <v>-0.26114130000000002</v>
      </c>
      <c r="U5716">
        <v>1.411926</v>
      </c>
      <c r="V5716">
        <v>-0.2465936</v>
      </c>
      <c r="W5716">
        <v>4.1963479999999997E-2</v>
      </c>
      <c r="X5716">
        <v>0.96821000000000002</v>
      </c>
      <c r="Y5716">
        <v>-0.45239960000000001</v>
      </c>
      <c r="Z5716">
        <v>1.9870189999999999E-2</v>
      </c>
      <c r="AA5716">
        <v>0.891594</v>
      </c>
      <c r="AB5716">
        <v>36</v>
      </c>
      <c r="AC5716">
        <v>0.77979999999999405</v>
      </c>
      <c r="AD5716">
        <v>-9.1584000000000096E-2</v>
      </c>
      <c r="AE5716">
        <v>0.49483000000000699</v>
      </c>
      <c r="AF5716">
        <v>-0.48692387590358199</v>
      </c>
      <c r="AG5716">
        <v>-9.1584000000000096E-2</v>
      </c>
      <c r="AH5716">
        <v>0.77415688973290997</v>
      </c>
      <c r="AI5716">
        <v>95.718553834054404</v>
      </c>
      <c r="AJ5716">
        <v>122.168789401813</v>
      </c>
      <c r="AK5716">
        <v>0.91913077410230404</v>
      </c>
    </row>
    <row r="5717" spans="1:37" x14ac:dyDescent="0.2">
      <c r="A5717" t="str">
        <f>"20200111153803046"</f>
        <v>20200111153803046</v>
      </c>
      <c r="B5717" t="str">
        <f>"1578728283039298"</f>
        <v>1578728283039298</v>
      </c>
      <c r="C5717" t="s">
        <v>37</v>
      </c>
      <c r="D5717">
        <v>5.5955870000000001</v>
      </c>
      <c r="E5717">
        <v>0.41137229999999902</v>
      </c>
      <c r="F5717" t="s">
        <v>38</v>
      </c>
      <c r="G5717">
        <v>-232.1574</v>
      </c>
      <c r="H5717">
        <v>1.0226979999999899</v>
      </c>
      <c r="I5717">
        <v>-62.241269999999901</v>
      </c>
      <c r="J5717">
        <v>-232.8186</v>
      </c>
      <c r="K5717">
        <v>1.103272</v>
      </c>
      <c r="L5717">
        <v>-62.672089999999997</v>
      </c>
      <c r="M5717">
        <v>0.99989660000000002</v>
      </c>
      <c r="N5717">
        <v>0</v>
      </c>
      <c r="O5717">
        <v>3.3072240000000001E-3</v>
      </c>
      <c r="P5717">
        <v>0.96700739999999996</v>
      </c>
      <c r="Q5717">
        <v>2.7573670000000002E-2</v>
      </c>
      <c r="R5717">
        <v>0.25325189999999997</v>
      </c>
      <c r="S5717">
        <v>2.7407680000000001</v>
      </c>
      <c r="T5717">
        <v>-0.26483119999999999</v>
      </c>
      <c r="U5717">
        <v>1.416809</v>
      </c>
      <c r="V5717">
        <v>-0.2499101</v>
      </c>
      <c r="W5717">
        <v>4.1973009999999998E-2</v>
      </c>
      <c r="X5717">
        <v>0.96735890000000002</v>
      </c>
      <c r="Y5717">
        <v>-0.45461119999999999</v>
      </c>
      <c r="Z5717">
        <v>2.0324660000000001E-2</v>
      </c>
      <c r="AA5717">
        <v>0.89045799999999997</v>
      </c>
      <c r="AB5717">
        <v>36</v>
      </c>
      <c r="AC5717">
        <v>0.661200000000007</v>
      </c>
      <c r="AD5717">
        <v>-8.0574000000000104E-2</v>
      </c>
      <c r="AE5717">
        <v>0.43082000000001103</v>
      </c>
      <c r="AF5717">
        <v>-0.42420861084966299</v>
      </c>
      <c r="AG5717">
        <v>-8.0574000000000104E-2</v>
      </c>
      <c r="AH5717">
        <v>0.65578523274109402</v>
      </c>
      <c r="AI5717">
        <v>95.890015396861799</v>
      </c>
      <c r="AJ5717">
        <v>122.89766668263501</v>
      </c>
      <c r="AK5717">
        <v>0.78517474900578099</v>
      </c>
    </row>
    <row r="5718" spans="1:37" x14ac:dyDescent="0.2">
      <c r="A5718" t="str">
        <f>"20200111153803057"</f>
        <v>20200111153803057</v>
      </c>
      <c r="B5718" t="str">
        <f>"1578728283049057"</f>
        <v>1578728283049057</v>
      </c>
      <c r="C5718" t="s">
        <v>37</v>
      </c>
      <c r="D5718">
        <v>5.5137219999999996</v>
      </c>
      <c r="E5718">
        <v>0.41179779999999999</v>
      </c>
      <c r="F5718" t="s">
        <v>38</v>
      </c>
      <c r="G5718">
        <v>-231.88560000000001</v>
      </c>
      <c r="H5718">
        <v>1.0122850000000001</v>
      </c>
      <c r="I5718">
        <v>-62.188580000000002</v>
      </c>
      <c r="J5718">
        <v>-232.61199999999999</v>
      </c>
      <c r="K5718">
        <v>1.103281</v>
      </c>
      <c r="L5718">
        <v>-62.672059999999902</v>
      </c>
      <c r="M5718">
        <v>0.99989859999999897</v>
      </c>
      <c r="N5718">
        <v>0</v>
      </c>
      <c r="O5718">
        <v>2.4934219999999999E-3</v>
      </c>
      <c r="P5718">
        <v>0.96636429999999995</v>
      </c>
      <c r="Q5718">
        <v>2.741509E-2</v>
      </c>
      <c r="R5718">
        <v>0.25571139999999998</v>
      </c>
      <c r="S5718">
        <v>2.7383120000000001</v>
      </c>
      <c r="T5718">
        <v>-0.2670515</v>
      </c>
      <c r="U5718">
        <v>1.419098</v>
      </c>
      <c r="V5718">
        <v>-0.25315989999999999</v>
      </c>
      <c r="W5718">
        <v>4.1831989999999999E-2</v>
      </c>
      <c r="X5718">
        <v>0.96651960000000003</v>
      </c>
      <c r="Y5718">
        <v>-0.45620850000000002</v>
      </c>
      <c r="Z5718">
        <v>2.0654570000000001E-2</v>
      </c>
      <c r="AA5718">
        <v>0.88963320000000001</v>
      </c>
      <c r="AB5718">
        <v>36</v>
      </c>
      <c r="AC5718">
        <v>0.72639999999998395</v>
      </c>
      <c r="AD5718">
        <v>-9.0995999999999799E-2</v>
      </c>
      <c r="AE5718">
        <v>0.48347999999999303</v>
      </c>
      <c r="AF5718">
        <v>-0.47648535648123902</v>
      </c>
      <c r="AG5718">
        <v>-9.0995999999999799E-2</v>
      </c>
      <c r="AH5718">
        <v>0.719775874050266</v>
      </c>
      <c r="AI5718">
        <v>96.017721250528496</v>
      </c>
      <c r="AJ5718">
        <v>123.504212030375</v>
      </c>
      <c r="AK5718">
        <v>0.86798379928537694</v>
      </c>
    </row>
    <row r="5719" spans="1:37" x14ac:dyDescent="0.2">
      <c r="A5719" t="str">
        <f>"20200111153803070"</f>
        <v>20200111153803070</v>
      </c>
      <c r="B5719" t="str">
        <f>"1578728283058817"</f>
        <v>1578728283058817</v>
      </c>
      <c r="C5719" t="s">
        <v>37</v>
      </c>
      <c r="D5719">
        <v>5.5514900000000003</v>
      </c>
      <c r="E5719">
        <v>0.41217429999999899</v>
      </c>
      <c r="F5719" t="s">
        <v>62</v>
      </c>
      <c r="G5719">
        <v>-221.4409</v>
      </c>
      <c r="H5719" s="1">
        <v>-7.0260609999999995E-7</v>
      </c>
      <c r="I5719">
        <v>-56.863619999999997</v>
      </c>
      <c r="J5719">
        <v>-232.4179</v>
      </c>
      <c r="K5719">
        <v>1.103305</v>
      </c>
      <c r="L5719">
        <v>-62.6723</v>
      </c>
      <c r="M5719">
        <v>0.99989930000000005</v>
      </c>
      <c r="N5719">
        <v>0</v>
      </c>
      <c r="O5719">
        <v>1.7413539999999901E-3</v>
      </c>
      <c r="P5719">
        <v>0.96566229999999997</v>
      </c>
      <c r="Q5719">
        <v>2.7287189999999999E-2</v>
      </c>
      <c r="R5719">
        <v>0.25836419999999999</v>
      </c>
      <c r="S5719">
        <v>2.735687</v>
      </c>
      <c r="T5719">
        <v>-0.27018179999999897</v>
      </c>
      <c r="U5719">
        <v>1.4224239999999999</v>
      </c>
      <c r="V5719">
        <v>-0.25654179999999999</v>
      </c>
      <c r="W5719">
        <v>4.1771959999999997E-2</v>
      </c>
      <c r="X5719">
        <v>0.96563009999999905</v>
      </c>
      <c r="Y5719">
        <v>-0.45802510000000002</v>
      </c>
      <c r="Z5719">
        <v>2.106181E-2</v>
      </c>
      <c r="AA5719">
        <v>0.88868979999999997</v>
      </c>
      <c r="AB5719">
        <v>36</v>
      </c>
      <c r="AC5719">
        <v>10.977</v>
      </c>
      <c r="AD5719">
        <v>-1.1033057026060999</v>
      </c>
      <c r="AE5719">
        <v>5.8086799999999998</v>
      </c>
      <c r="AF5719">
        <v>-5.7442188964679</v>
      </c>
      <c r="AG5719">
        <v>-1.1033057026060999</v>
      </c>
      <c r="AH5719">
        <v>10.901063990372201</v>
      </c>
      <c r="AI5719">
        <v>95.116631547838395</v>
      </c>
      <c r="AJ5719">
        <v>117.786590311602</v>
      </c>
      <c r="AK5719">
        <v>12.371197610827</v>
      </c>
    </row>
    <row r="5720" spans="1:37" x14ac:dyDescent="0.2">
      <c r="A5720" t="str">
        <f>"20200111153803084"</f>
        <v>20200111153803084</v>
      </c>
      <c r="B5720" t="str">
        <f>"1578728283079312"</f>
        <v>1578728283079312</v>
      </c>
      <c r="C5720" t="s">
        <v>37</v>
      </c>
      <c r="D5720">
        <v>5.5647640000000003</v>
      </c>
      <c r="E5720">
        <v>0.41295699999999902</v>
      </c>
      <c r="F5720" t="s">
        <v>38</v>
      </c>
      <c r="G5720">
        <v>-231.5557</v>
      </c>
      <c r="H5720">
        <v>1.0174239999999899</v>
      </c>
      <c r="I5720">
        <v>-62.222209999999997</v>
      </c>
      <c r="J5720">
        <v>-232.208</v>
      </c>
      <c r="K5720">
        <v>1.1033329999999999</v>
      </c>
      <c r="L5720">
        <v>-62.672669999999997</v>
      </c>
      <c r="M5720">
        <v>0.99989899999999998</v>
      </c>
      <c r="N5720">
        <v>0</v>
      </c>
      <c r="O5720">
        <v>9.3163509999999905E-4</v>
      </c>
      <c r="P5720">
        <v>0.96499330000000005</v>
      </c>
      <c r="Q5720">
        <v>2.7248439999999999E-2</v>
      </c>
      <c r="R5720">
        <v>0.26085599999999998</v>
      </c>
      <c r="S5720">
        <v>2.7326509999999899</v>
      </c>
      <c r="T5720">
        <v>-0.2721847</v>
      </c>
      <c r="U5720">
        <v>1.4267270000000001</v>
      </c>
      <c r="V5720">
        <v>-0.25981670000000001</v>
      </c>
      <c r="W5720">
        <v>4.1822930000000001E-2</v>
      </c>
      <c r="X5720">
        <v>0.96475180000000005</v>
      </c>
      <c r="Y5720">
        <v>-0.46020739999999999</v>
      </c>
      <c r="Z5720">
        <v>2.1408489999999999E-2</v>
      </c>
      <c r="AA5720">
        <v>0.88755329999999999</v>
      </c>
      <c r="AB5720">
        <v>36</v>
      </c>
      <c r="AC5720">
        <v>0.65229999999999599</v>
      </c>
      <c r="AD5720">
        <v>-8.5908999999999999E-2</v>
      </c>
      <c r="AE5720">
        <v>0.45045999999999897</v>
      </c>
      <c r="AF5720">
        <v>-0.44463007918292902</v>
      </c>
      <c r="AG5720">
        <v>-8.5908999999999999E-2</v>
      </c>
      <c r="AH5720">
        <v>0.645142545875241</v>
      </c>
      <c r="AI5720">
        <v>96.257191067909005</v>
      </c>
      <c r="AJ5720">
        <v>124.57448115600501</v>
      </c>
      <c r="AK5720">
        <v>0.78821644748990505</v>
      </c>
    </row>
    <row r="5721" spans="1:37" x14ac:dyDescent="0.2">
      <c r="A5721" t="str">
        <f>"20200111153803097"</f>
        <v>20200111153803097</v>
      </c>
      <c r="B5721" t="str">
        <f>"1578728283089074"</f>
        <v>1578728283089074</v>
      </c>
      <c r="C5721" t="s">
        <v>37</v>
      </c>
      <c r="D5721">
        <v>5.5308279999999996</v>
      </c>
      <c r="E5721">
        <v>0.41347539999999999</v>
      </c>
      <c r="F5721" t="s">
        <v>38</v>
      </c>
      <c r="G5721">
        <v>-231.24520000000001</v>
      </c>
      <c r="H5721">
        <v>1.0065389999999901</v>
      </c>
      <c r="I5721">
        <v>-62.169490000000003</v>
      </c>
      <c r="J5721">
        <v>-231.97389999999999</v>
      </c>
      <c r="K5721">
        <v>1.1033729999999999</v>
      </c>
      <c r="L5721">
        <v>-62.673250000000003</v>
      </c>
      <c r="M5721">
        <v>0.99989729999999999</v>
      </c>
      <c r="N5721">
        <v>0</v>
      </c>
      <c r="O5721" s="1">
        <v>3.3651639999999998E-5</v>
      </c>
      <c r="P5721">
        <v>0.96351209999999898</v>
      </c>
      <c r="Q5721">
        <v>2.7001239999999999E-2</v>
      </c>
      <c r="R5721">
        <v>0.26629920000000001</v>
      </c>
      <c r="S5721">
        <v>2.7307429999999999</v>
      </c>
      <c r="T5721">
        <v>-0.27455020000000002</v>
      </c>
      <c r="U5721">
        <v>1.427338</v>
      </c>
      <c r="V5721">
        <v>-0.26612779999999903</v>
      </c>
      <c r="W5721">
        <v>4.1703829999999997E-2</v>
      </c>
      <c r="X5721">
        <v>0.96303519999999898</v>
      </c>
      <c r="Y5721">
        <v>-0.46137209999999901</v>
      </c>
      <c r="Z5721">
        <v>2.1745609999999999E-2</v>
      </c>
      <c r="AA5721">
        <v>0.88694019999999996</v>
      </c>
      <c r="AB5721">
        <v>36</v>
      </c>
      <c r="AC5721">
        <v>0.72869999999997404</v>
      </c>
      <c r="AD5721">
        <v>-9.6834000000000003E-2</v>
      </c>
      <c r="AE5721">
        <v>0.50375999999999899</v>
      </c>
      <c r="AF5721">
        <v>-0.497787718516986</v>
      </c>
      <c r="AG5721">
        <v>-9.6834000000000003E-2</v>
      </c>
      <c r="AH5721">
        <v>0.72011277275874896</v>
      </c>
      <c r="AI5721">
        <v>96.312095149597098</v>
      </c>
      <c r="AJ5721">
        <v>124.65469246880799</v>
      </c>
      <c r="AK5721">
        <v>0.88075640318571702</v>
      </c>
    </row>
    <row r="5722" spans="1:37" x14ac:dyDescent="0.2">
      <c r="A5722" t="str">
        <f>"20200111153803108"</f>
        <v>20200111153803108</v>
      </c>
      <c r="B5722" t="str">
        <f>"1578728283098833"</f>
        <v>1578728283098833</v>
      </c>
      <c r="C5722" t="s">
        <v>37</v>
      </c>
      <c r="D5722">
        <v>5.5380659999999997</v>
      </c>
      <c r="E5722">
        <v>0.4139002</v>
      </c>
      <c r="F5722" t="s">
        <v>38</v>
      </c>
      <c r="G5722">
        <v>-231.1465</v>
      </c>
      <c r="H5722">
        <v>1.0192459999999901</v>
      </c>
      <c r="I5722">
        <v>-62.236449999999998</v>
      </c>
      <c r="J5722">
        <v>-231.80439999999999</v>
      </c>
      <c r="K5722">
        <v>1.1033979999999901</v>
      </c>
      <c r="L5722">
        <v>-62.67389</v>
      </c>
      <c r="M5722">
        <v>0.99989570000000005</v>
      </c>
      <c r="N5722">
        <v>0</v>
      </c>
      <c r="O5722">
        <v>-6.1468899999999997E-4</v>
      </c>
      <c r="P5722">
        <v>0.96281439999999996</v>
      </c>
      <c r="Q5722">
        <v>2.6725459999999999E-2</v>
      </c>
      <c r="R5722">
        <v>0.26883940000000001</v>
      </c>
      <c r="S5722">
        <v>2.72389199999999</v>
      </c>
      <c r="T5722">
        <v>-0.2769566</v>
      </c>
      <c r="U5722">
        <v>1.4381409999999999</v>
      </c>
      <c r="V5722">
        <v>-0.26929309999999901</v>
      </c>
      <c r="W5722">
        <v>4.1527550000000003E-2</v>
      </c>
      <c r="X5722">
        <v>0.96216250000000003</v>
      </c>
      <c r="Y5722">
        <v>-0.46555629999999998</v>
      </c>
      <c r="Z5722">
        <v>2.2226119999999999E-2</v>
      </c>
      <c r="AA5722">
        <v>0.88473919999999995</v>
      </c>
      <c r="AB5722">
        <v>36</v>
      </c>
      <c r="AC5722">
        <v>0.65789999999998305</v>
      </c>
      <c r="AD5722">
        <v>-8.4152000000000005E-2</v>
      </c>
      <c r="AE5722">
        <v>0.43744000000000199</v>
      </c>
      <c r="AF5722">
        <v>-0.43293262680584998</v>
      </c>
      <c r="AG5722">
        <v>-8.4152000000000005E-2</v>
      </c>
      <c r="AH5722">
        <v>0.65025365634258803</v>
      </c>
      <c r="AI5722">
        <v>96.148341279090999</v>
      </c>
      <c r="AJ5722">
        <v>123.65529427794</v>
      </c>
      <c r="AK5722">
        <v>0.78571116578798705</v>
      </c>
    </row>
    <row r="5723" spans="1:37" x14ac:dyDescent="0.2">
      <c r="A5723" t="str">
        <f>"20200111153803126"</f>
        <v>20200111153803126</v>
      </c>
      <c r="B5723" t="str">
        <f>"1578728283119328"</f>
        <v>1578728283119328</v>
      </c>
      <c r="C5723" t="s">
        <v>37</v>
      </c>
      <c r="D5723">
        <v>5.626595</v>
      </c>
      <c r="E5723">
        <v>0.41509770000000001</v>
      </c>
      <c r="F5723" t="s">
        <v>38</v>
      </c>
      <c r="G5723">
        <v>-230.91679999999999</v>
      </c>
      <c r="H5723">
        <v>1.0123</v>
      </c>
      <c r="I5723">
        <v>-62.203629999999997</v>
      </c>
      <c r="J5723">
        <v>-231.53399999999999</v>
      </c>
      <c r="K5723">
        <v>1.1034360000000001</v>
      </c>
      <c r="L5723">
        <v>-62.675049999999999</v>
      </c>
      <c r="M5723">
        <v>0.999892</v>
      </c>
      <c r="N5723">
        <v>0</v>
      </c>
      <c r="O5723">
        <v>-1.6469060000000001E-3</v>
      </c>
      <c r="P5723">
        <v>0.96222999999999903</v>
      </c>
      <c r="Q5723">
        <v>2.648468E-2</v>
      </c>
      <c r="R5723">
        <v>0.27094669999999998</v>
      </c>
      <c r="S5723">
        <v>2.721069</v>
      </c>
      <c r="T5723">
        <v>-0.27925820000000001</v>
      </c>
      <c r="U5723">
        <v>1.4417719999999901</v>
      </c>
      <c r="V5723">
        <v>-0.27239359999999901</v>
      </c>
      <c r="W5723">
        <v>4.1448939999999997E-2</v>
      </c>
      <c r="X5723">
        <v>0.9612927</v>
      </c>
      <c r="Y5723">
        <v>-0.46772200000000003</v>
      </c>
      <c r="Z5723">
        <v>2.262722E-2</v>
      </c>
      <c r="AA5723">
        <v>0.88358590000000004</v>
      </c>
      <c r="AB5723">
        <v>36</v>
      </c>
      <c r="AC5723">
        <v>0.61720000000002495</v>
      </c>
      <c r="AD5723">
        <v>-9.1136000000000106E-2</v>
      </c>
      <c r="AE5723">
        <v>0.47141999999999401</v>
      </c>
      <c r="AF5723">
        <v>-0.46601879637566401</v>
      </c>
      <c r="AG5723">
        <v>-9.1136000000000106E-2</v>
      </c>
      <c r="AH5723">
        <v>0.60804976659875998</v>
      </c>
      <c r="AI5723">
        <v>96.784143314158598</v>
      </c>
      <c r="AJ5723">
        <v>127.46711679297501</v>
      </c>
      <c r="AK5723">
        <v>0.77149452864698198</v>
      </c>
    </row>
    <row r="5724" spans="1:37" x14ac:dyDescent="0.2">
      <c r="A5724" t="str">
        <f>"20200111153803136"</f>
        <v>20200111153803136</v>
      </c>
      <c r="B5724" t="str">
        <f>"1578728283129089"</f>
        <v>1578728283129089</v>
      </c>
      <c r="C5724" t="s">
        <v>37</v>
      </c>
      <c r="D5724">
        <v>5.6592560000000001</v>
      </c>
      <c r="E5724">
        <v>0.4158946</v>
      </c>
      <c r="F5724" t="s">
        <v>38</v>
      </c>
      <c r="G5724">
        <v>-230.601</v>
      </c>
      <c r="H5724">
        <v>1.00667</v>
      </c>
      <c r="I5724">
        <v>-62.181999999999903</v>
      </c>
      <c r="J5724">
        <v>-231.33969999999999</v>
      </c>
      <c r="K5724">
        <v>1.1034619999999999</v>
      </c>
      <c r="L5724">
        <v>-62.675989999999999</v>
      </c>
      <c r="M5724">
        <v>0.99988869999999896</v>
      </c>
      <c r="N5724">
        <v>0</v>
      </c>
      <c r="O5724">
        <v>-2.3857399999999999E-3</v>
      </c>
      <c r="P5724">
        <v>0.96152059999999995</v>
      </c>
      <c r="Q5724">
        <v>2.647468E-2</v>
      </c>
      <c r="R5724">
        <v>0.27345520000000001</v>
      </c>
      <c r="S5724">
        <v>2.720596</v>
      </c>
      <c r="T5724">
        <v>-0.28219539999999999</v>
      </c>
      <c r="U5724">
        <v>1.4380489999999999</v>
      </c>
      <c r="V5724">
        <v>-0.27561099999999999</v>
      </c>
      <c r="W5724">
        <v>4.1554229999999998E-2</v>
      </c>
      <c r="X5724">
        <v>0.96037070000000002</v>
      </c>
      <c r="Y5724">
        <v>-0.46744859999999999</v>
      </c>
      <c r="Z5724">
        <v>2.2932999999999999E-2</v>
      </c>
      <c r="AA5724">
        <v>0.88372280000000003</v>
      </c>
      <c r="AB5724">
        <v>36</v>
      </c>
      <c r="AC5724">
        <v>0.73869999999999403</v>
      </c>
      <c r="AD5724">
        <v>-9.6791999999999906E-2</v>
      </c>
      <c r="AE5724">
        <v>0.49399000000000998</v>
      </c>
      <c r="AF5724">
        <v>-0.48993871827913199</v>
      </c>
      <c r="AG5724">
        <v>-9.6791999999999906E-2</v>
      </c>
      <c r="AH5724">
        <v>0.72887222509303995</v>
      </c>
      <c r="AI5724">
        <v>96.289305670444705</v>
      </c>
      <c r="AJ5724">
        <v>123.908496600167</v>
      </c>
      <c r="AK5724">
        <v>0.88355156015089298</v>
      </c>
    </row>
    <row r="5725" spans="1:37" x14ac:dyDescent="0.2">
      <c r="A5725" t="str">
        <f>"20200111153803148"</f>
        <v>20200111153803148</v>
      </c>
      <c r="B5725" t="str">
        <f>"1578728283138850"</f>
        <v>1578728283138850</v>
      </c>
      <c r="C5725" t="s">
        <v>37</v>
      </c>
      <c r="D5725">
        <v>5.63828</v>
      </c>
      <c r="E5725">
        <v>0.41633109999999901</v>
      </c>
      <c r="F5725" t="s">
        <v>38</v>
      </c>
      <c r="G5725">
        <v>-230.5274</v>
      </c>
      <c r="H5725">
        <v>1.0189319999999999</v>
      </c>
      <c r="I5725">
        <v>-62.246189999999999</v>
      </c>
      <c r="J5725">
        <v>-231.1559</v>
      </c>
      <c r="K5725">
        <v>1.1034839999999999</v>
      </c>
      <c r="L5725">
        <v>-62.677149999999997</v>
      </c>
      <c r="M5725">
        <v>0.99988500000000002</v>
      </c>
      <c r="N5725">
        <v>0</v>
      </c>
      <c r="O5725">
        <v>-3.08223E-3</v>
      </c>
      <c r="P5725">
        <v>0.9607888</v>
      </c>
      <c r="Q5725">
        <v>2.6272340000000002E-2</v>
      </c>
      <c r="R5725">
        <v>0.27603359999999999</v>
      </c>
      <c r="S5725">
        <v>2.718674</v>
      </c>
      <c r="T5725">
        <v>-0.28290989999999999</v>
      </c>
      <c r="U5725">
        <v>1.43866</v>
      </c>
      <c r="V5725">
        <v>-0.27885679999999902</v>
      </c>
      <c r="W5725">
        <v>4.1463710000000001E-2</v>
      </c>
      <c r="X5725">
        <v>0.95943709999999904</v>
      </c>
      <c r="Y5725">
        <v>-0.46845690000000001</v>
      </c>
      <c r="Z5725">
        <v>2.3120990000000001E-2</v>
      </c>
      <c r="AA5725">
        <v>0.88318379999999996</v>
      </c>
      <c r="AB5725">
        <v>36</v>
      </c>
      <c r="AC5725">
        <v>0.62850000000000195</v>
      </c>
      <c r="AD5725">
        <v>-8.4551999999999905E-2</v>
      </c>
      <c r="AE5725">
        <v>0.43095999999999102</v>
      </c>
      <c r="AF5725">
        <v>-0.427631100930777</v>
      </c>
      <c r="AG5725">
        <v>-8.4551999999999905E-2</v>
      </c>
      <c r="AH5725">
        <v>0.619541833432939</v>
      </c>
      <c r="AI5725">
        <v>96.408456059620704</v>
      </c>
      <c r="AJ5725">
        <v>124.61489917524101</v>
      </c>
      <c r="AK5725">
        <v>0.75752853580622004</v>
      </c>
    </row>
    <row r="5726" spans="1:37" x14ac:dyDescent="0.2">
      <c r="A5726" t="str">
        <f>"20200111153803160"</f>
        <v>20200111153803160</v>
      </c>
      <c r="B5726" t="str">
        <f>"1578728283148609"</f>
        <v>1578728283148609</v>
      </c>
      <c r="C5726" t="s">
        <v>37</v>
      </c>
      <c r="D5726">
        <v>5.6270939999999996</v>
      </c>
      <c r="E5726">
        <v>0.41676449999999998</v>
      </c>
      <c r="F5726" t="s">
        <v>38</v>
      </c>
      <c r="G5726">
        <v>-230.27549999999999</v>
      </c>
      <c r="H5726">
        <v>1.0109999999999999</v>
      </c>
      <c r="I5726">
        <v>-62.209829999999997</v>
      </c>
      <c r="J5726">
        <v>-230.9796</v>
      </c>
      <c r="K5726">
        <v>1.1034999999999999</v>
      </c>
      <c r="L5726">
        <v>-62.678280000000001</v>
      </c>
      <c r="M5726">
        <v>0.99988099999999902</v>
      </c>
      <c r="N5726">
        <v>0</v>
      </c>
      <c r="O5726">
        <v>-3.7501990000000001E-3</v>
      </c>
      <c r="P5726">
        <v>0.96004069999999997</v>
      </c>
      <c r="Q5726">
        <v>2.6535710000000001E-2</v>
      </c>
      <c r="R5726">
        <v>0.2785995</v>
      </c>
      <c r="S5726">
        <v>2.715881</v>
      </c>
      <c r="T5726">
        <v>-0.285323299999999</v>
      </c>
      <c r="U5726">
        <v>1.442291</v>
      </c>
      <c r="V5726">
        <v>-0.28206019999999998</v>
      </c>
      <c r="W5726">
        <v>4.1834839999999998E-2</v>
      </c>
      <c r="X5726">
        <v>0.95848419999999901</v>
      </c>
      <c r="Y5726">
        <v>-0.47029520000000002</v>
      </c>
      <c r="Z5726">
        <v>2.3487689999999999E-2</v>
      </c>
      <c r="AA5726">
        <v>0.88219650000000005</v>
      </c>
      <c r="AB5726">
        <v>36</v>
      </c>
      <c r="AC5726">
        <v>0.70410000000001105</v>
      </c>
      <c r="AD5726">
        <v>-9.2499999999999999E-2</v>
      </c>
      <c r="AE5726">
        <v>0.46845000000000397</v>
      </c>
      <c r="AF5726">
        <v>-0.46551833397239001</v>
      </c>
      <c r="AG5726">
        <v>-9.2499999999999999E-2</v>
      </c>
      <c r="AH5726">
        <v>0.694035051410274</v>
      </c>
      <c r="AI5726">
        <v>96.316122229044893</v>
      </c>
      <c r="AJ5726">
        <v>123.851409955752</v>
      </c>
      <c r="AK5726">
        <v>0.84080213002257098</v>
      </c>
    </row>
    <row r="5727" spans="1:37" x14ac:dyDescent="0.2">
      <c r="A5727" t="str">
        <f>"20200111153803176"</f>
        <v>20200111153803176</v>
      </c>
      <c r="B5727" t="str">
        <f>"1578728283169104"</f>
        <v>1578728283169104</v>
      </c>
      <c r="C5727" t="s">
        <v>37</v>
      </c>
      <c r="D5727">
        <v>5.6053189999999997</v>
      </c>
      <c r="E5727">
        <v>0.41763539999999999</v>
      </c>
      <c r="F5727" t="s">
        <v>38</v>
      </c>
      <c r="G5727">
        <v>-229.97139999999999</v>
      </c>
      <c r="H5727">
        <v>0.99719409999999897</v>
      </c>
      <c r="I5727">
        <v>-62.141039999999997</v>
      </c>
      <c r="J5727">
        <v>-230.71619999999999</v>
      </c>
      <c r="K5727">
        <v>1.103523</v>
      </c>
      <c r="L5727">
        <v>-62.680269999999901</v>
      </c>
      <c r="M5727">
        <v>0.99987389999999998</v>
      </c>
      <c r="N5727">
        <v>0</v>
      </c>
      <c r="O5727">
        <v>-4.747935E-3</v>
      </c>
      <c r="P5727">
        <v>0.95850749999999996</v>
      </c>
      <c r="Q5727">
        <v>2.6346089999999999E-2</v>
      </c>
      <c r="R5727">
        <v>0.28384759999999998</v>
      </c>
      <c r="S5727">
        <v>2.7131810000000001</v>
      </c>
      <c r="T5727">
        <v>-0.28607729999999998</v>
      </c>
      <c r="U5727">
        <v>1.445892</v>
      </c>
      <c r="V5727">
        <v>-0.28825849999999997</v>
      </c>
      <c r="W5727">
        <v>4.1808169999999999E-2</v>
      </c>
      <c r="X5727">
        <v>0.95663949999999998</v>
      </c>
      <c r="Y5727">
        <v>-0.47242289999999998</v>
      </c>
      <c r="Z5727">
        <v>2.376665E-2</v>
      </c>
      <c r="AA5727">
        <v>0.88105149999999999</v>
      </c>
      <c r="AB5727">
        <v>36</v>
      </c>
      <c r="AC5727">
        <v>0.74479999999999702</v>
      </c>
      <c r="AD5727">
        <v>-0.1063289</v>
      </c>
      <c r="AE5727">
        <v>0.539229999999989</v>
      </c>
      <c r="AF5727">
        <v>-0.53559865100617299</v>
      </c>
      <c r="AG5727">
        <v>-0.1063289</v>
      </c>
      <c r="AH5727">
        <v>0.73243705132195003</v>
      </c>
      <c r="AI5727">
        <v>96.683605989510397</v>
      </c>
      <c r="AJ5727">
        <v>126.176344856456</v>
      </c>
      <c r="AK5727">
        <v>0.91358403230575103</v>
      </c>
    </row>
    <row r="5728" spans="1:37" x14ac:dyDescent="0.2">
      <c r="A5728" t="str">
        <f>"20200111153803189"</f>
        <v>20200111153803189</v>
      </c>
      <c r="B5728" t="str">
        <f>"1578728283178864"</f>
        <v>1578728283178864</v>
      </c>
      <c r="C5728" t="s">
        <v>37</v>
      </c>
      <c r="D5728">
        <v>5.6138170000000001</v>
      </c>
      <c r="E5728">
        <v>0.41790680000000002</v>
      </c>
      <c r="F5728" t="s">
        <v>38</v>
      </c>
      <c r="G5728">
        <v>-229.93960000000001</v>
      </c>
      <c r="H5728">
        <v>1.0205469999999901</v>
      </c>
      <c r="I5728">
        <v>-62.263289999999998</v>
      </c>
      <c r="J5728">
        <v>-230.51820000000001</v>
      </c>
      <c r="K5728">
        <v>1.1035440000000001</v>
      </c>
      <c r="L5728">
        <v>-62.681950000000001</v>
      </c>
      <c r="M5728">
        <v>0.99986810000000004</v>
      </c>
      <c r="N5728">
        <v>0</v>
      </c>
      <c r="O5728">
        <v>-5.5006430000000004E-3</v>
      </c>
      <c r="P5728">
        <v>0.95788649999999997</v>
      </c>
      <c r="Q5728">
        <v>2.5693569999999999E-2</v>
      </c>
      <c r="R5728">
        <v>0.28599550000000001</v>
      </c>
      <c r="S5728">
        <v>2.7073209999999999</v>
      </c>
      <c r="T5728">
        <v>-0.2892478</v>
      </c>
      <c r="U5728">
        <v>1.453735</v>
      </c>
      <c r="V5728">
        <v>-0.29112559999999998</v>
      </c>
      <c r="W5728">
        <v>4.127695E-2</v>
      </c>
      <c r="X5728">
        <v>0.95579400000000003</v>
      </c>
      <c r="Y5728">
        <v>-0.47578759999999998</v>
      </c>
      <c r="Z5728">
        <v>2.430237E-2</v>
      </c>
      <c r="AA5728">
        <v>0.87922440000000002</v>
      </c>
      <c r="AB5728">
        <v>36</v>
      </c>
      <c r="AC5728">
        <v>0.57859999999999401</v>
      </c>
      <c r="AD5728">
        <v>-8.2997000000000196E-2</v>
      </c>
      <c r="AE5728">
        <v>0.41865999999999498</v>
      </c>
      <c r="AF5728">
        <v>-0.41621553760142499</v>
      </c>
      <c r="AG5728">
        <v>-8.2997000000000196E-2</v>
      </c>
      <c r="AH5728">
        <v>0.56860876898727097</v>
      </c>
      <c r="AI5728">
        <v>96.7174842450721</v>
      </c>
      <c r="AJ5728">
        <v>126.20372872710701</v>
      </c>
      <c r="AK5728">
        <v>0.70953492367822402</v>
      </c>
    </row>
    <row r="5729" spans="1:37" x14ac:dyDescent="0.2">
      <c r="A5729" t="str">
        <f>"20200111153803201"</f>
        <v>20200111153803201</v>
      </c>
      <c r="B5729" t="str">
        <f>"1578728283199361"</f>
        <v>1578728283199361</v>
      </c>
      <c r="C5729" t="s">
        <v>37</v>
      </c>
      <c r="D5729">
        <v>5.6006669999999996</v>
      </c>
      <c r="E5729">
        <v>0.41867460000000001</v>
      </c>
      <c r="F5729" t="s">
        <v>38</v>
      </c>
      <c r="G5729">
        <v>-229.63929999999999</v>
      </c>
      <c r="H5729">
        <v>1.0085</v>
      </c>
      <c r="I5729">
        <v>-62.208489999999998</v>
      </c>
      <c r="J5729">
        <v>-230.32169999999999</v>
      </c>
      <c r="K5729">
        <v>1.103561</v>
      </c>
      <c r="L5729">
        <v>-62.683750000000003</v>
      </c>
      <c r="M5729">
        <v>0.99986169999999996</v>
      </c>
      <c r="N5729">
        <v>0</v>
      </c>
      <c r="O5729">
        <v>-6.2481940000000003E-3</v>
      </c>
      <c r="P5729">
        <v>0.95727289999999998</v>
      </c>
      <c r="Q5729">
        <v>2.5364729999999999E-2</v>
      </c>
      <c r="R5729">
        <v>0.28807189999999999</v>
      </c>
      <c r="S5729">
        <v>2.7045439999999998</v>
      </c>
      <c r="T5729">
        <v>-0.29250229999999999</v>
      </c>
      <c r="U5729">
        <v>1.457611</v>
      </c>
      <c r="V5729">
        <v>-0.2939138</v>
      </c>
      <c r="W5729">
        <v>4.1065409999999997E-2</v>
      </c>
      <c r="X5729">
        <v>0.95494939999999995</v>
      </c>
      <c r="Y5729">
        <v>-0.47773369999999998</v>
      </c>
      <c r="Z5729">
        <v>2.4762760000000002E-2</v>
      </c>
      <c r="AA5729">
        <v>0.87815560000000004</v>
      </c>
      <c r="AB5729">
        <v>36</v>
      </c>
      <c r="AC5729">
        <v>0.68240000000000101</v>
      </c>
      <c r="AD5729">
        <v>-9.5061000000000007E-2</v>
      </c>
      <c r="AE5729">
        <v>0.47525999999999802</v>
      </c>
      <c r="AF5729">
        <v>-0.47332984534936701</v>
      </c>
      <c r="AG5729">
        <v>-9.5061000000000007E-2</v>
      </c>
      <c r="AH5729">
        <v>0.67065317173689298</v>
      </c>
      <c r="AI5729">
        <v>96.605775793116393</v>
      </c>
      <c r="AJ5729">
        <v>125.213464809359</v>
      </c>
      <c r="AK5729">
        <v>0.82634944967623203</v>
      </c>
    </row>
    <row r="5730" spans="1:37" x14ac:dyDescent="0.2">
      <c r="A5730" t="str">
        <f>"20200111153803213"</f>
        <v>20200111153803213</v>
      </c>
      <c r="B5730" t="str">
        <f>"1578728283209120"</f>
        <v>1578728283209120</v>
      </c>
      <c r="C5730" t="s">
        <v>37</v>
      </c>
      <c r="D5730">
        <v>5.5955409999999999</v>
      </c>
      <c r="E5730">
        <v>0.41906559999999998</v>
      </c>
      <c r="F5730" t="s">
        <v>38</v>
      </c>
      <c r="G5730">
        <v>-229.33420000000001</v>
      </c>
      <c r="H5730">
        <v>0.99526199999999998</v>
      </c>
      <c r="I5730">
        <v>-62.151350000000001</v>
      </c>
      <c r="J5730">
        <v>-230.1345</v>
      </c>
      <c r="K5730">
        <v>1.103575</v>
      </c>
      <c r="L5730">
        <v>-62.685609999999997</v>
      </c>
      <c r="M5730">
        <v>0.9998551</v>
      </c>
      <c r="N5730">
        <v>0</v>
      </c>
      <c r="O5730">
        <v>-6.9628490000000001E-3</v>
      </c>
      <c r="P5730">
        <v>0.95675149999999998</v>
      </c>
      <c r="Q5730">
        <v>2.5072110000000002E-2</v>
      </c>
      <c r="R5730">
        <v>0.28982379999999902</v>
      </c>
      <c r="S5730">
        <v>2.7032620000000001</v>
      </c>
      <c r="T5730">
        <v>-0.2964426</v>
      </c>
      <c r="U5730">
        <v>1.457184</v>
      </c>
      <c r="V5730">
        <v>-0.29634629999999901</v>
      </c>
      <c r="W5730">
        <v>4.0878650000000002E-2</v>
      </c>
      <c r="X5730">
        <v>0.95420530000000003</v>
      </c>
      <c r="Y5730">
        <v>-0.47835919999999998</v>
      </c>
      <c r="Z5730">
        <v>2.5211319999999999E-2</v>
      </c>
      <c r="AA5730">
        <v>0.87780230000000004</v>
      </c>
      <c r="AB5730">
        <v>36</v>
      </c>
      <c r="AC5730">
        <v>0.80029999999999202</v>
      </c>
      <c r="AD5730">
        <v>-0.10831299999999899</v>
      </c>
      <c r="AE5730">
        <v>0.53425999999999596</v>
      </c>
      <c r="AF5730">
        <v>-0.53306592372108597</v>
      </c>
      <c r="AG5730">
        <v>-0.10831299999999899</v>
      </c>
      <c r="AH5730">
        <v>0.78659371155704405</v>
      </c>
      <c r="AI5730">
        <v>96.503026922251706</v>
      </c>
      <c r="AJ5730">
        <v>124.125062384667</v>
      </c>
      <c r="AK5730">
        <v>0.95635801458590897</v>
      </c>
    </row>
    <row r="5731" spans="1:37" x14ac:dyDescent="0.2">
      <c r="A5731" t="str">
        <f>"20200111153803227"</f>
        <v>20200111153803227</v>
      </c>
      <c r="B5731" t="str">
        <f>"1578728283218880"</f>
        <v>1578728283218880</v>
      </c>
      <c r="C5731" t="s">
        <v>37</v>
      </c>
      <c r="D5731">
        <v>5.5372859999999999</v>
      </c>
      <c r="E5731">
        <v>0.41906559999999998</v>
      </c>
      <c r="F5731" t="s">
        <v>38</v>
      </c>
      <c r="G5731">
        <v>-229.3151</v>
      </c>
      <c r="H5731">
        <v>1.012985</v>
      </c>
      <c r="I5731">
        <v>-62.242989999999999</v>
      </c>
      <c r="J5731">
        <v>-229.928</v>
      </c>
      <c r="K5731">
        <v>1.103591</v>
      </c>
      <c r="L5731">
        <v>-62.687809999999999</v>
      </c>
      <c r="M5731">
        <v>0.99984719999999905</v>
      </c>
      <c r="N5731">
        <v>0</v>
      </c>
      <c r="O5731">
        <v>-7.75188599999999E-3</v>
      </c>
      <c r="P5731">
        <v>0.95625380000000004</v>
      </c>
      <c r="Q5731">
        <v>2.4943489999999999E-2</v>
      </c>
      <c r="R5731">
        <v>0.29147299999999998</v>
      </c>
      <c r="S5731">
        <v>2.701508</v>
      </c>
      <c r="T5731">
        <v>-0.29864049999999998</v>
      </c>
      <c r="U5731">
        <v>1.4589840000000001</v>
      </c>
      <c r="V5731">
        <v>-0.29874519999999999</v>
      </c>
      <c r="W5731">
        <v>4.0868649999999999E-2</v>
      </c>
      <c r="X5731">
        <v>0.95345740000000001</v>
      </c>
      <c r="Y5731">
        <v>-0.47969629999999902</v>
      </c>
      <c r="Z5731">
        <v>2.5558560000000001E-2</v>
      </c>
      <c r="AA5731">
        <v>0.87706229999999996</v>
      </c>
      <c r="AB5731">
        <v>36</v>
      </c>
      <c r="AC5731">
        <v>0.612899999999996</v>
      </c>
      <c r="AD5731">
        <v>-9.0605999999999895E-2</v>
      </c>
      <c r="AE5731">
        <v>0.44481999999999999</v>
      </c>
      <c r="AF5731">
        <v>-0.44321402002139199</v>
      </c>
      <c r="AG5731">
        <v>-9.0605999999999895E-2</v>
      </c>
      <c r="AH5731">
        <v>0.60083243024567501</v>
      </c>
      <c r="AI5731">
        <v>96.919308841741099</v>
      </c>
      <c r="AJ5731">
        <v>126.414957003852</v>
      </c>
      <c r="AK5731">
        <v>0.75209555510882198</v>
      </c>
    </row>
    <row r="5732" spans="1:37" x14ac:dyDescent="0.2">
      <c r="A5732" t="str">
        <f>"20200111153803240"</f>
        <v>20200111153803240</v>
      </c>
      <c r="B5732" t="str">
        <f>"1578728283228641"</f>
        <v>1578728283228641</v>
      </c>
      <c r="C5732" t="s">
        <v>37</v>
      </c>
      <c r="D5732">
        <v>5.6645430000000001</v>
      </c>
      <c r="E5732">
        <v>0.43245159999999899</v>
      </c>
      <c r="F5732" t="s">
        <v>38</v>
      </c>
      <c r="G5732">
        <v>-229.00989999999999</v>
      </c>
      <c r="H5732">
        <v>1.001951</v>
      </c>
      <c r="I5732">
        <v>-62.190089999999998</v>
      </c>
      <c r="J5732">
        <v>-229.71430000000001</v>
      </c>
      <c r="K5732">
        <v>1.1036170000000001</v>
      </c>
      <c r="L5732">
        <v>-62.690219999999997</v>
      </c>
      <c r="M5732">
        <v>0.99983840000000002</v>
      </c>
      <c r="N5732">
        <v>0</v>
      </c>
      <c r="O5732">
        <v>-8.5687530000000001E-3</v>
      </c>
      <c r="P5732">
        <v>0.95591709999999996</v>
      </c>
      <c r="Q5732">
        <v>2.440612E-2</v>
      </c>
      <c r="R5732">
        <v>0.29262090000000002</v>
      </c>
      <c r="S5732">
        <v>2.6988979999999998</v>
      </c>
      <c r="T5732">
        <v>-0.29883179999999998</v>
      </c>
      <c r="U5732">
        <v>1.4637149999999901</v>
      </c>
      <c r="V5732">
        <v>-0.30067139999999998</v>
      </c>
      <c r="W5732">
        <v>4.0456039999999999E-2</v>
      </c>
      <c r="X5732">
        <v>0.95286939999999998</v>
      </c>
      <c r="Y5732">
        <v>-0.48193449999999999</v>
      </c>
      <c r="Z5732">
        <v>2.5786739999999999E-2</v>
      </c>
      <c r="AA5732">
        <v>0.87582769999999999</v>
      </c>
      <c r="AB5732">
        <v>35</v>
      </c>
      <c r="AC5732">
        <v>0.70440000000002101</v>
      </c>
      <c r="AD5732">
        <v>-0.10166600000000001</v>
      </c>
      <c r="AE5732">
        <v>0.50012999999999097</v>
      </c>
      <c r="AF5732">
        <v>-0.49923409942955199</v>
      </c>
      <c r="AG5732">
        <v>-0.10166600000000001</v>
      </c>
      <c r="AH5732">
        <v>0.69052471897008205</v>
      </c>
      <c r="AI5732">
        <v>96.803997756749993</v>
      </c>
      <c r="AJ5732">
        <v>125.86609702735601</v>
      </c>
      <c r="AK5732">
        <v>0.85813463343344099</v>
      </c>
    </row>
    <row r="5733" spans="1:37" x14ac:dyDescent="0.2">
      <c r="A5733" t="str">
        <f>"20200111153803254"</f>
        <v>20200111153803254</v>
      </c>
      <c r="B5733" t="str">
        <f>"1578728283249136"</f>
        <v>1578728283249136</v>
      </c>
      <c r="C5733" t="s">
        <v>37</v>
      </c>
      <c r="D5733">
        <v>5.608822</v>
      </c>
      <c r="E5733">
        <v>0.432007799999999</v>
      </c>
      <c r="F5733" t="s">
        <v>38</v>
      </c>
      <c r="G5733">
        <v>-228.69669999999999</v>
      </c>
      <c r="H5733">
        <v>0.97844249999999899</v>
      </c>
      <c r="I5733">
        <v>-62.182479999999998</v>
      </c>
      <c r="J5733">
        <v>-229.4759</v>
      </c>
      <c r="K5733">
        <v>1.103639</v>
      </c>
      <c r="L5733">
        <v>-62.693210000000001</v>
      </c>
      <c r="M5733">
        <v>0.99982769999999999</v>
      </c>
      <c r="N5733">
        <v>0</v>
      </c>
      <c r="O5733">
        <v>-9.4797230000000007E-3</v>
      </c>
      <c r="P5733">
        <v>0.955072899999999</v>
      </c>
      <c r="Q5733">
        <v>2.3583819999999998E-2</v>
      </c>
      <c r="R5733">
        <v>0.29543130000000001</v>
      </c>
      <c r="S5733">
        <v>2.730057</v>
      </c>
      <c r="T5733">
        <v>-0.33581729999999999</v>
      </c>
      <c r="U5733">
        <v>1.3617859999999999</v>
      </c>
      <c r="V5733">
        <v>-0.30434549999999999</v>
      </c>
      <c r="W5733">
        <v>3.977472E-2</v>
      </c>
      <c r="X5733">
        <v>0.95173090000000005</v>
      </c>
      <c r="Y5733">
        <v>-0.4520364</v>
      </c>
      <c r="Z5733">
        <v>2.7274329999999999E-2</v>
      </c>
      <c r="AA5733">
        <v>0.8915824</v>
      </c>
      <c r="AB5733">
        <v>35</v>
      </c>
      <c r="AC5733">
        <v>0.779200000000003</v>
      </c>
      <c r="AD5733">
        <v>-0.12519649999999999</v>
      </c>
      <c r="AE5733">
        <v>0.51072999999999502</v>
      </c>
      <c r="AF5733">
        <v>-0.50890486440824301</v>
      </c>
      <c r="AG5733">
        <v>-0.12519649999999999</v>
      </c>
      <c r="AH5733">
        <v>0.76058820423167695</v>
      </c>
      <c r="AI5733">
        <v>97.790050773501903</v>
      </c>
      <c r="AJ5733">
        <v>123.786235783508</v>
      </c>
      <c r="AK5733">
        <v>0.92366267708887595</v>
      </c>
    </row>
    <row r="5734" spans="1:37" x14ac:dyDescent="0.2">
      <c r="A5734" t="str">
        <f>"20200111153803277"</f>
        <v>20200111153803277</v>
      </c>
      <c r="B5734" t="str">
        <f>"1578728283268657"</f>
        <v>1578728283268657</v>
      </c>
      <c r="C5734" t="s">
        <v>37</v>
      </c>
      <c r="D5734">
        <v>5.6291820000000001</v>
      </c>
      <c r="E5734">
        <v>0.4322608</v>
      </c>
      <c r="F5734" t="s">
        <v>38</v>
      </c>
      <c r="G5734">
        <v>-228.648</v>
      </c>
      <c r="H5734">
        <v>0.99966929999999998</v>
      </c>
      <c r="I5734">
        <v>-62.275889999999997</v>
      </c>
      <c r="J5734">
        <v>-229.1223</v>
      </c>
      <c r="K5734">
        <v>1.1036729999999999</v>
      </c>
      <c r="L5734">
        <v>-62.69791</v>
      </c>
      <c r="M5734">
        <v>0.99980999999999998</v>
      </c>
      <c r="N5734">
        <v>0</v>
      </c>
      <c r="O5734">
        <v>-1.0827720000000001E-2</v>
      </c>
      <c r="P5734">
        <v>0.95459649999999996</v>
      </c>
      <c r="Q5734">
        <v>2.2154480000000001E-2</v>
      </c>
      <c r="R5734">
        <v>0.29707719999999999</v>
      </c>
      <c r="S5734">
        <v>2.7248380000000001</v>
      </c>
      <c r="T5734">
        <v>-0.34218539999999997</v>
      </c>
      <c r="U5734">
        <v>1.3730770000000001</v>
      </c>
      <c r="V5734">
        <v>-0.30727490000000002</v>
      </c>
      <c r="W5734">
        <v>3.8567339999999999E-2</v>
      </c>
      <c r="X5734">
        <v>0.95083890000000004</v>
      </c>
      <c r="Y5734">
        <v>-0.45671529999999999</v>
      </c>
      <c r="Z5734">
        <v>2.824697E-2</v>
      </c>
      <c r="AA5734">
        <v>0.88916439999999997</v>
      </c>
      <c r="AB5734">
        <v>35</v>
      </c>
      <c r="AC5734">
        <v>0.474299999999999</v>
      </c>
      <c r="AD5734">
        <v>-0.10400369999999901</v>
      </c>
      <c r="AE5734">
        <v>0.42201999999999601</v>
      </c>
      <c r="AF5734">
        <v>-0.41596836774418999</v>
      </c>
      <c r="AG5734">
        <v>-0.10400369999999901</v>
      </c>
      <c r="AH5734">
        <v>0.45742633694018098</v>
      </c>
      <c r="AI5734">
        <v>99.548611324508101</v>
      </c>
      <c r="AJ5734">
        <v>132.282345521026</v>
      </c>
      <c r="AK5734">
        <v>0.62696515557403099</v>
      </c>
    </row>
    <row r="5735" spans="1:37" x14ac:dyDescent="0.2">
      <c r="A5735" t="str">
        <f>"20200111153803289"</f>
        <v>20200111153803289</v>
      </c>
      <c r="B5735" t="str">
        <f>"1578728283279393"</f>
        <v>1578728283279393</v>
      </c>
      <c r="C5735" t="s">
        <v>37</v>
      </c>
      <c r="D5735">
        <v>5.634118</v>
      </c>
      <c r="E5735">
        <v>0.43247099999999999</v>
      </c>
      <c r="F5735" t="s">
        <v>38</v>
      </c>
      <c r="G5735">
        <v>-228.27289999999999</v>
      </c>
      <c r="H5735">
        <v>0.99402380000000001</v>
      </c>
      <c r="I5735">
        <v>-62.269009999999902</v>
      </c>
      <c r="J5735">
        <v>-228.94309999999999</v>
      </c>
      <c r="K5735">
        <v>1.103693</v>
      </c>
      <c r="L5735">
        <v>-62.700559999999903</v>
      </c>
      <c r="M5735">
        <v>0.99980009999999997</v>
      </c>
      <c r="N5735">
        <v>0</v>
      </c>
      <c r="O5735">
        <v>-1.1506270000000001E-2</v>
      </c>
      <c r="P5735">
        <v>0.954381699999999</v>
      </c>
      <c r="Q5735">
        <v>2.108086E-2</v>
      </c>
      <c r="R5735">
        <v>0.2978441</v>
      </c>
      <c r="S5735">
        <v>2.722855</v>
      </c>
      <c r="T5735">
        <v>-0.35149320000000001</v>
      </c>
      <c r="U5735">
        <v>1.375275</v>
      </c>
      <c r="V5735">
        <v>-0.30868859999999998</v>
      </c>
      <c r="W5735">
        <v>3.7615309999999999E-2</v>
      </c>
      <c r="X5735">
        <v>0.95041909999999896</v>
      </c>
      <c r="Y5735">
        <v>-0.45797259999999901</v>
      </c>
      <c r="Z5735">
        <v>2.9182619999999999E-2</v>
      </c>
      <c r="AA5735">
        <v>0.88848719999999903</v>
      </c>
      <c r="AB5735">
        <v>35</v>
      </c>
      <c r="AC5735">
        <v>0.67019999999999402</v>
      </c>
      <c r="AD5735">
        <v>-0.109669199999999</v>
      </c>
      <c r="AE5735">
        <v>0.43155000000000099</v>
      </c>
      <c r="AF5735">
        <v>-0.43107430000055003</v>
      </c>
      <c r="AG5735">
        <v>-0.109669199999999</v>
      </c>
      <c r="AH5735">
        <v>0.65283219038603502</v>
      </c>
      <c r="AI5735">
        <v>97.980044618884193</v>
      </c>
      <c r="AJ5735">
        <v>123.437345303626</v>
      </c>
      <c r="AK5735">
        <v>0.78996345127723</v>
      </c>
    </row>
    <row r="5736" spans="1:37" x14ac:dyDescent="0.2">
      <c r="A5736" t="str">
        <f>"20200111153803300"</f>
        <v>20200111153803300</v>
      </c>
      <c r="B5736" t="str">
        <f>"1578728283289153"</f>
        <v>1578728283289153</v>
      </c>
      <c r="C5736" t="s">
        <v>37</v>
      </c>
      <c r="D5736">
        <v>5.6265879999999999</v>
      </c>
      <c r="E5736">
        <v>0.43261169999999999</v>
      </c>
      <c r="F5736" t="s">
        <v>38</v>
      </c>
      <c r="G5736">
        <v>-228.05529999999999</v>
      </c>
      <c r="H5736">
        <v>0.98791569999999995</v>
      </c>
      <c r="I5736">
        <v>-62.251950000000001</v>
      </c>
      <c r="J5736">
        <v>-228.75700000000001</v>
      </c>
      <c r="K5736">
        <v>1.103715</v>
      </c>
      <c r="L5736">
        <v>-62.703339999999997</v>
      </c>
      <c r="M5736">
        <v>0.99978940000000005</v>
      </c>
      <c r="N5736">
        <v>0</v>
      </c>
      <c r="O5736">
        <v>-1.220802E-2</v>
      </c>
      <c r="P5736">
        <v>0.95423899999999995</v>
      </c>
      <c r="Q5736">
        <v>2.045597E-2</v>
      </c>
      <c r="R5736">
        <v>0.29834460000000002</v>
      </c>
      <c r="S5736">
        <v>2.7219540000000002</v>
      </c>
      <c r="T5736">
        <v>-0.35496949999999999</v>
      </c>
      <c r="U5736">
        <v>1.3755489999999999</v>
      </c>
      <c r="V5736">
        <v>-0.30985699999999999</v>
      </c>
      <c r="W5736">
        <v>3.711975E-2</v>
      </c>
      <c r="X5736">
        <v>0.95005830000000002</v>
      </c>
      <c r="Y5736">
        <v>-0.4587116</v>
      </c>
      <c r="Z5736">
        <v>2.960865E-2</v>
      </c>
      <c r="AA5736">
        <v>0.88809169999999904</v>
      </c>
      <c r="AB5736">
        <v>35</v>
      </c>
      <c r="AC5736">
        <v>0.70170000000001598</v>
      </c>
      <c r="AD5736">
        <v>-0.11579929999999999</v>
      </c>
      <c r="AE5736">
        <v>0.45139000000000301</v>
      </c>
      <c r="AF5736">
        <v>-0.45123192663768402</v>
      </c>
      <c r="AG5736">
        <v>-0.11579929999999999</v>
      </c>
      <c r="AH5736">
        <v>0.68298029997276499</v>
      </c>
      <c r="AI5736">
        <v>98.051846883917904</v>
      </c>
      <c r="AJ5736">
        <v>123.45197128433399</v>
      </c>
      <c r="AK5736">
        <v>0.82672959282254699</v>
      </c>
    </row>
    <row r="5737" spans="1:37" x14ac:dyDescent="0.2">
      <c r="A5737" t="str">
        <f>"20200111153803312"</f>
        <v>20200111153803312</v>
      </c>
      <c r="B5737" t="str">
        <f>"1578728283308673"</f>
        <v>1578728283308673</v>
      </c>
      <c r="C5737" t="s">
        <v>37</v>
      </c>
      <c r="D5737">
        <v>5.6838790000000001</v>
      </c>
      <c r="E5737">
        <v>0.43267359999999999</v>
      </c>
      <c r="F5737" t="s">
        <v>38</v>
      </c>
      <c r="G5737">
        <v>-227.75470000000001</v>
      </c>
      <c r="H5737">
        <v>0.9715741</v>
      </c>
      <c r="I5737">
        <v>-62.196849999999998</v>
      </c>
      <c r="J5737">
        <v>-228.5667</v>
      </c>
      <c r="K5737">
        <v>1.103747</v>
      </c>
      <c r="L5737">
        <v>-62.706389999999999</v>
      </c>
      <c r="M5737">
        <v>0.99977780000000005</v>
      </c>
      <c r="N5737">
        <v>0</v>
      </c>
      <c r="O5737">
        <v>-1.2913249999999999E-2</v>
      </c>
      <c r="P5737">
        <v>0.95421239999999996</v>
      </c>
      <c r="Q5737">
        <v>1.9379919999999998E-2</v>
      </c>
      <c r="R5737">
        <v>0.29850169999999998</v>
      </c>
      <c r="S5737">
        <v>2.7214200000000002</v>
      </c>
      <c r="T5737">
        <v>-0.35880640000000003</v>
      </c>
      <c r="U5737">
        <v>1.375732</v>
      </c>
      <c r="V5737">
        <v>-0.31068790000000002</v>
      </c>
      <c r="W5737">
        <v>3.6193389999999999E-2</v>
      </c>
      <c r="X5737">
        <v>0.94982269999999902</v>
      </c>
      <c r="Y5737">
        <v>-0.45937519999999998</v>
      </c>
      <c r="Z5737">
        <v>3.0059800000000001E-2</v>
      </c>
      <c r="AA5737">
        <v>0.88773349999999995</v>
      </c>
      <c r="AB5737">
        <v>35</v>
      </c>
      <c r="AC5737">
        <v>0.81199999999998296</v>
      </c>
      <c r="AD5737">
        <v>-0.13217290000000001</v>
      </c>
      <c r="AE5737">
        <v>0.50954000000000099</v>
      </c>
      <c r="AF5737">
        <v>-0.51028404002816197</v>
      </c>
      <c r="AG5737">
        <v>-0.13217290000000001</v>
      </c>
      <c r="AH5737">
        <v>0.79032745521147996</v>
      </c>
      <c r="AI5737">
        <v>97.997572431852504</v>
      </c>
      <c r="AJ5737">
        <v>122.84877541887199</v>
      </c>
      <c r="AK5737">
        <v>0.94998787542943297</v>
      </c>
    </row>
    <row r="5738" spans="1:37" x14ac:dyDescent="0.2">
      <c r="A5738" t="str">
        <f>"20200111153803324"</f>
        <v>20200111153803324</v>
      </c>
      <c r="B5738" t="str">
        <f>"1578728283319409"</f>
        <v>1578728283319409</v>
      </c>
      <c r="C5738" t="s">
        <v>37</v>
      </c>
      <c r="D5738">
        <v>5.6265309999999999</v>
      </c>
      <c r="E5738">
        <v>0.4326912</v>
      </c>
      <c r="F5738" t="s">
        <v>38</v>
      </c>
      <c r="G5738">
        <v>-227.7364</v>
      </c>
      <c r="H5738">
        <v>0.99269909999999995</v>
      </c>
      <c r="I5738">
        <v>-62.286960000000001</v>
      </c>
      <c r="J5738">
        <v>-228.3895</v>
      </c>
      <c r="K5738">
        <v>1.1037809999999999</v>
      </c>
      <c r="L5738">
        <v>-62.709319999999998</v>
      </c>
      <c r="M5738">
        <v>0.99976659999999995</v>
      </c>
      <c r="N5738">
        <v>0</v>
      </c>
      <c r="O5738">
        <v>-1.3563209999999999E-2</v>
      </c>
      <c r="P5738">
        <v>0.95416250000000002</v>
      </c>
      <c r="Q5738">
        <v>1.8293469999999999E-2</v>
      </c>
      <c r="R5738">
        <v>0.2987301</v>
      </c>
      <c r="S5738">
        <v>2.7211150000000002</v>
      </c>
      <c r="T5738">
        <v>-0.36397089999999999</v>
      </c>
      <c r="U5738">
        <v>1.3752439999999999</v>
      </c>
      <c r="V5738">
        <v>-0.31153750000000002</v>
      </c>
      <c r="W5738">
        <v>3.5250339999999998E-2</v>
      </c>
      <c r="X5738">
        <v>0.94957979999999997</v>
      </c>
      <c r="Y5738">
        <v>-0.459761799999999</v>
      </c>
      <c r="Z5738">
        <v>3.059957E-2</v>
      </c>
      <c r="AA5738">
        <v>0.8875149</v>
      </c>
      <c r="AB5738">
        <v>35</v>
      </c>
      <c r="AC5738">
        <v>0.65309999999999402</v>
      </c>
      <c r="AD5738">
        <v>-0.111081899999999</v>
      </c>
      <c r="AE5738">
        <v>0.42235999999999702</v>
      </c>
      <c r="AF5738">
        <v>-0.422561206901366</v>
      </c>
      <c r="AG5738">
        <v>-0.111081899999999</v>
      </c>
      <c r="AH5738">
        <v>0.63437077559425703</v>
      </c>
      <c r="AI5738">
        <v>98.291576416501798</v>
      </c>
      <c r="AJ5738">
        <v>123.668011568427</v>
      </c>
      <c r="AK5738">
        <v>0.77027491391944503</v>
      </c>
    </row>
    <row r="5739" spans="1:37" x14ac:dyDescent="0.2">
      <c r="A5739" t="str">
        <f>"20200111153803336"</f>
        <v>20200111153803336</v>
      </c>
      <c r="B5739" t="str">
        <f>"1578728283329169"</f>
        <v>1578728283329169</v>
      </c>
      <c r="C5739" t="s">
        <v>37</v>
      </c>
      <c r="D5739">
        <v>5.6634830000000003</v>
      </c>
      <c r="E5739">
        <v>0.4327395</v>
      </c>
      <c r="F5739" t="s">
        <v>38</v>
      </c>
      <c r="G5739">
        <v>-227.43790000000001</v>
      </c>
      <c r="H5739">
        <v>0.97536929999999999</v>
      </c>
      <c r="I5739">
        <v>-62.228069999999903</v>
      </c>
      <c r="J5739">
        <v>-228.20939999999999</v>
      </c>
      <c r="K5739">
        <v>1.1038190000000001</v>
      </c>
      <c r="L5739">
        <v>-62.7123699999999</v>
      </c>
      <c r="M5739">
        <v>0.99975449999999999</v>
      </c>
      <c r="N5739">
        <v>0</v>
      </c>
      <c r="O5739">
        <v>-1.421476E-2</v>
      </c>
      <c r="P5739">
        <v>0.95407299999999995</v>
      </c>
      <c r="Q5739">
        <v>1.7539829999999999E-2</v>
      </c>
      <c r="R5739">
        <v>0.29906059999999901</v>
      </c>
      <c r="S5739">
        <v>2.7204899999999999</v>
      </c>
      <c r="T5739">
        <v>-0.367087099999999</v>
      </c>
      <c r="U5739">
        <v>1.37561</v>
      </c>
      <c r="V5739">
        <v>-0.31248939999999997</v>
      </c>
      <c r="W5739">
        <v>3.464656E-2</v>
      </c>
      <c r="X5739">
        <v>0.94928919999999894</v>
      </c>
      <c r="Y5739">
        <v>-0.46044780000000002</v>
      </c>
      <c r="Z5739">
        <v>3.0991230000000002E-2</v>
      </c>
      <c r="AA5739">
        <v>0.88714559999999998</v>
      </c>
      <c r="AB5739">
        <v>35</v>
      </c>
      <c r="AC5739">
        <v>0.77149999999997398</v>
      </c>
      <c r="AD5739">
        <v>-0.1284497</v>
      </c>
      <c r="AE5739">
        <v>0.48429999999999701</v>
      </c>
      <c r="AF5739">
        <v>-0.48556413356348899</v>
      </c>
      <c r="AG5739">
        <v>-0.1284497</v>
      </c>
      <c r="AH5739">
        <v>0.74963080362217405</v>
      </c>
      <c r="AI5739">
        <v>98.183952586657995</v>
      </c>
      <c r="AJ5739">
        <v>122.932651956581</v>
      </c>
      <c r="AK5739">
        <v>0.90234039861494497</v>
      </c>
    </row>
    <row r="5740" spans="1:37" x14ac:dyDescent="0.2">
      <c r="A5740" t="str">
        <f>"20200111153803347"</f>
        <v>20200111153803347</v>
      </c>
      <c r="B5740" t="str">
        <f>"1578728283338928"</f>
        <v>1578728283338928</v>
      </c>
      <c r="C5740" t="s">
        <v>37</v>
      </c>
      <c r="D5740">
        <v>5.6305889999999996</v>
      </c>
      <c r="E5740">
        <v>0.43284650000000002</v>
      </c>
      <c r="F5740" t="s">
        <v>38</v>
      </c>
      <c r="G5740">
        <v>-227.39</v>
      </c>
      <c r="H5740">
        <v>0.99242039999999998</v>
      </c>
      <c r="I5740">
        <v>-62.29795</v>
      </c>
      <c r="J5740">
        <v>-228.0247</v>
      </c>
      <c r="K5740">
        <v>1.1038619999999999</v>
      </c>
      <c r="L5740">
        <v>-62.715669999999903</v>
      </c>
      <c r="M5740">
        <v>0.99974200000000002</v>
      </c>
      <c r="N5740">
        <v>0</v>
      </c>
      <c r="O5740">
        <v>-1.486552E-2</v>
      </c>
      <c r="P5740">
        <v>0.95408249999999994</v>
      </c>
      <c r="Q5740">
        <v>1.7201930000000001E-2</v>
      </c>
      <c r="R5740">
        <v>0.29904989999999998</v>
      </c>
      <c r="S5740">
        <v>2.7200319999999998</v>
      </c>
      <c r="T5740">
        <v>-0.36979879999999998</v>
      </c>
      <c r="U5740">
        <v>1.3755489999999999</v>
      </c>
      <c r="V5740">
        <v>-0.31309929999999903</v>
      </c>
      <c r="W5740">
        <v>3.4457840000000003E-2</v>
      </c>
      <c r="X5740">
        <v>0.94909509999999897</v>
      </c>
      <c r="Y5740">
        <v>-0.46100760000000002</v>
      </c>
      <c r="Z5740">
        <v>3.1342229999999999E-2</v>
      </c>
      <c r="AA5740">
        <v>0.88684249999999998</v>
      </c>
      <c r="AB5740">
        <v>35</v>
      </c>
      <c r="AC5740">
        <v>0.63470000000000903</v>
      </c>
      <c r="AD5740">
        <v>-0.1114416</v>
      </c>
      <c r="AE5740">
        <v>0.41771999999999498</v>
      </c>
      <c r="AF5740">
        <v>-0.41811612804039899</v>
      </c>
      <c r="AG5740">
        <v>-0.1114416</v>
      </c>
      <c r="AH5740">
        <v>0.61518583329224696</v>
      </c>
      <c r="AI5740">
        <v>98.520817034720096</v>
      </c>
      <c r="AJ5740">
        <v>124.202310559484</v>
      </c>
      <c r="AK5740">
        <v>0.75212627677906096</v>
      </c>
    </row>
    <row r="5741" spans="1:37" x14ac:dyDescent="0.2">
      <c r="A5741" t="str">
        <f>"20200111153803358"</f>
        <v>20200111153803358</v>
      </c>
      <c r="B5741" t="str">
        <f>"1578728283348689"</f>
        <v>1578728283348689</v>
      </c>
      <c r="C5741" t="s">
        <v>37</v>
      </c>
      <c r="D5741">
        <v>5.6810470000000004</v>
      </c>
      <c r="E5741">
        <v>0.43274190000000001</v>
      </c>
      <c r="F5741" t="s">
        <v>38</v>
      </c>
      <c r="G5741">
        <v>-227.12219999999999</v>
      </c>
      <c r="H5741">
        <v>0.98055959999999998</v>
      </c>
      <c r="I5741">
        <v>-62.259859999999897</v>
      </c>
      <c r="J5741">
        <v>-227.84719999999999</v>
      </c>
      <c r="K5741">
        <v>1.103904</v>
      </c>
      <c r="L5741">
        <v>-62.718869999999903</v>
      </c>
      <c r="M5741">
        <v>0.9997298</v>
      </c>
      <c r="N5741">
        <v>0</v>
      </c>
      <c r="O5741">
        <v>-1.5483520000000001E-2</v>
      </c>
      <c r="P5741">
        <v>0.95403539999999998</v>
      </c>
      <c r="Q5741">
        <v>1.712253E-2</v>
      </c>
      <c r="R5741">
        <v>0.29920469999999999</v>
      </c>
      <c r="S5741">
        <v>2.7203369999999998</v>
      </c>
      <c r="T5741">
        <v>-0.37167640000000002</v>
      </c>
      <c r="U5741">
        <v>1.374268</v>
      </c>
      <c r="V5741">
        <v>-0.3138416</v>
      </c>
      <c r="W5741">
        <v>3.451883E-2</v>
      </c>
      <c r="X5741">
        <v>0.94884769999999896</v>
      </c>
      <c r="Y5741">
        <v>-0.46114070000000001</v>
      </c>
      <c r="Z5741">
        <v>3.1588159999999997E-2</v>
      </c>
      <c r="AA5741">
        <v>0.88676460000000001</v>
      </c>
      <c r="AB5741">
        <v>35</v>
      </c>
      <c r="AC5741">
        <v>0.72499999999999398</v>
      </c>
      <c r="AD5741">
        <v>-0.12334440000000001</v>
      </c>
      <c r="AE5741">
        <v>0.45900999999999897</v>
      </c>
      <c r="AF5741">
        <v>-0.46066390023534198</v>
      </c>
      <c r="AG5741">
        <v>-0.12334440000000001</v>
      </c>
      <c r="AH5741">
        <v>0.703273769182853</v>
      </c>
      <c r="AI5741">
        <v>98.346508631393206</v>
      </c>
      <c r="AJ5741">
        <v>123.225915142633</v>
      </c>
      <c r="AK5741">
        <v>0.84971704961831596</v>
      </c>
    </row>
    <row r="5742" spans="1:37" x14ac:dyDescent="0.2">
      <c r="A5742" t="str">
        <f>"20200111153803371"</f>
        <v>20200111153803371</v>
      </c>
      <c r="B5742" t="str">
        <f>"1578728283359425"</f>
        <v>1578728283359425</v>
      </c>
      <c r="C5742" t="s">
        <v>37</v>
      </c>
      <c r="D5742">
        <v>5.651491</v>
      </c>
      <c r="E5742">
        <v>0.4326489</v>
      </c>
      <c r="F5742" t="s">
        <v>63</v>
      </c>
      <c r="G5742">
        <v>-219.78120000000001</v>
      </c>
      <c r="H5742" s="1">
        <v>-3.474348E-6</v>
      </c>
      <c r="I5742">
        <v>-58.640430000000002</v>
      </c>
      <c r="J5742">
        <v>-227.6694</v>
      </c>
      <c r="K5742">
        <v>1.103955</v>
      </c>
      <c r="L5742">
        <v>-62.722259999999999</v>
      </c>
      <c r="M5742">
        <v>0.99971769999999904</v>
      </c>
      <c r="N5742">
        <v>0</v>
      </c>
      <c r="O5742">
        <v>-1.6067890000000001E-2</v>
      </c>
      <c r="P5742">
        <v>0.95403890000000002</v>
      </c>
      <c r="Q5742">
        <v>1.7151599999999999E-2</v>
      </c>
      <c r="R5742">
        <v>0.29919190000000001</v>
      </c>
      <c r="S5742">
        <v>2.719894</v>
      </c>
      <c r="T5742">
        <v>-0.37224099999999999</v>
      </c>
      <c r="U5742">
        <v>1.3752439999999999</v>
      </c>
      <c r="V5742">
        <v>-0.314386</v>
      </c>
      <c r="W5742">
        <v>3.4675619999999997E-2</v>
      </c>
      <c r="X5742">
        <v>0.94866170000000005</v>
      </c>
      <c r="Y5742">
        <v>-0.46194819999999998</v>
      </c>
      <c r="Z5742">
        <v>3.1765139999999997E-2</v>
      </c>
      <c r="AA5742">
        <v>0.88633790000000001</v>
      </c>
      <c r="AB5742">
        <v>35</v>
      </c>
      <c r="AC5742">
        <v>7.8881999999999799</v>
      </c>
      <c r="AD5742">
        <v>-1.103958474348</v>
      </c>
      <c r="AE5742">
        <v>4.0818299999999903</v>
      </c>
      <c r="AF5742">
        <v>-4.1440461222876896</v>
      </c>
      <c r="AG5742">
        <v>-1.103958474348</v>
      </c>
      <c r="AH5742">
        <v>7.7025847988126497</v>
      </c>
      <c r="AI5742">
        <v>97.193594183403306</v>
      </c>
      <c r="AJ5742">
        <v>118.280571660866</v>
      </c>
      <c r="AK5742">
        <v>8.8159886093184294</v>
      </c>
    </row>
    <row r="5743" spans="1:37" x14ac:dyDescent="0.2">
      <c r="A5743" t="str">
        <f>"20200111153803382"</f>
        <v>20200111153803382</v>
      </c>
      <c r="B5743" t="str">
        <f>"1578728283378945"</f>
        <v>1578728283378945</v>
      </c>
      <c r="C5743" t="s">
        <v>37</v>
      </c>
      <c r="D5743">
        <v>5.7436280000000002</v>
      </c>
      <c r="E5743">
        <v>0.432446</v>
      </c>
      <c r="F5743" t="s">
        <v>38</v>
      </c>
      <c r="G5743">
        <v>-226.80879999999999</v>
      </c>
      <c r="H5743">
        <v>0.98592400000000002</v>
      </c>
      <c r="I5743">
        <v>-62.287009999999903</v>
      </c>
      <c r="J5743">
        <v>-227.49430000000001</v>
      </c>
      <c r="K5743">
        <v>1.1040019999999999</v>
      </c>
      <c r="L5743">
        <v>-62.7256199999999</v>
      </c>
      <c r="M5743">
        <v>0.99970579999999998</v>
      </c>
      <c r="N5743">
        <v>0</v>
      </c>
      <c r="O5743">
        <v>-1.663274E-2</v>
      </c>
      <c r="P5743">
        <v>0.9539763</v>
      </c>
      <c r="Q5743">
        <v>1.734685E-2</v>
      </c>
      <c r="R5743">
        <v>0.29938019999999999</v>
      </c>
      <c r="S5743">
        <v>2.7197879999999999</v>
      </c>
      <c r="T5743">
        <v>-0.37302020000000002</v>
      </c>
      <c r="U5743">
        <v>1.3758239999999999</v>
      </c>
      <c r="V5743">
        <v>-0.31511070000000002</v>
      </c>
      <c r="W5743">
        <v>3.4991580000000001E-2</v>
      </c>
      <c r="X5743">
        <v>0.94840959999999996</v>
      </c>
      <c r="Y5743">
        <v>-0.46258859999999902</v>
      </c>
      <c r="Z5743">
        <v>3.1944970000000003E-2</v>
      </c>
      <c r="AA5743">
        <v>0.88599740000000005</v>
      </c>
      <c r="AB5743">
        <v>35</v>
      </c>
      <c r="AC5743">
        <v>0.68550000000001798</v>
      </c>
      <c r="AD5743">
        <v>-0.118078</v>
      </c>
      <c r="AE5743">
        <v>0.438609999999997</v>
      </c>
      <c r="AF5743">
        <v>-0.44067578271772301</v>
      </c>
      <c r="AG5743">
        <v>-0.118078</v>
      </c>
      <c r="AH5743">
        <v>0.66412759916754205</v>
      </c>
      <c r="AI5743">
        <v>98.42690775394</v>
      </c>
      <c r="AJ5743">
        <v>123.56589843894101</v>
      </c>
      <c r="AK5743">
        <v>0.80573136189050099</v>
      </c>
    </row>
    <row r="5744" spans="1:37" x14ac:dyDescent="0.2">
      <c r="A5744" t="str">
        <f>"20200111153803394"</f>
        <v>20200111153803394</v>
      </c>
      <c r="B5744" t="str">
        <f>"1578728283388704"</f>
        <v>1578728283388704</v>
      </c>
      <c r="C5744" t="s">
        <v>37</v>
      </c>
      <c r="D5744">
        <v>5.7732919999999996</v>
      </c>
      <c r="E5744">
        <v>0.43247910000000001</v>
      </c>
      <c r="F5744" t="s">
        <v>38</v>
      </c>
      <c r="G5744">
        <v>-226.5137</v>
      </c>
      <c r="H5744">
        <v>0.96963679999999997</v>
      </c>
      <c r="I5744">
        <v>-62.228960000000001</v>
      </c>
      <c r="J5744">
        <v>-227.30260000000001</v>
      </c>
      <c r="K5744">
        <v>1.10406</v>
      </c>
      <c r="L5744">
        <v>-62.729430000000001</v>
      </c>
      <c r="M5744">
        <v>0.99969300000000005</v>
      </c>
      <c r="N5744">
        <v>0</v>
      </c>
      <c r="O5744">
        <v>-1.721576E-2</v>
      </c>
      <c r="P5744">
        <v>0.95394089999999998</v>
      </c>
      <c r="Q5744">
        <v>1.7414929999999999E-2</v>
      </c>
      <c r="R5744">
        <v>0.2994888</v>
      </c>
      <c r="S5744">
        <v>2.71910099999999</v>
      </c>
      <c r="T5744">
        <v>-0.37259899999999901</v>
      </c>
      <c r="U5744">
        <v>1.377899</v>
      </c>
      <c r="V5744">
        <v>-0.31577519999999998</v>
      </c>
      <c r="W5744">
        <v>3.5178859999999999E-2</v>
      </c>
      <c r="X5744">
        <v>0.94818169999999902</v>
      </c>
      <c r="Y5744">
        <v>-0.46372730000000001</v>
      </c>
      <c r="Z5744">
        <v>3.2059669999999998E-2</v>
      </c>
      <c r="AA5744">
        <v>0.88539780000000001</v>
      </c>
      <c r="AB5744">
        <v>34</v>
      </c>
      <c r="AC5744">
        <v>0.78890000000001204</v>
      </c>
      <c r="AD5744">
        <v>-0.13442319999999899</v>
      </c>
      <c r="AE5744">
        <v>0.50047000000000696</v>
      </c>
      <c r="AF5744">
        <v>-0.50355476983821201</v>
      </c>
      <c r="AG5744">
        <v>-0.13442319999999899</v>
      </c>
      <c r="AH5744">
        <v>0.76434212166647197</v>
      </c>
      <c r="AI5744">
        <v>98.354812632961199</v>
      </c>
      <c r="AJ5744">
        <v>123.377214987866</v>
      </c>
      <c r="AK5744">
        <v>0.92512479259754898</v>
      </c>
    </row>
    <row r="5745" spans="1:37" x14ac:dyDescent="0.2">
      <c r="A5745" t="str">
        <f>"20200111153803405"</f>
        <v>20200111153803405</v>
      </c>
      <c r="B5745" t="str">
        <f>"1578728283399441"</f>
        <v>1578728283399441</v>
      </c>
      <c r="C5745" t="s">
        <v>37</v>
      </c>
      <c r="D5745">
        <v>5.6548619999999996</v>
      </c>
      <c r="E5745">
        <v>0.43259229999999999</v>
      </c>
      <c r="F5745" t="s">
        <v>38</v>
      </c>
      <c r="G5745">
        <v>-226.49440000000001</v>
      </c>
      <c r="H5745">
        <v>0.99364300000000005</v>
      </c>
      <c r="I5745">
        <v>-62.320180000000001</v>
      </c>
      <c r="J5745">
        <v>-227.12719999999999</v>
      </c>
      <c r="K5745">
        <v>1.104115</v>
      </c>
      <c r="L5745">
        <v>-62.732999999999997</v>
      </c>
      <c r="M5745">
        <v>0.99968159999999895</v>
      </c>
      <c r="N5745">
        <v>0</v>
      </c>
      <c r="O5745">
        <v>-1.7726349999999998E-2</v>
      </c>
      <c r="P5745">
        <v>0.95383069999999903</v>
      </c>
      <c r="Q5745">
        <v>1.753847E-2</v>
      </c>
      <c r="R5745">
        <v>0.29983290000000001</v>
      </c>
      <c r="S5745">
        <v>2.719055</v>
      </c>
      <c r="T5745">
        <v>-0.37152099999999999</v>
      </c>
      <c r="U5745">
        <v>1.3778079999999999</v>
      </c>
      <c r="V5745">
        <v>-0.31660490000000002</v>
      </c>
      <c r="W5745">
        <v>3.5402349999999999E-2</v>
      </c>
      <c r="X5745">
        <v>0.94789659999999998</v>
      </c>
      <c r="Y5745">
        <v>-0.46417419999999998</v>
      </c>
      <c r="Z5745">
        <v>3.2062680000000003E-2</v>
      </c>
      <c r="AA5745">
        <v>0.88516340000000004</v>
      </c>
      <c r="AB5745">
        <v>34</v>
      </c>
      <c r="AC5745">
        <v>0.63279999999997405</v>
      </c>
      <c r="AD5745">
        <v>-0.110471999999999</v>
      </c>
      <c r="AE5745">
        <v>0.41281999999999602</v>
      </c>
      <c r="AF5745">
        <v>-0.41509993457157501</v>
      </c>
      <c r="AG5745">
        <v>-0.110471999999999</v>
      </c>
      <c r="AH5745">
        <v>0.612291675553712</v>
      </c>
      <c r="AI5745">
        <v>98.493768017421303</v>
      </c>
      <c r="AJ5745">
        <v>124.13510243379299</v>
      </c>
      <c r="AK5745">
        <v>0.74793924513806498</v>
      </c>
    </row>
    <row r="5746" spans="1:37" x14ac:dyDescent="0.2">
      <c r="A5746" t="str">
        <f>"20200111153803421"</f>
        <v>20200111153803421</v>
      </c>
      <c r="B5746" t="str">
        <f>"1578728283418961"</f>
        <v>1578728283418961</v>
      </c>
      <c r="C5746" t="s">
        <v>37</v>
      </c>
      <c r="D5746">
        <v>5.6983769999999998</v>
      </c>
      <c r="E5746">
        <v>0.43276920000000002</v>
      </c>
      <c r="F5746" t="s">
        <v>38</v>
      </c>
      <c r="G5746">
        <v>-226.2012</v>
      </c>
      <c r="H5746">
        <v>0.97804789999999997</v>
      </c>
      <c r="I5746">
        <v>-62.2637</v>
      </c>
      <c r="J5746">
        <v>-226.88829999999999</v>
      </c>
      <c r="K5746">
        <v>1.1041879999999999</v>
      </c>
      <c r="L5746">
        <v>-62.737919999999903</v>
      </c>
      <c r="M5746">
        <v>0.99966630000000001</v>
      </c>
      <c r="N5746">
        <v>0</v>
      </c>
      <c r="O5746">
        <v>-1.8389119999999998E-2</v>
      </c>
      <c r="P5746">
        <v>0.95352959999999998</v>
      </c>
      <c r="Q5746">
        <v>1.71495999999999E-2</v>
      </c>
      <c r="R5746">
        <v>0.3008113</v>
      </c>
      <c r="S5746">
        <v>2.7189030000000001</v>
      </c>
      <c r="T5746">
        <v>-0.37017329999999998</v>
      </c>
      <c r="U5746">
        <v>1.377869</v>
      </c>
      <c r="V5746">
        <v>-0.31821159999999998</v>
      </c>
      <c r="W5746">
        <v>3.5137399999999999E-2</v>
      </c>
      <c r="X5746">
        <v>0.94736830000000005</v>
      </c>
      <c r="Y5746">
        <v>-0.46481169999999999</v>
      </c>
      <c r="Z5746">
        <v>3.2074419999999999E-2</v>
      </c>
      <c r="AA5746">
        <v>0.88482839999999996</v>
      </c>
      <c r="AB5746">
        <v>34</v>
      </c>
      <c r="AC5746">
        <v>0.68709999999998606</v>
      </c>
      <c r="AD5746">
        <v>-0.12614009999999901</v>
      </c>
      <c r="AE5746">
        <v>0.47421999999999498</v>
      </c>
      <c r="AF5746">
        <v>-0.47591261418262099</v>
      </c>
      <c r="AG5746">
        <v>-0.12614009999999901</v>
      </c>
      <c r="AH5746">
        <v>0.66312367228044999</v>
      </c>
      <c r="AI5746">
        <v>98.785024005116895</v>
      </c>
      <c r="AJ5746">
        <v>125.66636233651801</v>
      </c>
      <c r="AK5746">
        <v>0.82591594360737297</v>
      </c>
    </row>
    <row r="5747" spans="1:37" x14ac:dyDescent="0.2">
      <c r="A5747" t="str">
        <f>"20200111153803432"</f>
        <v>20200111153803432</v>
      </c>
      <c r="B5747" t="str">
        <f>"1578728283428723"</f>
        <v>1578728283428723</v>
      </c>
      <c r="C5747" t="s">
        <v>37</v>
      </c>
      <c r="D5747">
        <v>5.7920089999999904</v>
      </c>
      <c r="E5747">
        <v>0.43276920000000002</v>
      </c>
      <c r="F5747" t="s">
        <v>38</v>
      </c>
      <c r="G5747">
        <v>-225.90219999999999</v>
      </c>
      <c r="H5747">
        <v>0.97098969999999996</v>
      </c>
      <c r="I5747">
        <v>-62.237580000000001</v>
      </c>
      <c r="J5747">
        <v>-226.71690000000001</v>
      </c>
      <c r="K5747">
        <v>1.1042430000000001</v>
      </c>
      <c r="L5747">
        <v>-62.741549999999997</v>
      </c>
      <c r="M5747">
        <v>0.99965590000000004</v>
      </c>
      <c r="N5747">
        <v>0</v>
      </c>
      <c r="O5747">
        <v>-1.8825830000000002E-2</v>
      </c>
      <c r="P5747">
        <v>0.95337190000000005</v>
      </c>
      <c r="Q5747">
        <v>1.6684870000000001E-2</v>
      </c>
      <c r="R5747">
        <v>0.30133680000000002</v>
      </c>
      <c r="S5747">
        <v>2.717651</v>
      </c>
      <c r="T5747">
        <v>-0.36711739999999998</v>
      </c>
      <c r="U5747">
        <v>1.3793949999999999</v>
      </c>
      <c r="V5747">
        <v>-0.31915320000000003</v>
      </c>
      <c r="W5747">
        <v>3.4749490000000001E-2</v>
      </c>
      <c r="X5747">
        <v>0.94706579999999996</v>
      </c>
      <c r="Y5747">
        <v>-0.46580270000000001</v>
      </c>
      <c r="Z5747">
        <v>3.1939259999999997E-2</v>
      </c>
      <c r="AA5747">
        <v>0.88431199999999999</v>
      </c>
      <c r="AB5747">
        <v>34</v>
      </c>
      <c r="AC5747">
        <v>0.81470000000001597</v>
      </c>
      <c r="AD5747">
        <v>-0.13325329999999999</v>
      </c>
      <c r="AE5747">
        <v>0.50396999999999503</v>
      </c>
      <c r="AF5747">
        <v>-0.50936522106931703</v>
      </c>
      <c r="AG5747">
        <v>-0.13325329999999999</v>
      </c>
      <c r="AH5747">
        <v>0.78978525788961096</v>
      </c>
      <c r="AI5747">
        <v>98.070163896408303</v>
      </c>
      <c r="AJ5747">
        <v>122.819645487004</v>
      </c>
      <c r="AK5747">
        <v>0.94919446056940504</v>
      </c>
    </row>
    <row r="5748" spans="1:37" x14ac:dyDescent="0.2">
      <c r="A5748" t="str">
        <f>"20200111153803444"</f>
        <v>20200111153803444</v>
      </c>
      <c r="B5748" t="str">
        <f>"1578728283438480"</f>
        <v>1578728283438480</v>
      </c>
      <c r="C5748" t="s">
        <v>37</v>
      </c>
      <c r="D5748">
        <v>5.6955200000000001</v>
      </c>
      <c r="E5748">
        <v>0.43248059999999899</v>
      </c>
      <c r="F5748" t="s">
        <v>38</v>
      </c>
      <c r="G5748">
        <v>-225.886</v>
      </c>
      <c r="H5748">
        <v>0.99154940000000003</v>
      </c>
      <c r="I5748">
        <v>-62.319380000000002</v>
      </c>
      <c r="J5748">
        <v>-226.54499999999999</v>
      </c>
      <c r="K5748">
        <v>1.1042959999999999</v>
      </c>
      <c r="L5748">
        <v>-62.74521</v>
      </c>
      <c r="M5748">
        <v>0.99964569999999997</v>
      </c>
      <c r="N5748">
        <v>0</v>
      </c>
      <c r="O5748">
        <v>-1.924557E-2</v>
      </c>
      <c r="P5748">
        <v>0.95325179999999998</v>
      </c>
      <c r="Q5748">
        <v>1.6167500000000001E-2</v>
      </c>
      <c r="R5748">
        <v>0.30174459999999997</v>
      </c>
      <c r="S5748">
        <v>2.7167209999999899</v>
      </c>
      <c r="T5748">
        <v>-0.3684866</v>
      </c>
      <c r="U5748">
        <v>1.38089</v>
      </c>
      <c r="V5748">
        <v>-0.3199613</v>
      </c>
      <c r="W5748">
        <v>3.430677E-2</v>
      </c>
      <c r="X5748">
        <v>0.94680929999999996</v>
      </c>
      <c r="Y5748">
        <v>-0.466645799999999</v>
      </c>
      <c r="Z5748">
        <v>3.2170749999999998E-2</v>
      </c>
      <c r="AA5748">
        <v>0.88385899999999995</v>
      </c>
      <c r="AB5748">
        <v>34</v>
      </c>
      <c r="AC5748">
        <v>0.65899999999999104</v>
      </c>
      <c r="AD5748">
        <v>-0.112746599999999</v>
      </c>
      <c r="AE5748">
        <v>0.42582999999999699</v>
      </c>
      <c r="AF5748">
        <v>-0.42956595788380397</v>
      </c>
      <c r="AG5748">
        <v>-0.112746599999999</v>
      </c>
      <c r="AH5748">
        <v>0.63751706616277104</v>
      </c>
      <c r="AI5748">
        <v>98.343794133760895</v>
      </c>
      <c r="AJ5748">
        <v>123.972519861328</v>
      </c>
      <c r="AK5748">
        <v>0.77695992022302995</v>
      </c>
    </row>
    <row r="5749" spans="1:37" x14ac:dyDescent="0.2">
      <c r="A5749" t="str">
        <f>"20200111153803455"</f>
        <v>20200111153803455</v>
      </c>
      <c r="B5749" t="str">
        <f>"1578728283449217"</f>
        <v>1578728283449217</v>
      </c>
      <c r="C5749" t="s">
        <v>37</v>
      </c>
      <c r="D5749">
        <v>5.8523949999999996</v>
      </c>
      <c r="E5749">
        <v>0.43248059999999899</v>
      </c>
      <c r="F5749" t="s">
        <v>38</v>
      </c>
      <c r="G5749">
        <v>-225.59469999999999</v>
      </c>
      <c r="H5749">
        <v>0.97458799999999901</v>
      </c>
      <c r="I5749">
        <v>-62.260640000000002</v>
      </c>
      <c r="J5749">
        <v>-226.37479999999999</v>
      </c>
      <c r="K5749">
        <v>1.104349</v>
      </c>
      <c r="L5749">
        <v>-62.748930000000001</v>
      </c>
      <c r="M5749">
        <v>0.99963609999999903</v>
      </c>
      <c r="N5749">
        <v>0</v>
      </c>
      <c r="O5749">
        <v>-1.9634269999999999E-2</v>
      </c>
      <c r="P5749">
        <v>0.95310329999999999</v>
      </c>
      <c r="Q5749">
        <v>1.5657520000000001E-2</v>
      </c>
      <c r="R5749">
        <v>0.30224029999999902</v>
      </c>
      <c r="S5749">
        <v>2.715271</v>
      </c>
      <c r="T5749">
        <v>-0.37060769999999998</v>
      </c>
      <c r="U5749">
        <v>1.384125</v>
      </c>
      <c r="V5749">
        <v>-0.32082739999999998</v>
      </c>
      <c r="W5749">
        <v>3.3866430000000003E-2</v>
      </c>
      <c r="X5749">
        <v>0.94653199999999904</v>
      </c>
      <c r="Y5749">
        <v>-0.467960499999999</v>
      </c>
      <c r="Z5749">
        <v>3.2495780000000002E-2</v>
      </c>
      <c r="AA5749">
        <v>0.88315180000000004</v>
      </c>
      <c r="AB5749">
        <v>34</v>
      </c>
      <c r="AC5749">
        <v>0.78010000000000401</v>
      </c>
      <c r="AD5749">
        <v>-0.12976099999999999</v>
      </c>
      <c r="AE5749">
        <v>0.488289999999999</v>
      </c>
      <c r="AF5749">
        <v>-0.49370045251302003</v>
      </c>
      <c r="AG5749">
        <v>-0.12976099999999999</v>
      </c>
      <c r="AH5749">
        <v>0.75534455583510596</v>
      </c>
      <c r="AI5749">
        <v>98.182979734076099</v>
      </c>
      <c r="AJ5749">
        <v>123.16901610621601</v>
      </c>
      <c r="AK5749">
        <v>0.91165972377981797</v>
      </c>
    </row>
    <row r="5750" spans="1:37" x14ac:dyDescent="0.2">
      <c r="A5750" t="str">
        <f>"20200111153803467"</f>
        <v>20200111153803467</v>
      </c>
      <c r="B5750" t="str">
        <f>"1578728283458977"</f>
        <v>1578728283458977</v>
      </c>
      <c r="C5750" t="s">
        <v>37</v>
      </c>
      <c r="D5750">
        <v>5.8032969999999997</v>
      </c>
      <c r="E5750">
        <v>0.4552194</v>
      </c>
      <c r="F5750" t="s">
        <v>38</v>
      </c>
      <c r="G5750">
        <v>-225.57769999999999</v>
      </c>
      <c r="H5750">
        <v>0.99503059999999999</v>
      </c>
      <c r="I5750">
        <v>-62.341969999999897</v>
      </c>
      <c r="J5750">
        <v>-226.1807</v>
      </c>
      <c r="K5750">
        <v>1.104406</v>
      </c>
      <c r="L5750">
        <v>-62.753169999999997</v>
      </c>
      <c r="M5750">
        <v>0.999625599999999</v>
      </c>
      <c r="N5750">
        <v>0</v>
      </c>
      <c r="O5750">
        <v>-2.0038460000000001E-2</v>
      </c>
      <c r="P5750">
        <v>0.95300390000000001</v>
      </c>
      <c r="Q5750">
        <v>1.5094359999999999E-2</v>
      </c>
      <c r="R5750">
        <v>0.30258170000000001</v>
      </c>
      <c r="S5750">
        <v>2.714432</v>
      </c>
      <c r="T5750">
        <v>-0.3722665</v>
      </c>
      <c r="U5750">
        <v>1.385345</v>
      </c>
      <c r="V5750">
        <v>-0.32155479999999997</v>
      </c>
      <c r="W5750">
        <v>3.3375559999999999E-2</v>
      </c>
      <c r="X5750">
        <v>0.94630259999999999</v>
      </c>
      <c r="Y5750">
        <v>-0.46870059999999902</v>
      </c>
      <c r="Z5750">
        <v>3.2745709999999997E-2</v>
      </c>
      <c r="AA5750">
        <v>0.88275000000000003</v>
      </c>
      <c r="AB5750">
        <v>34</v>
      </c>
      <c r="AC5750">
        <v>0.60300000000000797</v>
      </c>
      <c r="AD5750">
        <v>-0.109375399999999</v>
      </c>
      <c r="AE5750">
        <v>0.41120000000000001</v>
      </c>
      <c r="AF5750">
        <v>-0.41390737626301499</v>
      </c>
      <c r="AG5750">
        <v>-0.109375399999999</v>
      </c>
      <c r="AH5750">
        <v>0.58157688141083097</v>
      </c>
      <c r="AI5750">
        <v>98.711317381805301</v>
      </c>
      <c r="AJ5750">
        <v>125.439399885622</v>
      </c>
      <c r="AK5750">
        <v>0.72215923676266902</v>
      </c>
    </row>
    <row r="5751" spans="1:37" x14ac:dyDescent="0.2">
      <c r="A5751" t="str">
        <f>"20200111153803481"</f>
        <v>20200111153803481</v>
      </c>
      <c r="B5751" t="str">
        <f>"1578728283468737"</f>
        <v>1578728283468737</v>
      </c>
      <c r="C5751" t="s">
        <v>37</v>
      </c>
      <c r="D5751">
        <v>5.9636719999999999</v>
      </c>
      <c r="E5751">
        <v>0.46604190000000001</v>
      </c>
      <c r="F5751" t="s">
        <v>38</v>
      </c>
      <c r="G5751">
        <v>-225.2586</v>
      </c>
      <c r="H5751">
        <v>0.9812575</v>
      </c>
      <c r="I5751">
        <v>-62.349249999999998</v>
      </c>
      <c r="J5751">
        <v>-225.9777</v>
      </c>
      <c r="K5751">
        <v>1.1044719999999999</v>
      </c>
      <c r="L5751">
        <v>-62.757689999999997</v>
      </c>
      <c r="M5751">
        <v>0.99961540000000004</v>
      </c>
      <c r="N5751">
        <v>0</v>
      </c>
      <c r="O5751">
        <v>-2.0431709999999999E-2</v>
      </c>
      <c r="P5751">
        <v>0.95288030000000001</v>
      </c>
      <c r="Q5751">
        <v>1.451565E-2</v>
      </c>
      <c r="R5751">
        <v>0.30299959999999998</v>
      </c>
      <c r="S5751">
        <v>2.7686459999999999</v>
      </c>
      <c r="T5751">
        <v>-0.36975399999999897</v>
      </c>
      <c r="U5751">
        <v>1.213074</v>
      </c>
      <c r="V5751">
        <v>-0.32234839999999998</v>
      </c>
      <c r="W5751">
        <v>3.2866590000000001E-2</v>
      </c>
      <c r="X5751">
        <v>0.94605030000000001</v>
      </c>
      <c r="Y5751">
        <v>-0.41668430000000001</v>
      </c>
      <c r="Z5751">
        <v>2.9102260000000001E-2</v>
      </c>
      <c r="AA5751">
        <v>0.90858530000000004</v>
      </c>
      <c r="AB5751">
        <v>34</v>
      </c>
      <c r="AC5751">
        <v>0.71909999999999696</v>
      </c>
      <c r="AD5751">
        <v>-0.12321449999999901</v>
      </c>
      <c r="AE5751">
        <v>0.40844000000000502</v>
      </c>
      <c r="AF5751">
        <v>-0.41386282098163601</v>
      </c>
      <c r="AG5751">
        <v>-0.12321449999999901</v>
      </c>
      <c r="AH5751">
        <v>0.69517183817834804</v>
      </c>
      <c r="AI5751">
        <v>98.659439872518703</v>
      </c>
      <c r="AJ5751">
        <v>120.76698301971599</v>
      </c>
      <c r="AK5751">
        <v>0.81836919064526803</v>
      </c>
    </row>
    <row r="5752" spans="1:37" x14ac:dyDescent="0.2">
      <c r="A5752" t="str">
        <f>"20200111153803493"</f>
        <v>20200111153803493</v>
      </c>
      <c r="B5752" t="str">
        <f>"1578728283489233"</f>
        <v>1578728283489233</v>
      </c>
      <c r="C5752" t="s">
        <v>37</v>
      </c>
      <c r="D5752">
        <v>5.574605</v>
      </c>
      <c r="E5752">
        <v>0.4754622</v>
      </c>
      <c r="F5752" t="s">
        <v>38</v>
      </c>
      <c r="G5752">
        <v>-224.97540000000001</v>
      </c>
      <c r="H5752">
        <v>0.97848809999999997</v>
      </c>
      <c r="I5752">
        <v>-62.35098</v>
      </c>
      <c r="J5752">
        <v>-225.79900000000001</v>
      </c>
      <c r="K5752">
        <v>1.1045309999999999</v>
      </c>
      <c r="L5752">
        <v>-62.761690000000002</v>
      </c>
      <c r="M5752">
        <v>0.99960729999999998</v>
      </c>
      <c r="N5752">
        <v>0</v>
      </c>
      <c r="O5752">
        <v>-2.072947E-2</v>
      </c>
      <c r="P5752">
        <v>0.95270460000000001</v>
      </c>
      <c r="Q5752">
        <v>1.391211E-2</v>
      </c>
      <c r="R5752">
        <v>0.303579299999999</v>
      </c>
      <c r="S5752">
        <v>2.7932739999999998</v>
      </c>
      <c r="T5752">
        <v>-0.35110140000000001</v>
      </c>
      <c r="U5752">
        <v>1.1334229999999901</v>
      </c>
      <c r="V5752">
        <v>-0.32321119999999998</v>
      </c>
      <c r="W5752">
        <v>3.2312799999999899E-2</v>
      </c>
      <c r="X5752">
        <v>0.94577500000000003</v>
      </c>
      <c r="Y5752">
        <v>-0.39232699999999998</v>
      </c>
      <c r="Z5752">
        <v>2.6135240000000001E-2</v>
      </c>
      <c r="AA5752">
        <v>0.91945449999999995</v>
      </c>
      <c r="AB5752">
        <v>34</v>
      </c>
      <c r="AC5752">
        <v>0.823599999999999</v>
      </c>
      <c r="AD5752">
        <v>-0.12604289999999899</v>
      </c>
      <c r="AE5752">
        <v>0.41070999999999402</v>
      </c>
      <c r="AF5752">
        <v>-0.41982309971246701</v>
      </c>
      <c r="AG5752">
        <v>-0.12604289999999899</v>
      </c>
      <c r="AH5752">
        <v>0.79990418579892997</v>
      </c>
      <c r="AI5752">
        <v>97.942828962804995</v>
      </c>
      <c r="AJ5752">
        <v>117.69236368230401</v>
      </c>
      <c r="AK5752">
        <v>0.91213209249057903</v>
      </c>
    </row>
    <row r="5753" spans="1:37" x14ac:dyDescent="0.2">
      <c r="A5753" t="str">
        <f>"20200111153803505"</f>
        <v>20200111153803505</v>
      </c>
      <c r="B5753" t="str">
        <f>"1578728283498993"</f>
        <v>1578728283498993</v>
      </c>
      <c r="C5753" t="s">
        <v>37</v>
      </c>
      <c r="D5753">
        <v>5.4417410000000004</v>
      </c>
      <c r="E5753">
        <v>0.4772014</v>
      </c>
      <c r="F5753" t="s">
        <v>63</v>
      </c>
      <c r="G5753">
        <v>-216.9897</v>
      </c>
      <c r="H5753" s="1">
        <v>-2.1358329999999998E-6</v>
      </c>
      <c r="I5753">
        <v>-59.435090000000002</v>
      </c>
      <c r="J5753">
        <v>-225.6233</v>
      </c>
      <c r="K5753">
        <v>1.1045929999999999</v>
      </c>
      <c r="L5753">
        <v>-62.765630000000002</v>
      </c>
      <c r="M5753">
        <v>0.99959989999999999</v>
      </c>
      <c r="N5753">
        <v>0</v>
      </c>
      <c r="O5753">
        <v>-2.0996770000000001E-2</v>
      </c>
      <c r="P5753">
        <v>0.95253299999999996</v>
      </c>
      <c r="Q5753">
        <v>1.322541E-2</v>
      </c>
      <c r="R5753">
        <v>0.30414849999999999</v>
      </c>
      <c r="S5753">
        <v>2.8153380000000001</v>
      </c>
      <c r="T5753">
        <v>-0.35299229999999998</v>
      </c>
      <c r="U5753">
        <v>1.06311</v>
      </c>
      <c r="V5753">
        <v>-0.32403539999999997</v>
      </c>
      <c r="W5753">
        <v>3.1669870000000003E-2</v>
      </c>
      <c r="X5753">
        <v>0.94551469999999904</v>
      </c>
      <c r="Y5753">
        <v>-0.37014789999999997</v>
      </c>
      <c r="Z5753">
        <v>2.4891400000000001E-2</v>
      </c>
      <c r="AA5753">
        <v>0.92863929999999995</v>
      </c>
      <c r="AB5753">
        <v>34</v>
      </c>
      <c r="AC5753">
        <v>8.6335999999999995</v>
      </c>
      <c r="AD5753">
        <v>-1.104595135833</v>
      </c>
      <c r="AE5753">
        <v>3.3305399999999898</v>
      </c>
      <c r="AF5753">
        <v>-3.4617900811626101</v>
      </c>
      <c r="AG5753">
        <v>-1.104595135833</v>
      </c>
      <c r="AH5753">
        <v>8.4414735819458304</v>
      </c>
      <c r="AI5753">
        <v>96.903109276376995</v>
      </c>
      <c r="AJ5753">
        <v>112.29819566937</v>
      </c>
      <c r="AK5753">
        <v>9.1903534869357006</v>
      </c>
    </row>
    <row r="5754" spans="1:37" x14ac:dyDescent="0.2">
      <c r="A5754" t="str">
        <f>"20200111153803516"</f>
        <v>20200111153803516</v>
      </c>
      <c r="B5754" t="str">
        <f>"1578728283508753"</f>
        <v>1578728283508753</v>
      </c>
      <c r="C5754" t="s">
        <v>37</v>
      </c>
      <c r="D5754">
        <v>5.6259350000000001</v>
      </c>
      <c r="E5754">
        <v>0.47809439999999997</v>
      </c>
      <c r="F5754" t="s">
        <v>63</v>
      </c>
      <c r="G5754">
        <v>-216.76840000000001</v>
      </c>
      <c r="H5754" s="1">
        <v>-2.0362769999999999E-6</v>
      </c>
      <c r="I5754">
        <v>-59.461190000000002</v>
      </c>
      <c r="J5754">
        <v>-225.43680000000001</v>
      </c>
      <c r="K5754">
        <v>1.104654</v>
      </c>
      <c r="L5754">
        <v>-62.769840000000002</v>
      </c>
      <c r="M5754">
        <v>0.9995927</v>
      </c>
      <c r="N5754">
        <v>0</v>
      </c>
      <c r="O5754">
        <v>-2.1250850000000002E-2</v>
      </c>
      <c r="P5754">
        <v>0.95225820000000005</v>
      </c>
      <c r="Q5754">
        <v>1.2435969999999999E-2</v>
      </c>
      <c r="R5754">
        <v>0.3050407</v>
      </c>
      <c r="S5754">
        <v>2.8185419999999999</v>
      </c>
      <c r="T5754">
        <v>-0.35159420000000002</v>
      </c>
      <c r="U5754">
        <v>1.0517879999999999</v>
      </c>
      <c r="V5754">
        <v>-0.32516719999999999</v>
      </c>
      <c r="W5754">
        <v>3.0919220000000001E-2</v>
      </c>
      <c r="X5754">
        <v>0.94515090000000002</v>
      </c>
      <c r="Y5754">
        <v>-0.36680570000000001</v>
      </c>
      <c r="Z5754">
        <v>2.4613670000000001E-2</v>
      </c>
      <c r="AA5754">
        <v>0.92997189999999996</v>
      </c>
      <c r="AB5754">
        <v>34</v>
      </c>
      <c r="AC5754">
        <v>8.6683999999999894</v>
      </c>
      <c r="AD5754">
        <v>-1.1046560362769999</v>
      </c>
      <c r="AE5754">
        <v>3.3086500000000001</v>
      </c>
      <c r="AF5754">
        <v>-3.4433390004673701</v>
      </c>
      <c r="AG5754">
        <v>-1.1046560362769999</v>
      </c>
      <c r="AH5754">
        <v>8.4759740783472299</v>
      </c>
      <c r="AI5754">
        <v>96.884825650357598</v>
      </c>
      <c r="AJ5754">
        <v>112.10930056822799</v>
      </c>
      <c r="AK5754">
        <v>9.21514975501956</v>
      </c>
    </row>
    <row r="5755" spans="1:37" x14ac:dyDescent="0.2">
      <c r="A5755" t="str">
        <f>"20200111153803534"</f>
        <v>20200111153803534</v>
      </c>
      <c r="B5755" t="str">
        <f>"1578728283529249"</f>
        <v>1578728283529249</v>
      </c>
      <c r="C5755" t="s">
        <v>37</v>
      </c>
      <c r="D5755">
        <v>5.610258</v>
      </c>
      <c r="E5755">
        <v>0.4793039</v>
      </c>
      <c r="F5755" t="s">
        <v>63</v>
      </c>
      <c r="G5755">
        <v>-216.62520000000001</v>
      </c>
      <c r="H5755" s="1">
        <v>-1.9686850000000001E-6</v>
      </c>
      <c r="I5755">
        <v>-59.495909999999903</v>
      </c>
      <c r="J5755">
        <v>-225.19829999999999</v>
      </c>
      <c r="K5755">
        <v>1.1047340000000001</v>
      </c>
      <c r="L5755">
        <v>-62.775239999999997</v>
      </c>
      <c r="M5755">
        <v>0.99958499999999995</v>
      </c>
      <c r="N5755">
        <v>0</v>
      </c>
      <c r="O5755">
        <v>-2.1510959999999999E-2</v>
      </c>
      <c r="P5755">
        <v>0.95165730000000004</v>
      </c>
      <c r="Q5755">
        <v>1.052814E-2</v>
      </c>
      <c r="R5755">
        <v>0.30698150000000002</v>
      </c>
      <c r="S5755">
        <v>2.8194729999999999</v>
      </c>
      <c r="T5755">
        <v>-0.35345979999999999</v>
      </c>
      <c r="U5755">
        <v>1.0475459999999901</v>
      </c>
      <c r="V5755">
        <v>-0.3273489</v>
      </c>
      <c r="W5755">
        <v>2.9045140000000001E-2</v>
      </c>
      <c r="X5755">
        <v>0.94445699999999999</v>
      </c>
      <c r="Y5755">
        <v>-0.36569559999999901</v>
      </c>
      <c r="Z5755">
        <v>2.470638E-2</v>
      </c>
      <c r="AA5755">
        <v>0.93040650000000003</v>
      </c>
      <c r="AB5755">
        <v>34</v>
      </c>
      <c r="AC5755">
        <v>8.5730999999999806</v>
      </c>
      <c r="AD5755">
        <v>-1.104735968685</v>
      </c>
      <c r="AE5755">
        <v>3.2793299999999999</v>
      </c>
      <c r="AF5755">
        <v>-3.4135727433705099</v>
      </c>
      <c r="AG5755">
        <v>-1.104735968685</v>
      </c>
      <c r="AH5755">
        <v>8.3791835657778808</v>
      </c>
      <c r="AI5755">
        <v>96.961332801501698</v>
      </c>
      <c r="AJ5755">
        <v>112.165356422443</v>
      </c>
      <c r="AK5755">
        <v>9.1150226364936007</v>
      </c>
    </row>
    <row r="5756" spans="1:37" x14ac:dyDescent="0.2">
      <c r="A5756" t="str">
        <f>"20200111153803545"</f>
        <v>20200111153803545</v>
      </c>
      <c r="B5756" t="str">
        <f>"1578728283539008"</f>
        <v>1578728283539008</v>
      </c>
      <c r="C5756" t="s">
        <v>37</v>
      </c>
      <c r="D5756">
        <v>5.5113750000000001</v>
      </c>
      <c r="E5756">
        <v>0.47928959999999998</v>
      </c>
      <c r="F5756" t="s">
        <v>63</v>
      </c>
      <c r="G5756">
        <v>-216.58009999999999</v>
      </c>
      <c r="H5756" s="1">
        <v>-1.9334039999999899E-6</v>
      </c>
      <c r="I5756">
        <v>-59.585839999999997</v>
      </c>
      <c r="J5756">
        <v>-225.01570000000001</v>
      </c>
      <c r="K5756">
        <v>1.1047959999999999</v>
      </c>
      <c r="L5756">
        <v>-62.779389999999999</v>
      </c>
      <c r="M5756">
        <v>0.99957999999999902</v>
      </c>
      <c r="N5756">
        <v>0</v>
      </c>
      <c r="O5756">
        <v>-2.1673560000000001E-2</v>
      </c>
      <c r="P5756">
        <v>0.9513625</v>
      </c>
      <c r="Q5756">
        <v>9.8671799999999997E-3</v>
      </c>
      <c r="R5756">
        <v>0.30791580000000002</v>
      </c>
      <c r="S5756">
        <v>2.8197779999999999</v>
      </c>
      <c r="T5756">
        <v>-0.3614578</v>
      </c>
      <c r="U5756">
        <v>1.0435179999999999</v>
      </c>
      <c r="V5756">
        <v>-0.32843559999999999</v>
      </c>
      <c r="W5756">
        <v>2.8406440000000002E-2</v>
      </c>
      <c r="X5756">
        <v>0.94409909999999997</v>
      </c>
      <c r="Y5756">
        <v>-0.36452950000000001</v>
      </c>
      <c r="Z5756">
        <v>2.521286E-2</v>
      </c>
      <c r="AA5756">
        <v>0.93085039999999997</v>
      </c>
      <c r="AB5756">
        <v>34</v>
      </c>
      <c r="AC5756">
        <v>8.4356000000000204</v>
      </c>
      <c r="AD5756">
        <v>-1.1047979334039999</v>
      </c>
      <c r="AE5756">
        <v>3.1935499999999899</v>
      </c>
      <c r="AF5756">
        <v>-3.3257679090303802</v>
      </c>
      <c r="AG5756">
        <v>-1.1047979334039999</v>
      </c>
      <c r="AH5756">
        <v>8.24075703568551</v>
      </c>
      <c r="AI5756">
        <v>97.086789659657597</v>
      </c>
      <c r="AJ5756">
        <v>111.97779742022701</v>
      </c>
      <c r="AK5756">
        <v>8.9549643873993308</v>
      </c>
    </row>
    <row r="5757" spans="1:37" x14ac:dyDescent="0.2">
      <c r="A5757" t="str">
        <f>"20200111153803557"</f>
        <v>20200111153803557</v>
      </c>
      <c r="B5757" t="str">
        <f>"1578728283548768"</f>
        <v>1578728283548768</v>
      </c>
      <c r="C5757" t="s">
        <v>37</v>
      </c>
      <c r="D5757">
        <v>5.6483349999999897</v>
      </c>
      <c r="E5757">
        <v>0.47937190000000002</v>
      </c>
      <c r="F5757" t="s">
        <v>63</v>
      </c>
      <c r="G5757">
        <v>-216.42509999999999</v>
      </c>
      <c r="H5757" s="1">
        <v>-1.86607E-6</v>
      </c>
      <c r="I5757">
        <v>-59.590580000000003</v>
      </c>
      <c r="J5757">
        <v>-224.83519999999999</v>
      </c>
      <c r="K5757">
        <v>1.1048610000000001</v>
      </c>
      <c r="L5757">
        <v>-62.783479999999997</v>
      </c>
      <c r="M5757">
        <v>0.99957559999999901</v>
      </c>
      <c r="N5757">
        <v>0</v>
      </c>
      <c r="O5757">
        <v>-2.1805720000000001E-2</v>
      </c>
      <c r="P5757">
        <v>0.95106080000000004</v>
      </c>
      <c r="Q5757">
        <v>9.0795719999999993E-3</v>
      </c>
      <c r="R5757">
        <v>0.30887009999999998</v>
      </c>
      <c r="S5757">
        <v>2.8185119999999899</v>
      </c>
      <c r="T5757">
        <v>-0.36247629999999997</v>
      </c>
      <c r="U5757">
        <v>1.0462039999999999</v>
      </c>
      <c r="V5757">
        <v>-0.32951259999999999</v>
      </c>
      <c r="W5757">
        <v>2.7635219999999999E-2</v>
      </c>
      <c r="X5757">
        <v>0.94374659999999999</v>
      </c>
      <c r="Y5757">
        <v>-0.36554300000000001</v>
      </c>
      <c r="Z5757">
        <v>2.5369220000000001E-2</v>
      </c>
      <c r="AA5757">
        <v>0.93044869999999902</v>
      </c>
      <c r="AB5757">
        <v>33</v>
      </c>
      <c r="AC5757">
        <v>8.4100999999999999</v>
      </c>
      <c r="AD5757">
        <v>-1.1048628660699999</v>
      </c>
      <c r="AE5757">
        <v>3.1928999999999998</v>
      </c>
      <c r="AF5757">
        <v>-3.3254003017776701</v>
      </c>
      <c r="AG5757">
        <v>-1.1048628660699999</v>
      </c>
      <c r="AH5757">
        <v>8.2145488971299905</v>
      </c>
      <c r="AI5757">
        <v>97.106544399958807</v>
      </c>
      <c r="AJ5757">
        <v>112.039006726455</v>
      </c>
      <c r="AK5757">
        <v>8.9307235263008202</v>
      </c>
    </row>
    <row r="5758" spans="1:37" x14ac:dyDescent="0.2">
      <c r="A5758" t="str">
        <f>"20200111153803570"</f>
        <v>20200111153803570</v>
      </c>
      <c r="B5758" t="str">
        <f>"1578728283558528"</f>
        <v>1578728283558528</v>
      </c>
      <c r="C5758" t="s">
        <v>37</v>
      </c>
      <c r="D5758">
        <v>5.6723660000000002</v>
      </c>
      <c r="E5758">
        <v>0.47938009999999898</v>
      </c>
      <c r="F5758" t="s">
        <v>63</v>
      </c>
      <c r="G5758">
        <v>-216.35409999999999</v>
      </c>
      <c r="H5758" s="1">
        <v>-1.8288970000000001E-6</v>
      </c>
      <c r="I5758">
        <v>-59.62829</v>
      </c>
      <c r="J5758">
        <v>-224.66</v>
      </c>
      <c r="K5758">
        <v>1.1049199999999999</v>
      </c>
      <c r="L5758">
        <v>-62.78745</v>
      </c>
      <c r="M5758">
        <v>0.99957269999999898</v>
      </c>
      <c r="N5758">
        <v>0</v>
      </c>
      <c r="O5758">
        <v>-2.189286E-2</v>
      </c>
      <c r="P5758">
        <v>0.95070560000000004</v>
      </c>
      <c r="Q5758">
        <v>8.4262339999999995E-3</v>
      </c>
      <c r="R5758">
        <v>0.3099807</v>
      </c>
      <c r="S5758">
        <v>2.8174899999999998</v>
      </c>
      <c r="T5758">
        <v>-0.36704399999999998</v>
      </c>
      <c r="U5758">
        <v>1.048157</v>
      </c>
      <c r="V5758">
        <v>-0.33070179999999999</v>
      </c>
      <c r="W5758">
        <v>2.6982200000000001E-2</v>
      </c>
      <c r="X5758">
        <v>0.94334949999999995</v>
      </c>
      <c r="Y5758">
        <v>-0.36622290000000002</v>
      </c>
      <c r="Z5758">
        <v>2.5745850000000001E-2</v>
      </c>
      <c r="AA5758">
        <v>0.93017090000000002</v>
      </c>
      <c r="AB5758">
        <v>33</v>
      </c>
      <c r="AC5758">
        <v>8.3058999999999994</v>
      </c>
      <c r="AD5758">
        <v>-1.104921828897</v>
      </c>
      <c r="AE5758">
        <v>3.15916</v>
      </c>
      <c r="AF5758">
        <v>-3.2894219757665</v>
      </c>
      <c r="AG5758">
        <v>-1.104921828897</v>
      </c>
      <c r="AH5758">
        <v>8.1093614725476293</v>
      </c>
      <c r="AI5758">
        <v>97.196125058838803</v>
      </c>
      <c r="AJ5758">
        <v>112.079082146321</v>
      </c>
      <c r="AK5758">
        <v>8.8205948027935506</v>
      </c>
    </row>
    <row r="5759" spans="1:37" x14ac:dyDescent="0.2">
      <c r="A5759" t="str">
        <f>"20200111153803582"</f>
        <v>20200111153803582</v>
      </c>
      <c r="B5759" t="str">
        <f>"1578728283579024"</f>
        <v>1578728283579024</v>
      </c>
      <c r="C5759" t="s">
        <v>37</v>
      </c>
      <c r="D5759">
        <v>5.6271209999999998</v>
      </c>
      <c r="E5759">
        <v>0.47955809999999999</v>
      </c>
      <c r="F5759" t="s">
        <v>63</v>
      </c>
      <c r="G5759">
        <v>-216.1634</v>
      </c>
      <c r="H5759" s="1">
        <v>-1.7494370000000001E-6</v>
      </c>
      <c r="I5759">
        <v>-59.615009999999998</v>
      </c>
      <c r="J5759">
        <v>-224.4716</v>
      </c>
      <c r="K5759">
        <v>1.104981</v>
      </c>
      <c r="L5759">
        <v>-62.791690000000003</v>
      </c>
      <c r="M5759">
        <v>0.99956999999999996</v>
      </c>
      <c r="N5759">
        <v>0</v>
      </c>
      <c r="O5759">
        <v>-2.1968939999999999E-2</v>
      </c>
      <c r="P5759">
        <v>0.95038489999999998</v>
      </c>
      <c r="Q5759">
        <v>7.8080739999999999E-3</v>
      </c>
      <c r="R5759">
        <v>0.3109787</v>
      </c>
      <c r="S5759">
        <v>2.8159640000000001</v>
      </c>
      <c r="T5759">
        <v>-0.3661933</v>
      </c>
      <c r="U5759">
        <v>1.0513920000000001</v>
      </c>
      <c r="V5759">
        <v>-0.33176820000000001</v>
      </c>
      <c r="W5759">
        <v>2.6359190000000001E-2</v>
      </c>
      <c r="X5759">
        <v>0.94299259999999996</v>
      </c>
      <c r="Y5759">
        <v>-0.36739879999999903</v>
      </c>
      <c r="Z5759">
        <v>2.5777899999999999E-2</v>
      </c>
      <c r="AA5759">
        <v>0.92970620000000004</v>
      </c>
      <c r="AB5759">
        <v>33</v>
      </c>
      <c r="AC5759">
        <v>8.3081999999999994</v>
      </c>
      <c r="AD5759">
        <v>-1.1049827494369999</v>
      </c>
      <c r="AE5759">
        <v>3.1766800000000002</v>
      </c>
      <c r="AF5759">
        <v>-3.3074276681110999</v>
      </c>
      <c r="AG5759">
        <v>-1.1049827494369999</v>
      </c>
      <c r="AH5759">
        <v>8.1112156492981597</v>
      </c>
      <c r="AI5759">
        <v>97.189606827273096</v>
      </c>
      <c r="AJ5759">
        <v>112.18366008847801</v>
      </c>
      <c r="AK5759">
        <v>8.8290364120757605</v>
      </c>
    </row>
    <row r="5760" spans="1:37" x14ac:dyDescent="0.2">
      <c r="A5760" t="str">
        <f>"20200111153803594"</f>
        <v>20200111153803594</v>
      </c>
      <c r="B5760" t="str">
        <f>"1578728283588784"</f>
        <v>1578728283588784</v>
      </c>
      <c r="C5760" t="s">
        <v>37</v>
      </c>
      <c r="D5760">
        <v>5.9666730000000001</v>
      </c>
      <c r="E5760">
        <v>0.47967759999999998</v>
      </c>
      <c r="F5760" t="s">
        <v>63</v>
      </c>
      <c r="G5760">
        <v>-216.0677</v>
      </c>
      <c r="H5760" s="1">
        <v>-1.70234E-6</v>
      </c>
      <c r="I5760">
        <v>-59.649079999999998</v>
      </c>
      <c r="J5760">
        <v>-224.2893</v>
      </c>
      <c r="K5760">
        <v>1.1050329999999999</v>
      </c>
      <c r="L5760">
        <v>-62.795780000000001</v>
      </c>
      <c r="M5760">
        <v>0.99956849999999997</v>
      </c>
      <c r="N5760">
        <v>0</v>
      </c>
      <c r="O5760">
        <v>-2.2009129999999998E-2</v>
      </c>
      <c r="P5760">
        <v>0.95007319999999995</v>
      </c>
      <c r="Q5760">
        <v>7.5310319999999896E-3</v>
      </c>
      <c r="R5760">
        <v>0.31193609999999999</v>
      </c>
      <c r="S5760">
        <v>2.8152009999999899</v>
      </c>
      <c r="T5760">
        <v>-0.37015189999999998</v>
      </c>
      <c r="U5760">
        <v>1.0527040000000001</v>
      </c>
      <c r="V5760">
        <v>-0.33276030000000001</v>
      </c>
      <c r="W5760">
        <v>2.6065089999999999E-2</v>
      </c>
      <c r="X5760">
        <v>0.94265119999999902</v>
      </c>
      <c r="Y5760">
        <v>-0.36783189999999999</v>
      </c>
      <c r="Z5760">
        <v>2.6091489999999998E-2</v>
      </c>
      <c r="AA5760">
        <v>0.92952619999999897</v>
      </c>
      <c r="AB5760">
        <v>33</v>
      </c>
      <c r="AC5760">
        <v>8.2215999999999898</v>
      </c>
      <c r="AD5760">
        <v>-1.10503470234</v>
      </c>
      <c r="AE5760">
        <v>3.1467000000000001</v>
      </c>
      <c r="AF5760">
        <v>-3.2753132859807899</v>
      </c>
      <c r="AG5760">
        <v>-1.10503470234</v>
      </c>
      <c r="AH5760">
        <v>8.0239067751155897</v>
      </c>
      <c r="AI5760">
        <v>97.266251138590107</v>
      </c>
      <c r="AJ5760">
        <v>112.205004434044</v>
      </c>
      <c r="AK5760">
        <v>8.7368105593771404</v>
      </c>
    </row>
    <row r="5761" spans="1:37" x14ac:dyDescent="0.2">
      <c r="A5761" t="str">
        <f>"20200111153803605"</f>
        <v>20200111153803605</v>
      </c>
      <c r="B5761" t="str">
        <f>"1578728283598545"</f>
        <v>1578728283598545</v>
      </c>
      <c r="C5761" t="s">
        <v>37</v>
      </c>
      <c r="D5761">
        <v>5.9059140000000001</v>
      </c>
      <c r="E5761">
        <v>0.4797034</v>
      </c>
      <c r="F5761" t="s">
        <v>63</v>
      </c>
      <c r="G5761">
        <v>-215.85390000000001</v>
      </c>
      <c r="H5761" s="1">
        <v>-1.6132699999999899E-6</v>
      </c>
      <c r="I5761">
        <v>-59.634239999999998</v>
      </c>
      <c r="J5761">
        <v>-224.1234</v>
      </c>
      <c r="K5761">
        <v>1.105081</v>
      </c>
      <c r="L5761">
        <v>-62.7994699999999</v>
      </c>
      <c r="M5761">
        <v>0.99956780000000001</v>
      </c>
      <c r="N5761">
        <v>0</v>
      </c>
      <c r="O5761">
        <v>-2.2025409999999999E-2</v>
      </c>
      <c r="P5761">
        <v>0.94970159999999904</v>
      </c>
      <c r="Q5761">
        <v>7.5085159999999998E-3</v>
      </c>
      <c r="R5761">
        <v>0.31306649999999903</v>
      </c>
      <c r="S5761">
        <v>2.81427</v>
      </c>
      <c r="T5761">
        <v>-0.36866700000000002</v>
      </c>
      <c r="U5761">
        <v>1.0547489999999999</v>
      </c>
      <c r="V5761">
        <v>-0.33390039999999999</v>
      </c>
      <c r="W5761">
        <v>2.6015980000000001E-2</v>
      </c>
      <c r="X5761">
        <v>0.94224929999999996</v>
      </c>
      <c r="Y5761">
        <v>-0.36855719999999997</v>
      </c>
      <c r="Z5761">
        <v>2.6040279999999999E-2</v>
      </c>
      <c r="AA5761">
        <v>0.92924030000000002</v>
      </c>
      <c r="AB5761">
        <v>33</v>
      </c>
      <c r="AC5761">
        <v>8.2694999999999901</v>
      </c>
      <c r="AD5761">
        <v>-1.10508261327</v>
      </c>
      <c r="AE5761">
        <v>3.1652299999999798</v>
      </c>
      <c r="AF5761">
        <v>-3.2953079059500001</v>
      </c>
      <c r="AG5761">
        <v>-1.10508261327</v>
      </c>
      <c r="AH5761">
        <v>8.0720346789054993</v>
      </c>
      <c r="AI5761">
        <v>97.223588233135402</v>
      </c>
      <c r="AJ5761">
        <v>112.207128316582</v>
      </c>
      <c r="AK5761">
        <v>8.7885155535290096</v>
      </c>
    </row>
    <row r="5762" spans="1:37" x14ac:dyDescent="0.2">
      <c r="A5762" t="str">
        <f>"20200111153803617"</f>
        <v>20200111153803617</v>
      </c>
      <c r="B5762" t="str">
        <f>"1578728283609281"</f>
        <v>1578728283609281</v>
      </c>
      <c r="C5762" t="s">
        <v>37</v>
      </c>
      <c r="D5762">
        <v>5.9075839999999999</v>
      </c>
      <c r="E5762">
        <v>0.4798134</v>
      </c>
      <c r="F5762" t="s">
        <v>63</v>
      </c>
      <c r="G5762">
        <v>-215.67339999999999</v>
      </c>
      <c r="H5762" s="1">
        <v>-1.5380830000000001E-6</v>
      </c>
      <c r="I5762">
        <v>-59.621540000000003</v>
      </c>
      <c r="J5762">
        <v>-223.94409999999999</v>
      </c>
      <c r="K5762">
        <v>1.105124</v>
      </c>
      <c r="L5762">
        <v>-62.803469999999997</v>
      </c>
      <c r="M5762">
        <v>0.99956749999999905</v>
      </c>
      <c r="N5762">
        <v>0</v>
      </c>
      <c r="O5762">
        <v>-2.202633E-2</v>
      </c>
      <c r="P5762">
        <v>0.94931739999999998</v>
      </c>
      <c r="Q5762">
        <v>7.3954569999999898E-3</v>
      </c>
      <c r="R5762">
        <v>0.31423200000000001</v>
      </c>
      <c r="S5762">
        <v>2.8130489999999999</v>
      </c>
      <c r="T5762">
        <v>-0.36788559999999998</v>
      </c>
      <c r="U5762">
        <v>1.057922</v>
      </c>
      <c r="V5762">
        <v>-0.33506059999999999</v>
      </c>
      <c r="W5762">
        <v>2.5867270000000001E-2</v>
      </c>
      <c r="X5762">
        <v>0.94184140000000005</v>
      </c>
      <c r="Y5762">
        <v>-0.36961259999999901</v>
      </c>
      <c r="Z5762">
        <v>2.605766E-2</v>
      </c>
      <c r="AA5762">
        <v>0.92882049999999905</v>
      </c>
      <c r="AB5762">
        <v>33</v>
      </c>
      <c r="AC5762">
        <v>8.2706999999999997</v>
      </c>
      <c r="AD5762">
        <v>-1.1051255380830001</v>
      </c>
      <c r="AE5762">
        <v>3.1819299999999902</v>
      </c>
      <c r="AF5762">
        <v>-3.3118587560082799</v>
      </c>
      <c r="AG5762">
        <v>-1.1051255380830001</v>
      </c>
      <c r="AH5762">
        <v>8.0730394847754106</v>
      </c>
      <c r="AI5762">
        <v>97.217969337982595</v>
      </c>
      <c r="AJ5762">
        <v>112.30524862461</v>
      </c>
      <c r="AK5762">
        <v>8.7956624194778392</v>
      </c>
    </row>
    <row r="5763" spans="1:37" x14ac:dyDescent="0.2">
      <c r="A5763" t="str">
        <f>"20200111153803628"</f>
        <v>20200111153803628</v>
      </c>
      <c r="B5763" t="str">
        <f>"1578728283619040"</f>
        <v>1578728283619040</v>
      </c>
      <c r="C5763" t="s">
        <v>37</v>
      </c>
      <c r="D5763">
        <v>5.6757619999999998</v>
      </c>
      <c r="E5763">
        <v>0.47975519999999999</v>
      </c>
      <c r="F5763" t="s">
        <v>63</v>
      </c>
      <c r="G5763">
        <v>-215.44810000000001</v>
      </c>
      <c r="H5763" s="1">
        <v>-1.445564E-6</v>
      </c>
      <c r="I5763">
        <v>-59.598239999999997</v>
      </c>
      <c r="J5763">
        <v>-223.78</v>
      </c>
      <c r="K5763">
        <v>1.1051599999999999</v>
      </c>
      <c r="L5763">
        <v>-62.807069999999896</v>
      </c>
      <c r="M5763">
        <v>0.99956859999999903</v>
      </c>
      <c r="N5763">
        <v>0</v>
      </c>
      <c r="O5763">
        <v>-2.199272E-2</v>
      </c>
      <c r="P5763">
        <v>0.94899509999999898</v>
      </c>
      <c r="Q5763">
        <v>7.7334750000000001E-3</v>
      </c>
      <c r="R5763">
        <v>0.31519599999999998</v>
      </c>
      <c r="S5763">
        <v>2.811874</v>
      </c>
      <c r="T5763">
        <v>-0.36575570000000002</v>
      </c>
      <c r="U5763">
        <v>1.060791</v>
      </c>
      <c r="V5763">
        <v>-0.33598810000000001</v>
      </c>
      <c r="W5763">
        <v>2.6154230000000001E-2</v>
      </c>
      <c r="X5763">
        <v>0.94150299999999998</v>
      </c>
      <c r="Y5763">
        <v>-0.37056479999999897</v>
      </c>
      <c r="Z5763">
        <v>2.5968970000000001E-2</v>
      </c>
      <c r="AA5763">
        <v>0.92844349999999998</v>
      </c>
      <c r="AB5763">
        <v>33</v>
      </c>
      <c r="AC5763">
        <v>8.3318999999999903</v>
      </c>
      <c r="AD5763">
        <v>-1.105161445564</v>
      </c>
      <c r="AE5763">
        <v>3.2088299999999901</v>
      </c>
      <c r="AF5763">
        <v>-3.34015348574939</v>
      </c>
      <c r="AG5763">
        <v>-1.105161445564</v>
      </c>
      <c r="AH5763">
        <v>8.1346649184502695</v>
      </c>
      <c r="AI5763">
        <v>97.163166539669305</v>
      </c>
      <c r="AJ5763">
        <v>112.323415262159</v>
      </c>
      <c r="AK5763">
        <v>8.8628878174436192</v>
      </c>
    </row>
    <row r="5764" spans="1:37" x14ac:dyDescent="0.2">
      <c r="A5764" t="str">
        <f>"20200111153803641"</f>
        <v>20200111153803641</v>
      </c>
      <c r="B5764" t="str">
        <f>"1578728283628801"</f>
        <v>1578728283628801</v>
      </c>
      <c r="C5764" t="s">
        <v>37</v>
      </c>
      <c r="D5764">
        <v>5.7159089999999999</v>
      </c>
      <c r="E5764">
        <v>0.47971179999999902</v>
      </c>
      <c r="F5764" t="s">
        <v>63</v>
      </c>
      <c r="G5764">
        <v>-215.2491</v>
      </c>
      <c r="H5764" s="1">
        <v>-1.3640129999999999E-6</v>
      </c>
      <c r="I5764">
        <v>-59.576839999999997</v>
      </c>
      <c r="J5764">
        <v>-223.60939999999999</v>
      </c>
      <c r="K5764">
        <v>1.1051930000000001</v>
      </c>
      <c r="L5764">
        <v>-62.8108199999999</v>
      </c>
      <c r="M5764">
        <v>0.99956999999999996</v>
      </c>
      <c r="N5764">
        <v>0</v>
      </c>
      <c r="O5764">
        <v>-2.194695E-2</v>
      </c>
      <c r="P5764">
        <v>0.94864889999999902</v>
      </c>
      <c r="Q5764">
        <v>8.2759859999999904E-3</v>
      </c>
      <c r="R5764">
        <v>0.31622280000000003</v>
      </c>
      <c r="S5764">
        <v>2.81073</v>
      </c>
      <c r="T5764">
        <v>-0.36412610000000001</v>
      </c>
      <c r="U5764">
        <v>1.06427</v>
      </c>
      <c r="V5764">
        <v>-0.3369663</v>
      </c>
      <c r="W5764">
        <v>2.663567E-2</v>
      </c>
      <c r="X5764">
        <v>0.94113989999999903</v>
      </c>
      <c r="Y5764">
        <v>-0.37166969999999999</v>
      </c>
      <c r="Z5764">
        <v>2.5921699999999999E-2</v>
      </c>
      <c r="AA5764">
        <v>0.92800309999999897</v>
      </c>
      <c r="AB5764">
        <v>33</v>
      </c>
      <c r="AC5764">
        <v>8.3602999999999899</v>
      </c>
      <c r="AD5764">
        <v>-1.105194364013</v>
      </c>
      <c r="AE5764">
        <v>3.2339799999999799</v>
      </c>
      <c r="AF5764">
        <v>-3.3655584844131998</v>
      </c>
      <c r="AG5764">
        <v>-1.105194364013</v>
      </c>
      <c r="AH5764">
        <v>8.1632067205794296</v>
      </c>
      <c r="AI5764">
        <v>97.134423973732495</v>
      </c>
      <c r="AJ5764">
        <v>112.405564194058</v>
      </c>
      <c r="AK5764">
        <v>8.8986730728331107</v>
      </c>
    </row>
    <row r="5765" spans="1:37" x14ac:dyDescent="0.2">
      <c r="A5765" t="str">
        <f>"20200111153803657"</f>
        <v>20200111153803657</v>
      </c>
      <c r="B5765" t="str">
        <f>"1578728283649296"</f>
        <v>1578728283649296</v>
      </c>
      <c r="C5765" t="s">
        <v>37</v>
      </c>
      <c r="D5765">
        <v>5.6888290000000001</v>
      </c>
      <c r="E5765">
        <v>0.479599</v>
      </c>
      <c r="F5765" t="s">
        <v>38</v>
      </c>
      <c r="G5765">
        <v>-222.52109999999999</v>
      </c>
      <c r="H5765">
        <v>0.96470650000000002</v>
      </c>
      <c r="I5765">
        <v>-62.397350000000003</v>
      </c>
      <c r="J5765">
        <v>-223.37139999999999</v>
      </c>
      <c r="K5765">
        <v>1.105243</v>
      </c>
      <c r="L5765">
        <v>-62.815980000000003</v>
      </c>
      <c r="M5765">
        <v>0.99957399999999996</v>
      </c>
      <c r="N5765">
        <v>0</v>
      </c>
      <c r="O5765">
        <v>-2.1826470000000001E-2</v>
      </c>
      <c r="P5765">
        <v>0.94792209999999999</v>
      </c>
      <c r="Q5765">
        <v>8.8473370000000003E-3</v>
      </c>
      <c r="R5765">
        <v>0.31837959999999998</v>
      </c>
      <c r="S5765">
        <v>2.8096619999999999</v>
      </c>
      <c r="T5765">
        <v>-0.362718599999999</v>
      </c>
      <c r="U5765">
        <v>1.067596</v>
      </c>
      <c r="V5765">
        <v>-0.338997099999999</v>
      </c>
      <c r="W5765">
        <v>2.7077529999999999E-2</v>
      </c>
      <c r="X5765">
        <v>0.940397699999999</v>
      </c>
      <c r="Y5765">
        <v>-0.37265029999999999</v>
      </c>
      <c r="Z5765">
        <v>2.5872119999999998E-2</v>
      </c>
      <c r="AA5765">
        <v>0.92761109999999902</v>
      </c>
      <c r="AB5765">
        <v>33</v>
      </c>
      <c r="AC5765">
        <v>0.85030000000000405</v>
      </c>
      <c r="AD5765">
        <v>-0.14053649999999901</v>
      </c>
      <c r="AE5765">
        <v>0.41863</v>
      </c>
      <c r="AF5765">
        <v>-0.42768895981667299</v>
      </c>
      <c r="AG5765">
        <v>-0.14053649999999901</v>
      </c>
      <c r="AH5765">
        <v>0.82286567940378397</v>
      </c>
      <c r="AI5765">
        <v>98.617159500068794</v>
      </c>
      <c r="AJ5765">
        <v>117.46340327609801</v>
      </c>
      <c r="AK5765">
        <v>0.93796390150259401</v>
      </c>
    </row>
    <row r="5766" spans="1:37" x14ac:dyDescent="0.2">
      <c r="A5766" t="str">
        <f>"20200111153803669"</f>
        <v>20200111153803669</v>
      </c>
      <c r="B5766" t="str">
        <f>"1578728283659056"</f>
        <v>1578728283659056</v>
      </c>
      <c r="C5766" t="s">
        <v>37</v>
      </c>
      <c r="D5766">
        <v>5.6927440000000002</v>
      </c>
      <c r="E5766">
        <v>0.47948950000000001</v>
      </c>
      <c r="F5766" t="s">
        <v>63</v>
      </c>
      <c r="G5766">
        <v>-214.76179999999999</v>
      </c>
      <c r="H5766" s="1">
        <v>-1.1651609999999899E-6</v>
      </c>
      <c r="I5766">
        <v>-59.519190000000002</v>
      </c>
      <c r="J5766">
        <v>-223.19540000000001</v>
      </c>
      <c r="K5766">
        <v>1.1052770000000001</v>
      </c>
      <c r="L5766">
        <v>-62.81973</v>
      </c>
      <c r="M5766">
        <v>0.99957850000000004</v>
      </c>
      <c r="N5766">
        <v>0</v>
      </c>
      <c r="O5766">
        <v>-2.170186E-2</v>
      </c>
      <c r="P5766">
        <v>0.94759249999999995</v>
      </c>
      <c r="Q5766">
        <v>9.3166120000000002E-3</v>
      </c>
      <c r="R5766">
        <v>0.31934580000000001</v>
      </c>
      <c r="S5766">
        <v>2.8071440000000001</v>
      </c>
      <c r="T5766">
        <v>-0.3603613</v>
      </c>
      <c r="U5766">
        <v>1.0748899999999999</v>
      </c>
      <c r="V5766">
        <v>-0.33984179999999897</v>
      </c>
      <c r="W5766">
        <v>2.7417380000000002E-2</v>
      </c>
      <c r="X5766">
        <v>0.94008289999999906</v>
      </c>
      <c r="Y5766">
        <v>-0.37493349999999998</v>
      </c>
      <c r="Z5766">
        <v>2.584084E-2</v>
      </c>
      <c r="AA5766">
        <v>0.9266915</v>
      </c>
      <c r="AB5766">
        <v>33</v>
      </c>
      <c r="AC5766">
        <v>8.4336000000000109</v>
      </c>
      <c r="AD5766">
        <v>-1.105278165161</v>
      </c>
      <c r="AE5766">
        <v>3.3005399999999998</v>
      </c>
      <c r="AF5766">
        <v>-3.43170744932302</v>
      </c>
      <c r="AG5766">
        <v>-1.105278165161</v>
      </c>
      <c r="AH5766">
        <v>8.2372811486477495</v>
      </c>
      <c r="AI5766">
        <v>97.060755355292798</v>
      </c>
      <c r="AJ5766">
        <v>112.616942838642</v>
      </c>
      <c r="AK5766">
        <v>8.9917215571873896</v>
      </c>
    </row>
    <row r="5767" spans="1:37" x14ac:dyDescent="0.2">
      <c r="A5767" t="str">
        <f>"20200111153803683"</f>
        <v>20200111153803683</v>
      </c>
      <c r="B5767" t="str">
        <f>"1578728283678577"</f>
        <v>1578728283678577</v>
      </c>
      <c r="C5767" t="s">
        <v>37</v>
      </c>
      <c r="D5767">
        <v>6.0170309999999896</v>
      </c>
      <c r="E5767">
        <v>0.47935889999999998</v>
      </c>
      <c r="F5767" t="s">
        <v>63</v>
      </c>
      <c r="G5767">
        <v>-214.541</v>
      </c>
      <c r="H5767" s="1">
        <v>-1.0751929999999999E-6</v>
      </c>
      <c r="I5767">
        <v>-59.492440000000002</v>
      </c>
      <c r="J5767">
        <v>-222.99459999999999</v>
      </c>
      <c r="K5767">
        <v>1.1053109999999999</v>
      </c>
      <c r="L5767">
        <v>-62.823969999999903</v>
      </c>
      <c r="M5767">
        <v>0.99958440000000004</v>
      </c>
      <c r="N5767">
        <v>0</v>
      </c>
      <c r="O5767">
        <v>-2.1534950000000001E-2</v>
      </c>
      <c r="P5767">
        <v>0.94713689999999995</v>
      </c>
      <c r="Q5767">
        <v>9.1604289999999994E-3</v>
      </c>
      <c r="R5767">
        <v>0.32069920000000002</v>
      </c>
      <c r="S5767">
        <v>2.8058930000000002</v>
      </c>
      <c r="T5767">
        <v>-0.35834690000000002</v>
      </c>
      <c r="U5767">
        <v>1.078735</v>
      </c>
      <c r="V5767">
        <v>-0.341032</v>
      </c>
      <c r="W5767">
        <v>2.7093260000000001E-2</v>
      </c>
      <c r="X5767">
        <v>0.93966109999999903</v>
      </c>
      <c r="Y5767">
        <v>-0.37604779999999999</v>
      </c>
      <c r="Z5767">
        <v>2.5749950000000001E-2</v>
      </c>
      <c r="AA5767">
        <v>0.92624240000000002</v>
      </c>
      <c r="AB5767">
        <v>33</v>
      </c>
      <c r="AC5767">
        <v>8.4535999999999891</v>
      </c>
      <c r="AD5767">
        <v>-1.1053120751929999</v>
      </c>
      <c r="AE5767">
        <v>3.3315299999999901</v>
      </c>
      <c r="AF5767">
        <v>-3.4616152878730602</v>
      </c>
      <c r="AG5767">
        <v>-1.1053120751929999</v>
      </c>
      <c r="AH5767">
        <v>8.2576885003770499</v>
      </c>
      <c r="AI5767">
        <v>97.037267528429894</v>
      </c>
      <c r="AJ5767">
        <v>112.743385509993</v>
      </c>
      <c r="AK5767">
        <v>9.0218575999659496</v>
      </c>
    </row>
    <row r="5768" spans="1:37" x14ac:dyDescent="0.2">
      <c r="A5768" t="str">
        <f>"20200111153803696"</f>
        <v>20200111153803696</v>
      </c>
      <c r="B5768" t="str">
        <f>"1578728283689312"</f>
        <v>1578728283689312</v>
      </c>
      <c r="C5768" t="s">
        <v>37</v>
      </c>
      <c r="D5768">
        <v>5.6530180000000003</v>
      </c>
      <c r="E5768">
        <v>0.47929830000000001</v>
      </c>
      <c r="F5768" t="s">
        <v>63</v>
      </c>
      <c r="G5768">
        <v>-214.29660000000001</v>
      </c>
      <c r="H5768" s="1">
        <v>-9.7578409999999996E-7</v>
      </c>
      <c r="I5768">
        <v>-59.461779999999997</v>
      </c>
      <c r="J5768">
        <v>-222.79580000000001</v>
      </c>
      <c r="K5768">
        <v>1.105345</v>
      </c>
      <c r="L5768">
        <v>-62.828090000000003</v>
      </c>
      <c r="M5768">
        <v>0.99959149999999997</v>
      </c>
      <c r="N5768">
        <v>0</v>
      </c>
      <c r="O5768">
        <v>-2.1327039999999998E-2</v>
      </c>
      <c r="P5768">
        <v>0.9467293</v>
      </c>
      <c r="Q5768">
        <v>9.2059150000000003E-3</v>
      </c>
      <c r="R5768">
        <v>0.32189899999999999</v>
      </c>
      <c r="S5768">
        <v>2.803925</v>
      </c>
      <c r="T5768">
        <v>-0.3563132</v>
      </c>
      <c r="U5768">
        <v>1.0838319999999999</v>
      </c>
      <c r="V5768">
        <v>-0.34203090000000003</v>
      </c>
      <c r="W5768">
        <v>2.6950740000000001E-2</v>
      </c>
      <c r="X5768">
        <v>0.93930210000000003</v>
      </c>
      <c r="Y5768">
        <v>-0.37755929999999999</v>
      </c>
      <c r="Z5768">
        <v>2.5680439999999999E-2</v>
      </c>
      <c r="AA5768">
        <v>0.92562929999999999</v>
      </c>
      <c r="AB5768">
        <v>33</v>
      </c>
      <c r="AC5768">
        <v>8.4992000000000001</v>
      </c>
      <c r="AD5768">
        <v>-1.1053459757841</v>
      </c>
      <c r="AE5768">
        <v>3.3663099999999901</v>
      </c>
      <c r="AF5768">
        <v>-3.4957312706524299</v>
      </c>
      <c r="AG5768">
        <v>-1.1053459757841</v>
      </c>
      <c r="AH5768">
        <v>8.3040526098758392</v>
      </c>
      <c r="AI5768">
        <v>96.994206855616397</v>
      </c>
      <c r="AJ5768">
        <v>112.829481608593</v>
      </c>
      <c r="AK5768">
        <v>9.0774014227853304</v>
      </c>
    </row>
    <row r="5769" spans="1:37" x14ac:dyDescent="0.2">
      <c r="A5769" t="str">
        <f>"20200111153803712"</f>
        <v>20200111153803712</v>
      </c>
      <c r="B5769" t="str">
        <f>"1578728283699073"</f>
        <v>1578728283699073</v>
      </c>
      <c r="C5769" t="s">
        <v>37</v>
      </c>
      <c r="D5769">
        <v>5.7100109999999997</v>
      </c>
      <c r="E5769">
        <v>0.479235999999999</v>
      </c>
      <c r="F5769" t="s">
        <v>63</v>
      </c>
      <c r="G5769">
        <v>-214.07589999999999</v>
      </c>
      <c r="H5769" s="1">
        <v>-8.8440980000000003E-7</v>
      </c>
      <c r="I5769">
        <v>-59.443040000000003</v>
      </c>
      <c r="J5769">
        <v>-222.5625</v>
      </c>
      <c r="K5769">
        <v>1.105383</v>
      </c>
      <c r="L5769">
        <v>-62.83276</v>
      </c>
      <c r="M5769">
        <v>0.99960190000000004</v>
      </c>
      <c r="N5769">
        <v>0</v>
      </c>
      <c r="O5769">
        <v>-2.1025950000000002E-2</v>
      </c>
      <c r="P5769">
        <v>0.94596150000000001</v>
      </c>
      <c r="Q5769">
        <v>9.6198689999999996E-3</v>
      </c>
      <c r="R5769">
        <v>0.3241366</v>
      </c>
      <c r="S5769">
        <v>2.8023829999999998</v>
      </c>
      <c r="T5769">
        <v>-0.3552324</v>
      </c>
      <c r="U5769">
        <v>1.08786</v>
      </c>
      <c r="V5769">
        <v>-0.34397369999999999</v>
      </c>
      <c r="W5769">
        <v>2.708706E-2</v>
      </c>
      <c r="X5769">
        <v>0.93858850000000005</v>
      </c>
      <c r="Y5769">
        <v>-0.37861909999999999</v>
      </c>
      <c r="Z5769">
        <v>2.5637599999999899E-2</v>
      </c>
      <c r="AA5769">
        <v>0.92519739999999995</v>
      </c>
      <c r="AB5769">
        <v>33</v>
      </c>
      <c r="AC5769">
        <v>8.4866000000000099</v>
      </c>
      <c r="AD5769">
        <v>-1.1053838844098001</v>
      </c>
      <c r="AE5769">
        <v>3.3897199999999899</v>
      </c>
      <c r="AF5769">
        <v>-3.51599817558149</v>
      </c>
      <c r="AG5769">
        <v>-1.1053838844098001</v>
      </c>
      <c r="AH5769">
        <v>8.2921164545800092</v>
      </c>
      <c r="AI5769">
        <v>96.9968337304215</v>
      </c>
      <c r="AJ5769">
        <v>112.977769123652</v>
      </c>
      <c r="AK5769">
        <v>9.0743215723778494</v>
      </c>
    </row>
    <row r="5770" spans="1:37" x14ac:dyDescent="0.2">
      <c r="A5770" t="str">
        <f>"20200111153803726"</f>
        <v>20200111153803726</v>
      </c>
      <c r="B5770" t="str">
        <f>"1578728283718594"</f>
        <v>1578728283718594</v>
      </c>
      <c r="C5770" t="s">
        <v>37</v>
      </c>
      <c r="D5770">
        <v>5.6744629999999896</v>
      </c>
      <c r="E5770">
        <v>0.47910219999999998</v>
      </c>
      <c r="F5770" t="s">
        <v>63</v>
      </c>
      <c r="G5770">
        <v>-213.7998</v>
      </c>
      <c r="H5770" s="1">
        <v>-7.7251619999999896E-7</v>
      </c>
      <c r="I5770">
        <v>-59.406209999999902</v>
      </c>
      <c r="J5770">
        <v>-222.3672</v>
      </c>
      <c r="K5770">
        <v>1.1054109999999999</v>
      </c>
      <c r="L5770">
        <v>-62.836640000000003</v>
      </c>
      <c r="M5770">
        <v>0.999612099999999</v>
      </c>
      <c r="N5770">
        <v>0</v>
      </c>
      <c r="O5770">
        <v>-2.0727019999999999E-2</v>
      </c>
      <c r="P5770">
        <v>0.94560489999999997</v>
      </c>
      <c r="Q5770">
        <v>9.7280000000000005E-3</v>
      </c>
      <c r="R5770">
        <v>0.32517239999999997</v>
      </c>
      <c r="S5770">
        <v>2.7998349999999999</v>
      </c>
      <c r="T5770">
        <v>-0.35318699999999997</v>
      </c>
      <c r="U5770">
        <v>1.0948180000000001</v>
      </c>
      <c r="V5770">
        <v>-0.34472550000000002</v>
      </c>
      <c r="W5770">
        <v>2.6945489999999999E-2</v>
      </c>
      <c r="X5770">
        <v>0.938316699999999</v>
      </c>
      <c r="Y5770">
        <v>-0.38064009999999998</v>
      </c>
      <c r="Z5770">
        <v>2.558771E-2</v>
      </c>
      <c r="AA5770">
        <v>0.924369199999999</v>
      </c>
      <c r="AB5770">
        <v>33</v>
      </c>
      <c r="AC5770">
        <v>8.5673999999999904</v>
      </c>
      <c r="AD5770">
        <v>-1.1054117725162</v>
      </c>
      <c r="AE5770">
        <v>3.4304299999999999</v>
      </c>
      <c r="AF5770">
        <v>-3.5562771557466699</v>
      </c>
      <c r="AG5770">
        <v>-1.1054117725162</v>
      </c>
      <c r="AH5770">
        <v>8.3742952695361197</v>
      </c>
      <c r="AI5770">
        <v>96.927415263940105</v>
      </c>
      <c r="AJ5770">
        <v>113.009273379533</v>
      </c>
      <c r="AK5770">
        <v>9.1650348420875201</v>
      </c>
    </row>
    <row r="5771" spans="1:37" x14ac:dyDescent="0.2">
      <c r="A5771" t="str">
        <f>"20200111153803737"</f>
        <v>20200111153803737</v>
      </c>
      <c r="B5771" t="str">
        <f>"1578728283729328"</f>
        <v>1578728283729328</v>
      </c>
      <c r="C5771" t="s">
        <v>37</v>
      </c>
      <c r="D5771">
        <v>5.3619500000000002</v>
      </c>
      <c r="E5771">
        <v>0.4790179</v>
      </c>
      <c r="F5771" t="s">
        <v>63</v>
      </c>
      <c r="G5771">
        <v>-213.55699999999999</v>
      </c>
      <c r="H5771" s="1">
        <v>-6.7380339999999996E-7</v>
      </c>
      <c r="I5771">
        <v>-59.3754699999999</v>
      </c>
      <c r="J5771">
        <v>-222.19159999999999</v>
      </c>
      <c r="K5771">
        <v>1.1054379999999999</v>
      </c>
      <c r="L5771">
        <v>-62.84</v>
      </c>
      <c r="M5771">
        <v>0.99962189999999995</v>
      </c>
      <c r="N5771">
        <v>0</v>
      </c>
      <c r="O5771">
        <v>-2.042414E-2</v>
      </c>
      <c r="P5771">
        <v>0.94523440000000003</v>
      </c>
      <c r="Q5771">
        <v>9.9413799999999997E-3</v>
      </c>
      <c r="R5771">
        <v>0.32624120000000001</v>
      </c>
      <c r="S5771">
        <v>2.798187</v>
      </c>
      <c r="T5771">
        <v>-0.35108669999999997</v>
      </c>
      <c r="U5771">
        <v>1.0992740000000001</v>
      </c>
      <c r="V5771">
        <v>-0.34550540000000002</v>
      </c>
      <c r="W5771">
        <v>2.6919749999999999E-2</v>
      </c>
      <c r="X5771">
        <v>0.93803049999999999</v>
      </c>
      <c r="Y5771">
        <v>-0.38184570000000001</v>
      </c>
      <c r="Z5771">
        <v>2.5479499999999999E-2</v>
      </c>
      <c r="AA5771">
        <v>0.9238748</v>
      </c>
      <c r="AB5771">
        <v>33</v>
      </c>
      <c r="AC5771">
        <v>8.6345999999999705</v>
      </c>
      <c r="AD5771">
        <v>-1.1054386738033899</v>
      </c>
      <c r="AE5771">
        <v>3.4645300000000101</v>
      </c>
      <c r="AF5771">
        <v>-3.5895164958358299</v>
      </c>
      <c r="AG5771">
        <v>-1.1054386738033899</v>
      </c>
      <c r="AH5771">
        <v>8.4428350853408993</v>
      </c>
      <c r="AI5771">
        <v>96.870684268767306</v>
      </c>
      <c r="AJ5771">
        <v>113.033030672053</v>
      </c>
      <c r="AK5771">
        <v>9.2405674941359006</v>
      </c>
    </row>
    <row r="5772" spans="1:37" x14ac:dyDescent="0.2">
      <c r="A5772" t="str">
        <f>"20200111153803748"</f>
        <v>20200111153803748</v>
      </c>
      <c r="B5772" t="str">
        <f>"1578728283739089"</f>
        <v>1578728283739089</v>
      </c>
      <c r="C5772" t="s">
        <v>37</v>
      </c>
      <c r="D5772">
        <v>5.9558460000000002</v>
      </c>
      <c r="E5772">
        <v>0.47890640000000001</v>
      </c>
      <c r="F5772" t="s">
        <v>63</v>
      </c>
      <c r="G5772">
        <v>-213.35769999999999</v>
      </c>
      <c r="H5772" s="1">
        <v>-5.9190929999999996E-7</v>
      </c>
      <c r="I5772">
        <v>-59.35519</v>
      </c>
      <c r="J5772">
        <v>-222.03299999999999</v>
      </c>
      <c r="K5772">
        <v>1.1054619999999999</v>
      </c>
      <c r="L5772">
        <v>-62.842959999999998</v>
      </c>
      <c r="M5772">
        <v>0.99963219999999997</v>
      </c>
      <c r="N5772">
        <v>0</v>
      </c>
      <c r="O5772">
        <v>-2.009058E-2</v>
      </c>
      <c r="P5772">
        <v>0.94488639999999902</v>
      </c>
      <c r="Q5772">
        <v>1.006636E-2</v>
      </c>
      <c r="R5772">
        <v>0.32724359999999902</v>
      </c>
      <c r="S5772">
        <v>2.7967379999999999</v>
      </c>
      <c r="T5772">
        <v>-0.34997270000000003</v>
      </c>
      <c r="U5772">
        <v>1.1032409999999999</v>
      </c>
      <c r="V5772">
        <v>-0.34619129999999998</v>
      </c>
      <c r="W5772">
        <v>2.6802969999999999E-2</v>
      </c>
      <c r="X5772">
        <v>0.93778099999999998</v>
      </c>
      <c r="Y5772">
        <v>-0.38284699999999999</v>
      </c>
      <c r="Z5772">
        <v>2.5425090000000001E-2</v>
      </c>
      <c r="AA5772">
        <v>0.9234618</v>
      </c>
      <c r="AB5772">
        <v>33</v>
      </c>
      <c r="AC5772">
        <v>8.6752999999999894</v>
      </c>
      <c r="AD5772">
        <v>-1.1054625919093</v>
      </c>
      <c r="AE5772">
        <v>3.48776999999999</v>
      </c>
      <c r="AF5772">
        <v>-3.61091255708752</v>
      </c>
      <c r="AG5772">
        <v>-1.1054625919093</v>
      </c>
      <c r="AH5772">
        <v>8.4848625443485499</v>
      </c>
      <c r="AI5772">
        <v>96.836107487444593</v>
      </c>
      <c r="AJ5772">
        <v>113.053203363912</v>
      </c>
      <c r="AK5772">
        <v>9.2872832105805898</v>
      </c>
    </row>
    <row r="5773" spans="1:37" x14ac:dyDescent="0.2">
      <c r="A5773" t="str">
        <f>"20200111153803761"</f>
        <v>20200111153803761</v>
      </c>
      <c r="B5773" t="str">
        <f>"1578728283758608"</f>
        <v>1578728283758608</v>
      </c>
      <c r="C5773" t="s">
        <v>37</v>
      </c>
      <c r="D5773">
        <v>5.9453009999999997</v>
      </c>
      <c r="E5773">
        <v>0.47871039999999998</v>
      </c>
      <c r="F5773" t="s">
        <v>63</v>
      </c>
      <c r="G5773">
        <v>-213.1728</v>
      </c>
      <c r="H5773" s="1">
        <v>-5.1648639999999995E-7</v>
      </c>
      <c r="I5773">
        <v>-59.333240000000004</v>
      </c>
      <c r="J5773">
        <v>-221.85669999999999</v>
      </c>
      <c r="K5773">
        <v>1.105491</v>
      </c>
      <c r="L5773">
        <v>-62.846130000000002</v>
      </c>
      <c r="M5773">
        <v>0.99964409999999904</v>
      </c>
      <c r="N5773">
        <v>0</v>
      </c>
      <c r="O5773">
        <v>-1.9699120000000001E-2</v>
      </c>
      <c r="P5773">
        <v>0.94447680000000001</v>
      </c>
      <c r="Q5773">
        <v>1.0016260000000001E-2</v>
      </c>
      <c r="R5773">
        <v>0.32842529999999998</v>
      </c>
      <c r="S5773">
        <v>2.795242</v>
      </c>
      <c r="T5773">
        <v>-0.34875519999999999</v>
      </c>
      <c r="U5773">
        <v>1.1072389999999901</v>
      </c>
      <c r="V5773">
        <v>-0.34700130000000001</v>
      </c>
      <c r="W5773">
        <v>2.647884E-2</v>
      </c>
      <c r="X5773">
        <v>0.93749079999999996</v>
      </c>
      <c r="Y5773">
        <v>-0.38381029999999999</v>
      </c>
      <c r="Z5773">
        <v>2.5354140000000001E-2</v>
      </c>
      <c r="AA5773">
        <v>0.92306379999999999</v>
      </c>
      <c r="AB5773">
        <v>33</v>
      </c>
      <c r="AC5773">
        <v>8.6838999999999906</v>
      </c>
      <c r="AD5773">
        <v>-1.1054915164864001</v>
      </c>
      <c r="AE5773">
        <v>3.5128899999999899</v>
      </c>
      <c r="AF5773">
        <v>-3.6327078511656401</v>
      </c>
      <c r="AG5773">
        <v>-1.1054915164864001</v>
      </c>
      <c r="AH5773">
        <v>8.4946957305881998</v>
      </c>
      <c r="AI5773">
        <v>96.823386754333598</v>
      </c>
      <c r="AJ5773">
        <v>113.15369570063299</v>
      </c>
      <c r="AK5773">
        <v>9.3047586416960506</v>
      </c>
    </row>
    <row r="5774" spans="1:37" x14ac:dyDescent="0.2">
      <c r="A5774" t="str">
        <f>"20200111153803773"</f>
        <v>20200111153803773</v>
      </c>
      <c r="B5774" t="str">
        <f>"1578728283769344"</f>
        <v>1578728283769344</v>
      </c>
      <c r="C5774" t="s">
        <v>37</v>
      </c>
      <c r="D5774">
        <v>5.9417720000000003</v>
      </c>
      <c r="E5774">
        <v>0.47859550000000001</v>
      </c>
      <c r="F5774" t="s">
        <v>38</v>
      </c>
      <c r="G5774">
        <v>-220.8381</v>
      </c>
      <c r="H5774">
        <v>0.978390599999999</v>
      </c>
      <c r="I5774">
        <v>-62.440530000000003</v>
      </c>
      <c r="J5774">
        <v>-221.6748</v>
      </c>
      <c r="K5774">
        <v>1.1055219999999999</v>
      </c>
      <c r="L5774">
        <v>-62.849269999999997</v>
      </c>
      <c r="M5774">
        <v>0.99965789999999999</v>
      </c>
      <c r="N5774">
        <v>0</v>
      </c>
      <c r="O5774">
        <v>-1.922333E-2</v>
      </c>
      <c r="P5774">
        <v>0.94409509999999996</v>
      </c>
      <c r="Q5774">
        <v>9.6550619999999903E-3</v>
      </c>
      <c r="R5774">
        <v>0.3295322</v>
      </c>
      <c r="S5774">
        <v>2.7932589999999999</v>
      </c>
      <c r="T5774">
        <v>-0.348537599999999</v>
      </c>
      <c r="U5774">
        <v>1.1123350000000001</v>
      </c>
      <c r="V5774">
        <v>-0.34765750000000001</v>
      </c>
      <c r="W5774">
        <v>2.5824840000000002E-2</v>
      </c>
      <c r="X5774">
        <v>0.93726589999999999</v>
      </c>
      <c r="Y5774">
        <v>-0.38504699999999997</v>
      </c>
      <c r="Z5774">
        <v>2.5363859999999998E-2</v>
      </c>
      <c r="AA5774">
        <v>0.92254840000000005</v>
      </c>
      <c r="AB5774">
        <v>32</v>
      </c>
      <c r="AC5774">
        <v>0.83670000000000699</v>
      </c>
      <c r="AD5774">
        <v>-0.12713139999999901</v>
      </c>
      <c r="AE5774">
        <v>0.408739999999994</v>
      </c>
      <c r="AF5774">
        <v>-0.41697913155879701</v>
      </c>
      <c r="AG5774">
        <v>-0.12713139999999901</v>
      </c>
      <c r="AH5774">
        <v>0.81352362748523199</v>
      </c>
      <c r="AI5774">
        <v>97.917274169828104</v>
      </c>
      <c r="AJ5774">
        <v>117.137832126427</v>
      </c>
      <c r="AK5774">
        <v>0.92295973991188796</v>
      </c>
    </row>
    <row r="5775" spans="1:37" x14ac:dyDescent="0.2">
      <c r="A5775" t="str">
        <f>"20200111153803806"</f>
        <v>20200111153803806</v>
      </c>
      <c r="B5775" t="str">
        <f>"1578728283798624"</f>
        <v>1578728283798624</v>
      </c>
      <c r="C5775" t="s">
        <v>37</v>
      </c>
      <c r="D5775">
        <v>5.594722</v>
      </c>
      <c r="E5775">
        <v>0.47818109999999903</v>
      </c>
      <c r="F5775" t="s">
        <v>63</v>
      </c>
      <c r="G5775">
        <v>-212.84450000000001</v>
      </c>
      <c r="H5775" s="1">
        <v>-3.7853069999999999E-7</v>
      </c>
      <c r="I5775">
        <v>-59.317079999999997</v>
      </c>
      <c r="J5775">
        <v>-221.21289999999999</v>
      </c>
      <c r="K5775">
        <v>1.10564</v>
      </c>
      <c r="L5775">
        <v>-62.856659999999998</v>
      </c>
      <c r="M5775">
        <v>0.99969449999999904</v>
      </c>
      <c r="N5775">
        <v>0</v>
      </c>
      <c r="O5775">
        <v>-1.7806889999999999E-2</v>
      </c>
      <c r="P5775">
        <v>0.943034499999999</v>
      </c>
      <c r="Q5775">
        <v>9.1476439999999999E-3</v>
      </c>
      <c r="R5775">
        <v>0.33256950000000002</v>
      </c>
      <c r="S5775">
        <v>2.7914889999999999</v>
      </c>
      <c r="T5775">
        <v>-0.34948669999999998</v>
      </c>
      <c r="U5775">
        <v>1.116608</v>
      </c>
      <c r="V5775">
        <v>-0.34935640000000001</v>
      </c>
      <c r="W5775">
        <v>2.4588800000000001E-2</v>
      </c>
      <c r="X5775">
        <v>0.93666729999999998</v>
      </c>
      <c r="Y5775">
        <v>-0.38515279999999902</v>
      </c>
      <c r="Z5775">
        <v>2.5276320000000001E-2</v>
      </c>
      <c r="AA5775">
        <v>0.92250659999999896</v>
      </c>
      <c r="AB5775">
        <v>32</v>
      </c>
      <c r="AC5775">
        <v>8.3683999999999799</v>
      </c>
      <c r="AD5775">
        <v>-1.1056403785306901</v>
      </c>
      <c r="AE5775">
        <v>3.5395799999999902</v>
      </c>
      <c r="AF5775">
        <v>-3.6342437386903899</v>
      </c>
      <c r="AG5775">
        <v>-1.1056403785306901</v>
      </c>
      <c r="AH5775">
        <v>8.1828714685036292</v>
      </c>
      <c r="AI5775">
        <v>97.0395578778204</v>
      </c>
      <c r="AJ5775">
        <v>113.947355117093</v>
      </c>
      <c r="AK5775">
        <v>9.0216159122908106</v>
      </c>
    </row>
    <row r="5776" spans="1:37" x14ac:dyDescent="0.2">
      <c r="A5776" t="str">
        <f>"20200111153803818"</f>
        <v>20200111153803818</v>
      </c>
      <c r="B5776" t="str">
        <f>"1578728283809360"</f>
        <v>1578728283809360</v>
      </c>
      <c r="C5776" t="s">
        <v>37</v>
      </c>
      <c r="D5776">
        <v>5.9574119999999997</v>
      </c>
      <c r="E5776">
        <v>0.47809649999999998</v>
      </c>
      <c r="F5776" t="s">
        <v>63</v>
      </c>
      <c r="G5776">
        <v>-212.42339999999999</v>
      </c>
      <c r="H5776" s="1">
        <v>-2.019392E-7</v>
      </c>
      <c r="I5776">
        <v>-59.294029999999999</v>
      </c>
      <c r="J5776">
        <v>-221.03120000000001</v>
      </c>
      <c r="K5776">
        <v>1.1056950000000001</v>
      </c>
      <c r="L5776">
        <v>-62.859340000000003</v>
      </c>
      <c r="M5776">
        <v>0.99970949999999903</v>
      </c>
      <c r="N5776">
        <v>0</v>
      </c>
      <c r="O5776">
        <v>-1.716585E-2</v>
      </c>
      <c r="P5776">
        <v>0.94264599999999898</v>
      </c>
      <c r="Q5776">
        <v>9.2055130000000002E-3</v>
      </c>
      <c r="R5776">
        <v>0.33366750000000001</v>
      </c>
      <c r="S5776">
        <v>2.786346</v>
      </c>
      <c r="T5776">
        <v>-0.35049669999999999</v>
      </c>
      <c r="U5776">
        <v>1.129364</v>
      </c>
      <c r="V5776">
        <v>-0.34985040000000001</v>
      </c>
      <c r="W5776">
        <v>2.43676E-2</v>
      </c>
      <c r="X5776">
        <v>0.9364886</v>
      </c>
      <c r="Y5776">
        <v>-0.38873969999999902</v>
      </c>
      <c r="Z5776">
        <v>2.5510149999999999E-2</v>
      </c>
      <c r="AA5776">
        <v>0.92099439999999999</v>
      </c>
      <c r="AB5776">
        <v>32</v>
      </c>
      <c r="AC5776">
        <v>8.6078000000000205</v>
      </c>
      <c r="AD5776">
        <v>-1.1056952019391999</v>
      </c>
      <c r="AE5776">
        <v>3.56530999999999</v>
      </c>
      <c r="AF5776">
        <v>-3.6610046677270902</v>
      </c>
      <c r="AG5776">
        <v>-1.1056952019391999</v>
      </c>
      <c r="AH5776">
        <v>8.4266410500943305</v>
      </c>
      <c r="AI5776">
        <v>96.862372485056795</v>
      </c>
      <c r="AJ5776">
        <v>113.482825033144</v>
      </c>
      <c r="AK5776">
        <v>9.2538530593394395</v>
      </c>
    </row>
    <row r="5777" spans="1:37" x14ac:dyDescent="0.2">
      <c r="A5777" t="str">
        <f>"20200111153803828"</f>
        <v>20200111153803828</v>
      </c>
      <c r="B5777" t="str">
        <f>"1578728283819120"</f>
        <v>1578728283819120</v>
      </c>
      <c r="C5777" t="s">
        <v>37</v>
      </c>
      <c r="D5777">
        <v>5.8259040000000004</v>
      </c>
      <c r="E5777">
        <v>0.47799899999999901</v>
      </c>
      <c r="F5777" t="s">
        <v>63</v>
      </c>
      <c r="G5777">
        <v>-212.2106</v>
      </c>
      <c r="H5777" s="1">
        <v>-1.152686E-7</v>
      </c>
      <c r="I5777">
        <v>-59.26811</v>
      </c>
      <c r="J5777">
        <v>-220.87270000000001</v>
      </c>
      <c r="K5777">
        <v>1.105747</v>
      </c>
      <c r="L5777">
        <v>-62.861449999999998</v>
      </c>
      <c r="M5777">
        <v>0.99972309999999998</v>
      </c>
      <c r="N5777">
        <v>0</v>
      </c>
      <c r="O5777">
        <v>-1.6540240000000001E-2</v>
      </c>
      <c r="P5777">
        <v>0.94229580000000002</v>
      </c>
      <c r="Q5777">
        <v>9.1385579999999998E-3</v>
      </c>
      <c r="R5777">
        <v>0.33465699999999998</v>
      </c>
      <c r="S5777">
        <v>2.784637</v>
      </c>
      <c r="T5777">
        <v>-0.34906619999999999</v>
      </c>
      <c r="U5777">
        <v>1.1337280000000001</v>
      </c>
      <c r="V5777">
        <v>-0.3502517</v>
      </c>
      <c r="W5777">
        <v>2.4066810000000001E-2</v>
      </c>
      <c r="X5777">
        <v>0.93634640000000002</v>
      </c>
      <c r="Y5777">
        <v>-0.38961879999999999</v>
      </c>
      <c r="Z5777">
        <v>2.5391500000000001E-2</v>
      </c>
      <c r="AA5777">
        <v>0.92062619999999895</v>
      </c>
      <c r="AB5777">
        <v>32</v>
      </c>
      <c r="AC5777">
        <v>8.6621000000000095</v>
      </c>
      <c r="AD5777">
        <v>-1.1057471152686</v>
      </c>
      <c r="AE5777">
        <v>3.5933399999999902</v>
      </c>
      <c r="AF5777">
        <v>-3.6849106756678101</v>
      </c>
      <c r="AG5777">
        <v>-1.1057471152686</v>
      </c>
      <c r="AH5777">
        <v>8.4835261396110209</v>
      </c>
      <c r="AI5777">
        <v>96.817344363358899</v>
      </c>
      <c r="AJ5777">
        <v>113.47823396626799</v>
      </c>
      <c r="AK5777">
        <v>9.3151199204325295</v>
      </c>
    </row>
    <row r="5778" spans="1:37" x14ac:dyDescent="0.2">
      <c r="A5778" t="str">
        <f>"20200111153803841"</f>
        <v>20200111153803841</v>
      </c>
      <c r="B5778" t="str">
        <f>"1578728283828881"</f>
        <v>1578728283828881</v>
      </c>
      <c r="C5778" t="s">
        <v>37</v>
      </c>
      <c r="D5778">
        <v>5.960089</v>
      </c>
      <c r="E5778">
        <v>0.47789029999999999</v>
      </c>
      <c r="F5778" t="s">
        <v>63</v>
      </c>
      <c r="G5778">
        <v>-212.06790000000001</v>
      </c>
      <c r="H5778" s="1">
        <v>-5.5103779999999998E-8</v>
      </c>
      <c r="I5778">
        <v>-59.262169999999998</v>
      </c>
      <c r="J5778">
        <v>-220.6969</v>
      </c>
      <c r="K5778">
        <v>1.1058079999999999</v>
      </c>
      <c r="L5778">
        <v>-62.863709999999998</v>
      </c>
      <c r="M5778">
        <v>0.99973809999999996</v>
      </c>
      <c r="N5778">
        <v>0</v>
      </c>
      <c r="O5778">
        <v>-1.5821450000000001E-2</v>
      </c>
      <c r="P5778">
        <v>0.94188649999999996</v>
      </c>
      <c r="Q5778">
        <v>9.0223630000000003E-3</v>
      </c>
      <c r="R5778">
        <v>0.33580969999999999</v>
      </c>
      <c r="S5778">
        <v>2.7830659999999998</v>
      </c>
      <c r="T5778">
        <v>-0.34951169999999998</v>
      </c>
      <c r="U5778">
        <v>1.1376649999999999</v>
      </c>
      <c r="V5778">
        <v>-0.35072759999999997</v>
      </c>
      <c r="W5778">
        <v>2.3694030000000001E-2</v>
      </c>
      <c r="X5778">
        <v>0.9361777</v>
      </c>
      <c r="Y5778">
        <v>-0.39024799999999998</v>
      </c>
      <c r="Z5778">
        <v>2.5381649999999999E-2</v>
      </c>
      <c r="AA5778">
        <v>0.92035979999999995</v>
      </c>
      <c r="AB5778">
        <v>32</v>
      </c>
      <c r="AC5778">
        <v>8.6289999999999907</v>
      </c>
      <c r="AD5778">
        <v>-1.1058080551037801</v>
      </c>
      <c r="AE5778">
        <v>3.60154</v>
      </c>
      <c r="AF5778">
        <v>-3.6860773434651199</v>
      </c>
      <c r="AG5778">
        <v>-1.1058080551037801</v>
      </c>
      <c r="AH5778">
        <v>8.4527101510671194</v>
      </c>
      <c r="AI5778">
        <v>96.838068525737995</v>
      </c>
      <c r="AJ5778">
        <v>113.561164144069</v>
      </c>
      <c r="AK5778">
        <v>9.2875339318191692</v>
      </c>
    </row>
    <row r="5779" spans="1:37" x14ac:dyDescent="0.2">
      <c r="A5779" t="str">
        <f>"20200111153803853"</f>
        <v>20200111153803853</v>
      </c>
      <c r="B5779" t="str">
        <f>"1578728283849376"</f>
        <v>1578728283849376</v>
      </c>
      <c r="C5779" t="s">
        <v>37</v>
      </c>
      <c r="D5779">
        <v>5.9474349999999996</v>
      </c>
      <c r="E5779">
        <v>0.477678299999999</v>
      </c>
      <c r="F5779" t="s">
        <v>38</v>
      </c>
      <c r="G5779">
        <v>-219.7063</v>
      </c>
      <c r="H5779">
        <v>0.98140579999999999</v>
      </c>
      <c r="I5779">
        <v>-62.456989999999998</v>
      </c>
      <c r="J5779">
        <v>-220.52969999999999</v>
      </c>
      <c r="K5779">
        <v>1.1058729999999899</v>
      </c>
      <c r="L5779">
        <v>-62.865659999999998</v>
      </c>
      <c r="M5779">
        <v>0.99975270000000005</v>
      </c>
      <c r="N5779">
        <v>0</v>
      </c>
      <c r="O5779">
        <v>-1.50602999999999E-2</v>
      </c>
      <c r="P5779">
        <v>0.94134669999999898</v>
      </c>
      <c r="Q5779">
        <v>8.549292E-3</v>
      </c>
      <c r="R5779">
        <v>0.33733279999999999</v>
      </c>
      <c r="S5779">
        <v>2.7812349999999899</v>
      </c>
      <c r="T5779">
        <v>-0.34929009999999999</v>
      </c>
      <c r="U5779">
        <v>1.14209</v>
      </c>
      <c r="V5779">
        <v>-0.35153200000000001</v>
      </c>
      <c r="W5779">
        <v>2.2980400000000002E-2</v>
      </c>
      <c r="X5779">
        <v>0.9358938</v>
      </c>
      <c r="Y5779">
        <v>-0.39101599999999997</v>
      </c>
      <c r="Z5779">
        <v>2.5328239999999998E-2</v>
      </c>
      <c r="AA5779">
        <v>0.9200353</v>
      </c>
      <c r="AB5779">
        <v>32</v>
      </c>
      <c r="AC5779">
        <v>0.82339999999999203</v>
      </c>
      <c r="AD5779">
        <v>-0.124467199999999</v>
      </c>
      <c r="AE5779">
        <v>0.40866999999999298</v>
      </c>
      <c r="AF5779">
        <v>-0.41344589362238299</v>
      </c>
      <c r="AG5779">
        <v>-0.124467199999999</v>
      </c>
      <c r="AH5779">
        <v>0.80243926915319996</v>
      </c>
      <c r="AI5779">
        <v>97.850725852883102</v>
      </c>
      <c r="AJ5779">
        <v>117.25917027989099</v>
      </c>
      <c r="AK5779">
        <v>0.911229044482326</v>
      </c>
    </row>
    <row r="5780" spans="1:37" x14ac:dyDescent="0.2">
      <c r="A5780" t="str">
        <f>"20200111153803869"</f>
        <v>20200111153803869</v>
      </c>
      <c r="B5780" t="str">
        <f>"1578728283859139"</f>
        <v>1578728283859139</v>
      </c>
      <c r="C5780" t="s">
        <v>37</v>
      </c>
      <c r="D5780">
        <v>5.6009979999999997</v>
      </c>
      <c r="E5780">
        <v>0.4775684</v>
      </c>
      <c r="F5780" t="s">
        <v>63</v>
      </c>
      <c r="G5780">
        <v>-211.7319</v>
      </c>
      <c r="H5780" s="1">
        <v>8.3121339999999996E-8</v>
      </c>
      <c r="I5780">
        <v>-59.228839999999998</v>
      </c>
      <c r="J5780">
        <v>-220.29249999999999</v>
      </c>
      <c r="K5780">
        <v>1.1059669999999999</v>
      </c>
      <c r="L5780">
        <v>-62.868130000000001</v>
      </c>
      <c r="M5780">
        <v>0.99977349999999998</v>
      </c>
      <c r="N5780">
        <v>0</v>
      </c>
      <c r="O5780">
        <v>-1.390021E-2</v>
      </c>
      <c r="P5780">
        <v>0.9403241</v>
      </c>
      <c r="Q5780">
        <v>7.4795369999999996E-3</v>
      </c>
      <c r="R5780">
        <v>0.34019829999999901</v>
      </c>
      <c r="S5780">
        <v>2.77851899999999</v>
      </c>
      <c r="T5780">
        <v>-0.34925630000000002</v>
      </c>
      <c r="U5780">
        <v>1.14856</v>
      </c>
      <c r="V5780">
        <v>-0.3532998</v>
      </c>
      <c r="W5780">
        <v>2.1573599999999998E-2</v>
      </c>
      <c r="X5780">
        <v>0.93526139999999902</v>
      </c>
      <c r="Y5780">
        <v>-0.39209549999999999</v>
      </c>
      <c r="Z5780">
        <v>2.5263009999999999E-2</v>
      </c>
      <c r="AA5780">
        <v>0.91957749999999905</v>
      </c>
      <c r="AB5780">
        <v>32</v>
      </c>
      <c r="AC5780">
        <v>8.5605999999999902</v>
      </c>
      <c r="AD5780">
        <v>-1.1059669168786599</v>
      </c>
      <c r="AE5780">
        <v>3.6392899999999999</v>
      </c>
      <c r="AF5780">
        <v>-3.7055660745136301</v>
      </c>
      <c r="AG5780">
        <v>-1.1059669168786599</v>
      </c>
      <c r="AH5780">
        <v>8.3905702804669602</v>
      </c>
      <c r="AI5780">
        <v>96.875279374724599</v>
      </c>
      <c r="AJ5780">
        <v>113.82791164341</v>
      </c>
      <c r="AK5780">
        <v>9.23883392995414</v>
      </c>
    </row>
    <row r="5781" spans="1:37" x14ac:dyDescent="0.2">
      <c r="A5781" t="str">
        <f>"20200111153803896"</f>
        <v>20200111153803896</v>
      </c>
      <c r="B5781" t="str">
        <f>"1578728283889394"</f>
        <v>1578728283889394</v>
      </c>
      <c r="C5781" t="s">
        <v>37</v>
      </c>
      <c r="D5781">
        <v>5.6237500000000002</v>
      </c>
      <c r="E5781">
        <v>0.47749259999999899</v>
      </c>
      <c r="F5781" t="s">
        <v>63</v>
      </c>
      <c r="G5781">
        <v>-211.5659</v>
      </c>
      <c r="H5781" s="1">
        <v>1.5362409999999999E-7</v>
      </c>
      <c r="I5781">
        <v>-59.224640000000001</v>
      </c>
      <c r="J5781">
        <v>-219.9032</v>
      </c>
      <c r="K5781">
        <v>1.1061459999999901</v>
      </c>
      <c r="L5781">
        <v>-62.871400000000001</v>
      </c>
      <c r="M5781">
        <v>0.99980639999999998</v>
      </c>
      <c r="N5781">
        <v>0</v>
      </c>
      <c r="O5781">
        <v>-1.177629E-2</v>
      </c>
      <c r="P5781">
        <v>0.93891409999999997</v>
      </c>
      <c r="Q5781">
        <v>6.8433319999999997E-3</v>
      </c>
      <c r="R5781">
        <v>0.34408369999999999</v>
      </c>
      <c r="S5781">
        <v>2.7741549999999999</v>
      </c>
      <c r="T5781">
        <v>-0.35158259999999902</v>
      </c>
      <c r="U5781">
        <v>1.158234</v>
      </c>
      <c r="V5781">
        <v>-0.35518709999999998</v>
      </c>
      <c r="W5781">
        <v>2.041801E-2</v>
      </c>
      <c r="X5781">
        <v>0.93457219999999996</v>
      </c>
      <c r="Y5781">
        <v>-0.3933546</v>
      </c>
      <c r="Z5781">
        <v>2.5269119999999999E-2</v>
      </c>
      <c r="AA5781">
        <v>0.91903950000000001</v>
      </c>
      <c r="AB5781">
        <v>32</v>
      </c>
      <c r="AC5781">
        <v>8.3372999999999902</v>
      </c>
      <c r="AD5781">
        <v>-1.10614584637589</v>
      </c>
      <c r="AE5781">
        <v>3.64676</v>
      </c>
      <c r="AF5781">
        <v>-3.69017715855064</v>
      </c>
      <c r="AG5781">
        <v>-1.10614584637589</v>
      </c>
      <c r="AH5781">
        <v>8.1730099945749402</v>
      </c>
      <c r="AI5781">
        <v>97.031967717417203</v>
      </c>
      <c r="AJ5781">
        <v>114.299543727084</v>
      </c>
      <c r="AK5781">
        <v>9.0354334963168998</v>
      </c>
    </row>
    <row r="5782" spans="1:37" x14ac:dyDescent="0.2">
      <c r="A5782" t="str">
        <f>"20200111153803907"</f>
        <v>20200111153803907</v>
      </c>
      <c r="B5782" t="str">
        <f>"1578728283899152"</f>
        <v>1578728283899152</v>
      </c>
      <c r="C5782" t="s">
        <v>37</v>
      </c>
      <c r="D5782">
        <v>5.5789650000000002</v>
      </c>
      <c r="E5782">
        <v>0.46566579999999902</v>
      </c>
      <c r="F5782" t="s">
        <v>63</v>
      </c>
      <c r="G5782">
        <v>-211.22710000000001</v>
      </c>
      <c r="H5782" s="1">
        <v>2.9451250000000002E-7</v>
      </c>
      <c r="I5782">
        <v>-59.1997199999999</v>
      </c>
      <c r="J5782">
        <v>-219.73849999999999</v>
      </c>
      <c r="K5782">
        <v>1.1062270000000001</v>
      </c>
      <c r="L5782">
        <v>-62.872409999999903</v>
      </c>
      <c r="M5782">
        <v>0.99981989999999998</v>
      </c>
      <c r="N5782">
        <v>0</v>
      </c>
      <c r="O5782">
        <v>-1.0776000000000001E-2</v>
      </c>
      <c r="P5782">
        <v>0.9382549</v>
      </c>
      <c r="Q5782">
        <v>6.5174739999999997E-3</v>
      </c>
      <c r="R5782">
        <v>0.34588379999999902</v>
      </c>
      <c r="S5782">
        <v>2.7684169999999999</v>
      </c>
      <c r="T5782">
        <v>-0.35295779999999999</v>
      </c>
      <c r="U5782">
        <v>1.17157</v>
      </c>
      <c r="V5782">
        <v>-0.3560468</v>
      </c>
      <c r="W5782">
        <v>1.9885010000000002E-2</v>
      </c>
      <c r="X5782">
        <v>0.93425659999999899</v>
      </c>
      <c r="Y5782">
        <v>-0.39682859999999998</v>
      </c>
      <c r="Z5782">
        <v>2.5482499999999901E-2</v>
      </c>
      <c r="AA5782">
        <v>0.91753890000000005</v>
      </c>
      <c r="AB5782">
        <v>32</v>
      </c>
      <c r="AC5782">
        <v>8.5113999999999805</v>
      </c>
      <c r="AD5782">
        <v>-1.1062267054874999</v>
      </c>
      <c r="AE5782">
        <v>3.6726899999999998</v>
      </c>
      <c r="AF5782">
        <v>-3.7113545666457202</v>
      </c>
      <c r="AG5782">
        <v>-1.1062267054874999</v>
      </c>
      <c r="AH5782">
        <v>8.3523804540274202</v>
      </c>
      <c r="AI5782">
        <v>96.901150883563602</v>
      </c>
      <c r="AJ5782">
        <v>113.957822968831</v>
      </c>
      <c r="AK5782">
        <v>9.2065275480017501</v>
      </c>
    </row>
    <row r="5783" spans="1:37" x14ac:dyDescent="0.2">
      <c r="A5783" t="str">
        <f>"20200111153803920"</f>
        <v>20200111153803920</v>
      </c>
      <c r="B5783" t="str">
        <f>"1578728283908913"</f>
        <v>1578728283908913</v>
      </c>
      <c r="C5783" t="s">
        <v>37</v>
      </c>
      <c r="D5783">
        <v>6.0021240000000002</v>
      </c>
      <c r="E5783">
        <v>0.46566579999999902</v>
      </c>
      <c r="F5783" t="s">
        <v>38</v>
      </c>
      <c r="G5783">
        <v>-218.84440000000001</v>
      </c>
      <c r="H5783">
        <v>0.98398790000000003</v>
      </c>
      <c r="I5783">
        <v>-62.458889999999997</v>
      </c>
      <c r="J5783">
        <v>-219.5634</v>
      </c>
      <c r="K5783">
        <v>1.1063209999999899</v>
      </c>
      <c r="L5783">
        <v>-62.873350000000002</v>
      </c>
      <c r="M5783">
        <v>0.99983319999999998</v>
      </c>
      <c r="N5783">
        <v>0</v>
      </c>
      <c r="O5783">
        <v>-9.681126E-3</v>
      </c>
      <c r="P5783">
        <v>0.937461199999999</v>
      </c>
      <c r="Q5783">
        <v>5.8897919999999996E-3</v>
      </c>
      <c r="R5783">
        <v>0.34804029999999903</v>
      </c>
      <c r="S5783">
        <v>2.7337950000000002</v>
      </c>
      <c r="T5783">
        <v>-0.37375429999999998</v>
      </c>
      <c r="U5783">
        <v>1.26474</v>
      </c>
      <c r="V5783">
        <v>-0.35717369999999998</v>
      </c>
      <c r="W5783">
        <v>1.9039259999999999E-2</v>
      </c>
      <c r="X5783">
        <v>0.93384389999999995</v>
      </c>
      <c r="Y5783">
        <v>-0.42530410000000002</v>
      </c>
      <c r="Z5783">
        <v>2.8808899999999998E-2</v>
      </c>
      <c r="AA5783">
        <v>0.9045919</v>
      </c>
      <c r="AB5783">
        <v>32</v>
      </c>
      <c r="AC5783">
        <v>0.71899999999999398</v>
      </c>
      <c r="AD5783">
        <v>-0.122333099999999</v>
      </c>
      <c r="AE5783">
        <v>0.414459999999998</v>
      </c>
      <c r="AF5783">
        <v>-0.41244034207467201</v>
      </c>
      <c r="AG5783">
        <v>-0.122333099999999</v>
      </c>
      <c r="AH5783">
        <v>0.69974874198207804</v>
      </c>
      <c r="AI5783">
        <v>98.564918953503593</v>
      </c>
      <c r="AJ5783">
        <v>120.51560997343699</v>
      </c>
      <c r="AK5783">
        <v>0.82141385734097705</v>
      </c>
    </row>
    <row r="5784" spans="1:37" x14ac:dyDescent="0.2">
      <c r="A5784" t="str">
        <f>"20200111153803935"</f>
        <v>20200111153803935</v>
      </c>
      <c r="B5784" t="str">
        <f>"1578728283929408"</f>
        <v>1578728283929408</v>
      </c>
      <c r="C5784" t="s">
        <v>37</v>
      </c>
      <c r="D5784">
        <v>5.6253669999999998</v>
      </c>
      <c r="E5784">
        <v>0.4722307</v>
      </c>
      <c r="F5784" t="s">
        <v>38</v>
      </c>
      <c r="G5784">
        <v>-218.56880000000001</v>
      </c>
      <c r="H5784">
        <v>0.96960849999999899</v>
      </c>
      <c r="I5784">
        <v>-62.410260000000001</v>
      </c>
      <c r="J5784">
        <v>-219.33680000000001</v>
      </c>
      <c r="K5784">
        <v>1.1064499999999999</v>
      </c>
      <c r="L5784">
        <v>-62.874019999999902</v>
      </c>
      <c r="M5784">
        <v>0.9998494</v>
      </c>
      <c r="N5784">
        <v>0</v>
      </c>
      <c r="O5784">
        <v>-8.1421299999999992E-3</v>
      </c>
      <c r="P5784">
        <v>0.93616860000000002</v>
      </c>
      <c r="Q5784">
        <v>5.3663629999999999E-3</v>
      </c>
      <c r="R5784">
        <v>0.3515105</v>
      </c>
      <c r="S5784">
        <v>2.7304529999999998</v>
      </c>
      <c r="T5784">
        <v>-0.3753146</v>
      </c>
      <c r="U5784">
        <v>1.271423</v>
      </c>
      <c r="V5784">
        <v>-0.35919759999999901</v>
      </c>
      <c r="W5784">
        <v>1.8242599999999901E-2</v>
      </c>
      <c r="X5784">
        <v>0.9330832</v>
      </c>
      <c r="Y5784">
        <v>-0.426131499999999</v>
      </c>
      <c r="Z5784">
        <v>2.879934E-2</v>
      </c>
      <c r="AA5784">
        <v>0.90420279999999997</v>
      </c>
      <c r="AB5784">
        <v>32</v>
      </c>
      <c r="AC5784">
        <v>0.76800000000000002</v>
      </c>
      <c r="AD5784">
        <v>-0.1368415</v>
      </c>
      <c r="AE5784">
        <v>0.46375999999999301</v>
      </c>
      <c r="AF5784">
        <v>-0.45931279623048898</v>
      </c>
      <c r="AG5784">
        <v>-0.1368415</v>
      </c>
      <c r="AH5784">
        <v>0.74682356449408505</v>
      </c>
      <c r="AI5784">
        <v>98.870914852542299</v>
      </c>
      <c r="AJ5784">
        <v>121.592423262838</v>
      </c>
      <c r="AK5784">
        <v>0.88737775348888004</v>
      </c>
    </row>
    <row r="5785" spans="1:37" x14ac:dyDescent="0.2">
      <c r="A5785" t="str">
        <f>"20200111153803946"</f>
        <v>20200111153803946</v>
      </c>
      <c r="B5785" t="str">
        <f>"1578728283939168"</f>
        <v>1578728283939168</v>
      </c>
      <c r="C5785" t="s">
        <v>37</v>
      </c>
      <c r="D5785">
        <v>5.8726379999999896</v>
      </c>
      <c r="E5785">
        <v>0.47201209999999999</v>
      </c>
      <c r="F5785" t="s">
        <v>63</v>
      </c>
      <c r="G5785">
        <v>-210.3817</v>
      </c>
      <c r="H5785" s="1">
        <v>4.8622289999999995E-7</v>
      </c>
      <c r="I5785">
        <v>-58.838630000000002</v>
      </c>
      <c r="J5785">
        <v>-219.17830000000001</v>
      </c>
      <c r="K5785">
        <v>1.1065370000000001</v>
      </c>
      <c r="L5785">
        <v>-62.874269999999903</v>
      </c>
      <c r="M5785">
        <v>0.99985959999999996</v>
      </c>
      <c r="N5785">
        <v>0</v>
      </c>
      <c r="O5785">
        <v>-7.0090969999999997E-3</v>
      </c>
      <c r="P5785">
        <v>0.93533519999999903</v>
      </c>
      <c r="Q5785">
        <v>5.7109149999999996E-3</v>
      </c>
      <c r="R5785">
        <v>0.353717</v>
      </c>
      <c r="S5785">
        <v>2.7424770000000001</v>
      </c>
      <c r="T5785">
        <v>-0.33884699999999901</v>
      </c>
      <c r="U5785">
        <v>1.2358089999999999</v>
      </c>
      <c r="V5785">
        <v>-0.36034549999999999</v>
      </c>
      <c r="W5785">
        <v>1.8408040000000001E-2</v>
      </c>
      <c r="X5785">
        <v>0.9326373</v>
      </c>
      <c r="Y5785">
        <v>-0.41454579999999902</v>
      </c>
      <c r="Z5785">
        <v>2.5170029999999999E-2</v>
      </c>
      <c r="AA5785">
        <v>0.9096803</v>
      </c>
      <c r="AB5785">
        <v>32</v>
      </c>
      <c r="AC5785">
        <v>8.7966000000000104</v>
      </c>
      <c r="AD5785">
        <v>-1.1065365137770999</v>
      </c>
      <c r="AE5785">
        <v>4.0356399999999901</v>
      </c>
      <c r="AF5785">
        <v>-4.0443360557237504</v>
      </c>
      <c r="AG5785">
        <v>-1.1065365137770999</v>
      </c>
      <c r="AH5785">
        <v>8.6549555504960907</v>
      </c>
      <c r="AI5785">
        <v>96.607017867280703</v>
      </c>
      <c r="AJ5785">
        <v>115.046006819369</v>
      </c>
      <c r="AK5785">
        <v>9.6171374519142692</v>
      </c>
    </row>
    <row r="5786" spans="1:37" x14ac:dyDescent="0.2">
      <c r="A5786" t="str">
        <f>"20200111153803958"</f>
        <v>20200111153803958</v>
      </c>
      <c r="B5786" t="str">
        <f>"1578728283948930"</f>
        <v>1578728283948930</v>
      </c>
      <c r="C5786" t="s">
        <v>37</v>
      </c>
      <c r="D5786">
        <v>5.569839</v>
      </c>
      <c r="E5786">
        <v>0.47157569999999999</v>
      </c>
      <c r="F5786" t="s">
        <v>38</v>
      </c>
      <c r="G5786">
        <v>-218.25569999999999</v>
      </c>
      <c r="H5786">
        <v>0.99032679999999995</v>
      </c>
      <c r="I5786">
        <v>-62.455469999999998</v>
      </c>
      <c r="J5786">
        <v>-219.00370000000001</v>
      </c>
      <c r="K5786">
        <v>1.106633</v>
      </c>
      <c r="L5786">
        <v>-62.874389999999998</v>
      </c>
      <c r="M5786">
        <v>0.99986929999999996</v>
      </c>
      <c r="N5786">
        <v>0</v>
      </c>
      <c r="O5786">
        <v>-5.7311469999999998E-3</v>
      </c>
      <c r="P5786">
        <v>0.9346063</v>
      </c>
      <c r="Q5786">
        <v>6.5086739999999999E-3</v>
      </c>
      <c r="R5786">
        <v>0.35562450000000001</v>
      </c>
      <c r="S5786">
        <v>2.7391969999999999</v>
      </c>
      <c r="T5786">
        <v>-0.34503509999999998</v>
      </c>
      <c r="U5786">
        <v>1.243652</v>
      </c>
      <c r="V5786">
        <v>-0.36106300000000002</v>
      </c>
      <c r="W5786">
        <v>1.9017800000000001E-2</v>
      </c>
      <c r="X5786">
        <v>0.9323475</v>
      </c>
      <c r="Y5786">
        <v>-0.41585359999999999</v>
      </c>
      <c r="Z5786">
        <v>2.5565290000000001E-2</v>
      </c>
      <c r="AA5786">
        <v>0.9090722</v>
      </c>
      <c r="AB5786">
        <v>32</v>
      </c>
      <c r="AC5786">
        <v>0.74800000000001798</v>
      </c>
      <c r="AD5786">
        <v>-0.1163062</v>
      </c>
      <c r="AE5786">
        <v>0.41892000000000701</v>
      </c>
      <c r="AF5786">
        <v>-0.41555254744939601</v>
      </c>
      <c r="AG5786">
        <v>-0.1163062</v>
      </c>
      <c r="AH5786">
        <v>0.73211251869774896</v>
      </c>
      <c r="AI5786">
        <v>97.866145650284693</v>
      </c>
      <c r="AJ5786">
        <v>119.579568625088</v>
      </c>
      <c r="AK5786">
        <v>0.84982338864265505</v>
      </c>
    </row>
    <row r="5787" spans="1:37" x14ac:dyDescent="0.2">
      <c r="A5787" t="str">
        <f>"20200111153803970"</f>
        <v>20200111153803970</v>
      </c>
      <c r="B5787" t="str">
        <f>"1578728283958689"</f>
        <v>1578728283958689</v>
      </c>
      <c r="C5787" t="s">
        <v>37</v>
      </c>
      <c r="D5787">
        <v>5.5788760000000002</v>
      </c>
      <c r="E5787">
        <v>0.47157270000000001</v>
      </c>
      <c r="F5787" t="s">
        <v>63</v>
      </c>
      <c r="G5787">
        <v>-210.19659999999999</v>
      </c>
      <c r="H5787" s="1">
        <v>5.4999659999999998E-7</v>
      </c>
      <c r="I5787">
        <v>-58.841589999999997</v>
      </c>
      <c r="J5787">
        <v>-218.8441</v>
      </c>
      <c r="K5787">
        <v>1.106725</v>
      </c>
      <c r="L5787">
        <v>-62.874079999999999</v>
      </c>
      <c r="M5787">
        <v>0.99987709999999996</v>
      </c>
      <c r="N5787">
        <v>0</v>
      </c>
      <c r="O5787">
        <v>-4.4800489999999998E-3</v>
      </c>
      <c r="P5787">
        <v>0.93398340000000002</v>
      </c>
      <c r="Q5787">
        <v>7.478513E-3</v>
      </c>
      <c r="R5787">
        <v>0.35723840000000001</v>
      </c>
      <c r="S5787">
        <v>2.7356569999999998</v>
      </c>
      <c r="T5787">
        <v>-0.3437441</v>
      </c>
      <c r="U5787">
        <v>1.2526549999999901</v>
      </c>
      <c r="V5787">
        <v>-0.36151519999999998</v>
      </c>
      <c r="W5787">
        <v>1.982971E-2</v>
      </c>
      <c r="X5787">
        <v>0.93215530000000002</v>
      </c>
      <c r="Y5787">
        <v>-0.41765079999999999</v>
      </c>
      <c r="Z5787">
        <v>2.544153E-2</v>
      </c>
      <c r="AA5787">
        <v>0.90825129999999998</v>
      </c>
      <c r="AB5787">
        <v>32</v>
      </c>
      <c r="AC5787">
        <v>8.6475000000000009</v>
      </c>
      <c r="AD5787">
        <v>-1.1067244500033999</v>
      </c>
      <c r="AE5787">
        <v>4.0324900000000001</v>
      </c>
      <c r="AF5787">
        <v>-4.0171491134081903</v>
      </c>
      <c r="AG5787">
        <v>-1.1067244500033999</v>
      </c>
      <c r="AH5787">
        <v>8.5147889578557692</v>
      </c>
      <c r="AI5787">
        <v>96.704415210601397</v>
      </c>
      <c r="AJ5787">
        <v>115.257232171063</v>
      </c>
      <c r="AK5787">
        <v>9.4796601734668808</v>
      </c>
    </row>
    <row r="5788" spans="1:37" x14ac:dyDescent="0.2">
      <c r="A5788" t="str">
        <f>"20200111153803983"</f>
        <v>20200111153803983</v>
      </c>
      <c r="B5788" t="str">
        <f>"1578728283969425"</f>
        <v>1578728283969425</v>
      </c>
      <c r="C5788" t="s">
        <v>37</v>
      </c>
      <c r="D5788">
        <v>5.6105450000000001</v>
      </c>
      <c r="E5788">
        <v>0.47139409999999998</v>
      </c>
      <c r="F5788" t="s">
        <v>38</v>
      </c>
      <c r="G5788">
        <v>-217.8947</v>
      </c>
      <c r="H5788">
        <v>0.98806530000000004</v>
      </c>
      <c r="I5788">
        <v>-62.437449999999998</v>
      </c>
      <c r="J5788">
        <v>-218.66489999999999</v>
      </c>
      <c r="K5788">
        <v>1.1068249999999999</v>
      </c>
      <c r="L5788">
        <v>-62.873600000000003</v>
      </c>
      <c r="M5788">
        <v>0.99988390000000005</v>
      </c>
      <c r="N5788">
        <v>0</v>
      </c>
      <c r="O5788">
        <v>-3.0476430000000001E-3</v>
      </c>
      <c r="P5788">
        <v>0.9332163</v>
      </c>
      <c r="Q5788">
        <v>8.4722970000000002E-3</v>
      </c>
      <c r="R5788">
        <v>0.35921529999999902</v>
      </c>
      <c r="S5788">
        <v>2.7338259999999899</v>
      </c>
      <c r="T5788">
        <v>-0.34169559999999999</v>
      </c>
      <c r="U5788">
        <v>1.2574459999999901</v>
      </c>
      <c r="V5788">
        <v>-0.36216159999999997</v>
      </c>
      <c r="W5788">
        <v>2.0647789999999999E-2</v>
      </c>
      <c r="X5788">
        <v>0.93188660000000001</v>
      </c>
      <c r="Y5788">
        <v>-0.41793520000000001</v>
      </c>
      <c r="Z5788">
        <v>2.5144409999999999E-2</v>
      </c>
      <c r="AA5788">
        <v>0.90812879999999996</v>
      </c>
      <c r="AB5788">
        <v>32</v>
      </c>
      <c r="AC5788">
        <v>0.77019999999998801</v>
      </c>
      <c r="AD5788">
        <v>-0.118759699999999</v>
      </c>
      <c r="AE5788">
        <v>0.43615000000000398</v>
      </c>
      <c r="AF5788">
        <v>-0.43074107009489698</v>
      </c>
      <c r="AG5788">
        <v>-0.118759699999999</v>
      </c>
      <c r="AH5788">
        <v>0.75527021527729998</v>
      </c>
      <c r="AI5788">
        <v>97.777856588475601</v>
      </c>
      <c r="AJ5788">
        <v>119.696711236916</v>
      </c>
      <c r="AK5788">
        <v>0.87753907827264699</v>
      </c>
    </row>
    <row r="5789" spans="1:37" x14ac:dyDescent="0.2">
      <c r="A5789" t="str">
        <f>"20200111153803994"</f>
        <v>20200111153803994</v>
      </c>
      <c r="B5789" t="str">
        <f>"1578728283988944"</f>
        <v>1578728283988944</v>
      </c>
      <c r="C5789" t="s">
        <v>37</v>
      </c>
      <c r="D5789">
        <v>5.597448</v>
      </c>
      <c r="E5789">
        <v>0.47080759999999999</v>
      </c>
      <c r="F5789" t="s">
        <v>38</v>
      </c>
      <c r="G5789">
        <v>-217.7056</v>
      </c>
      <c r="H5789">
        <v>0.98792539999999995</v>
      </c>
      <c r="I5789">
        <v>-62.429340000000003</v>
      </c>
      <c r="J5789">
        <v>-218.4846</v>
      </c>
      <c r="K5789">
        <v>1.1069260000000001</v>
      </c>
      <c r="L5789">
        <v>-62.87274</v>
      </c>
      <c r="M5789">
        <v>0.99988880000000002</v>
      </c>
      <c r="N5789">
        <v>0</v>
      </c>
      <c r="O5789">
        <v>-1.5348579999999901E-3</v>
      </c>
      <c r="P5789">
        <v>0.93257670000000004</v>
      </c>
      <c r="Q5789">
        <v>9.2947220000000001E-3</v>
      </c>
      <c r="R5789">
        <v>0.36085289999999998</v>
      </c>
      <c r="S5789">
        <v>2.7308810000000001</v>
      </c>
      <c r="T5789">
        <v>-0.338501</v>
      </c>
      <c r="U5789">
        <v>1.264893</v>
      </c>
      <c r="V5789">
        <v>-0.3623961</v>
      </c>
      <c r="W5789">
        <v>2.130568E-2</v>
      </c>
      <c r="X5789">
        <v>0.93178059999999996</v>
      </c>
      <c r="Y5789">
        <v>-0.41902669999999997</v>
      </c>
      <c r="Z5789">
        <v>2.480796E-2</v>
      </c>
      <c r="AA5789">
        <v>0.90763490000000002</v>
      </c>
      <c r="AB5789">
        <v>32</v>
      </c>
      <c r="AC5789">
        <v>0.77899999999999603</v>
      </c>
      <c r="AD5789">
        <v>-0.1190006</v>
      </c>
      <c r="AE5789">
        <v>0.44339999999999602</v>
      </c>
      <c r="AF5789">
        <v>-0.436894758290439</v>
      </c>
      <c r="AG5789">
        <v>-0.1190006</v>
      </c>
      <c r="AH5789">
        <v>0.76483777388007701</v>
      </c>
      <c r="AI5789">
        <v>97.694141975981296</v>
      </c>
      <c r="AJ5789">
        <v>119.736104823261</v>
      </c>
      <c r="AK5789">
        <v>0.88882787589940804</v>
      </c>
    </row>
    <row r="5790" spans="1:37" x14ac:dyDescent="0.2">
      <c r="A5790" t="str">
        <f>"20200111153804007"</f>
        <v>20200111153804007</v>
      </c>
      <c r="B5790" t="str">
        <f>"1578728283998705"</f>
        <v>1578728283998705</v>
      </c>
      <c r="C5790" t="s">
        <v>37</v>
      </c>
      <c r="D5790">
        <v>5.5946109999999996</v>
      </c>
      <c r="E5790">
        <v>0.47068500000000002</v>
      </c>
      <c r="F5790" t="s">
        <v>53</v>
      </c>
      <c r="G5790">
        <v>-209.53899999999999</v>
      </c>
      <c r="H5790" s="1">
        <v>-7.1411309999999995E-7</v>
      </c>
      <c r="I5790">
        <v>-58.694290000000002</v>
      </c>
      <c r="J5790">
        <v>-218.31989999999999</v>
      </c>
      <c r="K5790">
        <v>1.1070180000000001</v>
      </c>
      <c r="L5790">
        <v>-62.871639999999999</v>
      </c>
      <c r="M5790">
        <v>0.99989099999999997</v>
      </c>
      <c r="N5790">
        <v>0</v>
      </c>
      <c r="O5790">
        <v>-1.038344E-4</v>
      </c>
      <c r="P5790">
        <v>0.93196089999999998</v>
      </c>
      <c r="Q5790">
        <v>1.0752569999999999E-2</v>
      </c>
      <c r="R5790">
        <v>0.36239949999999999</v>
      </c>
      <c r="S5790">
        <v>2.727325</v>
      </c>
      <c r="T5790">
        <v>-0.3374799</v>
      </c>
      <c r="U5790">
        <v>1.2739259999999999</v>
      </c>
      <c r="V5790">
        <v>-0.36261929999999998</v>
      </c>
      <c r="W5790">
        <v>2.2620959999999999E-2</v>
      </c>
      <c r="X5790">
        <v>0.93166280000000001</v>
      </c>
      <c r="Y5790">
        <v>-0.42066369999999997</v>
      </c>
      <c r="Z5790">
        <v>2.4674539999999998E-2</v>
      </c>
      <c r="AA5790">
        <v>0.90688099999999905</v>
      </c>
      <c r="AB5790">
        <v>32</v>
      </c>
      <c r="AC5790">
        <v>8.7808999999999706</v>
      </c>
      <c r="AD5790">
        <v>-1.1070187141131</v>
      </c>
      <c r="AE5790">
        <v>4.1773499999999899</v>
      </c>
      <c r="AF5790">
        <v>-4.12480158708376</v>
      </c>
      <c r="AG5790">
        <v>-1.1070187141131</v>
      </c>
      <c r="AH5790">
        <v>8.6681213721708694</v>
      </c>
      <c r="AI5790">
        <v>96.578319817924296</v>
      </c>
      <c r="AJ5790">
        <v>115.447850777402</v>
      </c>
      <c r="AK5790">
        <v>9.6631157857541297</v>
      </c>
    </row>
    <row r="5791" spans="1:37" x14ac:dyDescent="0.2">
      <c r="A5791" t="str">
        <f>"20200111153804020"</f>
        <v>20200111153804020</v>
      </c>
      <c r="B5791" t="str">
        <f>"1578728284009441"</f>
        <v>1578728284009441</v>
      </c>
      <c r="C5791" t="s">
        <v>37</v>
      </c>
      <c r="D5791">
        <v>5.8762210000000001</v>
      </c>
      <c r="E5791">
        <v>0.47034589999999998</v>
      </c>
      <c r="F5791" t="s">
        <v>38</v>
      </c>
      <c r="G5791">
        <v>-217.41480000000001</v>
      </c>
      <c r="H5791">
        <v>0.99614599999999898</v>
      </c>
      <c r="I5791">
        <v>-62.446680000000001</v>
      </c>
      <c r="J5791">
        <v>-218.1268</v>
      </c>
      <c r="K5791">
        <v>1.107119</v>
      </c>
      <c r="L5791">
        <v>-62.870119999999901</v>
      </c>
      <c r="M5791">
        <v>0.99989089999999903</v>
      </c>
      <c r="N5791">
        <v>0</v>
      </c>
      <c r="O5791">
        <v>1.613242E-3</v>
      </c>
      <c r="P5791">
        <v>0.93125409999999997</v>
      </c>
      <c r="Q5791">
        <v>1.2097429999999999E-2</v>
      </c>
      <c r="R5791">
        <v>0.36416959999999998</v>
      </c>
      <c r="S5791">
        <v>2.7252959999999899</v>
      </c>
      <c r="T5791">
        <v>-0.33382240000000002</v>
      </c>
      <c r="U5791">
        <v>1.2795719999999999</v>
      </c>
      <c r="V5791">
        <v>-0.3628017</v>
      </c>
      <c r="W5791">
        <v>2.380558E-2</v>
      </c>
      <c r="X5791">
        <v>0.93156219999999901</v>
      </c>
      <c r="Y5791">
        <v>-0.42097219999999902</v>
      </c>
      <c r="Z5791">
        <v>2.4233770000000002E-2</v>
      </c>
      <c r="AA5791">
        <v>0.90674969999999999</v>
      </c>
      <c r="AB5791">
        <v>32</v>
      </c>
      <c r="AC5791">
        <v>0.71199999999998898</v>
      </c>
      <c r="AD5791">
        <v>-0.110973</v>
      </c>
      <c r="AE5791">
        <v>0.423439999999985</v>
      </c>
      <c r="AF5791">
        <v>-0.41484608281999402</v>
      </c>
      <c r="AG5791">
        <v>-0.110973</v>
      </c>
      <c r="AH5791">
        <v>0.700118296162905</v>
      </c>
      <c r="AI5791">
        <v>97.765228527903702</v>
      </c>
      <c r="AJ5791">
        <v>120.648315840922</v>
      </c>
      <c r="AK5791">
        <v>0.82132691894405996</v>
      </c>
    </row>
    <row r="5792" spans="1:37" x14ac:dyDescent="0.2">
      <c r="A5792" t="str">
        <f>"20200111153804033"</f>
        <v>20200111153804033</v>
      </c>
      <c r="B5792" t="str">
        <f>"1578728284028960"</f>
        <v>1578728284028960</v>
      </c>
      <c r="C5792" t="s">
        <v>37</v>
      </c>
      <c r="D5792">
        <v>5.5876979999999996</v>
      </c>
      <c r="E5792">
        <v>0.470018099999999</v>
      </c>
      <c r="F5792" t="s">
        <v>38</v>
      </c>
      <c r="G5792">
        <v>-217.13939999999999</v>
      </c>
      <c r="H5792">
        <v>0.98688690000000001</v>
      </c>
      <c r="I5792">
        <v>-62.403309999999998</v>
      </c>
      <c r="J5792">
        <v>-217.9365</v>
      </c>
      <c r="K5792">
        <v>1.1072139999999999</v>
      </c>
      <c r="L5792">
        <v>-62.868099999999998</v>
      </c>
      <c r="M5792">
        <v>0.99988759999999999</v>
      </c>
      <c r="N5792">
        <v>0</v>
      </c>
      <c r="O5792">
        <v>3.3896719999999998E-3</v>
      </c>
      <c r="P5792">
        <v>0.93043679999999995</v>
      </c>
      <c r="Q5792">
        <v>1.3269970000000001E-2</v>
      </c>
      <c r="R5792">
        <v>0.36621199999999998</v>
      </c>
      <c r="S5792">
        <v>2.7223359999999999</v>
      </c>
      <c r="T5792">
        <v>-0.3314993</v>
      </c>
      <c r="U5792">
        <v>1.2873540000000001</v>
      </c>
      <c r="V5792">
        <v>-0.36320219999999998</v>
      </c>
      <c r="W5792">
        <v>2.482761E-2</v>
      </c>
      <c r="X5792">
        <v>0.93137950000000003</v>
      </c>
      <c r="Y5792">
        <v>-0.42190240000000001</v>
      </c>
      <c r="Z5792">
        <v>2.3924810000000001E-2</v>
      </c>
      <c r="AA5792">
        <v>0.90632549999999901</v>
      </c>
      <c r="AB5792">
        <v>32</v>
      </c>
      <c r="AC5792">
        <v>0.79710000000000003</v>
      </c>
      <c r="AD5792">
        <v>-0.12032709999999899</v>
      </c>
      <c r="AE5792">
        <v>0.46478999999999998</v>
      </c>
      <c r="AF5792">
        <v>-0.45435845554703502</v>
      </c>
      <c r="AG5792">
        <v>-0.12032709999999899</v>
      </c>
      <c r="AH5792">
        <v>0.78531623096259295</v>
      </c>
      <c r="AI5792">
        <v>97.554679511127802</v>
      </c>
      <c r="AJ5792">
        <v>120.052279459042</v>
      </c>
      <c r="AK5792">
        <v>0.915227731078331</v>
      </c>
    </row>
    <row r="5793" spans="1:37" x14ac:dyDescent="0.2">
      <c r="A5793" t="str">
        <f>"20200111153804049"</f>
        <v>20200111153804049</v>
      </c>
      <c r="B5793" t="str">
        <f>"1578728284038720"</f>
        <v>1578728284038720</v>
      </c>
      <c r="C5793" t="s">
        <v>37</v>
      </c>
      <c r="D5793">
        <v>5.8011790000000003</v>
      </c>
      <c r="E5793">
        <v>0.4697944</v>
      </c>
      <c r="F5793" t="s">
        <v>53</v>
      </c>
      <c r="G5793">
        <v>-208.8365</v>
      </c>
      <c r="H5793" s="1">
        <v>-1.2039719999999999E-6</v>
      </c>
      <c r="I5793">
        <v>-58.531309999999998</v>
      </c>
      <c r="J5793">
        <v>-217.71010000000001</v>
      </c>
      <c r="K5793">
        <v>1.1073189999999999</v>
      </c>
      <c r="L5793">
        <v>-62.865229999999997</v>
      </c>
      <c r="M5793">
        <v>0.99987909999999902</v>
      </c>
      <c r="N5793">
        <v>0</v>
      </c>
      <c r="O5793">
        <v>5.5630580000000001E-3</v>
      </c>
      <c r="P5793">
        <v>0.92934050000000001</v>
      </c>
      <c r="Q5793">
        <v>1.524008E-2</v>
      </c>
      <c r="R5793">
        <v>0.36890970000000001</v>
      </c>
      <c r="S5793">
        <v>2.7189939999999999</v>
      </c>
      <c r="T5793">
        <v>-0.33082869999999998</v>
      </c>
      <c r="U5793">
        <v>1.2958069999999999</v>
      </c>
      <c r="V5793">
        <v>-0.36389709999999997</v>
      </c>
      <c r="W5793">
        <v>2.66265999999999E-2</v>
      </c>
      <c r="X5793">
        <v>0.93105849999999901</v>
      </c>
      <c r="Y5793">
        <v>-0.42268109999999998</v>
      </c>
      <c r="Z5793">
        <v>2.3682870000000002E-2</v>
      </c>
      <c r="AA5793">
        <v>0.90596900000000002</v>
      </c>
      <c r="AB5793">
        <v>32</v>
      </c>
      <c r="AC5793">
        <v>8.8736000000000104</v>
      </c>
      <c r="AD5793">
        <v>-1.107320203972</v>
      </c>
      <c r="AE5793">
        <v>4.33392</v>
      </c>
      <c r="AF5793">
        <v>-4.2312837266462102</v>
      </c>
      <c r="AG5793">
        <v>-1.107320203972</v>
      </c>
      <c r="AH5793">
        <v>8.7870955026055295</v>
      </c>
      <c r="AI5793">
        <v>96.477559162699606</v>
      </c>
      <c r="AJ5793">
        <v>115.712388480762</v>
      </c>
      <c r="AK5793">
        <v>9.8154453480937907</v>
      </c>
    </row>
    <row r="5794" spans="1:37" x14ac:dyDescent="0.2">
      <c r="A5794" t="str">
        <f>"20200111153804063"</f>
        <v>20200111153804063</v>
      </c>
      <c r="B5794" t="str">
        <f>"1578728284059217"</f>
        <v>1578728284059217</v>
      </c>
      <c r="C5794" t="s">
        <v>37</v>
      </c>
      <c r="D5794">
        <v>5.5853859999999997</v>
      </c>
      <c r="E5794">
        <v>0.46943479999999999</v>
      </c>
      <c r="F5794" t="s">
        <v>38</v>
      </c>
      <c r="G5794">
        <v>-216.80269999999999</v>
      </c>
      <c r="H5794">
        <v>0.99806130000000004</v>
      </c>
      <c r="I5794">
        <v>-62.4289699999999</v>
      </c>
      <c r="J5794">
        <v>-217.5214</v>
      </c>
      <c r="K5794">
        <v>1.107402</v>
      </c>
      <c r="L5794">
        <v>-62.862490000000001</v>
      </c>
      <c r="M5794">
        <v>0.99986779999999997</v>
      </c>
      <c r="N5794">
        <v>0</v>
      </c>
      <c r="O5794">
        <v>7.4235689999999997E-3</v>
      </c>
      <c r="P5794">
        <v>0.92842939999999996</v>
      </c>
      <c r="Q5794">
        <v>1.6220040000000002E-2</v>
      </c>
      <c r="R5794">
        <v>0.37115490000000001</v>
      </c>
      <c r="S5794">
        <v>2.7151489999999998</v>
      </c>
      <c r="T5794">
        <v>-0.32694409999999902</v>
      </c>
      <c r="U5794">
        <v>1.3056639999999999</v>
      </c>
      <c r="V5794">
        <v>-0.36442639999999998</v>
      </c>
      <c r="W5794">
        <v>2.7471249999999999E-2</v>
      </c>
      <c r="X5794">
        <v>0.93082690000000001</v>
      </c>
      <c r="Y5794">
        <v>-0.42422860000000001</v>
      </c>
      <c r="Z5794">
        <v>2.3295429999999999E-2</v>
      </c>
      <c r="AA5794">
        <v>0.90525540000000004</v>
      </c>
      <c r="AB5794">
        <v>32</v>
      </c>
      <c r="AC5794">
        <v>0.718700000000012</v>
      </c>
      <c r="AD5794">
        <v>-0.109340699999999</v>
      </c>
      <c r="AE5794">
        <v>0.43352000000000801</v>
      </c>
      <c r="AF5794">
        <v>-0.42102702018363303</v>
      </c>
      <c r="AG5794">
        <v>-0.109340699999999</v>
      </c>
      <c r="AH5794">
        <v>0.70985205592008305</v>
      </c>
      <c r="AI5794">
        <v>97.546753746349395</v>
      </c>
      <c r="AJ5794">
        <v>120.67300158527</v>
      </c>
      <c r="AK5794">
        <v>0.83253173014316295</v>
      </c>
    </row>
    <row r="5795" spans="1:37" x14ac:dyDescent="0.2">
      <c r="A5795" t="str">
        <f>"20200111153804073"</f>
        <v>20200111153804073</v>
      </c>
      <c r="B5795" t="str">
        <f>"1578728284068977"</f>
        <v>1578728284068977</v>
      </c>
      <c r="C5795" t="s">
        <v>37</v>
      </c>
      <c r="D5795">
        <v>5.857183</v>
      </c>
      <c r="E5795">
        <v>0.46919880000000003</v>
      </c>
      <c r="F5795" t="s">
        <v>38</v>
      </c>
      <c r="G5795">
        <v>-216.5686</v>
      </c>
      <c r="H5795">
        <v>0.99235030000000002</v>
      </c>
      <c r="I5795">
        <v>-62.400659999999903</v>
      </c>
      <c r="J5795">
        <v>-217.3526</v>
      </c>
      <c r="K5795">
        <v>1.107478</v>
      </c>
      <c r="L5795">
        <v>-62.8596199999999</v>
      </c>
      <c r="M5795">
        <v>0.99985419999999903</v>
      </c>
      <c r="N5795">
        <v>0</v>
      </c>
      <c r="O5795">
        <v>9.1447309999999997E-3</v>
      </c>
      <c r="P5795">
        <v>0.9276162</v>
      </c>
      <c r="Q5795">
        <v>1.6963849999999999E-2</v>
      </c>
      <c r="R5795">
        <v>0.37314930000000002</v>
      </c>
      <c r="S5795">
        <v>2.7114259999999999</v>
      </c>
      <c r="T5795">
        <v>-0.32742019999999999</v>
      </c>
      <c r="U5795">
        <v>1.314697</v>
      </c>
      <c r="V5795">
        <v>-0.36483369999999998</v>
      </c>
      <c r="W5795">
        <v>2.810091E-2</v>
      </c>
      <c r="X5795">
        <v>0.93064859999999905</v>
      </c>
      <c r="Y5795">
        <v>-0.42559540000000001</v>
      </c>
      <c r="Z5795">
        <v>2.3223779999999999E-2</v>
      </c>
      <c r="AA5795">
        <v>0.90461550000000002</v>
      </c>
      <c r="AB5795">
        <v>32</v>
      </c>
      <c r="AC5795">
        <v>0.78399999999999104</v>
      </c>
      <c r="AD5795">
        <v>-0.115127699999999</v>
      </c>
      <c r="AE5795">
        <v>0.45895999999999698</v>
      </c>
      <c r="AF5795">
        <v>-0.44462980090784798</v>
      </c>
      <c r="AG5795">
        <v>-0.115127699999999</v>
      </c>
      <c r="AH5795">
        <v>0.77570680114780599</v>
      </c>
      <c r="AI5795">
        <v>97.337239788087999</v>
      </c>
      <c r="AJ5795">
        <v>119.821038068406</v>
      </c>
      <c r="AK5795">
        <v>0.901482716700439</v>
      </c>
    </row>
    <row r="5796" spans="1:37" x14ac:dyDescent="0.2">
      <c r="A5796" t="str">
        <f>"20200111153804099"</f>
        <v>20200111153804099</v>
      </c>
      <c r="B5796" t="str">
        <f>"1578728284088497"</f>
        <v>1578728284088497</v>
      </c>
      <c r="C5796" t="s">
        <v>37</v>
      </c>
      <c r="D5796">
        <v>5.5949549999999997</v>
      </c>
      <c r="E5796">
        <v>0.46894730000000001</v>
      </c>
      <c r="F5796" t="s">
        <v>53</v>
      </c>
      <c r="G5796">
        <v>-208.1808</v>
      </c>
      <c r="H5796" s="1">
        <v>-1.660546E-6</v>
      </c>
      <c r="I5796">
        <v>-58.381740000000001</v>
      </c>
      <c r="J5796">
        <v>-216.9931</v>
      </c>
      <c r="K5796">
        <v>1.107623</v>
      </c>
      <c r="L5796">
        <v>-62.852509999999903</v>
      </c>
      <c r="M5796">
        <v>0.99981369999999903</v>
      </c>
      <c r="N5796">
        <v>0</v>
      </c>
      <c r="O5796">
        <v>1.2928E-2</v>
      </c>
      <c r="P5796">
        <v>0.9258459</v>
      </c>
      <c r="Q5796">
        <v>1.758287E-2</v>
      </c>
      <c r="R5796">
        <v>0.3774922</v>
      </c>
      <c r="S5796">
        <v>2.7081759999999999</v>
      </c>
      <c r="T5796">
        <v>-0.32701049999999998</v>
      </c>
      <c r="U5796">
        <v>1.3222049999999901</v>
      </c>
      <c r="V5796">
        <v>-0.36568719999999999</v>
      </c>
      <c r="W5796">
        <v>2.8491280000000001E-2</v>
      </c>
      <c r="X5796">
        <v>0.93030159999999995</v>
      </c>
      <c r="Y5796">
        <v>-0.42466189999999998</v>
      </c>
      <c r="Z5796">
        <v>2.2722829999999999E-2</v>
      </c>
      <c r="AA5796">
        <v>0.90506679999999995</v>
      </c>
      <c r="AB5796">
        <v>32</v>
      </c>
      <c r="AC5796">
        <v>8.8122999999999898</v>
      </c>
      <c r="AD5796">
        <v>-1.1076246605460001</v>
      </c>
      <c r="AE5796">
        <v>4.4707699999999901</v>
      </c>
      <c r="AF5796">
        <v>-4.3024025650710103</v>
      </c>
      <c r="AG5796">
        <v>-1.1076246605460001</v>
      </c>
      <c r="AH5796">
        <v>8.7593129412077904</v>
      </c>
      <c r="AI5796">
        <v>96.475295885757205</v>
      </c>
      <c r="AJ5796">
        <v>116.159364636869</v>
      </c>
      <c r="AK5796">
        <v>9.8215611499694706</v>
      </c>
    </row>
    <row r="5797" spans="1:37" x14ac:dyDescent="0.2">
      <c r="A5797" t="str">
        <f>"20200111153804114"</f>
        <v>20200111153804114</v>
      </c>
      <c r="B5797" t="str">
        <f>"1578728284108995"</f>
        <v>1578728284108995</v>
      </c>
      <c r="C5797" t="s">
        <v>37</v>
      </c>
      <c r="D5797">
        <v>5.8155429999999999</v>
      </c>
      <c r="E5797">
        <v>0.46865849999999998</v>
      </c>
      <c r="F5797" t="s">
        <v>38</v>
      </c>
      <c r="G5797">
        <v>-216.0061</v>
      </c>
      <c r="H5797">
        <v>0.98883650000000001</v>
      </c>
      <c r="I5797">
        <v>-62.364089999999997</v>
      </c>
      <c r="J5797">
        <v>-216.7784</v>
      </c>
      <c r="K5797">
        <v>1.107699</v>
      </c>
      <c r="L5797">
        <v>-62.847439999999999</v>
      </c>
      <c r="M5797">
        <v>0.99978109999999998</v>
      </c>
      <c r="N5797">
        <v>0</v>
      </c>
      <c r="O5797">
        <v>1.52891E-2</v>
      </c>
      <c r="P5797">
        <v>0.92468950000000005</v>
      </c>
      <c r="Q5797">
        <v>1.7276400000000001E-2</v>
      </c>
      <c r="R5797">
        <v>0.3803301</v>
      </c>
      <c r="S5797">
        <v>2.7013699999999998</v>
      </c>
      <c r="T5797">
        <v>-0.32512629999999998</v>
      </c>
      <c r="U5797">
        <v>1.3369450000000001</v>
      </c>
      <c r="V5797">
        <v>-0.36634729999999999</v>
      </c>
      <c r="W5797">
        <v>2.8057539999999999E-2</v>
      </c>
      <c r="X5797">
        <v>0.93005509999999902</v>
      </c>
      <c r="Y5797">
        <v>-0.42742059999999998</v>
      </c>
      <c r="Z5797">
        <v>2.2507059999999999E-2</v>
      </c>
      <c r="AA5797">
        <v>0.90377269999999899</v>
      </c>
      <c r="AB5797">
        <v>32</v>
      </c>
      <c r="AC5797">
        <v>0.77230000000000099</v>
      </c>
      <c r="AD5797">
        <v>-0.118862499999999</v>
      </c>
      <c r="AE5797">
        <v>0.48334999999999401</v>
      </c>
      <c r="AF5797">
        <v>-0.46359390947519902</v>
      </c>
      <c r="AG5797">
        <v>-0.118862499999999</v>
      </c>
      <c r="AH5797">
        <v>0.76655332091557105</v>
      </c>
      <c r="AI5797">
        <v>97.558042670098999</v>
      </c>
      <c r="AJ5797">
        <v>121.164588908963</v>
      </c>
      <c r="AK5797">
        <v>0.903687778281548</v>
      </c>
    </row>
    <row r="5798" spans="1:37" x14ac:dyDescent="0.2">
      <c r="A5798" t="str">
        <f>"20200111153804128"</f>
        <v>20200111153804128</v>
      </c>
      <c r="B5798" t="str">
        <f>"1578728284118754"</f>
        <v>1578728284118754</v>
      </c>
      <c r="C5798" t="s">
        <v>37</v>
      </c>
      <c r="D5798">
        <v>5.6656579999999996</v>
      </c>
      <c r="E5798">
        <v>0.46846559999999998</v>
      </c>
      <c r="F5798" t="s">
        <v>53</v>
      </c>
      <c r="G5798">
        <v>-207.7124</v>
      </c>
      <c r="H5798" s="1">
        <v>-1.9751060000000001E-6</v>
      </c>
      <c r="I5798">
        <v>-58.318559999999998</v>
      </c>
      <c r="J5798">
        <v>-216.58189999999999</v>
      </c>
      <c r="K5798">
        <v>1.1077669999999999</v>
      </c>
      <c r="L5798">
        <v>-62.842289999999998</v>
      </c>
      <c r="M5798">
        <v>0.99974560000000001</v>
      </c>
      <c r="N5798">
        <v>0</v>
      </c>
      <c r="O5798">
        <v>1.749502E-2</v>
      </c>
      <c r="P5798">
        <v>0.9237419</v>
      </c>
      <c r="Q5798">
        <v>1.6678450000000001E-2</v>
      </c>
      <c r="R5798">
        <v>0.3826522</v>
      </c>
      <c r="S5798">
        <v>2.696472</v>
      </c>
      <c r="T5798">
        <v>-0.32946120000000001</v>
      </c>
      <c r="U5798">
        <v>1.3470150000000001</v>
      </c>
      <c r="V5798">
        <v>-0.36663200000000001</v>
      </c>
      <c r="W5798">
        <v>2.7353519999999999E-2</v>
      </c>
      <c r="X5798">
        <v>0.92996380000000001</v>
      </c>
      <c r="Y5798">
        <v>-0.42872489999999902</v>
      </c>
      <c r="Z5798">
        <v>2.264617E-2</v>
      </c>
      <c r="AA5798">
        <v>0.90315119999999904</v>
      </c>
      <c r="AB5798">
        <v>32</v>
      </c>
      <c r="AC5798">
        <v>8.8694999999999808</v>
      </c>
      <c r="AD5798">
        <v>-1.107768975106</v>
      </c>
      <c r="AE5798">
        <v>4.5237299999999996</v>
      </c>
      <c r="AF5798">
        <v>-4.3144414435841796</v>
      </c>
      <c r="AG5798">
        <v>-1.107768975106</v>
      </c>
      <c r="AH5798">
        <v>8.83788922953811</v>
      </c>
      <c r="AI5798">
        <v>96.426595809402997</v>
      </c>
      <c r="AJ5798">
        <v>116.020499063182</v>
      </c>
      <c r="AK5798">
        <v>9.8969613066794402</v>
      </c>
    </row>
    <row r="5799" spans="1:37" x14ac:dyDescent="0.2">
      <c r="A5799" t="str">
        <f>"20200111153804153"</f>
        <v>20200111153804153</v>
      </c>
      <c r="B5799" t="str">
        <f>"1578728284149517"</f>
        <v>1578728284149517</v>
      </c>
      <c r="C5799" t="s">
        <v>37</v>
      </c>
      <c r="D5799">
        <v>5.6309690000000003</v>
      </c>
      <c r="E5799">
        <v>0.4682134</v>
      </c>
      <c r="F5799" t="s">
        <v>38</v>
      </c>
      <c r="G5799">
        <v>-215.71039999999999</v>
      </c>
      <c r="H5799">
        <v>1.0002329999999999</v>
      </c>
      <c r="I5799">
        <v>-62.403640000000003</v>
      </c>
      <c r="J5799">
        <v>-216.22659999999999</v>
      </c>
      <c r="K5799">
        <v>1.107891</v>
      </c>
      <c r="L5799">
        <v>-62.831850000000003</v>
      </c>
      <c r="M5799">
        <v>0.99966630000000001</v>
      </c>
      <c r="N5799">
        <v>0</v>
      </c>
      <c r="O5799">
        <v>2.1594180000000001E-2</v>
      </c>
      <c r="P5799">
        <v>0.92187050000000004</v>
      </c>
      <c r="Q5799">
        <v>1.5898929999999999E-2</v>
      </c>
      <c r="R5799">
        <v>0.38717209999999902</v>
      </c>
      <c r="S5799">
        <v>2.6923219999999999</v>
      </c>
      <c r="T5799">
        <v>-0.33220050000000001</v>
      </c>
      <c r="U5799">
        <v>1.3550719999999901</v>
      </c>
      <c r="V5799">
        <v>-0.36737609999999998</v>
      </c>
      <c r="W5799">
        <v>2.6394460000000002E-2</v>
      </c>
      <c r="X5799">
        <v>0.92969789999999997</v>
      </c>
      <c r="Y5799">
        <v>-0.42772899999999903</v>
      </c>
      <c r="Z5799">
        <v>2.2317819999999999E-2</v>
      </c>
      <c r="AA5799">
        <v>0.90363139999999997</v>
      </c>
      <c r="AB5799">
        <v>32</v>
      </c>
      <c r="AC5799">
        <v>0.51619999999999699</v>
      </c>
      <c r="AD5799">
        <v>-0.107658</v>
      </c>
      <c r="AE5799">
        <v>0.42820999999999998</v>
      </c>
      <c r="AF5799">
        <v>-0.40648849093991202</v>
      </c>
      <c r="AG5799">
        <v>-0.107658</v>
      </c>
      <c r="AH5799">
        <v>0.51213176853984099</v>
      </c>
      <c r="AI5799">
        <v>99.350083987934497</v>
      </c>
      <c r="AJ5799">
        <v>128.439683700307</v>
      </c>
      <c r="AK5799">
        <v>0.66264778470794905</v>
      </c>
    </row>
    <row r="5800" spans="1:37" x14ac:dyDescent="0.2">
      <c r="A5800" t="str">
        <f>"20200111153804165"</f>
        <v>20200111153804165</v>
      </c>
      <c r="B5800" t="str">
        <f>"1578728284159278"</f>
        <v>1578728284159278</v>
      </c>
      <c r="C5800" t="s">
        <v>37</v>
      </c>
      <c r="D5800">
        <v>5.8051129999999898</v>
      </c>
      <c r="E5800">
        <v>0.46803850000000002</v>
      </c>
      <c r="F5800" t="s">
        <v>53</v>
      </c>
      <c r="G5800">
        <v>-207.3955</v>
      </c>
      <c r="H5800" s="1">
        <v>-2.1747099999999898E-6</v>
      </c>
      <c r="I5800">
        <v>-58.325359999999897</v>
      </c>
      <c r="J5800">
        <v>-216.065</v>
      </c>
      <c r="K5800">
        <v>1.107945</v>
      </c>
      <c r="L5800">
        <v>-62.826599999999999</v>
      </c>
      <c r="M5800">
        <v>0.99962359999999995</v>
      </c>
      <c r="N5800">
        <v>0</v>
      </c>
      <c r="O5800">
        <v>2.350503E-2</v>
      </c>
      <c r="P5800">
        <v>0.92098040000000003</v>
      </c>
      <c r="Q5800">
        <v>1.5860349999999999E-2</v>
      </c>
      <c r="R5800">
        <v>0.38928609999999902</v>
      </c>
      <c r="S5800">
        <v>2.6846919999999899</v>
      </c>
      <c r="T5800">
        <v>-0.33680520000000003</v>
      </c>
      <c r="U5800">
        <v>1.3699950000000001</v>
      </c>
      <c r="V5800">
        <v>-0.36773459999999902</v>
      </c>
      <c r="W5800">
        <v>2.6281019999999999E-2</v>
      </c>
      <c r="X5800">
        <v>0.92955940000000004</v>
      </c>
      <c r="Y5800">
        <v>-0.43094460000000001</v>
      </c>
      <c r="Z5800">
        <v>2.262055E-2</v>
      </c>
      <c r="AA5800">
        <v>0.90209479999999997</v>
      </c>
      <c r="AB5800">
        <v>32</v>
      </c>
      <c r="AC5800">
        <v>8.6694999999999993</v>
      </c>
      <c r="AD5800">
        <v>-1.10794717471</v>
      </c>
      <c r="AE5800">
        <v>4.5012400000000001</v>
      </c>
      <c r="AF5800">
        <v>-4.2416324743732501</v>
      </c>
      <c r="AG5800">
        <v>-1.10794717471</v>
      </c>
      <c r="AH5800">
        <v>8.6614910602232698</v>
      </c>
      <c r="AI5800">
        <v>96.553456881045506</v>
      </c>
      <c r="AJ5800">
        <v>116.09152676297499</v>
      </c>
      <c r="AK5800">
        <v>9.7077505311958507</v>
      </c>
    </row>
    <row r="5801" spans="1:37" x14ac:dyDescent="0.2">
      <c r="A5801" t="str">
        <f>"20200111153804177"</f>
        <v>20200111153804177</v>
      </c>
      <c r="B5801" t="str">
        <f>"1578728284169037"</f>
        <v>1578728284169037</v>
      </c>
      <c r="C5801" t="s">
        <v>37</v>
      </c>
      <c r="D5801">
        <v>5.6776140000000002</v>
      </c>
      <c r="E5801">
        <v>0.4678406</v>
      </c>
      <c r="F5801" t="s">
        <v>38</v>
      </c>
      <c r="G5801">
        <v>-215.15190000000001</v>
      </c>
      <c r="H5801">
        <v>0.9926973</v>
      </c>
      <c r="I5801">
        <v>-62.35754</v>
      </c>
      <c r="J5801">
        <v>-215.87780000000001</v>
      </c>
      <c r="K5801">
        <v>1.1080030000000001</v>
      </c>
      <c r="L5801">
        <v>-62.820099999999996</v>
      </c>
      <c r="M5801">
        <v>0.99956869999999998</v>
      </c>
      <c r="N5801">
        <v>0</v>
      </c>
      <c r="O5801">
        <v>2.5747430000000002E-2</v>
      </c>
      <c r="P5801">
        <v>0.91981800000000002</v>
      </c>
      <c r="Q5801">
        <v>1.6185660000000001E-2</v>
      </c>
      <c r="R5801">
        <v>0.3920112</v>
      </c>
      <c r="S5801">
        <v>2.6809689999999899</v>
      </c>
      <c r="T5801">
        <v>-0.33837129999999999</v>
      </c>
      <c r="U5801">
        <v>1.377502</v>
      </c>
      <c r="V5801">
        <v>-0.368407599999999</v>
      </c>
      <c r="W5801">
        <v>2.6520309999999998E-2</v>
      </c>
      <c r="X5801">
        <v>0.92928599999999995</v>
      </c>
      <c r="Y5801">
        <v>-0.43141669999999999</v>
      </c>
      <c r="Z5801">
        <v>2.2502649999999999E-2</v>
      </c>
      <c r="AA5801">
        <v>0.90187209999999995</v>
      </c>
      <c r="AB5801">
        <v>32</v>
      </c>
      <c r="AC5801">
        <v>0.72589999999999499</v>
      </c>
      <c r="AD5801">
        <v>-0.1153057</v>
      </c>
      <c r="AE5801">
        <v>0.46255999999999597</v>
      </c>
      <c r="AF5801">
        <v>-0.43589255428934398</v>
      </c>
      <c r="AG5801">
        <v>-0.1153057</v>
      </c>
      <c r="AH5801">
        <v>0.724567766836964</v>
      </c>
      <c r="AI5801">
        <v>97.765147451090399</v>
      </c>
      <c r="AJ5801">
        <v>121.030685266001</v>
      </c>
      <c r="AK5801">
        <v>0.85340270217317904</v>
      </c>
    </row>
    <row r="5802" spans="1:37" x14ac:dyDescent="0.2">
      <c r="A5802" t="str">
        <f>"20200111153804203"</f>
        <v>20200111153804203</v>
      </c>
      <c r="B5802" t="str">
        <f>"1578728284199293"</f>
        <v>1578728284199293</v>
      </c>
      <c r="C5802" t="s">
        <v>37</v>
      </c>
      <c r="D5802">
        <v>5.3558329999999996</v>
      </c>
      <c r="E5802">
        <v>0.4674411</v>
      </c>
      <c r="F5802" t="s">
        <v>53</v>
      </c>
      <c r="G5802">
        <v>-207.12610000000001</v>
      </c>
      <c r="H5802" s="1">
        <v>-2.356531E-6</v>
      </c>
      <c r="I5802">
        <v>-58.28566</v>
      </c>
      <c r="J5802">
        <v>-215.52010000000001</v>
      </c>
      <c r="K5802">
        <v>1.108096</v>
      </c>
      <c r="L5802">
        <v>-62.8063</v>
      </c>
      <c r="M5802">
        <v>0.99944659999999996</v>
      </c>
      <c r="N5802">
        <v>0</v>
      </c>
      <c r="O5802">
        <v>3.013623E-2</v>
      </c>
      <c r="P5802">
        <v>0.91706559999999904</v>
      </c>
      <c r="Q5802">
        <v>1.672659E-2</v>
      </c>
      <c r="R5802">
        <v>0.3983854</v>
      </c>
      <c r="S5802">
        <v>2.676498</v>
      </c>
      <c r="T5802">
        <v>-0.3388565</v>
      </c>
      <c r="U5802">
        <v>1.386749</v>
      </c>
      <c r="V5802">
        <v>-0.37078660000000002</v>
      </c>
      <c r="W5802">
        <v>2.6901640000000001E-2</v>
      </c>
      <c r="X5802">
        <v>0.92832839999999905</v>
      </c>
      <c r="Y5802">
        <v>-0.43055699999999902</v>
      </c>
      <c r="Z5802">
        <v>2.1981259999999999E-2</v>
      </c>
      <c r="AA5802">
        <v>0.90229570000000003</v>
      </c>
      <c r="AB5802">
        <v>32</v>
      </c>
      <c r="AC5802">
        <v>8.3940000000000001</v>
      </c>
      <c r="AD5802">
        <v>-1.1080983565310001</v>
      </c>
      <c r="AE5802">
        <v>4.5206400000000002</v>
      </c>
      <c r="AF5802">
        <v>-4.2087429374287799</v>
      </c>
      <c r="AG5802">
        <v>-1.1080983565310001</v>
      </c>
      <c r="AH5802">
        <v>8.4127891306989202</v>
      </c>
      <c r="AI5802">
        <v>96.718319118443404</v>
      </c>
      <c r="AJ5802">
        <v>116.57784472580801</v>
      </c>
      <c r="AK5802">
        <v>9.4718752123699996</v>
      </c>
    </row>
    <row r="5803" spans="1:37" x14ac:dyDescent="0.2">
      <c r="A5803" t="str">
        <f>"20200111153804214"</f>
        <v>20200111153804214</v>
      </c>
      <c r="B5803" t="str">
        <f>"1578728284209053"</f>
        <v>1578728284209053</v>
      </c>
      <c r="C5803" t="s">
        <v>37</v>
      </c>
      <c r="D5803">
        <v>5.6295199999999896</v>
      </c>
      <c r="E5803">
        <v>0.46718480000000001</v>
      </c>
      <c r="F5803" t="s">
        <v>38</v>
      </c>
      <c r="G5803">
        <v>-214.5917</v>
      </c>
      <c r="H5803">
        <v>0.98985529999999999</v>
      </c>
      <c r="I5803">
        <v>-62.316040000000001</v>
      </c>
      <c r="J5803">
        <v>-215.34989999999999</v>
      </c>
      <c r="K5803">
        <v>1.108136</v>
      </c>
      <c r="L5803">
        <v>-62.799160000000001</v>
      </c>
      <c r="M5803">
        <v>0.99938069999999901</v>
      </c>
      <c r="N5803">
        <v>0</v>
      </c>
      <c r="O5803">
        <v>3.2259540000000003E-2</v>
      </c>
      <c r="P5803">
        <v>0.91598009999999996</v>
      </c>
      <c r="Q5803">
        <v>1.7113969999999999E-2</v>
      </c>
      <c r="R5803">
        <v>0.40085879999999902</v>
      </c>
      <c r="S5803">
        <v>2.66587799999999</v>
      </c>
      <c r="T5803">
        <v>-0.33955409999999903</v>
      </c>
      <c r="U5803">
        <v>1.407837</v>
      </c>
      <c r="V5803">
        <v>-0.37132559999999998</v>
      </c>
      <c r="W5803">
        <v>2.722625E-2</v>
      </c>
      <c r="X5803">
        <v>0.92810339999999902</v>
      </c>
      <c r="Y5803">
        <v>-0.4356661</v>
      </c>
      <c r="Z5803">
        <v>2.21184E-2</v>
      </c>
      <c r="AA5803">
        <v>0.89983649999999904</v>
      </c>
      <c r="AB5803">
        <v>32</v>
      </c>
      <c r="AC5803">
        <v>0.758199999999987</v>
      </c>
      <c r="AD5803">
        <v>-0.1182807</v>
      </c>
      <c r="AE5803">
        <v>0.48311999999999899</v>
      </c>
      <c r="AF5803">
        <v>-0.45060736928703898</v>
      </c>
      <c r="AG5803">
        <v>-0.1182807</v>
      </c>
      <c r="AH5803">
        <v>0.76023324517239099</v>
      </c>
      <c r="AI5803">
        <v>97.623198948620797</v>
      </c>
      <c r="AJ5803">
        <v>120.656177421563</v>
      </c>
      <c r="AK5803">
        <v>0.89162318964550302</v>
      </c>
    </row>
    <row r="5804" spans="1:37" x14ac:dyDescent="0.2">
      <c r="A5804" t="str">
        <f>"20200111153804226"</f>
        <v>20200111153804226</v>
      </c>
      <c r="B5804" t="str">
        <f>"1578728284218814"</f>
        <v>1578728284218814</v>
      </c>
      <c r="C5804" t="s">
        <v>37</v>
      </c>
      <c r="D5804">
        <v>5.5780789999999998</v>
      </c>
      <c r="E5804">
        <v>0.46703469999999903</v>
      </c>
      <c r="F5804" t="s">
        <v>53</v>
      </c>
      <c r="G5804">
        <v>-206.67320000000001</v>
      </c>
      <c r="H5804" s="1">
        <v>-2.6724539999999998E-6</v>
      </c>
      <c r="I5804">
        <v>-58.180250000000001</v>
      </c>
      <c r="J5804">
        <v>-215.1919</v>
      </c>
      <c r="K5804">
        <v>1.1081700000000001</v>
      </c>
      <c r="L5804">
        <v>-62.792110000000001</v>
      </c>
      <c r="M5804">
        <v>0.99931460000000005</v>
      </c>
      <c r="N5804">
        <v>0</v>
      </c>
      <c r="O5804">
        <v>3.4253209999999999E-2</v>
      </c>
      <c r="P5804">
        <v>0.91485139999999998</v>
      </c>
      <c r="Q5804">
        <v>1.749502E-2</v>
      </c>
      <c r="R5804">
        <v>0.40341199999999999</v>
      </c>
      <c r="S5804">
        <v>2.6614990000000001</v>
      </c>
      <c r="T5804">
        <v>-0.33991139999999997</v>
      </c>
      <c r="U5804">
        <v>1.416809</v>
      </c>
      <c r="V5804">
        <v>-0.37206830000000002</v>
      </c>
      <c r="W5804">
        <v>2.7550379999999999E-2</v>
      </c>
      <c r="X5804">
        <v>0.92779639999999997</v>
      </c>
      <c r="Y5804">
        <v>-0.43684849999999997</v>
      </c>
      <c r="Z5804">
        <v>2.199096E-2</v>
      </c>
      <c r="AA5804">
        <v>0.89926620000000002</v>
      </c>
      <c r="AB5804">
        <v>32</v>
      </c>
      <c r="AC5804">
        <v>8.5186999999999902</v>
      </c>
      <c r="AD5804">
        <v>-1.108172672454</v>
      </c>
      <c r="AE5804">
        <v>4.6118600000000001</v>
      </c>
      <c r="AF5804">
        <v>-4.2615607612303199</v>
      </c>
      <c r="AG5804">
        <v>-1.108172672454</v>
      </c>
      <c r="AH5804">
        <v>8.5596667743027393</v>
      </c>
      <c r="AI5804">
        <v>96.610820317176007</v>
      </c>
      <c r="AJ5804">
        <v>116.467118573215</v>
      </c>
      <c r="AK5804">
        <v>9.6258424088873404</v>
      </c>
    </row>
    <row r="5805" spans="1:37" x14ac:dyDescent="0.2">
      <c r="A5805" t="str">
        <f>"20200111153804237"</f>
        <v>20200111153804237</v>
      </c>
      <c r="B5805" t="str">
        <f>"1578728284228573"</f>
        <v>1578728284228573</v>
      </c>
      <c r="C5805" t="s">
        <v>37</v>
      </c>
      <c r="D5805">
        <v>5.9231600000000002</v>
      </c>
      <c r="E5805">
        <v>0.46686559999999999</v>
      </c>
      <c r="F5805" t="s">
        <v>38</v>
      </c>
      <c r="G5805">
        <v>-214.30629999999999</v>
      </c>
      <c r="H5805">
        <v>0.9948321</v>
      </c>
      <c r="I5805">
        <v>-62.317219999999899</v>
      </c>
      <c r="J5805">
        <v>-215.0395</v>
      </c>
      <c r="K5805">
        <v>1.1081989999999999</v>
      </c>
      <c r="L5805">
        <v>-62.785159999999998</v>
      </c>
      <c r="M5805">
        <v>0.99924659999999998</v>
      </c>
      <c r="N5805">
        <v>0</v>
      </c>
      <c r="O5805">
        <v>3.6187080000000003E-2</v>
      </c>
      <c r="P5805">
        <v>0.91387369999999901</v>
      </c>
      <c r="Q5805">
        <v>1.7779010000000001E-2</v>
      </c>
      <c r="R5805">
        <v>0.40560930000000001</v>
      </c>
      <c r="S5805">
        <v>2.6572879999999999</v>
      </c>
      <c r="T5805">
        <v>-0.34007670000000001</v>
      </c>
      <c r="U5805">
        <v>1.4251400000000001</v>
      </c>
      <c r="V5805">
        <v>-0.37250739999999999</v>
      </c>
      <c r="W5805">
        <v>2.7784409999999999E-2</v>
      </c>
      <c r="X5805">
        <v>0.92761319999999903</v>
      </c>
      <c r="Y5805">
        <v>-0.43789440000000002</v>
      </c>
      <c r="Z5805">
        <v>2.18495999999999E-2</v>
      </c>
      <c r="AA5805">
        <v>0.89876089999999997</v>
      </c>
      <c r="AB5805">
        <v>32</v>
      </c>
      <c r="AC5805">
        <v>0.73320000000000995</v>
      </c>
      <c r="AD5805">
        <v>-0.11336689999999899</v>
      </c>
      <c r="AE5805">
        <v>0.46794000000000502</v>
      </c>
      <c r="AF5805">
        <v>-0.433730390773307</v>
      </c>
      <c r="AG5805">
        <v>-0.11336689999999899</v>
      </c>
      <c r="AH5805">
        <v>0.73713253750302998</v>
      </c>
      <c r="AI5805">
        <v>97.550599584668106</v>
      </c>
      <c r="AJ5805">
        <v>120.472648125498</v>
      </c>
      <c r="AK5805">
        <v>0.862750533898201</v>
      </c>
    </row>
    <row r="5806" spans="1:37" x14ac:dyDescent="0.2">
      <c r="A5806" t="str">
        <f>"20200111153804249"</f>
        <v>20200111153804249</v>
      </c>
      <c r="B5806" t="str">
        <f>"1578728284239310"</f>
        <v>1578728284239310</v>
      </c>
      <c r="C5806" t="s">
        <v>37</v>
      </c>
      <c r="D5806">
        <v>5.9243489999999897</v>
      </c>
      <c r="E5806">
        <v>0.4666573</v>
      </c>
      <c r="F5806" t="s">
        <v>53</v>
      </c>
      <c r="G5806">
        <v>-206.39230000000001</v>
      </c>
      <c r="H5806" s="1">
        <v>-2.8681769999999999E-6</v>
      </c>
      <c r="I5806">
        <v>-58.115639999999999</v>
      </c>
      <c r="J5806">
        <v>-214.87979999999999</v>
      </c>
      <c r="K5806">
        <v>1.1082299999999901</v>
      </c>
      <c r="L5806">
        <v>-62.777340000000002</v>
      </c>
      <c r="M5806">
        <v>0.99917019999999901</v>
      </c>
      <c r="N5806">
        <v>0</v>
      </c>
      <c r="O5806">
        <v>3.82423E-2</v>
      </c>
      <c r="P5806">
        <v>0.91280689999999998</v>
      </c>
      <c r="Q5806">
        <v>1.8107410000000001E-2</v>
      </c>
      <c r="R5806">
        <v>0.40798990000000002</v>
      </c>
      <c r="S5806">
        <v>2.6534119999999999</v>
      </c>
      <c r="T5806">
        <v>-0.34005619999999998</v>
      </c>
      <c r="U5806">
        <v>1.4328609999999999</v>
      </c>
      <c r="V5806">
        <v>-0.37302229999999997</v>
      </c>
      <c r="W5806">
        <v>2.8062299999999998E-2</v>
      </c>
      <c r="X5806">
        <v>0.927397899999999</v>
      </c>
      <c r="Y5806">
        <v>-0.43862859999999998</v>
      </c>
      <c r="Z5806">
        <v>2.1661699999999999E-2</v>
      </c>
      <c r="AA5806">
        <v>0.89840730000000002</v>
      </c>
      <c r="AB5806">
        <v>32</v>
      </c>
      <c r="AC5806">
        <v>8.4874999999999794</v>
      </c>
      <c r="AD5806">
        <v>-1.10823286817699</v>
      </c>
      <c r="AE5806">
        <v>4.6616999999999997</v>
      </c>
      <c r="AF5806">
        <v>-4.2776475897526103</v>
      </c>
      <c r="AG5806">
        <v>-1.10823286817699</v>
      </c>
      <c r="AH5806">
        <v>8.5476256731114901</v>
      </c>
      <c r="AI5806">
        <v>96.613636654933799</v>
      </c>
      <c r="AJ5806">
        <v>116.58561134206801</v>
      </c>
      <c r="AK5806">
        <v>9.6222842215275897</v>
      </c>
    </row>
    <row r="5807" spans="1:37" x14ac:dyDescent="0.2">
      <c r="A5807" t="str">
        <f>"20200111153804260"</f>
        <v>20200111153804260</v>
      </c>
      <c r="B5807" t="str">
        <f>"1578728284249070"</f>
        <v>1578728284249070</v>
      </c>
      <c r="C5807" t="s">
        <v>37</v>
      </c>
      <c r="D5807">
        <v>5.9286079999999997</v>
      </c>
      <c r="E5807">
        <v>0.4664276</v>
      </c>
      <c r="F5807" t="s">
        <v>38</v>
      </c>
      <c r="G5807">
        <v>-214.02260000000001</v>
      </c>
      <c r="H5807">
        <v>0.99818399999999996</v>
      </c>
      <c r="I5807">
        <v>-62.311050000000002</v>
      </c>
      <c r="J5807">
        <v>-214.71700000000001</v>
      </c>
      <c r="K5807">
        <v>1.108258</v>
      </c>
      <c r="L5807">
        <v>-62.76923</v>
      </c>
      <c r="M5807">
        <v>0.99908770000000002</v>
      </c>
      <c r="N5807">
        <v>0</v>
      </c>
      <c r="O5807">
        <v>4.0346859999999998E-2</v>
      </c>
      <c r="P5807">
        <v>0.91187199999999902</v>
      </c>
      <c r="Q5807">
        <v>1.86015E-2</v>
      </c>
      <c r="R5807">
        <v>0.4100529</v>
      </c>
      <c r="S5807">
        <v>2.6490330000000002</v>
      </c>
      <c r="T5807">
        <v>-0.34011140000000001</v>
      </c>
      <c r="U5807">
        <v>1.4414370000000001</v>
      </c>
      <c r="V5807">
        <v>-0.37317230000000001</v>
      </c>
      <c r="W5807">
        <v>2.8510819999999999E-2</v>
      </c>
      <c r="X5807">
        <v>0.92732389999999998</v>
      </c>
      <c r="Y5807">
        <v>-0.43961</v>
      </c>
      <c r="Z5807">
        <v>2.1489290000000001E-2</v>
      </c>
      <c r="AA5807">
        <v>0.89793159999999905</v>
      </c>
      <c r="AB5807">
        <v>32</v>
      </c>
      <c r="AC5807">
        <v>0.69440000000000102</v>
      </c>
      <c r="AD5807">
        <v>-0.11007400000000001</v>
      </c>
      <c r="AE5807">
        <v>0.45818000000000503</v>
      </c>
      <c r="AF5807">
        <v>-0.42239281649680699</v>
      </c>
      <c r="AG5807">
        <v>-0.11007400000000001</v>
      </c>
      <c r="AH5807">
        <v>0.70006699693427599</v>
      </c>
      <c r="AI5807">
        <v>97.667436847249206</v>
      </c>
      <c r="AJ5807">
        <v>121.10512459511</v>
      </c>
      <c r="AK5807">
        <v>0.82500047096997497</v>
      </c>
    </row>
    <row r="5808" spans="1:37" x14ac:dyDescent="0.2">
      <c r="A5808" t="str">
        <f>"20200111153804272"</f>
        <v>20200111153804272</v>
      </c>
      <c r="B5808" t="str">
        <f>"1578728284258829"</f>
        <v>1578728284258829</v>
      </c>
      <c r="C5808" t="s">
        <v>37</v>
      </c>
      <c r="D5808">
        <v>5.7001780000000002</v>
      </c>
      <c r="E5808">
        <v>0.46621889999999999</v>
      </c>
      <c r="F5808" t="s">
        <v>38</v>
      </c>
      <c r="G5808">
        <v>-213.75530000000001</v>
      </c>
      <c r="H5808">
        <v>0.98495509999999997</v>
      </c>
      <c r="I5808">
        <v>-62.242469999999997</v>
      </c>
      <c r="J5808">
        <v>-214.54769999999999</v>
      </c>
      <c r="K5808">
        <v>1.108287</v>
      </c>
      <c r="L5808">
        <v>-62.760190000000001</v>
      </c>
      <c r="M5808">
        <v>0.99899539999999998</v>
      </c>
      <c r="N5808">
        <v>0</v>
      </c>
      <c r="O5808">
        <v>4.2572199999999998E-2</v>
      </c>
      <c r="P5808">
        <v>0.91083159999999896</v>
      </c>
      <c r="Q5808">
        <v>1.8926060000000001E-2</v>
      </c>
      <c r="R5808">
        <v>0.41234409999999999</v>
      </c>
      <c r="S5808">
        <v>2.645111</v>
      </c>
      <c r="T5808">
        <v>-0.33917329999999901</v>
      </c>
      <c r="U5808">
        <v>1.4492799999999999</v>
      </c>
      <c r="V5808">
        <v>-0.37344359999999999</v>
      </c>
      <c r="W5808">
        <v>2.8786320000000001E-2</v>
      </c>
      <c r="X5808">
        <v>0.92720619999999998</v>
      </c>
      <c r="Y5808">
        <v>-0.4402432</v>
      </c>
      <c r="Z5808">
        <v>2.1217690000000001E-2</v>
      </c>
      <c r="AA5808">
        <v>0.89762779999999998</v>
      </c>
      <c r="AB5808">
        <v>32</v>
      </c>
      <c r="AC5808">
        <v>0.792399999999986</v>
      </c>
      <c r="AD5808">
        <v>-0.12333189999999999</v>
      </c>
      <c r="AE5808">
        <v>0.51772000000000395</v>
      </c>
      <c r="AF5808">
        <v>-0.47544118203642</v>
      </c>
      <c r="AG5808">
        <v>-0.12333189999999999</v>
      </c>
      <c r="AH5808">
        <v>0.80013966214612997</v>
      </c>
      <c r="AI5808">
        <v>97.548300583442199</v>
      </c>
      <c r="AJ5808">
        <v>120.718685990045</v>
      </c>
      <c r="AK5808">
        <v>0.93887089318666195</v>
      </c>
    </row>
    <row r="5809" spans="1:37" x14ac:dyDescent="0.2">
      <c r="A5809" t="str">
        <f>"20200111153804297"</f>
        <v>20200111153804297</v>
      </c>
      <c r="B5809" t="str">
        <f>"1578728284289085"</f>
        <v>1578728284289085</v>
      </c>
      <c r="C5809" t="s">
        <v>37</v>
      </c>
      <c r="D5809">
        <v>5.5020259999999999</v>
      </c>
      <c r="E5809">
        <v>0.46598440000000002</v>
      </c>
      <c r="F5809" t="s">
        <v>38</v>
      </c>
      <c r="G5809">
        <v>-213.7022</v>
      </c>
      <c r="H5809">
        <v>0.99963919999999995</v>
      </c>
      <c r="I5809">
        <v>-62.293659999999903</v>
      </c>
      <c r="J5809">
        <v>-214.18729999999999</v>
      </c>
      <c r="K5809">
        <v>1.1083449999999999</v>
      </c>
      <c r="L5809">
        <v>-62.739930000000001</v>
      </c>
      <c r="M5809">
        <v>0.9987798</v>
      </c>
      <c r="N5809">
        <v>0</v>
      </c>
      <c r="O5809">
        <v>4.7369420000000002E-2</v>
      </c>
      <c r="P5809">
        <v>0.90866619999999998</v>
      </c>
      <c r="Q5809">
        <v>1.8299869999999999E-2</v>
      </c>
      <c r="R5809">
        <v>0.4171222</v>
      </c>
      <c r="S5809">
        <v>2.6408689999999999</v>
      </c>
      <c r="T5809">
        <v>-0.33937059999999902</v>
      </c>
      <c r="U5809">
        <v>1.4576420000000001</v>
      </c>
      <c r="V5809">
        <v>-0.37386019999999998</v>
      </c>
      <c r="W5809">
        <v>2.806088E-2</v>
      </c>
      <c r="X5809">
        <v>0.92706049999999995</v>
      </c>
      <c r="Y5809">
        <v>-0.43876080000000001</v>
      </c>
      <c r="Z5809">
        <v>2.0586170000000001E-2</v>
      </c>
      <c r="AA5809">
        <v>0.8983681</v>
      </c>
      <c r="AB5809">
        <v>32</v>
      </c>
      <c r="AC5809">
        <v>0.48509999999998799</v>
      </c>
      <c r="AD5809">
        <v>-0.10870580000000001</v>
      </c>
      <c r="AE5809">
        <v>0.44627000000001199</v>
      </c>
      <c r="AF5809">
        <v>-0.41159328225937603</v>
      </c>
      <c r="AG5809">
        <v>-0.10870580000000001</v>
      </c>
      <c r="AH5809">
        <v>0.49230718909780102</v>
      </c>
      <c r="AI5809">
        <v>99.614828114657996</v>
      </c>
      <c r="AJ5809">
        <v>129.89729973900299</v>
      </c>
      <c r="AK5809">
        <v>0.650839726347481</v>
      </c>
    </row>
    <row r="5810" spans="1:37" x14ac:dyDescent="0.2">
      <c r="A5810" t="str">
        <f>"20200111153804309"</f>
        <v>20200111153804309</v>
      </c>
      <c r="B5810" t="str">
        <f>"1578728284298846"</f>
        <v>1578728284298846</v>
      </c>
      <c r="C5810" t="s">
        <v>37</v>
      </c>
      <c r="D5810">
        <v>5.5620699999999896</v>
      </c>
      <c r="E5810">
        <v>0.466143999999999</v>
      </c>
      <c r="F5810" t="s">
        <v>53</v>
      </c>
      <c r="G5810">
        <v>-205.66299999999899</v>
      </c>
      <c r="H5810" s="1">
        <v>-3.326453E-6</v>
      </c>
      <c r="I5810">
        <v>-57.9681</v>
      </c>
      <c r="J5810">
        <v>-214.02189999999999</v>
      </c>
      <c r="K5810">
        <v>1.108371</v>
      </c>
      <c r="L5810">
        <v>-62.729859999999903</v>
      </c>
      <c r="M5810">
        <v>0.99867079999999997</v>
      </c>
      <c r="N5810">
        <v>0</v>
      </c>
      <c r="O5810">
        <v>4.9618469999999998E-2</v>
      </c>
      <c r="P5810">
        <v>0.90777379999999996</v>
      </c>
      <c r="Q5810">
        <v>1.7650809999999999E-2</v>
      </c>
      <c r="R5810">
        <v>0.41908889999999999</v>
      </c>
      <c r="S5810">
        <v>2.63207999999999</v>
      </c>
      <c r="T5810">
        <v>-0.34222970000000003</v>
      </c>
      <c r="U5810">
        <v>1.473419</v>
      </c>
      <c r="V5810">
        <v>-0.37377579999999999</v>
      </c>
      <c r="W5810">
        <v>2.7370200000000001E-2</v>
      </c>
      <c r="X5810">
        <v>0.92711509999999997</v>
      </c>
      <c r="Y5810">
        <v>-0.44206279999999998</v>
      </c>
      <c r="Z5810">
        <v>2.0720579999999999E-2</v>
      </c>
      <c r="AA5810">
        <v>0.89674469999999995</v>
      </c>
      <c r="AB5810">
        <v>32</v>
      </c>
      <c r="AC5810">
        <v>8.3589000000000002</v>
      </c>
      <c r="AD5810">
        <v>-1.1083743264529999</v>
      </c>
      <c r="AE5810">
        <v>4.76175999999999</v>
      </c>
      <c r="AF5810">
        <v>-4.2842264879932603</v>
      </c>
      <c r="AG5810">
        <v>-1.1083743264529999</v>
      </c>
      <c r="AH5810">
        <v>8.4724290892777692</v>
      </c>
      <c r="AI5810">
        <v>96.658814287866903</v>
      </c>
      <c r="AJ5810">
        <v>116.82421100457501</v>
      </c>
      <c r="AK5810">
        <v>9.5585116477830105</v>
      </c>
    </row>
    <row r="5811" spans="1:37" x14ac:dyDescent="0.2">
      <c r="A5811" t="str">
        <f>"20200111153804322"</f>
        <v>20200111153804322</v>
      </c>
      <c r="B5811" t="str">
        <f>"1578728284319341"</f>
        <v>1578728284319341</v>
      </c>
      <c r="C5811" t="s">
        <v>37</v>
      </c>
      <c r="D5811">
        <v>5.7920429999999996</v>
      </c>
      <c r="E5811">
        <v>0.49494199999999999</v>
      </c>
      <c r="F5811" t="s">
        <v>38</v>
      </c>
      <c r="G5811">
        <v>-213.18109999999999</v>
      </c>
      <c r="H5811">
        <v>0.99782530000000003</v>
      </c>
      <c r="I5811">
        <v>-62.257429999999999</v>
      </c>
      <c r="J5811">
        <v>-213.8391</v>
      </c>
      <c r="K5811">
        <v>1.108403</v>
      </c>
      <c r="L5811">
        <v>-62.718440000000001</v>
      </c>
      <c r="M5811">
        <v>0.99854310000000002</v>
      </c>
      <c r="N5811">
        <v>0</v>
      </c>
      <c r="O5811">
        <v>5.2124620000000003E-2</v>
      </c>
      <c r="P5811">
        <v>0.90679589999999999</v>
      </c>
      <c r="Q5811">
        <v>1.7011970000000001E-2</v>
      </c>
      <c r="R5811">
        <v>0.42122670000000001</v>
      </c>
      <c r="S5811">
        <v>2.6292879999999998</v>
      </c>
      <c r="T5811">
        <v>-0.34571649999999998</v>
      </c>
      <c r="U5811">
        <v>1.4777530000000001</v>
      </c>
      <c r="V5811">
        <v>-0.37363079999999999</v>
      </c>
      <c r="W5811">
        <v>2.6684759999999998E-2</v>
      </c>
      <c r="X5811">
        <v>0.92719359999999995</v>
      </c>
      <c r="Y5811">
        <v>-0.44131320000000002</v>
      </c>
      <c r="Z5811">
        <v>2.0592429999999998E-2</v>
      </c>
      <c r="AA5811">
        <v>0.89711679999999905</v>
      </c>
      <c r="AB5811">
        <v>32</v>
      </c>
      <c r="AC5811">
        <v>0.65800000000001502</v>
      </c>
      <c r="AD5811">
        <v>-0.1105777</v>
      </c>
      <c r="AE5811">
        <v>0.46100999999999398</v>
      </c>
      <c r="AF5811">
        <v>-0.41816072696933998</v>
      </c>
      <c r="AG5811">
        <v>-0.1105777</v>
      </c>
      <c r="AH5811">
        <v>0.66847489862732001</v>
      </c>
      <c r="AI5811">
        <v>97.983082967430207</v>
      </c>
      <c r="AJ5811">
        <v>122.027807646415</v>
      </c>
      <c r="AK5811">
        <v>0.79620632464934804</v>
      </c>
    </row>
    <row r="5812" spans="1:37" x14ac:dyDescent="0.2">
      <c r="A5812" t="str">
        <f>"20200111153804337"</f>
        <v>20200111153804337</v>
      </c>
      <c r="B5812" t="str">
        <f>"1578728284329101"</f>
        <v>1578728284329101</v>
      </c>
      <c r="C5812" t="s">
        <v>37</v>
      </c>
      <c r="D5812">
        <v>5.8724889999999998</v>
      </c>
      <c r="E5812">
        <v>0.49476130000000001</v>
      </c>
      <c r="F5812" t="s">
        <v>53</v>
      </c>
      <c r="G5812">
        <v>-207.15260000000001</v>
      </c>
      <c r="H5812" s="1">
        <v>-1.987569E-6</v>
      </c>
      <c r="I5812">
        <v>-59.6089699999999</v>
      </c>
      <c r="J5812">
        <v>-213.6183</v>
      </c>
      <c r="K5812">
        <v>1.108439</v>
      </c>
      <c r="L5812">
        <v>-62.703949999999999</v>
      </c>
      <c r="M5812">
        <v>0.99837770000000003</v>
      </c>
      <c r="N5812">
        <v>0</v>
      </c>
      <c r="O5812">
        <v>5.5205860000000002E-2</v>
      </c>
      <c r="P5812">
        <v>0.90583040000000004</v>
      </c>
      <c r="Q5812">
        <v>1.5443459999999999E-2</v>
      </c>
      <c r="R5812">
        <v>0.42335899999999999</v>
      </c>
      <c r="S5812">
        <v>2.7276310000000001</v>
      </c>
      <c r="T5812">
        <v>-0.45215749999999999</v>
      </c>
      <c r="U5812">
        <v>1.2684629999999999</v>
      </c>
      <c r="V5812">
        <v>-0.37293890000000002</v>
      </c>
      <c r="W5812">
        <v>2.5064530000000002E-2</v>
      </c>
      <c r="X5812">
        <v>0.92751729999999999</v>
      </c>
      <c r="Y5812">
        <v>-0.36748359999999902</v>
      </c>
      <c r="Z5812">
        <v>2.0175129999999999E-2</v>
      </c>
      <c r="AA5812">
        <v>0.92981119999999995</v>
      </c>
      <c r="AB5812">
        <v>32</v>
      </c>
      <c r="AC5812">
        <v>6.4656999999999902</v>
      </c>
      <c r="AD5812">
        <v>-1.108440987569</v>
      </c>
      <c r="AE5812">
        <v>3.0949800000000001</v>
      </c>
      <c r="AF5812">
        <v>-2.6694510594829599</v>
      </c>
      <c r="AG5812">
        <v>-1.108440987569</v>
      </c>
      <c r="AH5812">
        <v>6.4719650373440096</v>
      </c>
      <c r="AI5812">
        <v>98.996892336287203</v>
      </c>
      <c r="AJ5812">
        <v>112.414373187226</v>
      </c>
      <c r="AK5812">
        <v>7.0880844962867702</v>
      </c>
    </row>
    <row r="5813" spans="1:37" x14ac:dyDescent="0.2">
      <c r="A5813" t="str">
        <f>"20200111153804350"</f>
        <v>20200111153804350</v>
      </c>
      <c r="B5813" t="str">
        <f>"1578728284338862"</f>
        <v>1578728284338862</v>
      </c>
      <c r="C5813" t="s">
        <v>37</v>
      </c>
      <c r="D5813">
        <v>5.829364</v>
      </c>
      <c r="E5813">
        <v>0.49358449999999998</v>
      </c>
      <c r="F5813" t="s">
        <v>53</v>
      </c>
      <c r="G5813">
        <v>-207.05019999999999</v>
      </c>
      <c r="H5813" s="1">
        <v>-2.04801E-6</v>
      </c>
      <c r="I5813">
        <v>-59.626509999999897</v>
      </c>
      <c r="J5813">
        <v>-213.44820000000001</v>
      </c>
      <c r="K5813">
        <v>1.1084780000000001</v>
      </c>
      <c r="L5813">
        <v>-62.692140000000002</v>
      </c>
      <c r="M5813">
        <v>0.99824080000000004</v>
      </c>
      <c r="N5813">
        <v>0</v>
      </c>
      <c r="O5813">
        <v>5.7632089999999997E-2</v>
      </c>
      <c r="P5813">
        <v>0.90488080000000004</v>
      </c>
      <c r="Q5813">
        <v>1.5109269999999999E-2</v>
      </c>
      <c r="R5813">
        <v>0.42539690000000002</v>
      </c>
      <c r="S5813">
        <v>2.7233580000000002</v>
      </c>
      <c r="T5813">
        <v>-0.45959410000000001</v>
      </c>
      <c r="U5813">
        <v>1.2760009999999999</v>
      </c>
      <c r="V5813">
        <v>-0.37277169999999998</v>
      </c>
      <c r="W5813">
        <v>2.468366E-2</v>
      </c>
      <c r="X5813">
        <v>0.92759469999999999</v>
      </c>
      <c r="Y5813">
        <v>-0.36780229999999903</v>
      </c>
      <c r="Z5813">
        <v>2.016219E-2</v>
      </c>
      <c r="AA5813">
        <v>0.929685399999999</v>
      </c>
      <c r="AB5813">
        <v>32</v>
      </c>
      <c r="AC5813">
        <v>6.3980000000000201</v>
      </c>
      <c r="AD5813">
        <v>-1.1084800480100001</v>
      </c>
      <c r="AE5813">
        <v>3.0656300000000001</v>
      </c>
      <c r="AF5813">
        <v>-2.6276216540716</v>
      </c>
      <c r="AG5813">
        <v>-1.1084800480100001</v>
      </c>
      <c r="AH5813">
        <v>6.4076349315181602</v>
      </c>
      <c r="AI5813">
        <v>99.0935383630774</v>
      </c>
      <c r="AJ5813">
        <v>112.297390203061</v>
      </c>
      <c r="AK5813">
        <v>7.0136231000385196</v>
      </c>
    </row>
    <row r="5814" spans="1:37" x14ac:dyDescent="0.2">
      <c r="A5814" t="str">
        <f>"20200111153804373"</f>
        <v>20200111153804373</v>
      </c>
      <c r="B5814" t="str">
        <f>"1578728284369189"</f>
        <v>1578728284369189</v>
      </c>
      <c r="C5814" t="s">
        <v>37</v>
      </c>
      <c r="D5814">
        <v>5.7863350000000002</v>
      </c>
      <c r="E5814">
        <v>0.49176690000000001</v>
      </c>
      <c r="F5814" t="s">
        <v>53</v>
      </c>
      <c r="G5814">
        <v>-206.8878</v>
      </c>
      <c r="H5814" s="1">
        <v>-2.16530499999999E-6</v>
      </c>
      <c r="I5814">
        <v>-59.57358</v>
      </c>
      <c r="J5814">
        <v>-213.11840000000001</v>
      </c>
      <c r="K5814">
        <v>1.1085719999999999</v>
      </c>
      <c r="L5814">
        <v>-62.66818</v>
      </c>
      <c r="M5814">
        <v>0.99795199999999995</v>
      </c>
      <c r="N5814">
        <v>0</v>
      </c>
      <c r="O5814">
        <v>6.243129E-2</v>
      </c>
      <c r="P5814">
        <v>0.9034375</v>
      </c>
      <c r="Q5814">
        <v>1.459129E-2</v>
      </c>
      <c r="R5814">
        <v>0.42847159999999901</v>
      </c>
      <c r="S5814">
        <v>2.7160489999999999</v>
      </c>
      <c r="T5814">
        <v>-0.45891899999999902</v>
      </c>
      <c r="U5814">
        <v>1.291107</v>
      </c>
      <c r="V5814">
        <v>-0.37146669999999998</v>
      </c>
      <c r="W5814">
        <v>2.4082059999999999E-2</v>
      </c>
      <c r="X5814">
        <v>0.92813389999999996</v>
      </c>
      <c r="Y5814">
        <v>-0.36857699999999999</v>
      </c>
      <c r="Z5814">
        <v>1.946225E-2</v>
      </c>
      <c r="AA5814">
        <v>0.92939349999999998</v>
      </c>
      <c r="AB5814">
        <v>32</v>
      </c>
      <c r="AC5814">
        <v>6.2306000000000097</v>
      </c>
      <c r="AD5814">
        <v>-1.1085741653049901</v>
      </c>
      <c r="AE5814">
        <v>3.0945999999999998</v>
      </c>
      <c r="AF5814">
        <v>-2.6326884143608198</v>
      </c>
      <c r="AG5814">
        <v>-1.1085741653049901</v>
      </c>
      <c r="AH5814">
        <v>6.2528833763260598</v>
      </c>
      <c r="AI5814">
        <v>99.279994892161696</v>
      </c>
      <c r="AJ5814">
        <v>112.832840153284</v>
      </c>
      <c r="AK5814">
        <v>6.8744843795754003</v>
      </c>
    </row>
    <row r="5815" spans="1:37" x14ac:dyDescent="0.2">
      <c r="A5815" t="str">
        <f>"20200111153804385"</f>
        <v>20200111153804385</v>
      </c>
      <c r="B5815" t="str">
        <f>"1578728284378950"</f>
        <v>1578728284378950</v>
      </c>
      <c r="C5815" t="s">
        <v>37</v>
      </c>
      <c r="D5815">
        <v>5.8259610000000004</v>
      </c>
      <c r="E5815">
        <v>0.49114289999999999</v>
      </c>
      <c r="F5815" t="s">
        <v>53</v>
      </c>
      <c r="G5815">
        <v>-206.6113</v>
      </c>
      <c r="H5815" s="1">
        <v>-2.3587889999999899E-6</v>
      </c>
      <c r="I5815">
        <v>-59.50705</v>
      </c>
      <c r="J5815">
        <v>-212.94630000000001</v>
      </c>
      <c r="K5815">
        <v>1.108627</v>
      </c>
      <c r="L5815">
        <v>-62.654969999999999</v>
      </c>
      <c r="M5815">
        <v>0.9977878</v>
      </c>
      <c r="N5815">
        <v>0</v>
      </c>
      <c r="O5815">
        <v>6.5004619999999999E-2</v>
      </c>
      <c r="P5815">
        <v>0.90244639999999998</v>
      </c>
      <c r="Q5815">
        <v>1.483576E-2</v>
      </c>
      <c r="R5815">
        <v>0.430546599999999</v>
      </c>
      <c r="S5815">
        <v>2.7049099999999999</v>
      </c>
      <c r="T5815">
        <v>-0.46081440000000001</v>
      </c>
      <c r="U5815">
        <v>1.3140259999999999</v>
      </c>
      <c r="V5815">
        <v>-0.37121179999999998</v>
      </c>
      <c r="W5815">
        <v>2.4273220000000002E-2</v>
      </c>
      <c r="X5815">
        <v>0.92823089999999997</v>
      </c>
      <c r="Y5815">
        <v>-0.37398150000000002</v>
      </c>
      <c r="Z5815">
        <v>1.960485E-2</v>
      </c>
      <c r="AA5815">
        <v>0.92722890000000002</v>
      </c>
      <c r="AB5815">
        <v>32</v>
      </c>
      <c r="AC5815">
        <v>6.335</v>
      </c>
      <c r="AD5815">
        <v>-1.1086293587889999</v>
      </c>
      <c r="AE5815">
        <v>3.1479199999999898</v>
      </c>
      <c r="AF5815">
        <v>-2.6639870630270299</v>
      </c>
      <c r="AG5815">
        <v>-1.1086293587889999</v>
      </c>
      <c r="AH5815">
        <v>6.3698008399983497</v>
      </c>
      <c r="AI5815">
        <v>99.121993010259004</v>
      </c>
      <c r="AJ5815">
        <v>112.695725515573</v>
      </c>
      <c r="AK5815">
        <v>6.9928712892765299</v>
      </c>
    </row>
    <row r="5816" spans="1:37" x14ac:dyDescent="0.2">
      <c r="A5816" t="str">
        <f>"20200111153804397"</f>
        <v>20200111153804397</v>
      </c>
      <c r="B5816" t="str">
        <f>"1578728284388709"</f>
        <v>1578728284388709</v>
      </c>
      <c r="C5816" t="s">
        <v>37</v>
      </c>
      <c r="D5816">
        <v>5.7790790000000003</v>
      </c>
      <c r="E5816">
        <v>0.49073030000000001</v>
      </c>
      <c r="F5816" t="s">
        <v>53</v>
      </c>
      <c r="G5816">
        <v>-206.50040000000001</v>
      </c>
      <c r="H5816" s="1">
        <v>-2.4331590000000002E-6</v>
      </c>
      <c r="I5816">
        <v>-59.492330000000003</v>
      </c>
      <c r="J5816">
        <v>-212.7764</v>
      </c>
      <c r="K5816">
        <v>1.108689</v>
      </c>
      <c r="L5816">
        <v>-62.641539999999999</v>
      </c>
      <c r="M5816">
        <v>0.99761669999999902</v>
      </c>
      <c r="N5816">
        <v>0</v>
      </c>
      <c r="O5816">
        <v>6.7579130000000001E-2</v>
      </c>
      <c r="P5816">
        <v>0.90154089999999998</v>
      </c>
      <c r="Q5816">
        <v>1.5243639999999999E-2</v>
      </c>
      <c r="R5816">
        <v>0.43242529999999901</v>
      </c>
      <c r="S5816">
        <v>2.6999360000000001</v>
      </c>
      <c r="T5816">
        <v>-0.46436189999999999</v>
      </c>
      <c r="U5816">
        <v>1.3247070000000001</v>
      </c>
      <c r="V5816">
        <v>-0.37075829999999999</v>
      </c>
      <c r="W5816">
        <v>2.4630269999999999E-2</v>
      </c>
      <c r="X5816">
        <v>0.92840270000000003</v>
      </c>
      <c r="Y5816">
        <v>-0.37518210000000002</v>
      </c>
      <c r="Z5816">
        <v>1.9455170000000001E-2</v>
      </c>
      <c r="AA5816">
        <v>0.92674699999999999</v>
      </c>
      <c r="AB5816">
        <v>32</v>
      </c>
      <c r="AC5816">
        <v>6.2759999999999803</v>
      </c>
      <c r="AD5816">
        <v>-1.1086914331590001</v>
      </c>
      <c r="AE5816">
        <v>3.1492099999999899</v>
      </c>
      <c r="AF5816">
        <v>-2.6517334689288901</v>
      </c>
      <c r="AG5816">
        <v>-1.1086914331590001</v>
      </c>
      <c r="AH5816">
        <v>6.3170075597831099</v>
      </c>
      <c r="AI5816">
        <v>99.192426547149594</v>
      </c>
      <c r="AJ5816">
        <v>112.771535983842</v>
      </c>
      <c r="AK5816">
        <v>6.9401348397963201</v>
      </c>
    </row>
    <row r="5817" spans="1:37" x14ac:dyDescent="0.2">
      <c r="A5817" t="str">
        <f>"20200111153804420"</f>
        <v>20200111153804420</v>
      </c>
      <c r="B5817" t="str">
        <f>"1578728284409206"</f>
        <v>1578728284409206</v>
      </c>
      <c r="C5817" t="s">
        <v>37</v>
      </c>
      <c r="D5817">
        <v>6.0350269999999897</v>
      </c>
      <c r="E5817">
        <v>0.49012489999999997</v>
      </c>
      <c r="F5817" t="s">
        <v>53</v>
      </c>
      <c r="G5817">
        <v>-206.31549999999999</v>
      </c>
      <c r="H5817" s="1">
        <v>-2.5629710000000001E-6</v>
      </c>
      <c r="I5817">
        <v>-59.446190000000001</v>
      </c>
      <c r="J5817">
        <v>-212.46090000000001</v>
      </c>
      <c r="K5817">
        <v>1.108827</v>
      </c>
      <c r="L5817">
        <v>-62.615139999999997</v>
      </c>
      <c r="M5817">
        <v>0.99726990000000004</v>
      </c>
      <c r="N5817">
        <v>0</v>
      </c>
      <c r="O5817">
        <v>7.2519890000000004E-2</v>
      </c>
      <c r="P5817">
        <v>0.89951800000000004</v>
      </c>
      <c r="Q5817">
        <v>1.6315369999999999E-2</v>
      </c>
      <c r="R5817">
        <v>0.436579299999999</v>
      </c>
      <c r="S5817">
        <v>2.6959080000000002</v>
      </c>
      <c r="T5817">
        <v>-0.46261999999999998</v>
      </c>
      <c r="U5817">
        <v>1.333313</v>
      </c>
      <c r="V5817">
        <v>-0.37046119999999999</v>
      </c>
      <c r="W5817">
        <v>2.5588400000000001E-2</v>
      </c>
      <c r="X5817">
        <v>0.92849539999999997</v>
      </c>
      <c r="Y5817">
        <v>-0.37362600000000001</v>
      </c>
      <c r="Z5817">
        <v>1.8482169999999999E-2</v>
      </c>
      <c r="AA5817">
        <v>0.92739530000000003</v>
      </c>
      <c r="AB5817">
        <v>32</v>
      </c>
      <c r="AC5817">
        <v>6.14540000000002</v>
      </c>
      <c r="AD5817">
        <v>-1.1088295629710001</v>
      </c>
      <c r="AE5817">
        <v>3.1689500000000002</v>
      </c>
      <c r="AF5817">
        <v>-2.64682797218406</v>
      </c>
      <c r="AG5817">
        <v>-1.1088295629710001</v>
      </c>
      <c r="AH5817">
        <v>6.1996119716559797</v>
      </c>
      <c r="AI5817">
        <v>99.340976436240197</v>
      </c>
      <c r="AJ5817">
        <v>113.119305884734</v>
      </c>
      <c r="AK5817">
        <v>6.8315730189433399</v>
      </c>
    </row>
    <row r="5818" spans="1:37" x14ac:dyDescent="0.2">
      <c r="A5818" t="str">
        <f>"20200111153804432"</f>
        <v>20200111153804432</v>
      </c>
      <c r="B5818" t="str">
        <f>"1578728284428725"</f>
        <v>1578728284428725</v>
      </c>
      <c r="C5818" t="s">
        <v>37</v>
      </c>
      <c r="D5818">
        <v>5.788691</v>
      </c>
      <c r="E5818">
        <v>0.48924620000000002</v>
      </c>
      <c r="F5818" t="s">
        <v>53</v>
      </c>
      <c r="G5818">
        <v>-205.8956</v>
      </c>
      <c r="H5818" s="1">
        <v>-2.8647689999999999E-6</v>
      </c>
      <c r="I5818">
        <v>-59.31503</v>
      </c>
      <c r="J5818">
        <v>-212.2961</v>
      </c>
      <c r="K5818">
        <v>1.108903</v>
      </c>
      <c r="L5818">
        <v>-62.600459999999998</v>
      </c>
      <c r="M5818">
        <v>0.99707109999999999</v>
      </c>
      <c r="N5818">
        <v>0</v>
      </c>
      <c r="O5818">
        <v>7.5200489999999995E-2</v>
      </c>
      <c r="P5818">
        <v>0.89835319999999996</v>
      </c>
      <c r="Q5818">
        <v>1.6823109999999999E-2</v>
      </c>
      <c r="R5818">
        <v>0.438951599999999</v>
      </c>
      <c r="S5818">
        <v>2.6876679999999999</v>
      </c>
      <c r="T5818">
        <v>-0.4539263</v>
      </c>
      <c r="U5818">
        <v>1.350983</v>
      </c>
      <c r="V5818">
        <v>-0.37042599999999998</v>
      </c>
      <c r="W5818">
        <v>2.602838E-2</v>
      </c>
      <c r="X5818">
        <v>0.92849720000000002</v>
      </c>
      <c r="Y5818">
        <v>-0.3772566</v>
      </c>
      <c r="Z5818">
        <v>1.803157E-2</v>
      </c>
      <c r="AA5818">
        <v>0.92593320000000001</v>
      </c>
      <c r="AB5818">
        <v>32</v>
      </c>
      <c r="AC5818">
        <v>6.4004999999999903</v>
      </c>
      <c r="AD5818">
        <v>-1.108905864769</v>
      </c>
      <c r="AE5818">
        <v>3.2854299999999901</v>
      </c>
      <c r="AF5818">
        <v>-2.7299035471683499</v>
      </c>
      <c r="AG5818">
        <v>-1.108905864769</v>
      </c>
      <c r="AH5818">
        <v>6.4756217236366904</v>
      </c>
      <c r="AI5818">
        <v>98.967036738595496</v>
      </c>
      <c r="AJ5818">
        <v>112.858646072516</v>
      </c>
      <c r="AK5818">
        <v>7.1144727353048998</v>
      </c>
    </row>
    <row r="5819" spans="1:37" x14ac:dyDescent="0.2">
      <c r="A5819" t="str">
        <f>"20200111153804445"</f>
        <v>20200111153804445</v>
      </c>
      <c r="B5819" t="str">
        <f>"1578728284438486"</f>
        <v>1578728284438486</v>
      </c>
      <c r="C5819" t="s">
        <v>37</v>
      </c>
      <c r="D5819">
        <v>5.8509310000000001</v>
      </c>
      <c r="E5819">
        <v>0.46044420000000003</v>
      </c>
      <c r="F5819" t="s">
        <v>53</v>
      </c>
      <c r="G5819">
        <v>-205.6636</v>
      </c>
      <c r="H5819" s="1">
        <v>-3.0366159999999999E-6</v>
      </c>
      <c r="I5819">
        <v>-59.223399999999998</v>
      </c>
      <c r="J5819">
        <v>-212.12200000000001</v>
      </c>
      <c r="K5819">
        <v>1.1089850000000001</v>
      </c>
      <c r="L5819">
        <v>-62.58466</v>
      </c>
      <c r="M5819">
        <v>0.99685029999999997</v>
      </c>
      <c r="N5819">
        <v>0</v>
      </c>
      <c r="O5819">
        <v>7.8075649999999996E-2</v>
      </c>
      <c r="P5819">
        <v>0.89701359999999997</v>
      </c>
      <c r="Q5819">
        <v>1.7199260000000001E-2</v>
      </c>
      <c r="R5819">
        <v>0.44166830000000001</v>
      </c>
      <c r="S5819">
        <v>2.6808619999999999</v>
      </c>
      <c r="T5819">
        <v>-0.44822469999999998</v>
      </c>
      <c r="U5819">
        <v>1.36502099999999</v>
      </c>
      <c r="V5819">
        <v>-0.37056790000000001</v>
      </c>
      <c r="W5819">
        <v>2.6328210000000001E-2</v>
      </c>
      <c r="X5819">
        <v>0.92843220000000004</v>
      </c>
      <c r="Y5819">
        <v>-0.37947700000000001</v>
      </c>
      <c r="Z5819">
        <v>1.755719E-2</v>
      </c>
      <c r="AA5819">
        <v>0.92503459999999904</v>
      </c>
      <c r="AB5819">
        <v>32</v>
      </c>
      <c r="AC5819">
        <v>6.4584000000000099</v>
      </c>
      <c r="AD5819">
        <v>-1.1089880366160001</v>
      </c>
      <c r="AE5819">
        <v>3.3612600000000001</v>
      </c>
      <c r="AF5819">
        <v>-2.7821565101085999</v>
      </c>
      <c r="AG5819">
        <v>-1.1089880366160001</v>
      </c>
      <c r="AH5819">
        <v>6.5491925693249096</v>
      </c>
      <c r="AI5819">
        <v>98.858409096143802</v>
      </c>
      <c r="AJ5819">
        <v>113.01622631275499</v>
      </c>
      <c r="AK5819">
        <v>7.2015396008213202</v>
      </c>
    </row>
    <row r="5820" spans="1:37" x14ac:dyDescent="0.2">
      <c r="A5820" t="str">
        <f>"20200111153804462"</f>
        <v>20200111153804462</v>
      </c>
      <c r="B5820" t="str">
        <f>"1578728284449221"</f>
        <v>1578728284449221</v>
      </c>
      <c r="C5820" t="s">
        <v>37</v>
      </c>
      <c r="D5820">
        <v>5.7553419999999997</v>
      </c>
      <c r="E5820">
        <v>0.46044420000000003</v>
      </c>
      <c r="F5820" t="s">
        <v>38</v>
      </c>
      <c r="G5820">
        <v>-211.24510000000001</v>
      </c>
      <c r="H5820">
        <v>0.97313459999999996</v>
      </c>
      <c r="I5820">
        <v>-62.045290000000001</v>
      </c>
      <c r="J5820">
        <v>-211.9023</v>
      </c>
      <c r="K5820">
        <v>1.109083</v>
      </c>
      <c r="L5820">
        <v>-62.563929999999999</v>
      </c>
      <c r="M5820">
        <v>0.99655260000000001</v>
      </c>
      <c r="N5820">
        <v>0</v>
      </c>
      <c r="O5820">
        <v>8.1786869999999998E-2</v>
      </c>
      <c r="P5820">
        <v>0.89508840000000001</v>
      </c>
      <c r="Q5820">
        <v>1.8201620000000002E-2</v>
      </c>
      <c r="R5820">
        <v>0.44551740000000001</v>
      </c>
      <c r="S5820">
        <v>2.5727229999999999</v>
      </c>
      <c r="T5820">
        <v>-0.3985958</v>
      </c>
      <c r="U5820">
        <v>1.582794</v>
      </c>
      <c r="V5820">
        <v>-0.37111850000000002</v>
      </c>
      <c r="W5820">
        <v>2.72252999999999E-2</v>
      </c>
      <c r="X5820">
        <v>0.92818639999999997</v>
      </c>
      <c r="Y5820">
        <v>-0.44942539999999997</v>
      </c>
      <c r="Z5820">
        <v>2.035033E-2</v>
      </c>
      <c r="AA5820">
        <v>0.89308600000000005</v>
      </c>
      <c r="AB5820">
        <v>32</v>
      </c>
      <c r="AC5820">
        <v>0.65719999999998802</v>
      </c>
      <c r="AD5820">
        <v>-0.1359484</v>
      </c>
      <c r="AE5820">
        <v>0.51864000000000399</v>
      </c>
      <c r="AF5820">
        <v>-0.45124767557940398</v>
      </c>
      <c r="AG5820">
        <v>-0.1359484</v>
      </c>
      <c r="AH5820">
        <v>0.67950215456546004</v>
      </c>
      <c r="AI5820">
        <v>99.462344452493895</v>
      </c>
      <c r="AJ5820">
        <v>123.587568794823</v>
      </c>
      <c r="AK5820">
        <v>0.82693990727106503</v>
      </c>
    </row>
    <row r="5821" spans="1:37" x14ac:dyDescent="0.2">
      <c r="A5821" t="str">
        <f>"20200111153804475"</f>
        <v>20200111153804475</v>
      </c>
      <c r="B5821" t="str">
        <f>"1578728284468742"</f>
        <v>1578728284468742</v>
      </c>
      <c r="C5821" t="s">
        <v>37</v>
      </c>
      <c r="D5821">
        <v>5.7510589999999997</v>
      </c>
      <c r="E5821">
        <v>0.3868779</v>
      </c>
      <c r="F5821" t="s">
        <v>38</v>
      </c>
      <c r="G5821">
        <v>-210.9761</v>
      </c>
      <c r="H5821">
        <v>0.96638040000000003</v>
      </c>
      <c r="I5821">
        <v>-61.988639999999997</v>
      </c>
      <c r="J5821">
        <v>-211.70140000000001</v>
      </c>
      <c r="K5821">
        <v>1.109178</v>
      </c>
      <c r="L5821">
        <v>-62.543979999999998</v>
      </c>
      <c r="M5821">
        <v>0.99625759999999997</v>
      </c>
      <c r="N5821">
        <v>0</v>
      </c>
      <c r="O5821">
        <v>8.5303030000000002E-2</v>
      </c>
      <c r="P5821">
        <v>0.89356460000000004</v>
      </c>
      <c r="Q5821">
        <v>1.838016E-2</v>
      </c>
      <c r="R5821">
        <v>0.44855820000000002</v>
      </c>
      <c r="S5821">
        <v>2.56610099999999</v>
      </c>
      <c r="T5821">
        <v>-0.39538190000000001</v>
      </c>
      <c r="U5821">
        <v>1.59433</v>
      </c>
      <c r="V5821">
        <v>-0.37100830000000001</v>
      </c>
      <c r="W5821">
        <v>2.7312050000000001E-2</v>
      </c>
      <c r="X5821">
        <v>0.92822780000000005</v>
      </c>
      <c r="Y5821">
        <v>-0.45027829999999902</v>
      </c>
      <c r="Z5821">
        <v>1.9782299999999999E-2</v>
      </c>
      <c r="AA5821">
        <v>0.89266909999999899</v>
      </c>
      <c r="AB5821">
        <v>32</v>
      </c>
      <c r="AC5821">
        <v>0.72530000000000405</v>
      </c>
      <c r="AD5821">
        <v>-0.142797599999999</v>
      </c>
      <c r="AE5821">
        <v>0.55533999999999994</v>
      </c>
      <c r="AF5821">
        <v>-0.479716639982532</v>
      </c>
      <c r="AG5821">
        <v>-0.142797599999999</v>
      </c>
      <c r="AH5821">
        <v>0.75166470825918996</v>
      </c>
      <c r="AI5821">
        <v>99.098151309391199</v>
      </c>
      <c r="AJ5821">
        <v>122.546247708208</v>
      </c>
      <c r="AK5821">
        <v>0.90306092977399</v>
      </c>
    </row>
    <row r="5822" spans="1:37" x14ac:dyDescent="0.2">
      <c r="A5822" t="str">
        <f>"20200111153804487"</f>
        <v>20200111153804487</v>
      </c>
      <c r="B5822" t="str">
        <f>"1578728284478501"</f>
        <v>1578728284478501</v>
      </c>
      <c r="C5822" t="s">
        <v>37</v>
      </c>
      <c r="D5822">
        <v>5.79209</v>
      </c>
      <c r="E5822">
        <v>0.38432820000000001</v>
      </c>
      <c r="F5822" t="s">
        <v>38</v>
      </c>
      <c r="G5822">
        <v>-211.00460000000001</v>
      </c>
      <c r="H5822">
        <v>0.99336659999999899</v>
      </c>
      <c r="I5822">
        <v>-61.897769999999902</v>
      </c>
      <c r="J5822">
        <v>-211.53099999999901</v>
      </c>
      <c r="K5822">
        <v>1.1092610000000001</v>
      </c>
      <c r="L5822">
        <v>-62.526429999999998</v>
      </c>
      <c r="M5822">
        <v>0.99599139999999997</v>
      </c>
      <c r="N5822">
        <v>0</v>
      </c>
      <c r="O5822">
        <v>8.8357229999999995E-2</v>
      </c>
      <c r="P5822">
        <v>0.89213290000000001</v>
      </c>
      <c r="Q5822">
        <v>1.8600769999999999E-2</v>
      </c>
      <c r="R5822">
        <v>0.45139020000000002</v>
      </c>
      <c r="S5822">
        <v>2.2960509999999998</v>
      </c>
      <c r="T5822">
        <v>-0.38161809999999902</v>
      </c>
      <c r="U5822">
        <v>2.129791</v>
      </c>
      <c r="V5822">
        <v>-0.3711158</v>
      </c>
      <c r="W5822">
        <v>2.7450269999999999E-2</v>
      </c>
      <c r="X5822">
        <v>0.92818080000000003</v>
      </c>
      <c r="Y5822">
        <v>-0.60884150000000004</v>
      </c>
      <c r="Z5822">
        <v>3.0368849999999999E-2</v>
      </c>
      <c r="AA5822">
        <v>0.79271029999999998</v>
      </c>
      <c r="AB5822">
        <v>32</v>
      </c>
      <c r="AC5822">
        <v>0.52639999999996601</v>
      </c>
      <c r="AD5822">
        <v>-0.11589439999999999</v>
      </c>
      <c r="AE5822">
        <v>0.62866000000000999</v>
      </c>
      <c r="AF5822">
        <v>-0.56833078452036401</v>
      </c>
      <c r="AG5822">
        <v>-0.11589439999999999</v>
      </c>
      <c r="AH5822">
        <v>0.56853455525463403</v>
      </c>
      <c r="AI5822">
        <v>98.203684734203193</v>
      </c>
      <c r="AJ5822">
        <v>134.98973035545299</v>
      </c>
      <c r="AK5822">
        <v>0.81219636363596104</v>
      </c>
    </row>
    <row r="5823" spans="1:37" x14ac:dyDescent="0.2">
      <c r="A5823" t="str">
        <f>"20200111153804501"</f>
        <v>20200111153804501</v>
      </c>
      <c r="B5823" t="str">
        <f>"1578728284499000"</f>
        <v>1578728284499000</v>
      </c>
      <c r="C5823" t="s">
        <v>37</v>
      </c>
      <c r="D5823">
        <v>5.6787169999999998</v>
      </c>
      <c r="E5823">
        <v>0.38258320000000001</v>
      </c>
      <c r="F5823" t="s">
        <v>53</v>
      </c>
      <c r="G5823">
        <v>-204.79259999999999</v>
      </c>
      <c r="H5823" s="1">
        <v>-4.1987059999999999E-6</v>
      </c>
      <c r="I5823">
        <v>-56.15334</v>
      </c>
      <c r="J5823">
        <v>-211.3407</v>
      </c>
      <c r="K5823">
        <v>1.1093519999999999</v>
      </c>
      <c r="L5823">
        <v>-62.506319999999903</v>
      </c>
      <c r="M5823">
        <v>0.9956834</v>
      </c>
      <c r="N5823">
        <v>0</v>
      </c>
      <c r="O5823">
        <v>9.1765699999999895E-2</v>
      </c>
      <c r="P5823">
        <v>0.89058419999999905</v>
      </c>
      <c r="Q5823">
        <v>1.852144E-2</v>
      </c>
      <c r="R5823">
        <v>0.45444109999999999</v>
      </c>
      <c r="S5823">
        <v>2.2796630000000002</v>
      </c>
      <c r="T5823">
        <v>-0.37527329999999998</v>
      </c>
      <c r="U5823">
        <v>2.15606699999999</v>
      </c>
      <c r="V5823">
        <v>-0.3711217</v>
      </c>
      <c r="W5823">
        <v>2.725342E-2</v>
      </c>
      <c r="X5823">
        <v>0.92818419999999902</v>
      </c>
      <c r="Y5823">
        <v>-0.61391450000000003</v>
      </c>
      <c r="Z5823">
        <v>2.9816100000000002E-2</v>
      </c>
      <c r="AA5823">
        <v>0.78880919999999999</v>
      </c>
      <c r="AB5823">
        <v>32</v>
      </c>
      <c r="AC5823">
        <v>6.5480999999999998</v>
      </c>
      <c r="AD5823">
        <v>-1.1093561987060001</v>
      </c>
      <c r="AE5823">
        <v>6.3529799999999899</v>
      </c>
      <c r="AF5823">
        <v>-5.6418060864496997</v>
      </c>
      <c r="AG5823">
        <v>-1.1093561987060001</v>
      </c>
      <c r="AH5823">
        <v>7.0000128577660901</v>
      </c>
      <c r="AI5823">
        <v>97.034241011496704</v>
      </c>
      <c r="AJ5823">
        <v>128.86780071756101</v>
      </c>
      <c r="AK5823">
        <v>9.0587431303464392</v>
      </c>
    </row>
    <row r="5824" spans="1:37" x14ac:dyDescent="0.2">
      <c r="A5824" t="str">
        <f>"20200111153804517"</f>
        <v>20200111153804517</v>
      </c>
      <c r="B5824" t="str">
        <f>"1578728284508757"</f>
        <v>1578728284508757</v>
      </c>
      <c r="C5824" t="s">
        <v>37</v>
      </c>
      <c r="D5824">
        <v>5.704485</v>
      </c>
      <c r="E5824">
        <v>0.38234009999999902</v>
      </c>
      <c r="F5824" t="s">
        <v>53</v>
      </c>
      <c r="G5824">
        <v>-204.54</v>
      </c>
      <c r="H5824" s="1">
        <v>-4.3679250000000002E-6</v>
      </c>
      <c r="I5824">
        <v>-55.970599999999997</v>
      </c>
      <c r="J5824">
        <v>-211.11009999999999</v>
      </c>
      <c r="K5824">
        <v>1.109424</v>
      </c>
      <c r="L5824">
        <v>-62.480739999999997</v>
      </c>
      <c r="M5824">
        <v>0.99533760000000004</v>
      </c>
      <c r="N5824">
        <v>0</v>
      </c>
      <c r="O5824">
        <v>9.5477989999999999E-2</v>
      </c>
      <c r="P5824">
        <v>0.88903790000000005</v>
      </c>
      <c r="Q5824">
        <v>1.8304879999999999E-2</v>
      </c>
      <c r="R5824">
        <v>0.45746769999999998</v>
      </c>
      <c r="S5824">
        <v>2.2653500000000002</v>
      </c>
      <c r="T5824">
        <v>-0.36953439999999999</v>
      </c>
      <c r="U5824">
        <v>2.1770939999999999</v>
      </c>
      <c r="V5824">
        <v>-0.370822599999999</v>
      </c>
      <c r="W5824">
        <v>2.667665E-2</v>
      </c>
      <c r="X5824">
        <v>0.92832049999999999</v>
      </c>
      <c r="Y5824">
        <v>-0.61738740000000003</v>
      </c>
      <c r="Z5824">
        <v>2.916212E-2</v>
      </c>
      <c r="AA5824">
        <v>0.78611850000000005</v>
      </c>
      <c r="AB5824">
        <v>31</v>
      </c>
      <c r="AC5824">
        <v>6.5700999999999903</v>
      </c>
      <c r="AD5824">
        <v>-1.1094283679250001</v>
      </c>
      <c r="AE5824">
        <v>6.5101399999999998</v>
      </c>
      <c r="AF5824">
        <v>-5.7700178737046901</v>
      </c>
      <c r="AG5824">
        <v>-1.1094283679250001</v>
      </c>
      <c r="AH5824">
        <v>7.0601340578528102</v>
      </c>
      <c r="AI5824">
        <v>96.937308248366506</v>
      </c>
      <c r="AJ5824">
        <v>129.25801156665901</v>
      </c>
      <c r="AK5824">
        <v>9.1852833642344098</v>
      </c>
    </row>
    <row r="5825" spans="1:37" x14ac:dyDescent="0.2">
      <c r="A5825" t="str">
        <f>"20200111153804530"</f>
        <v>20200111153804530</v>
      </c>
      <c r="B5825" t="str">
        <f>"1578728284518517"</f>
        <v>1578728284518517</v>
      </c>
      <c r="C5825" t="s">
        <v>37</v>
      </c>
      <c r="D5825">
        <v>5.6694449999999996</v>
      </c>
      <c r="E5825">
        <v>0.3821986</v>
      </c>
      <c r="F5825" t="s">
        <v>38</v>
      </c>
      <c r="G5825">
        <v>-210.45060000000001</v>
      </c>
      <c r="H5825">
        <v>1.001706</v>
      </c>
      <c r="I5825">
        <v>-61.841639999999998</v>
      </c>
      <c r="J5825">
        <v>-210.93700000000001</v>
      </c>
      <c r="K5825">
        <v>1.109421</v>
      </c>
      <c r="L5825">
        <v>-62.460659999999997</v>
      </c>
      <c r="M5825">
        <v>0.9950329</v>
      </c>
      <c r="N5825">
        <v>0</v>
      </c>
      <c r="O5825">
        <v>9.8582970000000006E-2</v>
      </c>
      <c r="P5825">
        <v>0.88764959999999904</v>
      </c>
      <c r="Q5825">
        <v>1.72197999999999E-2</v>
      </c>
      <c r="R5825">
        <v>0.46019739999999998</v>
      </c>
      <c r="S5825">
        <v>2.256516</v>
      </c>
      <c r="T5825">
        <v>-0.36858400000000002</v>
      </c>
      <c r="U5825">
        <v>2.18731699999999</v>
      </c>
      <c r="V5825">
        <v>-0.37076540000000002</v>
      </c>
      <c r="W5825">
        <v>2.5718540000000002E-2</v>
      </c>
      <c r="X5825">
        <v>0.92837039999999904</v>
      </c>
      <c r="Y5825">
        <v>-0.6183438</v>
      </c>
      <c r="Z5825">
        <v>2.878416E-2</v>
      </c>
      <c r="AA5825">
        <v>0.78538050000000004</v>
      </c>
      <c r="AB5825">
        <v>31</v>
      </c>
      <c r="AC5825">
        <v>0.486400000000003</v>
      </c>
      <c r="AD5825">
        <v>-0.10771500000000001</v>
      </c>
      <c r="AE5825">
        <v>0.61901999999999102</v>
      </c>
      <c r="AF5825">
        <v>-0.55760990996222703</v>
      </c>
      <c r="AG5825">
        <v>-0.10771500000000001</v>
      </c>
      <c r="AH5825">
        <v>0.53504447878738104</v>
      </c>
      <c r="AI5825">
        <v>97.935043173391904</v>
      </c>
      <c r="AJ5825">
        <v>136.18310073211899</v>
      </c>
      <c r="AK5825">
        <v>0.78025888472605198</v>
      </c>
    </row>
    <row r="5826" spans="1:37" x14ac:dyDescent="0.2">
      <c r="A5826" t="str">
        <f>"20200111153804542"</f>
        <v>20200111153804542</v>
      </c>
      <c r="B5826" t="str">
        <f>"1578728284539013"</f>
        <v>1578728284539013</v>
      </c>
      <c r="C5826" t="s">
        <v>37</v>
      </c>
      <c r="D5826">
        <v>5.6709399999999999</v>
      </c>
      <c r="E5826">
        <v>0.38204329999999997</v>
      </c>
      <c r="F5826" t="s">
        <v>53</v>
      </c>
      <c r="G5826">
        <v>-204.23990000000001</v>
      </c>
      <c r="H5826" s="1">
        <v>-4.5314229999999999E-6</v>
      </c>
      <c r="I5826">
        <v>-55.922890000000002</v>
      </c>
      <c r="J5826">
        <v>-210.7578</v>
      </c>
      <c r="K5826">
        <v>1.109405</v>
      </c>
      <c r="L5826">
        <v>-62.439509999999999</v>
      </c>
      <c r="M5826">
        <v>0.99468029999999996</v>
      </c>
      <c r="N5826">
        <v>0</v>
      </c>
      <c r="O5826">
        <v>0.10205449999999899</v>
      </c>
      <c r="P5826">
        <v>0.88611299999999904</v>
      </c>
      <c r="Q5826">
        <v>1.614196E-2</v>
      </c>
      <c r="R5826">
        <v>0.46318799999999999</v>
      </c>
      <c r="S5826">
        <v>2.2487949999999999</v>
      </c>
      <c r="T5826">
        <v>-0.37253330000000001</v>
      </c>
      <c r="U5826">
        <v>2.1953130000000001</v>
      </c>
      <c r="V5826">
        <v>-0.3706412</v>
      </c>
      <c r="W5826">
        <v>2.484573E-2</v>
      </c>
      <c r="X5826">
        <v>0.92844369999999998</v>
      </c>
      <c r="Y5826">
        <v>-0.61833260000000001</v>
      </c>
      <c r="Z5826">
        <v>2.866463E-2</v>
      </c>
      <c r="AA5826">
        <v>0.78539359999999903</v>
      </c>
      <c r="AB5826">
        <v>32</v>
      </c>
      <c r="AC5826">
        <v>6.5178999999999903</v>
      </c>
      <c r="AD5826">
        <v>-1.1094095314229999</v>
      </c>
      <c r="AE5826">
        <v>6.5166199999999899</v>
      </c>
      <c r="AF5826">
        <v>-5.7342616785670097</v>
      </c>
      <c r="AG5826">
        <v>-1.1094095314229999</v>
      </c>
      <c r="AH5826">
        <v>7.0468789173625597</v>
      </c>
      <c r="AI5826">
        <v>96.962044397480398</v>
      </c>
      <c r="AJ5826">
        <v>129.136307400905</v>
      </c>
      <c r="AK5826">
        <v>9.1526525653858002</v>
      </c>
    </row>
    <row r="5827" spans="1:37" x14ac:dyDescent="0.2">
      <c r="A5827" t="str">
        <f>"20200111153804554"</f>
        <v>20200111153804554</v>
      </c>
      <c r="B5827" t="str">
        <f>"1578728284548774"</f>
        <v>1578728284548774</v>
      </c>
      <c r="C5827" t="s">
        <v>37</v>
      </c>
      <c r="D5827">
        <v>5.6723140000000001</v>
      </c>
      <c r="E5827">
        <v>0.38201760000000001</v>
      </c>
      <c r="F5827" t="s">
        <v>53</v>
      </c>
      <c r="G5827">
        <v>-204.17009999999999</v>
      </c>
      <c r="H5827" s="1">
        <v>-4.5588759999999999E-6</v>
      </c>
      <c r="I5827">
        <v>-55.959429999999998</v>
      </c>
      <c r="J5827">
        <v>-210.5941</v>
      </c>
      <c r="K5827">
        <v>1.1093580000000001</v>
      </c>
      <c r="L5827">
        <v>-62.419589999999999</v>
      </c>
      <c r="M5827">
        <v>0.99429709999999905</v>
      </c>
      <c r="N5827">
        <v>0</v>
      </c>
      <c r="O5827">
        <v>0.1057018</v>
      </c>
      <c r="P5827">
        <v>0.88449759999999999</v>
      </c>
      <c r="Q5827">
        <v>1.529047E-2</v>
      </c>
      <c r="R5827">
        <v>0.4662944</v>
      </c>
      <c r="S5827">
        <v>2.24044799999999</v>
      </c>
      <c r="T5827">
        <v>-0.37730720000000001</v>
      </c>
      <c r="U5827">
        <v>2.2038570000000002</v>
      </c>
      <c r="V5827">
        <v>-0.37048170000000002</v>
      </c>
      <c r="W5827">
        <v>2.418789E-2</v>
      </c>
      <c r="X5827">
        <v>0.92852479999999904</v>
      </c>
      <c r="Y5827">
        <v>-0.61837489999999995</v>
      </c>
      <c r="Z5827">
        <v>2.8580649999999999E-2</v>
      </c>
      <c r="AA5827">
        <v>0.78536340000000004</v>
      </c>
      <c r="AB5827">
        <v>31</v>
      </c>
      <c r="AC5827">
        <v>6.4240000000000004</v>
      </c>
      <c r="AD5827">
        <v>-1.1093625588760001</v>
      </c>
      <c r="AE5827">
        <v>6.4601599999999904</v>
      </c>
      <c r="AF5827">
        <v>-5.6609295102320303</v>
      </c>
      <c r="AG5827">
        <v>-1.1093625588760001</v>
      </c>
      <c r="AH5827">
        <v>6.9676129567130598</v>
      </c>
      <c r="AI5827">
        <v>97.044486576252297</v>
      </c>
      <c r="AJ5827">
        <v>129.09259074848501</v>
      </c>
      <c r="AK5827">
        <v>9.0456861830049995</v>
      </c>
    </row>
    <row r="5828" spans="1:37" x14ac:dyDescent="0.2">
      <c r="A5828" t="str">
        <f>"20200111153804566"</f>
        <v>20200111153804566</v>
      </c>
      <c r="B5828" t="str">
        <f>"1578728284558533"</f>
        <v>1578728284558533</v>
      </c>
      <c r="C5828" t="s">
        <v>37</v>
      </c>
      <c r="D5828">
        <v>5.7541900000000004</v>
      </c>
      <c r="E5828">
        <v>0.3824534</v>
      </c>
      <c r="F5828" t="s">
        <v>38</v>
      </c>
      <c r="G5828">
        <v>-209.91329999999999</v>
      </c>
      <c r="H5828">
        <v>0.99339230000000001</v>
      </c>
      <c r="I5828">
        <v>-61.745100000000001</v>
      </c>
      <c r="J5828">
        <v>-210.43209999999999</v>
      </c>
      <c r="K5828">
        <v>1.1093759999999999</v>
      </c>
      <c r="L5828">
        <v>-62.399169999999998</v>
      </c>
      <c r="M5828">
        <v>0.99389099999999997</v>
      </c>
      <c r="N5828">
        <v>0</v>
      </c>
      <c r="O5828">
        <v>0.10944280000000001</v>
      </c>
      <c r="P5828">
        <v>0.88272680000000003</v>
      </c>
      <c r="Q5828">
        <v>1.4561589999999999E-2</v>
      </c>
      <c r="R5828">
        <v>0.46966089999999999</v>
      </c>
      <c r="S5828">
        <v>2.2322690000000001</v>
      </c>
      <c r="T5828">
        <v>-0.38024159999999901</v>
      </c>
      <c r="U5828">
        <v>2.2118229999999999</v>
      </c>
      <c r="V5828">
        <v>-0.3705193</v>
      </c>
      <c r="W5828">
        <v>2.3489530000000002E-2</v>
      </c>
      <c r="X5828">
        <v>0.92852769999999996</v>
      </c>
      <c r="Y5828">
        <v>-0.61824659999999998</v>
      </c>
      <c r="Z5828">
        <v>2.832407E-2</v>
      </c>
      <c r="AA5828">
        <v>0.78547359999999999</v>
      </c>
      <c r="AB5828">
        <v>31</v>
      </c>
      <c r="AC5828">
        <v>0.51879999999999804</v>
      </c>
      <c r="AD5828">
        <v>-0.115983699999999</v>
      </c>
      <c r="AE5828">
        <v>0.65406999999999704</v>
      </c>
      <c r="AF5828">
        <v>-0.58211993418646102</v>
      </c>
      <c r="AG5828">
        <v>-0.115983699999999</v>
      </c>
      <c r="AH5828">
        <v>0.57615302699933801</v>
      </c>
      <c r="AI5828">
        <v>98.060088042067093</v>
      </c>
      <c r="AJ5828">
        <v>135.295159764369</v>
      </c>
      <c r="AK5828">
        <v>0.82720502111836802</v>
      </c>
    </row>
    <row r="5829" spans="1:37" x14ac:dyDescent="0.2">
      <c r="A5829" t="str">
        <f>"20200111153804577"</f>
        <v>20200111153804577</v>
      </c>
      <c r="B5829" t="str">
        <f>"1578728284569269"</f>
        <v>1578728284569269</v>
      </c>
      <c r="C5829" t="s">
        <v>37</v>
      </c>
      <c r="D5829">
        <v>5.66547</v>
      </c>
      <c r="E5829">
        <v>0.38255159999999899</v>
      </c>
      <c r="F5829" t="s">
        <v>53</v>
      </c>
      <c r="G5829">
        <v>-203.94110000000001</v>
      </c>
      <c r="H5829" s="1">
        <v>-4.6817819999999997E-6</v>
      </c>
      <c r="I5829">
        <v>-55.931369999999902</v>
      </c>
      <c r="J5829">
        <v>-210.27940000000001</v>
      </c>
      <c r="K5829">
        <v>1.109429</v>
      </c>
      <c r="L5829">
        <v>-62.379640000000002</v>
      </c>
      <c r="M5829">
        <v>0.99348760000000003</v>
      </c>
      <c r="N5829">
        <v>0</v>
      </c>
      <c r="O5829">
        <v>0.11304309999999999</v>
      </c>
      <c r="P5829">
        <v>0.880934199999999</v>
      </c>
      <c r="Q5829">
        <v>1.4109750000000001E-2</v>
      </c>
      <c r="R5829">
        <v>0.47302829999999901</v>
      </c>
      <c r="S5829">
        <v>2.2251590000000001</v>
      </c>
      <c r="T5829">
        <v>-0.38030609999999998</v>
      </c>
      <c r="U5829">
        <v>2.2172239999999999</v>
      </c>
      <c r="V5829">
        <v>-0.37069999999999997</v>
      </c>
      <c r="W5829">
        <v>2.297372E-2</v>
      </c>
      <c r="X5829">
        <v>0.92846849999999903</v>
      </c>
      <c r="Y5829">
        <v>-0.61764219999999903</v>
      </c>
      <c r="Z5829">
        <v>2.7836119999999999E-2</v>
      </c>
      <c r="AA5829">
        <v>0.78596650000000001</v>
      </c>
      <c r="AB5829">
        <v>31</v>
      </c>
      <c r="AC5829">
        <v>6.3383000000000003</v>
      </c>
      <c r="AD5829">
        <v>-1.1094336817820001</v>
      </c>
      <c r="AE5829">
        <v>6.4482699999999999</v>
      </c>
      <c r="AF5829">
        <v>-5.6059547254068196</v>
      </c>
      <c r="AG5829">
        <v>-1.1094336817820001</v>
      </c>
      <c r="AH5829">
        <v>6.9224501086350303</v>
      </c>
      <c r="AI5829">
        <v>97.099502930102503</v>
      </c>
      <c r="AJ5829">
        <v>129.00132544799999</v>
      </c>
      <c r="AK5829">
        <v>8.97651864500512</v>
      </c>
    </row>
    <row r="5830" spans="1:37" x14ac:dyDescent="0.2">
      <c r="A5830" t="str">
        <f>"20200111153804588"</f>
        <v>20200111153804588</v>
      </c>
      <c r="B5830" t="str">
        <f>"1578728284579030"</f>
        <v>1578728284579030</v>
      </c>
      <c r="C5830" t="s">
        <v>37</v>
      </c>
      <c r="D5830">
        <v>5.653816</v>
      </c>
      <c r="E5830">
        <v>0.38259409999999999</v>
      </c>
      <c r="F5830" t="s">
        <v>38</v>
      </c>
      <c r="G5830">
        <v>-209.6335</v>
      </c>
      <c r="H5830">
        <v>0.99836990000000003</v>
      </c>
      <c r="I5830">
        <v>-61.7314199999999</v>
      </c>
      <c r="J5830">
        <v>-210.12180000000001</v>
      </c>
      <c r="K5830">
        <v>1.10958</v>
      </c>
      <c r="L5830">
        <v>-62.358400000000003</v>
      </c>
      <c r="M5830">
        <v>0.9930698</v>
      </c>
      <c r="N5830">
        <v>0</v>
      </c>
      <c r="O5830">
        <v>0.116655199999999</v>
      </c>
      <c r="P5830">
        <v>0.87903199999999904</v>
      </c>
      <c r="Q5830">
        <v>1.4263369999999999E-2</v>
      </c>
      <c r="R5830">
        <v>0.47654960000000002</v>
      </c>
      <c r="S5830">
        <v>2.2168580000000002</v>
      </c>
      <c r="T5830">
        <v>-0.38116650000000002</v>
      </c>
      <c r="U5830">
        <v>2.2249759999999998</v>
      </c>
      <c r="V5830">
        <v>-0.37105189999999999</v>
      </c>
      <c r="W5830">
        <v>2.2963239999999999E-2</v>
      </c>
      <c r="X5830">
        <v>0.92832819999999905</v>
      </c>
      <c r="Y5830">
        <v>-0.61763630000000003</v>
      </c>
      <c r="Z5830">
        <v>2.7446580000000002E-2</v>
      </c>
      <c r="AA5830">
        <v>0.78598480000000004</v>
      </c>
      <c r="AB5830">
        <v>31</v>
      </c>
      <c r="AC5830">
        <v>0.488300000000009</v>
      </c>
      <c r="AD5830">
        <v>-0.11121009999999899</v>
      </c>
      <c r="AE5830">
        <v>0.62698000000000997</v>
      </c>
      <c r="AF5830">
        <v>-0.55486376576475904</v>
      </c>
      <c r="AG5830">
        <v>-0.11121009999999899</v>
      </c>
      <c r="AH5830">
        <v>0.54739357211289597</v>
      </c>
      <c r="AI5830">
        <v>98.120213789565796</v>
      </c>
      <c r="AJ5830">
        <v>135.38829772414101</v>
      </c>
      <c r="AK5830">
        <v>0.78732535059603903</v>
      </c>
    </row>
    <row r="5831" spans="1:37" x14ac:dyDescent="0.2">
      <c r="A5831" t="str">
        <f>"20200111153804600"</f>
        <v>20200111153804600</v>
      </c>
      <c r="B5831" t="str">
        <f>"1578728284588790"</f>
        <v>1578728284588790</v>
      </c>
      <c r="C5831" t="s">
        <v>37</v>
      </c>
      <c r="D5831">
        <v>5.8085100000000001</v>
      </c>
      <c r="E5831">
        <v>0.38273299999999999</v>
      </c>
      <c r="F5831" t="s">
        <v>53</v>
      </c>
      <c r="G5831">
        <v>-203.6651</v>
      </c>
      <c r="H5831" s="1">
        <v>-4.8458049999999998E-6</v>
      </c>
      <c r="I5831">
        <v>-55.825899999999997</v>
      </c>
      <c r="J5831">
        <v>-209.96619999999999</v>
      </c>
      <c r="K5831">
        <v>1.109747</v>
      </c>
      <c r="L5831">
        <v>-62.337159999999997</v>
      </c>
      <c r="M5831">
        <v>0.9926471</v>
      </c>
      <c r="N5831">
        <v>0</v>
      </c>
      <c r="O5831">
        <v>0.120197</v>
      </c>
      <c r="P5831">
        <v>0.87707029999999997</v>
      </c>
      <c r="Q5831">
        <v>1.4862899999999899E-2</v>
      </c>
      <c r="R5831">
        <v>0.48013210000000001</v>
      </c>
      <c r="S5831">
        <v>2.2079469999999999</v>
      </c>
      <c r="T5831">
        <v>-0.37943939999999998</v>
      </c>
      <c r="U5831">
        <v>2.23388699999999</v>
      </c>
      <c r="V5831">
        <v>-0.37154799999999999</v>
      </c>
      <c r="W5831">
        <v>2.3380359999999999E-2</v>
      </c>
      <c r="X5831">
        <v>0.92811929999999998</v>
      </c>
      <c r="Y5831">
        <v>-0.6180428</v>
      </c>
      <c r="Z5831">
        <v>2.69123E-2</v>
      </c>
      <c r="AA5831">
        <v>0.78568359999999904</v>
      </c>
      <c r="AB5831">
        <v>31</v>
      </c>
      <c r="AC5831">
        <v>6.3010999999999902</v>
      </c>
      <c r="AD5831">
        <v>-1.109751845805</v>
      </c>
      <c r="AE5831">
        <v>6.51126</v>
      </c>
      <c r="AF5831">
        <v>-5.6222564932661001</v>
      </c>
      <c r="AG5831">
        <v>-1.109751845805</v>
      </c>
      <c r="AH5831">
        <v>6.9341066636662996</v>
      </c>
      <c r="AI5831">
        <v>97.086305654486296</v>
      </c>
      <c r="AJ5831">
        <v>129.035552019504</v>
      </c>
      <c r="AK5831">
        <v>8.9957296790444907</v>
      </c>
    </row>
    <row r="5832" spans="1:37" x14ac:dyDescent="0.2">
      <c r="A5832" t="str">
        <f>"20200111153804612"</f>
        <v>20200111153804612</v>
      </c>
      <c r="B5832" t="str">
        <f>"1578728284609286"</f>
        <v>1578728284609286</v>
      </c>
      <c r="C5832" t="s">
        <v>37</v>
      </c>
      <c r="D5832">
        <v>5.7619249999999997</v>
      </c>
      <c r="E5832">
        <v>0.3829167</v>
      </c>
      <c r="F5832" t="s">
        <v>53</v>
      </c>
      <c r="G5832">
        <v>-203.4144</v>
      </c>
      <c r="H5832" s="1">
        <v>-5.0110789999999901E-6</v>
      </c>
      <c r="I5832">
        <v>-55.656659999999903</v>
      </c>
      <c r="J5832">
        <v>-209.8082</v>
      </c>
      <c r="K5832">
        <v>1.109947</v>
      </c>
      <c r="L5832">
        <v>-62.314480000000003</v>
      </c>
      <c r="M5832">
        <v>0.99220900000000001</v>
      </c>
      <c r="N5832">
        <v>0</v>
      </c>
      <c r="O5832">
        <v>0.123760799999999</v>
      </c>
      <c r="P5832">
        <v>0.87504789999999999</v>
      </c>
      <c r="Q5832">
        <v>1.5465080000000001E-2</v>
      </c>
      <c r="R5832">
        <v>0.48378929999999998</v>
      </c>
      <c r="S5832">
        <v>2.1992189999999998</v>
      </c>
      <c r="T5832">
        <v>-0.37250359999999899</v>
      </c>
      <c r="U5832">
        <v>2.2424009999999899</v>
      </c>
      <c r="V5832">
        <v>-0.37211169999999999</v>
      </c>
      <c r="W5832">
        <v>2.3793189999999999E-2</v>
      </c>
      <c r="X5832">
        <v>0.92788300000000001</v>
      </c>
      <c r="Y5832">
        <v>-0.61842269999999999</v>
      </c>
      <c r="Z5832">
        <v>2.6014969999999998E-2</v>
      </c>
      <c r="AA5832">
        <v>0.78541490000000003</v>
      </c>
      <c r="AB5832">
        <v>31</v>
      </c>
      <c r="AC5832">
        <v>6.3937999999999899</v>
      </c>
      <c r="AD5832">
        <v>-1.109952011079</v>
      </c>
      <c r="AE5832">
        <v>6.6578200000000001</v>
      </c>
      <c r="AF5832">
        <v>-5.7323589872765597</v>
      </c>
      <c r="AG5832">
        <v>-1.109952011079</v>
      </c>
      <c r="AH5832">
        <v>7.0665229478233504</v>
      </c>
      <c r="AI5832">
        <v>96.954768119575107</v>
      </c>
      <c r="AJ5832">
        <v>129.04894271274199</v>
      </c>
      <c r="AK5832">
        <v>9.1666613114057292</v>
      </c>
    </row>
    <row r="5833" spans="1:37" x14ac:dyDescent="0.2">
      <c r="A5833" t="str">
        <f>"20200111153804627"</f>
        <v>20200111153804627</v>
      </c>
      <c r="B5833" t="str">
        <f>"1578728284619048"</f>
        <v>1578728284619048</v>
      </c>
      <c r="C5833" t="s">
        <v>37</v>
      </c>
      <c r="D5833">
        <v>5.6738150000000003</v>
      </c>
      <c r="E5833">
        <v>0.38289820000000002</v>
      </c>
      <c r="F5833" t="s">
        <v>53</v>
      </c>
      <c r="G5833">
        <v>-203.17099999999999</v>
      </c>
      <c r="H5833" s="1">
        <v>-5.1712029999999996E-6</v>
      </c>
      <c r="I5833">
        <v>-55.49391</v>
      </c>
      <c r="J5833">
        <v>-209.59129999999999</v>
      </c>
      <c r="K5833">
        <v>1.110195</v>
      </c>
      <c r="L5833">
        <v>-62.282440000000001</v>
      </c>
      <c r="M5833">
        <v>0.99157600000000001</v>
      </c>
      <c r="N5833">
        <v>0</v>
      </c>
      <c r="O5833">
        <v>0.12873229999999999</v>
      </c>
      <c r="P5833">
        <v>0.87190489999999998</v>
      </c>
      <c r="Q5833">
        <v>1.6927370000000001E-2</v>
      </c>
      <c r="R5833">
        <v>0.48938300000000001</v>
      </c>
      <c r="S5833">
        <v>2.1903990000000002</v>
      </c>
      <c r="T5833">
        <v>-0.36630499999999999</v>
      </c>
      <c r="U5833">
        <v>2.2509160000000001</v>
      </c>
      <c r="V5833">
        <v>-0.37344270000000002</v>
      </c>
      <c r="W5833">
        <v>2.4999219999999999E-2</v>
      </c>
      <c r="X5833">
        <v>0.92731629999999998</v>
      </c>
      <c r="Y5833">
        <v>-0.61770570000000002</v>
      </c>
      <c r="Z5833">
        <v>2.492109E-2</v>
      </c>
      <c r="AA5833">
        <v>0.7860144</v>
      </c>
      <c r="AB5833">
        <v>31</v>
      </c>
      <c r="AC5833">
        <v>6.4202999999999903</v>
      </c>
      <c r="AD5833">
        <v>-1.1102001712030001</v>
      </c>
      <c r="AE5833">
        <v>6.7885299999999997</v>
      </c>
      <c r="AF5833">
        <v>-5.8232376658293798</v>
      </c>
      <c r="AG5833">
        <v>-1.1102001712030001</v>
      </c>
      <c r="AH5833">
        <v>7.1400590116417799</v>
      </c>
      <c r="AI5833">
        <v>96.870771581789398</v>
      </c>
      <c r="AJ5833">
        <v>129.199747633051</v>
      </c>
      <c r="AK5833">
        <v>9.2802523684757698</v>
      </c>
    </row>
    <row r="5834" spans="1:37" x14ac:dyDescent="0.2">
      <c r="A5834" t="str">
        <f>"20200111153804640"</f>
        <v>20200111153804640</v>
      </c>
      <c r="B5834" t="str">
        <f>"1578728284628806"</f>
        <v>1578728284628806</v>
      </c>
      <c r="C5834" t="s">
        <v>37</v>
      </c>
      <c r="D5834">
        <v>5.7166839999999999</v>
      </c>
      <c r="E5834">
        <v>0.38289459999999997</v>
      </c>
      <c r="F5834" t="s">
        <v>53</v>
      </c>
      <c r="G5834">
        <v>-202.90090000000001</v>
      </c>
      <c r="H5834" s="1">
        <v>-5.3482790000000002E-6</v>
      </c>
      <c r="I5834">
        <v>-55.316009999999999</v>
      </c>
      <c r="J5834">
        <v>-209.42779999999999</v>
      </c>
      <c r="K5834">
        <v>1.110366</v>
      </c>
      <c r="L5834">
        <v>-62.257659999999902</v>
      </c>
      <c r="M5834">
        <v>0.9910738</v>
      </c>
      <c r="N5834">
        <v>0</v>
      </c>
      <c r="O5834">
        <v>0.1325414</v>
      </c>
      <c r="P5834">
        <v>0.86965079999999995</v>
      </c>
      <c r="Q5834">
        <v>1.7836930000000001E-2</v>
      </c>
      <c r="R5834">
        <v>0.49334499999999998</v>
      </c>
      <c r="S5834">
        <v>2.17600999999999</v>
      </c>
      <c r="T5834">
        <v>-0.36108370000000001</v>
      </c>
      <c r="U5834">
        <v>2.2657780000000001</v>
      </c>
      <c r="V5834">
        <v>-0.3741255</v>
      </c>
      <c r="W5834">
        <v>2.573189E-2</v>
      </c>
      <c r="X5834">
        <v>0.92702099999999898</v>
      </c>
      <c r="Y5834">
        <v>-0.61995639999999996</v>
      </c>
      <c r="Z5834">
        <v>2.4287739999999999E-2</v>
      </c>
      <c r="AA5834">
        <v>0.78426030000000002</v>
      </c>
      <c r="AB5834">
        <v>31</v>
      </c>
      <c r="AC5834">
        <v>6.5268999999999799</v>
      </c>
      <c r="AD5834">
        <v>-1.1103713482790001</v>
      </c>
      <c r="AE5834">
        <v>6.9416499999999903</v>
      </c>
      <c r="AF5834">
        <v>-5.93462636362539</v>
      </c>
      <c r="AG5834">
        <v>-1.1103713482790001</v>
      </c>
      <c r="AH5834">
        <v>7.2904475678789504</v>
      </c>
      <c r="AI5834">
        <v>96.736430142843403</v>
      </c>
      <c r="AJ5834">
        <v>129.14654435540101</v>
      </c>
      <c r="AK5834">
        <v>9.4659040955900604</v>
      </c>
    </row>
    <row r="5835" spans="1:37" x14ac:dyDescent="0.2">
      <c r="A5835" t="str">
        <f>"20200111153804653"</f>
        <v>20200111153804653</v>
      </c>
      <c r="B5835" t="str">
        <f>"1578728284649252"</f>
        <v>1578728284649252</v>
      </c>
      <c r="C5835" t="s">
        <v>37</v>
      </c>
      <c r="D5835">
        <v>5.6722779999999897</v>
      </c>
      <c r="E5835">
        <v>0.38280500000000001</v>
      </c>
      <c r="F5835" t="s">
        <v>53</v>
      </c>
      <c r="G5835">
        <v>-202.70580000000001</v>
      </c>
      <c r="H5835" s="1">
        <v>-5.4747759999999998E-6</v>
      </c>
      <c r="I5835">
        <v>-55.1937</v>
      </c>
      <c r="J5835">
        <v>-209.25040000000001</v>
      </c>
      <c r="K5835">
        <v>1.1105119999999999</v>
      </c>
      <c r="L5835">
        <v>-62.229430000000001</v>
      </c>
      <c r="M5835">
        <v>0.99048359999999902</v>
      </c>
      <c r="N5835">
        <v>0</v>
      </c>
      <c r="O5835">
        <v>0.1368817</v>
      </c>
      <c r="P5835">
        <v>0.86690159999999905</v>
      </c>
      <c r="Q5835">
        <v>1.8507329999999999E-2</v>
      </c>
      <c r="R5835">
        <v>0.49813570000000001</v>
      </c>
      <c r="S5835">
        <v>2.1658330000000001</v>
      </c>
      <c r="T5835">
        <v>-0.35776560000000002</v>
      </c>
      <c r="U5835">
        <v>2.2760310000000001</v>
      </c>
      <c r="V5835">
        <v>-0.3752006</v>
      </c>
      <c r="W5835">
        <v>2.6240030000000001E-2</v>
      </c>
      <c r="X5835">
        <v>0.92657210000000001</v>
      </c>
      <c r="Y5835">
        <v>-0.62021219999999999</v>
      </c>
      <c r="Z5835">
        <v>2.3566400000000001E-2</v>
      </c>
      <c r="AA5835">
        <v>0.78408</v>
      </c>
      <c r="AB5835">
        <v>31</v>
      </c>
      <c r="AC5835">
        <v>6.5446</v>
      </c>
      <c r="AD5835">
        <v>-1.110517474776</v>
      </c>
      <c r="AE5835">
        <v>7.03573</v>
      </c>
      <c r="AF5835">
        <v>-5.9935114114200703</v>
      </c>
      <c r="AG5835">
        <v>-1.110517474776</v>
      </c>
      <c r="AH5835">
        <v>7.3480037233995503</v>
      </c>
      <c r="AI5835">
        <v>96.679705193988397</v>
      </c>
      <c r="AJ5835">
        <v>129.20293033935801</v>
      </c>
      <c r="AK5835">
        <v>9.5471769031320992</v>
      </c>
    </row>
    <row r="5836" spans="1:37" x14ac:dyDescent="0.2">
      <c r="A5836" t="str">
        <f>"20200111153804665"</f>
        <v>20200111153804665</v>
      </c>
      <c r="B5836" t="str">
        <f>"1578728284658994"</f>
        <v>1578728284658994</v>
      </c>
      <c r="C5836" t="s">
        <v>37</v>
      </c>
      <c r="D5836">
        <v>5.7095549999999999</v>
      </c>
      <c r="E5836">
        <v>0.38275679999999901</v>
      </c>
      <c r="F5836" t="s">
        <v>53</v>
      </c>
      <c r="G5836">
        <v>-202.53659999999999</v>
      </c>
      <c r="H5836" s="1">
        <v>-5.5748100000000002E-6</v>
      </c>
      <c r="I5836">
        <v>-55.09169</v>
      </c>
      <c r="J5836">
        <v>-209.07910000000001</v>
      </c>
      <c r="K5836">
        <v>1.110638</v>
      </c>
      <c r="L5836">
        <v>-62.201540000000001</v>
      </c>
      <c r="M5836">
        <v>0.98988129999999996</v>
      </c>
      <c r="N5836">
        <v>0</v>
      </c>
      <c r="O5836">
        <v>0.14117189999999999</v>
      </c>
      <c r="P5836">
        <v>0.8642685</v>
      </c>
      <c r="Q5836">
        <v>1.9260320000000001E-2</v>
      </c>
      <c r="R5836">
        <v>0.50266219999999995</v>
      </c>
      <c r="S5836">
        <v>2.1529539999999998</v>
      </c>
      <c r="T5836">
        <v>-0.35611739999999997</v>
      </c>
      <c r="U5836">
        <v>2.28891</v>
      </c>
      <c r="V5836">
        <v>-0.376054099999999</v>
      </c>
      <c r="W5836">
        <v>2.6853499999999999E-2</v>
      </c>
      <c r="X5836">
        <v>0.92620849999999899</v>
      </c>
      <c r="Y5836">
        <v>-0.62140580000000001</v>
      </c>
      <c r="Z5836">
        <v>2.3041059999999999E-2</v>
      </c>
      <c r="AA5836">
        <v>0.78315000000000001</v>
      </c>
      <c r="AB5836">
        <v>31</v>
      </c>
      <c r="AC5836">
        <v>6.5425000000000102</v>
      </c>
      <c r="AD5836">
        <v>-1.1106435748100001</v>
      </c>
      <c r="AE5836">
        <v>7.1098499999999998</v>
      </c>
      <c r="AF5836">
        <v>-6.0351734878421404</v>
      </c>
      <c r="AG5836">
        <v>-1.1106435748100001</v>
      </c>
      <c r="AH5836">
        <v>7.3832205638304096</v>
      </c>
      <c r="AI5836">
        <v>96.643224024718606</v>
      </c>
      <c r="AJ5836">
        <v>129.263164104602</v>
      </c>
      <c r="AK5836">
        <v>9.6004580136984892</v>
      </c>
    </row>
    <row r="5837" spans="1:37" x14ac:dyDescent="0.2">
      <c r="A5837" t="str">
        <f>"20200111153804677"</f>
        <v>20200111153804677</v>
      </c>
      <c r="B5837" t="str">
        <f>"1578728284668756"</f>
        <v>1578728284668756</v>
      </c>
      <c r="C5837" t="s">
        <v>37</v>
      </c>
      <c r="D5837">
        <v>5.7241589999999896</v>
      </c>
      <c r="E5837">
        <v>0.38267640000000003</v>
      </c>
      <c r="F5837" t="s">
        <v>53</v>
      </c>
      <c r="G5837">
        <v>-202.36009999999999</v>
      </c>
      <c r="H5837" s="1">
        <v>-5.6589119999999996E-6</v>
      </c>
      <c r="I5837">
        <v>-54.980829999999997</v>
      </c>
      <c r="J5837">
        <v>-208.9143</v>
      </c>
      <c r="K5837">
        <v>1.110743</v>
      </c>
      <c r="L5837">
        <v>-62.174009999999903</v>
      </c>
      <c r="M5837">
        <v>0.98926780000000003</v>
      </c>
      <c r="N5837">
        <v>0</v>
      </c>
      <c r="O5837">
        <v>0.14540739999999999</v>
      </c>
      <c r="P5837">
        <v>0.86165449999999999</v>
      </c>
      <c r="Q5837">
        <v>1.994603E-2</v>
      </c>
      <c r="R5837">
        <v>0.50710310000000003</v>
      </c>
      <c r="S5837">
        <v>2.1408839999999998</v>
      </c>
      <c r="T5837">
        <v>-0.3538867</v>
      </c>
      <c r="U5837">
        <v>2.300751</v>
      </c>
      <c r="V5837">
        <v>-0.37687670000000001</v>
      </c>
      <c r="W5837">
        <v>2.742168E-2</v>
      </c>
      <c r="X5837">
        <v>0.92585740000000005</v>
      </c>
      <c r="Y5837">
        <v>-0.62232529999999997</v>
      </c>
      <c r="Z5837">
        <v>2.2467480000000001E-2</v>
      </c>
      <c r="AA5837">
        <v>0.78243629999999997</v>
      </c>
      <c r="AB5837">
        <v>31</v>
      </c>
      <c r="AC5837">
        <v>6.5541999999999998</v>
      </c>
      <c r="AD5837">
        <v>-1.1107486589119999</v>
      </c>
      <c r="AE5837">
        <v>7.1931799999999901</v>
      </c>
      <c r="AF5837">
        <v>-6.08431903459722</v>
      </c>
      <c r="AG5837">
        <v>-1.1107486589119999</v>
      </c>
      <c r="AH5837">
        <v>7.4337278521609402</v>
      </c>
      <c r="AI5837">
        <v>96.595717417524995</v>
      </c>
      <c r="AJ5837">
        <v>129.29946131387001</v>
      </c>
      <c r="AK5837">
        <v>9.6702125353081101</v>
      </c>
    </row>
    <row r="5838" spans="1:37" x14ac:dyDescent="0.2">
      <c r="A5838" t="str">
        <f>"20200111153804691"</f>
        <v>20200111153804691</v>
      </c>
      <c r="B5838" t="str">
        <f>"1578728284678515"</f>
        <v>1578728284678515</v>
      </c>
      <c r="C5838" t="s">
        <v>37</v>
      </c>
      <c r="D5838">
        <v>5.7519839999999904</v>
      </c>
      <c r="E5838">
        <v>0.38265650000000001</v>
      </c>
      <c r="F5838" t="s">
        <v>38</v>
      </c>
      <c r="G5838">
        <v>-208.28899999999999</v>
      </c>
      <c r="H5838">
        <v>1.0073840000000001</v>
      </c>
      <c r="I5838">
        <v>-61.494840000000003</v>
      </c>
      <c r="J5838">
        <v>-208.74119999999999</v>
      </c>
      <c r="K5838">
        <v>1.110851</v>
      </c>
      <c r="L5838">
        <v>-62.143919999999902</v>
      </c>
      <c r="M5838">
        <v>0.98857950000000006</v>
      </c>
      <c r="N5838">
        <v>0</v>
      </c>
      <c r="O5838">
        <v>0.1500157</v>
      </c>
      <c r="P5838">
        <v>0.85882239999999999</v>
      </c>
      <c r="Q5838">
        <v>2.0285259999999999E-2</v>
      </c>
      <c r="R5838">
        <v>0.51187159999999998</v>
      </c>
      <c r="S5838">
        <v>2.1287539999999998</v>
      </c>
      <c r="T5838">
        <v>-0.35192899999999999</v>
      </c>
      <c r="U5838">
        <v>2.3126530000000001</v>
      </c>
      <c r="V5838">
        <v>-0.37770809999999999</v>
      </c>
      <c r="W5838">
        <v>2.7647129999999999E-2</v>
      </c>
      <c r="X5838">
        <v>0.9255118</v>
      </c>
      <c r="Y5838">
        <v>-0.62296680000000004</v>
      </c>
      <c r="Z5838">
        <v>2.1849E-2</v>
      </c>
      <c r="AA5838">
        <v>0.7819431</v>
      </c>
      <c r="AB5838">
        <v>31</v>
      </c>
      <c r="AC5838">
        <v>0.45219999999997601</v>
      </c>
      <c r="AD5838">
        <v>-0.103466999999999</v>
      </c>
      <c r="AE5838">
        <v>0.64907999999999</v>
      </c>
      <c r="AF5838">
        <v>-0.56423672625961996</v>
      </c>
      <c r="AG5838">
        <v>-0.103466999999999</v>
      </c>
      <c r="AH5838">
        <v>0.53530636875473903</v>
      </c>
      <c r="AI5838">
        <v>97.577648169585203</v>
      </c>
      <c r="AJ5838">
        <v>136.50717606716501</v>
      </c>
      <c r="AK5838">
        <v>0.78461545471559402</v>
      </c>
    </row>
    <row r="5839" spans="1:37" x14ac:dyDescent="0.2">
      <c r="A5839" t="str">
        <f>"20200111153804704"</f>
        <v>20200111153804704</v>
      </c>
      <c r="B5839" t="str">
        <f>"1578728284699012"</f>
        <v>1578728284699012</v>
      </c>
      <c r="C5839" t="s">
        <v>37</v>
      </c>
      <c r="D5839">
        <v>5.7880839999999996</v>
      </c>
      <c r="E5839">
        <v>0.38248979999999999</v>
      </c>
      <c r="F5839" t="s">
        <v>53</v>
      </c>
      <c r="G5839">
        <v>-202.0446</v>
      </c>
      <c r="H5839" s="1">
        <v>-5.80859799999999E-6</v>
      </c>
      <c r="I5839">
        <v>-54.78716</v>
      </c>
      <c r="J5839">
        <v>-208.54810000000001</v>
      </c>
      <c r="K5839">
        <v>1.1109739999999999</v>
      </c>
      <c r="L5839">
        <v>-62.1096199999999</v>
      </c>
      <c r="M5839">
        <v>0.98777029999999999</v>
      </c>
      <c r="N5839">
        <v>0</v>
      </c>
      <c r="O5839">
        <v>0.1552547</v>
      </c>
      <c r="P5839">
        <v>0.85572389999999998</v>
      </c>
      <c r="Q5839">
        <v>2.0798090000000002E-2</v>
      </c>
      <c r="R5839">
        <v>0.51701459999999999</v>
      </c>
      <c r="S5839">
        <v>2.1159819999999998</v>
      </c>
      <c r="T5839">
        <v>-0.35100320000000002</v>
      </c>
      <c r="U5839">
        <v>2.324554</v>
      </c>
      <c r="V5839">
        <v>-0.37837209999999899</v>
      </c>
      <c r="W5839">
        <v>2.8035609999999999E-2</v>
      </c>
      <c r="X5839">
        <v>0.92522890000000002</v>
      </c>
      <c r="Y5839">
        <v>-0.62321249999999995</v>
      </c>
      <c r="Z5839">
        <v>2.119443E-2</v>
      </c>
      <c r="AA5839">
        <v>0.7817653</v>
      </c>
      <c r="AB5839">
        <v>31</v>
      </c>
      <c r="AC5839">
        <v>6.5034999999999998</v>
      </c>
      <c r="AD5839">
        <v>-1.1109798085979901</v>
      </c>
      <c r="AE5839">
        <v>7.3224599999999898</v>
      </c>
      <c r="AF5839">
        <v>-6.1447755388990597</v>
      </c>
      <c r="AG5839">
        <v>-1.1109798085979901</v>
      </c>
      <c r="AH5839">
        <v>7.4655180340904996</v>
      </c>
      <c r="AI5839">
        <v>96.554517415506695</v>
      </c>
      <c r="AJ5839">
        <v>129.45737359035101</v>
      </c>
      <c r="AK5839">
        <v>9.7327540848361807</v>
      </c>
    </row>
    <row r="5840" spans="1:37" x14ac:dyDescent="0.2">
      <c r="A5840" t="str">
        <f>"20200111153804718"</f>
        <v>20200111153804718</v>
      </c>
      <c r="B5840" t="str">
        <f>"1578728284708770"</f>
        <v>1578728284708770</v>
      </c>
      <c r="C5840" t="s">
        <v>37</v>
      </c>
      <c r="D5840">
        <v>5.7630790000000003</v>
      </c>
      <c r="E5840">
        <v>0.3826562</v>
      </c>
      <c r="F5840" t="s">
        <v>53</v>
      </c>
      <c r="G5840">
        <v>-201.8579</v>
      </c>
      <c r="H5840" s="1">
        <v>-5.8985280000000003E-6</v>
      </c>
      <c r="I5840">
        <v>-54.663679999999999</v>
      </c>
      <c r="J5840">
        <v>-208.35650000000001</v>
      </c>
      <c r="K5840">
        <v>1.11111</v>
      </c>
      <c r="L5840">
        <v>-62.074489999999997</v>
      </c>
      <c r="M5840">
        <v>0.98691930000000005</v>
      </c>
      <c r="N5840">
        <v>0</v>
      </c>
      <c r="O5840">
        <v>0.16057449999999901</v>
      </c>
      <c r="P5840">
        <v>0.85231049999999997</v>
      </c>
      <c r="Q5840">
        <v>2.100546E-2</v>
      </c>
      <c r="R5840">
        <v>0.52261429999999998</v>
      </c>
      <c r="S5840">
        <v>2.1013029999999899</v>
      </c>
      <c r="T5840">
        <v>-0.34894150000000002</v>
      </c>
      <c r="U5840">
        <v>2.338654</v>
      </c>
      <c r="V5840">
        <v>-0.37946659999999999</v>
      </c>
      <c r="W5840">
        <v>2.8104250000000001E-2</v>
      </c>
      <c r="X5840">
        <v>0.92477849999999995</v>
      </c>
      <c r="Y5840">
        <v>-0.62412080000000003</v>
      </c>
      <c r="Z5840">
        <v>2.0515220000000001E-2</v>
      </c>
      <c r="AA5840">
        <v>0.78105849999999999</v>
      </c>
      <c r="AB5840">
        <v>31</v>
      </c>
      <c r="AC5840">
        <v>6.4985999999999997</v>
      </c>
      <c r="AD5840">
        <v>-1.1111158985280001</v>
      </c>
      <c r="AE5840">
        <v>7.4108099999999899</v>
      </c>
      <c r="AF5840">
        <v>-6.1923181110103096</v>
      </c>
      <c r="AG5840">
        <v>-1.1111158985280001</v>
      </c>
      <c r="AH5840">
        <v>7.5089431457347402</v>
      </c>
      <c r="AI5840">
        <v>96.512748929205102</v>
      </c>
      <c r="AJ5840">
        <v>129.51100653869301</v>
      </c>
      <c r="AK5840">
        <v>9.7961017396607701</v>
      </c>
    </row>
    <row r="5841" spans="1:37" x14ac:dyDescent="0.2">
      <c r="A5841" t="str">
        <f>"20200111153804730"</f>
        <v>20200111153804730</v>
      </c>
      <c r="B5841" t="str">
        <f>"1578728284718530"</f>
        <v>1578728284718530</v>
      </c>
      <c r="C5841" t="s">
        <v>37</v>
      </c>
      <c r="D5841">
        <v>5.7440009999999999</v>
      </c>
      <c r="E5841">
        <v>0.38281340000000003</v>
      </c>
      <c r="F5841" t="s">
        <v>38</v>
      </c>
      <c r="G5841">
        <v>-207.75389999999999</v>
      </c>
      <c r="H5841">
        <v>1.010586</v>
      </c>
      <c r="I5841">
        <v>-61.395530000000001</v>
      </c>
      <c r="J5841">
        <v>-208.20849999999999</v>
      </c>
      <c r="K5841">
        <v>1.111219</v>
      </c>
      <c r="L5841">
        <v>-62.046230000000001</v>
      </c>
      <c r="M5841">
        <v>0.98622359999999898</v>
      </c>
      <c r="N5841">
        <v>0</v>
      </c>
      <c r="O5841">
        <v>0.164793</v>
      </c>
      <c r="P5841">
        <v>0.84969649999999997</v>
      </c>
      <c r="Q5841">
        <v>2.1293159999999998E-2</v>
      </c>
      <c r="R5841">
        <v>0.52684219999999904</v>
      </c>
      <c r="S5841">
        <v>2.0865629999999999</v>
      </c>
      <c r="T5841">
        <v>-0.34810190000000002</v>
      </c>
      <c r="U5841">
        <v>2.3514400000000002</v>
      </c>
      <c r="V5841">
        <v>-0.38012020000000002</v>
      </c>
      <c r="W5841">
        <v>2.8281549999999999E-2</v>
      </c>
      <c r="X5841">
        <v>0.92450460000000001</v>
      </c>
      <c r="Y5841">
        <v>-0.62565550000000003</v>
      </c>
      <c r="Z5841">
        <v>2.009499E-2</v>
      </c>
      <c r="AA5841">
        <v>0.77984059999999999</v>
      </c>
      <c r="AB5841">
        <v>31</v>
      </c>
      <c r="AC5841">
        <v>0.454599999999999</v>
      </c>
      <c r="AD5841">
        <v>-0.100632999999999</v>
      </c>
      <c r="AE5841">
        <v>0.65069999999999295</v>
      </c>
      <c r="AF5841">
        <v>-0.55791207313188496</v>
      </c>
      <c r="AG5841">
        <v>-0.100632999999999</v>
      </c>
      <c r="AH5841">
        <v>0.54683618752743302</v>
      </c>
      <c r="AI5841">
        <v>97.340198898715997</v>
      </c>
      <c r="AJ5841">
        <v>135.57441162035801</v>
      </c>
      <c r="AK5841">
        <v>0.78766915518182901</v>
      </c>
    </row>
    <row r="5842" spans="1:37" x14ac:dyDescent="0.2">
      <c r="A5842" t="str">
        <f>"20200111153804741"</f>
        <v>20200111153804741</v>
      </c>
      <c r="B5842" t="str">
        <f>"1578728284739027"</f>
        <v>1578728284739027</v>
      </c>
      <c r="C5842" t="s">
        <v>37</v>
      </c>
      <c r="D5842">
        <v>5.8578080000000003</v>
      </c>
      <c r="E5842">
        <v>0.38301039999999997</v>
      </c>
      <c r="F5842" t="s">
        <v>53</v>
      </c>
      <c r="G5842">
        <v>-201.56970000000001</v>
      </c>
      <c r="H5842" s="1">
        <v>-6.0340920000000002E-6</v>
      </c>
      <c r="I5842">
        <v>-54.493940000000002</v>
      </c>
      <c r="J5842">
        <v>-208.0489</v>
      </c>
      <c r="K5842">
        <v>1.1113469999999901</v>
      </c>
      <c r="L5842">
        <v>-62.01538</v>
      </c>
      <c r="M5842">
        <v>0.98544789999999904</v>
      </c>
      <c r="N5842">
        <v>0</v>
      </c>
      <c r="O5842">
        <v>0.1693693</v>
      </c>
      <c r="P5842">
        <v>0.84705330000000001</v>
      </c>
      <c r="Q5842">
        <v>2.1321619999999999E-2</v>
      </c>
      <c r="R5842">
        <v>0.53108009999999894</v>
      </c>
      <c r="S5842">
        <v>2.0754389999999998</v>
      </c>
      <c r="T5842">
        <v>-0.34739920000000002</v>
      </c>
      <c r="U5842">
        <v>2.3610530000000001</v>
      </c>
      <c r="V5842">
        <v>-0.38045619999999902</v>
      </c>
      <c r="W5842">
        <v>2.819719E-2</v>
      </c>
      <c r="X5842">
        <v>0.924369</v>
      </c>
      <c r="Y5842">
        <v>-0.62572249999999996</v>
      </c>
      <c r="Z5842">
        <v>1.952578E-2</v>
      </c>
      <c r="AA5842">
        <v>0.77980130000000003</v>
      </c>
      <c r="AB5842">
        <v>31</v>
      </c>
      <c r="AC5842">
        <v>6.4791999999999899</v>
      </c>
      <c r="AD5842">
        <v>-1.1113530340919999</v>
      </c>
      <c r="AE5842">
        <v>7.5214400000000001</v>
      </c>
      <c r="AF5842">
        <v>-6.2370952062938398</v>
      </c>
      <c r="AG5842">
        <v>-1.1113530340919999</v>
      </c>
      <c r="AH5842">
        <v>7.5647998994597998</v>
      </c>
      <c r="AI5842">
        <v>96.466971903441205</v>
      </c>
      <c r="AJ5842">
        <v>129.505209982401</v>
      </c>
      <c r="AK5842">
        <v>9.8672518817361805</v>
      </c>
    </row>
    <row r="5843" spans="1:37" x14ac:dyDescent="0.2">
      <c r="A5843" t="str">
        <f>"20200111153804753"</f>
        <v>20200111153804753</v>
      </c>
      <c r="B5843" t="str">
        <f>"1578728284748786"</f>
        <v>1578728284748786</v>
      </c>
      <c r="C5843" t="s">
        <v>37</v>
      </c>
      <c r="D5843">
        <v>5.8219880000000002</v>
      </c>
      <c r="E5843">
        <v>0.38301039999999997</v>
      </c>
      <c r="F5843" t="s">
        <v>53</v>
      </c>
      <c r="G5843">
        <v>-201.4522</v>
      </c>
      <c r="H5843" s="1">
        <v>-6.0869519999999999E-6</v>
      </c>
      <c r="I5843">
        <v>-54.440259999999903</v>
      </c>
      <c r="J5843">
        <v>-207.88890000000001</v>
      </c>
      <c r="K5843">
        <v>1.1114850000000001</v>
      </c>
      <c r="L5843">
        <v>-61.983280000000001</v>
      </c>
      <c r="M5843">
        <v>0.98462739999999904</v>
      </c>
      <c r="N5843">
        <v>0</v>
      </c>
      <c r="O5843">
        <v>0.17407549999999999</v>
      </c>
      <c r="P5843">
        <v>0.844337</v>
      </c>
      <c r="Q5843">
        <v>2.1727679999999999E-2</v>
      </c>
      <c r="R5843">
        <v>0.53537179999999995</v>
      </c>
      <c r="S5843">
        <v>2.06425499999999</v>
      </c>
      <c r="T5843">
        <v>-0.34776659999999998</v>
      </c>
      <c r="U5843">
        <v>2.370422</v>
      </c>
      <c r="V5843">
        <v>-0.38074839999999999</v>
      </c>
      <c r="W5843">
        <v>2.8480800000000001E-2</v>
      </c>
      <c r="X5843">
        <v>0.92423999999999995</v>
      </c>
      <c r="Y5843">
        <v>-0.6256408</v>
      </c>
      <c r="Z5843">
        <v>1.8990099999999999E-2</v>
      </c>
      <c r="AA5843">
        <v>0.77988009999999997</v>
      </c>
      <c r="AB5843">
        <v>31</v>
      </c>
      <c r="AC5843">
        <v>6.4367000000000001</v>
      </c>
      <c r="AD5843">
        <v>-1.1114910869520001</v>
      </c>
      <c r="AE5843">
        <v>7.5430200000000101</v>
      </c>
      <c r="AF5843">
        <v>-6.2289820258819502</v>
      </c>
      <c r="AG5843">
        <v>-1.1114910869520001</v>
      </c>
      <c r="AH5843">
        <v>7.5566535863772799</v>
      </c>
      <c r="AI5843">
        <v>96.475264095952696</v>
      </c>
      <c r="AJ5843">
        <v>129.49890531621199</v>
      </c>
      <c r="AK5843">
        <v>9.8558938173888002</v>
      </c>
    </row>
    <row r="5844" spans="1:37" x14ac:dyDescent="0.2">
      <c r="A5844" t="str">
        <f>"20200111153804765"</f>
        <v>20200111153804765</v>
      </c>
      <c r="B5844" t="str">
        <f>"1578728284758545"</f>
        <v>1578728284758545</v>
      </c>
      <c r="C5844" t="s">
        <v>37</v>
      </c>
      <c r="D5844">
        <v>5.7688370000000004</v>
      </c>
      <c r="E5844">
        <v>0.41350920000000002</v>
      </c>
      <c r="F5844" t="s">
        <v>53</v>
      </c>
      <c r="G5844">
        <v>-201.29329999999999</v>
      </c>
      <c r="H5844" s="1">
        <v>-6.1643209999999902E-6</v>
      </c>
      <c r="I5844">
        <v>-54.329909999999998</v>
      </c>
      <c r="J5844">
        <v>-207.7347</v>
      </c>
      <c r="K5844">
        <v>1.1116170000000001</v>
      </c>
      <c r="L5844">
        <v>-61.951689999999999</v>
      </c>
      <c r="M5844">
        <v>0.98380429999999996</v>
      </c>
      <c r="N5844">
        <v>0</v>
      </c>
      <c r="O5844">
        <v>0.1786681</v>
      </c>
      <c r="P5844">
        <v>0.84164799999999995</v>
      </c>
      <c r="Q5844">
        <v>2.2053719999999999E-2</v>
      </c>
      <c r="R5844">
        <v>0.53957599999999994</v>
      </c>
      <c r="S5844">
        <v>2.0521090000000002</v>
      </c>
      <c r="T5844">
        <v>-0.3458232</v>
      </c>
      <c r="U5844">
        <v>2.3812259999999998</v>
      </c>
      <c r="V5844">
        <v>-0.38106119999999999</v>
      </c>
      <c r="W5844">
        <v>2.868718E-2</v>
      </c>
      <c r="X5844">
        <v>0.92410460000000005</v>
      </c>
      <c r="Y5844">
        <v>-0.62609019999999904</v>
      </c>
      <c r="Z5844">
        <v>1.83819E-2</v>
      </c>
      <c r="AA5844">
        <v>0.77953399999999995</v>
      </c>
      <c r="AB5844">
        <v>31</v>
      </c>
      <c r="AC5844">
        <v>6.4414000000000096</v>
      </c>
      <c r="AD5844">
        <v>-1.1116231643209999</v>
      </c>
      <c r="AE5844">
        <v>7.6217800000000002</v>
      </c>
      <c r="AF5844">
        <v>-6.2703166872777096</v>
      </c>
      <c r="AG5844">
        <v>-1.1116231643209999</v>
      </c>
      <c r="AH5844">
        <v>7.6052700299586604</v>
      </c>
      <c r="AI5844">
        <v>96.434458739323404</v>
      </c>
      <c r="AJ5844">
        <v>129.50455651729499</v>
      </c>
      <c r="AK5844">
        <v>9.9193099380347896</v>
      </c>
    </row>
    <row r="5845" spans="1:37" x14ac:dyDescent="0.2">
      <c r="A5845" t="str">
        <f>"20200111153804776"</f>
        <v>20200111153804776</v>
      </c>
      <c r="B5845" t="str">
        <f>"1578728284769282"</f>
        <v>1578728284769282</v>
      </c>
      <c r="C5845" t="s">
        <v>37</v>
      </c>
      <c r="D5845">
        <v>5.7887529999999998</v>
      </c>
      <c r="E5845">
        <v>0.41645179999999998</v>
      </c>
      <c r="F5845" t="s">
        <v>38</v>
      </c>
      <c r="G5845">
        <v>-206.9751</v>
      </c>
      <c r="H5845">
        <v>0.99320789999999903</v>
      </c>
      <c r="I5845">
        <v>-61.186599999999999</v>
      </c>
      <c r="J5845">
        <v>-207.57249999999999</v>
      </c>
      <c r="K5845">
        <v>1.1117629999999901</v>
      </c>
      <c r="L5845">
        <v>-61.917630000000003</v>
      </c>
      <c r="M5845">
        <v>0.98290069999999996</v>
      </c>
      <c r="N5845">
        <v>0</v>
      </c>
      <c r="O5845">
        <v>0.1835735</v>
      </c>
      <c r="P5845">
        <v>0.83888969999999896</v>
      </c>
      <c r="Q5845">
        <v>2.2381539999999998E-2</v>
      </c>
      <c r="R5845">
        <v>0.54384119999999903</v>
      </c>
      <c r="S5845">
        <v>2.171249</v>
      </c>
      <c r="T5845">
        <v>-0.33843210000000001</v>
      </c>
      <c r="U5845">
        <v>2.1869200000000002</v>
      </c>
      <c r="V5845">
        <v>-0.38115939999999998</v>
      </c>
      <c r="W5845">
        <v>2.8892620000000001E-2</v>
      </c>
      <c r="X5845">
        <v>0.92405769999999998</v>
      </c>
      <c r="Y5845">
        <v>-0.56601789999999996</v>
      </c>
      <c r="Z5845">
        <v>1.32988E-2</v>
      </c>
      <c r="AA5845">
        <v>0.82428570000000001</v>
      </c>
      <c r="AB5845">
        <v>31</v>
      </c>
      <c r="AC5845">
        <v>0.59739999999999305</v>
      </c>
      <c r="AD5845">
        <v>-0.118555099999999</v>
      </c>
      <c r="AE5845">
        <v>0.73103000000000395</v>
      </c>
      <c r="AF5845">
        <v>-0.59947266829448498</v>
      </c>
      <c r="AG5845">
        <v>-0.118555099999999</v>
      </c>
      <c r="AH5845">
        <v>0.71025681739719104</v>
      </c>
      <c r="AI5845">
        <v>97.269242634427798</v>
      </c>
      <c r="AJ5845">
        <v>130.16511553273401</v>
      </c>
      <c r="AK5845">
        <v>0.93695652963587694</v>
      </c>
    </row>
    <row r="5846" spans="1:37" x14ac:dyDescent="0.2">
      <c r="A5846" t="str">
        <f>"20200111153804787"</f>
        <v>20200111153804787</v>
      </c>
      <c r="B5846" t="str">
        <f>"1578728284779041"</f>
        <v>1578728284779041</v>
      </c>
      <c r="C5846" t="s">
        <v>37</v>
      </c>
      <c r="D5846">
        <v>5.7785919999999997</v>
      </c>
      <c r="E5846">
        <v>0.41732590000000003</v>
      </c>
      <c r="F5846" t="s">
        <v>38</v>
      </c>
      <c r="G5846">
        <v>-206.93680000000001</v>
      </c>
      <c r="H5846">
        <v>1.016337</v>
      </c>
      <c r="I5846">
        <v>-61.280050000000003</v>
      </c>
      <c r="J5846">
        <v>-207.4273</v>
      </c>
      <c r="K5846">
        <v>1.1118969999999999</v>
      </c>
      <c r="L5846">
        <v>-61.886109999999903</v>
      </c>
      <c r="M5846">
        <v>0.98205010000000004</v>
      </c>
      <c r="N5846">
        <v>0</v>
      </c>
      <c r="O5846">
        <v>0.18806999999999999</v>
      </c>
      <c r="P5846">
        <v>0.83631219999999995</v>
      </c>
      <c r="Q5846">
        <v>2.2667730000000001E-2</v>
      </c>
      <c r="R5846">
        <v>0.54778470000000001</v>
      </c>
      <c r="S5846">
        <v>2.1722109999999999</v>
      </c>
      <c r="T5846">
        <v>-0.32610149999999999</v>
      </c>
      <c r="U5846">
        <v>2.1790159999999998</v>
      </c>
      <c r="V5846">
        <v>-0.38129639999999998</v>
      </c>
      <c r="W5846">
        <v>2.906707E-2</v>
      </c>
      <c r="X5846">
        <v>0.92399580000000003</v>
      </c>
      <c r="Y5846">
        <v>-0.56077219999999905</v>
      </c>
      <c r="Z5846">
        <v>1.19718999999999E-2</v>
      </c>
      <c r="AA5846">
        <v>0.827883499999999</v>
      </c>
      <c r="AB5846">
        <v>31</v>
      </c>
      <c r="AC5846">
        <v>0.49049999999999699</v>
      </c>
      <c r="AD5846">
        <v>-9.5559999999999798E-2</v>
      </c>
      <c r="AE5846">
        <v>0.60605999999999205</v>
      </c>
      <c r="AF5846">
        <v>-0.49554117816609</v>
      </c>
      <c r="AG5846">
        <v>-9.5559999999999798E-2</v>
      </c>
      <c r="AH5846">
        <v>0.58692241398967204</v>
      </c>
      <c r="AI5846">
        <v>97.091414313820593</v>
      </c>
      <c r="AJ5846">
        <v>130.17454977078199</v>
      </c>
      <c r="AK5846">
        <v>0.77406116870806796</v>
      </c>
    </row>
    <row r="5847" spans="1:37" x14ac:dyDescent="0.2">
      <c r="A5847" t="str">
        <f>"20200111153804798"</f>
        <v>20200111153804798</v>
      </c>
      <c r="B5847" t="str">
        <f>"1578728284788802"</f>
        <v>1578728284788802</v>
      </c>
      <c r="C5847" t="s">
        <v>37</v>
      </c>
      <c r="D5847">
        <v>5.7662000000000004</v>
      </c>
      <c r="E5847">
        <v>0.41742809999999902</v>
      </c>
      <c r="F5847" t="s">
        <v>38</v>
      </c>
      <c r="G5847">
        <v>-206.7013</v>
      </c>
      <c r="H5847">
        <v>1.004545</v>
      </c>
      <c r="I5847">
        <v>-61.154049999999998</v>
      </c>
      <c r="J5847">
        <v>-207.2756</v>
      </c>
      <c r="K5847">
        <v>1.1120410000000001</v>
      </c>
      <c r="L5847">
        <v>-61.852809999999998</v>
      </c>
      <c r="M5847">
        <v>0.98113300000000003</v>
      </c>
      <c r="N5847">
        <v>0</v>
      </c>
      <c r="O5847">
        <v>0.1927962</v>
      </c>
      <c r="P5847">
        <v>0.8335321</v>
      </c>
      <c r="Q5847">
        <v>2.2890580000000001E-2</v>
      </c>
      <c r="R5847">
        <v>0.55199659999999995</v>
      </c>
      <c r="S5847">
        <v>2.1654049999999998</v>
      </c>
      <c r="T5847">
        <v>-0.32022499999999998</v>
      </c>
      <c r="U5847">
        <v>2.1838679999999999</v>
      </c>
      <c r="V5847">
        <v>-0.38152340000000001</v>
      </c>
      <c r="W5847">
        <v>2.9170499999999999E-2</v>
      </c>
      <c r="X5847">
        <v>0.92389880000000002</v>
      </c>
      <c r="Y5847">
        <v>-0.55911160000000004</v>
      </c>
      <c r="Z5847">
        <v>1.1129979999999999E-2</v>
      </c>
      <c r="AA5847">
        <v>0.82901769999999997</v>
      </c>
      <c r="AB5847">
        <v>31</v>
      </c>
      <c r="AC5847">
        <v>0.57429999999999304</v>
      </c>
      <c r="AD5847">
        <v>-0.10749599999999999</v>
      </c>
      <c r="AE5847">
        <v>0.69876000000000005</v>
      </c>
      <c r="AF5847">
        <v>-0.56690584127430799</v>
      </c>
      <c r="AG5847">
        <v>-0.10749599999999999</v>
      </c>
      <c r="AH5847">
        <v>0.68853003526967504</v>
      </c>
      <c r="AI5847">
        <v>96.872536532826601</v>
      </c>
      <c r="AJ5847">
        <v>129.46656393189301</v>
      </c>
      <c r="AK5847">
        <v>0.89833803902283405</v>
      </c>
    </row>
    <row r="5848" spans="1:37" x14ac:dyDescent="0.2">
      <c r="A5848" t="str">
        <f>"20200111153804810"</f>
        <v>20200111153804810</v>
      </c>
      <c r="B5848" t="str">
        <f>"1578728284798563"</f>
        <v>1578728284798563</v>
      </c>
      <c r="C5848" t="s">
        <v>37</v>
      </c>
      <c r="D5848">
        <v>5.8107559999999996</v>
      </c>
      <c r="E5848">
        <v>0.41731030000000002</v>
      </c>
      <c r="F5848" t="s">
        <v>38</v>
      </c>
      <c r="G5848">
        <v>-206.66720000000001</v>
      </c>
      <c r="H5848">
        <v>1.0226059999999999</v>
      </c>
      <c r="I5848">
        <v>-61.233259999999902</v>
      </c>
      <c r="J5848">
        <v>-207.1293</v>
      </c>
      <c r="K5848">
        <v>1.112179</v>
      </c>
      <c r="L5848">
        <v>-61.819309999999902</v>
      </c>
      <c r="M5848">
        <v>0.98019699999999998</v>
      </c>
      <c r="N5848">
        <v>0</v>
      </c>
      <c r="O5848">
        <v>0.19749920000000001</v>
      </c>
      <c r="P5848">
        <v>0.83073980000000003</v>
      </c>
      <c r="Q5848">
        <v>2.2881720000000001E-2</v>
      </c>
      <c r="R5848">
        <v>0.55619039999999997</v>
      </c>
      <c r="S5848">
        <v>2.154633</v>
      </c>
      <c r="T5848">
        <v>-0.31674249999999998</v>
      </c>
      <c r="U5848">
        <v>2.1944270000000001</v>
      </c>
      <c r="V5848">
        <v>-0.38175789999999998</v>
      </c>
      <c r="W5848">
        <v>2.9045609999999999E-2</v>
      </c>
      <c r="X5848">
        <v>0.92380589999999996</v>
      </c>
      <c r="Y5848">
        <v>-0.55926779999999998</v>
      </c>
      <c r="Z5848">
        <v>1.05071E-2</v>
      </c>
      <c r="AA5848">
        <v>0.82892049999999995</v>
      </c>
      <c r="AB5848">
        <v>31</v>
      </c>
      <c r="AC5848">
        <v>0.46209999999999202</v>
      </c>
      <c r="AD5848">
        <v>-8.9573000000000097E-2</v>
      </c>
      <c r="AE5848">
        <v>0.58604999999999996</v>
      </c>
      <c r="AF5848">
        <v>-0.47636833571792497</v>
      </c>
      <c r="AG5848">
        <v>-8.9573000000000097E-2</v>
      </c>
      <c r="AH5848">
        <v>0.56067616079854199</v>
      </c>
      <c r="AI5848">
        <v>96.941523278770504</v>
      </c>
      <c r="AJ5848">
        <v>130.35228922899</v>
      </c>
      <c r="AK5848">
        <v>0.74115306846255402</v>
      </c>
    </row>
    <row r="5849" spans="1:37" x14ac:dyDescent="0.2">
      <c r="A5849" t="str">
        <f>"20200111153804821"</f>
        <v>20200111153804821</v>
      </c>
      <c r="B5849" t="str">
        <f>"1578728284819057"</f>
        <v>1578728284819057</v>
      </c>
      <c r="C5849" t="s">
        <v>37</v>
      </c>
      <c r="D5849">
        <v>5.8090580000000003</v>
      </c>
      <c r="E5849">
        <v>0.41698819999999998</v>
      </c>
      <c r="F5849" t="s">
        <v>38</v>
      </c>
      <c r="G5849">
        <v>-206.43389999999999</v>
      </c>
      <c r="H5849">
        <v>1.0092669999999999</v>
      </c>
      <c r="I5849">
        <v>-61.1034199999999</v>
      </c>
      <c r="J5849">
        <v>-206.97669999999999</v>
      </c>
      <c r="K5849">
        <v>1.112322</v>
      </c>
      <c r="L5849">
        <v>-61.784030000000001</v>
      </c>
      <c r="M5849">
        <v>0.97918950000000005</v>
      </c>
      <c r="N5849">
        <v>0</v>
      </c>
      <c r="O5849">
        <v>0.2024348</v>
      </c>
      <c r="P5849">
        <v>0.82783099999999998</v>
      </c>
      <c r="Q5849">
        <v>2.3187280000000001E-2</v>
      </c>
      <c r="R5849">
        <v>0.5604983</v>
      </c>
      <c r="S5849">
        <v>2.1429749999999999</v>
      </c>
      <c r="T5849">
        <v>-0.31712829999999997</v>
      </c>
      <c r="U5849">
        <v>2.2060550000000001</v>
      </c>
      <c r="V5849">
        <v>-0.38191959999999903</v>
      </c>
      <c r="W5849">
        <v>2.9231980000000001E-2</v>
      </c>
      <c r="X5849">
        <v>0.92373309999999997</v>
      </c>
      <c r="Y5849">
        <v>-0.55955010000000005</v>
      </c>
      <c r="Z5849">
        <v>9.9983160000000001E-3</v>
      </c>
      <c r="AA5849">
        <v>0.82873619999999903</v>
      </c>
      <c r="AB5849">
        <v>31</v>
      </c>
      <c r="AC5849">
        <v>0.54279999999999895</v>
      </c>
      <c r="AD5849">
        <v>-0.10305499999999999</v>
      </c>
      <c r="AE5849">
        <v>0.68061000000000804</v>
      </c>
      <c r="AF5849">
        <v>-0.54893001156308996</v>
      </c>
      <c r="AG5849">
        <v>-0.10305499999999999</v>
      </c>
      <c r="AH5849">
        <v>0.66010247337335903</v>
      </c>
      <c r="AI5849">
        <v>96.844905098385993</v>
      </c>
      <c r="AJ5849">
        <v>129.746335364381</v>
      </c>
      <c r="AK5849">
        <v>0.86468477838648306</v>
      </c>
    </row>
    <row r="5850" spans="1:37" x14ac:dyDescent="0.2">
      <c r="A5850" t="str">
        <f>"20200111153804833"</f>
        <v>20200111153804833</v>
      </c>
      <c r="B5850" t="str">
        <f>"1578728284828818"</f>
        <v>1578728284828818</v>
      </c>
      <c r="C5850" t="s">
        <v>37</v>
      </c>
      <c r="D5850">
        <v>5.8027059999999997</v>
      </c>
      <c r="E5850">
        <v>0.41705809999999999</v>
      </c>
      <c r="F5850" t="s">
        <v>53</v>
      </c>
      <c r="G5850">
        <v>-199.5077</v>
      </c>
      <c r="H5850" s="1">
        <v>-9.4761919999999905E-6</v>
      </c>
      <c r="I5850">
        <v>-54.002290000000002</v>
      </c>
      <c r="J5850">
        <v>-206.81659999999999</v>
      </c>
      <c r="K5850">
        <v>1.1124780000000001</v>
      </c>
      <c r="L5850">
        <v>-61.745669999999997</v>
      </c>
      <c r="M5850">
        <v>0.97807440000000001</v>
      </c>
      <c r="N5850">
        <v>0</v>
      </c>
      <c r="O5850">
        <v>0.20775469999999999</v>
      </c>
      <c r="P5850">
        <v>0.82459919999999998</v>
      </c>
      <c r="Q5850">
        <v>2.3452420000000002E-2</v>
      </c>
      <c r="R5850">
        <v>0.56523120000000004</v>
      </c>
      <c r="S5850">
        <v>2.1301570000000001</v>
      </c>
      <c r="T5850">
        <v>-0.31723390000000001</v>
      </c>
      <c r="U5850">
        <v>2.2193299999999998</v>
      </c>
      <c r="V5850">
        <v>-0.38220700000000002</v>
      </c>
      <c r="W5850">
        <v>2.936925E-2</v>
      </c>
      <c r="X5850">
        <v>0.92360989999999998</v>
      </c>
      <c r="Y5850">
        <v>-0.56003919999999996</v>
      </c>
      <c r="Z5850">
        <v>9.4493259999999992E-3</v>
      </c>
      <c r="AA5850">
        <v>0.82841219999999904</v>
      </c>
      <c r="AB5850">
        <v>31</v>
      </c>
      <c r="AC5850">
        <v>7.3088999999999897</v>
      </c>
      <c r="AD5850">
        <v>-1.1124874761920001</v>
      </c>
      <c r="AE5850">
        <v>7.7433799999999904</v>
      </c>
      <c r="AF5850">
        <v>-5.9903850181269096</v>
      </c>
      <c r="AG5850">
        <v>-1.1124874761920001</v>
      </c>
      <c r="AH5850">
        <v>8.6637134437688292</v>
      </c>
      <c r="AI5850">
        <v>96.029168790718401</v>
      </c>
      <c r="AJ5850">
        <v>124.66129531087201</v>
      </c>
      <c r="AK5850">
        <v>10.591613271160501</v>
      </c>
    </row>
    <row r="5851" spans="1:37" x14ac:dyDescent="0.2">
      <c r="A5851" t="str">
        <f>"20200111153804845"</f>
        <v>20200111153804845</v>
      </c>
      <c r="B5851" t="str">
        <f>"1578728284838577"</f>
        <v>1578728284838577</v>
      </c>
      <c r="C5851" t="s">
        <v>37</v>
      </c>
      <c r="D5851">
        <v>5.797542</v>
      </c>
      <c r="E5851">
        <v>0.41706779999999999</v>
      </c>
      <c r="F5851" t="s">
        <v>38</v>
      </c>
      <c r="G5851">
        <v>-206.16390000000001</v>
      </c>
      <c r="H5851">
        <v>1.0152639999999999</v>
      </c>
      <c r="I5851">
        <v>-61.058</v>
      </c>
      <c r="J5851">
        <v>-206.6653</v>
      </c>
      <c r="K5851">
        <v>1.1126199999999999</v>
      </c>
      <c r="L5851">
        <v>-61.708649999999999</v>
      </c>
      <c r="M5851">
        <v>0.97697780000000001</v>
      </c>
      <c r="N5851">
        <v>0</v>
      </c>
      <c r="O5851">
        <v>0.21285019999999999</v>
      </c>
      <c r="P5851">
        <v>0.82163079999999999</v>
      </c>
      <c r="Q5851">
        <v>2.3847449999999999E-2</v>
      </c>
      <c r="R5851">
        <v>0.56952100000000005</v>
      </c>
      <c r="S5851">
        <v>2.117661</v>
      </c>
      <c r="T5851">
        <v>-0.31540790000000002</v>
      </c>
      <c r="U5851">
        <v>2.2312620000000001</v>
      </c>
      <c r="V5851">
        <v>-0.3822258</v>
      </c>
      <c r="W5851">
        <v>2.965284E-2</v>
      </c>
      <c r="X5851">
        <v>0.923593</v>
      </c>
      <c r="Y5851">
        <v>-0.56041940000000001</v>
      </c>
      <c r="Z5851">
        <v>8.8643990000000002E-3</v>
      </c>
      <c r="AA5851">
        <v>0.82816149999999999</v>
      </c>
      <c r="AB5851">
        <v>31</v>
      </c>
      <c r="AC5851">
        <v>0.50139999999998897</v>
      </c>
      <c r="AD5851">
        <v>-9.7356000000000206E-2</v>
      </c>
      <c r="AE5851">
        <v>0.65064999999999795</v>
      </c>
      <c r="AF5851">
        <v>-0.52167486625568804</v>
      </c>
      <c r="AG5851">
        <v>-9.7356000000000206E-2</v>
      </c>
      <c r="AH5851">
        <v>0.61970832192056002</v>
      </c>
      <c r="AI5851">
        <v>96.853221551847199</v>
      </c>
      <c r="AJ5851">
        <v>130.09091076342801</v>
      </c>
      <c r="AK5851">
        <v>0.81588066595335296</v>
      </c>
    </row>
    <row r="5852" spans="1:37" x14ac:dyDescent="0.2">
      <c r="A5852" t="str">
        <f>"20200111153804856"</f>
        <v>20200111153804856</v>
      </c>
      <c r="B5852" t="str">
        <f>"1578728284849313"</f>
        <v>1578728284849313</v>
      </c>
      <c r="C5852" t="s">
        <v>37</v>
      </c>
      <c r="D5852">
        <v>5.8198809999999996</v>
      </c>
      <c r="E5852">
        <v>0.41714079999999898</v>
      </c>
      <c r="F5852" t="s">
        <v>38</v>
      </c>
      <c r="G5852">
        <v>-205.9324</v>
      </c>
      <c r="H5852">
        <v>1.0030250000000001</v>
      </c>
      <c r="I5852">
        <v>-60.9283</v>
      </c>
      <c r="J5852">
        <v>-206.5069</v>
      </c>
      <c r="K5852">
        <v>1.1127689999999999</v>
      </c>
      <c r="L5852">
        <v>-61.668979999999998</v>
      </c>
      <c r="M5852">
        <v>0.97578199999999904</v>
      </c>
      <c r="N5852">
        <v>0</v>
      </c>
      <c r="O5852">
        <v>0.21826599999999999</v>
      </c>
      <c r="P5852">
        <v>0.81834569999999995</v>
      </c>
      <c r="Q5852">
        <v>2.3932149999999999E-2</v>
      </c>
      <c r="R5852">
        <v>0.57422790000000001</v>
      </c>
      <c r="S5852">
        <v>2.106201</v>
      </c>
      <c r="T5852">
        <v>-0.31491910000000001</v>
      </c>
      <c r="U5852">
        <v>2.2422179999999998</v>
      </c>
      <c r="V5852">
        <v>-0.38241729999999902</v>
      </c>
      <c r="W5852">
        <v>2.9618530000000001E-2</v>
      </c>
      <c r="X5852">
        <v>0.92351489999999903</v>
      </c>
      <c r="Y5852">
        <v>-0.56012969999999995</v>
      </c>
      <c r="Z5852">
        <v>8.2405209999999902E-3</v>
      </c>
      <c r="AA5852">
        <v>0.82836390000000004</v>
      </c>
      <c r="AB5852">
        <v>31</v>
      </c>
      <c r="AC5852">
        <v>0.57450000000000001</v>
      </c>
      <c r="AD5852">
        <v>-0.10974399999999999</v>
      </c>
      <c r="AE5852">
        <v>0.740680000000004</v>
      </c>
      <c r="AF5852">
        <v>-0.58933297733802104</v>
      </c>
      <c r="AG5852">
        <v>-0.10974399999999999</v>
      </c>
      <c r="AH5852">
        <v>0.71256060449495695</v>
      </c>
      <c r="AI5852">
        <v>96.768297257189303</v>
      </c>
      <c r="AJ5852">
        <v>129.59291402605299</v>
      </c>
      <c r="AK5852">
        <v>0.93118189350540703</v>
      </c>
    </row>
    <row r="5853" spans="1:37" x14ac:dyDescent="0.2">
      <c r="A5853" t="str">
        <f>"20200111153804867"</f>
        <v>20200111153804867</v>
      </c>
      <c r="B5853" t="str">
        <f>"1578728284859073"</f>
        <v>1578728284859073</v>
      </c>
      <c r="C5853" t="s">
        <v>37</v>
      </c>
      <c r="D5853">
        <v>5.8283860000000001</v>
      </c>
      <c r="E5853">
        <v>0.4171919</v>
      </c>
      <c r="F5853" t="s">
        <v>38</v>
      </c>
      <c r="G5853">
        <v>-205.8947</v>
      </c>
      <c r="H5853">
        <v>1.020421</v>
      </c>
      <c r="I5853">
        <v>-61.009819999999998</v>
      </c>
      <c r="J5853">
        <v>-206.3554</v>
      </c>
      <c r="K5853">
        <v>1.112908</v>
      </c>
      <c r="L5853">
        <v>-61.62979</v>
      </c>
      <c r="M5853">
        <v>0.97458040000000001</v>
      </c>
      <c r="N5853">
        <v>0</v>
      </c>
      <c r="O5853">
        <v>0.22356889999999999</v>
      </c>
      <c r="P5853">
        <v>0.81500150000000005</v>
      </c>
      <c r="Q5853">
        <v>2.438191E-2</v>
      </c>
      <c r="R5853">
        <v>0.57894559999999995</v>
      </c>
      <c r="S5853">
        <v>2.0936430000000001</v>
      </c>
      <c r="T5853">
        <v>-0.3157893</v>
      </c>
      <c r="U5853">
        <v>2.253876</v>
      </c>
      <c r="V5853">
        <v>-0.38275219999999999</v>
      </c>
      <c r="W5853">
        <v>2.995169E-2</v>
      </c>
      <c r="X5853">
        <v>0.9233654</v>
      </c>
      <c r="Y5853">
        <v>-0.56025700000000001</v>
      </c>
      <c r="Z5853">
        <v>7.6906769999999999E-3</v>
      </c>
      <c r="AA5853">
        <v>0.82828310000000005</v>
      </c>
      <c r="AB5853">
        <v>31</v>
      </c>
      <c r="AC5853">
        <v>0.460700000000002</v>
      </c>
      <c r="AD5853">
        <v>-9.2487E-2</v>
      </c>
      <c r="AE5853">
        <v>0.61997000000000202</v>
      </c>
      <c r="AF5853">
        <v>-0.49417975919797302</v>
      </c>
      <c r="AG5853">
        <v>-9.2487E-2</v>
      </c>
      <c r="AH5853">
        <v>0.57935047976787801</v>
      </c>
      <c r="AI5853">
        <v>96.924996246521502</v>
      </c>
      <c r="AJ5853">
        <v>130.46382349644799</v>
      </c>
      <c r="AK5853">
        <v>0.76708178050142595</v>
      </c>
    </row>
    <row r="5854" spans="1:37" x14ac:dyDescent="0.2">
      <c r="A5854" t="str">
        <f>"20200111153804879"</f>
        <v>20200111153804879</v>
      </c>
      <c r="B5854" t="str">
        <f>"1578728284868834"</f>
        <v>1578728284868834</v>
      </c>
      <c r="C5854" t="s">
        <v>37</v>
      </c>
      <c r="D5854">
        <v>5.8223979999999997</v>
      </c>
      <c r="E5854">
        <v>0.4171706</v>
      </c>
      <c r="F5854" t="s">
        <v>38</v>
      </c>
      <c r="G5854">
        <v>-205.66460000000001</v>
      </c>
      <c r="H5854">
        <v>1.0082389999999899</v>
      </c>
      <c r="I5854">
        <v>-60.877959999999902</v>
      </c>
      <c r="J5854">
        <v>-206.20910000000001</v>
      </c>
      <c r="K5854">
        <v>1.1130409999999999</v>
      </c>
      <c r="L5854">
        <v>-61.59158</v>
      </c>
      <c r="M5854">
        <v>0.97338449999999999</v>
      </c>
      <c r="N5854">
        <v>0</v>
      </c>
      <c r="O5854">
        <v>0.22871859999999999</v>
      </c>
      <c r="P5854">
        <v>0.81182410000000005</v>
      </c>
      <c r="Q5854">
        <v>2.4795629999999999E-2</v>
      </c>
      <c r="R5854">
        <v>0.58337550000000005</v>
      </c>
      <c r="S5854">
        <v>2.0809479999999998</v>
      </c>
      <c r="T5854">
        <v>-0.31534390000000001</v>
      </c>
      <c r="U5854">
        <v>2.2656860000000001</v>
      </c>
      <c r="V5854">
        <v>-0.38291999999999998</v>
      </c>
      <c r="W5854">
        <v>3.0256249999999998E-2</v>
      </c>
      <c r="X5854">
        <v>0.92328589999999999</v>
      </c>
      <c r="Y5854">
        <v>-0.56057639999999997</v>
      </c>
      <c r="Z5854">
        <v>7.1363650000000004E-3</v>
      </c>
      <c r="AA5854">
        <v>0.82807199999999903</v>
      </c>
      <c r="AB5854">
        <v>31</v>
      </c>
      <c r="AC5854">
        <v>0.54449999999999898</v>
      </c>
      <c r="AD5854">
        <v>-0.10480200000000001</v>
      </c>
      <c r="AE5854">
        <v>0.71362000000001202</v>
      </c>
      <c r="AF5854">
        <v>-0.56248181658872198</v>
      </c>
      <c r="AG5854">
        <v>-0.10480200000000001</v>
      </c>
      <c r="AH5854">
        <v>0.68397527891972298</v>
      </c>
      <c r="AI5854">
        <v>96.749338802187296</v>
      </c>
      <c r="AJ5854">
        <v>129.43290690989099</v>
      </c>
      <c r="AK5854">
        <v>0.89173507016953302</v>
      </c>
    </row>
    <row r="5855" spans="1:37" x14ac:dyDescent="0.2">
      <c r="A5855" t="str">
        <f>"20200111153804897"</f>
        <v>20200111153804897</v>
      </c>
      <c r="B5855" t="str">
        <f>"1578728284889329"</f>
        <v>1578728284889329</v>
      </c>
      <c r="C5855" t="s">
        <v>37</v>
      </c>
      <c r="D5855">
        <v>5.8261190000000003</v>
      </c>
      <c r="E5855">
        <v>0.41733940000000003</v>
      </c>
      <c r="F5855" t="s">
        <v>53</v>
      </c>
      <c r="G5855">
        <v>-198.88200000000001</v>
      </c>
      <c r="H5855" s="1">
        <v>-9.5728579999999995E-6</v>
      </c>
      <c r="I5855">
        <v>-53.526409999999998</v>
      </c>
      <c r="J5855">
        <v>-205.97460000000001</v>
      </c>
      <c r="K5855">
        <v>1.1132469999999901</v>
      </c>
      <c r="L5855">
        <v>-61.527740000000001</v>
      </c>
      <c r="M5855">
        <v>0.97134569999999998</v>
      </c>
      <c r="N5855">
        <v>0</v>
      </c>
      <c r="O5855">
        <v>0.2372264</v>
      </c>
      <c r="P5855">
        <v>0.80640800000000001</v>
      </c>
      <c r="Q5855">
        <v>2.5110690000000001E-2</v>
      </c>
      <c r="R5855">
        <v>0.59082630000000003</v>
      </c>
      <c r="S5855">
        <v>2.0686800000000001</v>
      </c>
      <c r="T5855">
        <v>-0.31425140000000001</v>
      </c>
      <c r="U5855">
        <v>2.277069</v>
      </c>
      <c r="V5855">
        <v>-0.38336819999999999</v>
      </c>
      <c r="W5855">
        <v>3.0394000000000001E-2</v>
      </c>
      <c r="X5855">
        <v>0.92309529999999995</v>
      </c>
      <c r="Y5855">
        <v>-0.55790479999999998</v>
      </c>
      <c r="Z5855">
        <v>6.0058289999999999E-3</v>
      </c>
      <c r="AA5855">
        <v>0.82988329999999999</v>
      </c>
      <c r="AB5855">
        <v>31</v>
      </c>
      <c r="AC5855">
        <v>7.0926</v>
      </c>
      <c r="AD5855">
        <v>-1.1132565728579999</v>
      </c>
      <c r="AE5855">
        <v>8.0013299999999994</v>
      </c>
      <c r="AF5855">
        <v>-6.0248370459753504</v>
      </c>
      <c r="AG5855">
        <v>-1.1132565728579999</v>
      </c>
      <c r="AH5855">
        <v>8.6941730313237908</v>
      </c>
      <c r="AI5855">
        <v>96.008023494819994</v>
      </c>
      <c r="AJ5855">
        <v>124.72095814892999</v>
      </c>
      <c r="AK5855">
        <v>10.636101086684199</v>
      </c>
    </row>
    <row r="5856" spans="1:37" x14ac:dyDescent="0.2">
      <c r="A5856" t="str">
        <f>"20200111153804908"</f>
        <v>20200111153804908</v>
      </c>
      <c r="B5856" t="str">
        <f>"1578728284899089"</f>
        <v>1578728284899089</v>
      </c>
      <c r="C5856" t="s">
        <v>37</v>
      </c>
      <c r="D5856">
        <v>5.8622059999999996</v>
      </c>
      <c r="E5856">
        <v>0.41747099999999998</v>
      </c>
      <c r="F5856" t="s">
        <v>38</v>
      </c>
      <c r="G5856">
        <v>-205.37989999999999</v>
      </c>
      <c r="H5856">
        <v>1.0216510000000001</v>
      </c>
      <c r="I5856">
        <v>-60.861509999999903</v>
      </c>
      <c r="J5856">
        <v>-205.8228</v>
      </c>
      <c r="K5856">
        <v>1.11338</v>
      </c>
      <c r="L5856">
        <v>-61.484949999999998</v>
      </c>
      <c r="M5856">
        <v>0.96995129999999996</v>
      </c>
      <c r="N5856">
        <v>0</v>
      </c>
      <c r="O5856">
        <v>0.242863</v>
      </c>
      <c r="P5856">
        <v>0.80308279999999999</v>
      </c>
      <c r="Q5856">
        <v>2.4832900000000002E-2</v>
      </c>
      <c r="R5856">
        <v>0.59534980000000004</v>
      </c>
      <c r="S5856">
        <v>2.0486759999999999</v>
      </c>
      <c r="T5856">
        <v>-0.31551859999999998</v>
      </c>
      <c r="U5856">
        <v>2.294861</v>
      </c>
      <c r="V5856">
        <v>-0.3831987</v>
      </c>
      <c r="W5856">
        <v>3.0016979999999999E-2</v>
      </c>
      <c r="X5856">
        <v>0.923178099999999</v>
      </c>
      <c r="Y5856">
        <v>-0.56030709999999995</v>
      </c>
      <c r="Z5856">
        <v>5.5670909999999997E-3</v>
      </c>
      <c r="AA5856">
        <v>0.82826619999999995</v>
      </c>
      <c r="AB5856">
        <v>31</v>
      </c>
      <c r="AC5856">
        <v>0.44290000000000801</v>
      </c>
      <c r="AD5856">
        <v>-9.1728999999999894E-2</v>
      </c>
      <c r="AE5856">
        <v>0.62344000000000199</v>
      </c>
      <c r="AF5856">
        <v>-0.49014331550939899</v>
      </c>
      <c r="AG5856">
        <v>-9.1728999999999894E-2</v>
      </c>
      <c r="AH5856">
        <v>0.57282220929953298</v>
      </c>
      <c r="AI5856">
        <v>96.937225883540506</v>
      </c>
      <c r="AJ5856">
        <v>130.55241169310301</v>
      </c>
      <c r="AK5856">
        <v>0.75946031011919601</v>
      </c>
    </row>
    <row r="5857" spans="1:37" x14ac:dyDescent="0.2">
      <c r="A5857" t="str">
        <f>"20200111153804921"</f>
        <v>20200111153804921</v>
      </c>
      <c r="B5857" t="str">
        <f>"1578728284918610"</f>
        <v>1578728284918610</v>
      </c>
      <c r="C5857" t="s">
        <v>37</v>
      </c>
      <c r="D5857">
        <v>5.8462139999999998</v>
      </c>
      <c r="E5857">
        <v>0.41770879999999999</v>
      </c>
      <c r="F5857" t="s">
        <v>38</v>
      </c>
      <c r="G5857">
        <v>-205.15280000000001</v>
      </c>
      <c r="H5857">
        <v>1.0090440000000001</v>
      </c>
      <c r="I5857">
        <v>-60.726519999999901</v>
      </c>
      <c r="J5857">
        <v>-205.66380000000001</v>
      </c>
      <c r="K5857">
        <v>1.113518</v>
      </c>
      <c r="L5857">
        <v>-61.439579999999999</v>
      </c>
      <c r="M5857">
        <v>0.9684429</v>
      </c>
      <c r="N5857">
        <v>0</v>
      </c>
      <c r="O5857">
        <v>0.24880909999999901</v>
      </c>
      <c r="P5857">
        <v>0.79964429999999997</v>
      </c>
      <c r="Q5857">
        <v>2.3864280000000002E-2</v>
      </c>
      <c r="R5857">
        <v>0.59999959999999997</v>
      </c>
      <c r="S5857">
        <v>2.0362239999999998</v>
      </c>
      <c r="T5857">
        <v>-0.31712499999999999</v>
      </c>
      <c r="U5857">
        <v>2.3055729999999999</v>
      </c>
      <c r="V5857">
        <v>-0.38287309999999902</v>
      </c>
      <c r="W5857">
        <v>2.894886E-2</v>
      </c>
      <c r="X5857">
        <v>0.92334719999999904</v>
      </c>
      <c r="Y5857">
        <v>-0.55966610000000006</v>
      </c>
      <c r="Z5857">
        <v>4.89426599999999E-3</v>
      </c>
      <c r="AA5857">
        <v>0.82870379999999999</v>
      </c>
      <c r="AB5857">
        <v>31</v>
      </c>
      <c r="AC5857">
        <v>0.51099999999999501</v>
      </c>
      <c r="AD5857">
        <v>-0.104473999999999</v>
      </c>
      <c r="AE5857">
        <v>0.71306000000001202</v>
      </c>
      <c r="AF5857">
        <v>-0.55559631381043095</v>
      </c>
      <c r="AG5857">
        <v>-0.104473999999999</v>
      </c>
      <c r="AH5857">
        <v>0.66295885887032502</v>
      </c>
      <c r="AI5857">
        <v>96.886886080886697</v>
      </c>
      <c r="AJ5857">
        <v>129.96487538954301</v>
      </c>
      <c r="AK5857">
        <v>0.87127293608282297</v>
      </c>
    </row>
    <row r="5858" spans="1:37" x14ac:dyDescent="0.2">
      <c r="A5858" t="str">
        <f>"20200111153804933"</f>
        <v>20200111153804933</v>
      </c>
      <c r="B5858" t="str">
        <f>"1578728284929345"</f>
        <v>1578728284929345</v>
      </c>
      <c r="C5858" t="s">
        <v>37</v>
      </c>
      <c r="D5858">
        <v>5.8599160000000001</v>
      </c>
      <c r="E5858">
        <v>0.41776960000000002</v>
      </c>
      <c r="F5858" t="s">
        <v>53</v>
      </c>
      <c r="G5858">
        <v>-198.65710000000001</v>
      </c>
      <c r="H5858" s="1">
        <v>-9.5842209999999996E-6</v>
      </c>
      <c r="I5858">
        <v>-53.421959999999999</v>
      </c>
      <c r="J5858">
        <v>-205.50129999999999</v>
      </c>
      <c r="K5858">
        <v>1.113658</v>
      </c>
      <c r="L5858">
        <v>-61.391539999999999</v>
      </c>
      <c r="M5858">
        <v>0.96681890000000004</v>
      </c>
      <c r="N5858">
        <v>0</v>
      </c>
      <c r="O5858">
        <v>0.25504529999999997</v>
      </c>
      <c r="P5858">
        <v>0.79608679999999998</v>
      </c>
      <c r="Q5858">
        <v>2.3359560000000001E-2</v>
      </c>
      <c r="R5858">
        <v>0.60473149999999998</v>
      </c>
      <c r="S5858">
        <v>2.0237270000000001</v>
      </c>
      <c r="T5858">
        <v>-0.32161719999999999</v>
      </c>
      <c r="U5858">
        <v>2.3157040000000002</v>
      </c>
      <c r="V5858">
        <v>-0.38239409999999902</v>
      </c>
      <c r="W5858">
        <v>2.83459E-2</v>
      </c>
      <c r="X5858">
        <v>0.92356439999999995</v>
      </c>
      <c r="Y5858">
        <v>-0.558650599999999</v>
      </c>
      <c r="Z5858">
        <v>4.1940750000000002E-3</v>
      </c>
      <c r="AA5858">
        <v>0.82939249999999998</v>
      </c>
      <c r="AB5858">
        <v>31</v>
      </c>
      <c r="AC5858">
        <v>6.8441999999999696</v>
      </c>
      <c r="AD5858">
        <v>-1.113667584221</v>
      </c>
      <c r="AE5858">
        <v>7.9695799999999997</v>
      </c>
      <c r="AF5858">
        <v>-5.8939551546929003</v>
      </c>
      <c r="AG5858">
        <v>-1.113667584221</v>
      </c>
      <c r="AH5858">
        <v>8.5544876391237104</v>
      </c>
      <c r="AI5858">
        <v>96.118935030633693</v>
      </c>
      <c r="AJ5858">
        <v>124.566447403883</v>
      </c>
      <c r="AK5858">
        <v>10.447881202502</v>
      </c>
    </row>
    <row r="5859" spans="1:37" x14ac:dyDescent="0.2">
      <c r="A5859" t="str">
        <f>"20200111153804944"</f>
        <v>20200111153804944</v>
      </c>
      <c r="B5859" t="str">
        <f>"1578728284939106"</f>
        <v>1578728284939106</v>
      </c>
      <c r="C5859" t="s">
        <v>37</v>
      </c>
      <c r="D5859">
        <v>5.8564189999999998</v>
      </c>
      <c r="E5859">
        <v>0.41780519999999999</v>
      </c>
      <c r="F5859" t="s">
        <v>38</v>
      </c>
      <c r="G5859">
        <v>-204.8837</v>
      </c>
      <c r="H5859">
        <v>1.0141639999999901</v>
      </c>
      <c r="I5859">
        <v>-60.676499999999997</v>
      </c>
      <c r="J5859">
        <v>-205.35149999999999</v>
      </c>
      <c r="K5859">
        <v>1.1137889999999999</v>
      </c>
      <c r="L5859">
        <v>-61.34628</v>
      </c>
      <c r="M5859">
        <v>0.96526350000000005</v>
      </c>
      <c r="N5859">
        <v>0</v>
      </c>
      <c r="O5859">
        <v>0.2608684</v>
      </c>
      <c r="P5859">
        <v>0.7929022</v>
      </c>
      <c r="Q5859">
        <v>2.2513399999999999E-2</v>
      </c>
      <c r="R5859">
        <v>0.6089329</v>
      </c>
      <c r="S5859">
        <v>2.0101169999999899</v>
      </c>
      <c r="T5859">
        <v>-0.32379659999999999</v>
      </c>
      <c r="U5859">
        <v>2.3272089999999999</v>
      </c>
      <c r="V5859">
        <v>-0.3816948</v>
      </c>
      <c r="W5859">
        <v>2.7418809999999998E-2</v>
      </c>
      <c r="X5859">
        <v>0.92388159999999897</v>
      </c>
      <c r="Y5859">
        <v>-0.55846839999999998</v>
      </c>
      <c r="Z5859">
        <v>3.5488120000000001E-3</v>
      </c>
      <c r="AA5859">
        <v>0.82951830000000004</v>
      </c>
      <c r="AB5859">
        <v>31</v>
      </c>
      <c r="AC5859">
        <v>0.46779999999998201</v>
      </c>
      <c r="AD5859">
        <v>-9.9625000000000005E-2</v>
      </c>
      <c r="AE5859">
        <v>0.66978000000001003</v>
      </c>
      <c r="AF5859">
        <v>-0.51685031340989795</v>
      </c>
      <c r="AG5859">
        <v>-9.9625000000000005E-2</v>
      </c>
      <c r="AH5859">
        <v>0.61716425278417497</v>
      </c>
      <c r="AI5859">
        <v>97.054920603988407</v>
      </c>
      <c r="AJ5859">
        <v>129.94482353343901</v>
      </c>
      <c r="AK5859">
        <v>0.811141850733618</v>
      </c>
    </row>
    <row r="5860" spans="1:37" x14ac:dyDescent="0.2">
      <c r="A5860" t="str">
        <f>"20200111153804956"</f>
        <v>20200111153804956</v>
      </c>
      <c r="B5860" t="str">
        <f>"1578728284948865"</f>
        <v>1578728284948865</v>
      </c>
      <c r="C5860" t="s">
        <v>37</v>
      </c>
      <c r="D5860">
        <v>5.8338559999999999</v>
      </c>
      <c r="E5860">
        <v>0.41782589999999997</v>
      </c>
      <c r="F5860" t="s">
        <v>38</v>
      </c>
      <c r="G5860">
        <v>-204.6602</v>
      </c>
      <c r="H5860">
        <v>1.0006539999999999</v>
      </c>
      <c r="I5860">
        <v>-60.537769999999902</v>
      </c>
      <c r="J5860">
        <v>-205.2046</v>
      </c>
      <c r="K5860">
        <v>1.11392</v>
      </c>
      <c r="L5860">
        <v>-61.301029999999997</v>
      </c>
      <c r="M5860">
        <v>0.96368220000000004</v>
      </c>
      <c r="N5860">
        <v>0</v>
      </c>
      <c r="O5860">
        <v>0.2666499</v>
      </c>
      <c r="P5860">
        <v>0.78970890000000005</v>
      </c>
      <c r="Q5860">
        <v>2.1897929999999999E-2</v>
      </c>
      <c r="R5860">
        <v>0.61309099999999905</v>
      </c>
      <c r="S5860">
        <v>1.9976959999999999</v>
      </c>
      <c r="T5860">
        <v>-0.32701429999999998</v>
      </c>
      <c r="U5860">
        <v>2.3375240000000002</v>
      </c>
      <c r="V5860">
        <v>-0.3810018</v>
      </c>
      <c r="W5860">
        <v>2.672575E-2</v>
      </c>
      <c r="X5860">
        <v>0.92418799999999901</v>
      </c>
      <c r="Y5860">
        <v>-0.55785469999999904</v>
      </c>
      <c r="Z5860">
        <v>2.8781929999999998E-3</v>
      </c>
      <c r="AA5860">
        <v>0.8299337</v>
      </c>
      <c r="AB5860">
        <v>31</v>
      </c>
      <c r="AC5860">
        <v>0.544399999999996</v>
      </c>
      <c r="AD5860">
        <v>-0.11326599999999901</v>
      </c>
      <c r="AE5860">
        <v>0.76326000000000904</v>
      </c>
      <c r="AF5860">
        <v>-0.581944968984349</v>
      </c>
      <c r="AG5860">
        <v>-0.11326599999999901</v>
      </c>
      <c r="AH5860">
        <v>0.71775337281590501</v>
      </c>
      <c r="AI5860">
        <v>96.988362171022004</v>
      </c>
      <c r="AJ5860">
        <v>129.034683266775</v>
      </c>
      <c r="AK5860">
        <v>0.93094523892160497</v>
      </c>
    </row>
    <row r="5861" spans="1:37" x14ac:dyDescent="0.2">
      <c r="A5861" t="str">
        <f>"20200111153804967"</f>
        <v>20200111153804967</v>
      </c>
      <c r="B5861" t="str">
        <f>"1578728284959134"</f>
        <v>1578728284959134</v>
      </c>
      <c r="C5861" t="s">
        <v>37</v>
      </c>
      <c r="D5861">
        <v>5.85982</v>
      </c>
      <c r="E5861">
        <v>0.41787809999999997</v>
      </c>
      <c r="F5861" t="s">
        <v>38</v>
      </c>
      <c r="G5861">
        <v>-204.62139999999999</v>
      </c>
      <c r="H5861">
        <v>1.017142</v>
      </c>
      <c r="I5861">
        <v>-60.611690000000003</v>
      </c>
      <c r="J5861">
        <v>-205.05760000000001</v>
      </c>
      <c r="K5861">
        <v>1.1140459999999901</v>
      </c>
      <c r="L5861">
        <v>-61.254359999999998</v>
      </c>
      <c r="M5861">
        <v>0.96202929999999998</v>
      </c>
      <c r="N5861">
        <v>0</v>
      </c>
      <c r="O5861">
        <v>0.2725514</v>
      </c>
      <c r="P5861">
        <v>0.78638039999999998</v>
      </c>
      <c r="Q5861">
        <v>2.1514450000000001E-2</v>
      </c>
      <c r="R5861">
        <v>0.61736780000000002</v>
      </c>
      <c r="S5861">
        <v>1.9852449999999999</v>
      </c>
      <c r="T5861">
        <v>-0.32952789999999998</v>
      </c>
      <c r="U5861">
        <v>2.347839</v>
      </c>
      <c r="V5861">
        <v>-0.38034970000000001</v>
      </c>
      <c r="W5861">
        <v>2.626624E-2</v>
      </c>
      <c r="X5861">
        <v>0.92446969999999995</v>
      </c>
      <c r="Y5861">
        <v>-0.55714459999999999</v>
      </c>
      <c r="Z5861">
        <v>2.16745E-3</v>
      </c>
      <c r="AA5861">
        <v>0.8304127</v>
      </c>
      <c r="AB5861">
        <v>31</v>
      </c>
      <c r="AC5861">
        <v>0.43620000000001302</v>
      </c>
      <c r="AD5861">
        <v>-9.6903999999999796E-2</v>
      </c>
      <c r="AE5861">
        <v>0.64266999999999497</v>
      </c>
      <c r="AF5861">
        <v>-0.49177960388192699</v>
      </c>
      <c r="AG5861">
        <v>-9.6903999999999796E-2</v>
      </c>
      <c r="AH5861">
        <v>0.58574463873608695</v>
      </c>
      <c r="AI5861">
        <v>97.221031448505897</v>
      </c>
      <c r="AJ5861">
        <v>130.01615429200501</v>
      </c>
      <c r="AK5861">
        <v>0.77093083076131697</v>
      </c>
    </row>
    <row r="5862" spans="1:37" x14ac:dyDescent="0.2">
      <c r="A5862" t="str">
        <f>"20200111153804979"</f>
        <v>20200111153804979</v>
      </c>
      <c r="B5862" t="str">
        <f>"1578728284968894"</f>
        <v>1578728284968894</v>
      </c>
      <c r="C5862" t="s">
        <v>37</v>
      </c>
      <c r="D5862">
        <v>5.9007309999999897</v>
      </c>
      <c r="E5862">
        <v>0.41807489999999897</v>
      </c>
      <c r="F5862" t="s">
        <v>38</v>
      </c>
      <c r="G5862">
        <v>-204.4006</v>
      </c>
      <c r="H5862">
        <v>1.0035700000000001</v>
      </c>
      <c r="I5862">
        <v>-60.468989999999998</v>
      </c>
      <c r="J5862">
        <v>-204.90360000000001</v>
      </c>
      <c r="K5862">
        <v>1.1141799999999999</v>
      </c>
      <c r="L5862">
        <v>-61.204929999999997</v>
      </c>
      <c r="M5862">
        <v>0.9602444</v>
      </c>
      <c r="N5862">
        <v>0</v>
      </c>
      <c r="O5862">
        <v>0.278773299999999</v>
      </c>
      <c r="P5862">
        <v>0.78272189999999997</v>
      </c>
      <c r="Q5862">
        <v>2.135652E-2</v>
      </c>
      <c r="R5862">
        <v>0.62200509999999998</v>
      </c>
      <c r="S5862">
        <v>1.9726869999999901</v>
      </c>
      <c r="T5862">
        <v>-0.33174159999999903</v>
      </c>
      <c r="U5862">
        <v>2.35818499999999</v>
      </c>
      <c r="V5862">
        <v>-0.37983319999999998</v>
      </c>
      <c r="W5862">
        <v>2.602409E-2</v>
      </c>
      <c r="X5862">
        <v>0.92468890000000004</v>
      </c>
      <c r="Y5862">
        <v>-0.55618259999999997</v>
      </c>
      <c r="Z5862">
        <v>1.38845299999999E-3</v>
      </c>
      <c r="AA5862">
        <v>0.83105899999999999</v>
      </c>
      <c r="AB5862">
        <v>31</v>
      </c>
      <c r="AC5862">
        <v>0.50300000000001399</v>
      </c>
      <c r="AD5862">
        <v>-0.110609999999999</v>
      </c>
      <c r="AE5862">
        <v>0.73593999999999904</v>
      </c>
      <c r="AF5862">
        <v>-0.55793016904153803</v>
      </c>
      <c r="AG5862">
        <v>-0.110609999999999</v>
      </c>
      <c r="AH5862">
        <v>0.67780174409211202</v>
      </c>
      <c r="AI5862">
        <v>97.181109653305498</v>
      </c>
      <c r="AJ5862">
        <v>129.45938612466901</v>
      </c>
      <c r="AK5862">
        <v>0.88483662329326496</v>
      </c>
    </row>
    <row r="5863" spans="1:37" x14ac:dyDescent="0.2">
      <c r="A5863" t="str">
        <f>"20200111153804991"</f>
        <v>20200111153804991</v>
      </c>
      <c r="B5863" t="str">
        <f>"1578728284978655"</f>
        <v>1578728284978655</v>
      </c>
      <c r="C5863" t="s">
        <v>37</v>
      </c>
      <c r="D5863">
        <v>5.9100260000000002</v>
      </c>
      <c r="E5863">
        <v>0.41827759999999897</v>
      </c>
      <c r="F5863" t="s">
        <v>53</v>
      </c>
      <c r="G5863">
        <v>-198.3578</v>
      </c>
      <c r="H5863" s="1">
        <v>-9.5953049999999998E-6</v>
      </c>
      <c r="I5863">
        <v>-53.294460000000001</v>
      </c>
      <c r="J5863">
        <v>-204.7518</v>
      </c>
      <c r="K5863">
        <v>1.1143129999999899</v>
      </c>
      <c r="L5863">
        <v>-61.154299999999999</v>
      </c>
      <c r="M5863">
        <v>0.95839699999999906</v>
      </c>
      <c r="N5863">
        <v>0</v>
      </c>
      <c r="O5863">
        <v>0.28505849999999999</v>
      </c>
      <c r="P5863">
        <v>0.77907230000000005</v>
      </c>
      <c r="Q5863">
        <v>2.163901E-2</v>
      </c>
      <c r="R5863">
        <v>0.62656060000000002</v>
      </c>
      <c r="S5863">
        <v>1.959824</v>
      </c>
      <c r="T5863">
        <v>-0.33359060000000001</v>
      </c>
      <c r="U5863">
        <v>2.3684080000000001</v>
      </c>
      <c r="V5863">
        <v>-0.37918689999999999</v>
      </c>
      <c r="W5863">
        <v>2.6232390000000001E-2</v>
      </c>
      <c r="X5863">
        <v>0.9249482</v>
      </c>
      <c r="Y5863">
        <v>-0.55520230000000004</v>
      </c>
      <c r="Z5863">
        <v>5.8846180000000003E-4</v>
      </c>
      <c r="AA5863">
        <v>0.83171509999999904</v>
      </c>
      <c r="AB5863">
        <v>31</v>
      </c>
      <c r="AC5863">
        <v>6.3940000000000001</v>
      </c>
      <c r="AD5863">
        <v>-1.114322595305</v>
      </c>
      <c r="AE5863">
        <v>7.8598399999999904</v>
      </c>
      <c r="AF5863">
        <v>-5.6425534447069001</v>
      </c>
      <c r="AG5863">
        <v>-1.114322595305</v>
      </c>
      <c r="AH5863">
        <v>8.2693907245547003</v>
      </c>
      <c r="AI5863">
        <v>96.351402838450596</v>
      </c>
      <c r="AJ5863">
        <v>124.307364078787</v>
      </c>
      <c r="AK5863">
        <v>10.0728817712773</v>
      </c>
    </row>
    <row r="5864" spans="1:37" x14ac:dyDescent="0.2">
      <c r="A5864" t="str">
        <f>"20200111153805003"</f>
        <v>20200111153805003</v>
      </c>
      <c r="B5864" t="str">
        <f>"1578728284999150"</f>
        <v>1578728284999150</v>
      </c>
      <c r="C5864" t="s">
        <v>37</v>
      </c>
      <c r="D5864">
        <v>5.9208780000000001</v>
      </c>
      <c r="E5864">
        <v>0.41872349999999903</v>
      </c>
      <c r="F5864" t="s">
        <v>38</v>
      </c>
      <c r="G5864">
        <v>-204.13800000000001</v>
      </c>
      <c r="H5864">
        <v>1.00908</v>
      </c>
      <c r="I5864">
        <v>-60.404679999999999</v>
      </c>
      <c r="J5864">
        <v>-204.60640000000001</v>
      </c>
      <c r="K5864">
        <v>1.114441</v>
      </c>
      <c r="L5864">
        <v>-61.105159999999998</v>
      </c>
      <c r="M5864">
        <v>0.95657329999999996</v>
      </c>
      <c r="N5864">
        <v>0</v>
      </c>
      <c r="O5864">
        <v>0.29111859999999901</v>
      </c>
      <c r="P5864">
        <v>0.77531799999999995</v>
      </c>
      <c r="Q5864">
        <v>2.1757309999999998E-2</v>
      </c>
      <c r="R5864">
        <v>0.63119630000000004</v>
      </c>
      <c r="S5864">
        <v>1.94714399999999</v>
      </c>
      <c r="T5864">
        <v>-0.33384449999999999</v>
      </c>
      <c r="U5864">
        <v>2.3785099999999999</v>
      </c>
      <c r="V5864">
        <v>-0.37886179999999903</v>
      </c>
      <c r="W5864">
        <v>2.6272440000000001E-2</v>
      </c>
      <c r="X5864">
        <v>0.92508020000000002</v>
      </c>
      <c r="Y5864">
        <v>-0.55436030000000003</v>
      </c>
      <c r="Z5864">
        <v>-1.8467749999999999E-4</v>
      </c>
      <c r="AA5864">
        <v>0.83227680000000004</v>
      </c>
      <c r="AB5864">
        <v>31</v>
      </c>
      <c r="AC5864">
        <v>0.46840000000000198</v>
      </c>
      <c r="AD5864">
        <v>-0.105361</v>
      </c>
      <c r="AE5864">
        <v>0.700479999999991</v>
      </c>
      <c r="AF5864">
        <v>-0.52554245372769204</v>
      </c>
      <c r="AG5864">
        <v>-0.105361</v>
      </c>
      <c r="AH5864">
        <v>0.64201560459177898</v>
      </c>
      <c r="AI5864">
        <v>97.237196854459995</v>
      </c>
      <c r="AJ5864">
        <v>129.30314063336999</v>
      </c>
      <c r="AK5864">
        <v>0.83634911820989699</v>
      </c>
    </row>
    <row r="5865" spans="1:37" x14ac:dyDescent="0.2">
      <c r="A5865" t="str">
        <f>"20200111153805018"</f>
        <v>20200111153805018</v>
      </c>
      <c r="B5865" t="str">
        <f>"1578728285008910"</f>
        <v>1578728285008910</v>
      </c>
      <c r="C5865" t="s">
        <v>37</v>
      </c>
      <c r="D5865">
        <v>5.9468719999999999</v>
      </c>
      <c r="E5865">
        <v>0.41894510000000001</v>
      </c>
      <c r="F5865" t="s">
        <v>38</v>
      </c>
      <c r="G5865">
        <v>-203.92060000000001</v>
      </c>
      <c r="H5865">
        <v>0.99553689999999995</v>
      </c>
      <c r="I5865">
        <v>-60.259279999999997</v>
      </c>
      <c r="J5865">
        <v>-204.39930000000001</v>
      </c>
      <c r="K5865">
        <v>1.1146149999999999</v>
      </c>
      <c r="L5865">
        <v>-61.033329999999999</v>
      </c>
      <c r="M5865">
        <v>0.9538624</v>
      </c>
      <c r="N5865">
        <v>0</v>
      </c>
      <c r="O5865">
        <v>0.29987989999999998</v>
      </c>
      <c r="P5865">
        <v>0.76980159999999997</v>
      </c>
      <c r="Q5865">
        <v>2.2937229999999999E-2</v>
      </c>
      <c r="R5865">
        <v>0.63787099999999997</v>
      </c>
      <c r="S5865">
        <v>1.9353639999999901</v>
      </c>
      <c r="T5865">
        <v>-0.33555689999999999</v>
      </c>
      <c r="U5865">
        <v>2.3871769999999999</v>
      </c>
      <c r="V5865">
        <v>-0.37841950000000002</v>
      </c>
      <c r="W5865">
        <v>2.7346369999999998E-2</v>
      </c>
      <c r="X5865">
        <v>0.92523009999999895</v>
      </c>
      <c r="Y5865">
        <v>-0.55073329999999998</v>
      </c>
      <c r="Z5865">
        <v>-1.4756599999999999E-3</v>
      </c>
      <c r="AA5865">
        <v>0.83467999999999998</v>
      </c>
      <c r="AB5865">
        <v>31</v>
      </c>
      <c r="AC5865">
        <v>0.47870000000000301</v>
      </c>
      <c r="AD5865">
        <v>-0.11907809999999899</v>
      </c>
      <c r="AE5865">
        <v>0.77405000000000201</v>
      </c>
      <c r="AF5865">
        <v>-0.584837989818488</v>
      </c>
      <c r="AG5865">
        <v>-0.11907809999999899</v>
      </c>
      <c r="AH5865">
        <v>0.67721811022398404</v>
      </c>
      <c r="AI5865">
        <v>97.580296635710496</v>
      </c>
      <c r="AJ5865">
        <v>130.81352360873501</v>
      </c>
      <c r="AK5865">
        <v>0.90268457228972498</v>
      </c>
    </row>
    <row r="5866" spans="1:37" x14ac:dyDescent="0.2">
      <c r="A5866" t="str">
        <f>"20200111153805031"</f>
        <v>20200111153805031</v>
      </c>
      <c r="B5866" t="str">
        <f>"1578728285018670"</f>
        <v>1578728285018670</v>
      </c>
      <c r="C5866" t="s">
        <v>37</v>
      </c>
      <c r="D5866">
        <v>5.947654</v>
      </c>
      <c r="E5866">
        <v>0.4191376</v>
      </c>
      <c r="F5866" t="s">
        <v>38</v>
      </c>
      <c r="G5866">
        <v>-203.863</v>
      </c>
      <c r="H5866">
        <v>1.021498</v>
      </c>
      <c r="I5866">
        <v>-60.36074</v>
      </c>
      <c r="J5866">
        <v>-204.25710000000001</v>
      </c>
      <c r="K5866">
        <v>1.114725</v>
      </c>
      <c r="L5866">
        <v>-60.982059999999997</v>
      </c>
      <c r="M5866">
        <v>0.95190540000000001</v>
      </c>
      <c r="N5866">
        <v>0</v>
      </c>
      <c r="O5866">
        <v>0.30603379999999902</v>
      </c>
      <c r="P5866">
        <v>0.7655807</v>
      </c>
      <c r="Q5866">
        <v>2.3582530000000001E-2</v>
      </c>
      <c r="R5866">
        <v>0.64290740000000002</v>
      </c>
      <c r="S5866">
        <v>1.9159999999999999</v>
      </c>
      <c r="T5866">
        <v>-0.33265840000000002</v>
      </c>
      <c r="U5866">
        <v>2.4028320000000001</v>
      </c>
      <c r="V5866">
        <v>-0.37854369999999998</v>
      </c>
      <c r="W5866">
        <v>2.7911680000000001E-2</v>
      </c>
      <c r="X5866">
        <v>0.9251625</v>
      </c>
      <c r="Y5866">
        <v>-0.55215409999999998</v>
      </c>
      <c r="Z5866">
        <v>-2.095319E-3</v>
      </c>
      <c r="AA5866">
        <v>0.83373949999999997</v>
      </c>
      <c r="AB5866">
        <v>31</v>
      </c>
      <c r="AC5866">
        <v>0.394100000000008</v>
      </c>
      <c r="AD5866">
        <v>-9.3226999999999893E-2</v>
      </c>
      <c r="AE5866">
        <v>0.62131999999999699</v>
      </c>
      <c r="AF5866">
        <v>-0.46344119043023402</v>
      </c>
      <c r="AG5866">
        <v>-9.3226999999999893E-2</v>
      </c>
      <c r="AH5866">
        <v>0.55641970821701603</v>
      </c>
      <c r="AI5866">
        <v>97.335989430908398</v>
      </c>
      <c r="AJ5866">
        <v>129.79086758059</v>
      </c>
      <c r="AK5866">
        <v>0.73011773174516303</v>
      </c>
    </row>
    <row r="5867" spans="1:37" x14ac:dyDescent="0.2">
      <c r="A5867" t="str">
        <f>"20200111153805042"</f>
        <v>20200111153805042</v>
      </c>
      <c r="B5867" t="str">
        <f>"1578728285039166"</f>
        <v>1578728285039166</v>
      </c>
      <c r="C5867" t="s">
        <v>37</v>
      </c>
      <c r="D5867">
        <v>5.9639030000000002</v>
      </c>
      <c r="E5867">
        <v>0.4195159</v>
      </c>
      <c r="F5867" t="s">
        <v>38</v>
      </c>
      <c r="G5867">
        <v>-203.6489</v>
      </c>
      <c r="H5867">
        <v>1.008626</v>
      </c>
      <c r="I5867">
        <v>-60.209769999999899</v>
      </c>
      <c r="J5867">
        <v>-204.1131</v>
      </c>
      <c r="K5867">
        <v>1.1148370000000001</v>
      </c>
      <c r="L5867">
        <v>-60.929690000000001</v>
      </c>
      <c r="M5867">
        <v>0.94987310000000003</v>
      </c>
      <c r="N5867">
        <v>0</v>
      </c>
      <c r="O5867">
        <v>0.31228299999999998</v>
      </c>
      <c r="P5867">
        <v>0.76137670000000002</v>
      </c>
      <c r="Q5867">
        <v>2.4151659999999998E-2</v>
      </c>
      <c r="R5867">
        <v>0.64785959999999998</v>
      </c>
      <c r="S5867">
        <v>1.901138</v>
      </c>
      <c r="T5867">
        <v>-0.33168019999999998</v>
      </c>
      <c r="U5867">
        <v>2.4145810000000001</v>
      </c>
      <c r="V5867">
        <v>-0.37849260000000001</v>
      </c>
      <c r="W5867">
        <v>2.8405010000000001E-2</v>
      </c>
      <c r="X5867">
        <v>0.9251684</v>
      </c>
      <c r="Y5867">
        <v>-0.55185779999999995</v>
      </c>
      <c r="Z5867">
        <v>-2.8475340000000001E-3</v>
      </c>
      <c r="AA5867">
        <v>0.83393340000000005</v>
      </c>
      <c r="AB5867">
        <v>31</v>
      </c>
      <c r="AC5867">
        <v>0.464200000000005</v>
      </c>
      <c r="AD5867">
        <v>-0.106211</v>
      </c>
      <c r="AE5867">
        <v>0.719920000000009</v>
      </c>
      <c r="AF5867">
        <v>-0.53077031760822402</v>
      </c>
      <c r="AG5867">
        <v>-0.106211</v>
      </c>
      <c r="AH5867">
        <v>0.65574201073446503</v>
      </c>
      <c r="AI5867">
        <v>97.175633085790096</v>
      </c>
      <c r="AJ5867">
        <v>128.98738061018801</v>
      </c>
      <c r="AK5867">
        <v>0.85029141546708198</v>
      </c>
    </row>
    <row r="5868" spans="1:37" x14ac:dyDescent="0.2">
      <c r="A5868" t="str">
        <f>"20200111153805052"</f>
        <v>20200111153805052</v>
      </c>
      <c r="B5868" t="str">
        <f>"1578728285048926"</f>
        <v>1578728285048926</v>
      </c>
      <c r="C5868" t="s">
        <v>37</v>
      </c>
      <c r="D5868">
        <v>5.9377610000000001</v>
      </c>
      <c r="E5868">
        <v>0.41975980000000002</v>
      </c>
      <c r="F5868" t="s">
        <v>38</v>
      </c>
      <c r="G5868">
        <v>-203.4359</v>
      </c>
      <c r="H5868">
        <v>0.99561200000000005</v>
      </c>
      <c r="I5868">
        <v>-60.059649999999998</v>
      </c>
      <c r="J5868">
        <v>-203.9744</v>
      </c>
      <c r="K5868">
        <v>1.1149420000000001</v>
      </c>
      <c r="L5868">
        <v>-60.877749999999999</v>
      </c>
      <c r="M5868">
        <v>0.94783770000000001</v>
      </c>
      <c r="N5868">
        <v>0</v>
      </c>
      <c r="O5868">
        <v>0.31840659999999998</v>
      </c>
      <c r="P5868">
        <v>0.75699939999999999</v>
      </c>
      <c r="Q5868">
        <v>2.4743769999999998E-2</v>
      </c>
      <c r="R5868">
        <v>0.6529469</v>
      </c>
      <c r="S5868">
        <v>1.8875580000000001</v>
      </c>
      <c r="T5868">
        <v>-0.33227649999999997</v>
      </c>
      <c r="U5868">
        <v>2.4246829999999999</v>
      </c>
      <c r="V5868">
        <v>-0.37874950000000002</v>
      </c>
      <c r="W5868">
        <v>2.8916919999999999E-2</v>
      </c>
      <c r="X5868">
        <v>0.92504730000000002</v>
      </c>
      <c r="Y5868">
        <v>-0.55109980000000003</v>
      </c>
      <c r="Z5868">
        <v>-3.6300939999999999E-3</v>
      </c>
      <c r="AA5868">
        <v>0.83443149999999999</v>
      </c>
      <c r="AB5868">
        <v>31</v>
      </c>
      <c r="AC5868">
        <v>0.53849999999999898</v>
      </c>
      <c r="AD5868">
        <v>-0.11933000000000001</v>
      </c>
      <c r="AE5868">
        <v>0.81810000000000105</v>
      </c>
      <c r="AF5868">
        <v>-0.59519556046552802</v>
      </c>
      <c r="AG5868">
        <v>-0.11933000000000001</v>
      </c>
      <c r="AH5868">
        <v>0.75970692765060899</v>
      </c>
      <c r="AI5868">
        <v>97.048595690003793</v>
      </c>
      <c r="AJ5868">
        <v>128.07707226733999</v>
      </c>
      <c r="AK5868">
        <v>0.972446409843855</v>
      </c>
    </row>
    <row r="5869" spans="1:37" x14ac:dyDescent="0.2">
      <c r="A5869" t="str">
        <f>"20200111153805076"</f>
        <v>20200111153805076</v>
      </c>
      <c r="B5869" t="str">
        <f>"1578728285068953"</f>
        <v>1578728285068953</v>
      </c>
      <c r="C5869" t="s">
        <v>37</v>
      </c>
      <c r="D5869">
        <v>5.9534060000000002</v>
      </c>
      <c r="E5869">
        <v>0.41994419999999999</v>
      </c>
      <c r="F5869" t="s">
        <v>38</v>
      </c>
      <c r="G5869">
        <v>-203.3963</v>
      </c>
      <c r="H5869">
        <v>1.012707</v>
      </c>
      <c r="I5869">
        <v>-60.125659999999897</v>
      </c>
      <c r="J5869">
        <v>-203.68099999999899</v>
      </c>
      <c r="K5869">
        <v>1.1151489999999999</v>
      </c>
      <c r="L5869">
        <v>-60.764890000000001</v>
      </c>
      <c r="M5869">
        <v>0.94332660000000002</v>
      </c>
      <c r="N5869">
        <v>0</v>
      </c>
      <c r="O5869">
        <v>0.3315303</v>
      </c>
      <c r="P5869">
        <v>0.74729679999999998</v>
      </c>
      <c r="Q5869">
        <v>2.5269139999999999E-2</v>
      </c>
      <c r="R5869">
        <v>0.66400979999999998</v>
      </c>
      <c r="S5869">
        <v>1.872681</v>
      </c>
      <c r="T5869">
        <v>-0.33115990000000001</v>
      </c>
      <c r="U5869">
        <v>2.43600499999999</v>
      </c>
      <c r="V5869">
        <v>-0.37955220000000001</v>
      </c>
      <c r="W5869">
        <v>2.9271539999999999E-2</v>
      </c>
      <c r="X5869">
        <v>0.92470719999999995</v>
      </c>
      <c r="Y5869">
        <v>-0.5446955</v>
      </c>
      <c r="Z5869">
        <v>-5.5969119999999999E-3</v>
      </c>
      <c r="AA5869">
        <v>0.83861520000000001</v>
      </c>
      <c r="AB5869">
        <v>31</v>
      </c>
      <c r="AC5869">
        <v>0.28469999999998602</v>
      </c>
      <c r="AD5869">
        <v>-0.10244199999999901</v>
      </c>
      <c r="AE5869">
        <v>0.63923000000000396</v>
      </c>
      <c r="AF5869">
        <v>-0.497999699613207</v>
      </c>
      <c r="AG5869">
        <v>-0.10244199999999901</v>
      </c>
      <c r="AH5869">
        <v>0.47045999762912299</v>
      </c>
      <c r="AI5869">
        <v>98.504574733328994</v>
      </c>
      <c r="AJ5869">
        <v>136.62885826151901</v>
      </c>
      <c r="AK5869">
        <v>0.69269811140787696</v>
      </c>
    </row>
    <row r="5870" spans="1:37" x14ac:dyDescent="0.2">
      <c r="A5870" t="str">
        <f>"20200111153805090"</f>
        <v>20200111153805090</v>
      </c>
      <c r="B5870" t="str">
        <f>"1578728285078715"</f>
        <v>1578728285078715</v>
      </c>
      <c r="C5870" t="s">
        <v>37</v>
      </c>
      <c r="D5870">
        <v>5.9820589999999996</v>
      </c>
      <c r="E5870">
        <v>0.42725479999999999</v>
      </c>
      <c r="F5870" t="s">
        <v>38</v>
      </c>
      <c r="G5870">
        <v>-203.1422</v>
      </c>
      <c r="H5870">
        <v>1.0183</v>
      </c>
      <c r="I5870">
        <v>-60.043119999999902</v>
      </c>
      <c r="J5870">
        <v>-203.51840000000001</v>
      </c>
      <c r="K5870">
        <v>1.115256</v>
      </c>
      <c r="L5870">
        <v>-60.699860000000001</v>
      </c>
      <c r="M5870">
        <v>0.94068589999999996</v>
      </c>
      <c r="N5870">
        <v>0</v>
      </c>
      <c r="O5870">
        <v>0.3389491</v>
      </c>
      <c r="P5870">
        <v>0.74188520000000002</v>
      </c>
      <c r="Q5870">
        <v>2.5197029999999999E-2</v>
      </c>
      <c r="R5870">
        <v>0.67005319999999902</v>
      </c>
      <c r="S5870">
        <v>1.83776899999999</v>
      </c>
      <c r="T5870">
        <v>-0.33035989999999998</v>
      </c>
      <c r="U5870">
        <v>2.4623110000000001</v>
      </c>
      <c r="V5870">
        <v>-0.37978089999999998</v>
      </c>
      <c r="W5870">
        <v>2.9116630000000001E-2</v>
      </c>
      <c r="X5870">
        <v>0.9246181</v>
      </c>
      <c r="Y5870">
        <v>-0.55002309999999999</v>
      </c>
      <c r="Z5870">
        <v>-6.1134569999999897E-3</v>
      </c>
      <c r="AA5870">
        <v>0.83512710000000001</v>
      </c>
      <c r="AB5870">
        <v>31</v>
      </c>
      <c r="AC5870">
        <v>0.37620000000001103</v>
      </c>
      <c r="AD5870">
        <v>-9.6956000000000001E-2</v>
      </c>
      <c r="AE5870">
        <v>0.65674000000000599</v>
      </c>
      <c r="AF5870">
        <v>-0.482411619397</v>
      </c>
      <c r="AG5870">
        <v>-9.6956000000000001E-2</v>
      </c>
      <c r="AH5870">
        <v>0.56724319339441098</v>
      </c>
      <c r="AI5870">
        <v>97.418492823191499</v>
      </c>
      <c r="AJ5870">
        <v>130.37948089376101</v>
      </c>
      <c r="AK5870">
        <v>0.75092361590079504</v>
      </c>
    </row>
    <row r="5871" spans="1:37" x14ac:dyDescent="0.2">
      <c r="A5871" t="str">
        <f>"20200111153805104"</f>
        <v>20200111153805104</v>
      </c>
      <c r="B5871" t="str">
        <f>"1578728285099210"</f>
        <v>1578728285099210</v>
      </c>
      <c r="C5871" t="s">
        <v>37</v>
      </c>
      <c r="D5871">
        <v>5.9483579999999998</v>
      </c>
      <c r="E5871">
        <v>0.42848940000000002</v>
      </c>
      <c r="F5871" t="s">
        <v>38</v>
      </c>
      <c r="G5871">
        <v>-202.91759999999999</v>
      </c>
      <c r="H5871">
        <v>0.99836689999999995</v>
      </c>
      <c r="I5871">
        <v>-59.912979999999997</v>
      </c>
      <c r="J5871">
        <v>-203.339</v>
      </c>
      <c r="K5871">
        <v>1.115378</v>
      </c>
      <c r="L5871">
        <v>-60.626649999999998</v>
      </c>
      <c r="M5871">
        <v>0.93766759999999905</v>
      </c>
      <c r="N5871">
        <v>0</v>
      </c>
      <c r="O5871">
        <v>0.34721039999999997</v>
      </c>
      <c r="P5871">
        <v>0.7358536</v>
      </c>
      <c r="Q5871">
        <v>2.4982259999999999E-2</v>
      </c>
      <c r="R5871">
        <v>0.6766797</v>
      </c>
      <c r="S5871">
        <v>1.8583069999999999</v>
      </c>
      <c r="T5871">
        <v>-0.36149799999999999</v>
      </c>
      <c r="U5871">
        <v>2.433319</v>
      </c>
      <c r="V5871">
        <v>-0.37994079999999902</v>
      </c>
      <c r="W5871">
        <v>2.8814449999999998E-2</v>
      </c>
      <c r="X5871">
        <v>0.92456190000000005</v>
      </c>
      <c r="Y5871">
        <v>-0.53327840000000004</v>
      </c>
      <c r="Z5871">
        <v>-8.9816340000000005E-3</v>
      </c>
      <c r="AA5871">
        <v>0.84589210000000004</v>
      </c>
      <c r="AB5871">
        <v>31</v>
      </c>
      <c r="AC5871">
        <v>0.42140000000003303</v>
      </c>
      <c r="AD5871">
        <v>-0.11701110000000001</v>
      </c>
      <c r="AE5871">
        <v>0.71366999999999303</v>
      </c>
      <c r="AF5871">
        <v>-0.51270993093689998</v>
      </c>
      <c r="AG5871">
        <v>-0.11701110000000001</v>
      </c>
      <c r="AH5871">
        <v>0.63043290612173797</v>
      </c>
      <c r="AI5871">
        <v>98.194045403659302</v>
      </c>
      <c r="AJ5871">
        <v>129.12030087154201</v>
      </c>
      <c r="AK5871">
        <v>0.82098034076683701</v>
      </c>
    </row>
    <row r="5872" spans="1:37" x14ac:dyDescent="0.2">
      <c r="A5872" t="str">
        <f>"20200111153805120"</f>
        <v>20200111153805120</v>
      </c>
      <c r="B5872" t="str">
        <f>"1578728285108970"</f>
        <v>1578728285108970</v>
      </c>
      <c r="C5872" t="s">
        <v>37</v>
      </c>
      <c r="D5872">
        <v>5.9680720000000003</v>
      </c>
      <c r="E5872">
        <v>0.42893039999999999</v>
      </c>
      <c r="F5872" t="s">
        <v>38</v>
      </c>
      <c r="G5872">
        <v>-202.69759999999999</v>
      </c>
      <c r="H5872">
        <v>0.98955119999999896</v>
      </c>
      <c r="I5872">
        <v>-59.776789999999998</v>
      </c>
      <c r="J5872">
        <v>-203.1336</v>
      </c>
      <c r="K5872">
        <v>1.115507</v>
      </c>
      <c r="L5872">
        <v>-60.540500000000002</v>
      </c>
      <c r="M5872">
        <v>0.93406250000000002</v>
      </c>
      <c r="N5872">
        <v>0</v>
      </c>
      <c r="O5872">
        <v>0.35679329999999998</v>
      </c>
      <c r="P5872">
        <v>0.72901850000000001</v>
      </c>
      <c r="Q5872">
        <v>2.3702419999999998E-2</v>
      </c>
      <c r="R5872">
        <v>0.68408349999999996</v>
      </c>
      <c r="S5872">
        <v>1.8430329999999999</v>
      </c>
      <c r="T5872">
        <v>-0.3615835</v>
      </c>
      <c r="U5872">
        <v>2.4425659999999998</v>
      </c>
      <c r="V5872">
        <v>-0.37978040000000002</v>
      </c>
      <c r="W5872">
        <v>2.744837E-2</v>
      </c>
      <c r="X5872">
        <v>0.92466939999999997</v>
      </c>
      <c r="Y5872">
        <v>-0.52960030000000002</v>
      </c>
      <c r="Z5872">
        <v>-1.049857E-2</v>
      </c>
      <c r="AA5872">
        <v>0.8481824</v>
      </c>
      <c r="AB5872">
        <v>30</v>
      </c>
      <c r="AC5872">
        <v>0.43600000000000699</v>
      </c>
      <c r="AD5872">
        <v>-0.12595580000000001</v>
      </c>
      <c r="AE5872">
        <v>0.763709999999996</v>
      </c>
      <c r="AF5872">
        <v>-0.54663993253422605</v>
      </c>
      <c r="AG5872">
        <v>-0.12595580000000001</v>
      </c>
      <c r="AH5872">
        <v>0.66614890374576996</v>
      </c>
      <c r="AI5872">
        <v>98.315868578755101</v>
      </c>
      <c r="AJ5872">
        <v>129.37220685519301</v>
      </c>
      <c r="AK5872">
        <v>0.87088141635721805</v>
      </c>
    </row>
    <row r="5873" spans="1:37" x14ac:dyDescent="0.2">
      <c r="A5873" t="str">
        <f>"20200111153805135"</f>
        <v>20200111153805135</v>
      </c>
      <c r="B5873" t="str">
        <f>"1578728285129467"</f>
        <v>1578728285129467</v>
      </c>
      <c r="C5873" t="s">
        <v>37</v>
      </c>
      <c r="D5873">
        <v>5.9970359999999996</v>
      </c>
      <c r="E5873">
        <v>0.42940719999999999</v>
      </c>
      <c r="F5873" t="s">
        <v>38</v>
      </c>
      <c r="G5873">
        <v>-202.4725</v>
      </c>
      <c r="H5873">
        <v>0.98252450000000002</v>
      </c>
      <c r="I5873">
        <v>-59.647730000000003</v>
      </c>
      <c r="J5873">
        <v>-202.9564</v>
      </c>
      <c r="K5873">
        <v>1.1156189999999999</v>
      </c>
      <c r="L5873">
        <v>-60.463749999999997</v>
      </c>
      <c r="M5873">
        <v>0.93081369999999897</v>
      </c>
      <c r="N5873">
        <v>0</v>
      </c>
      <c r="O5873">
        <v>0.3651837</v>
      </c>
      <c r="P5873">
        <v>0.7228639</v>
      </c>
      <c r="Q5873">
        <v>2.346672E-2</v>
      </c>
      <c r="R5873">
        <v>0.69059190000000004</v>
      </c>
      <c r="S5873">
        <v>1.820343</v>
      </c>
      <c r="T5873">
        <v>-0.36616890000000002</v>
      </c>
      <c r="U5873">
        <v>2.4581909999999998</v>
      </c>
      <c r="V5873">
        <v>-0.37974959999999902</v>
      </c>
      <c r="W5873">
        <v>2.7140919999999999E-2</v>
      </c>
      <c r="X5873">
        <v>0.92469109999999999</v>
      </c>
      <c r="Y5873">
        <v>-0.52962069999999895</v>
      </c>
      <c r="Z5873">
        <v>-1.1744549999999999E-2</v>
      </c>
      <c r="AA5873">
        <v>0.8481533</v>
      </c>
      <c r="AB5873">
        <v>30</v>
      </c>
      <c r="AC5873">
        <v>0.48390000000000499</v>
      </c>
      <c r="AD5873">
        <v>-0.1330945</v>
      </c>
      <c r="AE5873">
        <v>0.81601999999999397</v>
      </c>
      <c r="AF5873">
        <v>-0.57166515146430497</v>
      </c>
      <c r="AG5873">
        <v>-0.1330945</v>
      </c>
      <c r="AH5873">
        <v>0.73405561124970597</v>
      </c>
      <c r="AI5873">
        <v>98.141003430799799</v>
      </c>
      <c r="AJ5873">
        <v>127.910615199714</v>
      </c>
      <c r="AK5873">
        <v>0.93986851832377905</v>
      </c>
    </row>
    <row r="5874" spans="1:37" x14ac:dyDescent="0.2">
      <c r="A5874" t="str">
        <f>"20200111153805148"</f>
        <v>20200111153805148</v>
      </c>
      <c r="B5874" t="str">
        <f>"1578728285139225"</f>
        <v>1578728285139225</v>
      </c>
      <c r="C5874" t="s">
        <v>37</v>
      </c>
      <c r="D5874">
        <v>6.005986</v>
      </c>
      <c r="E5874">
        <v>0.43295159999999899</v>
      </c>
      <c r="F5874" t="s">
        <v>38</v>
      </c>
      <c r="G5874">
        <v>-202.42019999999999</v>
      </c>
      <c r="H5874">
        <v>1.0056320000000001</v>
      </c>
      <c r="I5874">
        <v>-59.727789999999999</v>
      </c>
      <c r="J5874">
        <v>-202.80330000000001</v>
      </c>
      <c r="K5874">
        <v>1.1157090000000001</v>
      </c>
      <c r="L5874">
        <v>-60.395780000000002</v>
      </c>
      <c r="M5874">
        <v>0.92790550000000005</v>
      </c>
      <c r="N5874">
        <v>0</v>
      </c>
      <c r="O5874">
        <v>0.37251030000000002</v>
      </c>
      <c r="P5874">
        <v>0.71728169999999902</v>
      </c>
      <c r="Q5874">
        <v>2.2854590000000001E-2</v>
      </c>
      <c r="R5874">
        <v>0.69640849999999999</v>
      </c>
      <c r="S5874">
        <v>1.800888</v>
      </c>
      <c r="T5874">
        <v>-0.36938330000000003</v>
      </c>
      <c r="U5874">
        <v>2.4715880000000001</v>
      </c>
      <c r="V5874">
        <v>-0.37991170000000002</v>
      </c>
      <c r="W5874">
        <v>2.6463110000000001E-2</v>
      </c>
      <c r="X5874">
        <v>0.92464419999999903</v>
      </c>
      <c r="Y5874">
        <v>-0.529506699999999</v>
      </c>
      <c r="Z5874">
        <v>-1.283947E-2</v>
      </c>
      <c r="AA5874">
        <v>0.84820849999999903</v>
      </c>
      <c r="AB5874">
        <v>30</v>
      </c>
      <c r="AC5874">
        <v>0.38310000000001299</v>
      </c>
      <c r="AD5874">
        <v>-0.110076999999999</v>
      </c>
      <c r="AE5874">
        <v>0.66799000000000297</v>
      </c>
      <c r="AF5874">
        <v>-0.46762173421771802</v>
      </c>
      <c r="AG5874">
        <v>-0.110076999999999</v>
      </c>
      <c r="AH5874">
        <v>0.59227977837057</v>
      </c>
      <c r="AI5874">
        <v>98.299144065084306</v>
      </c>
      <c r="AJ5874">
        <v>128.292096114549</v>
      </c>
      <c r="AK5874">
        <v>0.76261547853979295</v>
      </c>
    </row>
    <row r="5875" spans="1:37" x14ac:dyDescent="0.2">
      <c r="A5875" t="str">
        <f>"20200111153805160"</f>
        <v>20200111153805160</v>
      </c>
      <c r="B5875" t="str">
        <f>"1578728285148986"</f>
        <v>1578728285148986</v>
      </c>
      <c r="C5875" t="s">
        <v>37</v>
      </c>
      <c r="D5875">
        <v>5.9999719999999996</v>
      </c>
      <c r="E5875">
        <v>0.43346319999999999</v>
      </c>
      <c r="F5875" t="s">
        <v>38</v>
      </c>
      <c r="G5875">
        <v>-202.20769999999999</v>
      </c>
      <c r="H5875">
        <v>0.9877745</v>
      </c>
      <c r="I5875">
        <v>-59.580889999999997</v>
      </c>
      <c r="J5875">
        <v>-202.64490000000001</v>
      </c>
      <c r="K5875">
        <v>1.1157999999999999</v>
      </c>
      <c r="L5875">
        <v>-60.32443</v>
      </c>
      <c r="M5875">
        <v>0.92481259999999998</v>
      </c>
      <c r="N5875">
        <v>0</v>
      </c>
      <c r="O5875">
        <v>0.38012279999999998</v>
      </c>
      <c r="P5875">
        <v>0.71156730000000001</v>
      </c>
      <c r="Q5875">
        <v>2.2623689999999998E-2</v>
      </c>
      <c r="R5875">
        <v>0.70225360000000003</v>
      </c>
      <c r="S5875">
        <v>1.801239</v>
      </c>
      <c r="T5875">
        <v>-0.38698769999999999</v>
      </c>
      <c r="U5875">
        <v>2.4653019999999999</v>
      </c>
      <c r="V5875">
        <v>-0.3798763</v>
      </c>
      <c r="W5875">
        <v>2.6172810000000001E-2</v>
      </c>
      <c r="X5875">
        <v>0.92466689999999996</v>
      </c>
      <c r="Y5875">
        <v>-0.52140470000000005</v>
      </c>
      <c r="Z5875">
        <v>-1.514048E-2</v>
      </c>
      <c r="AA5875">
        <v>0.85317520000000002</v>
      </c>
      <c r="AB5875">
        <v>30</v>
      </c>
      <c r="AC5875">
        <v>0.43720000000001802</v>
      </c>
      <c r="AD5875">
        <v>-0.12802549999999899</v>
      </c>
      <c r="AE5875">
        <v>0.74354000000000298</v>
      </c>
      <c r="AF5875">
        <v>-0.51026368962362501</v>
      </c>
      <c r="AG5875">
        <v>-0.12802549999999899</v>
      </c>
      <c r="AH5875">
        <v>0.67223343077030195</v>
      </c>
      <c r="AI5875">
        <v>98.625796695539094</v>
      </c>
      <c r="AJ5875">
        <v>127.200580972252</v>
      </c>
      <c r="AK5875">
        <v>0.85361428469993195</v>
      </c>
    </row>
    <row r="5876" spans="1:37" x14ac:dyDescent="0.2">
      <c r="A5876" t="str">
        <f>"20200111153805176"</f>
        <v>20200111153805176</v>
      </c>
      <c r="B5876" t="str">
        <f>"1578728285168505"</f>
        <v>1578728285168505</v>
      </c>
      <c r="C5876" t="s">
        <v>37</v>
      </c>
      <c r="D5876">
        <v>6.0066139999999999</v>
      </c>
      <c r="E5876">
        <v>0.43412149999999999</v>
      </c>
      <c r="F5876" t="s">
        <v>53</v>
      </c>
      <c r="G5876">
        <v>-197.47640000000001</v>
      </c>
      <c r="H5876" s="1">
        <v>-9.5476130000000004E-6</v>
      </c>
      <c r="I5876">
        <v>-53.147889999999997</v>
      </c>
      <c r="J5876">
        <v>-202.447</v>
      </c>
      <c r="K5876">
        <v>1.115907</v>
      </c>
      <c r="L5876">
        <v>-60.232419999999998</v>
      </c>
      <c r="M5876">
        <v>0.92078609999999905</v>
      </c>
      <c r="N5876">
        <v>0</v>
      </c>
      <c r="O5876">
        <v>0.3897736</v>
      </c>
      <c r="P5876">
        <v>0.70428290000000005</v>
      </c>
      <c r="Q5876">
        <v>2.237395E-2</v>
      </c>
      <c r="R5876">
        <v>0.70956680000000005</v>
      </c>
      <c r="S5876">
        <v>1.7838290000000001</v>
      </c>
      <c r="T5876">
        <v>-0.38510359999999899</v>
      </c>
      <c r="U5876">
        <v>2.4768680000000001</v>
      </c>
      <c r="V5876">
        <v>-0.37975639999999999</v>
      </c>
      <c r="W5876">
        <v>2.5855820000000002E-2</v>
      </c>
      <c r="X5876">
        <v>0.92472520000000002</v>
      </c>
      <c r="Y5876">
        <v>-0.51841119999999996</v>
      </c>
      <c r="Z5876">
        <v>-1.6644409999999998E-2</v>
      </c>
      <c r="AA5876">
        <v>0.85496949999999905</v>
      </c>
      <c r="AB5876">
        <v>30</v>
      </c>
      <c r="AC5876">
        <v>4.9705999999999904</v>
      </c>
      <c r="AD5876">
        <v>-1.115916547613</v>
      </c>
      <c r="AE5876">
        <v>7.0845299999999902</v>
      </c>
      <c r="AF5876">
        <v>-4.5114456108021299</v>
      </c>
      <c r="AG5876">
        <v>-1.115916547613</v>
      </c>
      <c r="AH5876">
        <v>7.2190382064596097</v>
      </c>
      <c r="AI5876">
        <v>97.468148918973199</v>
      </c>
      <c r="AJ5876">
        <v>122.002796182046</v>
      </c>
      <c r="AK5876">
        <v>8.5856230913536997</v>
      </c>
    </row>
    <row r="5877" spans="1:37" x14ac:dyDescent="0.2">
      <c r="A5877" t="str">
        <f>"20200111153805189"</f>
        <v>20200111153805189</v>
      </c>
      <c r="B5877" t="str">
        <f>"1578728285179242"</f>
        <v>1578728285179242</v>
      </c>
      <c r="C5877" t="s">
        <v>37</v>
      </c>
      <c r="D5877">
        <v>5.9484649999999997</v>
      </c>
      <c r="E5877">
        <v>0.43433189999999999</v>
      </c>
      <c r="F5877" t="s">
        <v>38</v>
      </c>
      <c r="G5877">
        <v>-201.9393</v>
      </c>
      <c r="H5877">
        <v>1.0042580000000001</v>
      </c>
      <c r="I5877">
        <v>-59.514600000000002</v>
      </c>
      <c r="J5877">
        <v>-202.30699999999999</v>
      </c>
      <c r="K5877">
        <v>1.115982</v>
      </c>
      <c r="L5877">
        <v>-60.1654699999999</v>
      </c>
      <c r="M5877">
        <v>0.917832599999999</v>
      </c>
      <c r="N5877">
        <v>0</v>
      </c>
      <c r="O5877">
        <v>0.39667779999999903</v>
      </c>
      <c r="P5877">
        <v>0.69895490000000005</v>
      </c>
      <c r="Q5877">
        <v>2.2568370000000001E-2</v>
      </c>
      <c r="R5877">
        <v>0.71480969999999999</v>
      </c>
      <c r="S5877">
        <v>1.7619320000000001</v>
      </c>
      <c r="T5877">
        <v>-0.38749459999999902</v>
      </c>
      <c r="U5877">
        <v>2.491333</v>
      </c>
      <c r="V5877">
        <v>-0.37973420000000002</v>
      </c>
      <c r="W5877">
        <v>2.6004550000000001E-2</v>
      </c>
      <c r="X5877">
        <v>0.9247301</v>
      </c>
      <c r="Y5877">
        <v>-0.51936099999999996</v>
      </c>
      <c r="Z5877">
        <v>-1.7659459999999998E-2</v>
      </c>
      <c r="AA5877">
        <v>0.85437249999999998</v>
      </c>
      <c r="AB5877">
        <v>30</v>
      </c>
      <c r="AC5877">
        <v>0.36770000000001302</v>
      </c>
      <c r="AD5877">
        <v>-0.111723999999999</v>
      </c>
      <c r="AE5877">
        <v>0.65086999999998996</v>
      </c>
      <c r="AF5877">
        <v>-0.44171694308218301</v>
      </c>
      <c r="AG5877">
        <v>-0.111723999999999</v>
      </c>
      <c r="AH5877">
        <v>0.58272538170602095</v>
      </c>
      <c r="AI5877">
        <v>98.687107191196205</v>
      </c>
      <c r="AJ5877">
        <v>127.16282069958299</v>
      </c>
      <c r="AK5877">
        <v>0.73970600948369802</v>
      </c>
    </row>
    <row r="5878" spans="1:37" x14ac:dyDescent="0.2">
      <c r="A5878" t="str">
        <f>"20200111153805201"</f>
        <v>20200111153805201</v>
      </c>
      <c r="B5878" t="str">
        <f>"1578728285189002"</f>
        <v>1578728285189002</v>
      </c>
      <c r="C5878" t="s">
        <v>37</v>
      </c>
      <c r="D5878">
        <v>6.0130989999999898</v>
      </c>
      <c r="E5878">
        <v>0.43433189999999999</v>
      </c>
      <c r="F5878" t="s">
        <v>38</v>
      </c>
      <c r="G5878">
        <v>-201.73920000000001</v>
      </c>
      <c r="H5878">
        <v>0.98967780000000005</v>
      </c>
      <c r="I5878">
        <v>-59.351190000000003</v>
      </c>
      <c r="J5878">
        <v>-202.15770000000001</v>
      </c>
      <c r="K5878">
        <v>1.116058</v>
      </c>
      <c r="L5878">
        <v>-60.093260000000001</v>
      </c>
      <c r="M5878">
        <v>0.91460560000000002</v>
      </c>
      <c r="N5878">
        <v>0</v>
      </c>
      <c r="O5878">
        <v>0.40406129999999901</v>
      </c>
      <c r="P5878">
        <v>0.69329339999999995</v>
      </c>
      <c r="Q5878">
        <v>2.261879E-2</v>
      </c>
      <c r="R5878">
        <v>0.72030039999999995</v>
      </c>
      <c r="S5878">
        <v>1.74472</v>
      </c>
      <c r="T5878">
        <v>-0.38820739999999998</v>
      </c>
      <c r="U5878">
        <v>2.503174</v>
      </c>
      <c r="V5878">
        <v>-0.37958370000000002</v>
      </c>
      <c r="W5878">
        <v>2.6010740000000001E-2</v>
      </c>
      <c r="X5878">
        <v>0.92479159999999905</v>
      </c>
      <c r="Y5878">
        <v>-0.51837579999999905</v>
      </c>
      <c r="Z5878">
        <v>-1.8814069999999999E-2</v>
      </c>
      <c r="AA5878">
        <v>0.85494599999999898</v>
      </c>
      <c r="AB5878">
        <v>30</v>
      </c>
      <c r="AC5878">
        <v>0.41849999999999399</v>
      </c>
      <c r="AD5878">
        <v>-0.126380199999999</v>
      </c>
      <c r="AE5878">
        <v>0.74206999999999801</v>
      </c>
      <c r="AF5878">
        <v>-0.49868666304382397</v>
      </c>
      <c r="AG5878">
        <v>-0.126380199999999</v>
      </c>
      <c r="AH5878">
        <v>0.66798364522944098</v>
      </c>
      <c r="AI5878">
        <v>98.620823538032795</v>
      </c>
      <c r="AJ5878">
        <v>126.743370191786</v>
      </c>
      <c r="AK5878">
        <v>0.84312661750406004</v>
      </c>
    </row>
    <row r="5879" spans="1:37" x14ac:dyDescent="0.2">
      <c r="A5879" t="str">
        <f>"20200111153805214"</f>
        <v>20200111153805214</v>
      </c>
      <c r="B5879" t="str">
        <f>"1578728285208524"</f>
        <v>1578728285208524</v>
      </c>
      <c r="C5879" t="s">
        <v>37</v>
      </c>
      <c r="D5879">
        <v>6.0028100000000002</v>
      </c>
      <c r="E5879">
        <v>0.43561270000000002</v>
      </c>
      <c r="F5879" t="s">
        <v>53</v>
      </c>
      <c r="G5879">
        <v>-197.19900000000001</v>
      </c>
      <c r="H5879" s="1">
        <v>-9.6214459999999999E-6</v>
      </c>
      <c r="I5879">
        <v>-52.858809999999998</v>
      </c>
      <c r="J5879">
        <v>-201.99860000000001</v>
      </c>
      <c r="K5879">
        <v>1.1161369999999999</v>
      </c>
      <c r="L5879">
        <v>-60.014069999999997</v>
      </c>
      <c r="M5879">
        <v>0.91104660000000004</v>
      </c>
      <c r="N5879">
        <v>0</v>
      </c>
      <c r="O5879">
        <v>0.412022</v>
      </c>
      <c r="P5879">
        <v>0.68698789999999998</v>
      </c>
      <c r="Q5879">
        <v>2.2499539999999998E-2</v>
      </c>
      <c r="R5879">
        <v>0.72632039999999998</v>
      </c>
      <c r="S5879">
        <v>1.7250669999999999</v>
      </c>
      <c r="T5879">
        <v>-0.38826759999999999</v>
      </c>
      <c r="U5879">
        <v>2.516785</v>
      </c>
      <c r="V5879">
        <v>-0.37958579999999997</v>
      </c>
      <c r="W5879">
        <v>2.584295E-2</v>
      </c>
      <c r="X5879">
        <v>0.92479549999999999</v>
      </c>
      <c r="Y5879">
        <v>-0.51767350000000001</v>
      </c>
      <c r="Z5879">
        <v>-2.0001809999999998E-2</v>
      </c>
      <c r="AA5879">
        <v>0.8553444</v>
      </c>
      <c r="AB5879">
        <v>30</v>
      </c>
      <c r="AC5879">
        <v>4.7995999999999901</v>
      </c>
      <c r="AD5879">
        <v>-1.1161466214460001</v>
      </c>
      <c r="AE5879">
        <v>7.1552599999999904</v>
      </c>
      <c r="AF5879">
        <v>-4.4668000679765898</v>
      </c>
      <c r="AG5879">
        <v>-1.1161466214460001</v>
      </c>
      <c r="AH5879">
        <v>7.20079034329554</v>
      </c>
      <c r="AI5879">
        <v>97.503736123537493</v>
      </c>
      <c r="AJ5879">
        <v>121.812188016612</v>
      </c>
      <c r="AK5879">
        <v>8.5468981330035394</v>
      </c>
    </row>
    <row r="5880" spans="1:37" x14ac:dyDescent="0.2">
      <c r="A5880" t="str">
        <f>"20200111153805228"</f>
        <v>20200111153805228</v>
      </c>
      <c r="B5880" t="str">
        <f>"1578728285219257"</f>
        <v>1578728285219257</v>
      </c>
      <c r="C5880" t="s">
        <v>37</v>
      </c>
      <c r="D5880">
        <v>6.0995410000000003</v>
      </c>
      <c r="E5880">
        <v>0.43602770000000002</v>
      </c>
      <c r="F5880" t="s">
        <v>38</v>
      </c>
      <c r="G5880">
        <v>-201.4872</v>
      </c>
      <c r="H5880">
        <v>0.99960419999999905</v>
      </c>
      <c r="I5880">
        <v>-59.259480000000003</v>
      </c>
      <c r="J5880">
        <v>-201.84180000000001</v>
      </c>
      <c r="K5880">
        <v>1.1162099999999999</v>
      </c>
      <c r="L5880">
        <v>-59.934330000000003</v>
      </c>
      <c r="M5880">
        <v>0.90743240000000003</v>
      </c>
      <c r="N5880">
        <v>0</v>
      </c>
      <c r="O5880">
        <v>0.4199213</v>
      </c>
      <c r="P5880">
        <v>0.68065699999999996</v>
      </c>
      <c r="Q5880">
        <v>2.2312559999999999E-2</v>
      </c>
      <c r="R5880">
        <v>0.73226259999999999</v>
      </c>
      <c r="S5880">
        <v>1.7104950000000001</v>
      </c>
      <c r="T5880">
        <v>-0.389841099999999</v>
      </c>
      <c r="U5880">
        <v>2.5246279999999999</v>
      </c>
      <c r="V5880">
        <v>-0.37958500000000001</v>
      </c>
      <c r="W5880">
        <v>2.5611769999999999E-2</v>
      </c>
      <c r="X5880">
        <v>0.92480229999999997</v>
      </c>
      <c r="Y5880">
        <v>-0.5149165</v>
      </c>
      <c r="Z5880">
        <v>-2.1426540000000001E-2</v>
      </c>
      <c r="AA5880">
        <v>0.85697250000000003</v>
      </c>
      <c r="AB5880">
        <v>30</v>
      </c>
      <c r="AC5880">
        <v>0.35460000000000402</v>
      </c>
      <c r="AD5880">
        <v>-0.1166058</v>
      </c>
      <c r="AE5880">
        <v>0.67484999999999895</v>
      </c>
      <c r="AF5880">
        <v>-0.45293371750740802</v>
      </c>
      <c r="AG5880">
        <v>-0.1166058</v>
      </c>
      <c r="AH5880">
        <v>0.59139354235921004</v>
      </c>
      <c r="AI5880">
        <v>98.896662735151594</v>
      </c>
      <c r="AJ5880">
        <v>127.44761243509799</v>
      </c>
      <c r="AK5880">
        <v>0.75398420871586902</v>
      </c>
    </row>
    <row r="5881" spans="1:37" x14ac:dyDescent="0.2">
      <c r="A5881" t="str">
        <f>"20200111153805244"</f>
        <v>20200111153805244</v>
      </c>
      <c r="B5881" t="str">
        <f>"1578728285238778"</f>
        <v>1578728285238778</v>
      </c>
      <c r="C5881" t="s">
        <v>37</v>
      </c>
      <c r="D5881">
        <v>6.0393530000000002</v>
      </c>
      <c r="E5881">
        <v>0.43639990000000001</v>
      </c>
      <c r="F5881" t="s">
        <v>38</v>
      </c>
      <c r="G5881">
        <v>-201.28579999999999</v>
      </c>
      <c r="H5881">
        <v>0.98949639999999905</v>
      </c>
      <c r="I5881">
        <v>-59.09986</v>
      </c>
      <c r="J5881">
        <v>-201.65180000000001</v>
      </c>
      <c r="K5881">
        <v>1.1162969999999901</v>
      </c>
      <c r="L5881">
        <v>-59.835540000000002</v>
      </c>
      <c r="M5881">
        <v>0.9029064</v>
      </c>
      <c r="N5881">
        <v>0</v>
      </c>
      <c r="O5881">
        <v>0.42956529999999998</v>
      </c>
      <c r="P5881">
        <v>0.67274999999999996</v>
      </c>
      <c r="Q5881">
        <v>2.1892689999999999E-2</v>
      </c>
      <c r="R5881">
        <v>0.73954580000000003</v>
      </c>
      <c r="S5881">
        <v>1.6905669999999999</v>
      </c>
      <c r="T5881">
        <v>-0.38526050000000001</v>
      </c>
      <c r="U5881">
        <v>2.5372309999999998</v>
      </c>
      <c r="V5881">
        <v>-0.37967339999999999</v>
      </c>
      <c r="W5881">
        <v>2.513746E-2</v>
      </c>
      <c r="X5881">
        <v>0.92477900000000002</v>
      </c>
      <c r="Y5881">
        <v>-0.51250309999999999</v>
      </c>
      <c r="Z5881">
        <v>-2.272358E-2</v>
      </c>
      <c r="AA5881">
        <v>0.8583847</v>
      </c>
      <c r="AB5881">
        <v>30</v>
      </c>
      <c r="AC5881">
        <v>0.36600000000001298</v>
      </c>
      <c r="AD5881">
        <v>-0.12680059999999899</v>
      </c>
      <c r="AE5881">
        <v>0.735680000000002</v>
      </c>
      <c r="AF5881">
        <v>-0.49529387652408302</v>
      </c>
      <c r="AG5881">
        <v>-0.12680059999999899</v>
      </c>
      <c r="AH5881">
        <v>0.63152314645622099</v>
      </c>
      <c r="AI5881">
        <v>98.978001055523407</v>
      </c>
      <c r="AJ5881">
        <v>128.10654356465199</v>
      </c>
      <c r="AK5881">
        <v>0.81253670735086103</v>
      </c>
    </row>
    <row r="5882" spans="1:37" x14ac:dyDescent="0.2">
      <c r="A5882" t="str">
        <f>"20200111153805267"</f>
        <v>20200111153805267</v>
      </c>
      <c r="B5882" t="str">
        <f>"1578728285259274"</f>
        <v>1578728285259274</v>
      </c>
      <c r="C5882" t="s">
        <v>37</v>
      </c>
      <c r="D5882">
        <v>5.9759769999999897</v>
      </c>
      <c r="E5882">
        <v>0.43688009999999899</v>
      </c>
      <c r="F5882" t="s">
        <v>53</v>
      </c>
      <c r="G5882">
        <v>-196.89250000000001</v>
      </c>
      <c r="H5882" s="1">
        <v>-9.7069390000000002E-6</v>
      </c>
      <c r="I5882">
        <v>-52.539469999999902</v>
      </c>
      <c r="J5882">
        <v>-201.38900000000001</v>
      </c>
      <c r="K5882">
        <v>1.1163989999999999</v>
      </c>
      <c r="L5882">
        <v>-59.694209999999998</v>
      </c>
      <c r="M5882">
        <v>0.89636830000000001</v>
      </c>
      <c r="N5882">
        <v>0</v>
      </c>
      <c r="O5882">
        <v>0.44304490000000002</v>
      </c>
      <c r="P5882">
        <v>0.66190179999999998</v>
      </c>
      <c r="Q5882">
        <v>2.176896E-2</v>
      </c>
      <c r="R5882">
        <v>0.74927440000000001</v>
      </c>
      <c r="S5882">
        <v>1.66542099999999</v>
      </c>
      <c r="T5882">
        <v>-0.39063189999999998</v>
      </c>
      <c r="U5882">
        <v>2.553131</v>
      </c>
      <c r="V5882">
        <v>-0.37930150000000001</v>
      </c>
      <c r="W5882">
        <v>2.4964429999999999E-2</v>
      </c>
      <c r="X5882">
        <v>0.92493630000000004</v>
      </c>
      <c r="Y5882">
        <v>-0.50810200000000005</v>
      </c>
      <c r="Z5882">
        <v>-2.5304130000000001E-2</v>
      </c>
      <c r="AA5882">
        <v>0.8609251</v>
      </c>
      <c r="AB5882">
        <v>30</v>
      </c>
      <c r="AC5882">
        <v>4.4964999999999904</v>
      </c>
      <c r="AD5882">
        <v>-1.1164087069390001</v>
      </c>
      <c r="AE5882">
        <v>7.1547400000000003</v>
      </c>
      <c r="AF5882">
        <v>-4.3457989958885799</v>
      </c>
      <c r="AG5882">
        <v>-1.1164087069390001</v>
      </c>
      <c r="AH5882">
        <v>7.0777035090257296</v>
      </c>
      <c r="AI5882">
        <v>97.655776857761396</v>
      </c>
      <c r="AJ5882">
        <v>121.550448461312</v>
      </c>
      <c r="AK5882">
        <v>8.3801088462662907</v>
      </c>
    </row>
    <row r="5883" spans="1:37" x14ac:dyDescent="0.2">
      <c r="A5883" t="str">
        <f>"20200111153805289"</f>
        <v>20200111153805289</v>
      </c>
      <c r="B5883" t="str">
        <f>"1578728285278796"</f>
        <v>1578728285278796</v>
      </c>
      <c r="C5883" t="s">
        <v>37</v>
      </c>
      <c r="D5883">
        <v>5.8806070000000004</v>
      </c>
      <c r="E5883">
        <v>0.44403720000000002</v>
      </c>
      <c r="F5883" t="s">
        <v>38</v>
      </c>
      <c r="G5883">
        <v>-200.84370000000001</v>
      </c>
      <c r="H5883">
        <v>0.98545469999999902</v>
      </c>
      <c r="I5883">
        <v>-58.833519999999901</v>
      </c>
      <c r="J5883">
        <v>-201.12899999999999</v>
      </c>
      <c r="K5883">
        <v>1.11649</v>
      </c>
      <c r="L5883">
        <v>-59.549289999999999</v>
      </c>
      <c r="M5883">
        <v>0.88958510000000002</v>
      </c>
      <c r="N5883">
        <v>0</v>
      </c>
      <c r="O5883">
        <v>0.456510999999999</v>
      </c>
      <c r="P5883">
        <v>0.65087069999999903</v>
      </c>
      <c r="Q5883">
        <v>2.202542E-2</v>
      </c>
      <c r="R5883">
        <v>0.75886909999999996</v>
      </c>
      <c r="S5883">
        <v>1.630844</v>
      </c>
      <c r="T5883">
        <v>-0.39165640000000002</v>
      </c>
      <c r="U5883">
        <v>2.5745849999999999</v>
      </c>
      <c r="V5883">
        <v>-0.378891799999999</v>
      </c>
      <c r="W5883">
        <v>2.5183230000000001E-2</v>
      </c>
      <c r="X5883">
        <v>0.92509819999999998</v>
      </c>
      <c r="Y5883">
        <v>-0.50669629999999999</v>
      </c>
      <c r="Z5883">
        <v>-2.743247E-2</v>
      </c>
      <c r="AA5883">
        <v>0.86168809999999996</v>
      </c>
      <c r="AB5883">
        <v>30</v>
      </c>
      <c r="AC5883">
        <v>0.28530000000000599</v>
      </c>
      <c r="AD5883">
        <v>-0.13103529999999999</v>
      </c>
      <c r="AE5883">
        <v>0.71577000000000601</v>
      </c>
      <c r="AF5883">
        <v>-0.492317873914906</v>
      </c>
      <c r="AG5883">
        <v>-0.13103529999999999</v>
      </c>
      <c r="AH5883">
        <v>0.56430455636280696</v>
      </c>
      <c r="AI5883">
        <v>99.924898351298197</v>
      </c>
      <c r="AJ5883">
        <v>131.102515669029</v>
      </c>
      <c r="AK5883">
        <v>0.76025441212399902</v>
      </c>
    </row>
    <row r="5884" spans="1:37" x14ac:dyDescent="0.2">
      <c r="A5884" t="str">
        <f>"20200111153805304"</f>
        <v>20200111153805304</v>
      </c>
      <c r="B5884" t="str">
        <f>"1578728285299290"</f>
        <v>1578728285299290</v>
      </c>
      <c r="C5884" t="s">
        <v>37</v>
      </c>
      <c r="D5884">
        <v>5.9124169999999996</v>
      </c>
      <c r="E5884">
        <v>0.44583620000000002</v>
      </c>
      <c r="F5884" t="s">
        <v>38</v>
      </c>
      <c r="G5884">
        <v>-200.6027</v>
      </c>
      <c r="H5884">
        <v>1.011261</v>
      </c>
      <c r="I5884">
        <v>-58.723769999999902</v>
      </c>
      <c r="J5884">
        <v>-200.9581</v>
      </c>
      <c r="K5884">
        <v>1.1165479999999901</v>
      </c>
      <c r="L5884">
        <v>-59.45129</v>
      </c>
      <c r="M5884">
        <v>0.88495249999999903</v>
      </c>
      <c r="N5884">
        <v>0</v>
      </c>
      <c r="O5884">
        <v>0.46542669999999903</v>
      </c>
      <c r="P5884">
        <v>0.6432949</v>
      </c>
      <c r="Q5884">
        <v>2.232253E-2</v>
      </c>
      <c r="R5884">
        <v>0.765293</v>
      </c>
      <c r="S5884">
        <v>1.633316</v>
      </c>
      <c r="T5884">
        <v>-0.32656469999999999</v>
      </c>
      <c r="U5884">
        <v>2.5618590000000001</v>
      </c>
      <c r="V5884">
        <v>-0.37879699999999999</v>
      </c>
      <c r="W5884">
        <v>2.5453980000000001E-2</v>
      </c>
      <c r="X5884">
        <v>0.92512969999999894</v>
      </c>
      <c r="Y5884">
        <v>-0.49573409999999901</v>
      </c>
      <c r="Z5884">
        <v>-2.4709640000000001E-2</v>
      </c>
      <c r="AA5884">
        <v>0.86812279999999997</v>
      </c>
      <c r="AB5884">
        <v>30</v>
      </c>
      <c r="AC5884">
        <v>0.35540000000000299</v>
      </c>
      <c r="AD5884">
        <v>-0.10528699999999901</v>
      </c>
      <c r="AE5884">
        <v>0.72752000000000505</v>
      </c>
      <c r="AF5884">
        <v>-0.47050894195389598</v>
      </c>
      <c r="AG5884">
        <v>-0.10528699999999901</v>
      </c>
      <c r="AH5884">
        <v>0.64233561947198103</v>
      </c>
      <c r="AI5884">
        <v>97.532678790728895</v>
      </c>
      <c r="AJ5884">
        <v>126.22266612569</v>
      </c>
      <c r="AK5884">
        <v>0.80315569155054201</v>
      </c>
    </row>
    <row r="5885" spans="1:37" x14ac:dyDescent="0.2">
      <c r="A5885" t="str">
        <f>"20200111153805317"</f>
        <v>20200111153805317</v>
      </c>
      <c r="B5885" t="str">
        <f>"1578728285309050"</f>
        <v>1578728285309050</v>
      </c>
      <c r="C5885" t="s">
        <v>37</v>
      </c>
      <c r="D5885">
        <v>5.8959650000000003</v>
      </c>
      <c r="E5885">
        <v>0.44565670000000002</v>
      </c>
      <c r="F5885" t="s">
        <v>38</v>
      </c>
      <c r="G5885">
        <v>-200.4007</v>
      </c>
      <c r="H5885">
        <v>1.002578</v>
      </c>
      <c r="I5885">
        <v>-58.567149999999998</v>
      </c>
      <c r="J5885">
        <v>-200.79730000000001</v>
      </c>
      <c r="K5885">
        <v>1.1165959999999999</v>
      </c>
      <c r="L5885">
        <v>-59.357030000000002</v>
      </c>
      <c r="M5885">
        <v>0.88046749999999996</v>
      </c>
      <c r="N5885">
        <v>0</v>
      </c>
      <c r="O5885">
        <v>0.473856</v>
      </c>
      <c r="P5885">
        <v>0.63615690000000003</v>
      </c>
      <c r="Q5885">
        <v>2.205586E-2</v>
      </c>
      <c r="R5885">
        <v>0.77124440000000005</v>
      </c>
      <c r="S5885">
        <v>1.6190639999999901</v>
      </c>
      <c r="T5885">
        <v>-0.33108779999999999</v>
      </c>
      <c r="U5885">
        <v>2.568756</v>
      </c>
      <c r="V5885">
        <v>-0.37856059999999903</v>
      </c>
      <c r="W5885">
        <v>2.5171309999999999E-2</v>
      </c>
      <c r="X5885">
        <v>0.92523409999999995</v>
      </c>
      <c r="Y5885">
        <v>-0.49197839999999998</v>
      </c>
      <c r="Z5885">
        <v>-2.6329740000000001E-2</v>
      </c>
      <c r="AA5885">
        <v>0.87020919999999902</v>
      </c>
      <c r="AB5885">
        <v>30</v>
      </c>
      <c r="AC5885">
        <v>0.396600000000006</v>
      </c>
      <c r="AD5885">
        <v>-0.114017999999999</v>
      </c>
      <c r="AE5885">
        <v>0.78988000000000302</v>
      </c>
      <c r="AF5885">
        <v>-0.49928398956472902</v>
      </c>
      <c r="AG5885">
        <v>-0.114017999999999</v>
      </c>
      <c r="AH5885">
        <v>0.71172478327869804</v>
      </c>
      <c r="AI5885">
        <v>97.471547062829103</v>
      </c>
      <c r="AJ5885">
        <v>125.050148364039</v>
      </c>
      <c r="AK5885">
        <v>0.87683337852341303</v>
      </c>
    </row>
    <row r="5886" spans="1:37" x14ac:dyDescent="0.2">
      <c r="A5886" t="str">
        <f>"20200111153805336"</f>
        <v>20200111153805336</v>
      </c>
      <c r="B5886" t="str">
        <f>"1578728285329546"</f>
        <v>1578728285329546</v>
      </c>
      <c r="C5886" t="s">
        <v>37</v>
      </c>
      <c r="D5886">
        <v>5.9806739999999996</v>
      </c>
      <c r="E5886">
        <v>0.44572719999999999</v>
      </c>
      <c r="F5886" t="s">
        <v>38</v>
      </c>
      <c r="G5886">
        <v>-200.3476</v>
      </c>
      <c r="H5886">
        <v>1.021674</v>
      </c>
      <c r="I5886">
        <v>-58.628399999999999</v>
      </c>
      <c r="J5886">
        <v>-200.59540000000001</v>
      </c>
      <c r="K5886">
        <v>1.1166339999999999</v>
      </c>
      <c r="L5886">
        <v>-59.235140000000001</v>
      </c>
      <c r="M5886">
        <v>0.87464660000000005</v>
      </c>
      <c r="N5886">
        <v>0</v>
      </c>
      <c r="O5886">
        <v>0.48451519999999998</v>
      </c>
      <c r="P5886">
        <v>0.62711209999999995</v>
      </c>
      <c r="Q5886">
        <v>2.203975E-2</v>
      </c>
      <c r="R5886">
        <v>0.77861720000000001</v>
      </c>
      <c r="S5886">
        <v>1.5942689999999999</v>
      </c>
      <c r="T5886">
        <v>-0.3366287</v>
      </c>
      <c r="U5886">
        <v>2.5844119999999999</v>
      </c>
      <c r="V5886">
        <v>-0.37812489999999999</v>
      </c>
      <c r="W5886">
        <v>2.5145560000000001E-2</v>
      </c>
      <c r="X5886">
        <v>0.92541299999999904</v>
      </c>
      <c r="Y5886">
        <v>-0.48985489999999998</v>
      </c>
      <c r="Z5886">
        <v>-2.8236979999999998E-2</v>
      </c>
      <c r="AA5886">
        <v>0.87134650000000002</v>
      </c>
      <c r="AB5886">
        <v>30</v>
      </c>
      <c r="AC5886">
        <v>0.24780000000001201</v>
      </c>
      <c r="AD5886">
        <v>-9.4959999999999906E-2</v>
      </c>
      <c r="AE5886">
        <v>0.60674000000000206</v>
      </c>
      <c r="AF5886">
        <v>-0.40222514458379199</v>
      </c>
      <c r="AG5886">
        <v>-9.4959999999999906E-2</v>
      </c>
      <c r="AH5886">
        <v>0.50027074811986805</v>
      </c>
      <c r="AI5886">
        <v>98.414860069941696</v>
      </c>
      <c r="AJ5886">
        <v>128.79980078965801</v>
      </c>
      <c r="AK5886">
        <v>0.64890160267937802</v>
      </c>
    </row>
    <row r="5887" spans="1:37" x14ac:dyDescent="0.2">
      <c r="A5887" t="str">
        <f>"20200111153805349"</f>
        <v>20200111153805349</v>
      </c>
      <c r="B5887" t="str">
        <f>"1578728285339306"</f>
        <v>1578728285339306</v>
      </c>
      <c r="C5887" t="s">
        <v>37</v>
      </c>
      <c r="D5887">
        <v>5.9023959999999898</v>
      </c>
      <c r="E5887">
        <v>0.44545820000000003</v>
      </c>
      <c r="F5887" t="s">
        <v>38</v>
      </c>
      <c r="G5887">
        <v>-200.13990000000001</v>
      </c>
      <c r="H5887">
        <v>1.013747</v>
      </c>
      <c r="I5887">
        <v>-58.478180000000002</v>
      </c>
      <c r="J5887">
        <v>-200.446</v>
      </c>
      <c r="K5887">
        <v>1.116662</v>
      </c>
      <c r="L5887">
        <v>-59.142669999999903</v>
      </c>
      <c r="M5887">
        <v>0.87020769999999903</v>
      </c>
      <c r="N5887">
        <v>0</v>
      </c>
      <c r="O5887">
        <v>0.49244269999999901</v>
      </c>
      <c r="P5887">
        <v>0.62027600000000005</v>
      </c>
      <c r="Q5887">
        <v>2.166891E-2</v>
      </c>
      <c r="R5887">
        <v>0.78408429999999996</v>
      </c>
      <c r="S5887">
        <v>1.5655669999999999</v>
      </c>
      <c r="T5887">
        <v>-0.35367359999999998</v>
      </c>
      <c r="U5887">
        <v>2.6020810000000001</v>
      </c>
      <c r="V5887">
        <v>-0.37781300000000001</v>
      </c>
      <c r="W5887">
        <v>2.4771370000000001E-2</v>
      </c>
      <c r="X5887">
        <v>0.92555049999999905</v>
      </c>
      <c r="Y5887">
        <v>-0.49160859999999901</v>
      </c>
      <c r="Z5887">
        <v>-3.0598790000000001E-2</v>
      </c>
      <c r="AA5887">
        <v>0.87027849999999995</v>
      </c>
      <c r="AB5887">
        <v>30</v>
      </c>
      <c r="AC5887">
        <v>0.30609999999998599</v>
      </c>
      <c r="AD5887">
        <v>-0.10291500000000001</v>
      </c>
      <c r="AE5887">
        <v>0.66448999999999303</v>
      </c>
      <c r="AF5887">
        <v>-0.41926221830743199</v>
      </c>
      <c r="AG5887">
        <v>-0.10291500000000001</v>
      </c>
      <c r="AH5887">
        <v>0.582145117804587</v>
      </c>
      <c r="AI5887">
        <v>98.163613155343</v>
      </c>
      <c r="AJ5887">
        <v>125.761517939681</v>
      </c>
      <c r="AK5887">
        <v>0.72475184933105596</v>
      </c>
    </row>
    <row r="5888" spans="1:37" x14ac:dyDescent="0.2">
      <c r="A5888" t="str">
        <f>"20200111153805368"</f>
        <v>20200111153805368</v>
      </c>
      <c r="B5888" t="str">
        <f>"1578728285358826"</f>
        <v>1578728285358826</v>
      </c>
      <c r="C5888" t="s">
        <v>37</v>
      </c>
      <c r="D5888">
        <v>5.9402239999999997</v>
      </c>
      <c r="E5888">
        <v>0.44538509999999998</v>
      </c>
      <c r="F5888" t="s">
        <v>38</v>
      </c>
      <c r="G5888">
        <v>-199.95240000000001</v>
      </c>
      <c r="H5888">
        <v>1.000934</v>
      </c>
      <c r="I5888">
        <v>-58.304919999999903</v>
      </c>
      <c r="J5888">
        <v>-200.23840000000001</v>
      </c>
      <c r="K5888">
        <v>1.1166909999999901</v>
      </c>
      <c r="L5888">
        <v>-59.011319999999998</v>
      </c>
      <c r="M5888">
        <v>0.86386039999999997</v>
      </c>
      <c r="N5888">
        <v>0</v>
      </c>
      <c r="O5888">
        <v>0.50349339999999998</v>
      </c>
      <c r="P5888">
        <v>0.61098299999999905</v>
      </c>
      <c r="Q5888">
        <v>2.0382529999999999E-2</v>
      </c>
      <c r="R5888">
        <v>0.79138129999999995</v>
      </c>
      <c r="S5888">
        <v>1.541412</v>
      </c>
      <c r="T5888">
        <v>-0.36145250000000001</v>
      </c>
      <c r="U5888">
        <v>2.61673</v>
      </c>
      <c r="V5888">
        <v>-0.37692940000000003</v>
      </c>
      <c r="W5888">
        <v>2.3500960000000001E-2</v>
      </c>
      <c r="X5888">
        <v>0.92594390000000004</v>
      </c>
      <c r="Y5888">
        <v>-0.48866369999999998</v>
      </c>
      <c r="Z5888">
        <v>-3.2954190000000001E-2</v>
      </c>
      <c r="AA5888">
        <v>0.87184969999999995</v>
      </c>
      <c r="AB5888">
        <v>30</v>
      </c>
      <c r="AC5888">
        <v>0.28600000000000098</v>
      </c>
      <c r="AD5888">
        <v>-0.115756999999999</v>
      </c>
      <c r="AE5888">
        <v>0.70640000000000203</v>
      </c>
      <c r="AF5888">
        <v>-0.45577252089188097</v>
      </c>
      <c r="AG5888">
        <v>-0.115756999999999</v>
      </c>
      <c r="AH5888">
        <v>0.589210246392596</v>
      </c>
      <c r="AI5888">
        <v>98.8329108776244</v>
      </c>
      <c r="AJ5888">
        <v>127.72307064200599</v>
      </c>
      <c r="AK5888">
        <v>0.75385475278939695</v>
      </c>
    </row>
    <row r="5889" spans="1:37" x14ac:dyDescent="0.2">
      <c r="A5889" t="str">
        <f>"20200111153805389"</f>
        <v>20200111153805389</v>
      </c>
      <c r="B5889" t="str">
        <f>"1578728285379321"</f>
        <v>1578728285379321</v>
      </c>
      <c r="C5889" t="s">
        <v>37</v>
      </c>
      <c r="D5889">
        <v>6.7016349999999996</v>
      </c>
      <c r="E5889">
        <v>0.445667699999999</v>
      </c>
      <c r="F5889" t="s">
        <v>38</v>
      </c>
      <c r="G5889">
        <v>-199.7465</v>
      </c>
      <c r="H5889">
        <v>0.99570239999999999</v>
      </c>
      <c r="I5889">
        <v>-58.152709999999999</v>
      </c>
      <c r="J5889">
        <v>-200.00370000000001</v>
      </c>
      <c r="K5889">
        <v>1.1167180000000001</v>
      </c>
      <c r="L5889">
        <v>-58.858179999999997</v>
      </c>
      <c r="M5889">
        <v>0.85642209999999996</v>
      </c>
      <c r="N5889">
        <v>0</v>
      </c>
      <c r="O5889">
        <v>0.51604349999999999</v>
      </c>
      <c r="P5889">
        <v>0.60031650000000003</v>
      </c>
      <c r="Q5889">
        <v>1.9439100000000001E-2</v>
      </c>
      <c r="R5889">
        <v>0.79952619999999996</v>
      </c>
      <c r="S5889">
        <v>1.509857</v>
      </c>
      <c r="T5889">
        <v>-0.37130740000000001</v>
      </c>
      <c r="U5889">
        <v>2.634735</v>
      </c>
      <c r="V5889">
        <v>-0.37583049999999901</v>
      </c>
      <c r="W5889">
        <v>2.258568E-2</v>
      </c>
      <c r="X5889">
        <v>0.92641319999999905</v>
      </c>
      <c r="Y5889">
        <v>-0.48643029999999998</v>
      </c>
      <c r="Z5889">
        <v>-3.5751789999999999E-2</v>
      </c>
      <c r="AA5889">
        <v>0.87298759999999997</v>
      </c>
      <c r="AB5889">
        <v>30</v>
      </c>
      <c r="AC5889">
        <v>0.25720000000001098</v>
      </c>
      <c r="AD5889">
        <v>-0.1210156</v>
      </c>
      <c r="AE5889">
        <v>0.70547000000000504</v>
      </c>
      <c r="AF5889">
        <v>-0.45957372132532398</v>
      </c>
      <c r="AG5889">
        <v>-0.1210156</v>
      </c>
      <c r="AH5889">
        <v>0.56960078113271995</v>
      </c>
      <c r="AI5889">
        <v>99.388807636136903</v>
      </c>
      <c r="AJ5889">
        <v>128.89779639909901</v>
      </c>
      <c r="AK5889">
        <v>0.74182061891212703</v>
      </c>
    </row>
    <row r="5890" spans="1:37" x14ac:dyDescent="0.2">
      <c r="A5890" t="str">
        <f>"20200111153805402"</f>
        <v>20200111153805402</v>
      </c>
      <c r="B5890" t="str">
        <f>"1578728285398841"</f>
        <v>1578728285398841</v>
      </c>
      <c r="C5890" t="s">
        <v>37</v>
      </c>
      <c r="D5890">
        <v>5.9385539999999999</v>
      </c>
      <c r="E5890">
        <v>0.45571519999999999</v>
      </c>
      <c r="F5890" t="s">
        <v>38</v>
      </c>
      <c r="G5890">
        <v>-199.5317</v>
      </c>
      <c r="H5890">
        <v>0.99623059999999997</v>
      </c>
      <c r="I5890">
        <v>-58.009880000000003</v>
      </c>
      <c r="J5890">
        <v>-199.86170000000001</v>
      </c>
      <c r="K5890">
        <v>1.1167320000000001</v>
      </c>
      <c r="L5890">
        <v>-58.763369999999902</v>
      </c>
      <c r="M5890">
        <v>0.85178949999999998</v>
      </c>
      <c r="N5890">
        <v>0</v>
      </c>
      <c r="O5890">
        <v>0.52365450000000002</v>
      </c>
      <c r="P5890">
        <v>0.593723</v>
      </c>
      <c r="Q5890">
        <v>1.921119E-2</v>
      </c>
      <c r="R5890">
        <v>0.80444009999999999</v>
      </c>
      <c r="S5890">
        <v>1.476151</v>
      </c>
      <c r="T5890">
        <v>-0.3767915</v>
      </c>
      <c r="U5890">
        <v>2.6530149999999999</v>
      </c>
      <c r="V5890">
        <v>-0.37519079999999999</v>
      </c>
      <c r="W5890">
        <v>2.2376400000000001E-2</v>
      </c>
      <c r="X5890">
        <v>0.92667749999999904</v>
      </c>
      <c r="Y5890">
        <v>-0.4896819</v>
      </c>
      <c r="Z5890">
        <v>-3.7160720000000001E-2</v>
      </c>
      <c r="AA5890">
        <v>0.87110889999999996</v>
      </c>
      <c r="AB5890">
        <v>30</v>
      </c>
      <c r="AC5890">
        <v>0.33000000000001201</v>
      </c>
      <c r="AD5890">
        <v>-0.120501399999999</v>
      </c>
      <c r="AE5890">
        <v>0.753489999999992</v>
      </c>
      <c r="AF5890">
        <v>-0.45921083290864401</v>
      </c>
      <c r="AG5890">
        <v>-0.120501399999999</v>
      </c>
      <c r="AH5890">
        <v>0.66154379032698596</v>
      </c>
      <c r="AI5890">
        <v>98.510291796823495</v>
      </c>
      <c r="AJ5890">
        <v>124.76646051167</v>
      </c>
      <c r="AK5890">
        <v>0.81426983425815602</v>
      </c>
    </row>
    <row r="5891" spans="1:37" x14ac:dyDescent="0.2">
      <c r="A5891" t="str">
        <f>"20200111153805416"</f>
        <v>20200111153805416</v>
      </c>
      <c r="B5891" t="str">
        <f>"1578728285409578"</f>
        <v>1578728285409578</v>
      </c>
      <c r="C5891" t="s">
        <v>37</v>
      </c>
      <c r="D5891">
        <v>5.9497019999999896</v>
      </c>
      <c r="E5891">
        <v>0.43626609999999999</v>
      </c>
      <c r="F5891" t="s">
        <v>38</v>
      </c>
      <c r="G5891">
        <v>-199.33250000000001</v>
      </c>
      <c r="H5891">
        <v>0.99325169999999996</v>
      </c>
      <c r="I5891">
        <v>-57.850430000000003</v>
      </c>
      <c r="J5891">
        <v>-199.71260000000001</v>
      </c>
      <c r="K5891">
        <v>1.116743</v>
      </c>
      <c r="L5891">
        <v>-58.661499999999997</v>
      </c>
      <c r="M5891">
        <v>0.84680599999999995</v>
      </c>
      <c r="N5891">
        <v>0</v>
      </c>
      <c r="O5891">
        <v>0.53167519999999902</v>
      </c>
      <c r="P5891">
        <v>0.58645259999999999</v>
      </c>
      <c r="Q5891">
        <v>1.9509809999999999E-2</v>
      </c>
      <c r="R5891">
        <v>0.80974860000000004</v>
      </c>
      <c r="S5891">
        <v>1.5174559999999999</v>
      </c>
      <c r="T5891">
        <v>-0.35406140000000003</v>
      </c>
      <c r="U5891">
        <v>2.6177980000000001</v>
      </c>
      <c r="V5891">
        <v>-0.37479040000000002</v>
      </c>
      <c r="W5891">
        <v>2.2687700000000002E-2</v>
      </c>
      <c r="X5891">
        <v>0.92683189999999904</v>
      </c>
      <c r="Y5891">
        <v>-0.46611750000000002</v>
      </c>
      <c r="Z5891">
        <v>-3.7548970000000001E-2</v>
      </c>
      <c r="AA5891">
        <v>0.88392569999999904</v>
      </c>
      <c r="AB5891">
        <v>30</v>
      </c>
      <c r="AC5891">
        <v>0.380099999999998</v>
      </c>
      <c r="AD5891">
        <v>-0.1234913</v>
      </c>
      <c r="AE5891">
        <v>0.81106999999999296</v>
      </c>
      <c r="AF5891">
        <v>-0.47574481056118301</v>
      </c>
      <c r="AG5891">
        <v>-0.1234913</v>
      </c>
      <c r="AH5891">
        <v>0.73913822118136496</v>
      </c>
      <c r="AI5891">
        <v>97.997092434369705</v>
      </c>
      <c r="AJ5891">
        <v>122.767275716512</v>
      </c>
      <c r="AK5891">
        <v>0.88764212155729705</v>
      </c>
    </row>
    <row r="5892" spans="1:37" x14ac:dyDescent="0.2">
      <c r="A5892" t="str">
        <f>"20200111153805434"</f>
        <v>20200111153805434</v>
      </c>
      <c r="B5892" t="str">
        <f>"1578728285429098"</f>
        <v>1578728285429098</v>
      </c>
      <c r="C5892" t="s">
        <v>37</v>
      </c>
      <c r="D5892">
        <v>5.9173460000000002</v>
      </c>
      <c r="E5892">
        <v>0.43338459999999901</v>
      </c>
      <c r="F5892" t="s">
        <v>38</v>
      </c>
      <c r="G5892">
        <v>-199.31389999999999</v>
      </c>
      <c r="H5892">
        <v>1.0049250000000001</v>
      </c>
      <c r="I5892">
        <v>-57.869309999999999</v>
      </c>
      <c r="J5892">
        <v>-199.51060000000001</v>
      </c>
      <c r="K5892">
        <v>1.116762</v>
      </c>
      <c r="L5892">
        <v>-58.52008</v>
      </c>
      <c r="M5892">
        <v>0.83986890000000003</v>
      </c>
      <c r="N5892">
        <v>0</v>
      </c>
      <c r="O5892">
        <v>0.54256669999999996</v>
      </c>
      <c r="P5892">
        <v>0.57695129999999994</v>
      </c>
      <c r="Q5892">
        <v>2.0002410000000002E-2</v>
      </c>
      <c r="R5892">
        <v>0.81653359999999997</v>
      </c>
      <c r="S5892">
        <v>1.36972</v>
      </c>
      <c r="T5892">
        <v>-0.38420490000000002</v>
      </c>
      <c r="U5892">
        <v>2.7221069999999998</v>
      </c>
      <c r="V5892">
        <v>-0.3736564</v>
      </c>
      <c r="W5892">
        <v>2.3223520000000001E-2</v>
      </c>
      <c r="X5892">
        <v>0.9272764</v>
      </c>
      <c r="Y5892">
        <v>-0.50629389999999996</v>
      </c>
      <c r="Z5892">
        <v>-3.9425750000000002E-2</v>
      </c>
      <c r="AA5892">
        <v>0.86145930000000004</v>
      </c>
      <c r="AB5892">
        <v>30</v>
      </c>
      <c r="AC5892">
        <v>0.196700000000021</v>
      </c>
      <c r="AD5892">
        <v>-0.11183699999999901</v>
      </c>
      <c r="AE5892">
        <v>0.65077000000000795</v>
      </c>
      <c r="AF5892">
        <v>-0.428301379465304</v>
      </c>
      <c r="AG5892">
        <v>-0.11183699999999901</v>
      </c>
      <c r="AH5892">
        <v>0.50469332510452003</v>
      </c>
      <c r="AI5892">
        <v>99.589829361138797</v>
      </c>
      <c r="AJ5892">
        <v>130.31916510036399</v>
      </c>
      <c r="AK5892">
        <v>0.67131582628889297</v>
      </c>
    </row>
    <row r="5893" spans="1:37" x14ac:dyDescent="0.2">
      <c r="A5893" t="str">
        <f>"20200111153805449"</f>
        <v>20200111153805449</v>
      </c>
      <c r="B5893" t="str">
        <f>"1578728285438857"</f>
        <v>1578728285438857</v>
      </c>
      <c r="C5893" t="s">
        <v>37</v>
      </c>
      <c r="D5893">
        <v>5.9187750000000001</v>
      </c>
      <c r="E5893">
        <v>0.43284319999999998</v>
      </c>
      <c r="F5893" t="s">
        <v>38</v>
      </c>
      <c r="G5893">
        <v>-199.11969999999999</v>
      </c>
      <c r="H5893">
        <v>1.004335</v>
      </c>
      <c r="I5893">
        <v>-57.704430000000002</v>
      </c>
      <c r="J5893">
        <v>-199.35919999999999</v>
      </c>
      <c r="K5893">
        <v>1.116771</v>
      </c>
      <c r="L5893">
        <v>-58.411349999999999</v>
      </c>
      <c r="M5893">
        <v>0.83452389999999999</v>
      </c>
      <c r="N5893">
        <v>0</v>
      </c>
      <c r="O5893">
        <v>0.55075229999999997</v>
      </c>
      <c r="P5893">
        <v>0.56968280000000004</v>
      </c>
      <c r="Q5893">
        <v>2.058981E-2</v>
      </c>
      <c r="R5893">
        <v>0.82160669999999902</v>
      </c>
      <c r="S5893">
        <v>1.318527</v>
      </c>
      <c r="T5893">
        <v>-0.37926009999999999</v>
      </c>
      <c r="U5893">
        <v>2.7516780000000001</v>
      </c>
      <c r="V5893">
        <v>-0.3728244</v>
      </c>
      <c r="W5893">
        <v>2.3844190000000001E-2</v>
      </c>
      <c r="X5893">
        <v>0.92759550000000002</v>
      </c>
      <c r="Y5893">
        <v>-0.5145033</v>
      </c>
      <c r="Z5893">
        <v>-3.9534119999999999E-2</v>
      </c>
      <c r="AA5893">
        <v>0.85657659999999902</v>
      </c>
      <c r="AB5893">
        <v>30</v>
      </c>
      <c r="AC5893">
        <v>0.239499999999992</v>
      </c>
      <c r="AD5893">
        <v>-0.112435999999999</v>
      </c>
      <c r="AE5893">
        <v>0.706919999999996</v>
      </c>
      <c r="AF5893">
        <v>-0.447927288225687</v>
      </c>
      <c r="AG5893">
        <v>-0.112435999999999</v>
      </c>
      <c r="AH5893">
        <v>0.57620211267939103</v>
      </c>
      <c r="AI5893">
        <v>98.758040790755899</v>
      </c>
      <c r="AJ5893">
        <v>127.860736360489</v>
      </c>
      <c r="AK5893">
        <v>0.73843725819423001</v>
      </c>
    </row>
    <row r="5894" spans="1:37" x14ac:dyDescent="0.2">
      <c r="A5894" t="str">
        <f>"20200111153805462"</f>
        <v>20200111153805462</v>
      </c>
      <c r="B5894" t="str">
        <f>"1578728285459354"</f>
        <v>1578728285459354</v>
      </c>
      <c r="C5894" t="s">
        <v>37</v>
      </c>
      <c r="D5894">
        <v>5.8947830000000003</v>
      </c>
      <c r="E5894">
        <v>0.43352089999999999</v>
      </c>
      <c r="F5894" t="s">
        <v>38</v>
      </c>
      <c r="G5894">
        <v>-198.9442</v>
      </c>
      <c r="H5894">
        <v>0.99566919999999903</v>
      </c>
      <c r="I5894">
        <v>-57.521650000000001</v>
      </c>
      <c r="J5894">
        <v>-199.2242</v>
      </c>
      <c r="K5894">
        <v>1.116778</v>
      </c>
      <c r="L5894">
        <v>-58.313019999999902</v>
      </c>
      <c r="M5894">
        <v>0.82966509999999905</v>
      </c>
      <c r="N5894">
        <v>0</v>
      </c>
      <c r="O5894">
        <v>0.55804469999999995</v>
      </c>
      <c r="P5894">
        <v>0.5629459</v>
      </c>
      <c r="Q5894">
        <v>2.1205269999999998E-2</v>
      </c>
      <c r="R5894">
        <v>0.82622169999999895</v>
      </c>
      <c r="S5894">
        <v>1.290192</v>
      </c>
      <c r="T5894">
        <v>-0.37652740000000001</v>
      </c>
      <c r="U5894">
        <v>2.766235</v>
      </c>
      <c r="V5894">
        <v>-0.37228600000000001</v>
      </c>
      <c r="W5894">
        <v>2.448345E-2</v>
      </c>
      <c r="X5894">
        <v>0.92779509999999898</v>
      </c>
      <c r="Y5894">
        <v>-0.51595409999999997</v>
      </c>
      <c r="Z5894">
        <v>-4.0204730000000001E-2</v>
      </c>
      <c r="AA5894">
        <v>0.85567219999999999</v>
      </c>
      <c r="AB5894">
        <v>30</v>
      </c>
      <c r="AC5894">
        <v>0.28000000000000103</v>
      </c>
      <c r="AD5894">
        <v>-0.1211088</v>
      </c>
      <c r="AE5894">
        <v>0.79136999999999302</v>
      </c>
      <c r="AF5894">
        <v>-0.49017725063416501</v>
      </c>
      <c r="AG5894">
        <v>-0.1211088</v>
      </c>
      <c r="AH5894">
        <v>0.66026446808744099</v>
      </c>
      <c r="AI5894">
        <v>98.378042473086794</v>
      </c>
      <c r="AJ5894">
        <v>126.590019933007</v>
      </c>
      <c r="AK5894">
        <v>0.83119807885695995</v>
      </c>
    </row>
    <row r="5895" spans="1:37" x14ac:dyDescent="0.2">
      <c r="A5895" t="str">
        <f>"20200111153805479"</f>
        <v>20200111153805479</v>
      </c>
      <c r="B5895" t="str">
        <f>"1578728285469114"</f>
        <v>1578728285469114</v>
      </c>
      <c r="C5895" t="s">
        <v>37</v>
      </c>
      <c r="D5895">
        <v>5.8542300000000003</v>
      </c>
      <c r="E5895">
        <v>0.43388769999999999</v>
      </c>
      <c r="F5895" t="s">
        <v>38</v>
      </c>
      <c r="G5895">
        <v>-198.7748</v>
      </c>
      <c r="H5895">
        <v>0.98504130000000001</v>
      </c>
      <c r="I5895">
        <v>-57.33296</v>
      </c>
      <c r="J5895">
        <v>-199.03989999999999</v>
      </c>
      <c r="K5895">
        <v>1.116789</v>
      </c>
      <c r="L5895">
        <v>-58.175509999999903</v>
      </c>
      <c r="M5895">
        <v>0.82286229999999905</v>
      </c>
      <c r="N5895">
        <v>0</v>
      </c>
      <c r="O5895">
        <v>0.56802750000000002</v>
      </c>
      <c r="P5895">
        <v>0.55410749999999998</v>
      </c>
      <c r="Q5895">
        <v>2.3284510000000001E-2</v>
      </c>
      <c r="R5895">
        <v>0.83211939999999995</v>
      </c>
      <c r="S5895">
        <v>1.271927</v>
      </c>
      <c r="T5895">
        <v>-0.37283080000000002</v>
      </c>
      <c r="U5895">
        <v>2.7739259999999999</v>
      </c>
      <c r="V5895">
        <v>-0.37098239999999999</v>
      </c>
      <c r="W5895">
        <v>2.6618019999999999E-2</v>
      </c>
      <c r="X5895">
        <v>0.92825829999999998</v>
      </c>
      <c r="Y5895">
        <v>-0.51122339999999999</v>
      </c>
      <c r="Z5895">
        <v>-4.156079E-2</v>
      </c>
      <c r="AA5895">
        <v>0.85844240000000005</v>
      </c>
      <c r="AB5895">
        <v>30</v>
      </c>
      <c r="AC5895">
        <v>0.26509999999998901</v>
      </c>
      <c r="AD5895">
        <v>-0.1317477</v>
      </c>
      <c r="AE5895">
        <v>0.84254999999999503</v>
      </c>
      <c r="AF5895">
        <v>-0.53097110151743598</v>
      </c>
      <c r="AG5895">
        <v>-0.1317477</v>
      </c>
      <c r="AH5895">
        <v>0.68165121342944401</v>
      </c>
      <c r="AI5895">
        <v>98.669531479378705</v>
      </c>
      <c r="AJ5895">
        <v>127.916749710948</v>
      </c>
      <c r="AK5895">
        <v>0.874034406572054</v>
      </c>
    </row>
    <row r="5896" spans="1:37" x14ac:dyDescent="0.2">
      <c r="A5896" t="str">
        <f>"20200111153805492"</f>
        <v>20200111153805492</v>
      </c>
      <c r="B5896" t="str">
        <f>"1578728285488634"</f>
        <v>1578728285488634</v>
      </c>
      <c r="C5896" t="s">
        <v>37</v>
      </c>
      <c r="D5896">
        <v>5.8221470000000002</v>
      </c>
      <c r="E5896">
        <v>0.43474030000000002</v>
      </c>
      <c r="F5896" t="s">
        <v>53</v>
      </c>
      <c r="G5896">
        <v>-195.25360000000001</v>
      </c>
      <c r="H5896" s="1">
        <v>-2.4553789999999999E-6</v>
      </c>
      <c r="I5896">
        <v>-49.700040000000001</v>
      </c>
      <c r="J5896">
        <v>-198.90520000000001</v>
      </c>
      <c r="K5896">
        <v>1.1167899999999999</v>
      </c>
      <c r="L5896">
        <v>-58.072109999999903</v>
      </c>
      <c r="M5896">
        <v>0.81775719999999996</v>
      </c>
      <c r="N5896">
        <v>0</v>
      </c>
      <c r="O5896">
        <v>0.57535259999999999</v>
      </c>
      <c r="P5896">
        <v>0.54737959999999997</v>
      </c>
      <c r="Q5896">
        <v>2.4173409999999999E-2</v>
      </c>
      <c r="R5896">
        <v>0.83653529999999998</v>
      </c>
      <c r="S5896">
        <v>1.244858</v>
      </c>
      <c r="T5896">
        <v>-0.36717810000000001</v>
      </c>
      <c r="U5896">
        <v>2.7865599999999899</v>
      </c>
      <c r="V5896">
        <v>-0.37018429999999902</v>
      </c>
      <c r="W5896">
        <v>2.7542750000000001E-2</v>
      </c>
      <c r="X5896">
        <v>0.92854989999999904</v>
      </c>
      <c r="Y5896">
        <v>-0.5119821</v>
      </c>
      <c r="Z5896">
        <v>-4.1929090000000002E-2</v>
      </c>
      <c r="AA5896">
        <v>0.85797219999999996</v>
      </c>
      <c r="AB5896">
        <v>30</v>
      </c>
      <c r="AC5896">
        <v>3.6516000000000002</v>
      </c>
      <c r="AD5896">
        <v>-1.1167924553789901</v>
      </c>
      <c r="AE5896">
        <v>8.3720699999999901</v>
      </c>
      <c r="AF5896">
        <v>-4.6760312981692804</v>
      </c>
      <c r="AG5896">
        <v>-1.1167924553789901</v>
      </c>
      <c r="AH5896">
        <v>7.6890092417620304</v>
      </c>
      <c r="AI5896">
        <v>97.074163076820398</v>
      </c>
      <c r="AJ5896">
        <v>121.305659908179</v>
      </c>
      <c r="AK5896">
        <v>9.0682609804610301</v>
      </c>
    </row>
    <row r="5897" spans="1:37" x14ac:dyDescent="0.2">
      <c r="A5897" t="str">
        <f>"20200111153805507"</f>
        <v>20200111153805507</v>
      </c>
      <c r="B5897" t="str">
        <f>"1578728285499370"</f>
        <v>1578728285499370</v>
      </c>
      <c r="C5897" t="s">
        <v>37</v>
      </c>
      <c r="D5897">
        <v>5.8384519999999904</v>
      </c>
      <c r="E5897">
        <v>0.43506709999999899</v>
      </c>
      <c r="F5897" t="s">
        <v>38</v>
      </c>
      <c r="G5897">
        <v>-198.52940000000001</v>
      </c>
      <c r="H5897">
        <v>1.0049939999999999</v>
      </c>
      <c r="I5897">
        <v>-57.21754</v>
      </c>
      <c r="J5897">
        <v>-198.7611</v>
      </c>
      <c r="K5897">
        <v>1.1167860000000001</v>
      </c>
      <c r="L5897">
        <v>-57.95984</v>
      </c>
      <c r="M5897">
        <v>0.81219049999999904</v>
      </c>
      <c r="N5897">
        <v>0</v>
      </c>
      <c r="O5897">
        <v>0.58318419999999904</v>
      </c>
      <c r="P5897">
        <v>0.54000400000000004</v>
      </c>
      <c r="Q5897">
        <v>2.4970559999999999E-2</v>
      </c>
      <c r="R5897">
        <v>0.84129200000000004</v>
      </c>
      <c r="S5897">
        <v>1.2282409999999999</v>
      </c>
      <c r="T5897">
        <v>-0.36540470000000003</v>
      </c>
      <c r="U5897">
        <v>2.793091</v>
      </c>
      <c r="V5897">
        <v>-0.36942989999999998</v>
      </c>
      <c r="W5897">
        <v>2.8375460000000002E-2</v>
      </c>
      <c r="X5897">
        <v>0.92882529999999996</v>
      </c>
      <c r="Y5897">
        <v>-0.50878869999999998</v>
      </c>
      <c r="Z5897">
        <v>-4.3046429999999997E-2</v>
      </c>
      <c r="AA5897">
        <v>0.85981459999999998</v>
      </c>
      <c r="AB5897">
        <v>30</v>
      </c>
      <c r="AC5897">
        <v>0.231699999999989</v>
      </c>
      <c r="AD5897">
        <v>-0.111792</v>
      </c>
      <c r="AE5897">
        <v>0.74229999999999996</v>
      </c>
      <c r="AF5897">
        <v>-0.45834914044840003</v>
      </c>
      <c r="AG5897">
        <v>-0.111792</v>
      </c>
      <c r="AH5897">
        <v>0.60857982027345503</v>
      </c>
      <c r="AI5897">
        <v>98.347598389282993</v>
      </c>
      <c r="AJ5897">
        <v>126.985066127241</v>
      </c>
      <c r="AK5897">
        <v>0.77003297556524097</v>
      </c>
    </row>
    <row r="5898" spans="1:37" x14ac:dyDescent="0.2">
      <c r="A5898" t="str">
        <f>"20200111153805524"</f>
        <v>20200111153805524</v>
      </c>
      <c r="B5898" t="str">
        <f>"1578728285518890"</f>
        <v>1578728285518890</v>
      </c>
      <c r="C5898" t="s">
        <v>37</v>
      </c>
      <c r="D5898">
        <v>5.8052239999999999</v>
      </c>
      <c r="E5898">
        <v>0.43613580000000002</v>
      </c>
      <c r="F5898" t="s">
        <v>38</v>
      </c>
      <c r="G5898">
        <v>-198.36089999999999</v>
      </c>
      <c r="H5898">
        <v>0.9956142</v>
      </c>
      <c r="I5898">
        <v>-57.029789999999998</v>
      </c>
      <c r="J5898">
        <v>-198.58410000000001</v>
      </c>
      <c r="K5898">
        <v>1.116787</v>
      </c>
      <c r="L5898">
        <v>-57.819029999999998</v>
      </c>
      <c r="M5898">
        <v>0.80519099999999999</v>
      </c>
      <c r="N5898">
        <v>0</v>
      </c>
      <c r="O5898">
        <v>0.59281059999999997</v>
      </c>
      <c r="P5898">
        <v>0.53184290000000001</v>
      </c>
      <c r="Q5898">
        <v>2.6222829999999999E-2</v>
      </c>
      <c r="R5898">
        <v>0.84643690000000005</v>
      </c>
      <c r="S5898">
        <v>1.2058869999999999</v>
      </c>
      <c r="T5898">
        <v>-0.36513970000000001</v>
      </c>
      <c r="U5898">
        <v>2.802765</v>
      </c>
      <c r="V5898">
        <v>-0.36736229999999997</v>
      </c>
      <c r="W5898">
        <v>2.9713380000000001E-2</v>
      </c>
      <c r="X5898">
        <v>0.92960319999999996</v>
      </c>
      <c r="Y5898">
        <v>-0.5054575</v>
      </c>
      <c r="Z5898">
        <v>-4.4587290000000002E-2</v>
      </c>
      <c r="AA5898">
        <v>0.86169869999999904</v>
      </c>
      <c r="AB5898">
        <v>30</v>
      </c>
      <c r="AC5898">
        <v>0.22320000000001899</v>
      </c>
      <c r="AD5898">
        <v>-0.121172799999999</v>
      </c>
      <c r="AE5898">
        <v>0.78923999999999905</v>
      </c>
      <c r="AF5898">
        <v>-0.49248570804182101</v>
      </c>
      <c r="AG5898">
        <v>-0.121172799999999</v>
      </c>
      <c r="AH5898">
        <v>0.63383304242113703</v>
      </c>
      <c r="AI5898">
        <v>98.584624460235602</v>
      </c>
      <c r="AJ5898">
        <v>127.84706213654999</v>
      </c>
      <c r="AK5898">
        <v>0.81176926878893996</v>
      </c>
    </row>
    <row r="5899" spans="1:37" x14ac:dyDescent="0.2">
      <c r="A5899" t="str">
        <f>"20200111153805537"</f>
        <v>20200111153805537</v>
      </c>
      <c r="B5899" t="str">
        <f>"1578728285528650"</f>
        <v>1578728285528650</v>
      </c>
      <c r="C5899" t="s">
        <v>37</v>
      </c>
      <c r="D5899">
        <v>5.7857949999999896</v>
      </c>
      <c r="E5899">
        <v>0.43672179999999999</v>
      </c>
      <c r="F5899" t="s">
        <v>38</v>
      </c>
      <c r="G5899">
        <v>-198.17760000000001</v>
      </c>
      <c r="H5899">
        <v>0.99304020000000004</v>
      </c>
      <c r="I5899">
        <v>-56.855580000000003</v>
      </c>
      <c r="J5899">
        <v>-198.44159999999999</v>
      </c>
      <c r="K5899">
        <v>1.116781</v>
      </c>
      <c r="L5899">
        <v>-57.703219999999902</v>
      </c>
      <c r="M5899">
        <v>0.799421099999999</v>
      </c>
      <c r="N5899">
        <v>0</v>
      </c>
      <c r="O5899">
        <v>0.60056880000000001</v>
      </c>
      <c r="P5899">
        <v>0.52458260000000001</v>
      </c>
      <c r="Q5899">
        <v>2.665292E-2</v>
      </c>
      <c r="R5899">
        <v>0.85094230000000004</v>
      </c>
      <c r="S5899">
        <v>1.1857759999999999</v>
      </c>
      <c r="T5899">
        <v>-0.36098000000000002</v>
      </c>
      <c r="U5899">
        <v>2.8103940000000001</v>
      </c>
      <c r="V5899">
        <v>-0.36632709999999902</v>
      </c>
      <c r="W5899">
        <v>3.0190950000000001E-2</v>
      </c>
      <c r="X5899">
        <v>0.92999619999999905</v>
      </c>
      <c r="Y5899">
        <v>-0.50322370000000005</v>
      </c>
      <c r="Z5899">
        <v>-4.5323559999999999E-2</v>
      </c>
      <c r="AA5899">
        <v>0.86296679999999903</v>
      </c>
      <c r="AB5899">
        <v>30</v>
      </c>
      <c r="AC5899">
        <v>0.26399999999998103</v>
      </c>
      <c r="AD5899">
        <v>-0.123740799999999</v>
      </c>
      <c r="AE5899">
        <v>0.84763999999999096</v>
      </c>
      <c r="AF5899">
        <v>-0.50924143003363298</v>
      </c>
      <c r="AG5899">
        <v>-0.123740799999999</v>
      </c>
      <c r="AH5899">
        <v>0.70647644208957505</v>
      </c>
      <c r="AI5899">
        <v>98.086838907477201</v>
      </c>
      <c r="AJ5899">
        <v>125.784768315804</v>
      </c>
      <c r="AK5899">
        <v>0.87962923034360596</v>
      </c>
    </row>
    <row r="5900" spans="1:37" x14ac:dyDescent="0.2">
      <c r="A5900" t="str">
        <f>"20200111153805551"</f>
        <v>20200111153805551</v>
      </c>
      <c r="B5900" t="str">
        <f>"1578728285549146"</f>
        <v>1578728285549146</v>
      </c>
      <c r="C5900" t="s">
        <v>37</v>
      </c>
      <c r="D5900">
        <v>5.7676230000000004</v>
      </c>
      <c r="E5900">
        <v>0.43764500000000001</v>
      </c>
      <c r="F5900" t="s">
        <v>38</v>
      </c>
      <c r="G5900">
        <v>-198.1138</v>
      </c>
      <c r="H5900">
        <v>1.01559</v>
      </c>
      <c r="I5900">
        <v>-56.910829999999997</v>
      </c>
      <c r="J5900">
        <v>-198.3091</v>
      </c>
      <c r="K5900">
        <v>1.1167739999999999</v>
      </c>
      <c r="L5900">
        <v>-57.592769999999902</v>
      </c>
      <c r="M5900">
        <v>0.79393029999999998</v>
      </c>
      <c r="N5900">
        <v>0</v>
      </c>
      <c r="O5900">
        <v>0.60780880000000004</v>
      </c>
      <c r="P5900">
        <v>0.51776099999999903</v>
      </c>
      <c r="Q5900">
        <v>2.7177340000000001E-2</v>
      </c>
      <c r="R5900">
        <v>0.85509349999999995</v>
      </c>
      <c r="S5900">
        <v>1.1658329999999999</v>
      </c>
      <c r="T5900">
        <v>-0.3598903</v>
      </c>
      <c r="U5900">
        <v>2.818085</v>
      </c>
      <c r="V5900">
        <v>-0.3653148</v>
      </c>
      <c r="W5900">
        <v>3.076098E-2</v>
      </c>
      <c r="X5900">
        <v>0.93037559999999997</v>
      </c>
      <c r="Y5900">
        <v>-0.50145099999999998</v>
      </c>
      <c r="Z5900">
        <v>-4.6321849999999998E-2</v>
      </c>
      <c r="AA5900">
        <v>0.86394509999999902</v>
      </c>
      <c r="AB5900">
        <v>30</v>
      </c>
      <c r="AC5900">
        <v>0.195300000000003</v>
      </c>
      <c r="AD5900">
        <v>-0.101183999999999</v>
      </c>
      <c r="AE5900">
        <v>0.68193999999999</v>
      </c>
      <c r="AF5900">
        <v>-0.41432889103096099</v>
      </c>
      <c r="AG5900">
        <v>-0.101183999999999</v>
      </c>
      <c r="AH5900">
        <v>0.55825427125757798</v>
      </c>
      <c r="AI5900">
        <v>98.280946420061696</v>
      </c>
      <c r="AJ5900">
        <v>126.582312981483</v>
      </c>
      <c r="AK5900">
        <v>0.70253431458988302</v>
      </c>
    </row>
    <row r="5901" spans="1:37" x14ac:dyDescent="0.2">
      <c r="A5901" t="str">
        <f>"20200111153805570"</f>
        <v>20200111153805570</v>
      </c>
      <c r="B5901" t="str">
        <f>"1578728285558908"</f>
        <v>1578728285558908</v>
      </c>
      <c r="C5901" t="s">
        <v>37</v>
      </c>
      <c r="D5901">
        <v>5.7570959999999998</v>
      </c>
      <c r="E5901">
        <v>0.43812950000000001</v>
      </c>
      <c r="F5901" t="s">
        <v>38</v>
      </c>
      <c r="G5901">
        <v>-197.95230000000001</v>
      </c>
      <c r="H5901">
        <v>1.004972</v>
      </c>
      <c r="I5901">
        <v>-56.71698</v>
      </c>
      <c r="J5901">
        <v>-198.12389999999999</v>
      </c>
      <c r="K5901">
        <v>1.116765</v>
      </c>
      <c r="L5901">
        <v>-57.435580000000002</v>
      </c>
      <c r="M5901">
        <v>0.78608849999999997</v>
      </c>
      <c r="N5901">
        <v>0</v>
      </c>
      <c r="O5901">
        <v>0.617917099999999</v>
      </c>
      <c r="P5901">
        <v>0.50878820000000002</v>
      </c>
      <c r="Q5901">
        <v>2.7547459999999999E-2</v>
      </c>
      <c r="R5901">
        <v>0.86045090000000002</v>
      </c>
      <c r="S5901">
        <v>1.1498870000000001</v>
      </c>
      <c r="T5901">
        <v>-0.36041329999999999</v>
      </c>
      <c r="U5901">
        <v>2.8235779999999999</v>
      </c>
      <c r="V5901">
        <v>-0.36314279999999999</v>
      </c>
      <c r="W5901">
        <v>3.1223770000000001E-2</v>
      </c>
      <c r="X5901">
        <v>0.93121019999999899</v>
      </c>
      <c r="Y5901">
        <v>-0.49520530000000001</v>
      </c>
      <c r="Z5901">
        <v>-4.8194620000000001E-2</v>
      </c>
      <c r="AA5901">
        <v>0.86743819999999905</v>
      </c>
      <c r="AB5901">
        <v>30</v>
      </c>
      <c r="AC5901">
        <v>0.17159999999998299</v>
      </c>
      <c r="AD5901">
        <v>-0.111793</v>
      </c>
      <c r="AE5901">
        <v>0.71859999999999402</v>
      </c>
      <c r="AF5901">
        <v>-0.44863233017640503</v>
      </c>
      <c r="AG5901">
        <v>-0.111793</v>
      </c>
      <c r="AH5901">
        <v>0.56603814834704902</v>
      </c>
      <c r="AI5901">
        <v>98.798458606090804</v>
      </c>
      <c r="AJ5901">
        <v>128.39975269645799</v>
      </c>
      <c r="AK5901">
        <v>0.73086785940597199</v>
      </c>
    </row>
    <row r="5902" spans="1:37" x14ac:dyDescent="0.2">
      <c r="A5902" t="str">
        <f>"20200111153805591"</f>
        <v>20200111153805591</v>
      </c>
      <c r="B5902" t="str">
        <f>"1578728285579402"</f>
        <v>1578728285579402</v>
      </c>
      <c r="C5902" t="s">
        <v>37</v>
      </c>
      <c r="D5902">
        <v>5.7088400000000004</v>
      </c>
      <c r="E5902">
        <v>0.43841249999999998</v>
      </c>
      <c r="F5902" t="s">
        <v>38</v>
      </c>
      <c r="G5902">
        <v>-197.76939999999999</v>
      </c>
      <c r="H5902">
        <v>1.0038260000000001</v>
      </c>
      <c r="I5902">
        <v>-56.541550000000001</v>
      </c>
      <c r="J5902">
        <v>-197.92189999999999</v>
      </c>
      <c r="K5902">
        <v>1.116749</v>
      </c>
      <c r="L5902">
        <v>-57.259279999999997</v>
      </c>
      <c r="M5902">
        <v>0.77727630000000003</v>
      </c>
      <c r="N5902">
        <v>0</v>
      </c>
      <c r="O5902">
        <v>0.62896589999999997</v>
      </c>
      <c r="P5902">
        <v>0.49873409999999901</v>
      </c>
      <c r="Q5902">
        <v>2.7295429999999999E-2</v>
      </c>
      <c r="R5902">
        <v>0.86632509999999996</v>
      </c>
      <c r="S5902">
        <v>1.1235809999999999</v>
      </c>
      <c r="T5902">
        <v>-0.35795919999999998</v>
      </c>
      <c r="U5902">
        <v>2.8336489999999999</v>
      </c>
      <c r="V5902">
        <v>-0.36082059999999999</v>
      </c>
      <c r="W5902">
        <v>3.1071250000000002E-2</v>
      </c>
      <c r="X5902">
        <v>0.93211749999999904</v>
      </c>
      <c r="Y5902">
        <v>-0.49099079999999901</v>
      </c>
      <c r="Z5902">
        <v>-4.9673370000000001E-2</v>
      </c>
      <c r="AA5902">
        <v>0.86974750000000001</v>
      </c>
      <c r="AB5902">
        <v>30</v>
      </c>
      <c r="AC5902">
        <v>0.15250000000000299</v>
      </c>
      <c r="AD5902">
        <v>-0.112922999999999</v>
      </c>
      <c r="AE5902">
        <v>0.71773000000000298</v>
      </c>
      <c r="AF5902">
        <v>-0.45132403970710899</v>
      </c>
      <c r="AG5902">
        <v>-0.112922999999999</v>
      </c>
      <c r="AH5902">
        <v>0.55684312566479199</v>
      </c>
      <c r="AI5902">
        <v>98.952961028213295</v>
      </c>
      <c r="AJ5902">
        <v>129.02493355003099</v>
      </c>
      <c r="AK5902">
        <v>0.72561646849191597</v>
      </c>
    </row>
    <row r="5903" spans="1:37" x14ac:dyDescent="0.2">
      <c r="A5903" t="str">
        <f>"20200111153805614"</f>
        <v>20200111153805614</v>
      </c>
      <c r="B5903" t="str">
        <f>"1578728285608682"</f>
        <v>1578728285608682</v>
      </c>
      <c r="C5903" t="s">
        <v>37</v>
      </c>
      <c r="D5903">
        <v>5.7176549999999997</v>
      </c>
      <c r="E5903">
        <v>0.44863189999999997</v>
      </c>
      <c r="F5903" t="s">
        <v>38</v>
      </c>
      <c r="G5903">
        <v>-197.58090000000001</v>
      </c>
      <c r="H5903">
        <v>1.004629</v>
      </c>
      <c r="I5903">
        <v>-56.370569999999901</v>
      </c>
      <c r="J5903">
        <v>-197.69730000000001</v>
      </c>
      <c r="K5903">
        <v>1.116733</v>
      </c>
      <c r="L5903">
        <v>-57.057429999999997</v>
      </c>
      <c r="M5903">
        <v>0.76716669999999998</v>
      </c>
      <c r="N5903">
        <v>0</v>
      </c>
      <c r="O5903">
        <v>0.64125799999999999</v>
      </c>
      <c r="P5903">
        <v>0.48745109999999903</v>
      </c>
      <c r="Q5903">
        <v>2.654666E-2</v>
      </c>
      <c r="R5903">
        <v>0.87274669999999899</v>
      </c>
      <c r="S5903">
        <v>1.092041</v>
      </c>
      <c r="T5903">
        <v>-0.35900029999999999</v>
      </c>
      <c r="U5903">
        <v>2.84552</v>
      </c>
      <c r="V5903">
        <v>-0.35807159999999999</v>
      </c>
      <c r="W5903">
        <v>3.0441650000000001E-2</v>
      </c>
      <c r="X5903">
        <v>0.93319769999999902</v>
      </c>
      <c r="Y5903">
        <v>-0.48679709999999998</v>
      </c>
      <c r="Z5903">
        <v>-5.1802130000000002E-2</v>
      </c>
      <c r="AA5903">
        <v>0.87197769999999997</v>
      </c>
      <c r="AB5903">
        <v>30</v>
      </c>
      <c r="AC5903">
        <v>0.11639999999999801</v>
      </c>
      <c r="AD5903">
        <v>-0.112103999999999</v>
      </c>
      <c r="AE5903">
        <v>0.68686000000001002</v>
      </c>
      <c r="AF5903">
        <v>-0.44093102272482598</v>
      </c>
      <c r="AG5903">
        <v>-0.112103999999999</v>
      </c>
      <c r="AH5903">
        <v>0.51644405889929901</v>
      </c>
      <c r="AI5903">
        <v>99.374118140881507</v>
      </c>
      <c r="AJ5903">
        <v>130.49012773072201</v>
      </c>
      <c r="AK5903">
        <v>0.68826008135700001</v>
      </c>
    </row>
    <row r="5904" spans="1:37" x14ac:dyDescent="0.2">
      <c r="A5904" t="str">
        <f>"20200111153805636"</f>
        <v>20200111153805636</v>
      </c>
      <c r="B5904" t="str">
        <f>"1578728285629178"</f>
        <v>1578728285629178</v>
      </c>
      <c r="C5904" t="s">
        <v>37</v>
      </c>
      <c r="D5904">
        <v>5.6703809999999999</v>
      </c>
      <c r="E5904">
        <v>0.44901560000000001</v>
      </c>
      <c r="F5904" t="s">
        <v>38</v>
      </c>
      <c r="G5904">
        <v>-197.36330000000001</v>
      </c>
      <c r="H5904">
        <v>1.0114969999999901</v>
      </c>
      <c r="I5904">
        <v>-56.220319999999901</v>
      </c>
      <c r="J5904">
        <v>-197.48259999999999</v>
      </c>
      <c r="K5904">
        <v>1.116706</v>
      </c>
      <c r="L5904">
        <v>-56.858249999999998</v>
      </c>
      <c r="M5904">
        <v>0.75717559999999995</v>
      </c>
      <c r="N5904">
        <v>0</v>
      </c>
      <c r="O5904">
        <v>0.65302499999999997</v>
      </c>
      <c r="P5904">
        <v>0.47591299999999997</v>
      </c>
      <c r="Q5904">
        <v>2.629944E-2</v>
      </c>
      <c r="R5904">
        <v>0.87909910000000002</v>
      </c>
      <c r="S5904">
        <v>1.1254580000000001</v>
      </c>
      <c r="T5904">
        <v>-0.35447909999999999</v>
      </c>
      <c r="U5904">
        <v>2.8196110000000001</v>
      </c>
      <c r="V5904">
        <v>-0.35595250000000001</v>
      </c>
      <c r="W5904">
        <v>3.0292469999999998E-2</v>
      </c>
      <c r="X5904">
        <v>0.93401290000000003</v>
      </c>
      <c r="Y5904">
        <v>-0.46161999999999997</v>
      </c>
      <c r="Z5904">
        <v>-5.4358629999999998E-2</v>
      </c>
      <c r="AA5904">
        <v>0.88541069999999999</v>
      </c>
      <c r="AB5904">
        <v>30</v>
      </c>
      <c r="AC5904">
        <v>0.119299999999981</v>
      </c>
      <c r="AD5904">
        <v>-0.105209</v>
      </c>
      <c r="AE5904">
        <v>0.63793000000000399</v>
      </c>
      <c r="AF5904">
        <v>-0.39479318111500999</v>
      </c>
      <c r="AG5904">
        <v>-0.105209</v>
      </c>
      <c r="AH5904">
        <v>0.49399466755611299</v>
      </c>
      <c r="AI5904">
        <v>99.445917783143898</v>
      </c>
      <c r="AJ5904">
        <v>128.631327456338</v>
      </c>
      <c r="AK5904">
        <v>0.64106264991011896</v>
      </c>
    </row>
    <row r="5905" spans="1:37" x14ac:dyDescent="0.2">
      <c r="A5905" t="str">
        <f>"20200111153805652"</f>
        <v>20200111153805652</v>
      </c>
      <c r="B5905" t="str">
        <f>"1578728285638938"</f>
        <v>1578728285638938</v>
      </c>
      <c r="C5905" t="s">
        <v>37</v>
      </c>
      <c r="D5905">
        <v>5.9381719999999998</v>
      </c>
      <c r="E5905">
        <v>0.44901560000000001</v>
      </c>
      <c r="F5905" t="s">
        <v>38</v>
      </c>
      <c r="G5905">
        <v>-197.149</v>
      </c>
      <c r="H5905">
        <v>1.006615</v>
      </c>
      <c r="I5905">
        <v>-55.992219999999897</v>
      </c>
      <c r="J5905">
        <v>-197.34270000000001</v>
      </c>
      <c r="K5905">
        <v>1.1166879999999999</v>
      </c>
      <c r="L5905">
        <v>-56.724669999999897</v>
      </c>
      <c r="M5905">
        <v>0.75048649999999995</v>
      </c>
      <c r="N5905">
        <v>0</v>
      </c>
      <c r="O5905">
        <v>0.6607016</v>
      </c>
      <c r="P5905">
        <v>0.46776430000000002</v>
      </c>
      <c r="Q5905">
        <v>2.6404500000000001E-2</v>
      </c>
      <c r="R5905">
        <v>0.88345879999999999</v>
      </c>
      <c r="S5905">
        <v>1.09111</v>
      </c>
      <c r="T5905">
        <v>-0.36009550000000001</v>
      </c>
      <c r="U5905">
        <v>2.8326720000000001</v>
      </c>
      <c r="V5905">
        <v>-0.35507680000000003</v>
      </c>
      <c r="W5905">
        <v>3.0446890000000001E-2</v>
      </c>
      <c r="X5905">
        <v>0.93434119999999998</v>
      </c>
      <c r="Y5905">
        <v>-0.46333729999999901</v>
      </c>
      <c r="Z5905">
        <v>-5.6223969999999998E-2</v>
      </c>
      <c r="AA5905">
        <v>0.88439659999999998</v>
      </c>
      <c r="AB5905">
        <v>30</v>
      </c>
      <c r="AC5905">
        <v>0.19370000000000601</v>
      </c>
      <c r="AD5905">
        <v>-0.110072999999999</v>
      </c>
      <c r="AE5905">
        <v>0.73245000000000005</v>
      </c>
      <c r="AF5905">
        <v>-0.41304862879291998</v>
      </c>
      <c r="AG5905">
        <v>-0.110072999999999</v>
      </c>
      <c r="AH5905">
        <v>0.61636644402141405</v>
      </c>
      <c r="AI5905">
        <v>98.438438362528899</v>
      </c>
      <c r="AJ5905">
        <v>123.827417071152</v>
      </c>
      <c r="AK5905">
        <v>0.75008854703449102</v>
      </c>
    </row>
    <row r="5906" spans="1:37" x14ac:dyDescent="0.2">
      <c r="A5906" t="str">
        <f>"20200111153805672"</f>
        <v>20200111153805672</v>
      </c>
      <c r="B5906" t="str">
        <f>"1578728285659433"</f>
        <v>1578728285659433</v>
      </c>
      <c r="C5906" t="s">
        <v>37</v>
      </c>
      <c r="D5906">
        <v>5.683465</v>
      </c>
      <c r="E5906">
        <v>0.45783649999999998</v>
      </c>
      <c r="F5906" t="s">
        <v>38</v>
      </c>
      <c r="G5906">
        <v>-197.0163</v>
      </c>
      <c r="H5906">
        <v>1.006359</v>
      </c>
      <c r="I5906">
        <v>-55.853400000000001</v>
      </c>
      <c r="J5906">
        <v>-197.15809999999999</v>
      </c>
      <c r="K5906">
        <v>1.1166609999999999</v>
      </c>
      <c r="L5906">
        <v>-56.544400000000003</v>
      </c>
      <c r="M5906">
        <v>0.74145220000000001</v>
      </c>
      <c r="N5906">
        <v>0</v>
      </c>
      <c r="O5906">
        <v>0.67082430000000004</v>
      </c>
      <c r="P5906">
        <v>0.45700000000000002</v>
      </c>
      <c r="Q5906">
        <v>2.7452689999999998E-2</v>
      </c>
      <c r="R5906">
        <v>0.88904300000000003</v>
      </c>
      <c r="S5906">
        <v>1.0649569999999999</v>
      </c>
      <c r="T5906">
        <v>-0.35996339999999999</v>
      </c>
      <c r="U5906">
        <v>2.8426209999999998</v>
      </c>
      <c r="V5906">
        <v>-0.35375020000000001</v>
      </c>
      <c r="W5906">
        <v>3.157074E-2</v>
      </c>
      <c r="X5906">
        <v>0.93480699999999906</v>
      </c>
      <c r="Y5906">
        <v>-0.45950959999999902</v>
      </c>
      <c r="Z5906">
        <v>-5.7856150000000002E-2</v>
      </c>
      <c r="AA5906">
        <v>0.88628639999999903</v>
      </c>
      <c r="AB5906">
        <v>30</v>
      </c>
      <c r="AC5906">
        <v>0.14179999999998899</v>
      </c>
      <c r="AD5906">
        <v>-0.110302</v>
      </c>
      <c r="AE5906">
        <v>0.69100000000000195</v>
      </c>
      <c r="AF5906">
        <v>-0.40731217716643697</v>
      </c>
      <c r="AG5906">
        <v>-0.110302</v>
      </c>
      <c r="AH5906">
        <v>0.55517221503179504</v>
      </c>
      <c r="AI5906">
        <v>99.100976040835505</v>
      </c>
      <c r="AJ5906">
        <v>126.266310969434</v>
      </c>
      <c r="AK5906">
        <v>0.69734204606876604</v>
      </c>
    </row>
    <row r="5907" spans="1:37" x14ac:dyDescent="0.2">
      <c r="A5907" t="str">
        <f>"20200111153805693"</f>
        <v>20200111153805693</v>
      </c>
      <c r="B5907" t="str">
        <f>"1578728285688715"</f>
        <v>1578728285688715</v>
      </c>
      <c r="C5907" t="s">
        <v>37</v>
      </c>
      <c r="D5907">
        <v>5.7308849999999998</v>
      </c>
      <c r="E5907">
        <v>0.45859519999999998</v>
      </c>
      <c r="F5907" t="s">
        <v>38</v>
      </c>
      <c r="G5907">
        <v>-196.80240000000001</v>
      </c>
      <c r="H5907">
        <v>1.0104919999999999</v>
      </c>
      <c r="I5907">
        <v>-55.625059999999998</v>
      </c>
      <c r="J5907">
        <v>-196.9598</v>
      </c>
      <c r="K5907">
        <v>1.116614</v>
      </c>
      <c r="L5907">
        <v>-56.345519999999901</v>
      </c>
      <c r="M5907">
        <v>0.73149409999999904</v>
      </c>
      <c r="N5907">
        <v>0</v>
      </c>
      <c r="O5907">
        <v>0.68166949999999904</v>
      </c>
      <c r="P5907">
        <v>0.44484030000000002</v>
      </c>
      <c r="Q5907">
        <v>2.8153899999999999E-2</v>
      </c>
      <c r="R5907">
        <v>0.8951673</v>
      </c>
      <c r="S5907">
        <v>1.092041</v>
      </c>
      <c r="T5907">
        <v>-0.32601239999999998</v>
      </c>
      <c r="U5907">
        <v>2.8231199999999999</v>
      </c>
      <c r="V5907">
        <v>-0.35272629999999999</v>
      </c>
      <c r="W5907">
        <v>3.2346149999999997E-2</v>
      </c>
      <c r="X5907">
        <v>0.93516730000000003</v>
      </c>
      <c r="Y5907">
        <v>-0.43686819999999998</v>
      </c>
      <c r="Z5907">
        <v>-5.5064879999999997E-2</v>
      </c>
      <c r="AA5907">
        <v>0.89783849999999998</v>
      </c>
      <c r="AB5907">
        <v>29</v>
      </c>
      <c r="AC5907">
        <v>0.15739999999999499</v>
      </c>
      <c r="AD5907">
        <v>-0.10612199999999999</v>
      </c>
      <c r="AE5907">
        <v>0.72045999999999499</v>
      </c>
      <c r="AF5907">
        <v>-0.41125219852120198</v>
      </c>
      <c r="AG5907">
        <v>-0.10612199999999999</v>
      </c>
      <c r="AH5907">
        <v>0.59402529587199104</v>
      </c>
      <c r="AI5907">
        <v>98.356043399529199</v>
      </c>
      <c r="AJ5907">
        <v>124.69540891331199</v>
      </c>
      <c r="AK5907">
        <v>0.73024400155586999</v>
      </c>
    </row>
    <row r="5908" spans="1:37" x14ac:dyDescent="0.2">
      <c r="A5908" t="str">
        <f>"20200111153805717"</f>
        <v>20200111153805717</v>
      </c>
      <c r="B5908" t="str">
        <f>"1578728285709210"</f>
        <v>1578728285709210</v>
      </c>
      <c r="C5908" t="s">
        <v>37</v>
      </c>
      <c r="D5908">
        <v>5.6421279999999996</v>
      </c>
      <c r="E5908">
        <v>0.45883980000000002</v>
      </c>
      <c r="F5908" t="s">
        <v>53</v>
      </c>
      <c r="G5908">
        <v>-193.27109999999999</v>
      </c>
      <c r="H5908" s="1">
        <v>-3.8762009999999997E-6</v>
      </c>
      <c r="I5908">
        <v>-46.46931</v>
      </c>
      <c r="J5908">
        <v>-196.75460000000001</v>
      </c>
      <c r="K5908">
        <v>1.116544</v>
      </c>
      <c r="L5908">
        <v>-56.133389999999999</v>
      </c>
      <c r="M5908">
        <v>0.72089840000000005</v>
      </c>
      <c r="N5908">
        <v>0</v>
      </c>
      <c r="O5908">
        <v>0.69286550000000002</v>
      </c>
      <c r="P5908">
        <v>0.4317241</v>
      </c>
      <c r="Q5908">
        <v>2.8256779999999999E-2</v>
      </c>
      <c r="R5908">
        <v>0.901562999999999</v>
      </c>
      <c r="S5908">
        <v>1.058945</v>
      </c>
      <c r="T5908">
        <v>-0.32054890000000003</v>
      </c>
      <c r="U5908">
        <v>2.835175</v>
      </c>
      <c r="V5908">
        <v>-0.35195759999999998</v>
      </c>
      <c r="W5908">
        <v>3.2524879999999999E-2</v>
      </c>
      <c r="X5908">
        <v>0.93545069999999997</v>
      </c>
      <c r="Y5908">
        <v>-0.43346809999999902</v>
      </c>
      <c r="Z5908">
        <v>-5.5744889999999998E-2</v>
      </c>
      <c r="AA5908">
        <v>0.89944310000000005</v>
      </c>
      <c r="AB5908">
        <v>29</v>
      </c>
      <c r="AC5908">
        <v>3.4835000000000198</v>
      </c>
      <c r="AD5908">
        <v>-1.1165478762009999</v>
      </c>
      <c r="AE5908">
        <v>9.6640800000000002</v>
      </c>
      <c r="AF5908">
        <v>-4.5006075754256702</v>
      </c>
      <c r="AG5908">
        <v>-1.1165478762009999</v>
      </c>
      <c r="AH5908">
        <v>9.10076288508942</v>
      </c>
      <c r="AI5908">
        <v>96.275847891500007</v>
      </c>
      <c r="AJ5908">
        <v>116.313813622032</v>
      </c>
      <c r="AK5908">
        <v>10.214011591850101</v>
      </c>
    </row>
    <row r="5909" spans="1:37" x14ac:dyDescent="0.2">
      <c r="A5909" t="str">
        <f>"20200111153805738"</f>
        <v>20200111153805738</v>
      </c>
      <c r="B5909" t="str">
        <f>"1578728285728730"</f>
        <v>1578728285728730</v>
      </c>
      <c r="C5909" t="s">
        <v>37</v>
      </c>
      <c r="D5909">
        <v>5.6468629999999997</v>
      </c>
      <c r="E5909">
        <v>0.45916949999999901</v>
      </c>
      <c r="F5909" t="s">
        <v>53</v>
      </c>
      <c r="G5909">
        <v>-193.22559999999999</v>
      </c>
      <c r="H5909" s="1">
        <v>-3.9661409999999997E-6</v>
      </c>
      <c r="I5909">
        <v>-46.274509999999999</v>
      </c>
      <c r="J5909">
        <v>-196.56290000000001</v>
      </c>
      <c r="K5909">
        <v>1.1164499999999999</v>
      </c>
      <c r="L5909">
        <v>-55.929319999999997</v>
      </c>
      <c r="M5909">
        <v>0.71075279999999996</v>
      </c>
      <c r="N5909">
        <v>0</v>
      </c>
      <c r="O5909">
        <v>0.70326949999999999</v>
      </c>
      <c r="P5909">
        <v>0.41928720000000003</v>
      </c>
      <c r="Q5909">
        <v>2.742588E-2</v>
      </c>
      <c r="R5909">
        <v>0.90743929999999995</v>
      </c>
      <c r="S5909">
        <v>1.0198969999999901</v>
      </c>
      <c r="T5909">
        <v>-0.3226888</v>
      </c>
      <c r="U5909">
        <v>2.8492739999999999</v>
      </c>
      <c r="V5909">
        <v>-0.3512112</v>
      </c>
      <c r="W5909">
        <v>3.1778050000000002E-2</v>
      </c>
      <c r="X5909">
        <v>0.9357569</v>
      </c>
      <c r="Y5909">
        <v>-0.43274489999999999</v>
      </c>
      <c r="Z5909">
        <v>-5.7496369999999998E-2</v>
      </c>
      <c r="AA5909">
        <v>0.89968110000000001</v>
      </c>
      <c r="AB5909">
        <v>29</v>
      </c>
      <c r="AC5909">
        <v>3.3373000000000199</v>
      </c>
      <c r="AD5909">
        <v>-1.116453966141</v>
      </c>
      <c r="AE5909">
        <v>9.6548099999999906</v>
      </c>
      <c r="AF5909">
        <v>-4.4624070986963398</v>
      </c>
      <c r="AG5909">
        <v>-1.116453966141</v>
      </c>
      <c r="AH5909">
        <v>9.0548813789991893</v>
      </c>
      <c r="AI5909">
        <v>96.311121138234199</v>
      </c>
      <c r="AJ5909">
        <v>116.234900459339</v>
      </c>
      <c r="AK5909">
        <v>10.156299688407801</v>
      </c>
    </row>
    <row r="5910" spans="1:37" x14ac:dyDescent="0.2">
      <c r="A5910" t="str">
        <f>"20200111153805762"</f>
        <v>20200111153805762</v>
      </c>
      <c r="B5910" t="str">
        <f>"1578728285758986"</f>
        <v>1578728285758986</v>
      </c>
      <c r="C5910" t="s">
        <v>37</v>
      </c>
      <c r="D5910">
        <v>5.6738949999999999</v>
      </c>
      <c r="E5910">
        <v>0.45959859999999902</v>
      </c>
      <c r="F5910" t="s">
        <v>53</v>
      </c>
      <c r="G5910">
        <v>-193.1968</v>
      </c>
      <c r="H5910" s="1">
        <v>-4.0326339999999998E-6</v>
      </c>
      <c r="I5910">
        <v>-46.132179999999998</v>
      </c>
      <c r="J5910">
        <v>-196.36240000000001</v>
      </c>
      <c r="K5910">
        <v>1.1163299999999901</v>
      </c>
      <c r="L5910">
        <v>-55.709169999999901</v>
      </c>
      <c r="M5910">
        <v>0.69988980000000001</v>
      </c>
      <c r="N5910">
        <v>0</v>
      </c>
      <c r="O5910">
        <v>0.71408159999999998</v>
      </c>
      <c r="P5910">
        <v>0.40622370000000002</v>
      </c>
      <c r="Q5910">
        <v>2.5870609999999999E-2</v>
      </c>
      <c r="R5910">
        <v>0.91340739999999998</v>
      </c>
      <c r="S5910">
        <v>0.98318479999999997</v>
      </c>
      <c r="T5910">
        <v>-0.32609670000000002</v>
      </c>
      <c r="U5910">
        <v>2.8615719999999998</v>
      </c>
      <c r="V5910">
        <v>-0.35027190000000002</v>
      </c>
      <c r="W5910">
        <v>3.033108E-2</v>
      </c>
      <c r="X5910">
        <v>0.93615689999999996</v>
      </c>
      <c r="Y5910">
        <v>-0.43047989999999903</v>
      </c>
      <c r="Z5910">
        <v>-5.9630139999999998E-2</v>
      </c>
      <c r="AA5910">
        <v>0.90062830000000005</v>
      </c>
      <c r="AB5910">
        <v>29</v>
      </c>
      <c r="AC5910">
        <v>3.1656000000000102</v>
      </c>
      <c r="AD5910">
        <v>-1.1163340326340001</v>
      </c>
      <c r="AE5910">
        <v>9.5769899999999897</v>
      </c>
      <c r="AF5910">
        <v>-4.3891160291176998</v>
      </c>
      <c r="AG5910">
        <v>-1.1163340326340001</v>
      </c>
      <c r="AH5910">
        <v>8.9458412236153695</v>
      </c>
      <c r="AI5910">
        <v>96.392219054652898</v>
      </c>
      <c r="AJ5910">
        <v>116.13404702556601</v>
      </c>
      <c r="AK5910">
        <v>10.026894653261801</v>
      </c>
    </row>
    <row r="5911" spans="1:37" x14ac:dyDescent="0.2">
      <c r="A5911" t="str">
        <f>"20200111153805784"</f>
        <v>20200111153805784</v>
      </c>
      <c r="B5911" t="str">
        <f>"1578728285779483"</f>
        <v>1578728285779483</v>
      </c>
      <c r="C5911" t="s">
        <v>37</v>
      </c>
      <c r="D5911">
        <v>5.6324040000000002</v>
      </c>
      <c r="E5911">
        <v>0.4595823</v>
      </c>
      <c r="F5911" t="s">
        <v>38</v>
      </c>
      <c r="G5911">
        <v>-196.0324</v>
      </c>
      <c r="H5911">
        <v>0.99915739999999997</v>
      </c>
      <c r="I5911">
        <v>-54.705739999999999</v>
      </c>
      <c r="J5911">
        <v>-196.16980000000001</v>
      </c>
      <c r="K5911">
        <v>1.116201</v>
      </c>
      <c r="L5911">
        <v>-55.491239999999998</v>
      </c>
      <c r="M5911">
        <v>0.68924079999999999</v>
      </c>
      <c r="N5911">
        <v>0</v>
      </c>
      <c r="O5911">
        <v>0.72436610000000001</v>
      </c>
      <c r="P5911">
        <v>0.39371349999999999</v>
      </c>
      <c r="Q5911">
        <v>2.4573970000000001E-2</v>
      </c>
      <c r="R5911">
        <v>0.91890469999999902</v>
      </c>
      <c r="S5911">
        <v>0.94477840000000002</v>
      </c>
      <c r="T5911">
        <v>-0.33556970000000003</v>
      </c>
      <c r="U5911">
        <v>2.8737180000000002</v>
      </c>
      <c r="V5911">
        <v>-0.34917049999999999</v>
      </c>
      <c r="W5911">
        <v>2.9158099999999899E-2</v>
      </c>
      <c r="X5911">
        <v>0.93660549999999998</v>
      </c>
      <c r="Y5911">
        <v>-0.42916660000000001</v>
      </c>
      <c r="Z5911">
        <v>-6.2817230000000002E-2</v>
      </c>
      <c r="AA5911">
        <v>0.90103829999999996</v>
      </c>
      <c r="AB5911">
        <v>29</v>
      </c>
      <c r="AC5911">
        <v>0.13740000000001301</v>
      </c>
      <c r="AD5911">
        <v>-0.117043599999999</v>
      </c>
      <c r="AE5911">
        <v>0.78549999999999898</v>
      </c>
      <c r="AF5911">
        <v>-0.432604212366273</v>
      </c>
      <c r="AG5911">
        <v>-0.117043599999999</v>
      </c>
      <c r="AH5911">
        <v>0.64977289427361296</v>
      </c>
      <c r="AI5911">
        <v>98.527332338942401</v>
      </c>
      <c r="AJ5911">
        <v>123.65478548857</v>
      </c>
      <c r="AK5911">
        <v>0.78933543122725203</v>
      </c>
    </row>
    <row r="5912" spans="1:37" x14ac:dyDescent="0.2">
      <c r="A5912" t="str">
        <f>"20200111153805827"</f>
        <v>20200111153805827</v>
      </c>
      <c r="B5912" t="str">
        <f>"1578728285819498"</f>
        <v>1578728285819498</v>
      </c>
      <c r="C5912" t="s">
        <v>37</v>
      </c>
      <c r="D5912">
        <v>5.6468629999999997</v>
      </c>
      <c r="E5912">
        <v>0.46086459999999901</v>
      </c>
      <c r="F5912" t="s">
        <v>38</v>
      </c>
      <c r="G5912">
        <v>-195.8638</v>
      </c>
      <c r="H5912">
        <v>0.99996719999999895</v>
      </c>
      <c r="I5912">
        <v>-54.516159999999999</v>
      </c>
      <c r="J5912">
        <v>-195.81129999999999</v>
      </c>
      <c r="K5912">
        <v>1.1159399999999999</v>
      </c>
      <c r="L5912">
        <v>-55.068509999999897</v>
      </c>
      <c r="M5912">
        <v>0.66884949999999999</v>
      </c>
      <c r="N5912">
        <v>0</v>
      </c>
      <c r="O5912">
        <v>0.74323700000000004</v>
      </c>
      <c r="P5912">
        <v>0.370143</v>
      </c>
      <c r="Q5912">
        <v>2.4342720000000002E-2</v>
      </c>
      <c r="R5912">
        <v>0.92865580000000003</v>
      </c>
      <c r="S5912">
        <v>0.90528869999999895</v>
      </c>
      <c r="T5912">
        <v>-0.34401529999999902</v>
      </c>
      <c r="U5912">
        <v>2.8860779999999999</v>
      </c>
      <c r="V5912">
        <v>-0.34701769999999998</v>
      </c>
      <c r="W5912">
        <v>2.917144E-2</v>
      </c>
      <c r="X5912">
        <v>0.93740480000000004</v>
      </c>
      <c r="Y5912">
        <v>-0.416464099999999</v>
      </c>
      <c r="Z5912">
        <v>-6.7594810000000005E-2</v>
      </c>
      <c r="AA5912">
        <v>0.90663590000000005</v>
      </c>
      <c r="AB5912">
        <v>29</v>
      </c>
      <c r="AC5912">
        <v>-5.2500000000008998E-2</v>
      </c>
      <c r="AD5912">
        <v>-0.1159728</v>
      </c>
      <c r="AE5912">
        <v>0.55234999999999701</v>
      </c>
      <c r="AF5912">
        <v>-0.39140738855340401</v>
      </c>
      <c r="AG5912">
        <v>-0.1159728</v>
      </c>
      <c r="AH5912">
        <v>0.35974035035912899</v>
      </c>
      <c r="AI5912">
        <v>102.306411937161</v>
      </c>
      <c r="AJ5912">
        <v>137.414057550743</v>
      </c>
      <c r="AK5912">
        <v>0.54411630542609601</v>
      </c>
    </row>
    <row r="5913" spans="1:37" x14ac:dyDescent="0.2">
      <c r="A5913" t="str">
        <f>"20200111153805850"</f>
        <v>20200111153805850</v>
      </c>
      <c r="B5913" t="str">
        <f>"1578728285839020"</f>
        <v>1578728285839020</v>
      </c>
      <c r="C5913" t="s">
        <v>37</v>
      </c>
      <c r="D5913">
        <v>5.6587350000000001</v>
      </c>
      <c r="E5913">
        <v>0.46131620000000001</v>
      </c>
      <c r="F5913" t="s">
        <v>38</v>
      </c>
      <c r="G5913">
        <v>-195.52879999999999</v>
      </c>
      <c r="H5913">
        <v>1.000186</v>
      </c>
      <c r="I5913">
        <v>-54.092550000000003</v>
      </c>
      <c r="J5913">
        <v>-195.62370000000001</v>
      </c>
      <c r="K5913">
        <v>1.1157900000000001</v>
      </c>
      <c r="L5913">
        <v>-54.837829999999997</v>
      </c>
      <c r="M5913">
        <v>0.6579081</v>
      </c>
      <c r="N5913">
        <v>0</v>
      </c>
      <c r="O5913">
        <v>0.7529401</v>
      </c>
      <c r="P5913">
        <v>0.35799540000000002</v>
      </c>
      <c r="Q5913">
        <v>2.496247E-2</v>
      </c>
      <c r="R5913">
        <v>0.93338960000000004</v>
      </c>
      <c r="S5913">
        <v>0.84054569999999995</v>
      </c>
      <c r="T5913">
        <v>-0.34447349999999999</v>
      </c>
      <c r="U5913">
        <v>2.90448</v>
      </c>
      <c r="V5913">
        <v>-0.3455317</v>
      </c>
      <c r="W5913">
        <v>2.9939779999999999E-2</v>
      </c>
      <c r="X5913">
        <v>0.93792929999999997</v>
      </c>
      <c r="Y5913">
        <v>-0.42334090000000002</v>
      </c>
      <c r="Z5913">
        <v>-6.8778080000000005E-2</v>
      </c>
      <c r="AA5913">
        <v>0.90335599999999905</v>
      </c>
      <c r="AB5913">
        <v>29</v>
      </c>
      <c r="AC5913">
        <v>9.4900000000023896E-2</v>
      </c>
      <c r="AD5913">
        <v>-0.115604</v>
      </c>
      <c r="AE5913">
        <v>0.74528000000000105</v>
      </c>
      <c r="AF5913">
        <v>-0.4092323367895</v>
      </c>
      <c r="AG5913">
        <v>-0.115604</v>
      </c>
      <c r="AH5913">
        <v>0.60923622318526305</v>
      </c>
      <c r="AI5913">
        <v>98.9514315766571</v>
      </c>
      <c r="AJ5913">
        <v>123.88979988493099</v>
      </c>
      <c r="AK5913">
        <v>0.74296982841245895</v>
      </c>
    </row>
    <row r="5914" spans="1:37" x14ac:dyDescent="0.2">
      <c r="A5914" t="str">
        <f>"20200111153805872"</f>
        <v>20200111153805872</v>
      </c>
      <c r="B5914" t="str">
        <f>"1578728285869274"</f>
        <v>1578728285869274</v>
      </c>
      <c r="C5914" t="s">
        <v>37</v>
      </c>
      <c r="D5914">
        <v>5.5946109999999996</v>
      </c>
      <c r="E5914">
        <v>0.47154409999999902</v>
      </c>
      <c r="F5914" t="s">
        <v>53</v>
      </c>
      <c r="G5914">
        <v>-193.00049999999999</v>
      </c>
      <c r="H5914" s="1">
        <v>-4.3888749999999902E-6</v>
      </c>
      <c r="I5914">
        <v>-45.352519999999998</v>
      </c>
      <c r="J5914">
        <v>-195.45269999999999</v>
      </c>
      <c r="K5914">
        <v>1.115639</v>
      </c>
      <c r="L5914">
        <v>-54.621609999999997</v>
      </c>
      <c r="M5914">
        <v>0.64778349999999996</v>
      </c>
      <c r="N5914">
        <v>0</v>
      </c>
      <c r="O5914">
        <v>0.76166899999999904</v>
      </c>
      <c r="P5914">
        <v>0.34742390000000001</v>
      </c>
      <c r="Q5914">
        <v>2.5009670000000001E-2</v>
      </c>
      <c r="R5914">
        <v>0.93737469999999901</v>
      </c>
      <c r="S5914">
        <v>0.80592350000000001</v>
      </c>
      <c r="T5914">
        <v>-0.34280339999999998</v>
      </c>
      <c r="U5914">
        <v>2.9141539999999999</v>
      </c>
      <c r="V5914">
        <v>-0.34357969999999999</v>
      </c>
      <c r="W5914">
        <v>3.01471E-2</v>
      </c>
      <c r="X5914">
        <v>0.93863949999999996</v>
      </c>
      <c r="Y5914">
        <v>-0.4219871</v>
      </c>
      <c r="Z5914">
        <v>-6.9742990000000005E-2</v>
      </c>
      <c r="AA5914">
        <v>0.90391529999999998</v>
      </c>
      <c r="AB5914">
        <v>29</v>
      </c>
      <c r="AC5914">
        <v>2.4521999999999999</v>
      </c>
      <c r="AD5914">
        <v>-1.1156433888749999</v>
      </c>
      <c r="AE5914">
        <v>9.2690899999999896</v>
      </c>
      <c r="AF5914">
        <v>-4.0818237410848601</v>
      </c>
      <c r="AG5914">
        <v>-1.1156433888749999</v>
      </c>
      <c r="AH5914">
        <v>8.5339537711885693</v>
      </c>
      <c r="AI5914">
        <v>96.726051692317597</v>
      </c>
      <c r="AJ5914">
        <v>115.561973666345</v>
      </c>
      <c r="AK5914">
        <v>9.5254560097251098</v>
      </c>
    </row>
    <row r="5915" spans="1:37" x14ac:dyDescent="0.2">
      <c r="A5915" t="str">
        <f>"20200111153805894"</f>
        <v>20200111153805894</v>
      </c>
      <c r="B5915" t="str">
        <f>"1578728285888793"</f>
        <v>1578728285888793</v>
      </c>
      <c r="C5915" t="s">
        <v>37</v>
      </c>
      <c r="D5915">
        <v>5.9869019999999997</v>
      </c>
      <c r="E5915">
        <v>0.47161189999999997</v>
      </c>
      <c r="F5915" t="s">
        <v>53</v>
      </c>
      <c r="G5915">
        <v>-192.73220000000001</v>
      </c>
      <c r="H5915" s="1">
        <v>-4.3417609999999996E-6</v>
      </c>
      <c r="I5915">
        <v>-45.351120000000002</v>
      </c>
      <c r="J5915">
        <v>-195.27969999999999</v>
      </c>
      <c r="K5915">
        <v>1.1154759999999999</v>
      </c>
      <c r="L5915">
        <v>-54.397129999999997</v>
      </c>
      <c r="M5915">
        <v>0.63741639999999999</v>
      </c>
      <c r="N5915">
        <v>0</v>
      </c>
      <c r="O5915">
        <v>0.77036649999999995</v>
      </c>
      <c r="P5915">
        <v>0.33720169999999999</v>
      </c>
      <c r="Q5915">
        <v>2.4649170000000001E-2</v>
      </c>
      <c r="R5915">
        <v>0.94110969999999905</v>
      </c>
      <c r="S5915">
        <v>0.8495026</v>
      </c>
      <c r="T5915">
        <v>-0.34837839999999998</v>
      </c>
      <c r="U5915">
        <v>2.8948669999999899</v>
      </c>
      <c r="V5915">
        <v>-0.34107340000000003</v>
      </c>
      <c r="W5915">
        <v>2.9972180000000001E-2</v>
      </c>
      <c r="X5915">
        <v>0.93955869999999997</v>
      </c>
      <c r="Y5915">
        <v>-0.39552709999999902</v>
      </c>
      <c r="Z5915">
        <v>-7.3387880000000003E-2</v>
      </c>
      <c r="AA5915">
        <v>0.91551759999999904</v>
      </c>
      <c r="AB5915">
        <v>29</v>
      </c>
      <c r="AC5915">
        <v>2.5474999999999799</v>
      </c>
      <c r="AD5915">
        <v>-1.115480341761</v>
      </c>
      <c r="AE5915">
        <v>9.0460100000000008</v>
      </c>
      <c r="AF5915">
        <v>-3.7511666849838101</v>
      </c>
      <c r="AG5915">
        <v>-1.115480341761</v>
      </c>
      <c r="AH5915">
        <v>8.4741860302258996</v>
      </c>
      <c r="AI5915">
        <v>96.863512180548199</v>
      </c>
      <c r="AJ5915">
        <v>113.876962540378</v>
      </c>
      <c r="AK5915">
        <v>9.3342046670438599</v>
      </c>
    </row>
    <row r="5916" spans="1:37" x14ac:dyDescent="0.2">
      <c r="A5916" t="str">
        <f>"20200111153805917"</f>
        <v>20200111153805917</v>
      </c>
      <c r="B5916" t="str">
        <f>"1578728285909289"</f>
        <v>1578728285909289</v>
      </c>
      <c r="C5916" t="s">
        <v>37</v>
      </c>
      <c r="D5916">
        <v>6.0107549999999996</v>
      </c>
      <c r="E5916">
        <v>0.47188789999999903</v>
      </c>
      <c r="F5916" t="s">
        <v>53</v>
      </c>
      <c r="G5916">
        <v>-192.69909999999999</v>
      </c>
      <c r="H5916" s="1">
        <v>-4.386835E-6</v>
      </c>
      <c r="I5916">
        <v>-45.241680000000002</v>
      </c>
      <c r="J5916">
        <v>-195.10380000000001</v>
      </c>
      <c r="K5916">
        <v>1.1152959999999901</v>
      </c>
      <c r="L5916">
        <v>-54.162689999999998</v>
      </c>
      <c r="M5916">
        <v>0.62675209999999903</v>
      </c>
      <c r="N5916">
        <v>0</v>
      </c>
      <c r="O5916">
        <v>0.77906819999999999</v>
      </c>
      <c r="P5916">
        <v>0.32675470000000001</v>
      </c>
      <c r="Q5916">
        <v>2.5005989999999999E-2</v>
      </c>
      <c r="R5916">
        <v>0.94477829999999996</v>
      </c>
      <c r="S5916">
        <v>0.81846619999999903</v>
      </c>
      <c r="T5916">
        <v>-0.35378309999999902</v>
      </c>
      <c r="U5916">
        <v>2.9037169999999999</v>
      </c>
      <c r="V5916">
        <v>-0.33853660000000002</v>
      </c>
      <c r="W5916">
        <v>3.052411E-2</v>
      </c>
      <c r="X5916">
        <v>0.94045800000000002</v>
      </c>
      <c r="Y5916">
        <v>-0.39272770000000001</v>
      </c>
      <c r="Z5916">
        <v>-7.5899030000000006E-2</v>
      </c>
      <c r="AA5916">
        <v>0.91651740000000004</v>
      </c>
      <c r="AB5916">
        <v>29</v>
      </c>
      <c r="AC5916">
        <v>2.40470000000002</v>
      </c>
      <c r="AD5916">
        <v>-1.11530038683499</v>
      </c>
      <c r="AE5916">
        <v>8.9210100000000008</v>
      </c>
      <c r="AF5916">
        <v>-3.6648711586977498</v>
      </c>
      <c r="AG5916">
        <v>-1.11530038683499</v>
      </c>
      <c r="AH5916">
        <v>8.3367420746657199</v>
      </c>
      <c r="AI5916">
        <v>96.982238070120303</v>
      </c>
      <c r="AJ5916">
        <v>113.730517262755</v>
      </c>
      <c r="AK5916">
        <v>9.1747721487909697</v>
      </c>
    </row>
    <row r="5917" spans="1:37" x14ac:dyDescent="0.2">
      <c r="A5917" t="str">
        <f>"20200111153805940"</f>
        <v>20200111153805940</v>
      </c>
      <c r="B5917" t="str">
        <f>"1578728285928809"</f>
        <v>1578728285928809</v>
      </c>
      <c r="C5917" t="s">
        <v>37</v>
      </c>
      <c r="D5917">
        <v>6.0681399999999996</v>
      </c>
      <c r="E5917">
        <v>0.47228170000000003</v>
      </c>
      <c r="F5917" t="s">
        <v>53</v>
      </c>
      <c r="G5917">
        <v>-192.5942</v>
      </c>
      <c r="H5917" s="1">
        <v>-4.5311059999999901E-6</v>
      </c>
      <c r="I5917">
        <v>-44.891909999999903</v>
      </c>
      <c r="J5917">
        <v>-194.93099999999899</v>
      </c>
      <c r="K5917">
        <v>1.11511</v>
      </c>
      <c r="L5917">
        <v>-53.925989999999999</v>
      </c>
      <c r="M5917">
        <v>0.61616499999999996</v>
      </c>
      <c r="N5917">
        <v>0</v>
      </c>
      <c r="O5917">
        <v>0.78746910000000003</v>
      </c>
      <c r="P5917">
        <v>0.3188204</v>
      </c>
      <c r="Q5917">
        <v>2.6111490000000001E-2</v>
      </c>
      <c r="R5917">
        <v>0.94745539999999995</v>
      </c>
      <c r="S5917">
        <v>0.788269</v>
      </c>
      <c r="T5917">
        <v>-0.35031999999999902</v>
      </c>
      <c r="U5917">
        <v>2.9119869999999999</v>
      </c>
      <c r="V5917">
        <v>-0.3337001</v>
      </c>
      <c r="W5917">
        <v>3.1900539999999998E-2</v>
      </c>
      <c r="X5917">
        <v>0.94213939999999996</v>
      </c>
      <c r="Y5917">
        <v>-0.38981859999999902</v>
      </c>
      <c r="Z5917">
        <v>-7.6499949999999997E-2</v>
      </c>
      <c r="AA5917">
        <v>0.91770869999999904</v>
      </c>
      <c r="AB5917">
        <v>29</v>
      </c>
      <c r="AC5917">
        <v>2.3367999999999798</v>
      </c>
      <c r="AD5917">
        <v>-1.115114531106</v>
      </c>
      <c r="AE5917">
        <v>9.0340800000000101</v>
      </c>
      <c r="AF5917">
        <v>-3.6742897066909999</v>
      </c>
      <c r="AG5917">
        <v>-1.115114531106</v>
      </c>
      <c r="AH5917">
        <v>8.4344618162085698</v>
      </c>
      <c r="AI5917">
        <v>96.910977848200403</v>
      </c>
      <c r="AJ5917">
        <v>113.539301016024</v>
      </c>
      <c r="AK5917">
        <v>9.2673637780794795</v>
      </c>
    </row>
    <row r="5918" spans="1:37" x14ac:dyDescent="0.2">
      <c r="A5918" t="str">
        <f>"20200111153805961"</f>
        <v>20200111153805961</v>
      </c>
      <c r="B5918" t="str">
        <f>"1578728285949305"</f>
        <v>1578728285949305</v>
      </c>
      <c r="C5918" t="s">
        <v>37</v>
      </c>
      <c r="D5918">
        <v>5.8335780000000002</v>
      </c>
      <c r="E5918">
        <v>0.47250500000000001</v>
      </c>
      <c r="F5918" t="s">
        <v>53</v>
      </c>
      <c r="G5918">
        <v>-192.45179999999999</v>
      </c>
      <c r="H5918" s="1">
        <v>-4.6918149999999999E-6</v>
      </c>
      <c r="I5918">
        <v>-44.4925</v>
      </c>
      <c r="J5918">
        <v>-194.77289999999999</v>
      </c>
      <c r="K5918">
        <v>1.1149249999999999</v>
      </c>
      <c r="L5918">
        <v>-53.703279999999999</v>
      </c>
      <c r="M5918">
        <v>0.60639290000000001</v>
      </c>
      <c r="N5918">
        <v>0</v>
      </c>
      <c r="O5918">
        <v>0.79501959999999905</v>
      </c>
      <c r="P5918">
        <v>0.30980079999999999</v>
      </c>
      <c r="Q5918">
        <v>2.568347E-2</v>
      </c>
      <c r="R5918">
        <v>0.95045449999999998</v>
      </c>
      <c r="S5918">
        <v>0.76681519999999903</v>
      </c>
      <c r="T5918">
        <v>-0.34491279999999902</v>
      </c>
      <c r="U5918">
        <v>2.9178470000000001</v>
      </c>
      <c r="V5918">
        <v>-0.330997599999999</v>
      </c>
      <c r="W5918">
        <v>3.1668920000000003E-2</v>
      </c>
      <c r="X5918">
        <v>0.94310000000000005</v>
      </c>
      <c r="Y5918">
        <v>-0.38520890000000002</v>
      </c>
      <c r="Z5918">
        <v>-7.6589260000000006E-2</v>
      </c>
      <c r="AA5918">
        <v>0.91964570000000001</v>
      </c>
      <c r="AB5918">
        <v>29</v>
      </c>
      <c r="AC5918">
        <v>2.3210999999999999</v>
      </c>
      <c r="AD5918">
        <v>-1.114929691815</v>
      </c>
      <c r="AE5918">
        <v>9.2107799999999997</v>
      </c>
      <c r="AF5918">
        <v>-3.6896314858113</v>
      </c>
      <c r="AG5918">
        <v>-1.114929691815</v>
      </c>
      <c r="AH5918">
        <v>8.6126016367013296</v>
      </c>
      <c r="AI5918">
        <v>96.785932682070694</v>
      </c>
      <c r="AJ5918">
        <v>113.190252331339</v>
      </c>
      <c r="AK5918">
        <v>9.4357488134907097</v>
      </c>
    </row>
    <row r="5919" spans="1:37" x14ac:dyDescent="0.2">
      <c r="A5919" t="str">
        <f>"20200111153805984"</f>
        <v>20200111153805984</v>
      </c>
      <c r="B5919" t="str">
        <f>"1578728285979562"</f>
        <v>1578728285979562</v>
      </c>
      <c r="C5919" t="s">
        <v>37</v>
      </c>
      <c r="D5919">
        <v>5.5840899999999998</v>
      </c>
      <c r="E5919">
        <v>0.47274820000000001</v>
      </c>
      <c r="F5919" t="s">
        <v>53</v>
      </c>
      <c r="G5919">
        <v>-192.3895</v>
      </c>
      <c r="H5919" s="1">
        <v>-4.7735719999999903E-6</v>
      </c>
      <c r="I5919">
        <v>-44.293170000000003</v>
      </c>
      <c r="J5919">
        <v>-194.60489999999999</v>
      </c>
      <c r="K5919">
        <v>1.114725</v>
      </c>
      <c r="L5919">
        <v>-53.460389999999997</v>
      </c>
      <c r="M5919">
        <v>0.595898699999999</v>
      </c>
      <c r="N5919">
        <v>0</v>
      </c>
      <c r="O5919">
        <v>0.80291630000000003</v>
      </c>
      <c r="P5919">
        <v>0.30109409999999998</v>
      </c>
      <c r="Q5919">
        <v>2.485221E-2</v>
      </c>
      <c r="R5919">
        <v>0.95327059999999997</v>
      </c>
      <c r="S5919">
        <v>0.74066160000000003</v>
      </c>
      <c r="T5919">
        <v>-0.34648299999999999</v>
      </c>
      <c r="U5919">
        <v>2.924347</v>
      </c>
      <c r="V5919">
        <v>-0.32720969999999999</v>
      </c>
      <c r="W5919">
        <v>3.1064580000000001E-2</v>
      </c>
      <c r="X5919">
        <v>0.94444099999999997</v>
      </c>
      <c r="Y5919">
        <v>-0.38133109999999998</v>
      </c>
      <c r="Z5919">
        <v>-7.822759E-2</v>
      </c>
      <c r="AA5919">
        <v>0.92112269999999896</v>
      </c>
      <c r="AB5919">
        <v>29</v>
      </c>
      <c r="AC5919">
        <v>2.2153999999999798</v>
      </c>
      <c r="AD5919">
        <v>-1.1147297735719901</v>
      </c>
      <c r="AE5919">
        <v>9.1672200000000004</v>
      </c>
      <c r="AF5919">
        <v>-3.6336141724500299</v>
      </c>
      <c r="AG5919">
        <v>-1.1147297735719901</v>
      </c>
      <c r="AH5919">
        <v>8.5620470483334401</v>
      </c>
      <c r="AI5919">
        <v>96.834205570312704</v>
      </c>
      <c r="AJ5919">
        <v>112.995695201739</v>
      </c>
      <c r="AK5919">
        <v>9.3677331345525197</v>
      </c>
    </row>
    <row r="5920" spans="1:37" x14ac:dyDescent="0.2">
      <c r="A5920" t="str">
        <f>"20200111153806005"</f>
        <v>20200111153806005</v>
      </c>
      <c r="B5920" t="str">
        <f>"1578728285999082"</f>
        <v>1578728285999082</v>
      </c>
      <c r="C5920" t="s">
        <v>37</v>
      </c>
      <c r="D5920">
        <v>6.0924149999999999</v>
      </c>
      <c r="E5920">
        <v>0.47319799999999901</v>
      </c>
      <c r="F5920" t="s">
        <v>53</v>
      </c>
      <c r="G5920">
        <v>-192.2723</v>
      </c>
      <c r="H5920" s="1">
        <v>-4.9332910000000002E-6</v>
      </c>
      <c r="I5920">
        <v>-43.90549</v>
      </c>
      <c r="J5920">
        <v>-194.45</v>
      </c>
      <c r="K5920">
        <v>1.114547</v>
      </c>
      <c r="L5920">
        <v>-53.230619999999902</v>
      </c>
      <c r="M5920">
        <v>0.58612810000000004</v>
      </c>
      <c r="N5920">
        <v>0</v>
      </c>
      <c r="O5920">
        <v>0.81007719999999905</v>
      </c>
      <c r="P5920">
        <v>0.29307230000000001</v>
      </c>
      <c r="Q5920">
        <v>2.43664E-2</v>
      </c>
      <c r="R5920">
        <v>0.95577969999999901</v>
      </c>
      <c r="S5920">
        <v>0.71530150000000003</v>
      </c>
      <c r="T5920">
        <v>-0.341837</v>
      </c>
      <c r="U5920">
        <v>2.9300540000000002</v>
      </c>
      <c r="V5920">
        <v>-0.32368269999999999</v>
      </c>
      <c r="W5920">
        <v>3.078529E-2</v>
      </c>
      <c r="X5920">
        <v>0.94566469999999903</v>
      </c>
      <c r="Y5920">
        <v>-0.37806689999999998</v>
      </c>
      <c r="Z5920">
        <v>-7.8348470000000003E-2</v>
      </c>
      <c r="AA5920">
        <v>0.92245699999999997</v>
      </c>
      <c r="AB5920">
        <v>29</v>
      </c>
      <c r="AC5920">
        <v>2.1776999999999802</v>
      </c>
      <c r="AD5920">
        <v>-1.1145519332909899</v>
      </c>
      <c r="AE5920">
        <v>9.3251299999999908</v>
      </c>
      <c r="AF5920">
        <v>-3.6525594689723899</v>
      </c>
      <c r="AG5920">
        <v>-1.1145519332909899</v>
      </c>
      <c r="AH5920">
        <v>8.7134591957476193</v>
      </c>
      <c r="AI5920">
        <v>96.727883436796901</v>
      </c>
      <c r="AJ5920">
        <v>112.74274531819</v>
      </c>
      <c r="AK5920">
        <v>9.5135581063207493</v>
      </c>
    </row>
    <row r="5921" spans="1:37" x14ac:dyDescent="0.2">
      <c r="A5921" t="str">
        <f>"20200111153806029"</f>
        <v>20200111153806029</v>
      </c>
      <c r="B5921" t="str">
        <f>"1578728286019578"</f>
        <v>1578728286019578</v>
      </c>
      <c r="C5921" t="s">
        <v>37</v>
      </c>
      <c r="D5921">
        <v>5.8706449999999997</v>
      </c>
      <c r="E5921">
        <v>0.47345690000000001</v>
      </c>
      <c r="F5921" t="s">
        <v>53</v>
      </c>
      <c r="G5921">
        <v>-192.17320000000001</v>
      </c>
      <c r="H5921" s="1">
        <v>-5.056869E-6</v>
      </c>
      <c r="I5921">
        <v>-43.602319999999999</v>
      </c>
      <c r="J5921">
        <v>-194.2893</v>
      </c>
      <c r="K5921">
        <v>1.114357</v>
      </c>
      <c r="L5921">
        <v>-52.986240000000002</v>
      </c>
      <c r="M5921">
        <v>0.57591870000000001</v>
      </c>
      <c r="N5921">
        <v>0</v>
      </c>
      <c r="O5921">
        <v>0.81736799999999998</v>
      </c>
      <c r="P5921">
        <v>0.28433079999999999</v>
      </c>
      <c r="Q5921">
        <v>2.444348E-2</v>
      </c>
      <c r="R5921">
        <v>0.95841460000000001</v>
      </c>
      <c r="S5921">
        <v>0.69395450000000003</v>
      </c>
      <c r="T5921">
        <v>-0.33971040000000002</v>
      </c>
      <c r="U5921">
        <v>2.9346619999999999</v>
      </c>
      <c r="V5921">
        <v>-0.32043729999999998</v>
      </c>
      <c r="W5921">
        <v>3.1063159999999999E-2</v>
      </c>
      <c r="X5921">
        <v>0.9467603</v>
      </c>
      <c r="Y5921">
        <v>-0.3731389</v>
      </c>
      <c r="Z5921">
        <v>-7.909592E-2</v>
      </c>
      <c r="AA5921">
        <v>0.92439780000000005</v>
      </c>
      <c r="AB5921">
        <v>29</v>
      </c>
      <c r="AC5921">
        <v>2.1160999999999799</v>
      </c>
      <c r="AD5921">
        <v>-1.114362056869</v>
      </c>
      <c r="AE5921">
        <v>9.3839199999999998</v>
      </c>
      <c r="AF5921">
        <v>-3.6264936670185501</v>
      </c>
      <c r="AG5921">
        <v>-1.114362056869</v>
      </c>
      <c r="AH5921">
        <v>8.7721084097549191</v>
      </c>
      <c r="AI5921">
        <v>96.695761004254706</v>
      </c>
      <c r="AJ5921">
        <v>112.460781703569</v>
      </c>
      <c r="AK5921">
        <v>9.5573607791695192</v>
      </c>
    </row>
    <row r="5922" spans="1:37" x14ac:dyDescent="0.2">
      <c r="A5922" t="str">
        <f>"20200111153806051"</f>
        <v>20200111153806051</v>
      </c>
      <c r="B5922" t="str">
        <f>"1578728286039100"</f>
        <v>1578728286039100</v>
      </c>
      <c r="C5922" t="s">
        <v>37</v>
      </c>
      <c r="D5922">
        <v>6.1493659999999997</v>
      </c>
      <c r="E5922">
        <v>0.47374049999999901</v>
      </c>
      <c r="F5922" t="s">
        <v>53</v>
      </c>
      <c r="G5922">
        <v>-192.09379999999999</v>
      </c>
      <c r="H5922" s="1">
        <v>-5.1657529999999902E-6</v>
      </c>
      <c r="I5922">
        <v>-43.338259999999998</v>
      </c>
      <c r="J5922">
        <v>-194.1379</v>
      </c>
      <c r="K5922">
        <v>1.114158</v>
      </c>
      <c r="L5922">
        <v>-52.750059999999998</v>
      </c>
      <c r="M5922">
        <v>0.56623760000000001</v>
      </c>
      <c r="N5922">
        <v>0</v>
      </c>
      <c r="O5922">
        <v>0.82410499999999998</v>
      </c>
      <c r="P5922">
        <v>0.27669060000000001</v>
      </c>
      <c r="Q5922">
        <v>2.4388409999999999E-2</v>
      </c>
      <c r="R5922">
        <v>0.96064950000000005</v>
      </c>
      <c r="S5922">
        <v>0.66909790000000002</v>
      </c>
      <c r="T5922">
        <v>-0.339615</v>
      </c>
      <c r="U5922">
        <v>2.9403380000000001</v>
      </c>
      <c r="V5922">
        <v>-0.31678919999999999</v>
      </c>
      <c r="W5922">
        <v>3.1219469999999999E-2</v>
      </c>
      <c r="X5922">
        <v>0.94798199999999999</v>
      </c>
      <c r="Y5922">
        <v>-0.37002669999999999</v>
      </c>
      <c r="Z5922">
        <v>-8.0148280000000002E-2</v>
      </c>
      <c r="AA5922">
        <v>0.92555739999999997</v>
      </c>
      <c r="AB5922">
        <v>29</v>
      </c>
      <c r="AC5922">
        <v>2.04410000000001</v>
      </c>
      <c r="AD5922">
        <v>-1.114163165753</v>
      </c>
      <c r="AE5922">
        <v>9.4117999999999995</v>
      </c>
      <c r="AF5922">
        <v>-3.5970366812497101</v>
      </c>
      <c r="AG5922">
        <v>-1.114163165753</v>
      </c>
      <c r="AH5922">
        <v>8.7970389727648595</v>
      </c>
      <c r="AI5922">
        <v>96.686300932518193</v>
      </c>
      <c r="AJ5922">
        <v>112.23924802579</v>
      </c>
      <c r="AK5922">
        <v>9.5691131843301296</v>
      </c>
    </row>
    <row r="5923" spans="1:37" x14ac:dyDescent="0.2">
      <c r="A5923" t="str">
        <f>"20200111153806074"</f>
        <v>20200111153806074</v>
      </c>
      <c r="B5923" t="str">
        <f>"1578728286069353"</f>
        <v>1578728286069353</v>
      </c>
      <c r="C5923" t="s">
        <v>37</v>
      </c>
      <c r="D5923">
        <v>5.810352</v>
      </c>
      <c r="E5923">
        <v>0.47419650000000002</v>
      </c>
      <c r="F5923" t="s">
        <v>53</v>
      </c>
      <c r="G5923">
        <v>-191.99719999999999</v>
      </c>
      <c r="H5923" s="1">
        <v>-5.2973220000000003E-6</v>
      </c>
      <c r="I5923">
        <v>-43.018900000000002</v>
      </c>
      <c r="J5923">
        <v>-193.98689999999999</v>
      </c>
      <c r="K5923">
        <v>1.113947</v>
      </c>
      <c r="L5923">
        <v>-52.508669999999903</v>
      </c>
      <c r="M5923">
        <v>0.55653980000000003</v>
      </c>
      <c r="N5923">
        <v>0</v>
      </c>
      <c r="O5923">
        <v>0.83068589999999998</v>
      </c>
      <c r="P5923">
        <v>0.26905609999999902</v>
      </c>
      <c r="Q5923">
        <v>2.3493299999999901E-2</v>
      </c>
      <c r="R5923">
        <v>0.96283790000000002</v>
      </c>
      <c r="S5923">
        <v>0.6478119</v>
      </c>
      <c r="T5923">
        <v>-0.33716929999999901</v>
      </c>
      <c r="U5923">
        <v>2.944855</v>
      </c>
      <c r="V5923">
        <v>-0.31317449999999902</v>
      </c>
      <c r="W5923">
        <v>3.0541740000000001E-2</v>
      </c>
      <c r="X5923">
        <v>0.94920439999999995</v>
      </c>
      <c r="Y5923">
        <v>-0.36582150000000002</v>
      </c>
      <c r="Z5923">
        <v>-8.0664840000000002E-2</v>
      </c>
      <c r="AA5923">
        <v>0.92718269999999903</v>
      </c>
      <c r="AB5923">
        <v>29</v>
      </c>
      <c r="AC5923">
        <v>1.98969999999999</v>
      </c>
      <c r="AD5923">
        <v>-1.113952297322</v>
      </c>
      <c r="AE5923">
        <v>9.4897699999999894</v>
      </c>
      <c r="AF5923">
        <v>-3.5817509695365999</v>
      </c>
      <c r="AG5923">
        <v>-1.113952297322</v>
      </c>
      <c r="AH5923">
        <v>8.8742439545378105</v>
      </c>
      <c r="AI5923">
        <v>96.639511132333496</v>
      </c>
      <c r="AJ5923">
        <v>111.979592064427</v>
      </c>
      <c r="AK5923">
        <v>9.6344193127108699</v>
      </c>
    </row>
    <row r="5924" spans="1:37" x14ac:dyDescent="0.2">
      <c r="A5924" t="str">
        <f>"20200111153806095"</f>
        <v>20200111153806095</v>
      </c>
      <c r="B5924" t="str">
        <f>"1578728286088874"</f>
        <v>1578728286088874</v>
      </c>
      <c r="C5924" t="s">
        <v>37</v>
      </c>
      <c r="D5924">
        <v>6.0087719999999996</v>
      </c>
      <c r="E5924">
        <v>0.47470020000000002</v>
      </c>
      <c r="F5924" t="s">
        <v>53</v>
      </c>
      <c r="G5924">
        <v>-191.91419999999999</v>
      </c>
      <c r="H5924" s="1">
        <v>-5.3958460000000001E-6</v>
      </c>
      <c r="I5924">
        <v>-42.775659999999903</v>
      </c>
      <c r="J5924">
        <v>-193.83920000000001</v>
      </c>
      <c r="K5924">
        <v>1.113723</v>
      </c>
      <c r="L5924">
        <v>-52.267029999999998</v>
      </c>
      <c r="M5924">
        <v>0.54704209999999998</v>
      </c>
      <c r="N5924">
        <v>0</v>
      </c>
      <c r="O5924">
        <v>0.83697189999999999</v>
      </c>
      <c r="P5924">
        <v>0.2625709</v>
      </c>
      <c r="Q5924">
        <v>2.2787269999999998E-2</v>
      </c>
      <c r="R5924">
        <v>0.96464359999999905</v>
      </c>
      <c r="S5924">
        <v>0.62789919999999899</v>
      </c>
      <c r="T5924">
        <v>-0.33746399999999999</v>
      </c>
      <c r="U5924">
        <v>2.948547</v>
      </c>
      <c r="V5924">
        <v>-0.30872119999999997</v>
      </c>
      <c r="W5924">
        <v>3.0080849999999999E-2</v>
      </c>
      <c r="X5924">
        <v>0.95067679999999999</v>
      </c>
      <c r="Y5924">
        <v>-0.36146109999999998</v>
      </c>
      <c r="Z5924">
        <v>-8.1795820000000005E-2</v>
      </c>
      <c r="AA5924">
        <v>0.92879239999999996</v>
      </c>
      <c r="AB5924">
        <v>29</v>
      </c>
      <c r="AC5924">
        <v>1.92500000000001</v>
      </c>
      <c r="AD5924">
        <v>-1.113728395846</v>
      </c>
      <c r="AE5924">
        <v>9.4913699999999999</v>
      </c>
      <c r="AF5924">
        <v>-3.5346616575892602</v>
      </c>
      <c r="AG5924">
        <v>-1.113728395846</v>
      </c>
      <c r="AH5924">
        <v>8.8806234711126901</v>
      </c>
      <c r="AI5924">
        <v>96.646171073454596</v>
      </c>
      <c r="AJ5924">
        <v>111.703521980369</v>
      </c>
      <c r="AK5924">
        <v>9.6228736461112803</v>
      </c>
    </row>
    <row r="5925" spans="1:37" x14ac:dyDescent="0.2">
      <c r="A5925" t="str">
        <f>"20200111153806121"</f>
        <v>20200111153806121</v>
      </c>
      <c r="B5925" t="str">
        <f>"1578728286109370"</f>
        <v>1578728286109370</v>
      </c>
      <c r="C5925" t="s">
        <v>37</v>
      </c>
      <c r="D5925">
        <v>6.0659729999999996</v>
      </c>
      <c r="E5925">
        <v>0.47494759999999903</v>
      </c>
      <c r="F5925" t="s">
        <v>53</v>
      </c>
      <c r="G5925">
        <v>-191.83189999999999</v>
      </c>
      <c r="H5925" s="1">
        <v>-5.4736239999999901E-6</v>
      </c>
      <c r="I5925">
        <v>-42.577249999999999</v>
      </c>
      <c r="J5925">
        <v>-193.6824</v>
      </c>
      <c r="K5925">
        <v>1.113467</v>
      </c>
      <c r="L5925">
        <v>-52.00394</v>
      </c>
      <c r="M5925">
        <v>0.53695139999999997</v>
      </c>
      <c r="N5925">
        <v>0</v>
      </c>
      <c r="O5925">
        <v>0.84348210000000001</v>
      </c>
      <c r="P5925">
        <v>0.25611929999999999</v>
      </c>
      <c r="Q5925">
        <v>2.2163579999999999E-2</v>
      </c>
      <c r="R5925">
        <v>0.96639109999999995</v>
      </c>
      <c r="S5925">
        <v>0.6114349</v>
      </c>
      <c r="T5925">
        <v>-0.33924529999999897</v>
      </c>
      <c r="U5925">
        <v>2.9515380000000002</v>
      </c>
      <c r="V5925">
        <v>-0.30362509999999998</v>
      </c>
      <c r="W5925">
        <v>2.9733389999999998E-2</v>
      </c>
      <c r="X5925">
        <v>0.95232749999999999</v>
      </c>
      <c r="Y5925">
        <v>-0.35543779999999903</v>
      </c>
      <c r="Z5925">
        <v>-8.3373009999999997E-2</v>
      </c>
      <c r="AA5925">
        <v>0.93097419999999997</v>
      </c>
      <c r="AB5925">
        <v>29</v>
      </c>
      <c r="AC5925">
        <v>1.85050000000001</v>
      </c>
      <c r="AD5925">
        <v>-1.113472473624</v>
      </c>
      <c r="AE5925">
        <v>9.4266900000000007</v>
      </c>
      <c r="AF5925">
        <v>-3.45478485477696</v>
      </c>
      <c r="AG5925">
        <v>-1.113472473624</v>
      </c>
      <c r="AH5925">
        <v>8.8272726759898799</v>
      </c>
      <c r="AI5925">
        <v>96.699498596466</v>
      </c>
      <c r="AJ5925">
        <v>111.374194703543</v>
      </c>
      <c r="AK5925">
        <v>9.5444278109581902</v>
      </c>
    </row>
    <row r="5926" spans="1:37" x14ac:dyDescent="0.2">
      <c r="A5926" t="str">
        <f>"20200111153806142"</f>
        <v>20200111153806142</v>
      </c>
      <c r="B5926" t="str">
        <f>"1578728286138649"</f>
        <v>1578728286138649</v>
      </c>
      <c r="C5926" t="s">
        <v>37</v>
      </c>
      <c r="D5926">
        <v>5.772589</v>
      </c>
      <c r="E5926">
        <v>0.48288219999999998</v>
      </c>
      <c r="F5926" t="s">
        <v>53</v>
      </c>
      <c r="G5926">
        <v>-191.74950000000001</v>
      </c>
      <c r="H5926" s="1">
        <v>-5.5537169999999997E-6</v>
      </c>
      <c r="I5926">
        <v>-42.373800000000003</v>
      </c>
      <c r="J5926">
        <v>-193.5403</v>
      </c>
      <c r="K5926">
        <v>1.1132309999999901</v>
      </c>
      <c r="L5926">
        <v>-51.759250000000002</v>
      </c>
      <c r="M5926">
        <v>0.52784189999999998</v>
      </c>
      <c r="N5926">
        <v>0</v>
      </c>
      <c r="O5926">
        <v>0.84921340000000001</v>
      </c>
      <c r="P5926">
        <v>0.25121549999999998</v>
      </c>
      <c r="Q5926">
        <v>2.1798660000000001E-2</v>
      </c>
      <c r="R5926">
        <v>0.96768569999999998</v>
      </c>
      <c r="S5926">
        <v>0.59310909999999994</v>
      </c>
      <c r="T5926">
        <v>-0.3416669</v>
      </c>
      <c r="U5926">
        <v>2.954987</v>
      </c>
      <c r="V5926">
        <v>-0.29817579999999999</v>
      </c>
      <c r="W5926">
        <v>2.9641399999999998E-2</v>
      </c>
      <c r="X5926">
        <v>0.95405059999999997</v>
      </c>
      <c r="Y5926">
        <v>-0.35115849999999998</v>
      </c>
      <c r="Z5926">
        <v>-8.4942149999999994E-2</v>
      </c>
      <c r="AA5926">
        <v>0.93245509999999998</v>
      </c>
      <c r="AB5926">
        <v>29</v>
      </c>
      <c r="AC5926">
        <v>1.79079999999999</v>
      </c>
      <c r="AD5926">
        <v>-1.1132365537169999</v>
      </c>
      <c r="AE5926">
        <v>9.3854500000000005</v>
      </c>
      <c r="AF5926">
        <v>-3.3876525094409402</v>
      </c>
      <c r="AG5926">
        <v>-1.1132365537169999</v>
      </c>
      <c r="AH5926">
        <v>8.7970692286930596</v>
      </c>
      <c r="AI5926">
        <v>96.735019829716506</v>
      </c>
      <c r="AJ5926">
        <v>111.061134694611</v>
      </c>
      <c r="AK5926">
        <v>9.4923080525060701</v>
      </c>
    </row>
    <row r="5927" spans="1:37" x14ac:dyDescent="0.2">
      <c r="A5927" t="str">
        <f>"20200111153806163"</f>
        <v>20200111153806163</v>
      </c>
      <c r="B5927" t="str">
        <f>"1578728286159146"</f>
        <v>1578728286159146</v>
      </c>
      <c r="C5927" t="s">
        <v>37</v>
      </c>
      <c r="D5927">
        <v>6.1195649999999997</v>
      </c>
      <c r="E5927">
        <v>0.48236759999999901</v>
      </c>
      <c r="F5927" t="s">
        <v>53</v>
      </c>
      <c r="G5927">
        <v>-191.57660000000001</v>
      </c>
      <c r="H5927" s="1">
        <v>-5.3559249999999999E-6</v>
      </c>
      <c r="I5927">
        <v>-42.732329999999997</v>
      </c>
      <c r="J5927">
        <v>-193.40989999999999</v>
      </c>
      <c r="K5927">
        <v>1.113019</v>
      </c>
      <c r="L5927">
        <v>-51.530149999999999</v>
      </c>
      <c r="M5927">
        <v>0.51949100000000004</v>
      </c>
      <c r="N5927">
        <v>0</v>
      </c>
      <c r="O5927">
        <v>0.85434829999999995</v>
      </c>
      <c r="P5927">
        <v>0.246545399999999</v>
      </c>
      <c r="Q5927">
        <v>2.2107209999999999E-2</v>
      </c>
      <c r="R5927">
        <v>0.96887909999999899</v>
      </c>
      <c r="S5927">
        <v>0.64002990000000004</v>
      </c>
      <c r="T5927">
        <v>-0.36284440000000001</v>
      </c>
      <c r="U5927">
        <v>2.9422000000000001</v>
      </c>
      <c r="V5927">
        <v>-0.29340479999999902</v>
      </c>
      <c r="W5927">
        <v>3.017951E-2</v>
      </c>
      <c r="X5927">
        <v>0.95551180000000002</v>
      </c>
      <c r="Y5927">
        <v>-0.32698759999999999</v>
      </c>
      <c r="Z5927">
        <v>-9.1846109999999995E-2</v>
      </c>
      <c r="AA5927">
        <v>0.94055489999999997</v>
      </c>
      <c r="AB5927">
        <v>29</v>
      </c>
      <c r="AC5927">
        <v>1.8332999999999799</v>
      </c>
      <c r="AD5927">
        <v>-1.1130243559249999</v>
      </c>
      <c r="AE5927">
        <v>8.7978199999999998</v>
      </c>
      <c r="AF5927">
        <v>-2.9590501336943098</v>
      </c>
      <c r="AG5927">
        <v>-1.1130243559249999</v>
      </c>
      <c r="AH5927">
        <v>8.3417542952325405</v>
      </c>
      <c r="AI5927">
        <v>97.167364902597001</v>
      </c>
      <c r="AJ5927">
        <v>109.530998428434</v>
      </c>
      <c r="AK5927">
        <v>8.9207435582819699</v>
      </c>
    </row>
    <row r="5928" spans="1:37" x14ac:dyDescent="0.2">
      <c r="A5928" t="str">
        <f>"20200111153806186"</f>
        <v>20200111153806186</v>
      </c>
      <c r="B5928" t="str">
        <f>"1578728286178666"</f>
        <v>1578728286178666</v>
      </c>
      <c r="C5928" t="s">
        <v>37</v>
      </c>
      <c r="D5928">
        <v>5.7827699999999904</v>
      </c>
      <c r="E5928">
        <v>0.48328310000000002</v>
      </c>
      <c r="F5928" t="s">
        <v>53</v>
      </c>
      <c r="G5928">
        <v>-191.49270000000001</v>
      </c>
      <c r="H5928" s="1">
        <v>-5.4760289999999999E-6</v>
      </c>
      <c r="I5928">
        <v>-42.442430000000002</v>
      </c>
      <c r="J5928">
        <v>-193.27119999999999</v>
      </c>
      <c r="K5928">
        <v>1.1128089999999999</v>
      </c>
      <c r="L5928">
        <v>-51.280729999999998</v>
      </c>
      <c r="M5928">
        <v>0.51061749999999995</v>
      </c>
      <c r="N5928">
        <v>0</v>
      </c>
      <c r="O5928">
        <v>0.8596821</v>
      </c>
      <c r="P5928">
        <v>0.24111959999999999</v>
      </c>
      <c r="Q5928">
        <v>2.2298269999999999E-2</v>
      </c>
      <c r="R5928">
        <v>0.97023919999999997</v>
      </c>
      <c r="S5928">
        <v>0.62161250000000001</v>
      </c>
      <c r="T5928">
        <v>-0.3608635</v>
      </c>
      <c r="U5928">
        <v>2.9464109999999999</v>
      </c>
      <c r="V5928">
        <v>-0.2888384</v>
      </c>
      <c r="W5928">
        <v>3.059131E-2</v>
      </c>
      <c r="X5928">
        <v>0.95688899999999999</v>
      </c>
      <c r="Y5928">
        <v>-0.32310679999999897</v>
      </c>
      <c r="Z5928">
        <v>-9.2281539999999995E-2</v>
      </c>
      <c r="AA5928">
        <v>0.94185249999999998</v>
      </c>
      <c r="AB5928">
        <v>29</v>
      </c>
      <c r="AC5928">
        <v>1.77849999999997</v>
      </c>
      <c r="AD5928">
        <v>-1.112814476029</v>
      </c>
      <c r="AE5928">
        <v>8.8382999999999896</v>
      </c>
      <c r="AF5928">
        <v>-2.93958175177027</v>
      </c>
      <c r="AG5928">
        <v>-1.112814476029</v>
      </c>
      <c r="AH5928">
        <v>8.3795125368002203</v>
      </c>
      <c r="AI5928">
        <v>97.142762732965807</v>
      </c>
      <c r="AJ5928">
        <v>109.331167268269</v>
      </c>
      <c r="AK5928">
        <v>8.9496216281914691</v>
      </c>
    </row>
    <row r="5929" spans="1:37" x14ac:dyDescent="0.2">
      <c r="A5929" t="str">
        <f>"20200111153806208"</f>
        <v>20200111153806208</v>
      </c>
      <c r="B5929" t="str">
        <f>"1578728286199162"</f>
        <v>1578728286199162</v>
      </c>
      <c r="C5929" t="s">
        <v>37</v>
      </c>
      <c r="D5929">
        <v>5.5757940000000001</v>
      </c>
      <c r="E5929">
        <v>0.48328310000000002</v>
      </c>
      <c r="F5929" t="s">
        <v>53</v>
      </c>
      <c r="G5929">
        <v>-191.41079999999999</v>
      </c>
      <c r="H5929" s="1">
        <v>-5.5155799999999996E-6</v>
      </c>
      <c r="I5929">
        <v>-42.326229999999903</v>
      </c>
      <c r="J5929">
        <v>-193.1317</v>
      </c>
      <c r="K5929">
        <v>1.1125890000000001</v>
      </c>
      <c r="L5929">
        <v>-51.02411</v>
      </c>
      <c r="M5929">
        <v>0.50172659999999902</v>
      </c>
      <c r="N5929">
        <v>0</v>
      </c>
      <c r="O5929">
        <v>0.8649019</v>
      </c>
      <c r="P5929">
        <v>0.2355323</v>
      </c>
      <c r="Q5929">
        <v>2.1963900000000001E-2</v>
      </c>
      <c r="R5929">
        <v>0.97161830000000005</v>
      </c>
      <c r="S5929">
        <v>0.61253359999999901</v>
      </c>
      <c r="T5929">
        <v>-0.36638690000000002</v>
      </c>
      <c r="U5929">
        <v>2.9482119999999998</v>
      </c>
      <c r="V5929">
        <v>-0.28445479999999901</v>
      </c>
      <c r="W5929">
        <v>3.0468820000000001E-2</v>
      </c>
      <c r="X5929">
        <v>0.95820519999999998</v>
      </c>
      <c r="Y5929">
        <v>-0.3162835</v>
      </c>
      <c r="Z5929">
        <v>-9.4709570000000007E-2</v>
      </c>
      <c r="AA5929">
        <v>0.94392529999999997</v>
      </c>
      <c r="AB5929">
        <v>29</v>
      </c>
      <c r="AC5929">
        <v>1.7209000000000001</v>
      </c>
      <c r="AD5929">
        <v>-1.1125945155800001</v>
      </c>
      <c r="AE5929">
        <v>8.6978799999999996</v>
      </c>
      <c r="AF5929">
        <v>-2.8312761223501899</v>
      </c>
      <c r="AG5929">
        <v>-1.1125945155800001</v>
      </c>
      <c r="AH5929">
        <v>8.2571197251780095</v>
      </c>
      <c r="AI5929">
        <v>97.263695100098403</v>
      </c>
      <c r="AJ5929">
        <v>108.926281391693</v>
      </c>
      <c r="AK5929">
        <v>8.7996600612190008</v>
      </c>
    </row>
    <row r="5930" spans="1:37" x14ac:dyDescent="0.2">
      <c r="A5930" t="str">
        <f>"20200111153806232"</f>
        <v>20200111153806232</v>
      </c>
      <c r="B5930" t="str">
        <f>"1578728286218681"</f>
        <v>1578728286218681</v>
      </c>
      <c r="C5930" t="s">
        <v>37</v>
      </c>
      <c r="D5930">
        <v>5.8093570000000003</v>
      </c>
      <c r="E5930">
        <v>0.48427019999999998</v>
      </c>
      <c r="F5930" t="s">
        <v>53</v>
      </c>
      <c r="G5930">
        <v>-191.3297</v>
      </c>
      <c r="H5930" s="1">
        <v>-5.6151279999999997E-6</v>
      </c>
      <c r="I5930">
        <v>-42.08155</v>
      </c>
      <c r="J5930">
        <v>-192.99359999999999</v>
      </c>
      <c r="K5930">
        <v>1.112358</v>
      </c>
      <c r="L5930">
        <v>-50.764470000000003</v>
      </c>
      <c r="M5930">
        <v>0.49298239999999999</v>
      </c>
      <c r="N5930">
        <v>0</v>
      </c>
      <c r="O5930">
        <v>0.86991659999999904</v>
      </c>
      <c r="P5930">
        <v>0.22963449999999999</v>
      </c>
      <c r="Q5930">
        <v>2.10984E-2</v>
      </c>
      <c r="R5930">
        <v>0.97304820000000003</v>
      </c>
      <c r="S5930">
        <v>0.59478759999999997</v>
      </c>
      <c r="T5930">
        <v>-0.36724409999999902</v>
      </c>
      <c r="U5930">
        <v>2.9517519999999999</v>
      </c>
      <c r="V5930">
        <v>-0.28057850000000001</v>
      </c>
      <c r="W5930">
        <v>2.9802970000000002E-2</v>
      </c>
      <c r="X5930">
        <v>0.95936829999999995</v>
      </c>
      <c r="Y5930">
        <v>-0.3124092</v>
      </c>
      <c r="Z5930">
        <v>-9.5832780000000006E-2</v>
      </c>
      <c r="AA5930">
        <v>0.94510130000000003</v>
      </c>
      <c r="AB5930">
        <v>29</v>
      </c>
      <c r="AC5930">
        <v>1.66389999999998</v>
      </c>
      <c r="AD5930">
        <v>-1.1123636151279901</v>
      </c>
      <c r="AE5930">
        <v>8.6829199999999993</v>
      </c>
      <c r="AF5930">
        <v>-2.7892196721426301</v>
      </c>
      <c r="AG5930">
        <v>-1.1123636151279901</v>
      </c>
      <c r="AH5930">
        <v>8.2440741796293899</v>
      </c>
      <c r="AI5930">
        <v>97.283591069221004</v>
      </c>
      <c r="AJ5930">
        <v>108.692233376267</v>
      </c>
      <c r="AK5930">
        <v>8.7739306055473207</v>
      </c>
    </row>
    <row r="5931" spans="1:37" x14ac:dyDescent="0.2">
      <c r="A5931" t="str">
        <f>"20200111153806253"</f>
        <v>20200111153806253</v>
      </c>
      <c r="B5931" t="str">
        <f>"1578728286248938"</f>
        <v>1578728286248938</v>
      </c>
      <c r="C5931" t="s">
        <v>37</v>
      </c>
      <c r="D5931">
        <v>6.059717</v>
      </c>
      <c r="E5931">
        <v>0.484906</v>
      </c>
      <c r="F5931" t="s">
        <v>53</v>
      </c>
      <c r="G5931">
        <v>-191.2</v>
      </c>
      <c r="H5931" s="1">
        <v>-5.7752299999999998E-6</v>
      </c>
      <c r="I5931">
        <v>-41.68826</v>
      </c>
      <c r="J5931">
        <v>-192.8682</v>
      </c>
      <c r="K5931">
        <v>1.1121319999999999</v>
      </c>
      <c r="L5931">
        <v>-50.523739999999997</v>
      </c>
      <c r="M5931">
        <v>0.48510900000000001</v>
      </c>
      <c r="N5931">
        <v>0</v>
      </c>
      <c r="O5931">
        <v>0.87433240000000001</v>
      </c>
      <c r="P5931">
        <v>0.224025799999999</v>
      </c>
      <c r="Q5931">
        <v>1.9972690000000001E-2</v>
      </c>
      <c r="R5931">
        <v>0.97437850000000004</v>
      </c>
      <c r="S5931">
        <v>0.58361819999999998</v>
      </c>
      <c r="T5931">
        <v>-0.36194080000000001</v>
      </c>
      <c r="U5931">
        <v>2.953217</v>
      </c>
      <c r="V5931">
        <v>-0.27741450000000001</v>
      </c>
      <c r="W5931">
        <v>2.8856389999999999E-2</v>
      </c>
      <c r="X5931">
        <v>0.96031690000000003</v>
      </c>
      <c r="Y5931">
        <v>-0.30734600000000001</v>
      </c>
      <c r="Z5931">
        <v>-9.5324149999999996E-2</v>
      </c>
      <c r="AA5931">
        <v>0.94681130000000002</v>
      </c>
      <c r="AB5931">
        <v>29</v>
      </c>
      <c r="AC5931">
        <v>1.6682000000000099</v>
      </c>
      <c r="AD5931">
        <v>-1.1121377752299999</v>
      </c>
      <c r="AE5931">
        <v>8.8354800000000004</v>
      </c>
      <c r="AF5931">
        <v>-2.7852990022565498</v>
      </c>
      <c r="AG5931">
        <v>-1.1121377752299999</v>
      </c>
      <c r="AH5931">
        <v>8.4067018417664894</v>
      </c>
      <c r="AI5931">
        <v>97.157661706415993</v>
      </c>
      <c r="AJ5931">
        <v>108.33100819146</v>
      </c>
      <c r="AK5931">
        <v>8.9256583409530599</v>
      </c>
    </row>
    <row r="5932" spans="1:37" x14ac:dyDescent="0.2">
      <c r="A5932" t="str">
        <f>"20200111153806274"</f>
        <v>20200111153806274</v>
      </c>
      <c r="B5932" t="str">
        <f>"1578728286269434"</f>
        <v>1578728286269434</v>
      </c>
      <c r="C5932" t="s">
        <v>37</v>
      </c>
      <c r="D5932">
        <v>6.132072</v>
      </c>
      <c r="E5932">
        <v>0.48536299999999999</v>
      </c>
      <c r="F5932" t="s">
        <v>53</v>
      </c>
      <c r="G5932">
        <v>-191.12029999999999</v>
      </c>
      <c r="H5932" s="1">
        <v>-5.8555059999999998E-6</v>
      </c>
      <c r="I5932">
        <v>-41.485469999999999</v>
      </c>
      <c r="J5932">
        <v>-192.74700000000001</v>
      </c>
      <c r="K5932">
        <v>1.111896</v>
      </c>
      <c r="L5932">
        <v>-50.286349999999999</v>
      </c>
      <c r="M5932">
        <v>0.47757119999999997</v>
      </c>
      <c r="N5932">
        <v>0</v>
      </c>
      <c r="O5932">
        <v>0.87847319999999995</v>
      </c>
      <c r="P5932">
        <v>0.2181409</v>
      </c>
      <c r="Q5932">
        <v>1.8948090000000001E-2</v>
      </c>
      <c r="R5932">
        <v>0.97573330000000003</v>
      </c>
      <c r="S5932">
        <v>0.57147219999999999</v>
      </c>
      <c r="T5932">
        <v>-0.36360019999999998</v>
      </c>
      <c r="U5932">
        <v>2.9549560000000001</v>
      </c>
      <c r="V5932">
        <v>-0.27492319999999998</v>
      </c>
      <c r="W5932">
        <v>2.7997950000000001E-2</v>
      </c>
      <c r="X5932">
        <v>0.96105839999999998</v>
      </c>
      <c r="Y5932">
        <v>-0.30303429999999998</v>
      </c>
      <c r="Z5932">
        <v>-9.6545199999999998E-2</v>
      </c>
      <c r="AA5932">
        <v>0.94807659999999905</v>
      </c>
      <c r="AB5932">
        <v>29</v>
      </c>
      <c r="AC5932">
        <v>1.62670000000002</v>
      </c>
      <c r="AD5932">
        <v>-1.1119018555060001</v>
      </c>
      <c r="AE5932">
        <v>8.8008799999999994</v>
      </c>
      <c r="AF5932">
        <v>-2.7321572239333598</v>
      </c>
      <c r="AG5932">
        <v>-1.1119018555060001</v>
      </c>
      <c r="AH5932">
        <v>8.3797611777005194</v>
      </c>
      <c r="AI5932">
        <v>97.1900538049033</v>
      </c>
      <c r="AJ5932">
        <v>108.058163000357</v>
      </c>
      <c r="AK5932">
        <v>8.8837720720348106</v>
      </c>
    </row>
    <row r="5933" spans="1:37" x14ac:dyDescent="0.2">
      <c r="A5933" t="str">
        <f>"20200111153806297"</f>
        <v>20200111153806297</v>
      </c>
      <c r="B5933" t="str">
        <f>"1578728286288954"</f>
        <v>1578728286288954</v>
      </c>
      <c r="C5933" t="s">
        <v>37</v>
      </c>
      <c r="D5933">
        <v>6.2516930000000004</v>
      </c>
      <c r="E5933">
        <v>0.48599330000000002</v>
      </c>
      <c r="F5933" t="s">
        <v>53</v>
      </c>
      <c r="G5933">
        <v>-191.0557</v>
      </c>
      <c r="H5933" s="1">
        <v>-5.9269470000000002E-6</v>
      </c>
      <c r="I5933">
        <v>-41.30744</v>
      </c>
      <c r="J5933">
        <v>-192.61269999999999</v>
      </c>
      <c r="K5933">
        <v>1.111629</v>
      </c>
      <c r="L5933">
        <v>-50.018189999999997</v>
      </c>
      <c r="M5933">
        <v>0.46931780000000001</v>
      </c>
      <c r="N5933">
        <v>0</v>
      </c>
      <c r="O5933">
        <v>0.882911</v>
      </c>
      <c r="P5933">
        <v>0.2109625</v>
      </c>
      <c r="Q5933">
        <v>1.770673E-2</v>
      </c>
      <c r="R5933">
        <v>0.97733379999999903</v>
      </c>
      <c r="S5933">
        <v>0.55700680000000002</v>
      </c>
      <c r="T5933">
        <v>-0.36620269999999999</v>
      </c>
      <c r="U5933">
        <v>2.9571839999999998</v>
      </c>
      <c r="V5933">
        <v>-0.27295039999999998</v>
      </c>
      <c r="W5933">
        <v>2.692785E-2</v>
      </c>
      <c r="X5933">
        <v>0.96165109999999998</v>
      </c>
      <c r="Y5933">
        <v>-0.29873440000000001</v>
      </c>
      <c r="Z5933">
        <v>-9.8063499999999998E-2</v>
      </c>
      <c r="AA5933">
        <v>0.94928459999999903</v>
      </c>
      <c r="AB5933">
        <v>29</v>
      </c>
      <c r="AC5933">
        <v>1.55699999999998</v>
      </c>
      <c r="AD5933">
        <v>-1.1116349269470001</v>
      </c>
      <c r="AE5933">
        <v>8.7107500000000009</v>
      </c>
      <c r="AF5933">
        <v>-2.67153962185678</v>
      </c>
      <c r="AG5933">
        <v>-1.1116349269470001</v>
      </c>
      <c r="AH5933">
        <v>8.2915695088006096</v>
      </c>
      <c r="AI5933">
        <v>97.272095291350993</v>
      </c>
      <c r="AJ5933">
        <v>107.858915082491</v>
      </c>
      <c r="AK5933">
        <v>8.7819690890614694</v>
      </c>
    </row>
    <row r="5934" spans="1:37" x14ac:dyDescent="0.2">
      <c r="A5934" t="str">
        <f>"20200111153806320"</f>
        <v>20200111153806320</v>
      </c>
      <c r="B5934" t="str">
        <f>"1578728286309449"</f>
        <v>1578728286309449</v>
      </c>
      <c r="C5934" t="s">
        <v>37</v>
      </c>
      <c r="D5934">
        <v>6.0686479999999996</v>
      </c>
      <c r="E5934">
        <v>0.48618129999999998</v>
      </c>
      <c r="F5934" t="s">
        <v>53</v>
      </c>
      <c r="G5934">
        <v>-191.02529999999999</v>
      </c>
      <c r="H5934" s="1">
        <v>-5.9120420000000002E-6</v>
      </c>
      <c r="I5934">
        <v>-41.327809999999999</v>
      </c>
      <c r="J5934">
        <v>-192.48859999999999</v>
      </c>
      <c r="K5934">
        <v>1.11138</v>
      </c>
      <c r="L5934">
        <v>-49.765349999999998</v>
      </c>
      <c r="M5934">
        <v>0.46180659999999901</v>
      </c>
      <c r="N5934">
        <v>0</v>
      </c>
      <c r="O5934">
        <v>0.88686359999999997</v>
      </c>
      <c r="P5934">
        <v>0.20438390000000001</v>
      </c>
      <c r="Q5934">
        <v>1.7620549999999999E-2</v>
      </c>
      <c r="R5934">
        <v>0.97873220000000005</v>
      </c>
      <c r="S5934">
        <v>0.54061890000000001</v>
      </c>
      <c r="T5934">
        <v>-0.37859799999999999</v>
      </c>
      <c r="U5934">
        <v>2.9597470000000001</v>
      </c>
      <c r="V5934">
        <v>-0.2712369</v>
      </c>
      <c r="W5934">
        <v>2.6995069999999999E-2</v>
      </c>
      <c r="X5934">
        <v>0.96213400000000004</v>
      </c>
      <c r="Y5934">
        <v>-0.29593550000000002</v>
      </c>
      <c r="Z5934">
        <v>-0.102073</v>
      </c>
      <c r="AA5934">
        <v>0.94973859999999999</v>
      </c>
      <c r="AB5934">
        <v>29</v>
      </c>
      <c r="AC5934">
        <v>1.4633</v>
      </c>
      <c r="AD5934">
        <v>-1.111385912042</v>
      </c>
      <c r="AE5934">
        <v>8.4375399999999896</v>
      </c>
      <c r="AF5934">
        <v>-2.5559826711401401</v>
      </c>
      <c r="AG5934">
        <v>-1.111385912042</v>
      </c>
      <c r="AH5934">
        <v>8.0243980655473592</v>
      </c>
      <c r="AI5934">
        <v>97.517761508781604</v>
      </c>
      <c r="AJ5934">
        <v>107.668050768003</v>
      </c>
      <c r="AK5934">
        <v>8.4946565778149203</v>
      </c>
    </row>
    <row r="5935" spans="1:37" x14ac:dyDescent="0.2">
      <c r="A5935" t="str">
        <f>"20200111153806343"</f>
        <v>20200111153806343</v>
      </c>
      <c r="B5935" t="str">
        <f>"1578728286328972"</f>
        <v>1578728286328972</v>
      </c>
      <c r="C5935" t="s">
        <v>37</v>
      </c>
      <c r="D5935">
        <v>6.0744369999999996</v>
      </c>
      <c r="E5935">
        <v>0.4865044</v>
      </c>
      <c r="F5935" t="s">
        <v>53</v>
      </c>
      <c r="G5935">
        <v>-190.96680000000001</v>
      </c>
      <c r="H5935" s="1">
        <v>-5.9932709999999997E-6</v>
      </c>
      <c r="I5935">
        <v>-41.131059999999998</v>
      </c>
      <c r="J5935">
        <v>-192.3647</v>
      </c>
      <c r="K5935">
        <v>1.111157</v>
      </c>
      <c r="L5935">
        <v>-49.507599999999996</v>
      </c>
      <c r="M5935">
        <v>0.45441419999999999</v>
      </c>
      <c r="N5935">
        <v>0</v>
      </c>
      <c r="O5935">
        <v>0.89067479999999999</v>
      </c>
      <c r="P5935">
        <v>0.1968078</v>
      </c>
      <c r="Q5935">
        <v>1.8397130000000001E-2</v>
      </c>
      <c r="R5935">
        <v>0.98026950000000002</v>
      </c>
      <c r="S5935">
        <v>0.52226260000000002</v>
      </c>
      <c r="T5935">
        <v>-0.381388</v>
      </c>
      <c r="U5935">
        <v>2.9629819999999998</v>
      </c>
      <c r="V5935">
        <v>-0.27066499999999999</v>
      </c>
      <c r="W5935">
        <v>2.7893089999999999E-2</v>
      </c>
      <c r="X5935">
        <v>0.96226939999999905</v>
      </c>
      <c r="Y5935">
        <v>-0.29389660000000001</v>
      </c>
      <c r="Z5935">
        <v>-0.10349649999999901</v>
      </c>
      <c r="AA5935">
        <v>0.95021749999999905</v>
      </c>
      <c r="AB5935">
        <v>29</v>
      </c>
      <c r="AC5935">
        <v>1.3978999999999899</v>
      </c>
      <c r="AD5935">
        <v>-1.1111629932709901</v>
      </c>
      <c r="AE5935">
        <v>8.3765399999999897</v>
      </c>
      <c r="AF5935">
        <v>-2.5184925779021201</v>
      </c>
      <c r="AG5935">
        <v>-1.1111629932709901</v>
      </c>
      <c r="AH5935">
        <v>7.9605509029853803</v>
      </c>
      <c r="AI5935">
        <v>97.580511644050105</v>
      </c>
      <c r="AJ5935">
        <v>107.555894497027</v>
      </c>
      <c r="AK5935">
        <v>8.4230551904629198</v>
      </c>
    </row>
    <row r="5936" spans="1:37" x14ac:dyDescent="0.2">
      <c r="A5936" t="str">
        <f>"20200111153806364"</f>
        <v>20200111153806364</v>
      </c>
      <c r="B5936" t="str">
        <f>"1578728286359226"</f>
        <v>1578728286359226</v>
      </c>
      <c r="C5936" t="s">
        <v>37</v>
      </c>
      <c r="D5936">
        <v>5.779833</v>
      </c>
      <c r="E5936">
        <v>0.48682520000000001</v>
      </c>
      <c r="F5936" t="s">
        <v>53</v>
      </c>
      <c r="G5936">
        <v>-190.89099999999999</v>
      </c>
      <c r="H5936" s="1">
        <v>-6.1266879999999998E-6</v>
      </c>
      <c r="I5936">
        <v>-40.802199999999999</v>
      </c>
      <c r="J5936">
        <v>-192.249</v>
      </c>
      <c r="K5936">
        <v>1.110978</v>
      </c>
      <c r="L5936">
        <v>-49.262509999999999</v>
      </c>
      <c r="M5936">
        <v>0.44756699999999999</v>
      </c>
      <c r="N5936">
        <v>0</v>
      </c>
      <c r="O5936">
        <v>0.89413580000000004</v>
      </c>
      <c r="P5936">
        <v>0.1898099</v>
      </c>
      <c r="Q5936">
        <v>2.005651E-2</v>
      </c>
      <c r="R5936">
        <v>0.98161599999999904</v>
      </c>
      <c r="S5936">
        <v>0.50219729999999996</v>
      </c>
      <c r="T5936">
        <v>-0.37866450000000001</v>
      </c>
      <c r="U5936">
        <v>2.9666440000000001</v>
      </c>
      <c r="V5936">
        <v>-0.27014329999999998</v>
      </c>
      <c r="W5936">
        <v>2.964903E-2</v>
      </c>
      <c r="X5936">
        <v>0.96236350000000004</v>
      </c>
      <c r="Y5936">
        <v>-0.29299789999999998</v>
      </c>
      <c r="Z5936">
        <v>-0.1033471</v>
      </c>
      <c r="AA5936">
        <v>0.95051129999999995</v>
      </c>
      <c r="AB5936">
        <v>29</v>
      </c>
      <c r="AC5936">
        <v>1.3580000000000301</v>
      </c>
      <c r="AD5936">
        <v>-1.1109841266880001</v>
      </c>
      <c r="AE5936">
        <v>8.4603099999999998</v>
      </c>
      <c r="AF5936">
        <v>-2.5300499436382502</v>
      </c>
      <c r="AG5936">
        <v>-1.1109841266880001</v>
      </c>
      <c r="AH5936">
        <v>8.0381694156729502</v>
      </c>
      <c r="AI5936">
        <v>97.510401673657</v>
      </c>
      <c r="AJ5936">
        <v>107.47162969589</v>
      </c>
      <c r="AK5936">
        <v>8.49985917542854</v>
      </c>
    </row>
    <row r="5937" spans="1:37" x14ac:dyDescent="0.2">
      <c r="A5937" t="str">
        <f>"20200111153806388"</f>
        <v>20200111153806388</v>
      </c>
      <c r="B5937" t="str">
        <f>"1578728286378746"</f>
        <v>1578728286378746</v>
      </c>
      <c r="C5937" t="s">
        <v>37</v>
      </c>
      <c r="D5937">
        <v>6.0258629999999904</v>
      </c>
      <c r="E5937">
        <v>0.487054299999999</v>
      </c>
      <c r="F5937" t="s">
        <v>53</v>
      </c>
      <c r="G5937">
        <v>-190.80940000000001</v>
      </c>
      <c r="H5937" s="1">
        <v>-6.2461129999999999E-6</v>
      </c>
      <c r="I5937">
        <v>-40.417999999999999</v>
      </c>
      <c r="J5937">
        <v>-192.11940000000001</v>
      </c>
      <c r="K5937">
        <v>1.1108049999999901</v>
      </c>
      <c r="L5937">
        <v>-48.982509999999998</v>
      </c>
      <c r="M5937">
        <v>0.43993679999999902</v>
      </c>
      <c r="N5937">
        <v>0</v>
      </c>
      <c r="O5937">
        <v>0.89791529999999997</v>
      </c>
      <c r="P5937">
        <v>0.18238859999999901</v>
      </c>
      <c r="Q5937">
        <v>2.0166980000000001E-2</v>
      </c>
      <c r="R5937">
        <v>0.98301970000000005</v>
      </c>
      <c r="S5937">
        <v>0.48347469999999998</v>
      </c>
      <c r="T5937">
        <v>-0.37311240000000001</v>
      </c>
      <c r="U5937">
        <v>2.9703369999999998</v>
      </c>
      <c r="V5937">
        <v>-0.26920440000000001</v>
      </c>
      <c r="W5937">
        <v>2.9855420000000001E-2</v>
      </c>
      <c r="X5937">
        <v>0.96262019999999904</v>
      </c>
      <c r="Y5937">
        <v>-0.29086319999999999</v>
      </c>
      <c r="Z5937">
        <v>-0.10249939999999901</v>
      </c>
      <c r="AA5937">
        <v>0.95125839999999995</v>
      </c>
      <c r="AB5937">
        <v>29</v>
      </c>
      <c r="AC5937">
        <v>1.31</v>
      </c>
      <c r="AD5937">
        <v>-1.11081124611299</v>
      </c>
      <c r="AE5937">
        <v>8.5645099999999896</v>
      </c>
      <c r="AF5937">
        <v>-2.5499241041846199</v>
      </c>
      <c r="AG5937">
        <v>-1.11081124611299</v>
      </c>
      <c r="AH5937">
        <v>8.1336679866614503</v>
      </c>
      <c r="AI5937">
        <v>97.424695884884102</v>
      </c>
      <c r="AJ5937">
        <v>107.40633114059</v>
      </c>
      <c r="AK5937">
        <v>8.5960787268867005</v>
      </c>
    </row>
    <row r="5938" spans="1:37" x14ac:dyDescent="0.2">
      <c r="A5938" t="str">
        <f>"20200111153806409"</f>
        <v>20200111153806409</v>
      </c>
      <c r="B5938" t="str">
        <f>"1578728286399242"</f>
        <v>1578728286399242</v>
      </c>
      <c r="C5938" t="s">
        <v>37</v>
      </c>
      <c r="D5938">
        <v>5.8229939999999996</v>
      </c>
      <c r="E5938">
        <v>0.48731059999999998</v>
      </c>
      <c r="F5938" t="s">
        <v>39</v>
      </c>
      <c r="G5938">
        <v>-190.7414</v>
      </c>
      <c r="H5938" s="1">
        <v>-3.246971E-7</v>
      </c>
      <c r="I5938">
        <v>-40.11383</v>
      </c>
      <c r="J5938">
        <v>-192.01079999999999</v>
      </c>
      <c r="K5938">
        <v>1.110681</v>
      </c>
      <c r="L5938">
        <v>-48.743470000000002</v>
      </c>
      <c r="M5938">
        <v>0.43355129999999997</v>
      </c>
      <c r="N5938">
        <v>0</v>
      </c>
      <c r="O5938">
        <v>0.9010165</v>
      </c>
      <c r="P5938">
        <v>0.1765796</v>
      </c>
      <c r="Q5938">
        <v>2.0055239999999998E-2</v>
      </c>
      <c r="R5938">
        <v>0.98408200000000001</v>
      </c>
      <c r="S5938">
        <v>0.4620514</v>
      </c>
      <c r="T5938">
        <v>-0.37246000000000001</v>
      </c>
      <c r="U5938">
        <v>2.9737239999999998</v>
      </c>
      <c r="V5938">
        <v>-0.26804509999999998</v>
      </c>
      <c r="W5938">
        <v>2.9817759999999999E-2</v>
      </c>
      <c r="X5938">
        <v>0.96294480000000005</v>
      </c>
      <c r="Y5938">
        <v>-0.29092849999999998</v>
      </c>
      <c r="Z5938">
        <v>-0.1028172</v>
      </c>
      <c r="AA5938">
        <v>0.951204099999999</v>
      </c>
      <c r="AB5938">
        <v>29</v>
      </c>
      <c r="AC5938">
        <v>1.2693999999999901</v>
      </c>
      <c r="AD5938">
        <v>-1.1106813246970999</v>
      </c>
      <c r="AE5938">
        <v>8.6296400000000002</v>
      </c>
      <c r="AF5938">
        <v>-2.5564534390519098</v>
      </c>
      <c r="AG5938">
        <v>-1.1106813246970999</v>
      </c>
      <c r="AH5938">
        <v>8.1937852979788595</v>
      </c>
      <c r="AI5938">
        <v>97.373092158594204</v>
      </c>
      <c r="AJ5938">
        <v>107.32787351406</v>
      </c>
      <c r="AK5938">
        <v>8.6548936851035698</v>
      </c>
    </row>
    <row r="5939" spans="1:37" x14ac:dyDescent="0.2">
      <c r="A5939" t="str">
        <f>"20200111153806433"</f>
        <v>20200111153806433</v>
      </c>
      <c r="B5939" t="str">
        <f>"1578728286429498"</f>
        <v>1578728286429498</v>
      </c>
      <c r="C5939" t="s">
        <v>37</v>
      </c>
      <c r="D5939">
        <v>6.0981759999999996</v>
      </c>
      <c r="E5939">
        <v>0.487703</v>
      </c>
      <c r="F5939" t="s">
        <v>39</v>
      </c>
      <c r="G5939">
        <v>-190.68129999999999</v>
      </c>
      <c r="H5939" s="1">
        <v>-4.1741599999999998E-7</v>
      </c>
      <c r="I5939">
        <v>-39.860419999999998</v>
      </c>
      <c r="J5939">
        <v>-191.892</v>
      </c>
      <c r="K5939">
        <v>1.1105639999999899</v>
      </c>
      <c r="L5939">
        <v>-48.477020000000003</v>
      </c>
      <c r="M5939">
        <v>0.42654439999999999</v>
      </c>
      <c r="N5939">
        <v>0</v>
      </c>
      <c r="O5939">
        <v>0.90435519999999903</v>
      </c>
      <c r="P5939">
        <v>0.17031969999999999</v>
      </c>
      <c r="Q5939">
        <v>1.9922499999999999E-2</v>
      </c>
      <c r="R5939">
        <v>0.98518749999999999</v>
      </c>
      <c r="S5939">
        <v>0.44543459999999901</v>
      </c>
      <c r="T5939">
        <v>-0.37212529999999999</v>
      </c>
      <c r="U5939">
        <v>2.9761959999999998</v>
      </c>
      <c r="V5939">
        <v>-0.26668120000000001</v>
      </c>
      <c r="W5939">
        <v>2.9755790000000001E-2</v>
      </c>
      <c r="X5939">
        <v>0.9633254</v>
      </c>
      <c r="Y5939">
        <v>-0.28881709999999999</v>
      </c>
      <c r="Z5939">
        <v>-0.103323</v>
      </c>
      <c r="AA5939">
        <v>0.95179249999999904</v>
      </c>
      <c r="AB5939">
        <v>29</v>
      </c>
      <c r="AC5939">
        <v>1.2107000000000001</v>
      </c>
      <c r="AD5939">
        <v>-1.1105644174160001</v>
      </c>
      <c r="AE5939">
        <v>8.6166</v>
      </c>
      <c r="AF5939">
        <v>-2.5393532665413501</v>
      </c>
      <c r="AG5939">
        <v>-1.1105644174160001</v>
      </c>
      <c r="AH5939">
        <v>8.1765249280538299</v>
      </c>
      <c r="AI5939">
        <v>97.390686814369005</v>
      </c>
      <c r="AJ5939">
        <v>107.25303441347999</v>
      </c>
      <c r="AK5939">
        <v>8.63349455531249</v>
      </c>
    </row>
    <row r="5940" spans="1:37" x14ac:dyDescent="0.2">
      <c r="A5940" t="str">
        <f>"20200111153806453"</f>
        <v>20200111153806453</v>
      </c>
      <c r="B5940" t="str">
        <f>"1578728286449018"</f>
        <v>1578728286449018</v>
      </c>
      <c r="C5940" t="s">
        <v>37</v>
      </c>
      <c r="D5940">
        <v>6.007028</v>
      </c>
      <c r="E5940">
        <v>0.48782249999999999</v>
      </c>
      <c r="F5940" t="s">
        <v>39</v>
      </c>
      <c r="G5940">
        <v>-190.6191</v>
      </c>
      <c r="H5940" s="1">
        <v>-4.9884560000000002E-7</v>
      </c>
      <c r="I5940">
        <v>-39.63205</v>
      </c>
      <c r="J5940">
        <v>-191.78489999999999</v>
      </c>
      <c r="K5940">
        <v>1.1104719999999999</v>
      </c>
      <c r="L5940">
        <v>-48.232149999999997</v>
      </c>
      <c r="M5940">
        <v>0.42017320000000002</v>
      </c>
      <c r="N5940">
        <v>0</v>
      </c>
      <c r="O5940">
        <v>0.90733330000000001</v>
      </c>
      <c r="P5940">
        <v>0.164525</v>
      </c>
      <c r="Q5940">
        <v>1.949849E-2</v>
      </c>
      <c r="R5940">
        <v>0.98618019999999995</v>
      </c>
      <c r="S5940">
        <v>0.42863459999999998</v>
      </c>
      <c r="T5940">
        <v>-0.37398690000000001</v>
      </c>
      <c r="U5940">
        <v>2.978577</v>
      </c>
      <c r="V5940">
        <v>-0.26555849999999998</v>
      </c>
      <c r="W5940">
        <v>2.9384500000000001E-2</v>
      </c>
      <c r="X5940">
        <v>0.96364680000000003</v>
      </c>
      <c r="Y5940">
        <v>-0.28746309999999903</v>
      </c>
      <c r="Z5940">
        <v>-0.104354399999999</v>
      </c>
      <c r="AA5940">
        <v>0.95208979999999999</v>
      </c>
      <c r="AB5940">
        <v>28</v>
      </c>
      <c r="AC5940">
        <v>1.16579999999999</v>
      </c>
      <c r="AD5940">
        <v>-1.1104724988455901</v>
      </c>
      <c r="AE5940">
        <v>8.6000999999999905</v>
      </c>
      <c r="AF5940">
        <v>-2.5148460136662099</v>
      </c>
      <c r="AG5940">
        <v>-1.1104724988455901</v>
      </c>
      <c r="AH5940">
        <v>8.1602286999171696</v>
      </c>
      <c r="AI5940">
        <v>97.409605039122795</v>
      </c>
      <c r="AJ5940">
        <v>107.12842293303601</v>
      </c>
      <c r="AK5940">
        <v>8.61086128549851</v>
      </c>
    </row>
    <row r="5941" spans="1:37" x14ac:dyDescent="0.2">
      <c r="A5941" t="str">
        <f>"20200111153806477"</f>
        <v>20200111153806477</v>
      </c>
      <c r="B5941" t="str">
        <f>"1578728286469516"</f>
        <v>1578728286469516</v>
      </c>
      <c r="C5941" t="s">
        <v>37</v>
      </c>
      <c r="D5941">
        <v>5.8351489999999897</v>
      </c>
      <c r="E5941">
        <v>0.48799540000000002</v>
      </c>
      <c r="F5941" t="s">
        <v>39</v>
      </c>
      <c r="G5941">
        <v>-190.57650000000001</v>
      </c>
      <c r="H5941" s="1">
        <v>-5.5452889999999996E-7</v>
      </c>
      <c r="I5941">
        <v>-39.475839999999998</v>
      </c>
      <c r="J5941">
        <v>-191.6722</v>
      </c>
      <c r="K5941">
        <v>1.110392</v>
      </c>
      <c r="L5941">
        <v>-47.969450000000002</v>
      </c>
      <c r="M5941">
        <v>0.4133772</v>
      </c>
      <c r="N5941">
        <v>0</v>
      </c>
      <c r="O5941">
        <v>0.91045010000000004</v>
      </c>
      <c r="P5941">
        <v>0.15922229999999901</v>
      </c>
      <c r="Q5941">
        <v>1.8809679999999999E-2</v>
      </c>
      <c r="R5941">
        <v>0.98706360000000004</v>
      </c>
      <c r="S5941">
        <v>0.4113617</v>
      </c>
      <c r="T5941">
        <v>-0.37803639999999999</v>
      </c>
      <c r="U5941">
        <v>2.980896</v>
      </c>
      <c r="V5941">
        <v>-0.26352159999999902</v>
      </c>
      <c r="W5941">
        <v>2.8755340000000001E-2</v>
      </c>
      <c r="X5941">
        <v>0.96422479999999999</v>
      </c>
      <c r="Y5941">
        <v>-0.28583740000000002</v>
      </c>
      <c r="Z5941">
        <v>-0.1060277</v>
      </c>
      <c r="AA5941">
        <v>0.95239439999999997</v>
      </c>
      <c r="AB5941">
        <v>28</v>
      </c>
      <c r="AC5941">
        <v>1.0956999999999899</v>
      </c>
      <c r="AD5941">
        <v>-1.1103925545289</v>
      </c>
      <c r="AE5941">
        <v>8.4936099999999897</v>
      </c>
      <c r="AF5941">
        <v>-2.4721754055878602</v>
      </c>
      <c r="AG5941">
        <v>-1.1103925545289</v>
      </c>
      <c r="AH5941">
        <v>8.0514093895630801</v>
      </c>
      <c r="AI5941">
        <v>97.510447216966696</v>
      </c>
      <c r="AJ5941">
        <v>107.06904017707799</v>
      </c>
      <c r="AK5941">
        <v>8.4952819858725892</v>
      </c>
    </row>
    <row r="5942" spans="1:37" x14ac:dyDescent="0.2">
      <c r="A5942" t="str">
        <f>"20200111153806498"</f>
        <v>20200111153806498</v>
      </c>
      <c r="B5942" t="str">
        <f>"1578728286489037"</f>
        <v>1578728286489037</v>
      </c>
      <c r="C5942" t="s">
        <v>37</v>
      </c>
      <c r="D5942">
        <v>5.828176</v>
      </c>
      <c r="E5942">
        <v>0.48834119999999998</v>
      </c>
      <c r="F5942" t="s">
        <v>39</v>
      </c>
      <c r="G5942">
        <v>-190.524</v>
      </c>
      <c r="H5942" s="1">
        <v>-6.1023719999999899E-7</v>
      </c>
      <c r="I5942">
        <v>-39.313400000000001</v>
      </c>
      <c r="J5942">
        <v>-191.56489999999999</v>
      </c>
      <c r="K5942">
        <v>1.110336</v>
      </c>
      <c r="L5942">
        <v>-47.714509999999997</v>
      </c>
      <c r="M5942">
        <v>0.406802</v>
      </c>
      <c r="N5942">
        <v>0</v>
      </c>
      <c r="O5942">
        <v>0.91340730000000003</v>
      </c>
      <c r="P5942">
        <v>0.15417210000000001</v>
      </c>
      <c r="Q5942">
        <v>1.81178E-2</v>
      </c>
      <c r="R5942">
        <v>0.98787789999999998</v>
      </c>
      <c r="S5942">
        <v>0.39564509999999897</v>
      </c>
      <c r="T5942">
        <v>-0.38263029999999998</v>
      </c>
      <c r="U5942">
        <v>2.9827880000000002</v>
      </c>
      <c r="V5942">
        <v>-0.26149090000000003</v>
      </c>
      <c r="W5942">
        <v>2.8112350000000001E-2</v>
      </c>
      <c r="X5942">
        <v>0.96479649999999995</v>
      </c>
      <c r="Y5942">
        <v>-0.28396169999999998</v>
      </c>
      <c r="Z5942">
        <v>-0.1078489</v>
      </c>
      <c r="AA5942">
        <v>0.95275100000000001</v>
      </c>
      <c r="AB5942">
        <v>28</v>
      </c>
      <c r="AC5942">
        <v>1.0408999999999899</v>
      </c>
      <c r="AD5942">
        <v>-1.1103366102372001</v>
      </c>
      <c r="AE5942">
        <v>8.4011099999999903</v>
      </c>
      <c r="AF5942">
        <v>-2.4253437945378802</v>
      </c>
      <c r="AG5942">
        <v>-1.1103366102372001</v>
      </c>
      <c r="AH5942">
        <v>7.9609254654723198</v>
      </c>
      <c r="AI5942">
        <v>97.599466614267499</v>
      </c>
      <c r="AJ5942">
        <v>106.943672427946</v>
      </c>
      <c r="AK5942">
        <v>8.3959200911241503</v>
      </c>
    </row>
    <row r="5943" spans="1:37" x14ac:dyDescent="0.2">
      <c r="A5943" t="str">
        <f>"20200111153806521"</f>
        <v>20200111153806521</v>
      </c>
      <c r="B5943" t="str">
        <f>"1578728286509532"</f>
        <v>1578728286509532</v>
      </c>
      <c r="C5943" t="s">
        <v>37</v>
      </c>
      <c r="D5943">
        <v>5.7871420000000002</v>
      </c>
      <c r="E5943">
        <v>0.48858230000000002</v>
      </c>
      <c r="F5943" t="s">
        <v>39</v>
      </c>
      <c r="G5943">
        <v>-190.45859999999999</v>
      </c>
      <c r="H5943" s="1">
        <v>-6.8860359999999999E-7</v>
      </c>
      <c r="I5943">
        <v>-39.09019</v>
      </c>
      <c r="J5943">
        <v>-191.45779999999999</v>
      </c>
      <c r="K5943">
        <v>1.1102959999999999</v>
      </c>
      <c r="L5943">
        <v>-47.45438</v>
      </c>
      <c r="M5943">
        <v>0.40009929999999999</v>
      </c>
      <c r="N5943">
        <v>0</v>
      </c>
      <c r="O5943">
        <v>0.91636340000000005</v>
      </c>
      <c r="P5943">
        <v>0.14911969999999999</v>
      </c>
      <c r="Q5943">
        <v>1.7673060000000001E-2</v>
      </c>
      <c r="R5943">
        <v>0.98866119999999902</v>
      </c>
      <c r="S5943">
        <v>0.38278200000000001</v>
      </c>
      <c r="T5943">
        <v>-0.38419150000000002</v>
      </c>
      <c r="U5943">
        <v>2.9841310000000001</v>
      </c>
      <c r="V5943">
        <v>-0.25934740000000001</v>
      </c>
      <c r="W5943">
        <v>2.7710060000000002E-2</v>
      </c>
      <c r="X5943">
        <v>0.96538649999999904</v>
      </c>
      <c r="Y5943">
        <v>-0.28104299999999999</v>
      </c>
      <c r="Z5943">
        <v>-0.1088686</v>
      </c>
      <c r="AA5943">
        <v>0.95350009999999996</v>
      </c>
      <c r="AB5943">
        <v>28</v>
      </c>
      <c r="AC5943">
        <v>0.99920000000000198</v>
      </c>
      <c r="AD5943">
        <v>-1.1102966886036001</v>
      </c>
      <c r="AE5943">
        <v>8.36418999999999</v>
      </c>
      <c r="AF5943">
        <v>-2.3896030491506601</v>
      </c>
      <c r="AG5943">
        <v>-1.1102966886036001</v>
      </c>
      <c r="AH5943">
        <v>7.9274932050417704</v>
      </c>
      <c r="AI5943">
        <v>97.637617536532204</v>
      </c>
      <c r="AJ5943">
        <v>106.774506851558</v>
      </c>
      <c r="AK5943">
        <v>8.35392781781227</v>
      </c>
    </row>
    <row r="5944" spans="1:37" x14ac:dyDescent="0.2">
      <c r="A5944" t="str">
        <f>"20200111153806544"</f>
        <v>20200111153806544</v>
      </c>
      <c r="B5944" t="str">
        <f>"1578728286538813"</f>
        <v>1578728286538813</v>
      </c>
      <c r="C5944" t="s">
        <v>37</v>
      </c>
      <c r="D5944">
        <v>5.8285269999999896</v>
      </c>
      <c r="E5944">
        <v>0.48906260000000001</v>
      </c>
      <c r="F5944" t="s">
        <v>39</v>
      </c>
      <c r="G5944">
        <v>-190.3965</v>
      </c>
      <c r="H5944" s="1">
        <v>-7.6745139999999995E-7</v>
      </c>
      <c r="I5944">
        <v>-38.86786</v>
      </c>
      <c r="J5944">
        <v>-191.35310000000001</v>
      </c>
      <c r="K5944">
        <v>1.110274</v>
      </c>
      <c r="L5944">
        <v>-47.194609999999997</v>
      </c>
      <c r="M5944">
        <v>0.39340429999999998</v>
      </c>
      <c r="N5944">
        <v>0</v>
      </c>
      <c r="O5944">
        <v>0.91925780000000001</v>
      </c>
      <c r="P5944">
        <v>0.14421339999999999</v>
      </c>
      <c r="Q5944">
        <v>1.785608E-2</v>
      </c>
      <c r="R5944">
        <v>0.98938549999999903</v>
      </c>
      <c r="S5944">
        <v>0.36901859999999997</v>
      </c>
      <c r="T5944">
        <v>-0.38606259999999998</v>
      </c>
      <c r="U5944">
        <v>2.9856259999999999</v>
      </c>
      <c r="V5944">
        <v>-0.25709270000000001</v>
      </c>
      <c r="W5944">
        <v>2.7930750000000001E-2</v>
      </c>
      <c r="X5944">
        <v>0.96598300000000004</v>
      </c>
      <c r="Y5944">
        <v>-0.27844229999999998</v>
      </c>
      <c r="Z5944">
        <v>-0.10995729999999999</v>
      </c>
      <c r="AA5944">
        <v>0.95413799999999904</v>
      </c>
      <c r="AB5944">
        <v>28</v>
      </c>
      <c r="AC5944">
        <v>0.956600000000008</v>
      </c>
      <c r="AD5944">
        <v>-1.1102747674514</v>
      </c>
      <c r="AE5944">
        <v>8.3267499999999899</v>
      </c>
      <c r="AF5944">
        <v>-2.35532462183594</v>
      </c>
      <c r="AG5944">
        <v>-1.1102747674514</v>
      </c>
      <c r="AH5944">
        <v>7.8930527837924602</v>
      </c>
      <c r="AI5944">
        <v>97.676714441561103</v>
      </c>
      <c r="AJ5944">
        <v>106.61535444181099</v>
      </c>
      <c r="AK5944">
        <v>8.31147077124138</v>
      </c>
    </row>
    <row r="5945" spans="1:37" x14ac:dyDescent="0.2">
      <c r="A5945" t="str">
        <f>"20200111153806566"</f>
        <v>20200111153806566</v>
      </c>
      <c r="B5945" t="str">
        <f>"1578728286559308"</f>
        <v>1578728286559308</v>
      </c>
      <c r="C5945" t="s">
        <v>37</v>
      </c>
      <c r="D5945">
        <v>6.069699</v>
      </c>
      <c r="E5945">
        <v>0.48912159999999899</v>
      </c>
      <c r="F5945" t="s">
        <v>39</v>
      </c>
      <c r="G5945">
        <v>-190.32480000000001</v>
      </c>
      <c r="H5945" s="1">
        <v>-8.5974980000000002E-7</v>
      </c>
      <c r="I5945">
        <v>-38.608199999999997</v>
      </c>
      <c r="J5945">
        <v>-191.25</v>
      </c>
      <c r="K5945">
        <v>1.1102609999999999</v>
      </c>
      <c r="L5945">
        <v>-46.93338</v>
      </c>
      <c r="M5945">
        <v>0.38666020000000001</v>
      </c>
      <c r="N5945">
        <v>0</v>
      </c>
      <c r="O5945">
        <v>0.92211500000000002</v>
      </c>
      <c r="P5945">
        <v>0.1396425</v>
      </c>
      <c r="Q5945">
        <v>1.792272E-2</v>
      </c>
      <c r="R5945">
        <v>0.99003980000000003</v>
      </c>
      <c r="S5945">
        <v>0.35772709999999902</v>
      </c>
      <c r="T5945">
        <v>-0.38623730000000001</v>
      </c>
      <c r="U5945">
        <v>2.9870000000000001</v>
      </c>
      <c r="V5945">
        <v>-0.25447510000000001</v>
      </c>
      <c r="W5945">
        <v>2.8038939999999998E-2</v>
      </c>
      <c r="X5945">
        <v>0.9666728</v>
      </c>
      <c r="Y5945">
        <v>-0.2750205</v>
      </c>
      <c r="Z5945">
        <v>-0.11057989999999999</v>
      </c>
      <c r="AA5945">
        <v>0.95505799999999996</v>
      </c>
      <c r="AB5945">
        <v>28</v>
      </c>
      <c r="AC5945">
        <v>0.92519999999998903</v>
      </c>
      <c r="AD5945">
        <v>-1.1102618597498</v>
      </c>
      <c r="AE5945">
        <v>8.3251799999999996</v>
      </c>
      <c r="AF5945">
        <v>-2.3252578998740199</v>
      </c>
      <c r="AG5945">
        <v>-1.1102618597498</v>
      </c>
      <c r="AH5945">
        <v>7.8965758169260596</v>
      </c>
      <c r="AI5945">
        <v>97.681387718841407</v>
      </c>
      <c r="AJ5945">
        <v>106.40780719805601</v>
      </c>
      <c r="AK5945">
        <v>8.3063478936656097</v>
      </c>
    </row>
    <row r="5946" spans="1:37" x14ac:dyDescent="0.2">
      <c r="A5946" t="str">
        <f>"20200111153806587"</f>
        <v>20200111153806587</v>
      </c>
      <c r="B5946" t="str">
        <f>"1578728286578829"</f>
        <v>1578728286578829</v>
      </c>
      <c r="C5946" t="s">
        <v>37</v>
      </c>
      <c r="D5946">
        <v>6.0669360000000001</v>
      </c>
      <c r="E5946">
        <v>0.48875859999999899</v>
      </c>
      <c r="F5946" t="s">
        <v>39</v>
      </c>
      <c r="G5946">
        <v>-190.2577</v>
      </c>
      <c r="H5946" s="1">
        <v>-9.6560610000000002E-7</v>
      </c>
      <c r="I5946">
        <v>-38.319890000000001</v>
      </c>
      <c r="J5946">
        <v>-191.1507</v>
      </c>
      <c r="K5946">
        <v>1.1102510000000001</v>
      </c>
      <c r="L5946">
        <v>-46.676609999999997</v>
      </c>
      <c r="M5946">
        <v>0.38001979999999902</v>
      </c>
      <c r="N5946">
        <v>0</v>
      </c>
      <c r="O5946">
        <v>0.92487169999999896</v>
      </c>
      <c r="P5946">
        <v>0.13541139999999999</v>
      </c>
      <c r="Q5946">
        <v>1.8884999999999999E-2</v>
      </c>
      <c r="R5946">
        <v>0.99060949999999903</v>
      </c>
      <c r="S5946">
        <v>0.34426879999999999</v>
      </c>
      <c r="T5946">
        <v>-0.38522269999999997</v>
      </c>
      <c r="U5946">
        <v>2.9885860000000002</v>
      </c>
      <c r="V5946">
        <v>-0.2516583</v>
      </c>
      <c r="W5946">
        <v>2.904466E-2</v>
      </c>
      <c r="X5946">
        <v>0.96738020000000002</v>
      </c>
      <c r="Y5946">
        <v>-0.27241070000000001</v>
      </c>
      <c r="Z5946">
        <v>-0.110827199999999</v>
      </c>
      <c r="AA5946">
        <v>0.95577699999999999</v>
      </c>
      <c r="AB5946">
        <v>28</v>
      </c>
      <c r="AC5946">
        <v>0.89300000000000002</v>
      </c>
      <c r="AD5946">
        <v>-1.1102519656061001</v>
      </c>
      <c r="AE5946">
        <v>8.3567199999999904</v>
      </c>
      <c r="AF5946">
        <v>-2.3097314915706102</v>
      </c>
      <c r="AG5946">
        <v>-1.1102519656061001</v>
      </c>
      <c r="AH5946">
        <v>7.9306435115999996</v>
      </c>
      <c r="AI5946">
        <v>97.655287389593795</v>
      </c>
      <c r="AJ5946">
        <v>106.23774493421401</v>
      </c>
      <c r="AK5946">
        <v>8.3344241251791704</v>
      </c>
    </row>
    <row r="5947" spans="1:37" x14ac:dyDescent="0.2">
      <c r="A5947" t="str">
        <f>"20200111153806611"</f>
        <v>20200111153806611</v>
      </c>
      <c r="B5947" t="str">
        <f>"1578728286599324"</f>
        <v>1578728286599324</v>
      </c>
      <c r="C5947" t="s">
        <v>37</v>
      </c>
      <c r="D5947">
        <v>5.8509479999999998</v>
      </c>
      <c r="E5947">
        <v>0.4883805</v>
      </c>
      <c r="F5947" t="s">
        <v>39</v>
      </c>
      <c r="G5947">
        <v>-190.18989999999999</v>
      </c>
      <c r="H5947" s="1">
        <v>-1.117106E-6</v>
      </c>
      <c r="I5947">
        <v>-37.924659999999903</v>
      </c>
      <c r="J5947">
        <v>-191.04949999999999</v>
      </c>
      <c r="K5947">
        <v>1.11025</v>
      </c>
      <c r="L5947">
        <v>-46.409089999999999</v>
      </c>
      <c r="M5947">
        <v>0.37308730000000001</v>
      </c>
      <c r="N5947">
        <v>0</v>
      </c>
      <c r="O5947">
        <v>0.92769009999999996</v>
      </c>
      <c r="P5947">
        <v>0.1304778</v>
      </c>
      <c r="Q5947">
        <v>1.9125509999999998E-2</v>
      </c>
      <c r="R5947">
        <v>0.99126669999999995</v>
      </c>
      <c r="S5947">
        <v>0.32833859999999998</v>
      </c>
      <c r="T5947">
        <v>-0.37940429999999897</v>
      </c>
      <c r="U5947">
        <v>2.9907840000000001</v>
      </c>
      <c r="V5947">
        <v>-0.24923329999999999</v>
      </c>
      <c r="W5947">
        <v>2.932206E-2</v>
      </c>
      <c r="X5947">
        <v>0.96799950000000001</v>
      </c>
      <c r="Y5947">
        <v>-0.27030129999999902</v>
      </c>
      <c r="Z5947">
        <v>-0.1096874</v>
      </c>
      <c r="AA5947">
        <v>0.95650709999999906</v>
      </c>
      <c r="AB5947">
        <v>28</v>
      </c>
      <c r="AC5947">
        <v>0.85960000000000003</v>
      </c>
      <c r="AD5947">
        <v>-1.1102511171060001</v>
      </c>
      <c r="AE5947">
        <v>8.4844299999999997</v>
      </c>
      <c r="AF5947">
        <v>-2.32875224525305</v>
      </c>
      <c r="AG5947">
        <v>-1.1102511171060001</v>
      </c>
      <c r="AH5947">
        <v>8.0558894525598106</v>
      </c>
      <c r="AI5947">
        <v>97.541965168066397</v>
      </c>
      <c r="AJ5947">
        <v>106.12323350048401</v>
      </c>
      <c r="AK5947">
        <v>8.4589065153050793</v>
      </c>
    </row>
    <row r="5948" spans="1:37" x14ac:dyDescent="0.2">
      <c r="A5948" t="str">
        <f>"20200111153806633"</f>
        <v>20200111153806633</v>
      </c>
      <c r="B5948" t="str">
        <f>"1578728286628605"</f>
        <v>1578728286628605</v>
      </c>
      <c r="C5948" t="s">
        <v>37</v>
      </c>
      <c r="D5948">
        <v>5.1458430000000002</v>
      </c>
      <c r="E5948">
        <v>0.48807139999999999</v>
      </c>
      <c r="F5948" t="s">
        <v>39</v>
      </c>
      <c r="G5948">
        <v>-190.1311</v>
      </c>
      <c r="H5948" s="1">
        <v>-1.2681979999999999E-6</v>
      </c>
      <c r="I5948">
        <v>-37.536000000000001</v>
      </c>
      <c r="J5948">
        <v>-190.95249999999999</v>
      </c>
      <c r="K5948">
        <v>1.1102479999999999</v>
      </c>
      <c r="L5948">
        <v>-46.146609999999903</v>
      </c>
      <c r="M5948">
        <v>0.36627179999999998</v>
      </c>
      <c r="N5948">
        <v>0</v>
      </c>
      <c r="O5948">
        <v>0.93040219999999996</v>
      </c>
      <c r="P5948">
        <v>0.12481829999999999</v>
      </c>
      <c r="Q5948">
        <v>1.9354670000000001E-2</v>
      </c>
      <c r="R5948">
        <v>0.99199079999999995</v>
      </c>
      <c r="S5948">
        <v>0.3097839</v>
      </c>
      <c r="T5948">
        <v>-0.37448759999999998</v>
      </c>
      <c r="U5948">
        <v>2.9928889999999999</v>
      </c>
      <c r="V5948">
        <v>-0.2476563</v>
      </c>
      <c r="W5948">
        <v>2.9572290000000001E-2</v>
      </c>
      <c r="X5948">
        <v>0.96839649999999999</v>
      </c>
      <c r="Y5948">
        <v>-0.26916289999999998</v>
      </c>
      <c r="Z5948">
        <v>-0.1087588</v>
      </c>
      <c r="AA5948">
        <v>0.95693410000000001</v>
      </c>
      <c r="AB5948">
        <v>28</v>
      </c>
      <c r="AC5948">
        <v>0.82139999999998203</v>
      </c>
      <c r="AD5948">
        <v>-1.1102492681980001</v>
      </c>
      <c r="AE5948">
        <v>8.6106099999999905</v>
      </c>
      <c r="AF5948">
        <v>-2.35109089679352</v>
      </c>
      <c r="AG5948">
        <v>-1.1102492681980001</v>
      </c>
      <c r="AH5948">
        <v>8.17826275533338</v>
      </c>
      <c r="AI5948">
        <v>97.433489011402102</v>
      </c>
      <c r="AJ5948">
        <v>106.038910236524</v>
      </c>
      <c r="AK5948">
        <v>8.5816235956718998</v>
      </c>
    </row>
    <row r="5949" spans="1:37" x14ac:dyDescent="0.2">
      <c r="A5949" t="str">
        <f>"20200111153806655"</f>
        <v>20200111153806655</v>
      </c>
      <c r="B5949" t="str">
        <f>"1578728286649101"</f>
        <v>1578728286649101</v>
      </c>
      <c r="C5949" t="s">
        <v>37</v>
      </c>
      <c r="D5949">
        <v>5.7401019999999896</v>
      </c>
      <c r="E5949">
        <v>0.48783339999999997</v>
      </c>
      <c r="F5949" t="s">
        <v>39</v>
      </c>
      <c r="G5949">
        <v>-190.083</v>
      </c>
      <c r="H5949" s="1">
        <v>-1.4184299999999901E-6</v>
      </c>
      <c r="I5949">
        <v>-37.155949999999997</v>
      </c>
      <c r="J5949">
        <v>-190.85669999999999</v>
      </c>
      <c r="K5949">
        <v>1.1102459999999901</v>
      </c>
      <c r="L5949">
        <v>-45.88165</v>
      </c>
      <c r="M5949">
        <v>0.35937429999999998</v>
      </c>
      <c r="N5949">
        <v>0</v>
      </c>
      <c r="O5949">
        <v>0.93308829999999998</v>
      </c>
      <c r="P5949">
        <v>0.11887539999999901</v>
      </c>
      <c r="Q5949">
        <v>1.9722090000000001E-2</v>
      </c>
      <c r="R5949">
        <v>0.99271330000000002</v>
      </c>
      <c r="S5949">
        <v>0.28965759999999902</v>
      </c>
      <c r="T5949">
        <v>-0.3698497</v>
      </c>
      <c r="U5949">
        <v>2.9949949999999999</v>
      </c>
      <c r="V5949">
        <v>-0.2462887</v>
      </c>
      <c r="W5949">
        <v>2.995598E-2</v>
      </c>
      <c r="X5949">
        <v>0.96873349999999903</v>
      </c>
      <c r="Y5949">
        <v>-0.26845869999999999</v>
      </c>
      <c r="Z5949">
        <v>-0.1078857</v>
      </c>
      <c r="AA5949">
        <v>0.95723069999999899</v>
      </c>
      <c r="AB5949">
        <v>28</v>
      </c>
      <c r="AC5949">
        <v>0.77369999999999095</v>
      </c>
      <c r="AD5949">
        <v>-1.11024741842999</v>
      </c>
      <c r="AE5949">
        <v>8.7256999999999998</v>
      </c>
      <c r="AF5949">
        <v>-2.3759333135051102</v>
      </c>
      <c r="AG5949">
        <v>-1.11024741842999</v>
      </c>
      <c r="AH5949">
        <v>8.2875960857353892</v>
      </c>
      <c r="AI5949">
        <v>97.338016990412001</v>
      </c>
      <c r="AJ5949">
        <v>105.996827430446</v>
      </c>
      <c r="AK5949">
        <v>8.6926381105306891</v>
      </c>
    </row>
    <row r="5950" spans="1:37" x14ac:dyDescent="0.2">
      <c r="A5950" t="str">
        <f>"20200111153806679"</f>
        <v>20200111153806679</v>
      </c>
      <c r="B5950" t="str">
        <f>"1578728286668621"</f>
        <v>1578728286668621</v>
      </c>
      <c r="C5950" t="s">
        <v>37</v>
      </c>
      <c r="D5950">
        <v>5.7558189999999998</v>
      </c>
      <c r="E5950">
        <v>0.48763260000000003</v>
      </c>
      <c r="F5950" t="s">
        <v>39</v>
      </c>
      <c r="G5950">
        <v>-190.04259999999999</v>
      </c>
      <c r="H5950" s="1">
        <v>-1.5513069999999899E-6</v>
      </c>
      <c r="I5950">
        <v>-36.821159999999999</v>
      </c>
      <c r="J5950">
        <v>-190.7612</v>
      </c>
      <c r="K5950">
        <v>1.110249</v>
      </c>
      <c r="L5950">
        <v>-45.611049999999999</v>
      </c>
      <c r="M5950">
        <v>0.35231309999999999</v>
      </c>
      <c r="N5950">
        <v>0</v>
      </c>
      <c r="O5950">
        <v>0.93577739999999998</v>
      </c>
      <c r="P5950">
        <v>0.11296440000000001</v>
      </c>
      <c r="Q5950">
        <v>1.9932539999999999E-2</v>
      </c>
      <c r="R5950">
        <v>0.99339909999999998</v>
      </c>
      <c r="S5950">
        <v>0.2693024</v>
      </c>
      <c r="T5950">
        <v>-0.36725249999999998</v>
      </c>
      <c r="U5950">
        <v>2.9970699999999999</v>
      </c>
      <c r="V5950">
        <v>-0.24473499999999901</v>
      </c>
      <c r="W5950">
        <v>3.0184760000000001E-2</v>
      </c>
      <c r="X5950">
        <v>0.96911999999999998</v>
      </c>
      <c r="Y5950">
        <v>-0.26768419999999998</v>
      </c>
      <c r="Z5950">
        <v>-0.1075913</v>
      </c>
      <c r="AA5950">
        <v>0.95748069999999896</v>
      </c>
      <c r="AB5950">
        <v>28</v>
      </c>
      <c r="AC5950">
        <v>0.71860000000000901</v>
      </c>
      <c r="AD5950">
        <v>-1.110250551307</v>
      </c>
      <c r="AE5950">
        <v>8.7898899999999998</v>
      </c>
      <c r="AF5950">
        <v>-2.3867555709133601</v>
      </c>
      <c r="AG5950">
        <v>-1.110250551307</v>
      </c>
      <c r="AH5950">
        <v>8.3470970732463901</v>
      </c>
      <c r="AI5950">
        <v>97.287718594488496</v>
      </c>
      <c r="AJ5950">
        <v>105.95726681462401</v>
      </c>
      <c r="AK5950">
        <v>8.7523304320713304</v>
      </c>
    </row>
    <row r="5951" spans="1:37" x14ac:dyDescent="0.2">
      <c r="A5951" t="str">
        <f>"20200111153806702"</f>
        <v>20200111153806702</v>
      </c>
      <c r="B5951" t="str">
        <f>"1578728286689118"</f>
        <v>1578728286689118</v>
      </c>
      <c r="C5951" t="s">
        <v>37</v>
      </c>
      <c r="D5951">
        <v>5.7362710000000003</v>
      </c>
      <c r="E5951">
        <v>0.48751640000000002</v>
      </c>
      <c r="F5951" t="s">
        <v>39</v>
      </c>
      <c r="G5951">
        <v>-190.00380000000001</v>
      </c>
      <c r="H5951" s="1">
        <v>-1.6768119999999899E-6</v>
      </c>
      <c r="I5951">
        <v>-36.504529999999903</v>
      </c>
      <c r="J5951">
        <v>-190.66900000000001</v>
      </c>
      <c r="K5951">
        <v>1.110244</v>
      </c>
      <c r="L5951">
        <v>-45.343139999999998</v>
      </c>
      <c r="M5951">
        <v>0.34530739999999999</v>
      </c>
      <c r="N5951">
        <v>0</v>
      </c>
      <c r="O5951">
        <v>0.93838519999999903</v>
      </c>
      <c r="P5951">
        <v>0.10710459999999999</v>
      </c>
      <c r="Q5951">
        <v>1.9260159999999998E-2</v>
      </c>
      <c r="R5951">
        <v>0.99406119999999898</v>
      </c>
      <c r="S5951">
        <v>0.24942020000000001</v>
      </c>
      <c r="T5951">
        <v>-0.36562050000000001</v>
      </c>
      <c r="U5951">
        <v>2.998901</v>
      </c>
      <c r="V5951">
        <v>-0.2431992</v>
      </c>
      <c r="W5951">
        <v>2.9530819999999999E-2</v>
      </c>
      <c r="X5951">
        <v>0.96952669999999996</v>
      </c>
      <c r="Y5951">
        <v>-0.26683269999999998</v>
      </c>
      <c r="Z5951">
        <v>-0.107562899999999</v>
      </c>
      <c r="AA5951">
        <v>0.9577215</v>
      </c>
      <c r="AB5951">
        <v>28</v>
      </c>
      <c r="AC5951">
        <v>0.66519999999999802</v>
      </c>
      <c r="AD5951">
        <v>-1.1102456768119999</v>
      </c>
      <c r="AE5951">
        <v>8.8386100000000098</v>
      </c>
      <c r="AF5951">
        <v>-2.3905542789085401</v>
      </c>
      <c r="AG5951">
        <v>-1.1102456768119999</v>
      </c>
      <c r="AH5951">
        <v>8.3928723660839406</v>
      </c>
      <c r="AI5951">
        <v>97.250458347812099</v>
      </c>
      <c r="AJ5951">
        <v>105.898621534611</v>
      </c>
      <c r="AK5951">
        <v>8.7970280081777101</v>
      </c>
    </row>
    <row r="5952" spans="1:37" x14ac:dyDescent="0.2">
      <c r="A5952" t="str">
        <f>"20200111153806723"</f>
        <v>20200111153806723</v>
      </c>
      <c r="B5952" t="str">
        <f>"1578728286719373"</f>
        <v>1578728286719373</v>
      </c>
      <c r="C5952" t="s">
        <v>37</v>
      </c>
      <c r="D5952">
        <v>6.0673370000000002</v>
      </c>
      <c r="E5952">
        <v>0.48709429999999998</v>
      </c>
      <c r="F5952" t="s">
        <v>39</v>
      </c>
      <c r="G5952">
        <v>-189.9718</v>
      </c>
      <c r="H5952" s="1">
        <v>-1.7717439999999899E-6</v>
      </c>
      <c r="I5952">
        <v>-36.263440000000003</v>
      </c>
      <c r="J5952">
        <v>-190.58510000000001</v>
      </c>
      <c r="K5952">
        <v>1.1102339999999999</v>
      </c>
      <c r="L5952">
        <v>-45.093440000000001</v>
      </c>
      <c r="M5952">
        <v>0.33876669999999998</v>
      </c>
      <c r="N5952">
        <v>0</v>
      </c>
      <c r="O5952">
        <v>0.9407664</v>
      </c>
      <c r="P5952">
        <v>0.1009733</v>
      </c>
      <c r="Q5952">
        <v>1.7941990000000001E-2</v>
      </c>
      <c r="R5952">
        <v>0.99472729999999998</v>
      </c>
      <c r="S5952">
        <v>0.23036190000000001</v>
      </c>
      <c r="T5952">
        <v>-0.3668593</v>
      </c>
      <c r="U5952">
        <v>3.0002140000000002</v>
      </c>
      <c r="V5952">
        <v>-0.2424183</v>
      </c>
      <c r="W5952">
        <v>2.822055E-2</v>
      </c>
      <c r="X5952">
        <v>0.96976130000000005</v>
      </c>
      <c r="Y5952">
        <v>-0.26620890000000003</v>
      </c>
      <c r="Z5952">
        <v>-0.10833759999999901</v>
      </c>
      <c r="AA5952">
        <v>0.95780779999999999</v>
      </c>
      <c r="AB5952">
        <v>28</v>
      </c>
      <c r="AC5952">
        <v>0.61330000000000895</v>
      </c>
      <c r="AD5952">
        <v>-1.1102357717439999</v>
      </c>
      <c r="AE5952">
        <v>8.8299999999999894</v>
      </c>
      <c r="AF5952">
        <v>-2.3771735018762201</v>
      </c>
      <c r="AG5952">
        <v>-1.1102357717439999</v>
      </c>
      <c r="AH5952">
        <v>8.3836638031887603</v>
      </c>
      <c r="AI5952">
        <v>97.260696619233698</v>
      </c>
      <c r="AJ5952">
        <v>105.83059396603799</v>
      </c>
      <c r="AK5952">
        <v>8.7846113227495604</v>
      </c>
    </row>
    <row r="5953" spans="1:37" x14ac:dyDescent="0.2">
      <c r="A5953" t="str">
        <f>"20200111153806744"</f>
        <v>20200111153806744</v>
      </c>
      <c r="B5953" t="str">
        <f>"1578728286738894"</f>
        <v>1578728286738894</v>
      </c>
      <c r="C5953" t="s">
        <v>37</v>
      </c>
      <c r="D5953">
        <v>5.7849300000000001</v>
      </c>
      <c r="E5953">
        <v>0.48689690000000002</v>
      </c>
      <c r="F5953" t="s">
        <v>39</v>
      </c>
      <c r="G5953">
        <v>-189.95959999999999</v>
      </c>
      <c r="H5953" s="1">
        <v>-1.849384E-6</v>
      </c>
      <c r="I5953">
        <v>-36.07488</v>
      </c>
      <c r="J5953">
        <v>-190.49940000000001</v>
      </c>
      <c r="K5953">
        <v>1.110225</v>
      </c>
      <c r="L5953">
        <v>-44.832090000000001</v>
      </c>
      <c r="M5953">
        <v>0.33191110000000001</v>
      </c>
      <c r="N5953">
        <v>0</v>
      </c>
      <c r="O5953">
        <v>0.94320700000000002</v>
      </c>
      <c r="P5953">
        <v>9.4437259999999995E-2</v>
      </c>
      <c r="Q5953">
        <v>1.7096710000000001E-2</v>
      </c>
      <c r="R5953">
        <v>0.99538400000000005</v>
      </c>
      <c r="S5953">
        <v>0.208160399999999</v>
      </c>
      <c r="T5953">
        <v>-0.36949359999999998</v>
      </c>
      <c r="U5953">
        <v>3.0014340000000002</v>
      </c>
      <c r="V5953">
        <v>-0.241723299999999</v>
      </c>
      <c r="W5953">
        <v>2.738355E-2</v>
      </c>
      <c r="X5953">
        <v>0.96995880000000001</v>
      </c>
      <c r="Y5953">
        <v>-0.26627849999999997</v>
      </c>
      <c r="Z5953">
        <v>-0.1095265</v>
      </c>
      <c r="AA5953">
        <v>0.95765319999999898</v>
      </c>
      <c r="AB5953">
        <v>28</v>
      </c>
      <c r="AC5953">
        <v>0.53980000000001305</v>
      </c>
      <c r="AD5953">
        <v>-1.110226849384</v>
      </c>
      <c r="AE5953">
        <v>8.7572100000000006</v>
      </c>
      <c r="AF5953">
        <v>-2.3599195703329001</v>
      </c>
      <c r="AG5953">
        <v>-1.110226849384</v>
      </c>
      <c r="AH5953">
        <v>8.3068437650749907</v>
      </c>
      <c r="AI5953">
        <v>97.326019828303103</v>
      </c>
      <c r="AJ5953">
        <v>105.859498849174</v>
      </c>
      <c r="AK5953">
        <v>8.70663410124134</v>
      </c>
    </row>
    <row r="5954" spans="1:37" x14ac:dyDescent="0.2">
      <c r="A5954" t="str">
        <f>"20200111153806767"</f>
        <v>20200111153806767</v>
      </c>
      <c r="B5954" t="str">
        <f>"1578728286759161"</f>
        <v>1578728286759161</v>
      </c>
      <c r="C5954" t="s">
        <v>37</v>
      </c>
      <c r="D5954">
        <v>5.7394809999999996</v>
      </c>
      <c r="E5954">
        <v>0.48676209999999998</v>
      </c>
      <c r="F5954" t="s">
        <v>39</v>
      </c>
      <c r="G5954">
        <v>-189.93950000000001</v>
      </c>
      <c r="H5954" s="1">
        <v>-1.9567139999999998E-6</v>
      </c>
      <c r="I5954">
        <v>-35.831090000000003</v>
      </c>
      <c r="J5954">
        <v>-190.41370000000001</v>
      </c>
      <c r="K5954">
        <v>1.110214</v>
      </c>
      <c r="L5954">
        <v>-44.564149999999998</v>
      </c>
      <c r="M5954">
        <v>0.3248743</v>
      </c>
      <c r="N5954">
        <v>0</v>
      </c>
      <c r="O5954">
        <v>0.94565390000000005</v>
      </c>
      <c r="P5954">
        <v>8.8673929999999998E-2</v>
      </c>
      <c r="Q5954">
        <v>1.727424E-2</v>
      </c>
      <c r="R5954">
        <v>0.99591090000000004</v>
      </c>
      <c r="S5954">
        <v>0.1867828</v>
      </c>
      <c r="T5954">
        <v>-0.37035079999999998</v>
      </c>
      <c r="U5954">
        <v>3.0025629999999999</v>
      </c>
      <c r="V5954">
        <v>-0.24011070000000001</v>
      </c>
      <c r="W5954">
        <v>2.7586599999999999E-2</v>
      </c>
      <c r="X5954">
        <v>0.97035349999999998</v>
      </c>
      <c r="Y5954">
        <v>-0.2659144</v>
      </c>
      <c r="Z5954">
        <v>-0.1102086</v>
      </c>
      <c r="AA5954">
        <v>0.95767619999999898</v>
      </c>
      <c r="AB5954">
        <v>28</v>
      </c>
      <c r="AC5954">
        <v>0.47419999999999601</v>
      </c>
      <c r="AD5954">
        <v>-1.110215956714</v>
      </c>
      <c r="AE5954">
        <v>8.7330599999999894</v>
      </c>
      <c r="AF5954">
        <v>-2.35106599118249</v>
      </c>
      <c r="AG5954">
        <v>-1.110215956714</v>
      </c>
      <c r="AH5954">
        <v>8.27990717466683</v>
      </c>
      <c r="AI5954">
        <v>97.349798835602897</v>
      </c>
      <c r="AJ5954">
        <v>105.85180801001</v>
      </c>
      <c r="AK5954">
        <v>8.67853406898519</v>
      </c>
    </row>
    <row r="5955" spans="1:37" x14ac:dyDescent="0.2">
      <c r="A5955" t="str">
        <f>"20200111153806789"</f>
        <v>20200111153806789</v>
      </c>
      <c r="B5955" t="str">
        <f>"1578728286778673"</f>
        <v>1578728286778673</v>
      </c>
      <c r="C5955" t="s">
        <v>37</v>
      </c>
      <c r="D5955">
        <v>6.004219</v>
      </c>
      <c r="E5955">
        <v>0.48668</v>
      </c>
      <c r="F5955" t="s">
        <v>39</v>
      </c>
      <c r="G5955">
        <v>-189.90780000000001</v>
      </c>
      <c r="H5955" s="1">
        <v>-2.104686E-6</v>
      </c>
      <c r="I5955">
        <v>-35.499279999999999</v>
      </c>
      <c r="J5955">
        <v>-190.33349999999999</v>
      </c>
      <c r="K5955">
        <v>1.110206</v>
      </c>
      <c r="L5955">
        <v>-44.306950000000001</v>
      </c>
      <c r="M5955">
        <v>0.31811430000000002</v>
      </c>
      <c r="N5955">
        <v>0</v>
      </c>
      <c r="O5955">
        <v>0.94794929999999999</v>
      </c>
      <c r="P5955">
        <v>8.4035349999999995E-2</v>
      </c>
      <c r="Q5955">
        <v>1.7300320000000001E-2</v>
      </c>
      <c r="R5955">
        <v>0.99631259999999999</v>
      </c>
      <c r="S5955">
        <v>0.1676483</v>
      </c>
      <c r="T5955">
        <v>-0.36788709999999902</v>
      </c>
      <c r="U5955">
        <v>3.003784</v>
      </c>
      <c r="V5955">
        <v>-0.2377002</v>
      </c>
      <c r="W5955">
        <v>2.765285E-2</v>
      </c>
      <c r="X5955">
        <v>0.9709449</v>
      </c>
      <c r="Y5955">
        <v>-0.26513320000000001</v>
      </c>
      <c r="Z5955">
        <v>-0.1098869</v>
      </c>
      <c r="AA5955">
        <v>0.957929699999999</v>
      </c>
      <c r="AB5955">
        <v>28</v>
      </c>
      <c r="AC5955">
        <v>0.42569999999997699</v>
      </c>
      <c r="AD5955">
        <v>-1.110208104686</v>
      </c>
      <c r="AE5955">
        <v>8.8076699999999999</v>
      </c>
      <c r="AF5955">
        <v>-2.3611107236323901</v>
      </c>
      <c r="AG5955">
        <v>-1.110208104686</v>
      </c>
      <c r="AH5955">
        <v>8.3530654805042293</v>
      </c>
      <c r="AI5955">
        <v>97.288499396123996</v>
      </c>
      <c r="AJ5955">
        <v>105.783686486869</v>
      </c>
      <c r="AK5955">
        <v>8.7510632957688994</v>
      </c>
    </row>
    <row r="5956" spans="1:37" x14ac:dyDescent="0.2">
      <c r="A5956" t="str">
        <f>"20200111153806811"</f>
        <v>20200111153806811</v>
      </c>
      <c r="B5956" t="str">
        <f>"1578728286799174"</f>
        <v>1578728286799174</v>
      </c>
      <c r="C5956" t="s">
        <v>37</v>
      </c>
      <c r="D5956">
        <v>5.880922</v>
      </c>
      <c r="E5956">
        <v>0.48654839999999999</v>
      </c>
      <c r="F5956" t="s">
        <v>39</v>
      </c>
      <c r="G5956">
        <v>-189.87</v>
      </c>
      <c r="H5956" s="1">
        <v>-2.2452699999999999E-6</v>
      </c>
      <c r="I5956">
        <v>-35.187179999999998</v>
      </c>
      <c r="J5956">
        <v>-190.25290000000001</v>
      </c>
      <c r="K5956">
        <v>1.1102000000000001</v>
      </c>
      <c r="L5956">
        <v>-44.041959999999897</v>
      </c>
      <c r="M5956">
        <v>0.31114649999999999</v>
      </c>
      <c r="N5956">
        <v>0</v>
      </c>
      <c r="O5956">
        <v>0.95025930000000003</v>
      </c>
      <c r="P5956">
        <v>7.9180260000000002E-2</v>
      </c>
      <c r="Q5956">
        <v>1.720228E-2</v>
      </c>
      <c r="R5956">
        <v>0.99671189999999998</v>
      </c>
      <c r="S5956">
        <v>0.15269469999999999</v>
      </c>
      <c r="T5956">
        <v>-0.3657667</v>
      </c>
      <c r="U5956">
        <v>3.004578</v>
      </c>
      <c r="V5956">
        <v>-0.2352998</v>
      </c>
      <c r="W5956">
        <v>2.759613E-2</v>
      </c>
      <c r="X5956">
        <v>0.97153099999999903</v>
      </c>
      <c r="Y5956">
        <v>-0.26282159999999999</v>
      </c>
      <c r="Z5956">
        <v>-0.10969949999999901</v>
      </c>
      <c r="AA5956">
        <v>0.95858790000000005</v>
      </c>
      <c r="AB5956">
        <v>28</v>
      </c>
      <c r="AC5956">
        <v>0.38290000000000601</v>
      </c>
      <c r="AD5956">
        <v>-1.11020224527</v>
      </c>
      <c r="AE5956">
        <v>8.8547799999999892</v>
      </c>
      <c r="AF5956">
        <v>-2.3545684420978201</v>
      </c>
      <c r="AG5956">
        <v>-1.11020224527</v>
      </c>
      <c r="AH5956">
        <v>8.4024685808610204</v>
      </c>
      <c r="AI5956">
        <v>97.250629207262804</v>
      </c>
      <c r="AJ5956">
        <v>105.654115900002</v>
      </c>
      <c r="AK5956">
        <v>8.7964776942979892</v>
      </c>
    </row>
    <row r="5957" spans="1:37" x14ac:dyDescent="0.2">
      <c r="A5957" t="str">
        <f>"20200111153806834"</f>
        <v>20200111153806834</v>
      </c>
      <c r="B5957" t="str">
        <f>"1578728286829426"</f>
        <v>1578728286829426</v>
      </c>
      <c r="C5957" t="s">
        <v>37</v>
      </c>
      <c r="D5957">
        <v>5.7210519999999896</v>
      </c>
      <c r="E5957">
        <v>0.48639399999999899</v>
      </c>
      <c r="F5957" t="s">
        <v>39</v>
      </c>
      <c r="G5957">
        <v>-189.8357</v>
      </c>
      <c r="H5957" s="1">
        <v>-2.3853080000000001E-6</v>
      </c>
      <c r="I5957">
        <v>-34.874949999999998</v>
      </c>
      <c r="J5957">
        <v>-190.17339999999999</v>
      </c>
      <c r="K5957">
        <v>1.1101859999999999</v>
      </c>
      <c r="L5957">
        <v>-43.773409999999998</v>
      </c>
      <c r="M5957">
        <v>0.3040832</v>
      </c>
      <c r="N5957">
        <v>0</v>
      </c>
      <c r="O5957">
        <v>0.95254309999999998</v>
      </c>
      <c r="P5957">
        <v>7.3946899999999996E-2</v>
      </c>
      <c r="Q5957">
        <v>1.6949700000000002E-2</v>
      </c>
      <c r="R5957">
        <v>0.99711810000000001</v>
      </c>
      <c r="S5957">
        <v>0.136795</v>
      </c>
      <c r="T5957">
        <v>-0.36396859999999998</v>
      </c>
      <c r="U5957">
        <v>3.0053099999999899</v>
      </c>
      <c r="V5957">
        <v>-0.233183</v>
      </c>
      <c r="W5957">
        <v>2.7380209999999999E-2</v>
      </c>
      <c r="X5957">
        <v>0.97204729999999995</v>
      </c>
      <c r="Y5957">
        <v>-0.26072960000000001</v>
      </c>
      <c r="Z5957">
        <v>-0.10959579999999999</v>
      </c>
      <c r="AA5957">
        <v>0.95917090000000005</v>
      </c>
      <c r="AB5957">
        <v>28</v>
      </c>
      <c r="AC5957">
        <v>0.33769999999998301</v>
      </c>
      <c r="AD5957">
        <v>-1.1101883853079999</v>
      </c>
      <c r="AE5957">
        <v>8.89846</v>
      </c>
      <c r="AF5957">
        <v>-2.3479366438883398</v>
      </c>
      <c r="AG5957">
        <v>-1.1101883853079999</v>
      </c>
      <c r="AH5957">
        <v>8.4483780652923404</v>
      </c>
      <c r="AI5957">
        <v>97.215819975740203</v>
      </c>
      <c r="AJ5957">
        <v>105.53144538849401</v>
      </c>
      <c r="AK5957">
        <v>8.8385754886576198</v>
      </c>
    </row>
    <row r="5958" spans="1:37" x14ac:dyDescent="0.2">
      <c r="A5958" t="str">
        <f>"20200111153806855"</f>
        <v>20200111153806855</v>
      </c>
      <c r="B5958" t="str">
        <f>"1578728286848947"</f>
        <v>1578728286848947</v>
      </c>
      <c r="C5958" t="s">
        <v>37</v>
      </c>
      <c r="D5958">
        <v>5.7481770000000001</v>
      </c>
      <c r="E5958">
        <v>0.48629269999999902</v>
      </c>
      <c r="F5958" t="s">
        <v>39</v>
      </c>
      <c r="G5958">
        <v>-189.80699999999999</v>
      </c>
      <c r="H5958" s="1">
        <v>-2.5263540000000001E-6</v>
      </c>
      <c r="I5958">
        <v>-34.558019999999999</v>
      </c>
      <c r="J5958">
        <v>-190.09880000000001</v>
      </c>
      <c r="K5958">
        <v>1.110182</v>
      </c>
      <c r="L5958">
        <v>-43.514339999999997</v>
      </c>
      <c r="M5958">
        <v>0.29726849999999999</v>
      </c>
      <c r="N5958">
        <v>0</v>
      </c>
      <c r="O5958">
        <v>0.95469190000000004</v>
      </c>
      <c r="P5958">
        <v>6.9090960000000007E-2</v>
      </c>
      <c r="Q5958">
        <v>1.6818420000000001E-2</v>
      </c>
      <c r="R5958">
        <v>0.99746859999999904</v>
      </c>
      <c r="S5958">
        <v>0.11952210000000001</v>
      </c>
      <c r="T5958">
        <v>-0.36213040000000002</v>
      </c>
      <c r="U5958">
        <v>3.005951</v>
      </c>
      <c r="V5958">
        <v>-0.23096700000000001</v>
      </c>
      <c r="W5958">
        <v>2.7287740000000001E-2</v>
      </c>
      <c r="X5958">
        <v>0.97257890000000002</v>
      </c>
      <c r="Y5958">
        <v>-0.25934119999999999</v>
      </c>
      <c r="Z5958">
        <v>-0.1094431</v>
      </c>
      <c r="AA5958">
        <v>0.95956469999999905</v>
      </c>
      <c r="AB5958">
        <v>28</v>
      </c>
      <c r="AC5958">
        <v>0.29179999999999401</v>
      </c>
      <c r="AD5958">
        <v>-1.110184526354</v>
      </c>
      <c r="AE5958">
        <v>8.9563199999999998</v>
      </c>
      <c r="AF5958">
        <v>-2.3480456075007301</v>
      </c>
      <c r="AG5958">
        <v>-1.110184526354</v>
      </c>
      <c r="AH5958">
        <v>8.5075313812518107</v>
      </c>
      <c r="AI5958">
        <v>97.169649140633197</v>
      </c>
      <c r="AJ5958">
        <v>105.429298197932</v>
      </c>
      <c r="AK5958">
        <v>8.8951626213601998</v>
      </c>
    </row>
    <row r="5959" spans="1:37" x14ac:dyDescent="0.2">
      <c r="A5959" t="str">
        <f>"20200111153806880"</f>
        <v>20200111153806880</v>
      </c>
      <c r="B5959" t="str">
        <f>"1578728286869019"</f>
        <v>1578728286869019</v>
      </c>
      <c r="C5959" t="s">
        <v>37</v>
      </c>
      <c r="D5959">
        <v>5.954307</v>
      </c>
      <c r="E5959">
        <v>0.48621789999999998</v>
      </c>
      <c r="F5959" t="s">
        <v>39</v>
      </c>
      <c r="G5959">
        <v>-189.77959999999999</v>
      </c>
      <c r="H5959" s="1">
        <v>-2.65571199999999E-6</v>
      </c>
      <c r="I5959">
        <v>-34.267800000000001</v>
      </c>
      <c r="J5959">
        <v>-190.02</v>
      </c>
      <c r="K5959">
        <v>1.1101799999999999</v>
      </c>
      <c r="L5959">
        <v>-43.233089999999997</v>
      </c>
      <c r="M5959">
        <v>0.28986909999999999</v>
      </c>
      <c r="N5959">
        <v>0</v>
      </c>
      <c r="O5959">
        <v>0.95696460000000005</v>
      </c>
      <c r="P5959">
        <v>6.3802860000000003E-2</v>
      </c>
      <c r="Q5959">
        <v>1.7705789999999999E-2</v>
      </c>
      <c r="R5959">
        <v>0.99780539999999995</v>
      </c>
      <c r="S5959">
        <v>0.10377500000000001</v>
      </c>
      <c r="T5959">
        <v>-0.36097509999999999</v>
      </c>
      <c r="U5959">
        <v>3.0065</v>
      </c>
      <c r="V5959">
        <v>-0.22859850000000001</v>
      </c>
      <c r="W5959">
        <v>2.821626E-2</v>
      </c>
      <c r="X5959">
        <v>0.97311179999999997</v>
      </c>
      <c r="Y5959">
        <v>-0.25689109999999998</v>
      </c>
      <c r="Z5959">
        <v>-0.109530399999999</v>
      </c>
      <c r="AA5959">
        <v>0.96021350000000005</v>
      </c>
      <c r="AB5959">
        <v>28</v>
      </c>
      <c r="AC5959">
        <v>0.24040000000002201</v>
      </c>
      <c r="AD5959">
        <v>-1.110182655712</v>
      </c>
      <c r="AE5959">
        <v>8.9652899999999995</v>
      </c>
      <c r="AF5959">
        <v>-2.3331850887442802</v>
      </c>
      <c r="AG5959">
        <v>-1.110182655712</v>
      </c>
      <c r="AH5959">
        <v>8.5194468737458102</v>
      </c>
      <c r="AI5959">
        <v>97.163572946454394</v>
      </c>
      <c r="AJ5959">
        <v>105.315817546936</v>
      </c>
      <c r="AK5959">
        <v>8.9026531563326508</v>
      </c>
    </row>
    <row r="5960" spans="1:37" x14ac:dyDescent="0.2">
      <c r="A5960" t="str">
        <f>"20200111153806901"</f>
        <v>20200111153806901</v>
      </c>
      <c r="B5960" t="str">
        <f>"1578728286889514"</f>
        <v>1578728286889514</v>
      </c>
      <c r="C5960" t="s">
        <v>37</v>
      </c>
      <c r="D5960">
        <v>5.6960350000000002</v>
      </c>
      <c r="E5960">
        <v>0.48606349999999998</v>
      </c>
      <c r="F5960" t="s">
        <v>39</v>
      </c>
      <c r="G5960">
        <v>-189.75</v>
      </c>
      <c r="H5960" s="1">
        <v>-2.8256250000000002E-6</v>
      </c>
      <c r="I5960">
        <v>-33.884</v>
      </c>
      <c r="J5960">
        <v>-189.95009999999999</v>
      </c>
      <c r="K5960">
        <v>1.1101719999999999</v>
      </c>
      <c r="L5960">
        <v>-42.975920000000002</v>
      </c>
      <c r="M5960">
        <v>0.28310269999999998</v>
      </c>
      <c r="N5960">
        <v>0</v>
      </c>
      <c r="O5960">
        <v>0.95898809999999901</v>
      </c>
      <c r="P5960">
        <v>5.9091169999999998E-2</v>
      </c>
      <c r="Q5960">
        <v>1.8406209999999999E-2</v>
      </c>
      <c r="R5960">
        <v>0.9980829</v>
      </c>
      <c r="S5960">
        <v>8.6853029999999998E-2</v>
      </c>
      <c r="T5960">
        <v>-0.35711999999999999</v>
      </c>
      <c r="U5960">
        <v>3.00738499999999</v>
      </c>
      <c r="V5960">
        <v>-0.22632359999999899</v>
      </c>
      <c r="W5960">
        <v>2.895696E-2</v>
      </c>
      <c r="X5960">
        <v>0.97362169999999904</v>
      </c>
      <c r="Y5960">
        <v>-0.25547049999999999</v>
      </c>
      <c r="Z5960">
        <v>-0.1087308</v>
      </c>
      <c r="AA5960">
        <v>0.96068330000000002</v>
      </c>
      <c r="AB5960">
        <v>28</v>
      </c>
      <c r="AC5960">
        <v>0.20009999999999101</v>
      </c>
      <c r="AD5960">
        <v>-1.1101748256249999</v>
      </c>
      <c r="AE5960">
        <v>9.09192</v>
      </c>
      <c r="AF5960">
        <v>-2.34730461472483</v>
      </c>
      <c r="AG5960">
        <v>-1.1101748256249999</v>
      </c>
      <c r="AH5960">
        <v>8.6476737302797897</v>
      </c>
      <c r="AI5960">
        <v>97.062689192801301</v>
      </c>
      <c r="AJ5960">
        <v>105.186324073555</v>
      </c>
      <c r="AK5960">
        <v>9.0290967456956199</v>
      </c>
    </row>
    <row r="5961" spans="1:37" x14ac:dyDescent="0.2">
      <c r="A5961" t="str">
        <f>"20200111153806923"</f>
        <v>20200111153806923</v>
      </c>
      <c r="B5961" t="str">
        <f>"1578728286918795"</f>
        <v>1578728286918795</v>
      </c>
      <c r="C5961" t="s">
        <v>37</v>
      </c>
      <c r="D5961">
        <v>5.9549159999999999</v>
      </c>
      <c r="E5961">
        <v>0.48595270000000002</v>
      </c>
      <c r="F5961" t="s">
        <v>39</v>
      </c>
      <c r="G5961">
        <v>-189.72620000000001</v>
      </c>
      <c r="H5961" s="1">
        <v>-2.985558E-6</v>
      </c>
      <c r="I5961">
        <v>-33.521000000000001</v>
      </c>
      <c r="J5961">
        <v>-189.87979999999999</v>
      </c>
      <c r="K5961">
        <v>1.110161</v>
      </c>
      <c r="L5961">
        <v>-42.70984</v>
      </c>
      <c r="M5961">
        <v>0.27610020000000002</v>
      </c>
      <c r="N5961">
        <v>0</v>
      </c>
      <c r="O5961">
        <v>0.96102770000000004</v>
      </c>
      <c r="P5961">
        <v>5.4822589999999997E-2</v>
      </c>
      <c r="Q5961">
        <v>1.8159370000000001E-2</v>
      </c>
      <c r="R5961">
        <v>0.99833099999999997</v>
      </c>
      <c r="S5961">
        <v>7.1212769999999995E-2</v>
      </c>
      <c r="T5961">
        <v>-0.35319919999999999</v>
      </c>
      <c r="U5961">
        <v>3.008057</v>
      </c>
      <c r="V5961">
        <v>-0.22338079999999999</v>
      </c>
      <c r="W5961">
        <v>2.8761060000000001E-2</v>
      </c>
      <c r="X5961">
        <v>0.97430680000000003</v>
      </c>
      <c r="Y5961">
        <v>-0.2534148</v>
      </c>
      <c r="Z5961">
        <v>-0.1079214</v>
      </c>
      <c r="AA5961">
        <v>0.96131889999999998</v>
      </c>
      <c r="AB5961">
        <v>28</v>
      </c>
      <c r="AC5961">
        <v>0.153599999999983</v>
      </c>
      <c r="AD5961">
        <v>-1.1101639855580001</v>
      </c>
      <c r="AE5961">
        <v>9.1888399999999901</v>
      </c>
      <c r="AF5961">
        <v>-2.3552893339920198</v>
      </c>
      <c r="AG5961">
        <v>-1.1101639855580001</v>
      </c>
      <c r="AH5961">
        <v>8.7463695883848693</v>
      </c>
      <c r="AI5961">
        <v>96.987462942949804</v>
      </c>
      <c r="AJ5961">
        <v>105.071527010116</v>
      </c>
      <c r="AK5961">
        <v>9.1257236917556401</v>
      </c>
    </row>
    <row r="5962" spans="1:37" x14ac:dyDescent="0.2">
      <c r="A5962" t="str">
        <f>"20200111153806946"</f>
        <v>20200111153806946</v>
      </c>
      <c r="B5962" t="str">
        <f>"1578728286939291"</f>
        <v>1578728286939291</v>
      </c>
      <c r="C5962" t="s">
        <v>37</v>
      </c>
      <c r="D5962">
        <v>5.6967059999999998</v>
      </c>
      <c r="E5962">
        <v>0.48588140000000002</v>
      </c>
      <c r="F5962" t="s">
        <v>39</v>
      </c>
      <c r="G5962">
        <v>-189.69980000000001</v>
      </c>
      <c r="H5962" s="1">
        <v>-3.124801E-6</v>
      </c>
      <c r="I5962">
        <v>-33.207349999999998</v>
      </c>
      <c r="J5962">
        <v>-189.8135</v>
      </c>
      <c r="K5962">
        <v>1.1101459999999901</v>
      </c>
      <c r="L5962">
        <v>-42.451169999999998</v>
      </c>
      <c r="M5962">
        <v>0.26929229999999998</v>
      </c>
      <c r="N5962">
        <v>0</v>
      </c>
      <c r="O5962">
        <v>0.96295759999999897</v>
      </c>
      <c r="P5962">
        <v>5.1983660000000001E-2</v>
      </c>
      <c r="Q5962">
        <v>1.7466019999999999E-2</v>
      </c>
      <c r="R5962">
        <v>0.99849519999999903</v>
      </c>
      <c r="S5962">
        <v>5.699158E-2</v>
      </c>
      <c r="T5962">
        <v>-0.3514526</v>
      </c>
      <c r="U5962">
        <v>3.00827</v>
      </c>
      <c r="V5962">
        <v>-0.2192461</v>
      </c>
      <c r="W5962">
        <v>2.8138570000000002E-2</v>
      </c>
      <c r="X5962">
        <v>0.97526380000000001</v>
      </c>
      <c r="Y5962">
        <v>-0.25111309999999998</v>
      </c>
      <c r="Z5962">
        <v>-0.1077603</v>
      </c>
      <c r="AA5962">
        <v>0.96194069999999898</v>
      </c>
      <c r="AB5962">
        <v>28</v>
      </c>
      <c r="AC5962">
        <v>0.113699999999994</v>
      </c>
      <c r="AD5962">
        <v>-1.11014912480099</v>
      </c>
      <c r="AE5962">
        <v>9.2438199999999995</v>
      </c>
      <c r="AF5962">
        <v>-2.3461981078354102</v>
      </c>
      <c r="AG5962">
        <v>-1.11014912480099</v>
      </c>
      <c r="AH5962">
        <v>8.8059036798224994</v>
      </c>
      <c r="AI5962">
        <v>96.945495462935398</v>
      </c>
      <c r="AJ5962">
        <v>104.91900692275</v>
      </c>
      <c r="AK5962">
        <v>9.1804692831476906</v>
      </c>
    </row>
    <row r="5963" spans="1:37" x14ac:dyDescent="0.2">
      <c r="A5963" t="str">
        <f>"20200111153806970"</f>
        <v>20200111153806970</v>
      </c>
      <c r="B5963" t="str">
        <f>"1578728286959441"</f>
        <v>1578728286959441</v>
      </c>
      <c r="C5963" t="s">
        <v>37</v>
      </c>
      <c r="D5963">
        <v>5.7006329999999998</v>
      </c>
      <c r="E5963">
        <v>0.48584259999999901</v>
      </c>
      <c r="F5963" t="s">
        <v>39</v>
      </c>
      <c r="G5963">
        <v>-189.6643</v>
      </c>
      <c r="H5963" s="1">
        <v>-3.2330070000000002E-6</v>
      </c>
      <c r="I5963">
        <v>-32.969809999999903</v>
      </c>
      <c r="J5963">
        <v>-189.74019999999999</v>
      </c>
      <c r="K5963">
        <v>1.1101369999999999</v>
      </c>
      <c r="L5963">
        <v>-42.156129999999997</v>
      </c>
      <c r="M5963">
        <v>0.26152429999999999</v>
      </c>
      <c r="N5963">
        <v>0</v>
      </c>
      <c r="O5963">
        <v>0.96509619999999996</v>
      </c>
      <c r="P5963">
        <v>5.0230709999999998E-2</v>
      </c>
      <c r="Q5963">
        <v>1.7334180000000001E-2</v>
      </c>
      <c r="R5963">
        <v>0.99858719999999901</v>
      </c>
      <c r="S5963">
        <v>4.7348019999999998E-2</v>
      </c>
      <c r="T5963">
        <v>-0.35222389999999998</v>
      </c>
      <c r="U5963">
        <v>3.0082089999999999</v>
      </c>
      <c r="V5963">
        <v>-0.21309220000000001</v>
      </c>
      <c r="W5963">
        <v>2.8110920000000001E-2</v>
      </c>
      <c r="X5963">
        <v>0.97662759999999904</v>
      </c>
      <c r="Y5963">
        <v>-0.2463957</v>
      </c>
      <c r="Z5963">
        <v>-0.10843999999999999</v>
      </c>
      <c r="AA5963">
        <v>0.96308359999999904</v>
      </c>
      <c r="AB5963">
        <v>28</v>
      </c>
      <c r="AC5963">
        <v>7.5899999999990003E-2</v>
      </c>
      <c r="AD5963">
        <v>-1.110140233007</v>
      </c>
      <c r="AE5963">
        <v>9.1863200000000003</v>
      </c>
      <c r="AF5963">
        <v>-2.2958944862915902</v>
      </c>
      <c r="AG5963">
        <v>-1.110140233007</v>
      </c>
      <c r="AH5963">
        <v>8.7584953168454103</v>
      </c>
      <c r="AI5963">
        <v>96.990014638900007</v>
      </c>
      <c r="AJ5963">
        <v>104.688653566493</v>
      </c>
      <c r="AK5963">
        <v>9.1222137140240207</v>
      </c>
    </row>
    <row r="5964" spans="1:37" x14ac:dyDescent="0.2">
      <c r="A5964" t="str">
        <f>"20200111153807005"</f>
        <v>20200111153807005</v>
      </c>
      <c r="B5964" t="str">
        <f>"1578728286999449"</f>
        <v>1578728286999449</v>
      </c>
      <c r="C5964" t="s">
        <v>37</v>
      </c>
      <c r="D5964">
        <v>5.8129520000000001</v>
      </c>
      <c r="E5964">
        <v>0.485759</v>
      </c>
      <c r="F5964" t="s">
        <v>39</v>
      </c>
      <c r="G5964">
        <v>-189.6105</v>
      </c>
      <c r="H5964" s="1">
        <v>-3.373509E-6</v>
      </c>
      <c r="I5964">
        <v>-32.664520000000003</v>
      </c>
      <c r="J5964">
        <v>-189.643</v>
      </c>
      <c r="K5964">
        <v>1.110112</v>
      </c>
      <c r="L5964">
        <v>-41.748289999999997</v>
      </c>
      <c r="M5964">
        <v>0.25078230000000001</v>
      </c>
      <c r="N5964">
        <v>0</v>
      </c>
      <c r="O5964">
        <v>0.967943199999999</v>
      </c>
      <c r="P5964">
        <v>4.5678280000000002E-2</v>
      </c>
      <c r="Q5964">
        <v>1.6542790000000002E-2</v>
      </c>
      <c r="R5964">
        <v>0.99881919999999902</v>
      </c>
      <c r="S5964">
        <v>4.110718E-2</v>
      </c>
      <c r="T5964">
        <v>-0.35185159999999999</v>
      </c>
      <c r="U5964">
        <v>3.0083009999999999</v>
      </c>
      <c r="V5964">
        <v>-0.20667569999999999</v>
      </c>
      <c r="W5964">
        <v>2.7428350000000001E-2</v>
      </c>
      <c r="X5964">
        <v>0.97802500000000003</v>
      </c>
      <c r="Y5964">
        <v>-0.23761589999999999</v>
      </c>
      <c r="Z5964">
        <v>-0.1089464</v>
      </c>
      <c r="AA5964">
        <v>0.96523019999999904</v>
      </c>
      <c r="AB5964">
        <v>28</v>
      </c>
      <c r="AC5964">
        <v>3.2499999999998801E-2</v>
      </c>
      <c r="AD5964">
        <v>-1.1101153735089999</v>
      </c>
      <c r="AE5964">
        <v>9.0837699999999995</v>
      </c>
      <c r="AF5964">
        <v>-2.21374696214344</v>
      </c>
      <c r="AG5964">
        <v>-1.1101153735089999</v>
      </c>
      <c r="AH5964">
        <v>8.6720632658185792</v>
      </c>
      <c r="AI5964">
        <v>97.070458673144799</v>
      </c>
      <c r="AJ5964">
        <v>104.320258445693</v>
      </c>
      <c r="AK5964">
        <v>9.0187423203715298</v>
      </c>
    </row>
    <row r="5965" spans="1:37" x14ac:dyDescent="0.2">
      <c r="A5965" t="str">
        <f>"20200111153807024"</f>
        <v>20200111153807024</v>
      </c>
      <c r="B5965" t="str">
        <f>"1578728287018968"</f>
        <v>1578728287018968</v>
      </c>
      <c r="C5965" t="s">
        <v>37</v>
      </c>
      <c r="D5965">
        <v>5.9645739999999998</v>
      </c>
      <c r="E5965">
        <v>0.4856876</v>
      </c>
      <c r="F5965" t="s">
        <v>39</v>
      </c>
      <c r="G5965">
        <v>-189.5615</v>
      </c>
      <c r="H5965" s="1">
        <v>-3.5413459999999999E-6</v>
      </c>
      <c r="I5965">
        <v>-32.293550000000003</v>
      </c>
      <c r="J5965">
        <v>-189.5866</v>
      </c>
      <c r="K5965">
        <v>1.110098</v>
      </c>
      <c r="L5965">
        <v>-41.502009999999999</v>
      </c>
      <c r="M5965">
        <v>0.24429219999999999</v>
      </c>
      <c r="N5965">
        <v>0</v>
      </c>
      <c r="O5965">
        <v>0.96960159999999995</v>
      </c>
      <c r="P5965">
        <v>4.4410270000000002E-2</v>
      </c>
      <c r="Q5965">
        <v>1.573389E-2</v>
      </c>
      <c r="R5965">
        <v>0.99888940000000004</v>
      </c>
      <c r="S5965">
        <v>2.5924679999999999E-2</v>
      </c>
      <c r="T5965">
        <v>-0.35320499999999999</v>
      </c>
      <c r="U5965">
        <v>3.0082089999999999</v>
      </c>
      <c r="V5965">
        <v>-0.2013527</v>
      </c>
      <c r="W5965">
        <v>2.6707640000000001E-2</v>
      </c>
      <c r="X5965">
        <v>0.97915459999999999</v>
      </c>
      <c r="Y5965">
        <v>-0.23598</v>
      </c>
      <c r="Z5965">
        <v>-0.10967730000000001</v>
      </c>
      <c r="AA5965">
        <v>0.96554879999999998</v>
      </c>
      <c r="AB5965">
        <v>28</v>
      </c>
      <c r="AC5965">
        <v>2.5100000000009001E-2</v>
      </c>
      <c r="AD5965">
        <v>-1.110101541346</v>
      </c>
      <c r="AE5965">
        <v>9.2084599999999899</v>
      </c>
      <c r="AF5965">
        <v>-2.1935554738053402</v>
      </c>
      <c r="AG5965">
        <v>-1.110101541346</v>
      </c>
      <c r="AH5965">
        <v>8.8075384695292396</v>
      </c>
      <c r="AI5965">
        <v>96.972865331373399</v>
      </c>
      <c r="AJ5965">
        <v>103.985235734475</v>
      </c>
      <c r="AK5965">
        <v>9.1442192089318208</v>
      </c>
    </row>
    <row r="5966" spans="1:37" x14ac:dyDescent="0.2">
      <c r="A5966" t="str">
        <f>"20200111153807047"</f>
        <v>20200111153807047</v>
      </c>
      <c r="B5966" t="str">
        <f>"1578728287039464"</f>
        <v>1578728287039464</v>
      </c>
      <c r="C5966" t="s">
        <v>37</v>
      </c>
      <c r="D5966">
        <v>5.6409279999999997</v>
      </c>
      <c r="E5966">
        <v>0.485651</v>
      </c>
      <c r="F5966" t="s">
        <v>39</v>
      </c>
      <c r="G5966">
        <v>-189.52209999999999</v>
      </c>
      <c r="H5966" s="1">
        <v>-3.6350969999999999E-6</v>
      </c>
      <c r="I5966">
        <v>-32.091299999999997</v>
      </c>
      <c r="J5966">
        <v>-189.5275</v>
      </c>
      <c r="K5966">
        <v>1.1100920000000001</v>
      </c>
      <c r="L5966">
        <v>-41.234679999999997</v>
      </c>
      <c r="M5966">
        <v>0.23724619999999999</v>
      </c>
      <c r="N5966">
        <v>0</v>
      </c>
      <c r="O5966">
        <v>0.97134969999999998</v>
      </c>
      <c r="P5966">
        <v>4.2590240000000001E-2</v>
      </c>
      <c r="Q5966">
        <v>1.507988E-2</v>
      </c>
      <c r="R5966">
        <v>0.99897879999999994</v>
      </c>
      <c r="S5966">
        <v>2.061462E-2</v>
      </c>
      <c r="T5966">
        <v>-0.35482750000000002</v>
      </c>
      <c r="U5966">
        <v>3.0079959999999999</v>
      </c>
      <c r="V5966">
        <v>-0.19601689999999999</v>
      </c>
      <c r="W5966">
        <v>2.61423E-2</v>
      </c>
      <c r="X5966">
        <v>0.98025200000000001</v>
      </c>
      <c r="Y5966">
        <v>-0.230627</v>
      </c>
      <c r="Z5966">
        <v>-0.110564</v>
      </c>
      <c r="AA5966">
        <v>0.9667403</v>
      </c>
      <c r="AB5966">
        <v>28</v>
      </c>
      <c r="AC5966">
        <v>5.4000000000087303E-3</v>
      </c>
      <c r="AD5966">
        <v>-1.1100956350969999</v>
      </c>
      <c r="AE5966">
        <v>9.1433800000000005</v>
      </c>
      <c r="AF5966">
        <v>-2.1327592427040001</v>
      </c>
      <c r="AG5966">
        <v>-1.1100956350969999</v>
      </c>
      <c r="AH5966">
        <v>8.7545178504237295</v>
      </c>
      <c r="AI5966">
        <v>97.023412368457301</v>
      </c>
      <c r="AJ5966">
        <v>103.691584774284</v>
      </c>
      <c r="AK5966">
        <v>9.0786869700297803</v>
      </c>
    </row>
    <row r="5967" spans="1:37" x14ac:dyDescent="0.2">
      <c r="A5967" t="str">
        <f>"20200111153807069"</f>
        <v>20200111153807069</v>
      </c>
      <c r="B5967" t="str">
        <f>"1578728287058984"</f>
        <v>1578728287058984</v>
      </c>
      <c r="C5967" t="s">
        <v>37</v>
      </c>
      <c r="D5967">
        <v>5.6412979999999999</v>
      </c>
      <c r="E5967">
        <v>0.4855643</v>
      </c>
      <c r="F5967" t="s">
        <v>39</v>
      </c>
      <c r="G5967">
        <v>-189.4846</v>
      </c>
      <c r="H5967" s="1">
        <v>-3.7459649999999999E-6</v>
      </c>
      <c r="I5967">
        <v>-31.848389999999998</v>
      </c>
      <c r="J5967">
        <v>-189.46960000000001</v>
      </c>
      <c r="K5967">
        <v>1.1100829999999999</v>
      </c>
      <c r="L5967">
        <v>-40.963839999999998</v>
      </c>
      <c r="M5967">
        <v>0.2301077</v>
      </c>
      <c r="N5967">
        <v>0</v>
      </c>
      <c r="O5967">
        <v>0.97306550000000003</v>
      </c>
      <c r="P5967">
        <v>4.0424160000000001E-2</v>
      </c>
      <c r="Q5967">
        <v>1.552853E-2</v>
      </c>
      <c r="R5967">
        <v>0.99906189999999995</v>
      </c>
      <c r="S5967">
        <v>1.3732909999999999E-2</v>
      </c>
      <c r="T5967">
        <v>-0.35573090000000002</v>
      </c>
      <c r="U5967">
        <v>3.0078429999999998</v>
      </c>
      <c r="V5967">
        <v>-0.1909448</v>
      </c>
      <c r="W5967">
        <v>2.6673789999999999E-2</v>
      </c>
      <c r="X5967">
        <v>0.98123830000000001</v>
      </c>
      <c r="Y5967">
        <v>-0.2256927</v>
      </c>
      <c r="Z5967">
        <v>-0.1112168</v>
      </c>
      <c r="AA5967">
        <v>0.9678293</v>
      </c>
      <c r="AB5967">
        <v>28</v>
      </c>
      <c r="AC5967">
        <v>-1.49999999999863E-2</v>
      </c>
      <c r="AD5967">
        <v>-1.1100867459649999</v>
      </c>
      <c r="AE5967">
        <v>9.1154499999999992</v>
      </c>
      <c r="AF5967">
        <v>-2.08146686123031</v>
      </c>
      <c r="AG5967">
        <v>-1.1100867459649999</v>
      </c>
      <c r="AH5967">
        <v>8.7377529417034108</v>
      </c>
      <c r="AI5967">
        <v>97.045272202403197</v>
      </c>
      <c r="AJ5967">
        <v>103.399010194941</v>
      </c>
      <c r="AK5967">
        <v>9.0505869062847992</v>
      </c>
    </row>
    <row r="5968" spans="1:37" x14ac:dyDescent="0.2">
      <c r="A5968" t="str">
        <f>"20200111153807091"</f>
        <v>20200111153807091</v>
      </c>
      <c r="B5968" t="str">
        <f>"1578728287079479"</f>
        <v>1578728287079479</v>
      </c>
      <c r="C5968" t="s">
        <v>37</v>
      </c>
      <c r="D5968">
        <v>5.6539000000000001</v>
      </c>
      <c r="E5968">
        <v>0.48551339999999998</v>
      </c>
      <c r="F5968" t="s">
        <v>39</v>
      </c>
      <c r="G5968">
        <v>-189.4503</v>
      </c>
      <c r="H5968" s="1">
        <v>-3.8930580000000002E-6</v>
      </c>
      <c r="I5968">
        <v>-31.519690000000001</v>
      </c>
      <c r="J5968">
        <v>-189.41550000000001</v>
      </c>
      <c r="K5968">
        <v>1.1100749999999999</v>
      </c>
      <c r="L5968">
        <v>-40.701839999999997</v>
      </c>
      <c r="M5968">
        <v>0.22319339999999999</v>
      </c>
      <c r="N5968">
        <v>0</v>
      </c>
      <c r="O5968">
        <v>0.97467490000000001</v>
      </c>
      <c r="P5968">
        <v>3.728124E-2</v>
      </c>
      <c r="Q5968">
        <v>1.6619020000000002E-2</v>
      </c>
      <c r="R5968">
        <v>0.99916659999999902</v>
      </c>
      <c r="S5968">
        <v>6.1340329999999997E-3</v>
      </c>
      <c r="T5968">
        <v>-0.3535741</v>
      </c>
      <c r="U5968">
        <v>3.008057</v>
      </c>
      <c r="V5968">
        <v>-0.1870723</v>
      </c>
      <c r="W5968">
        <v>2.7815869999999999E-2</v>
      </c>
      <c r="X5968">
        <v>0.9819523</v>
      </c>
      <c r="Y5968">
        <v>-0.22122049999999999</v>
      </c>
      <c r="Z5968">
        <v>-0.1108847</v>
      </c>
      <c r="AA5968">
        <v>0.96889939999999997</v>
      </c>
      <c r="AB5968">
        <v>28</v>
      </c>
      <c r="AC5968">
        <v>-3.4799999999989902E-2</v>
      </c>
      <c r="AD5968">
        <v>-1.1100788930579999</v>
      </c>
      <c r="AE5968">
        <v>9.18215</v>
      </c>
      <c r="AF5968">
        <v>-2.0535027014117802</v>
      </c>
      <c r="AG5968">
        <v>-1.1100788930579999</v>
      </c>
      <c r="AH5968">
        <v>8.8138903350956905</v>
      </c>
      <c r="AI5968">
        <v>96.993046572359603</v>
      </c>
      <c r="AJ5968">
        <v>103.115083831954</v>
      </c>
      <c r="AK5968">
        <v>9.1177744725679393</v>
      </c>
    </row>
    <row r="5969" spans="1:37" x14ac:dyDescent="0.2">
      <c r="A5969" t="str">
        <f>"20200111153807113"</f>
        <v>20200111153807113</v>
      </c>
      <c r="B5969" t="str">
        <f>"1578728287108761"</f>
        <v>1578728287108761</v>
      </c>
      <c r="C5969" t="s">
        <v>37</v>
      </c>
      <c r="D5969">
        <v>5.5911589999999904</v>
      </c>
      <c r="E5969">
        <v>0.48531199999999902</v>
      </c>
      <c r="F5969" t="s">
        <v>39</v>
      </c>
      <c r="G5969">
        <v>-189.42959999999999</v>
      </c>
      <c r="H5969" s="1">
        <v>-4.0572830000000003E-6</v>
      </c>
      <c r="I5969">
        <v>-31.145440000000001</v>
      </c>
      <c r="J5969">
        <v>-189.3638</v>
      </c>
      <c r="K5969">
        <v>1.1100699999999999</v>
      </c>
      <c r="L5969">
        <v>-40.44238</v>
      </c>
      <c r="M5969">
        <v>0.216339799999999</v>
      </c>
      <c r="N5969">
        <v>0</v>
      </c>
      <c r="O5969">
        <v>0.97621950000000002</v>
      </c>
      <c r="P5969">
        <v>3.424783E-2</v>
      </c>
      <c r="Q5969">
        <v>1.7751880000000001E-2</v>
      </c>
      <c r="R5969">
        <v>0.99925569999999897</v>
      </c>
      <c r="S5969">
        <v>-4.4403079999999996E-3</v>
      </c>
      <c r="T5969">
        <v>-0.349468</v>
      </c>
      <c r="U5969">
        <v>3.0084840000000002</v>
      </c>
      <c r="V5969">
        <v>-0.18316160000000001</v>
      </c>
      <c r="W5969">
        <v>2.8977929999999999E-2</v>
      </c>
      <c r="X5969">
        <v>0.98265559999999996</v>
      </c>
      <c r="Y5969">
        <v>-0.21777469999999999</v>
      </c>
      <c r="Z5969">
        <v>-0.1099094</v>
      </c>
      <c r="AA5969">
        <v>0.96979079999999995</v>
      </c>
      <c r="AB5969">
        <v>28</v>
      </c>
      <c r="AC5969">
        <v>-6.5799999999995806E-2</v>
      </c>
      <c r="AD5969">
        <v>-1.1100740572829999</v>
      </c>
      <c r="AE5969">
        <v>9.2969399999999993</v>
      </c>
      <c r="AF5969">
        <v>-2.0465572476738298</v>
      </c>
      <c r="AG5969">
        <v>-1.1100740572829999</v>
      </c>
      <c r="AH5969">
        <v>8.9351113821208905</v>
      </c>
      <c r="AI5969">
        <v>96.904967658690396</v>
      </c>
      <c r="AJ5969">
        <v>102.900874667349</v>
      </c>
      <c r="AK5969">
        <v>9.2334650262815892</v>
      </c>
    </row>
    <row r="5970" spans="1:37" x14ac:dyDescent="0.2">
      <c r="A5970" t="str">
        <f>"20200111153807136"</f>
        <v>20200111153807136</v>
      </c>
      <c r="B5970" t="str">
        <f>"1578728287129256"</f>
        <v>1578728287129256</v>
      </c>
      <c r="C5970" t="s">
        <v>37</v>
      </c>
      <c r="D5970">
        <v>5.6441910000000002</v>
      </c>
      <c r="E5970">
        <v>0.48525370000000001</v>
      </c>
      <c r="F5970" t="s">
        <v>39</v>
      </c>
      <c r="G5970">
        <v>-189.41149999999999</v>
      </c>
      <c r="H5970" s="1">
        <v>-4.2115339999999999E-6</v>
      </c>
      <c r="I5970">
        <v>-30.793379999999999</v>
      </c>
      <c r="J5970">
        <v>-189.31209999999999</v>
      </c>
      <c r="K5970">
        <v>1.1100589999999999</v>
      </c>
      <c r="L5970">
        <v>-40.172420000000002</v>
      </c>
      <c r="M5970">
        <v>0.209205899999999</v>
      </c>
      <c r="N5970">
        <v>0</v>
      </c>
      <c r="O5970">
        <v>0.97777389999999997</v>
      </c>
      <c r="P5970">
        <v>3.1397950000000001E-2</v>
      </c>
      <c r="Q5970">
        <v>1.8656699999999998E-2</v>
      </c>
      <c r="R5970">
        <v>0.99933280000000002</v>
      </c>
      <c r="S5970">
        <v>-1.48467999999999E-2</v>
      </c>
      <c r="T5970">
        <v>-0.34616149999999901</v>
      </c>
      <c r="U5970">
        <v>3.0089109999999999</v>
      </c>
      <c r="V5970">
        <v>-0.17879300000000001</v>
      </c>
      <c r="W5970">
        <v>2.9901170000000001E-2</v>
      </c>
      <c r="X5970">
        <v>0.98343219999999998</v>
      </c>
      <c r="Y5970">
        <v>-0.2140021</v>
      </c>
      <c r="Z5970">
        <v>-0.1091801</v>
      </c>
      <c r="AA5970">
        <v>0.97071249999999998</v>
      </c>
      <c r="AB5970">
        <v>28</v>
      </c>
      <c r="AC5970">
        <v>-9.9400000000002806E-2</v>
      </c>
      <c r="AD5970">
        <v>-1.1100632115339999</v>
      </c>
      <c r="AE5970">
        <v>9.3790399999999998</v>
      </c>
      <c r="AF5970">
        <v>-2.0310895483408999</v>
      </c>
      <c r="AG5970">
        <v>-1.1100632115339999</v>
      </c>
      <c r="AH5970">
        <v>9.0242614150766407</v>
      </c>
      <c r="AI5970">
        <v>96.843154687859595</v>
      </c>
      <c r="AJ5970">
        <v>102.684195029222</v>
      </c>
      <c r="AK5970">
        <v>9.3163758605276197</v>
      </c>
    </row>
    <row r="5971" spans="1:37" x14ac:dyDescent="0.2">
      <c r="A5971" t="str">
        <f>"20200111153807158"</f>
        <v>20200111153807158</v>
      </c>
      <c r="B5971" t="str">
        <f>"1578728287148776"</f>
        <v>1578728287148776</v>
      </c>
      <c r="C5971" t="s">
        <v>37</v>
      </c>
      <c r="D5971">
        <v>5.687627</v>
      </c>
      <c r="E5971">
        <v>0.4850757</v>
      </c>
      <c r="F5971" t="s">
        <v>39</v>
      </c>
      <c r="G5971">
        <v>-189.38910000000001</v>
      </c>
      <c r="H5971" s="1">
        <v>-4.361052E-6</v>
      </c>
      <c r="I5971">
        <v>-30.4541</v>
      </c>
      <c r="J5971">
        <v>-189.262</v>
      </c>
      <c r="K5971">
        <v>1.110042</v>
      </c>
      <c r="L5971">
        <v>-39.900300000000001</v>
      </c>
      <c r="M5971">
        <v>0.20201040000000001</v>
      </c>
      <c r="N5971">
        <v>0</v>
      </c>
      <c r="O5971">
        <v>0.97928680000000001</v>
      </c>
      <c r="P5971">
        <v>2.7929320000000001E-2</v>
      </c>
      <c r="Q5971">
        <v>1.9324689999999999E-2</v>
      </c>
      <c r="R5971">
        <v>0.99942310000000001</v>
      </c>
      <c r="S5971">
        <v>-2.3834230000000001E-2</v>
      </c>
      <c r="T5971">
        <v>-0.34372009999999997</v>
      </c>
      <c r="U5971">
        <v>3.0091860000000001</v>
      </c>
      <c r="V5971">
        <v>-0.1749772</v>
      </c>
      <c r="W5971">
        <v>3.0559380000000001E-2</v>
      </c>
      <c r="X5971">
        <v>0.98409809999999998</v>
      </c>
      <c r="Y5971">
        <v>-0.2097175</v>
      </c>
      <c r="Z5971">
        <v>-0.1087183</v>
      </c>
      <c r="AA5971">
        <v>0.97169899999999998</v>
      </c>
      <c r="AB5971">
        <v>28</v>
      </c>
      <c r="AC5971">
        <v>-0.12710000000001201</v>
      </c>
      <c r="AD5971">
        <v>-1.1100463610519999</v>
      </c>
      <c r="AE5971">
        <v>9.4461999999999993</v>
      </c>
      <c r="AF5971">
        <v>-2.00520504449059</v>
      </c>
      <c r="AG5971">
        <v>-1.1100463610519999</v>
      </c>
      <c r="AH5971">
        <v>9.1000939574854502</v>
      </c>
      <c r="AI5971">
        <v>96.7932982666904</v>
      </c>
      <c r="AJ5971">
        <v>102.426540904859</v>
      </c>
      <c r="AK5971">
        <v>9.3842826166520794</v>
      </c>
    </row>
    <row r="5972" spans="1:37" x14ac:dyDescent="0.2">
      <c r="A5972" t="str">
        <f>"20200111153807204"</f>
        <v>20200111153807204</v>
      </c>
      <c r="B5972" t="str">
        <f>"1578728287199529"</f>
        <v>1578728287199529</v>
      </c>
      <c r="C5972" t="s">
        <v>37</v>
      </c>
      <c r="D5972">
        <v>5.6157309999999896</v>
      </c>
      <c r="E5972">
        <v>0.48479709999999998</v>
      </c>
      <c r="F5972" t="s">
        <v>39</v>
      </c>
      <c r="G5972">
        <v>-189.3775</v>
      </c>
      <c r="H5972" s="1">
        <v>-2.5245229999999999E-7</v>
      </c>
      <c r="I5972">
        <v>-30.096779999999999</v>
      </c>
      <c r="J5972">
        <v>-189.1669</v>
      </c>
      <c r="K5972">
        <v>1.1099589999999999</v>
      </c>
      <c r="L5972">
        <v>-39.34845</v>
      </c>
      <c r="M5972">
        <v>0.18744349999999901</v>
      </c>
      <c r="N5972">
        <v>0</v>
      </c>
      <c r="O5972">
        <v>0.98218289999999997</v>
      </c>
      <c r="P5972">
        <v>2.2159649999999999E-2</v>
      </c>
      <c r="Q5972">
        <v>1.8985930000000002E-2</v>
      </c>
      <c r="R5972">
        <v>0.99957410000000002</v>
      </c>
      <c r="S5972">
        <v>-3.5461430000000002E-2</v>
      </c>
      <c r="T5972">
        <v>-0.34074090000000001</v>
      </c>
      <c r="U5972">
        <v>3.0093079999999999</v>
      </c>
      <c r="V5972">
        <v>-0.16602169999999999</v>
      </c>
      <c r="W5972">
        <v>3.0109919999999998E-2</v>
      </c>
      <c r="X5972">
        <v>0.98566229999999999</v>
      </c>
      <c r="Y5972">
        <v>-0.19893910000000001</v>
      </c>
      <c r="Z5972">
        <v>-0.108394899999999</v>
      </c>
      <c r="AA5972">
        <v>0.97399880000000005</v>
      </c>
      <c r="AB5972">
        <v>28</v>
      </c>
      <c r="AC5972">
        <v>-0.21059999999999901</v>
      </c>
      <c r="AD5972">
        <v>-1.1099592524523001</v>
      </c>
      <c r="AE5972">
        <v>9.2516700000000007</v>
      </c>
      <c r="AF5972">
        <v>-1.9136590207654001</v>
      </c>
      <c r="AG5972">
        <v>-1.1099592524523001</v>
      </c>
      <c r="AH5972">
        <v>8.9198548449404207</v>
      </c>
      <c r="AI5972">
        <v>96.936989790620402</v>
      </c>
      <c r="AJ5972">
        <v>102.10864545247399</v>
      </c>
      <c r="AK5972">
        <v>9.1900985220327396</v>
      </c>
    </row>
    <row r="5973" spans="1:37" x14ac:dyDescent="0.2">
      <c r="A5973" t="str">
        <f>"20200111153807224"</f>
        <v>20200111153807224</v>
      </c>
      <c r="B5973" t="str">
        <f>"1578728287219048"</f>
        <v>1578728287219048</v>
      </c>
      <c r="C5973" t="s">
        <v>37</v>
      </c>
      <c r="D5973">
        <v>5.6888199999999998</v>
      </c>
      <c r="E5973">
        <v>0.48468149999999999</v>
      </c>
      <c r="F5973" t="s">
        <v>39</v>
      </c>
      <c r="G5973">
        <v>-189.35130000000001</v>
      </c>
      <c r="H5973" s="1">
        <v>-4.9036659999999996E-7</v>
      </c>
      <c r="I5973">
        <v>-29.49239</v>
      </c>
      <c r="J5973">
        <v>-189.12700000000001</v>
      </c>
      <c r="K5973">
        <v>1.1099030000000001</v>
      </c>
      <c r="L5973">
        <v>-39.10181</v>
      </c>
      <c r="M5973">
        <v>0.1809711</v>
      </c>
      <c r="N5973">
        <v>0</v>
      </c>
      <c r="O5973">
        <v>0.98339789999999905</v>
      </c>
      <c r="P5973">
        <v>1.89912E-2</v>
      </c>
      <c r="Q5973">
        <v>1.8358030000000001E-2</v>
      </c>
      <c r="R5973">
        <v>0.99965110000000001</v>
      </c>
      <c r="S5973">
        <v>-5.628967E-2</v>
      </c>
      <c r="T5973">
        <v>-0.33886119999999997</v>
      </c>
      <c r="U5973">
        <v>3.008972</v>
      </c>
      <c r="V5973">
        <v>-0.16264300000000001</v>
      </c>
      <c r="W5973">
        <v>2.940357E-2</v>
      </c>
      <c r="X5973">
        <v>0.98624679999999998</v>
      </c>
      <c r="Y5973">
        <v>-0.19922790000000001</v>
      </c>
      <c r="Z5973">
        <v>-0.10800989999999901</v>
      </c>
      <c r="AA5973">
        <v>0.97398259999999903</v>
      </c>
      <c r="AB5973">
        <v>28</v>
      </c>
      <c r="AC5973">
        <v>-0.224299999999999</v>
      </c>
      <c r="AD5973">
        <v>-1.1099034903666001</v>
      </c>
      <c r="AE5973">
        <v>9.6094199999999894</v>
      </c>
      <c r="AF5973">
        <v>-1.9339913173836201</v>
      </c>
      <c r="AG5973">
        <v>-1.1099034903666001</v>
      </c>
      <c r="AH5973">
        <v>9.2863116022676699</v>
      </c>
      <c r="AI5973">
        <v>96.673818341830398</v>
      </c>
      <c r="AJ5973">
        <v>101.764404257273</v>
      </c>
      <c r="AK5973">
        <v>9.5502770299114506</v>
      </c>
    </row>
    <row r="5974" spans="1:37" x14ac:dyDescent="0.2">
      <c r="A5974" t="str">
        <f>"20200111153807247"</f>
        <v>20200111153807247</v>
      </c>
      <c r="B5974" t="str">
        <f>"1578728287239544"</f>
        <v>1578728287239544</v>
      </c>
      <c r="C5974" t="s">
        <v>37</v>
      </c>
      <c r="D5974">
        <v>5.352805</v>
      </c>
      <c r="E5974">
        <v>0.4845428</v>
      </c>
      <c r="F5974" t="s">
        <v>39</v>
      </c>
      <c r="G5974">
        <v>-189.34610000000001</v>
      </c>
      <c r="H5974" s="1">
        <v>-5.9061399999999997E-7</v>
      </c>
      <c r="I5974">
        <v>-29.260850000000001</v>
      </c>
      <c r="J5974">
        <v>-189.08359999999999</v>
      </c>
      <c r="K5974">
        <v>1.1098239999999999</v>
      </c>
      <c r="L5974">
        <v>-38.820709999999998</v>
      </c>
      <c r="M5974">
        <v>0.17363509999999999</v>
      </c>
      <c r="N5974">
        <v>0</v>
      </c>
      <c r="O5974">
        <v>0.98472230000000005</v>
      </c>
      <c r="P5974">
        <v>1.3803370000000001E-2</v>
      </c>
      <c r="Q5974">
        <v>1.747394E-2</v>
      </c>
      <c r="R5974">
        <v>0.99975199999999997</v>
      </c>
      <c r="S5974">
        <v>-6.6970829999999995E-2</v>
      </c>
      <c r="T5974">
        <v>-0.33931640000000002</v>
      </c>
      <c r="U5974">
        <v>3.0085449999999998</v>
      </c>
      <c r="V5974">
        <v>-0.160393799999999</v>
      </c>
      <c r="W5974">
        <v>2.8378799999999999E-2</v>
      </c>
      <c r="X5974">
        <v>0.98664499999999999</v>
      </c>
      <c r="Y5974">
        <v>-0.19537969999999999</v>
      </c>
      <c r="Z5974">
        <v>-0.108429399999999</v>
      </c>
      <c r="AA5974">
        <v>0.9747152</v>
      </c>
      <c r="AB5974">
        <v>28</v>
      </c>
      <c r="AC5974">
        <v>-0.262500000000017</v>
      </c>
      <c r="AD5974">
        <v>-1.1098245906140001</v>
      </c>
      <c r="AE5974">
        <v>9.5598599999999898</v>
      </c>
      <c r="AF5974">
        <v>-1.8930880127106999</v>
      </c>
      <c r="AG5974">
        <v>-1.1098245906140001</v>
      </c>
      <c r="AH5974">
        <v>9.2445394928497802</v>
      </c>
      <c r="AI5974">
        <v>96.707813034013697</v>
      </c>
      <c r="AJ5974">
        <v>101.57297673996</v>
      </c>
      <c r="AK5974">
        <v>9.5014211190042399</v>
      </c>
    </row>
    <row r="5975" spans="1:37" x14ac:dyDescent="0.2">
      <c r="A5975" t="str">
        <f>"20200111153807269"</f>
        <v>20200111153807269</v>
      </c>
      <c r="B5975" t="str">
        <f>"1578728287259063"</f>
        <v>1578728287259063</v>
      </c>
      <c r="C5975" t="s">
        <v>37</v>
      </c>
      <c r="D5975">
        <v>5.9974460000000001</v>
      </c>
      <c r="E5975">
        <v>0.48439959999999999</v>
      </c>
      <c r="F5975" t="s">
        <v>39</v>
      </c>
      <c r="G5975">
        <v>-189.3552</v>
      </c>
      <c r="H5975" s="1">
        <v>-6.8936319999999898E-7</v>
      </c>
      <c r="I5975">
        <v>-29.026900000000001</v>
      </c>
      <c r="J5975">
        <v>-189.04499999999999</v>
      </c>
      <c r="K5975">
        <v>1.1097269999999999</v>
      </c>
      <c r="L5975">
        <v>-38.559539999999998</v>
      </c>
      <c r="M5975">
        <v>0.16688439999999999</v>
      </c>
      <c r="N5975">
        <v>0</v>
      </c>
      <c r="O5975">
        <v>0.98589179999999998</v>
      </c>
      <c r="P5975">
        <v>9.0370899999999994E-3</v>
      </c>
      <c r="Q5975">
        <v>1.6546660000000001E-2</v>
      </c>
      <c r="R5975">
        <v>0.99982229999999905</v>
      </c>
      <c r="S5975">
        <v>-8.3419800000000002E-2</v>
      </c>
      <c r="T5975">
        <v>-0.34084579999999998</v>
      </c>
      <c r="U5975">
        <v>3.0078429999999998</v>
      </c>
      <c r="V5975">
        <v>-0.15832070000000001</v>
      </c>
      <c r="W5975">
        <v>2.7283450000000001E-2</v>
      </c>
      <c r="X5975">
        <v>0.98701070000000002</v>
      </c>
      <c r="Y5975">
        <v>-0.19399059999999901</v>
      </c>
      <c r="Z5975">
        <v>-0.10914160000000001</v>
      </c>
      <c r="AA5975">
        <v>0.97491319999999904</v>
      </c>
      <c r="AB5975">
        <v>28</v>
      </c>
      <c r="AC5975">
        <v>-0.31020000000000802</v>
      </c>
      <c r="AD5975">
        <v>-1.1097276893632</v>
      </c>
      <c r="AE5975">
        <v>9.5326400000000007</v>
      </c>
      <c r="AF5975">
        <v>-1.87149504150608</v>
      </c>
      <c r="AG5975">
        <v>-1.1097276893632</v>
      </c>
      <c r="AH5975">
        <v>9.2223148910012203</v>
      </c>
      <c r="AI5975">
        <v>96.725658253806699</v>
      </c>
      <c r="AJ5975">
        <v>101.471324717036</v>
      </c>
      <c r="AK5975">
        <v>9.4754989939160499</v>
      </c>
    </row>
    <row r="5976" spans="1:37" x14ac:dyDescent="0.2">
      <c r="A5976" t="str">
        <f>"20200111153807293"</f>
        <v>20200111153807293</v>
      </c>
      <c r="B5976" t="str">
        <f>"1578728287289322"</f>
        <v>1578728287289322</v>
      </c>
      <c r="C5976" t="s">
        <v>37</v>
      </c>
      <c r="D5976">
        <v>5.8745229999999999</v>
      </c>
      <c r="E5976">
        <v>0.48424040000000002</v>
      </c>
      <c r="F5976" t="s">
        <v>39</v>
      </c>
      <c r="G5976">
        <v>-189.36369999999999</v>
      </c>
      <c r="H5976" s="1">
        <v>-7.7566590000000001E-7</v>
      </c>
      <c r="I5976">
        <v>-28.822220000000002</v>
      </c>
      <c r="J5976">
        <v>-189.0051</v>
      </c>
      <c r="K5976">
        <v>1.1095969999999999</v>
      </c>
      <c r="L5976">
        <v>-38.276609999999998</v>
      </c>
      <c r="M5976">
        <v>0.15968599999999999</v>
      </c>
      <c r="N5976">
        <v>0</v>
      </c>
      <c r="O5976">
        <v>0.98708689999999999</v>
      </c>
      <c r="P5976">
        <v>3.7801470000000002E-3</v>
      </c>
      <c r="Q5976">
        <v>1.5772339999999999E-2</v>
      </c>
      <c r="R5976">
        <v>0.99986849999999905</v>
      </c>
      <c r="S5976">
        <v>-9.8419190000000004E-2</v>
      </c>
      <c r="T5976">
        <v>-0.34270980000000001</v>
      </c>
      <c r="U5976">
        <v>3.0071110000000001</v>
      </c>
      <c r="V5976">
        <v>-0.1562904</v>
      </c>
      <c r="W5976">
        <v>2.628722E-2</v>
      </c>
      <c r="X5976">
        <v>0.9873613</v>
      </c>
      <c r="Y5976">
        <v>-0.19169420000000001</v>
      </c>
      <c r="Z5976">
        <v>-0.109976399999999</v>
      </c>
      <c r="AA5976">
        <v>0.97527350000000002</v>
      </c>
      <c r="AB5976">
        <v>28</v>
      </c>
      <c r="AC5976">
        <v>-0.35859999999999498</v>
      </c>
      <c r="AD5976">
        <v>-1.1095977756658999</v>
      </c>
      <c r="AE5976">
        <v>9.4543899999999894</v>
      </c>
      <c r="AF5976">
        <v>-1.83856380932512</v>
      </c>
      <c r="AG5976">
        <v>-1.1095977756658999</v>
      </c>
      <c r="AH5976">
        <v>9.1499311639365501</v>
      </c>
      <c r="AI5976">
        <v>96.780182466346801</v>
      </c>
      <c r="AJ5976">
        <v>101.361569077032</v>
      </c>
      <c r="AK5976">
        <v>9.3985511867255394</v>
      </c>
    </row>
    <row r="5977" spans="1:37" x14ac:dyDescent="0.2">
      <c r="A5977" t="str">
        <f>"20200111153807313"</f>
        <v>20200111153807313</v>
      </c>
      <c r="B5977" t="str">
        <f>"1578728287308840"</f>
        <v>1578728287308840</v>
      </c>
      <c r="C5977" t="s">
        <v>37</v>
      </c>
      <c r="D5977">
        <v>5.995787</v>
      </c>
      <c r="E5977">
        <v>0.48415010000000003</v>
      </c>
      <c r="F5977" t="s">
        <v>39</v>
      </c>
      <c r="G5977">
        <v>-189.3775</v>
      </c>
      <c r="H5977" s="1">
        <v>-8.8010580000000002E-7</v>
      </c>
      <c r="I5977">
        <v>-28.573070000000001</v>
      </c>
      <c r="J5977">
        <v>-188.97020000000001</v>
      </c>
      <c r="K5977">
        <v>1.1094489999999999</v>
      </c>
      <c r="L5977">
        <v>-38.017609999999998</v>
      </c>
      <c r="M5977">
        <v>0.15323970000000001</v>
      </c>
      <c r="N5977">
        <v>0</v>
      </c>
      <c r="O5977">
        <v>0.98811190000000004</v>
      </c>
      <c r="P5977">
        <v>-1.0718660000000001E-3</v>
      </c>
      <c r="Q5977">
        <v>1.446748E-2</v>
      </c>
      <c r="R5977">
        <v>0.99989470000000003</v>
      </c>
      <c r="S5977">
        <v>-0.11537169999999999</v>
      </c>
      <c r="T5977">
        <v>-0.34376469999999998</v>
      </c>
      <c r="U5977">
        <v>3.006256</v>
      </c>
      <c r="V5977">
        <v>-0.15461359999999999</v>
      </c>
      <c r="W5977">
        <v>2.4748010000000001E-2</v>
      </c>
      <c r="X5977">
        <v>0.98766500000000002</v>
      </c>
      <c r="Y5977">
        <v>-0.1907877</v>
      </c>
      <c r="Z5977">
        <v>-0.1105141</v>
      </c>
      <c r="AA5977">
        <v>0.975390599999999</v>
      </c>
      <c r="AB5977">
        <v>28</v>
      </c>
      <c r="AC5977">
        <v>-0.407299999999992</v>
      </c>
      <c r="AD5977">
        <v>-1.1094498801057999</v>
      </c>
      <c r="AE5977">
        <v>9.4445399999999893</v>
      </c>
      <c r="AF5977">
        <v>-1.82474422293104</v>
      </c>
      <c r="AG5977">
        <v>-1.1094498801057999</v>
      </c>
      <c r="AH5977">
        <v>9.1446007102872002</v>
      </c>
      <c r="AI5977">
        <v>96.785005888717805</v>
      </c>
      <c r="AJ5977">
        <v>101.284772236432</v>
      </c>
      <c r="AK5977">
        <v>9.3906492143073894</v>
      </c>
    </row>
    <row r="5978" spans="1:37" x14ac:dyDescent="0.2">
      <c r="A5978" t="str">
        <f>"20200111153807338"</f>
        <v>20200111153807338</v>
      </c>
      <c r="B5978" t="str">
        <f>"1578728287329336"</f>
        <v>1578728287329336</v>
      </c>
      <c r="C5978" t="s">
        <v>37</v>
      </c>
      <c r="D5978">
        <v>5.7060170000000001</v>
      </c>
      <c r="E5978">
        <v>0.48407869999999997</v>
      </c>
      <c r="F5978" t="s">
        <v>39</v>
      </c>
      <c r="G5978">
        <v>-189.38810000000001</v>
      </c>
      <c r="H5978" s="1">
        <v>-9.5374500000000005E-7</v>
      </c>
      <c r="I5978">
        <v>-28.397029999999901</v>
      </c>
      <c r="J5978">
        <v>-188.9324</v>
      </c>
      <c r="K5978">
        <v>1.1092489999999999</v>
      </c>
      <c r="L5978">
        <v>-37.723750000000003</v>
      </c>
      <c r="M5978">
        <v>0.146125</v>
      </c>
      <c r="N5978">
        <v>0</v>
      </c>
      <c r="O5978">
        <v>0.98919369999999995</v>
      </c>
      <c r="P5978">
        <v>-7.1402649999999998E-3</v>
      </c>
      <c r="Q5978">
        <v>1.427198E-2</v>
      </c>
      <c r="R5978">
        <v>0.99987269999999995</v>
      </c>
      <c r="S5978">
        <v>-0.13052369999999999</v>
      </c>
      <c r="T5978">
        <v>-0.34655979999999997</v>
      </c>
      <c r="U5978">
        <v>3.005188</v>
      </c>
      <c r="V5978">
        <v>-0.15348410000000001</v>
      </c>
      <c r="W5978">
        <v>2.4243669999999998E-2</v>
      </c>
      <c r="X5978">
        <v>0.9878536</v>
      </c>
      <c r="Y5978">
        <v>-0.188641</v>
      </c>
      <c r="Z5978">
        <v>-0.111636999999999</v>
      </c>
      <c r="AA5978">
        <v>0.9756802</v>
      </c>
      <c r="AB5978">
        <v>28</v>
      </c>
      <c r="AC5978">
        <v>-0.45570000000000699</v>
      </c>
      <c r="AD5978">
        <v>-1.109249953745</v>
      </c>
      <c r="AE5978">
        <v>9.3267199999999999</v>
      </c>
      <c r="AF5978">
        <v>-1.7885340506666301</v>
      </c>
      <c r="AG5978">
        <v>-1.109249953745</v>
      </c>
      <c r="AH5978">
        <v>9.0325394747886492</v>
      </c>
      <c r="AI5978">
        <v>96.869152620420607</v>
      </c>
      <c r="AJ5978">
        <v>101.20026291578</v>
      </c>
      <c r="AK5978">
        <v>9.2744842915330103</v>
      </c>
    </row>
    <row r="5979" spans="1:37" x14ac:dyDescent="0.2">
      <c r="A5979" t="str">
        <f>"20200111153807360"</f>
        <v>20200111153807360</v>
      </c>
      <c r="B5979" t="str">
        <f>"1578728287348872"</f>
        <v>1578728287348872</v>
      </c>
      <c r="C5979" t="s">
        <v>37</v>
      </c>
      <c r="D5979">
        <v>5.950494</v>
      </c>
      <c r="E5979">
        <v>0.4840081</v>
      </c>
      <c r="F5979" t="s">
        <v>39</v>
      </c>
      <c r="G5979">
        <v>-189.40960000000001</v>
      </c>
      <c r="H5979" s="1">
        <v>-1.074651E-6</v>
      </c>
      <c r="I5979">
        <v>-28.106309999999901</v>
      </c>
      <c r="J5979">
        <v>-188.8997</v>
      </c>
      <c r="K5979">
        <v>1.10904</v>
      </c>
      <c r="L5979">
        <v>-37.456209999999999</v>
      </c>
      <c r="M5979">
        <v>0.13988539999999999</v>
      </c>
      <c r="N5979">
        <v>0</v>
      </c>
      <c r="O5979">
        <v>0.99009999999999998</v>
      </c>
      <c r="P5979">
        <v>-1.286285E-2</v>
      </c>
      <c r="Q5979">
        <v>1.502773E-2</v>
      </c>
      <c r="R5979">
        <v>0.99980429999999998</v>
      </c>
      <c r="S5979">
        <v>-0.14904790000000001</v>
      </c>
      <c r="T5979">
        <v>-0.3465048</v>
      </c>
      <c r="U5979">
        <v>3.0042719999999998</v>
      </c>
      <c r="V5979">
        <v>-0.15290309999999999</v>
      </c>
      <c r="W5979">
        <v>2.468509E-2</v>
      </c>
      <c r="X5979">
        <v>0.9879329</v>
      </c>
      <c r="Y5979">
        <v>-0.18846470000000001</v>
      </c>
      <c r="Z5979">
        <v>-0.1117937</v>
      </c>
      <c r="AA5979">
        <v>0.97569629999999996</v>
      </c>
      <c r="AB5979">
        <v>28</v>
      </c>
      <c r="AC5979">
        <v>-0.50990000000001601</v>
      </c>
      <c r="AD5979">
        <v>-1.109041074651</v>
      </c>
      <c r="AE5979">
        <v>9.3498999999999999</v>
      </c>
      <c r="AF5979">
        <v>-1.78780887441091</v>
      </c>
      <c r="AG5979">
        <v>-1.109041074651</v>
      </c>
      <c r="AH5979">
        <v>9.0595382577813197</v>
      </c>
      <c r="AI5979">
        <v>96.848463567002398</v>
      </c>
      <c r="AJ5979">
        <v>101.16331035011601</v>
      </c>
      <c r="AK5979">
        <v>9.3006164376824501</v>
      </c>
    </row>
    <row r="5980" spans="1:37" x14ac:dyDescent="0.2">
      <c r="A5980" t="str">
        <f>"20200111153807383"</f>
        <v>20200111153807383</v>
      </c>
      <c r="B5980" t="str">
        <f>"1578728287379112"</f>
        <v>1578728287379112</v>
      </c>
      <c r="C5980" t="s">
        <v>37</v>
      </c>
      <c r="D5980">
        <v>5.7455780000000001</v>
      </c>
      <c r="E5980">
        <v>0.48394009999999998</v>
      </c>
      <c r="F5980" t="s">
        <v>39</v>
      </c>
      <c r="G5980">
        <v>-189.43520000000001</v>
      </c>
      <c r="H5980" s="1">
        <v>-1.2139060000000001E-6</v>
      </c>
      <c r="I5980">
        <v>-27.771100000000001</v>
      </c>
      <c r="J5980">
        <v>-188.86709999999999</v>
      </c>
      <c r="K5980">
        <v>1.1088</v>
      </c>
      <c r="L5980">
        <v>-37.177309999999999</v>
      </c>
      <c r="M5980">
        <v>0.1336746</v>
      </c>
      <c r="N5980">
        <v>0</v>
      </c>
      <c r="O5980">
        <v>0.99096240000000002</v>
      </c>
      <c r="P5980">
        <v>-1.7890730000000001E-2</v>
      </c>
      <c r="Q5980">
        <v>1.587216E-2</v>
      </c>
      <c r="R5980">
        <v>0.99971399999999999</v>
      </c>
      <c r="S5980">
        <v>-0.16609189999999999</v>
      </c>
      <c r="T5980">
        <v>-0.34394559999999902</v>
      </c>
      <c r="U5980">
        <v>3.0036320000000001</v>
      </c>
      <c r="V5980">
        <v>-0.1516682</v>
      </c>
      <c r="W5980">
        <v>2.5194669999999999E-2</v>
      </c>
      <c r="X5980">
        <v>0.9881103</v>
      </c>
      <c r="Y5980">
        <v>-0.18784319999999999</v>
      </c>
      <c r="Z5980">
        <v>-0.1111384</v>
      </c>
      <c r="AA5980">
        <v>0.97589099999999995</v>
      </c>
      <c r="AB5980">
        <v>28</v>
      </c>
      <c r="AC5980">
        <v>-0.56810000000001504</v>
      </c>
      <c r="AD5980">
        <v>-1.1088012139059999</v>
      </c>
      <c r="AE5980">
        <v>9.4062099999999909</v>
      </c>
      <c r="AF5980">
        <v>-1.79559037187597</v>
      </c>
      <c r="AG5980">
        <v>-1.1088012139059999</v>
      </c>
      <c r="AH5980">
        <v>9.1195744277185895</v>
      </c>
      <c r="AI5980">
        <v>96.802915026482907</v>
      </c>
      <c r="AJ5980">
        <v>101.138720014169</v>
      </c>
      <c r="AK5980">
        <v>9.3605674324921093</v>
      </c>
    </row>
    <row r="5981" spans="1:37" x14ac:dyDescent="0.2">
      <c r="A5981" t="str">
        <f>"20200111153807405"</f>
        <v>20200111153807405</v>
      </c>
      <c r="B5981" t="str">
        <f>"1578728287398631"</f>
        <v>1578728287398631</v>
      </c>
      <c r="C5981" t="s">
        <v>37</v>
      </c>
      <c r="D5981">
        <v>5.8033190000000001</v>
      </c>
      <c r="E5981">
        <v>0.48393649999999999</v>
      </c>
      <c r="F5981" t="s">
        <v>39</v>
      </c>
      <c r="G5981">
        <v>-189.45820000000001</v>
      </c>
      <c r="H5981" s="1">
        <v>-1.3682249999999999E-6</v>
      </c>
      <c r="I5981">
        <v>-27.401879999999998</v>
      </c>
      <c r="J5981">
        <v>-188.83629999999999</v>
      </c>
      <c r="K5981">
        <v>1.1085879999999999</v>
      </c>
      <c r="L5981">
        <v>-36.902470000000001</v>
      </c>
      <c r="M5981">
        <v>0.1277982</v>
      </c>
      <c r="N5981">
        <v>0</v>
      </c>
      <c r="O5981">
        <v>0.99174189999999995</v>
      </c>
      <c r="P5981">
        <v>-2.2252290000000001E-2</v>
      </c>
      <c r="Q5981">
        <v>1.642617E-2</v>
      </c>
      <c r="R5981">
        <v>0.99961749999999905</v>
      </c>
      <c r="S5981">
        <v>-0.181594799999999</v>
      </c>
      <c r="T5981">
        <v>-0.34062500000000001</v>
      </c>
      <c r="U5981">
        <v>3.0030209999999999</v>
      </c>
      <c r="V5981">
        <v>-0.150111299999999</v>
      </c>
      <c r="W5981">
        <v>2.5428719999999998E-2</v>
      </c>
      <c r="X5981">
        <v>0.98834200000000005</v>
      </c>
      <c r="Y5981">
        <v>-0.18706</v>
      </c>
      <c r="Z5981">
        <v>-0.11022410000000001</v>
      </c>
      <c r="AA5981">
        <v>0.97614509999999899</v>
      </c>
      <c r="AB5981">
        <v>28</v>
      </c>
      <c r="AC5981">
        <v>-0.62190000000001</v>
      </c>
      <c r="AD5981">
        <v>-1.1085893682250001</v>
      </c>
      <c r="AE5981">
        <v>9.5005900000000008</v>
      </c>
      <c r="AF5981">
        <v>-1.8065361234574999</v>
      </c>
      <c r="AG5981">
        <v>-1.1085893682250001</v>
      </c>
      <c r="AH5981">
        <v>9.2182185713586406</v>
      </c>
      <c r="AI5981">
        <v>96.730674104484805</v>
      </c>
      <c r="AJ5981">
        <v>101.08799062086401</v>
      </c>
      <c r="AK5981">
        <v>9.4587576764625805</v>
      </c>
    </row>
    <row r="5982" spans="1:37" x14ac:dyDescent="0.2">
      <c r="A5982" t="str">
        <f>"20200111153807426"</f>
        <v>20200111153807426</v>
      </c>
      <c r="B5982" t="str">
        <f>"1578728287419127"</f>
        <v>1578728287419127</v>
      </c>
      <c r="C5982" t="s">
        <v>37</v>
      </c>
      <c r="D5982">
        <v>5.8400759999999998</v>
      </c>
      <c r="E5982">
        <v>0.483954</v>
      </c>
      <c r="F5982" t="s">
        <v>39</v>
      </c>
      <c r="G5982">
        <v>-189.47579999999999</v>
      </c>
      <c r="H5982" s="1">
        <v>-1.5087189999999999E-6</v>
      </c>
      <c r="I5982">
        <v>-27.0671</v>
      </c>
      <c r="J5982">
        <v>-188.80719999999999</v>
      </c>
      <c r="K5982">
        <v>1.108379</v>
      </c>
      <c r="L5982">
        <v>-36.63062</v>
      </c>
      <c r="M5982">
        <v>0.12223389999999899</v>
      </c>
      <c r="N5982">
        <v>0</v>
      </c>
      <c r="O5982">
        <v>0.99244739999999998</v>
      </c>
      <c r="P5982">
        <v>-2.644881E-2</v>
      </c>
      <c r="Q5982">
        <v>1.561712E-2</v>
      </c>
      <c r="R5982">
        <v>0.99952819999999998</v>
      </c>
      <c r="S5982">
        <v>-0.19520570000000001</v>
      </c>
      <c r="T5982">
        <v>-0.3384124</v>
      </c>
      <c r="U5982">
        <v>3.00238</v>
      </c>
      <c r="V5982">
        <v>-0.14869589999999999</v>
      </c>
      <c r="W5982">
        <v>2.4291340000000002E-2</v>
      </c>
      <c r="X5982">
        <v>0.98858459999999904</v>
      </c>
      <c r="Y5982">
        <v>-0.18597539999999901</v>
      </c>
      <c r="Z5982">
        <v>-0.1096538</v>
      </c>
      <c r="AA5982">
        <v>0.97641650000000002</v>
      </c>
      <c r="AB5982">
        <v>28</v>
      </c>
      <c r="AC5982">
        <v>-0.66859999999999697</v>
      </c>
      <c r="AD5982">
        <v>-1.108380508719</v>
      </c>
      <c r="AE5982">
        <v>9.5635200000000005</v>
      </c>
      <c r="AF5982">
        <v>-1.8084615644793101</v>
      </c>
      <c r="AG5982">
        <v>-1.108380508719</v>
      </c>
      <c r="AH5982">
        <v>9.2859459720508699</v>
      </c>
      <c r="AI5982">
        <v>96.682304248533598</v>
      </c>
      <c r="AJ5982">
        <v>101.020549340203</v>
      </c>
      <c r="AK5982">
        <v>9.5251159141584694</v>
      </c>
    </row>
    <row r="5983" spans="1:37" x14ac:dyDescent="0.2">
      <c r="A5983" t="str">
        <f>"20200111153807449"</f>
        <v>20200111153807449</v>
      </c>
      <c r="B5983" t="str">
        <f>"1578728287438648"</f>
        <v>1578728287438648</v>
      </c>
      <c r="C5983" t="s">
        <v>37</v>
      </c>
      <c r="D5983">
        <v>6.071555</v>
      </c>
      <c r="E5983">
        <v>0.48394769999999998</v>
      </c>
      <c r="F5983" t="s">
        <v>39</v>
      </c>
      <c r="G5983">
        <v>-189.48349999999999</v>
      </c>
      <c r="H5983" s="1">
        <v>-1.5983269999999999E-6</v>
      </c>
      <c r="I5983">
        <v>-26.855039999999999</v>
      </c>
      <c r="J5983">
        <v>-188.77809999999999</v>
      </c>
      <c r="K5983">
        <v>1.1081669999999999</v>
      </c>
      <c r="L5983">
        <v>-36.346469999999997</v>
      </c>
      <c r="M5983">
        <v>0.116710799999999</v>
      </c>
      <c r="N5983">
        <v>0</v>
      </c>
      <c r="O5983">
        <v>0.99311649999999996</v>
      </c>
      <c r="P5983">
        <v>-3.087463E-2</v>
      </c>
      <c r="Q5983">
        <v>1.598436E-2</v>
      </c>
      <c r="R5983">
        <v>0.99939539999999905</v>
      </c>
      <c r="S5983">
        <v>-0.20762629999999899</v>
      </c>
      <c r="T5983">
        <v>-0.34028959999999903</v>
      </c>
      <c r="U5983">
        <v>3.0012509999999999</v>
      </c>
      <c r="V5983">
        <v>-0.147562</v>
      </c>
      <c r="W5983">
        <v>2.4298489999999999E-2</v>
      </c>
      <c r="X5983">
        <v>0.98875429999999997</v>
      </c>
      <c r="Y5983">
        <v>-0.1845503</v>
      </c>
      <c r="Z5983">
        <v>-0.110407399999999</v>
      </c>
      <c r="AA5983">
        <v>0.97660199999999997</v>
      </c>
      <c r="AB5983">
        <v>28</v>
      </c>
      <c r="AC5983">
        <v>-0.70539999999999703</v>
      </c>
      <c r="AD5983">
        <v>-1.108168598327</v>
      </c>
      <c r="AE5983">
        <v>9.4914299999999994</v>
      </c>
      <c r="AF5983">
        <v>-1.7841976126913299</v>
      </c>
      <c r="AG5983">
        <v>-1.108168598327</v>
      </c>
      <c r="AH5983">
        <v>9.2192436314397295</v>
      </c>
      <c r="AI5983">
        <v>96.730460133627503</v>
      </c>
      <c r="AJ5983">
        <v>100.953031558226</v>
      </c>
      <c r="AK5983">
        <v>9.4554667732108104</v>
      </c>
    </row>
    <row r="5984" spans="1:37" x14ac:dyDescent="0.2">
      <c r="A5984" t="str">
        <f>"20200111153807472"</f>
        <v>20200111153807472</v>
      </c>
      <c r="B5984" t="str">
        <f>"1578728287468904"</f>
        <v>1578728287468904</v>
      </c>
      <c r="C5984" t="s">
        <v>37</v>
      </c>
      <c r="D5984">
        <v>6.1328449999999997</v>
      </c>
      <c r="E5984">
        <v>0.48398869999999999</v>
      </c>
      <c r="F5984" t="s">
        <v>39</v>
      </c>
      <c r="G5984">
        <v>-189.50059999999999</v>
      </c>
      <c r="H5984" s="1">
        <v>-1.7335560000000001E-6</v>
      </c>
      <c r="I5984">
        <v>-26.5327599999999</v>
      </c>
      <c r="J5984">
        <v>-188.74959999999999</v>
      </c>
      <c r="K5984">
        <v>1.107939</v>
      </c>
      <c r="L5984">
        <v>-36.055540000000001</v>
      </c>
      <c r="M5984">
        <v>0.1113866</v>
      </c>
      <c r="N5984">
        <v>0</v>
      </c>
      <c r="O5984">
        <v>0.99373210000000001</v>
      </c>
      <c r="P5984">
        <v>-3.4735160000000001E-2</v>
      </c>
      <c r="Q5984">
        <v>1.7448410000000001E-2</v>
      </c>
      <c r="R5984">
        <v>0.99924419999999903</v>
      </c>
      <c r="S5984">
        <v>-0.22087100000000001</v>
      </c>
      <c r="T5984">
        <v>-0.33880640000000001</v>
      </c>
      <c r="U5984">
        <v>3.000397</v>
      </c>
      <c r="V5984">
        <v>-0.14607790000000001</v>
      </c>
      <c r="W5984">
        <v>2.5402979999999999E-2</v>
      </c>
      <c r="X5984">
        <v>0.98894689999999996</v>
      </c>
      <c r="Y5984">
        <v>-0.1835946</v>
      </c>
      <c r="Z5984">
        <v>-0.11005860000000001</v>
      </c>
      <c r="AA5984">
        <v>0.97682139999999995</v>
      </c>
      <c r="AB5984">
        <v>28</v>
      </c>
      <c r="AC5984">
        <v>-0.751000000000004</v>
      </c>
      <c r="AD5984">
        <v>-1.1079407335560001</v>
      </c>
      <c r="AE5984">
        <v>9.5227799999999991</v>
      </c>
      <c r="AF5984">
        <v>-1.7830961528826099</v>
      </c>
      <c r="AG5984">
        <v>-1.1079407335560001</v>
      </c>
      <c r="AH5984">
        <v>9.2553503473844199</v>
      </c>
      <c r="AI5984">
        <v>96.704157624977398</v>
      </c>
      <c r="AJ5984">
        <v>100.904754993541</v>
      </c>
      <c r="AK5984">
        <v>9.4904412232691406</v>
      </c>
    </row>
    <row r="5985" spans="1:37" x14ac:dyDescent="0.2">
      <c r="A5985" t="str">
        <f>"20200111153807494"</f>
        <v>20200111153807494</v>
      </c>
      <c r="B5985" t="str">
        <f>"1578728287489401"</f>
        <v>1578728287489401</v>
      </c>
      <c r="C5985" t="s">
        <v>37</v>
      </c>
      <c r="D5985">
        <v>6.1367929999999999</v>
      </c>
      <c r="E5985">
        <v>0.48401949999999999</v>
      </c>
      <c r="F5985" t="s">
        <v>39</v>
      </c>
      <c r="G5985">
        <v>-189.5224</v>
      </c>
      <c r="H5985" s="1">
        <v>-1.924196E-6</v>
      </c>
      <c r="I5985">
        <v>-26.079350000000002</v>
      </c>
      <c r="J5985">
        <v>-188.72399999999999</v>
      </c>
      <c r="K5985">
        <v>1.1076969999999999</v>
      </c>
      <c r="L5985">
        <v>-35.782559999999997</v>
      </c>
      <c r="M5985">
        <v>0.10670449999999999</v>
      </c>
      <c r="N5985">
        <v>0</v>
      </c>
      <c r="O5985">
        <v>0.99424959999999996</v>
      </c>
      <c r="P5985">
        <v>-3.8456259999999999E-2</v>
      </c>
      <c r="Q5985">
        <v>1.8206509999999999E-2</v>
      </c>
      <c r="R5985">
        <v>0.99909439999999905</v>
      </c>
      <c r="S5985">
        <v>-0.2323761</v>
      </c>
      <c r="T5985">
        <v>-0.33317540000000001</v>
      </c>
      <c r="U5985">
        <v>3</v>
      </c>
      <c r="V5985">
        <v>-0.14509159999999999</v>
      </c>
      <c r="W5985">
        <v>2.5831509999999999E-2</v>
      </c>
      <c r="X5985">
        <v>0.98908099999999999</v>
      </c>
      <c r="Y5985">
        <v>-0.18271389999999901</v>
      </c>
      <c r="Z5985">
        <v>-0.10834439999999999</v>
      </c>
      <c r="AA5985">
        <v>0.977178199999999</v>
      </c>
      <c r="AB5985">
        <v>28</v>
      </c>
      <c r="AC5985">
        <v>-0.79839999999998601</v>
      </c>
      <c r="AD5985">
        <v>-1.107698924196</v>
      </c>
      <c r="AE5985">
        <v>9.7032099999999897</v>
      </c>
      <c r="AF5985">
        <v>-1.8058838483944299</v>
      </c>
      <c r="AG5985">
        <v>-1.107698924196</v>
      </c>
      <c r="AH5985">
        <v>9.4404107725541504</v>
      </c>
      <c r="AI5985">
        <v>96.574119536673393</v>
      </c>
      <c r="AJ5985">
        <v>100.82944851151601</v>
      </c>
      <c r="AK5985">
        <v>9.6752038187892104</v>
      </c>
    </row>
    <row r="5986" spans="1:37" x14ac:dyDescent="0.2">
      <c r="A5986" t="str">
        <f>"20200111153807515"</f>
        <v>20200111153807515</v>
      </c>
      <c r="B5986" t="str">
        <f>"1578728287508920"</f>
        <v>1578728287508920</v>
      </c>
      <c r="C5986" t="s">
        <v>37</v>
      </c>
      <c r="D5986">
        <v>5.9154210000000003</v>
      </c>
      <c r="E5986">
        <v>0.48403119999999999</v>
      </c>
      <c r="F5986" t="s">
        <v>39</v>
      </c>
      <c r="G5986">
        <v>-189.54050000000001</v>
      </c>
      <c r="H5986" s="1">
        <v>-2.0773130000000001E-6</v>
      </c>
      <c r="I5986">
        <v>-25.714950000000002</v>
      </c>
      <c r="J5986">
        <v>-188.69880000000001</v>
      </c>
      <c r="K5986">
        <v>1.1074329999999999</v>
      </c>
      <c r="L5986">
        <v>-35.503270000000001</v>
      </c>
      <c r="M5986">
        <v>0.1022352</v>
      </c>
      <c r="N5986">
        <v>0</v>
      </c>
      <c r="O5986">
        <v>0.99472280000000002</v>
      </c>
      <c r="P5986">
        <v>-4.1662379999999999E-2</v>
      </c>
      <c r="Q5986">
        <v>1.772172E-2</v>
      </c>
      <c r="R5986">
        <v>0.99897459999999905</v>
      </c>
      <c r="S5986">
        <v>-0.2432404</v>
      </c>
      <c r="T5986">
        <v>-0.33000750000000001</v>
      </c>
      <c r="U5986">
        <v>2.9993590000000001</v>
      </c>
      <c r="V5986">
        <v>-0.14379979999999901</v>
      </c>
      <c r="W5986">
        <v>2.502163E-2</v>
      </c>
      <c r="X5986">
        <v>0.98929040000000001</v>
      </c>
      <c r="Y5986">
        <v>-0.18183769999999999</v>
      </c>
      <c r="Z5986">
        <v>-0.10741969999999899</v>
      </c>
      <c r="AA5986">
        <v>0.97744359999999997</v>
      </c>
      <c r="AB5986">
        <v>29</v>
      </c>
      <c r="AC5986">
        <v>-0.841700000000003</v>
      </c>
      <c r="AD5986">
        <v>-1.1074350773129999</v>
      </c>
      <c r="AE5986">
        <v>9.7883200000000006</v>
      </c>
      <c r="AF5986">
        <v>-1.8149758020554601</v>
      </c>
      <c r="AG5986">
        <v>-1.1074350773129999</v>
      </c>
      <c r="AH5986">
        <v>9.5298832776508</v>
      </c>
      <c r="AI5986">
        <v>96.512393379121704</v>
      </c>
      <c r="AJ5986">
        <v>100.78290509599</v>
      </c>
      <c r="AK5986">
        <v>9.7641807079835701</v>
      </c>
    </row>
    <row r="5987" spans="1:37" x14ac:dyDescent="0.2">
      <c r="A5987" t="str">
        <f>"20200111153807538"</f>
        <v>20200111153807538</v>
      </c>
      <c r="B5987" t="str">
        <f>"1578728287529416"</f>
        <v>1578728287529416</v>
      </c>
      <c r="C5987" t="s">
        <v>37</v>
      </c>
      <c r="D5987">
        <v>6.1374129999999996</v>
      </c>
      <c r="E5987">
        <v>0.484075599999999</v>
      </c>
      <c r="F5987" t="s">
        <v>39</v>
      </c>
      <c r="G5987">
        <v>-189.54249999999999</v>
      </c>
      <c r="H5987" s="1">
        <v>-2.176973E-6</v>
      </c>
      <c r="I5987">
        <v>-25.48179</v>
      </c>
      <c r="J5987">
        <v>-188.67339999999999</v>
      </c>
      <c r="K5987">
        <v>1.1071439999999999</v>
      </c>
      <c r="L5987">
        <v>-35.212339999999998</v>
      </c>
      <c r="M5987">
        <v>9.7931329999999997E-2</v>
      </c>
      <c r="N5987">
        <v>0</v>
      </c>
      <c r="O5987">
        <v>0.99515940000000003</v>
      </c>
      <c r="P5987">
        <v>-4.453857E-2</v>
      </c>
      <c r="Q5987">
        <v>1.6801079999999999E-2</v>
      </c>
      <c r="R5987">
        <v>0.99886640000000004</v>
      </c>
      <c r="S5987">
        <v>-0.25245669999999998</v>
      </c>
      <c r="T5987">
        <v>-0.33134330000000001</v>
      </c>
      <c r="U5987">
        <v>2.9984130000000002</v>
      </c>
      <c r="V5987">
        <v>-0.14234449999999901</v>
      </c>
      <c r="W5987">
        <v>2.3769829999999999E-2</v>
      </c>
      <c r="X5987">
        <v>0.98953179999999996</v>
      </c>
      <c r="Y5987">
        <v>-0.18058840000000001</v>
      </c>
      <c r="Z5987">
        <v>-0.1079532</v>
      </c>
      <c r="AA5987">
        <v>0.9776165</v>
      </c>
      <c r="AB5987">
        <v>29</v>
      </c>
      <c r="AC5987">
        <v>-0.86910000000000298</v>
      </c>
      <c r="AD5987">
        <v>-1.107146176973</v>
      </c>
      <c r="AE5987">
        <v>9.7305499999999991</v>
      </c>
      <c r="AF5987">
        <v>-1.7948279182368601</v>
      </c>
      <c r="AG5987">
        <v>-1.107146176973</v>
      </c>
      <c r="AH5987">
        <v>9.4769414512310792</v>
      </c>
      <c r="AI5987">
        <v>96.548029093731799</v>
      </c>
      <c r="AJ5987">
        <v>100.724172142444</v>
      </c>
      <c r="AK5987">
        <v>9.7087382899803405</v>
      </c>
    </row>
    <row r="5988" spans="1:37" x14ac:dyDescent="0.2">
      <c r="A5988" t="str">
        <f>"20200111153807561"</f>
        <v>20200111153807561</v>
      </c>
      <c r="B5988" t="str">
        <f>"1578728287548938"</f>
        <v>1578728287548938</v>
      </c>
      <c r="C5988" t="s">
        <v>37</v>
      </c>
      <c r="D5988">
        <v>6.141521</v>
      </c>
      <c r="E5988">
        <v>0.48418159999999999</v>
      </c>
      <c r="F5988" t="s">
        <v>39</v>
      </c>
      <c r="G5988">
        <v>-189.53870000000001</v>
      </c>
      <c r="H5988" s="1">
        <v>-2.270818E-6</v>
      </c>
      <c r="I5988">
        <v>-25.26465</v>
      </c>
      <c r="J5988">
        <v>-188.64920000000001</v>
      </c>
      <c r="K5988">
        <v>1.106859</v>
      </c>
      <c r="L5988">
        <v>-34.925049999999999</v>
      </c>
      <c r="M5988">
        <v>9.4062099999999996E-2</v>
      </c>
      <c r="N5988">
        <v>0</v>
      </c>
      <c r="O5988">
        <v>0.99553599999999998</v>
      </c>
      <c r="P5988">
        <v>-4.6662450000000001E-2</v>
      </c>
      <c r="Q5988">
        <v>1.58341E-2</v>
      </c>
      <c r="R5988">
        <v>0.99878519999999904</v>
      </c>
      <c r="S5988">
        <v>-0.26072689999999998</v>
      </c>
      <c r="T5988">
        <v>-0.3336015</v>
      </c>
      <c r="U5988">
        <v>2.9974059999999998</v>
      </c>
      <c r="V5988">
        <v>-0.1405785</v>
      </c>
      <c r="W5988">
        <v>2.248271E-2</v>
      </c>
      <c r="X5988">
        <v>0.98981419999999998</v>
      </c>
      <c r="Y5988">
        <v>-0.1794627</v>
      </c>
      <c r="Z5988">
        <v>-0.1087764</v>
      </c>
      <c r="AA5988">
        <v>0.9777325</v>
      </c>
      <c r="AB5988">
        <v>29</v>
      </c>
      <c r="AC5988">
        <v>-0.88949999999999796</v>
      </c>
      <c r="AD5988">
        <v>-1.1068612708179999</v>
      </c>
      <c r="AE5988">
        <v>9.6603999999999992</v>
      </c>
      <c r="AF5988">
        <v>-1.77120420382167</v>
      </c>
      <c r="AG5988">
        <v>-1.1068612708179999</v>
      </c>
      <c r="AH5988">
        <v>9.4113823790470406</v>
      </c>
      <c r="AI5988">
        <v>96.592978766794104</v>
      </c>
      <c r="AJ5988">
        <v>100.658289679473</v>
      </c>
      <c r="AK5988">
        <v>9.6403539607791195</v>
      </c>
    </row>
    <row r="5989" spans="1:37" x14ac:dyDescent="0.2">
      <c r="A5989" t="str">
        <f>"20200111153807585"</f>
        <v>20200111153807585</v>
      </c>
      <c r="B5989" t="str">
        <f>"1578728287579192"</f>
        <v>1578728287579192</v>
      </c>
      <c r="C5989" t="s">
        <v>37</v>
      </c>
      <c r="D5989">
        <v>5.9027539999999998</v>
      </c>
      <c r="E5989">
        <v>0.4843228</v>
      </c>
      <c r="F5989" t="s">
        <v>39</v>
      </c>
      <c r="G5989">
        <v>-189.52869999999999</v>
      </c>
      <c r="H5989" s="1">
        <v>-2.3707489999999999E-6</v>
      </c>
      <c r="I5989">
        <v>-25.035820000000001</v>
      </c>
      <c r="J5989">
        <v>-188.62479999999999</v>
      </c>
      <c r="K5989">
        <v>1.1065830000000001</v>
      </c>
      <c r="L5989">
        <v>-34.625059999999998</v>
      </c>
      <c r="M5989">
        <v>9.0398969999999995E-2</v>
      </c>
      <c r="N5989">
        <v>0</v>
      </c>
      <c r="O5989">
        <v>0.9958785</v>
      </c>
      <c r="P5989">
        <v>-4.8432570000000001E-2</v>
      </c>
      <c r="Q5989">
        <v>1.592727E-2</v>
      </c>
      <c r="R5989">
        <v>0.99869949999999996</v>
      </c>
      <c r="S5989">
        <v>-0.26649479999999998</v>
      </c>
      <c r="T5989">
        <v>-0.33538849999999998</v>
      </c>
      <c r="U5989">
        <v>2.996521</v>
      </c>
      <c r="V5989">
        <v>-0.13867499999999999</v>
      </c>
      <c r="W5989">
        <v>2.224721E-2</v>
      </c>
      <c r="X5989">
        <v>0.99008799999999997</v>
      </c>
      <c r="Y5989">
        <v>-0.17772950000000001</v>
      </c>
      <c r="Z5989">
        <v>-0.10944859999999999</v>
      </c>
      <c r="AA5989">
        <v>0.97797409999999996</v>
      </c>
      <c r="AB5989">
        <v>29</v>
      </c>
      <c r="AC5989">
        <v>-0.90389999999999204</v>
      </c>
      <c r="AD5989">
        <v>-1.1065853707490001</v>
      </c>
      <c r="AE5989">
        <v>9.5892399999999895</v>
      </c>
      <c r="AF5989">
        <v>-1.7440589198248799</v>
      </c>
      <c r="AG5989">
        <v>-1.1065853707490001</v>
      </c>
      <c r="AH5989">
        <v>9.3449133445450094</v>
      </c>
      <c r="AI5989">
        <v>96.639681983382204</v>
      </c>
      <c r="AJ5989">
        <v>100.57159841863</v>
      </c>
      <c r="AK5989">
        <v>9.5704586157420799</v>
      </c>
    </row>
    <row r="5990" spans="1:37" x14ac:dyDescent="0.2">
      <c r="A5990" t="str">
        <f>"20200111153807605"</f>
        <v>20200111153807605</v>
      </c>
      <c r="B5990" t="str">
        <f>"1578728287599687"</f>
        <v>1578728287599687</v>
      </c>
      <c r="C5990" t="s">
        <v>37</v>
      </c>
      <c r="D5990">
        <v>5.5935559999999898</v>
      </c>
      <c r="E5990">
        <v>0.48443379999999903</v>
      </c>
      <c r="F5990" t="s">
        <v>39</v>
      </c>
      <c r="G5990">
        <v>-189.52109999999999</v>
      </c>
      <c r="H5990" s="1">
        <v>-2.514168E-6</v>
      </c>
      <c r="I5990">
        <v>-24.704639999999898</v>
      </c>
      <c r="J5990">
        <v>-188.60329999999999</v>
      </c>
      <c r="K5990">
        <v>1.1063590000000001</v>
      </c>
      <c r="L5990">
        <v>-34.353819999999999</v>
      </c>
      <c r="M5990">
        <v>8.7339100000000003E-2</v>
      </c>
      <c r="N5990">
        <v>0</v>
      </c>
      <c r="O5990">
        <v>0.99615419999999999</v>
      </c>
      <c r="P5990">
        <v>-4.9983779999999998E-2</v>
      </c>
      <c r="Q5990">
        <v>1.690649E-2</v>
      </c>
      <c r="R5990">
        <v>0.99860689999999996</v>
      </c>
      <c r="S5990">
        <v>-0.27070620000000001</v>
      </c>
      <c r="T5990">
        <v>-0.33420299999999997</v>
      </c>
      <c r="U5990">
        <v>2.9960939999999998</v>
      </c>
      <c r="V5990">
        <v>-0.1371629</v>
      </c>
      <c r="W5990">
        <v>2.2936539999999998E-2</v>
      </c>
      <c r="X5990">
        <v>0.99028289999999997</v>
      </c>
      <c r="Y5990">
        <v>-0.17608570000000001</v>
      </c>
      <c r="Z5990">
        <v>-0.109136699999999</v>
      </c>
      <c r="AA5990">
        <v>0.97830620000000001</v>
      </c>
      <c r="AB5990">
        <v>29</v>
      </c>
      <c r="AC5990">
        <v>-0.91779999999999895</v>
      </c>
      <c r="AD5990">
        <v>-1.1063615141680001</v>
      </c>
      <c r="AE5990">
        <v>9.6491799999999994</v>
      </c>
      <c r="AF5990">
        <v>-1.7344659250929799</v>
      </c>
      <c r="AG5990">
        <v>-1.1063615141680001</v>
      </c>
      <c r="AH5990">
        <v>9.4095490301789102</v>
      </c>
      <c r="AI5990">
        <v>96.595851253819504</v>
      </c>
      <c r="AJ5990">
        <v>100.44411798294099</v>
      </c>
      <c r="AK5990">
        <v>9.6318233370780604</v>
      </c>
    </row>
    <row r="5991" spans="1:37" x14ac:dyDescent="0.2">
      <c r="A5991" t="str">
        <f>"20200111153807627"</f>
        <v>20200111153807627</v>
      </c>
      <c r="B5991" t="str">
        <f>"1578728287619208"</f>
        <v>1578728287619208</v>
      </c>
      <c r="C5991" t="s">
        <v>37</v>
      </c>
      <c r="D5991">
        <v>6.1414470000000003</v>
      </c>
      <c r="E5991">
        <v>0.4845563</v>
      </c>
      <c r="F5991" t="s">
        <v>39</v>
      </c>
      <c r="G5991">
        <v>-189.52500000000001</v>
      </c>
      <c r="H5991" s="1">
        <v>-2.6811890000000002E-6</v>
      </c>
      <c r="I5991">
        <v>-24.313690000000001</v>
      </c>
      <c r="J5991">
        <v>-188.5804</v>
      </c>
      <c r="K5991">
        <v>1.106149</v>
      </c>
      <c r="L5991">
        <v>-34.055109999999999</v>
      </c>
      <c r="M5991">
        <v>8.4236420000000006E-2</v>
      </c>
      <c r="N5991">
        <v>0</v>
      </c>
      <c r="O5991">
        <v>0.99642399999999998</v>
      </c>
      <c r="P5991">
        <v>-5.1263639999999999E-2</v>
      </c>
      <c r="Q5991">
        <v>1.7565460000000001E-2</v>
      </c>
      <c r="R5991">
        <v>0.99853069999999899</v>
      </c>
      <c r="S5991">
        <v>-0.2750397</v>
      </c>
      <c r="T5991">
        <v>-0.33014149999999998</v>
      </c>
      <c r="U5991">
        <v>2.9960019999999998</v>
      </c>
      <c r="V5991">
        <v>-0.13533889999999901</v>
      </c>
      <c r="W5991">
        <v>2.328216E-2</v>
      </c>
      <c r="X5991">
        <v>0.99052580000000001</v>
      </c>
      <c r="Y5991">
        <v>-0.17443910000000001</v>
      </c>
      <c r="Z5991">
        <v>-0.107882399999999</v>
      </c>
      <c r="AA5991">
        <v>0.97874019999999995</v>
      </c>
      <c r="AB5991">
        <v>29</v>
      </c>
      <c r="AC5991">
        <v>-0.94460000000000799</v>
      </c>
      <c r="AD5991">
        <v>-1.106151681189</v>
      </c>
      <c r="AE5991">
        <v>9.7414199999999909</v>
      </c>
      <c r="AF5991">
        <v>-1.7396211363959999</v>
      </c>
      <c r="AG5991">
        <v>-1.106151681189</v>
      </c>
      <c r="AH5991">
        <v>9.5057988068041102</v>
      </c>
      <c r="AI5991">
        <v>96.529940508927098</v>
      </c>
      <c r="AJ5991">
        <v>100.37072884542501</v>
      </c>
      <c r="AK5991">
        <v>9.7267704915573798</v>
      </c>
    </row>
    <row r="5992" spans="1:37" x14ac:dyDescent="0.2">
      <c r="A5992" t="str">
        <f>"20200111153807651"</f>
        <v>20200111153807651</v>
      </c>
      <c r="B5992" t="str">
        <f>"1578728287638727"</f>
        <v>1578728287638727</v>
      </c>
      <c r="C5992" t="s">
        <v>37</v>
      </c>
      <c r="D5992">
        <v>5.937182</v>
      </c>
      <c r="E5992">
        <v>0.4846258</v>
      </c>
      <c r="F5992" t="s">
        <v>39</v>
      </c>
      <c r="G5992">
        <v>-189.5197</v>
      </c>
      <c r="H5992" s="1">
        <v>-2.8396759999999999E-6</v>
      </c>
      <c r="I5992">
        <v>-23.946459999999998</v>
      </c>
      <c r="J5992">
        <v>-188.55779999999999</v>
      </c>
      <c r="K5992">
        <v>1.105947</v>
      </c>
      <c r="L5992">
        <v>-33.752409999999998</v>
      </c>
      <c r="M5992">
        <v>8.1359520000000005E-2</v>
      </c>
      <c r="N5992">
        <v>0</v>
      </c>
      <c r="O5992">
        <v>0.99666549999999998</v>
      </c>
      <c r="P5992">
        <v>-5.2407500000000003E-2</v>
      </c>
      <c r="Q5992">
        <v>1.9082740000000001E-2</v>
      </c>
      <c r="R5992">
        <v>0.99844339999999998</v>
      </c>
      <c r="S5992">
        <v>-0.2783813</v>
      </c>
      <c r="T5992">
        <v>-0.32782790000000001</v>
      </c>
      <c r="U5992">
        <v>2.9958800000000001</v>
      </c>
      <c r="V5992">
        <v>-0.13360810000000001</v>
      </c>
      <c r="W5992">
        <v>2.44844E-2</v>
      </c>
      <c r="X5992">
        <v>0.99073169999999899</v>
      </c>
      <c r="Y5992">
        <v>-0.1726897</v>
      </c>
      <c r="Z5992">
        <v>-0.10718989999999901</v>
      </c>
      <c r="AA5992">
        <v>0.97912649999999901</v>
      </c>
      <c r="AB5992">
        <v>29</v>
      </c>
      <c r="AC5992">
        <v>-0.96190000000001397</v>
      </c>
      <c r="AD5992">
        <v>-1.1059498396759999</v>
      </c>
      <c r="AE5992">
        <v>9.8059499999999904</v>
      </c>
      <c r="AF5992">
        <v>-1.7346787114233899</v>
      </c>
      <c r="AG5992">
        <v>-1.1059498396759999</v>
      </c>
      <c r="AH5992">
        <v>9.5745502358500296</v>
      </c>
      <c r="AI5992">
        <v>96.484352648307905</v>
      </c>
      <c r="AJ5992">
        <v>100.269225545118</v>
      </c>
      <c r="AK5992">
        <v>9.7930714027092005</v>
      </c>
    </row>
    <row r="5993" spans="1:37" x14ac:dyDescent="0.2">
      <c r="A5993" t="str">
        <f>"20200111153807697"</f>
        <v>20200111153807697</v>
      </c>
      <c r="B5993" t="str">
        <f>"1578728287689480"</f>
        <v>1578728287689480</v>
      </c>
      <c r="C5993" t="s">
        <v>37</v>
      </c>
      <c r="D5993">
        <v>5.9089910000000003</v>
      </c>
      <c r="E5993">
        <v>0.48484949999999999</v>
      </c>
      <c r="F5993" t="s">
        <v>39</v>
      </c>
      <c r="G5993">
        <v>-189.52250000000001</v>
      </c>
      <c r="H5993" s="1">
        <v>-3.0360779999999999E-6</v>
      </c>
      <c r="I5993">
        <v>-23.487459999999999</v>
      </c>
      <c r="J5993">
        <v>-188.51439999999999</v>
      </c>
      <c r="K5993">
        <v>1.1055459999999999</v>
      </c>
      <c r="L5993">
        <v>-33.147669999999998</v>
      </c>
      <c r="M5993">
        <v>7.6342229999999997E-2</v>
      </c>
      <c r="N5993">
        <v>0</v>
      </c>
      <c r="O5993">
        <v>0.99706669999999997</v>
      </c>
      <c r="P5993">
        <v>-5.2866249999999997E-2</v>
      </c>
      <c r="Q5993">
        <v>1.986388E-2</v>
      </c>
      <c r="R5993">
        <v>0.99840399999999996</v>
      </c>
      <c r="S5993">
        <v>-0.28158569999999999</v>
      </c>
      <c r="T5993">
        <v>-0.32279720000000001</v>
      </c>
      <c r="U5993">
        <v>2.9960629999999999</v>
      </c>
      <c r="V5993">
        <v>-0.12905439999999899</v>
      </c>
      <c r="W5993">
        <v>2.466745E-2</v>
      </c>
      <c r="X5993">
        <v>0.99133069999999901</v>
      </c>
      <c r="Y5993">
        <v>-0.16877979999999901</v>
      </c>
      <c r="Z5993">
        <v>-0.1056523</v>
      </c>
      <c r="AA5993">
        <v>0.97997500000000004</v>
      </c>
      <c r="AB5993">
        <v>30</v>
      </c>
      <c r="AC5993">
        <v>-1.00810000000001</v>
      </c>
      <c r="AD5993">
        <v>-1.10554903607799</v>
      </c>
      <c r="AE5993">
        <v>9.6602099999999904</v>
      </c>
      <c r="AF5993">
        <v>-1.7203615182963801</v>
      </c>
      <c r="AG5993">
        <v>-1.10554903607799</v>
      </c>
      <c r="AH5993">
        <v>9.4328416191075704</v>
      </c>
      <c r="AI5993">
        <v>96.577172738173303</v>
      </c>
      <c r="AJ5993">
        <v>100.336002321018</v>
      </c>
      <c r="AK5993">
        <v>9.6519626727405008</v>
      </c>
    </row>
    <row r="5994" spans="1:37" x14ac:dyDescent="0.2">
      <c r="A5994" t="str">
        <f>"20200111153807718"</f>
        <v>20200111153807718</v>
      </c>
      <c r="B5994" t="str">
        <f>"1578728287709000"</f>
        <v>1578728287709000</v>
      </c>
      <c r="C5994" t="s">
        <v>37</v>
      </c>
      <c r="D5994">
        <v>6.2021050000000004</v>
      </c>
      <c r="E5994">
        <v>0.48488890000000001</v>
      </c>
      <c r="F5994" t="s">
        <v>39</v>
      </c>
      <c r="G5994">
        <v>-189.49299999999999</v>
      </c>
      <c r="H5994" s="1">
        <v>-3.3565259999999998E-6</v>
      </c>
      <c r="I5994">
        <v>-22.75273</v>
      </c>
      <c r="J5994">
        <v>-188.49369999999999</v>
      </c>
      <c r="K5994">
        <v>1.1053549999999901</v>
      </c>
      <c r="L5994">
        <v>-32.847349999999999</v>
      </c>
      <c r="M5994">
        <v>7.4169399999999996E-2</v>
      </c>
      <c r="N5994">
        <v>0</v>
      </c>
      <c r="O5994">
        <v>0.99723240000000002</v>
      </c>
      <c r="P5994">
        <v>-5.302639E-2</v>
      </c>
      <c r="Q5994">
        <v>1.801668E-2</v>
      </c>
      <c r="R5994">
        <v>0.99843059999999995</v>
      </c>
      <c r="S5994">
        <v>-0.2820435</v>
      </c>
      <c r="T5994">
        <v>-0.31866100000000003</v>
      </c>
      <c r="U5994">
        <v>2.996216</v>
      </c>
      <c r="V5994">
        <v>-0.12703629999999999</v>
      </c>
      <c r="W5994">
        <v>2.2550879999999999E-2</v>
      </c>
      <c r="X5994">
        <v>0.99164169999999996</v>
      </c>
      <c r="Y5994">
        <v>-0.16678870000000001</v>
      </c>
      <c r="Z5994">
        <v>-0.1043516</v>
      </c>
      <c r="AA5994">
        <v>0.98045509999999902</v>
      </c>
      <c r="AB5994">
        <v>30</v>
      </c>
      <c r="AC5994">
        <v>-0.99930000000000496</v>
      </c>
      <c r="AD5994">
        <v>-1.1053583565259999</v>
      </c>
      <c r="AE5994">
        <v>10.0946199999999</v>
      </c>
      <c r="AF5994">
        <v>-1.7247894531502399</v>
      </c>
      <c r="AG5994">
        <v>-1.1053583565259999</v>
      </c>
      <c r="AH5994">
        <v>9.8754374377081806</v>
      </c>
      <c r="AI5994">
        <v>96.292072753096704</v>
      </c>
      <c r="AJ5994">
        <v>99.907036158206594</v>
      </c>
      <c r="AK5994">
        <v>10.0856819472026</v>
      </c>
    </row>
    <row r="5995" spans="1:37" x14ac:dyDescent="0.2">
      <c r="A5995" t="str">
        <f>"20200111153807740"</f>
        <v>20200111153807740</v>
      </c>
      <c r="B5995" t="str">
        <f>"1578728287729496"</f>
        <v>1578728287729496</v>
      </c>
      <c r="C5995" t="s">
        <v>37</v>
      </c>
      <c r="D5995">
        <v>6.0015029999999996</v>
      </c>
      <c r="E5995">
        <v>0.48494870000000001</v>
      </c>
      <c r="F5995" t="s">
        <v>39</v>
      </c>
      <c r="G5995">
        <v>-189.45820000000001</v>
      </c>
      <c r="H5995" s="1">
        <v>-3.4218640000000001E-6</v>
      </c>
      <c r="I5995">
        <v>-22.614799999999999</v>
      </c>
      <c r="J5995">
        <v>-188.4742</v>
      </c>
      <c r="K5995">
        <v>1.105186</v>
      </c>
      <c r="L5995">
        <v>-32.559139999999999</v>
      </c>
      <c r="M5995">
        <v>7.2257740000000001E-2</v>
      </c>
      <c r="N5995">
        <v>0</v>
      </c>
      <c r="O5995">
        <v>0.99737419999999999</v>
      </c>
      <c r="P5995">
        <v>-5.3246889999999998E-2</v>
      </c>
      <c r="Q5995">
        <v>1.6707299999999901E-2</v>
      </c>
      <c r="R5995">
        <v>0.99844159999999904</v>
      </c>
      <c r="S5995">
        <v>-0.2823639</v>
      </c>
      <c r="T5995">
        <v>-0.32358989999999999</v>
      </c>
      <c r="U5995">
        <v>2.99554399999999</v>
      </c>
      <c r="V5995">
        <v>-0.12534189999999901</v>
      </c>
      <c r="W5995">
        <v>2.1005820000000001E-2</v>
      </c>
      <c r="X5995">
        <v>0.99189119999999997</v>
      </c>
      <c r="Y5995">
        <v>-0.1650066</v>
      </c>
      <c r="Z5995">
        <v>-0.1060087</v>
      </c>
      <c r="AA5995">
        <v>0.98057890000000003</v>
      </c>
      <c r="AB5995">
        <v>30</v>
      </c>
      <c r="AC5995">
        <v>-0.98400000000000798</v>
      </c>
      <c r="AD5995">
        <v>-1.1051894218639999</v>
      </c>
      <c r="AE5995">
        <v>9.9443400000000004</v>
      </c>
      <c r="AF5995">
        <v>-1.6794490793576</v>
      </c>
      <c r="AG5995">
        <v>-1.1051894218639999</v>
      </c>
      <c r="AH5995">
        <v>9.7282484983928299</v>
      </c>
      <c r="AI5995">
        <v>96.387678050215698</v>
      </c>
      <c r="AJ5995">
        <v>99.794788689832103</v>
      </c>
      <c r="AK5995">
        <v>9.9338216067552594</v>
      </c>
    </row>
    <row r="5996" spans="1:37" x14ac:dyDescent="0.2">
      <c r="A5996" t="str">
        <f>"20200111153807761"</f>
        <v>20200111153807761</v>
      </c>
      <c r="B5996" t="str">
        <f>"1578728287749019"</f>
        <v>1578728287749019</v>
      </c>
      <c r="C5996" t="s">
        <v>37</v>
      </c>
      <c r="D5996">
        <v>6.206213</v>
      </c>
      <c r="E5996">
        <v>0.48505939999999997</v>
      </c>
      <c r="F5996" t="s">
        <v>39</v>
      </c>
      <c r="G5996">
        <v>-189.4288</v>
      </c>
      <c r="H5996" s="1">
        <v>-3.5042989999999998E-6</v>
      </c>
      <c r="I5996">
        <v>-22.434799999999999</v>
      </c>
      <c r="J5996">
        <v>-188.45480000000001</v>
      </c>
      <c r="K5996">
        <v>1.1050469999999999</v>
      </c>
      <c r="L5996">
        <v>-32.266629999999999</v>
      </c>
      <c r="M5996">
        <v>7.0457179999999994E-2</v>
      </c>
      <c r="N5996">
        <v>0</v>
      </c>
      <c r="O5996">
        <v>0.99750419999999995</v>
      </c>
      <c r="P5996">
        <v>-5.2976139999999998E-2</v>
      </c>
      <c r="Q5996">
        <v>1.6088809999999999E-2</v>
      </c>
      <c r="R5996">
        <v>0.99846610000000002</v>
      </c>
      <c r="S5996">
        <v>-0.28239439999999999</v>
      </c>
      <c r="T5996">
        <v>-0.32694859999999998</v>
      </c>
      <c r="U5996">
        <v>2.9950869999999998</v>
      </c>
      <c r="V5996">
        <v>-0.12327349999999999</v>
      </c>
      <c r="W5996">
        <v>2.017296E-2</v>
      </c>
      <c r="X5996">
        <v>0.99216769999999999</v>
      </c>
      <c r="Y5996">
        <v>-0.16323859999999901</v>
      </c>
      <c r="Z5996">
        <v>-0.1071492</v>
      </c>
      <c r="AA5996">
        <v>0.98075089999999998</v>
      </c>
      <c r="AB5996">
        <v>30</v>
      </c>
      <c r="AC5996">
        <v>-0.97399999999998899</v>
      </c>
      <c r="AD5996">
        <v>-1.105050504299</v>
      </c>
      <c r="AE5996">
        <v>9.8318300000000001</v>
      </c>
      <c r="AF5996">
        <v>-1.64374659401496</v>
      </c>
      <c r="AG5996">
        <v>-1.105050504299</v>
      </c>
      <c r="AH5996">
        <v>9.61844360203294</v>
      </c>
      <c r="AI5996">
        <v>96.461042834552401</v>
      </c>
      <c r="AJ5996">
        <v>99.697892779971397</v>
      </c>
      <c r="AK5996">
        <v>9.8202595081736899</v>
      </c>
    </row>
    <row r="5997" spans="1:37" x14ac:dyDescent="0.2">
      <c r="A5997" t="str">
        <f>"20200111153807785"</f>
        <v>20200111153807785</v>
      </c>
      <c r="B5997" t="str">
        <f>"1578728287779272"</f>
        <v>1578728287779272</v>
      </c>
      <c r="C5997" t="s">
        <v>37</v>
      </c>
      <c r="D5997">
        <v>5.9670009999999998</v>
      </c>
      <c r="E5997">
        <v>0.48525839999999998</v>
      </c>
      <c r="F5997" t="s">
        <v>39</v>
      </c>
      <c r="G5997">
        <v>-189.40219999999999</v>
      </c>
      <c r="H5997" s="1">
        <v>-3.625743E-6</v>
      </c>
      <c r="I5997">
        <v>-22.162679999999899</v>
      </c>
      <c r="J5997">
        <v>-188.434</v>
      </c>
      <c r="K5997">
        <v>1.104927</v>
      </c>
      <c r="L5997">
        <v>-31.944949999999999</v>
      </c>
      <c r="M5997">
        <v>6.8590269999999995E-2</v>
      </c>
      <c r="N5997">
        <v>0</v>
      </c>
      <c r="O5997">
        <v>0.99763539999999995</v>
      </c>
      <c r="P5997">
        <v>-5.2581009999999997E-2</v>
      </c>
      <c r="Q5997">
        <v>1.5050600000000001E-2</v>
      </c>
      <c r="R5997">
        <v>0.99850329999999998</v>
      </c>
      <c r="S5997">
        <v>-0.28083799999999998</v>
      </c>
      <c r="T5997">
        <v>-0.32755709999999999</v>
      </c>
      <c r="U5997">
        <v>2.9949949999999999</v>
      </c>
      <c r="V5997">
        <v>-0.121015699999999</v>
      </c>
      <c r="W5997">
        <v>1.8920070000000001E-2</v>
      </c>
      <c r="X5997">
        <v>0.99247030000000003</v>
      </c>
      <c r="Y5997">
        <v>-0.16088720000000001</v>
      </c>
      <c r="Z5997">
        <v>-0.1073942</v>
      </c>
      <c r="AA5997">
        <v>0.98111250000000005</v>
      </c>
      <c r="AB5997">
        <v>31</v>
      </c>
      <c r="AC5997">
        <v>-0.96819999999996698</v>
      </c>
      <c r="AD5997">
        <v>-1.104930625743</v>
      </c>
      <c r="AE5997">
        <v>9.7822700000000005</v>
      </c>
      <c r="AF5997">
        <v>-1.6164714106276701</v>
      </c>
      <c r="AG5997">
        <v>-1.104930625743</v>
      </c>
      <c r="AH5997">
        <v>9.5718860303177191</v>
      </c>
      <c r="AI5997">
        <v>96.493648582108307</v>
      </c>
      <c r="AJ5997">
        <v>99.585497940245403</v>
      </c>
      <c r="AK5997">
        <v>9.770099983443</v>
      </c>
    </row>
    <row r="5998" spans="1:37" x14ac:dyDescent="0.2">
      <c r="A5998" t="str">
        <f>"20200111153807805"</f>
        <v>20200111153807805</v>
      </c>
      <c r="B5998" t="str">
        <f>"1578728287798792"</f>
        <v>1578728287798792</v>
      </c>
      <c r="C5998" t="s">
        <v>37</v>
      </c>
      <c r="D5998">
        <v>5.9531910000000003</v>
      </c>
      <c r="E5998">
        <v>0.48535459999999903</v>
      </c>
      <c r="F5998" t="s">
        <v>39</v>
      </c>
      <c r="G5998">
        <v>-189.37020000000001</v>
      </c>
      <c r="H5998" s="1">
        <v>-3.7528339999999898E-6</v>
      </c>
      <c r="I5998">
        <v>-21.879670000000001</v>
      </c>
      <c r="J5998">
        <v>-188.4162</v>
      </c>
      <c r="K5998">
        <v>1.104849</v>
      </c>
      <c r="L5998">
        <v>-31.664090000000002</v>
      </c>
      <c r="M5998">
        <v>6.7025340000000003E-2</v>
      </c>
      <c r="N5998">
        <v>0</v>
      </c>
      <c r="O5998">
        <v>0.99774269999999998</v>
      </c>
      <c r="P5998">
        <v>-5.209635E-2</v>
      </c>
      <c r="Q5998">
        <v>1.3922530000000001E-2</v>
      </c>
      <c r="R5998">
        <v>0.99854500000000002</v>
      </c>
      <c r="S5998">
        <v>-0.27856449999999999</v>
      </c>
      <c r="T5998">
        <v>-0.32875659999999901</v>
      </c>
      <c r="U5998">
        <v>2.9947810000000001</v>
      </c>
      <c r="V5998">
        <v>-0.11897099999999999</v>
      </c>
      <c r="W5998">
        <v>1.762186E-2</v>
      </c>
      <c r="X5998">
        <v>0.99274130000000005</v>
      </c>
      <c r="Y5998">
        <v>-0.15860260000000001</v>
      </c>
      <c r="Z5998">
        <v>-0.1078316</v>
      </c>
      <c r="AA5998">
        <v>0.98143649999999905</v>
      </c>
      <c r="AB5998">
        <v>31</v>
      </c>
      <c r="AC5998">
        <v>-0.95400000000000695</v>
      </c>
      <c r="AD5998">
        <v>-1.104852752834</v>
      </c>
      <c r="AE5998">
        <v>9.7844200000000008</v>
      </c>
      <c r="AF5998">
        <v>-1.5876116252058099</v>
      </c>
      <c r="AG5998">
        <v>-1.104852752834</v>
      </c>
      <c r="AH5998">
        <v>9.5775032797713706</v>
      </c>
      <c r="AI5998">
        <v>96.492679181924501</v>
      </c>
      <c r="AJ5998">
        <v>99.412030771486002</v>
      </c>
      <c r="AK5998">
        <v>9.7708637976365704</v>
      </c>
    </row>
    <row r="5999" spans="1:37" x14ac:dyDescent="0.2">
      <c r="A5999" t="str">
        <f>"20200111153807829"</f>
        <v>20200111153807829</v>
      </c>
      <c r="B5999" t="str">
        <f>"1578728287819288"</f>
        <v>1578728287819288</v>
      </c>
      <c r="C5999" t="s">
        <v>37</v>
      </c>
      <c r="D5999">
        <v>5.9694989999999999</v>
      </c>
      <c r="E5999">
        <v>0.48547219999999902</v>
      </c>
      <c r="F5999" t="s">
        <v>39</v>
      </c>
      <c r="G5999">
        <v>-189.33879999999999</v>
      </c>
      <c r="H5999" s="1">
        <v>-3.8492289999999997E-6</v>
      </c>
      <c r="I5999">
        <v>-21.667950000000001</v>
      </c>
      <c r="J5999">
        <v>-188.39599999999999</v>
      </c>
      <c r="K5999">
        <v>1.104784</v>
      </c>
      <c r="L5999">
        <v>-31.337039999999998</v>
      </c>
      <c r="M5999">
        <v>6.5251530000000002E-2</v>
      </c>
      <c r="N5999">
        <v>0</v>
      </c>
      <c r="O5999">
        <v>0.997861</v>
      </c>
      <c r="P5999">
        <v>-5.2284110000000002E-2</v>
      </c>
      <c r="Q5999">
        <v>1.2860470000000001E-2</v>
      </c>
      <c r="R5999">
        <v>0.99854949999999998</v>
      </c>
      <c r="S5999">
        <v>-0.27639770000000002</v>
      </c>
      <c r="T5999">
        <v>-0.33098319999999998</v>
      </c>
      <c r="U5999">
        <v>2.9945680000000001</v>
      </c>
      <c r="V5999">
        <v>-0.11738800000000001</v>
      </c>
      <c r="W5999">
        <v>1.6378449999999999E-2</v>
      </c>
      <c r="X5999">
        <v>0.99295100000000003</v>
      </c>
      <c r="Y5999">
        <v>-0.1561418</v>
      </c>
      <c r="Z5999">
        <v>-0.1086053</v>
      </c>
      <c r="AA5999">
        <v>0.98174570000000005</v>
      </c>
      <c r="AB5999">
        <v>31</v>
      </c>
      <c r="AC5999">
        <v>-0.94280000000000497</v>
      </c>
      <c r="AD5999">
        <v>-1.104787849229</v>
      </c>
      <c r="AE5999">
        <v>9.6690900000000006</v>
      </c>
      <c r="AF5999">
        <v>-1.5516520881226901</v>
      </c>
      <c r="AG5999">
        <v>-1.104787849229</v>
      </c>
      <c r="AH5999">
        <v>9.4645648120637595</v>
      </c>
      <c r="AI5999">
        <v>96.571002688883297</v>
      </c>
      <c r="AJ5999">
        <v>99.310435885855298</v>
      </c>
      <c r="AK5999">
        <v>9.6543341290912004</v>
      </c>
    </row>
    <row r="6000" spans="1:37" x14ac:dyDescent="0.2">
      <c r="A6000" t="str">
        <f>"20200111153807852"</f>
        <v>20200111153807852</v>
      </c>
      <c r="B6000" t="str">
        <f>"1578728287849544"</f>
        <v>1578728287849544</v>
      </c>
      <c r="C6000" t="s">
        <v>37</v>
      </c>
      <c r="D6000">
        <v>6.2088029999999996</v>
      </c>
      <c r="E6000">
        <v>0.48567399999999999</v>
      </c>
      <c r="F6000" t="s">
        <v>39</v>
      </c>
      <c r="G6000">
        <v>-189.31059999999999</v>
      </c>
      <c r="H6000" s="1">
        <v>-3.9663450000000002E-6</v>
      </c>
      <c r="I6000">
        <v>-21.40663</v>
      </c>
      <c r="J6000">
        <v>-188.37690000000001</v>
      </c>
      <c r="K6000">
        <v>1.104735</v>
      </c>
      <c r="L6000">
        <v>-31.02045</v>
      </c>
      <c r="M6000">
        <v>6.3559699999999997E-2</v>
      </c>
      <c r="N6000">
        <v>0</v>
      </c>
      <c r="O6000">
        <v>0.99797089999999999</v>
      </c>
      <c r="P6000">
        <v>-5.2190430000000003E-2</v>
      </c>
      <c r="Q6000">
        <v>1.1909869999999999E-2</v>
      </c>
      <c r="R6000">
        <v>0.99856619999999996</v>
      </c>
      <c r="S6000">
        <v>-0.27577209999999902</v>
      </c>
      <c r="T6000">
        <v>-0.33311420000000003</v>
      </c>
      <c r="U6000">
        <v>2.994202</v>
      </c>
      <c r="V6000">
        <v>-0.11560670000000001</v>
      </c>
      <c r="W6000">
        <v>1.5273760000000001E-2</v>
      </c>
      <c r="X6000">
        <v>0.99317770000000005</v>
      </c>
      <c r="Y6000">
        <v>-0.154267299999999</v>
      </c>
      <c r="Z6000">
        <v>-0.1093445</v>
      </c>
      <c r="AA6000">
        <v>0.9819599</v>
      </c>
      <c r="AB6000">
        <v>31</v>
      </c>
      <c r="AC6000">
        <v>-0.93369999999998698</v>
      </c>
      <c r="AD6000">
        <v>-1.104738966345</v>
      </c>
      <c r="AE6000">
        <v>9.6138200000000005</v>
      </c>
      <c r="AF6000">
        <v>-1.52294585931397</v>
      </c>
      <c r="AG6000">
        <v>-1.104738966345</v>
      </c>
      <c r="AH6000">
        <v>9.4119149678566796</v>
      </c>
      <c r="AI6000">
        <v>96.609363276221202</v>
      </c>
      <c r="AJ6000">
        <v>99.191388169191796</v>
      </c>
      <c r="AK6000">
        <v>9.5981225057991004</v>
      </c>
    </row>
    <row r="6001" spans="1:37" x14ac:dyDescent="0.2">
      <c r="A6001" t="str">
        <f>"20200111153807872"</f>
        <v>20200111153807872</v>
      </c>
      <c r="B6001" t="str">
        <f>"1578728287869064"</f>
        <v>1578728287869064</v>
      </c>
      <c r="C6001" t="s">
        <v>37</v>
      </c>
      <c r="D6001">
        <v>5.8834289999999996</v>
      </c>
      <c r="E6001">
        <v>0.4857978</v>
      </c>
      <c r="F6001" t="s">
        <v>39</v>
      </c>
      <c r="G6001">
        <v>-189.2824</v>
      </c>
      <c r="H6001" s="1">
        <v>-4.0911660000000002E-6</v>
      </c>
      <c r="I6001">
        <v>-21.127310000000001</v>
      </c>
      <c r="J6001">
        <v>-188.36</v>
      </c>
      <c r="K6001">
        <v>1.1047089999999999</v>
      </c>
      <c r="L6001">
        <v>-30.731349999999999</v>
      </c>
      <c r="M6001">
        <v>6.202266E-2</v>
      </c>
      <c r="N6001">
        <v>0</v>
      </c>
      <c r="O6001">
        <v>0.99806799999999996</v>
      </c>
      <c r="P6001">
        <v>-5.2134359999999998E-2</v>
      </c>
      <c r="Q6001">
        <v>1.0924949999999999E-2</v>
      </c>
      <c r="R6001">
        <v>0.99858029999999998</v>
      </c>
      <c r="S6001">
        <v>-0.27403259999999902</v>
      </c>
      <c r="T6001">
        <v>-0.33432709999999999</v>
      </c>
      <c r="U6001">
        <v>2.9939580000000001</v>
      </c>
      <c r="V6001">
        <v>-0.114017699999999</v>
      </c>
      <c r="W6001">
        <v>1.416428E-2</v>
      </c>
      <c r="X6001">
        <v>0.99337770000000003</v>
      </c>
      <c r="Y6001">
        <v>-0.15218280000000001</v>
      </c>
      <c r="Z6001">
        <v>-0.10978350000000001</v>
      </c>
      <c r="AA6001">
        <v>0.982236199999999</v>
      </c>
      <c r="AB6001">
        <v>31</v>
      </c>
      <c r="AC6001">
        <v>-0.92239999999998201</v>
      </c>
      <c r="AD6001">
        <v>-1.1047130911659999</v>
      </c>
      <c r="AE6001">
        <v>9.6040399999999906</v>
      </c>
      <c r="AF6001">
        <v>-1.49667479432558</v>
      </c>
      <c r="AG6001">
        <v>-1.1047130911659999</v>
      </c>
      <c r="AH6001">
        <v>9.40503913869874</v>
      </c>
      <c r="AI6001">
        <v>96.616742815426505</v>
      </c>
      <c r="AJ6001">
        <v>99.041969767903495</v>
      </c>
      <c r="AK6001">
        <v>9.5872408780742706</v>
      </c>
    </row>
    <row r="6002" spans="1:37" x14ac:dyDescent="0.2">
      <c r="A6002" t="str">
        <f>"20200111153807896"</f>
        <v>20200111153807896</v>
      </c>
      <c r="B6002" t="str">
        <f>"1578728287889560"</f>
        <v>1578728287889560</v>
      </c>
      <c r="C6002" t="s">
        <v>37</v>
      </c>
      <c r="D6002">
        <v>5.9375830000000001</v>
      </c>
      <c r="E6002">
        <v>0.48591400000000001</v>
      </c>
      <c r="F6002" t="s">
        <v>39</v>
      </c>
      <c r="G6002">
        <v>-189.25489999999999</v>
      </c>
      <c r="H6002" s="1">
        <v>-4.183412E-6</v>
      </c>
      <c r="I6002">
        <v>-20.923679999999901</v>
      </c>
      <c r="J6002">
        <v>-188.34180000000001</v>
      </c>
      <c r="K6002">
        <v>1.104689</v>
      </c>
      <c r="L6002">
        <v>-30.412600000000001</v>
      </c>
      <c r="M6002">
        <v>6.0328850000000003E-2</v>
      </c>
      <c r="N6002">
        <v>0</v>
      </c>
      <c r="O6002">
        <v>0.99817230000000001</v>
      </c>
      <c r="P6002">
        <v>-5.3003080000000001E-2</v>
      </c>
      <c r="Q6002">
        <v>1.0609220000000001E-2</v>
      </c>
      <c r="R6002">
        <v>0.99853799999999904</v>
      </c>
      <c r="S6002">
        <v>-0.27316279999999998</v>
      </c>
      <c r="T6002">
        <v>-0.33720139999999998</v>
      </c>
      <c r="U6002">
        <v>2.9936829999999999</v>
      </c>
      <c r="V6002">
        <v>-0.113195</v>
      </c>
      <c r="W6002">
        <v>1.3725630000000001E-2</v>
      </c>
      <c r="X6002">
        <v>0.99347799999999997</v>
      </c>
      <c r="Y6002">
        <v>-0.15022079999999999</v>
      </c>
      <c r="Z6002">
        <v>-0.1107612</v>
      </c>
      <c r="AA6002">
        <v>0.98242850000000004</v>
      </c>
      <c r="AB6002">
        <v>31</v>
      </c>
      <c r="AC6002">
        <v>-0.91309999999998503</v>
      </c>
      <c r="AD6002">
        <v>-1.104693183412</v>
      </c>
      <c r="AE6002">
        <v>9.4889200000000002</v>
      </c>
      <c r="AF6002">
        <v>-1.46423270295139</v>
      </c>
      <c r="AG6002">
        <v>-1.104693183412</v>
      </c>
      <c r="AH6002">
        <v>9.2917695630424202</v>
      </c>
      <c r="AI6002">
        <v>96.698145909493107</v>
      </c>
      <c r="AJ6002">
        <v>98.955245845576897</v>
      </c>
      <c r="AK6002">
        <v>9.4710773437107392</v>
      </c>
    </row>
    <row r="6003" spans="1:37" x14ac:dyDescent="0.2">
      <c r="A6003" t="str">
        <f>"20200111153807918"</f>
        <v>20200111153807918</v>
      </c>
      <c r="B6003" t="str">
        <f>"1578728287909080"</f>
        <v>1578728287909080</v>
      </c>
      <c r="C6003" t="s">
        <v>37</v>
      </c>
      <c r="D6003">
        <v>5.5886009999999997</v>
      </c>
      <c r="E6003">
        <v>0.48608689999999999</v>
      </c>
      <c r="F6003" t="s">
        <v>39</v>
      </c>
      <c r="G6003">
        <v>-189.23910000000001</v>
      </c>
      <c r="H6003" s="1">
        <v>-4.3100100000000001E-6</v>
      </c>
      <c r="I6003">
        <v>-20.635079999999999</v>
      </c>
      <c r="J6003">
        <v>-188.3236</v>
      </c>
      <c r="K6003">
        <v>1.1046769999999999</v>
      </c>
      <c r="L6003">
        <v>-30.085629999999998</v>
      </c>
      <c r="M6003">
        <v>5.8589549999999997E-2</v>
      </c>
      <c r="N6003">
        <v>0</v>
      </c>
      <c r="O6003">
        <v>0.99827639999999995</v>
      </c>
      <c r="P6003">
        <v>-5.4275839999999999E-2</v>
      </c>
      <c r="Q6003">
        <v>1.0617700000000001E-2</v>
      </c>
      <c r="R6003">
        <v>0.99846950000000001</v>
      </c>
      <c r="S6003">
        <v>-0.27473449999999999</v>
      </c>
      <c r="T6003">
        <v>-0.33820429999999901</v>
      </c>
      <c r="U6003">
        <v>2.9934080000000001</v>
      </c>
      <c r="V6003">
        <v>-0.1127305</v>
      </c>
      <c r="W6003">
        <v>1.3623120000000001E-2</v>
      </c>
      <c r="X6003">
        <v>0.99353219999999998</v>
      </c>
      <c r="Y6003">
        <v>-0.14901429999999999</v>
      </c>
      <c r="Z6003">
        <v>-0.1111215</v>
      </c>
      <c r="AA6003">
        <v>0.98257150000000004</v>
      </c>
      <c r="AB6003">
        <v>31</v>
      </c>
      <c r="AC6003">
        <v>-0.91550000000000797</v>
      </c>
      <c r="AD6003">
        <v>-1.1046813100099999</v>
      </c>
      <c r="AE6003">
        <v>9.4505499999999998</v>
      </c>
      <c r="AF6003">
        <v>-1.44803279410855</v>
      </c>
      <c r="AG6003">
        <v>-1.1046813100099999</v>
      </c>
      <c r="AH6003">
        <v>9.2553914949311302</v>
      </c>
      <c r="AI6003">
        <v>96.725315334208702</v>
      </c>
      <c r="AJ6003">
        <v>98.892006778389401</v>
      </c>
      <c r="AK6003">
        <v>9.4328888201834999</v>
      </c>
    </row>
    <row r="6004" spans="1:37" x14ac:dyDescent="0.2">
      <c r="A6004" t="str">
        <f>"20200111153807941"</f>
        <v>20200111153807941</v>
      </c>
      <c r="B6004" t="str">
        <f>"1578728287929576"</f>
        <v>1578728287929576</v>
      </c>
      <c r="C6004" t="s">
        <v>37</v>
      </c>
      <c r="D6004">
        <v>5.9333960000000001</v>
      </c>
      <c r="E6004">
        <v>0.4862244</v>
      </c>
      <c r="F6004" t="s">
        <v>39</v>
      </c>
      <c r="G6004">
        <v>-189.2312</v>
      </c>
      <c r="H6004" s="1">
        <v>-2.2546399999999901E-7</v>
      </c>
      <c r="I6004">
        <v>-20.290459999999999</v>
      </c>
      <c r="J6004">
        <v>-188.3066</v>
      </c>
      <c r="K6004">
        <v>1.1046750000000001</v>
      </c>
      <c r="L6004">
        <v>-29.768249999999998</v>
      </c>
      <c r="M6004">
        <v>5.689876E-2</v>
      </c>
      <c r="N6004">
        <v>0</v>
      </c>
      <c r="O6004">
        <v>0.99837450000000005</v>
      </c>
      <c r="P6004">
        <v>-5.4628599999999902E-2</v>
      </c>
      <c r="Q6004">
        <v>1.058373E-2</v>
      </c>
      <c r="R6004">
        <v>0.99845059999999997</v>
      </c>
      <c r="S6004">
        <v>-0.27734379999999997</v>
      </c>
      <c r="T6004">
        <v>-0.3375552</v>
      </c>
      <c r="U6004">
        <v>2.9931030000000001</v>
      </c>
      <c r="V6004">
        <v>-0.11139789999999999</v>
      </c>
      <c r="W6004">
        <v>1.3500099999999999E-2</v>
      </c>
      <c r="X6004">
        <v>0.99368419999999902</v>
      </c>
      <c r="Y6004">
        <v>-0.1482001</v>
      </c>
      <c r="Z6004">
        <v>-0.110940899999999</v>
      </c>
      <c r="AA6004">
        <v>0.98271500000000001</v>
      </c>
      <c r="AB6004">
        <v>32</v>
      </c>
      <c r="AC6004">
        <v>-0.92459999999999698</v>
      </c>
      <c r="AD6004">
        <v>-1.104675225464</v>
      </c>
      <c r="AE6004">
        <v>9.4777899999999899</v>
      </c>
      <c r="AF6004">
        <v>-1.4429618873687</v>
      </c>
      <c r="AG6004">
        <v>-1.104675225464</v>
      </c>
      <c r="AH6004">
        <v>9.2848817818376901</v>
      </c>
      <c r="AI6004">
        <v>96.705167706048599</v>
      </c>
      <c r="AJ6004">
        <v>98.833662111728998</v>
      </c>
      <c r="AK6004">
        <v>9.4610504736447805</v>
      </c>
    </row>
    <row r="6005" spans="1:37" x14ac:dyDescent="0.2">
      <c r="A6005" t="str">
        <f>"20200111153807963"</f>
        <v>20200111153807963</v>
      </c>
      <c r="B6005" t="str">
        <f>"1578728287958856"</f>
        <v>1578728287958856</v>
      </c>
      <c r="C6005" t="s">
        <v>37</v>
      </c>
      <c r="D6005">
        <v>5.9808149999999998</v>
      </c>
      <c r="E6005">
        <v>0.52074989999999999</v>
      </c>
      <c r="F6005" t="s">
        <v>39</v>
      </c>
      <c r="G6005">
        <v>-189.2182</v>
      </c>
      <c r="H6005" s="1">
        <v>-3.4192069999999998E-7</v>
      </c>
      <c r="I6005">
        <v>-19.95844</v>
      </c>
      <c r="J6005">
        <v>-188.2901</v>
      </c>
      <c r="K6005">
        <v>1.1046739999999999</v>
      </c>
      <c r="L6005">
        <v>-29.451750000000001</v>
      </c>
      <c r="M6005">
        <v>5.5211780000000002E-2</v>
      </c>
      <c r="N6005">
        <v>0</v>
      </c>
      <c r="O6005">
        <v>0.99846939999999995</v>
      </c>
      <c r="P6005">
        <v>-5.4559580000000003E-2</v>
      </c>
      <c r="Q6005">
        <v>1.0691030000000001E-2</v>
      </c>
      <c r="R6005">
        <v>0.99845329999999999</v>
      </c>
      <c r="S6005">
        <v>-0.27813719999999997</v>
      </c>
      <c r="T6005">
        <v>-0.33704079999999997</v>
      </c>
      <c r="U6005">
        <v>2.9930110000000001</v>
      </c>
      <c r="V6005">
        <v>-0.1096507</v>
      </c>
      <c r="W6005">
        <v>1.353444E-2</v>
      </c>
      <c r="X6005">
        <v>0.99387800000000004</v>
      </c>
      <c r="Y6005">
        <v>-0.1467918</v>
      </c>
      <c r="Z6005">
        <v>-0.1108036</v>
      </c>
      <c r="AA6005">
        <v>0.98294190000000004</v>
      </c>
      <c r="AB6005">
        <v>32</v>
      </c>
      <c r="AC6005">
        <v>-0.92810000000000004</v>
      </c>
      <c r="AD6005">
        <v>-1.1046743419206999</v>
      </c>
      <c r="AE6005">
        <v>9.4933099999999992</v>
      </c>
      <c r="AF6005">
        <v>-1.4316282479515601</v>
      </c>
      <c r="AG6005">
        <v>-1.1046743419206999</v>
      </c>
      <c r="AH6005">
        <v>9.3028152568745899</v>
      </c>
      <c r="AI6005">
        <v>96.693874434339193</v>
      </c>
      <c r="AJ6005">
        <v>98.748724705733295</v>
      </c>
      <c r="AK6005">
        <v>9.4769318107481002</v>
      </c>
    </row>
    <row r="6006" spans="1:37" x14ac:dyDescent="0.2">
      <c r="A6006" t="str">
        <f>"20200111153807985"</f>
        <v>20200111153807985</v>
      </c>
      <c r="B6006" t="str">
        <f>"1578728287979352"</f>
        <v>1578728287979352</v>
      </c>
      <c r="C6006" t="s">
        <v>37</v>
      </c>
      <c r="D6006">
        <v>6.0558120000000004</v>
      </c>
      <c r="E6006">
        <v>0.52609289999999997</v>
      </c>
      <c r="F6006" t="s">
        <v>39</v>
      </c>
      <c r="G6006">
        <v>-188.30029999999999</v>
      </c>
      <c r="H6006" s="1">
        <v>-1.890335E-6</v>
      </c>
      <c r="I6006">
        <v>-16.663599999999999</v>
      </c>
      <c r="J6006">
        <v>-188.2739</v>
      </c>
      <c r="K6006">
        <v>1.1046799999999899</v>
      </c>
      <c r="L6006">
        <v>-29.129270000000002</v>
      </c>
      <c r="M6006">
        <v>5.3492869999999998E-2</v>
      </c>
      <c r="N6006">
        <v>0</v>
      </c>
      <c r="O6006">
        <v>0.99856319999999998</v>
      </c>
      <c r="P6006">
        <v>-5.4267540000000003E-2</v>
      </c>
      <c r="Q6006">
        <v>1.052929E-2</v>
      </c>
      <c r="R6006">
        <v>0.99847090000000005</v>
      </c>
      <c r="S6006">
        <v>-2.3956300000000002E-3</v>
      </c>
      <c r="T6006">
        <v>-0.25977840000000002</v>
      </c>
      <c r="U6006">
        <v>3.0072939999999999</v>
      </c>
      <c r="V6006">
        <v>-0.10764799999999999</v>
      </c>
      <c r="W6006">
        <v>1.330891E-2</v>
      </c>
      <c r="X6006">
        <v>0.99409999999999998</v>
      </c>
      <c r="Y6006">
        <v>-5.4285510000000002E-2</v>
      </c>
      <c r="Z6006">
        <v>-8.5814219999999997E-2</v>
      </c>
      <c r="AA6006">
        <v>0.99483109999999997</v>
      </c>
      <c r="AB6006">
        <v>32</v>
      </c>
      <c r="AC6006">
        <v>-2.6399999999995299E-2</v>
      </c>
      <c r="AD6006">
        <v>-1.104681890335</v>
      </c>
      <c r="AE6006">
        <v>12.465669999999999</v>
      </c>
      <c r="AF6006">
        <v>-0.68778874048835503</v>
      </c>
      <c r="AG6006">
        <v>-1.104681890335</v>
      </c>
      <c r="AH6006">
        <v>12.349428320189499</v>
      </c>
      <c r="AI6006">
        <v>95.103753581737394</v>
      </c>
      <c r="AJ6006">
        <v>93.1877364527151</v>
      </c>
      <c r="AK6006">
        <v>12.4177999366182</v>
      </c>
    </row>
    <row r="6007" spans="1:37" x14ac:dyDescent="0.2">
      <c r="A6007" t="str">
        <f>"20200111153808007"</f>
        <v>20200111153808007</v>
      </c>
      <c r="B6007" t="str">
        <f>"1578728287998871"</f>
        <v>1578728287998871</v>
      </c>
      <c r="C6007" t="s">
        <v>37</v>
      </c>
      <c r="D6007">
        <v>5.9892250000000002</v>
      </c>
      <c r="E6007">
        <v>0.52725369999999905</v>
      </c>
      <c r="F6007" t="s">
        <v>38</v>
      </c>
      <c r="G6007">
        <v>-188.2612</v>
      </c>
      <c r="H6007">
        <v>1.02535</v>
      </c>
      <c r="I6007">
        <v>-28.207190000000001</v>
      </c>
      <c r="J6007">
        <v>-188.25839999999999</v>
      </c>
      <c r="K6007">
        <v>1.104671</v>
      </c>
      <c r="L6007">
        <v>-28.813320000000001</v>
      </c>
      <c r="M6007">
        <v>5.1809840000000003E-2</v>
      </c>
      <c r="N6007">
        <v>0</v>
      </c>
      <c r="O6007">
        <v>0.99865210000000004</v>
      </c>
      <c r="P6007">
        <v>-5.2434689999999999E-2</v>
      </c>
      <c r="Q6007">
        <v>1.0565339999999999E-2</v>
      </c>
      <c r="R6007">
        <v>0.99856849999999997</v>
      </c>
      <c r="S6007">
        <v>4.0985109999999998E-2</v>
      </c>
      <c r="T6007">
        <v>-0.25893939999999999</v>
      </c>
      <c r="U6007">
        <v>3.0095519999999998</v>
      </c>
      <c r="V6007">
        <v>-0.104147699999999</v>
      </c>
      <c r="W6007">
        <v>1.329461E-2</v>
      </c>
      <c r="X6007">
        <v>0.99447299999999905</v>
      </c>
      <c r="Y6007">
        <v>-3.825638E-2</v>
      </c>
      <c r="Z6007">
        <v>-8.5514779999999999E-2</v>
      </c>
      <c r="AA6007">
        <v>0.99560219999999899</v>
      </c>
      <c r="AB6007">
        <v>32</v>
      </c>
      <c r="AC6007">
        <v>-2.80000000000768E-3</v>
      </c>
      <c r="AD6007">
        <v>-7.9320999999999905E-2</v>
      </c>
      <c r="AE6007">
        <v>0.60612999999999995</v>
      </c>
      <c r="AF6007">
        <v>-3.3624071677041102E-2</v>
      </c>
      <c r="AG6007">
        <v>-7.9320999999999905E-2</v>
      </c>
      <c r="AH6007">
        <v>0.59498169430908099</v>
      </c>
      <c r="AI6007">
        <v>97.581751175530101</v>
      </c>
      <c r="AJ6007">
        <v>93.234503571755397</v>
      </c>
      <c r="AK6007">
        <v>0.601186839343683</v>
      </c>
    </row>
    <row r="6008" spans="1:37" x14ac:dyDescent="0.2">
      <c r="A6008" t="str">
        <f>"20200111153808040"</f>
        <v>20200111153808040</v>
      </c>
      <c r="B6008" t="str">
        <f>"1578728288029130"</f>
        <v>1578728288029130</v>
      </c>
      <c r="C6008" t="s">
        <v>37</v>
      </c>
      <c r="D6008">
        <v>5.8941559999999997</v>
      </c>
      <c r="E6008">
        <v>0.5282519</v>
      </c>
      <c r="F6008" t="s">
        <v>38</v>
      </c>
      <c r="G6008">
        <v>-188.24170000000001</v>
      </c>
      <c r="H6008">
        <v>1.033652</v>
      </c>
      <c r="I6008">
        <v>-27.91245</v>
      </c>
      <c r="J6008">
        <v>-188.23570000000001</v>
      </c>
      <c r="K6008">
        <v>1.1046639999999901</v>
      </c>
      <c r="L6008">
        <v>-28.326350000000001</v>
      </c>
      <c r="M6008">
        <v>4.9219489999999998E-2</v>
      </c>
      <c r="N6008">
        <v>0</v>
      </c>
      <c r="O6008">
        <v>0.99878339999999999</v>
      </c>
      <c r="P6008">
        <v>-5.1010960000000001E-2</v>
      </c>
      <c r="Q6008">
        <v>1.015574E-2</v>
      </c>
      <c r="R6008">
        <v>0.99864640000000005</v>
      </c>
      <c r="S6008">
        <v>5.57251E-2</v>
      </c>
      <c r="T6008">
        <v>-0.23727289999999901</v>
      </c>
      <c r="U6008">
        <v>3.009735</v>
      </c>
      <c r="V6008">
        <v>-0.1001485</v>
      </c>
      <c r="W6008">
        <v>1.281495E-2</v>
      </c>
      <c r="X6008">
        <v>0.99488999999999905</v>
      </c>
      <c r="Y6008">
        <v>-3.0778989999999999E-2</v>
      </c>
      <c r="Z6008">
        <v>-7.8423359999999998E-2</v>
      </c>
      <c r="AA6008">
        <v>0.99644489999999997</v>
      </c>
      <c r="AB6008">
        <v>32</v>
      </c>
      <c r="AC6008">
        <v>-6.0000000000002196E-3</v>
      </c>
      <c r="AD6008">
        <v>-7.1011999999999798E-2</v>
      </c>
      <c r="AE6008">
        <v>0.41390000000000099</v>
      </c>
      <c r="AF6008">
        <v>-2.56110502852669E-2</v>
      </c>
      <c r="AG6008">
        <v>-7.1011999999999798E-2</v>
      </c>
      <c r="AH6008">
        <v>0.40129320707180199</v>
      </c>
      <c r="AI6008">
        <v>100.015092698621</v>
      </c>
      <c r="AJ6008">
        <v>93.651737920065699</v>
      </c>
      <c r="AK6008">
        <v>0.408331811254874</v>
      </c>
    </row>
    <row r="6009" spans="1:37" x14ac:dyDescent="0.2">
      <c r="A6009" t="str">
        <f>"20200111153808062"</f>
        <v>20200111153808062</v>
      </c>
      <c r="B6009" t="str">
        <f>"1578728288049623"</f>
        <v>1578728288049623</v>
      </c>
      <c r="C6009" t="s">
        <v>37</v>
      </c>
      <c r="D6009">
        <v>5.9394239999999998</v>
      </c>
      <c r="E6009">
        <v>0.52851190000000003</v>
      </c>
      <c r="F6009" t="s">
        <v>38</v>
      </c>
      <c r="G6009">
        <v>-188.2132</v>
      </c>
      <c r="H6009">
        <v>1.025126</v>
      </c>
      <c r="I6009">
        <v>-27.335740000000001</v>
      </c>
      <c r="J6009">
        <v>-188.22149999999999</v>
      </c>
      <c r="K6009">
        <v>1.1046579999999999</v>
      </c>
      <c r="L6009">
        <v>-28.006229999999999</v>
      </c>
      <c r="M6009">
        <v>4.7519930000000002E-2</v>
      </c>
      <c r="N6009">
        <v>0</v>
      </c>
      <c r="O6009">
        <v>0.99886580000000003</v>
      </c>
      <c r="P6009">
        <v>-5.0886710000000002E-2</v>
      </c>
      <c r="Q6009">
        <v>9.7779059999999994E-3</v>
      </c>
      <c r="R6009">
        <v>0.99865659999999901</v>
      </c>
      <c r="S6009">
        <v>6.7962649999999999E-2</v>
      </c>
      <c r="T6009">
        <v>-0.2417057</v>
      </c>
      <c r="U6009">
        <v>3.0100099999999999</v>
      </c>
      <c r="V6009">
        <v>-9.833095E-2</v>
      </c>
      <c r="W6009">
        <v>1.2397750000000001E-2</v>
      </c>
      <c r="X6009">
        <v>0.99507649999999903</v>
      </c>
      <c r="Y6009">
        <v>-2.503261E-2</v>
      </c>
      <c r="Z6009">
        <v>-7.9884930000000007E-2</v>
      </c>
      <c r="AA6009">
        <v>0.99648969999999903</v>
      </c>
      <c r="AB6009">
        <v>33</v>
      </c>
      <c r="AC6009">
        <v>8.2999999999913109E-3</v>
      </c>
      <c r="AD6009">
        <v>-7.9531999999999894E-2</v>
      </c>
      <c r="AE6009">
        <v>0.67048999999999703</v>
      </c>
      <c r="AF6009">
        <v>-2.3244158400496401E-2</v>
      </c>
      <c r="AG6009">
        <v>-7.9531999999999894E-2</v>
      </c>
      <c r="AH6009">
        <v>0.66083038305502995</v>
      </c>
      <c r="AI6009">
        <v>96.858431374821805</v>
      </c>
      <c r="AJ6009">
        <v>92.0145008088314</v>
      </c>
      <c r="AK6009">
        <v>0.66600482362547797</v>
      </c>
    </row>
    <row r="6010" spans="1:37" x14ac:dyDescent="0.2">
      <c r="A6010" t="str">
        <f>"20200111153808084"</f>
        <v>20200111153808084</v>
      </c>
      <c r="B6010" t="str">
        <f>"1578728288078904"</f>
        <v>1578728288078904</v>
      </c>
      <c r="C6010" t="s">
        <v>37</v>
      </c>
      <c r="D6010">
        <v>5.9931929999999998</v>
      </c>
      <c r="E6010">
        <v>0.52881460000000002</v>
      </c>
      <c r="F6010" t="s">
        <v>38</v>
      </c>
      <c r="G6010">
        <v>-188.1986</v>
      </c>
      <c r="H6010">
        <v>1.0338609999999999</v>
      </c>
      <c r="I6010">
        <v>-27.03537</v>
      </c>
      <c r="J6010">
        <v>-188.20740000000001</v>
      </c>
      <c r="K6010">
        <v>1.1046530000000001</v>
      </c>
      <c r="L6010">
        <v>-27.677609999999898</v>
      </c>
      <c r="M6010">
        <v>4.5777669999999999E-2</v>
      </c>
      <c r="N6010">
        <v>0</v>
      </c>
      <c r="O6010">
        <v>0.99894729999999998</v>
      </c>
      <c r="P6010">
        <v>-5.1422519999999999E-2</v>
      </c>
      <c r="Q6010">
        <v>8.9430129999999997E-3</v>
      </c>
      <c r="R6010">
        <v>0.998637</v>
      </c>
      <c r="S6010">
        <v>7.0678710000000006E-2</v>
      </c>
      <c r="T6010">
        <v>-0.21949299999999999</v>
      </c>
      <c r="U6010">
        <v>3.0097959999999899</v>
      </c>
      <c r="V6010">
        <v>-9.7126690000000002E-2</v>
      </c>
      <c r="W6010">
        <v>1.152711E-2</v>
      </c>
      <c r="X6010">
        <v>0.99520529999999996</v>
      </c>
      <c r="Y6010">
        <v>-2.2375450000000002E-2</v>
      </c>
      <c r="Z6010">
        <v>-7.2599780000000003E-2</v>
      </c>
      <c r="AA6010">
        <v>0.9971101</v>
      </c>
      <c r="AB6010">
        <v>33</v>
      </c>
      <c r="AC6010">
        <v>8.8000000000079091E-3</v>
      </c>
      <c r="AD6010">
        <v>-7.0791999999999897E-2</v>
      </c>
      <c r="AE6010">
        <v>0.64223999999999704</v>
      </c>
      <c r="AF6010">
        <v>-2.0362250742255301E-2</v>
      </c>
      <c r="AG6010">
        <v>-7.0791999999999897E-2</v>
      </c>
      <c r="AH6010">
        <v>0.63426472552159596</v>
      </c>
      <c r="AI6010">
        <v>96.365326339657301</v>
      </c>
      <c r="AJ6010">
        <v>91.838775546764396</v>
      </c>
      <c r="AK6010">
        <v>0.63852789332986504</v>
      </c>
    </row>
    <row r="6011" spans="1:37" x14ac:dyDescent="0.2">
      <c r="A6011" t="str">
        <f>"20200111153808108"</f>
        <v>20200111153808108</v>
      </c>
      <c r="B6011" t="str">
        <f>"1578728288099400"</f>
        <v>1578728288099400</v>
      </c>
      <c r="C6011" t="s">
        <v>37</v>
      </c>
      <c r="D6011">
        <v>5.9590990000000001</v>
      </c>
      <c r="E6011">
        <v>0.52849219999999997</v>
      </c>
      <c r="F6011" t="s">
        <v>39</v>
      </c>
      <c r="G6011">
        <v>-187.81190000000001</v>
      </c>
      <c r="H6011" s="1">
        <v>-4.3624190000000003E-6</v>
      </c>
      <c r="I6011">
        <v>-11.10305</v>
      </c>
      <c r="J6011">
        <v>-188.19309999999999</v>
      </c>
      <c r="K6011">
        <v>1.1046370000000001</v>
      </c>
      <c r="L6011">
        <v>-27.329470000000001</v>
      </c>
      <c r="M6011">
        <v>4.393437E-2</v>
      </c>
      <c r="N6011">
        <v>0</v>
      </c>
      <c r="O6011">
        <v>0.99903019999999998</v>
      </c>
      <c r="P6011">
        <v>-5.276347E-2</v>
      </c>
      <c r="Q6011">
        <v>7.527583E-3</v>
      </c>
      <c r="R6011">
        <v>0.99857870000000004</v>
      </c>
      <c r="S6011">
        <v>7.1807860000000001E-2</v>
      </c>
      <c r="T6011">
        <v>-0.2005818</v>
      </c>
      <c r="U6011">
        <v>3.0095830000000001</v>
      </c>
      <c r="V6011">
        <v>-9.6622319999999998E-2</v>
      </c>
      <c r="W6011">
        <v>1.007713E-2</v>
      </c>
      <c r="X6011">
        <v>0.99527009999999905</v>
      </c>
      <c r="Y6011">
        <v>-2.0144789999999999E-2</v>
      </c>
      <c r="Z6011">
        <v>-6.6387870000000002E-2</v>
      </c>
      <c r="AA6011">
        <v>0.99759050000000005</v>
      </c>
      <c r="AB6011">
        <v>33</v>
      </c>
      <c r="AC6011">
        <v>0.381199999999978</v>
      </c>
      <c r="AD6011">
        <v>-1.1046413624189999</v>
      </c>
      <c r="AE6011">
        <v>16.226420000000001</v>
      </c>
      <c r="AF6011">
        <v>-0.33053761611587601</v>
      </c>
      <c r="AG6011">
        <v>-1.1046413624189999</v>
      </c>
      <c r="AH6011">
        <v>16.152682472873899</v>
      </c>
      <c r="AI6011">
        <v>93.911406687648295</v>
      </c>
      <c r="AJ6011">
        <v>91.172298631969298</v>
      </c>
      <c r="AK6011">
        <v>16.1937839532557</v>
      </c>
    </row>
    <row r="6012" spans="1:37" x14ac:dyDescent="0.2">
      <c r="A6012" t="str">
        <f>"20200111153808131"</f>
        <v>20200111153808131</v>
      </c>
      <c r="B6012" t="str">
        <f>"1578728288118919"</f>
        <v>1578728288118919</v>
      </c>
      <c r="C6012" t="s">
        <v>37</v>
      </c>
      <c r="D6012">
        <v>5.8972389999999999</v>
      </c>
      <c r="E6012">
        <v>0.52910469999999998</v>
      </c>
      <c r="F6012" t="s">
        <v>39</v>
      </c>
      <c r="G6012">
        <v>-187.83599999999899</v>
      </c>
      <c r="H6012" s="1">
        <v>-4.4490099999999999E-6</v>
      </c>
      <c r="I6012">
        <v>-10.89123</v>
      </c>
      <c r="J6012">
        <v>-188.1797</v>
      </c>
      <c r="K6012">
        <v>1.104625</v>
      </c>
      <c r="L6012">
        <v>-26.987850000000002</v>
      </c>
      <c r="M6012">
        <v>4.2128800000000001E-2</v>
      </c>
      <c r="N6012">
        <v>0</v>
      </c>
      <c r="O6012">
        <v>0.999108</v>
      </c>
      <c r="P6012">
        <v>-5.4026369999999997E-2</v>
      </c>
      <c r="Q6012">
        <v>5.1627460000000002E-3</v>
      </c>
      <c r="R6012">
        <v>0.99852619999999903</v>
      </c>
      <c r="S6012">
        <v>6.536865E-2</v>
      </c>
      <c r="T6012">
        <v>-0.20221989999999901</v>
      </c>
      <c r="U6012">
        <v>3.0092469999999998</v>
      </c>
      <c r="V6012">
        <v>-9.6074309999999996E-2</v>
      </c>
      <c r="W6012">
        <v>7.6849350000000004E-3</v>
      </c>
      <c r="X6012">
        <v>0.99534449999999997</v>
      </c>
      <c r="Y6012">
        <v>-2.0469600000000001E-2</v>
      </c>
      <c r="Z6012">
        <v>-6.6944229999999993E-2</v>
      </c>
      <c r="AA6012">
        <v>0.99754669999999901</v>
      </c>
      <c r="AB6012">
        <v>33</v>
      </c>
      <c r="AC6012">
        <v>0.343700000000012</v>
      </c>
      <c r="AD6012">
        <v>-1.1046294490099999</v>
      </c>
      <c r="AE6012">
        <v>16.096620000000001</v>
      </c>
      <c r="AF6012">
        <v>-0.33317095169111499</v>
      </c>
      <c r="AG6012">
        <v>-1.1046294490099999</v>
      </c>
      <c r="AH6012">
        <v>16.0213923760708</v>
      </c>
      <c r="AI6012">
        <v>93.9432893690486</v>
      </c>
      <c r="AJ6012">
        <v>91.191315832394295</v>
      </c>
      <c r="AK6012">
        <v>16.062883389064599</v>
      </c>
    </row>
    <row r="6013" spans="1:37" x14ac:dyDescent="0.2">
      <c r="A6013" t="str">
        <f>"20200111153808154"</f>
        <v>20200111153808154</v>
      </c>
      <c r="B6013" t="str">
        <f>"1578728288149176"</f>
        <v>1578728288149176</v>
      </c>
      <c r="C6013" t="s">
        <v>37</v>
      </c>
      <c r="D6013">
        <v>6.100517</v>
      </c>
      <c r="E6013">
        <v>0.52954000000000001</v>
      </c>
      <c r="F6013" t="s">
        <v>39</v>
      </c>
      <c r="G6013">
        <v>-187.82980000000001</v>
      </c>
      <c r="H6013" s="1">
        <v>-4.3237849999999998E-6</v>
      </c>
      <c r="I6013">
        <v>-11.18572</v>
      </c>
      <c r="J6013">
        <v>-188.167</v>
      </c>
      <c r="K6013">
        <v>1.1046129999999901</v>
      </c>
      <c r="L6013">
        <v>-26.65033</v>
      </c>
      <c r="M6013">
        <v>4.0350450000000003E-2</v>
      </c>
      <c r="N6013">
        <v>0</v>
      </c>
      <c r="O6013">
        <v>0.9991814</v>
      </c>
      <c r="P6013">
        <v>-5.5040390000000002E-2</v>
      </c>
      <c r="Q6013">
        <v>3.6671500000000001E-3</v>
      </c>
      <c r="R6013">
        <v>0.99847739999999996</v>
      </c>
      <c r="S6013">
        <v>6.6635130000000001E-2</v>
      </c>
      <c r="T6013">
        <v>-0.21034929999999999</v>
      </c>
      <c r="U6013">
        <v>3.009125</v>
      </c>
      <c r="V6013">
        <v>-9.5308290000000004E-2</v>
      </c>
      <c r="W6013">
        <v>6.1676750000000001E-3</v>
      </c>
      <c r="X6013">
        <v>0.99542870000000006</v>
      </c>
      <c r="Y6013">
        <v>-1.82735999999999E-2</v>
      </c>
      <c r="Z6013">
        <v>-6.9634269999999998E-2</v>
      </c>
      <c r="AA6013">
        <v>0.99740519999999999</v>
      </c>
      <c r="AB6013">
        <v>33</v>
      </c>
      <c r="AC6013">
        <v>0.337199999999995</v>
      </c>
      <c r="AD6013">
        <v>-1.1046173237850001</v>
      </c>
      <c r="AE6013">
        <v>15.46461</v>
      </c>
      <c r="AF6013">
        <v>-0.285624623985406</v>
      </c>
      <c r="AG6013">
        <v>-1.1046173237850001</v>
      </c>
      <c r="AH6013">
        <v>15.3871526702028</v>
      </c>
      <c r="AI6013">
        <v>94.105416970719403</v>
      </c>
      <c r="AJ6013">
        <v>91.063433020461801</v>
      </c>
      <c r="AK6013">
        <v>15.4293949380383</v>
      </c>
    </row>
    <row r="6014" spans="1:37" x14ac:dyDescent="0.2">
      <c r="A6014" t="str">
        <f>"20200111153808175"</f>
        <v>20200111153808175</v>
      </c>
      <c r="B6014" t="str">
        <f>"1578728288169672"</f>
        <v>1578728288169672</v>
      </c>
      <c r="C6014" t="s">
        <v>37</v>
      </c>
      <c r="D6014">
        <v>5.8919350000000001</v>
      </c>
      <c r="E6014">
        <v>0.52965589999999996</v>
      </c>
      <c r="F6014" t="s">
        <v>39</v>
      </c>
      <c r="G6014">
        <v>-187.81139999999999</v>
      </c>
      <c r="H6014" s="1">
        <v>-4.5464589999999999E-6</v>
      </c>
      <c r="I6014">
        <v>-10.67426</v>
      </c>
      <c r="J6014">
        <v>-188.15530000000001</v>
      </c>
      <c r="K6014">
        <v>1.104609</v>
      </c>
      <c r="L6014">
        <v>-26.3233</v>
      </c>
      <c r="M6014">
        <v>3.8639899999999998E-2</v>
      </c>
      <c r="N6014">
        <v>0</v>
      </c>
      <c r="O6014">
        <v>0.9992491</v>
      </c>
      <c r="P6014">
        <v>-5.5850280000000002E-2</v>
      </c>
      <c r="Q6014">
        <v>2.8009809999999902E-3</v>
      </c>
      <c r="R6014">
        <v>0.99843519999999897</v>
      </c>
      <c r="S6014">
        <v>6.6986080000000003E-2</v>
      </c>
      <c r="T6014">
        <v>-0.20805070000000001</v>
      </c>
      <c r="U6014">
        <v>3.0090330000000001</v>
      </c>
      <c r="V6014">
        <v>-9.4408779999999998E-2</v>
      </c>
      <c r="W6014">
        <v>5.2869719999999896E-3</v>
      </c>
      <c r="X6014">
        <v>0.9955195</v>
      </c>
      <c r="Y6014">
        <v>-1.6443860000000001E-2</v>
      </c>
      <c r="Z6014">
        <v>-6.8887019999999993E-2</v>
      </c>
      <c r="AA6014">
        <v>0.99748890000000001</v>
      </c>
      <c r="AB6014">
        <v>34</v>
      </c>
      <c r="AC6014">
        <v>0.34390000000001902</v>
      </c>
      <c r="AD6014">
        <v>-1.1046135464589999</v>
      </c>
      <c r="AE6014">
        <v>15.649039999999999</v>
      </c>
      <c r="AF6014">
        <v>-0.25974310528207301</v>
      </c>
      <c r="AG6014">
        <v>-1.1046135464589999</v>
      </c>
      <c r="AH6014">
        <v>15.573086424980801</v>
      </c>
      <c r="AI6014">
        <v>94.056685581363396</v>
      </c>
      <c r="AJ6014">
        <v>90.955546222414796</v>
      </c>
      <c r="AK6014">
        <v>15.614373454214601</v>
      </c>
    </row>
    <row r="6015" spans="1:37" x14ac:dyDescent="0.2">
      <c r="A6015" t="str">
        <f>"20200111153808197"</f>
        <v>20200111153808197</v>
      </c>
      <c r="B6015" t="str">
        <f>"1578728288189192"</f>
        <v>1578728288189192</v>
      </c>
      <c r="C6015" t="s">
        <v>37</v>
      </c>
      <c r="D6015">
        <v>5.9649010000000002</v>
      </c>
      <c r="E6015">
        <v>0.52965309999999999</v>
      </c>
      <c r="F6015" t="s">
        <v>39</v>
      </c>
      <c r="G6015">
        <v>-187.8056</v>
      </c>
      <c r="H6015" s="1">
        <v>-6.2707119999999897E-7</v>
      </c>
      <c r="I6015">
        <v>-10.225009999999999</v>
      </c>
      <c r="J6015">
        <v>-188.14349999999999</v>
      </c>
      <c r="K6015">
        <v>1.1046020000000001</v>
      </c>
      <c r="L6015">
        <v>-25.978059999999999</v>
      </c>
      <c r="M6015">
        <v>3.6863569999999998E-2</v>
      </c>
      <c r="N6015">
        <v>0</v>
      </c>
      <c r="O6015">
        <v>0.99931630000000005</v>
      </c>
      <c r="P6015">
        <v>-5.7172050000000002E-2</v>
      </c>
      <c r="Q6015">
        <v>3.1706130000000001E-3</v>
      </c>
      <c r="R6015">
        <v>0.99835929999999995</v>
      </c>
      <c r="S6015">
        <v>6.536865E-2</v>
      </c>
      <c r="T6015">
        <v>-0.20646309999999901</v>
      </c>
      <c r="U6015">
        <v>3.0089419999999998</v>
      </c>
      <c r="V6015">
        <v>-9.3958100000000003E-2</v>
      </c>
      <c r="W6015">
        <v>5.6450709999999998E-3</v>
      </c>
      <c r="X6015">
        <v>0.99556019999999901</v>
      </c>
      <c r="Y6015">
        <v>-1.5200969999999999E-2</v>
      </c>
      <c r="Z6015">
        <v>-6.8373890000000007E-2</v>
      </c>
      <c r="AA6015">
        <v>0.99754390000000004</v>
      </c>
      <c r="AB6015">
        <v>34</v>
      </c>
      <c r="AC6015">
        <v>0.33789999999998999</v>
      </c>
      <c r="AD6015">
        <v>-1.1046026270711999</v>
      </c>
      <c r="AE6015">
        <v>15.753049999999901</v>
      </c>
      <c r="AF6015">
        <v>-0.24185704035410899</v>
      </c>
      <c r="AG6015">
        <v>-1.1046026270711999</v>
      </c>
      <c r="AH6015">
        <v>15.677749972134601</v>
      </c>
      <c r="AI6015">
        <v>94.029733965779798</v>
      </c>
      <c r="AJ6015">
        <v>90.883818695595096</v>
      </c>
      <c r="AK6015">
        <v>15.718475943311701</v>
      </c>
    </row>
    <row r="6016" spans="1:37" x14ac:dyDescent="0.2">
      <c r="A6016" t="str">
        <f>"20200111153808222"</f>
        <v>20200111153808222</v>
      </c>
      <c r="B6016" t="str">
        <f>"1578728288209688"</f>
        <v>1578728288209688</v>
      </c>
      <c r="C6016" t="s">
        <v>37</v>
      </c>
      <c r="D6016">
        <v>5.9275219999999997</v>
      </c>
      <c r="E6016">
        <v>0.52994759999999996</v>
      </c>
      <c r="F6016" t="s">
        <v>39</v>
      </c>
      <c r="G6016">
        <v>-187.80609999999999</v>
      </c>
      <c r="H6016" s="1">
        <v>-9.0415650000000003E-7</v>
      </c>
      <c r="I6016">
        <v>-9.4103569999999994</v>
      </c>
      <c r="J6016">
        <v>-188.13220000000001</v>
      </c>
      <c r="K6016">
        <v>1.1045780000000001</v>
      </c>
      <c r="L6016">
        <v>-25.628540000000001</v>
      </c>
      <c r="M6016">
        <v>3.5118440000000001E-2</v>
      </c>
      <c r="N6016">
        <v>0</v>
      </c>
      <c r="O6016">
        <v>0.99937919999999902</v>
      </c>
      <c r="P6016">
        <v>-5.8862999999999999E-2</v>
      </c>
      <c r="Q6016">
        <v>3.8797200000000001E-3</v>
      </c>
      <c r="R6016">
        <v>0.99825849999999905</v>
      </c>
      <c r="S6016">
        <v>6.1279300000000002E-2</v>
      </c>
      <c r="T6016">
        <v>-0.20062060000000001</v>
      </c>
      <c r="U6016">
        <v>3.009064</v>
      </c>
      <c r="V6016">
        <v>-9.3908809999999995E-2</v>
      </c>
      <c r="W6016">
        <v>6.3469619999999899E-3</v>
      </c>
      <c r="X6016">
        <v>0.99556060000000002</v>
      </c>
      <c r="Y6016">
        <v>-1.48081999999999E-2</v>
      </c>
      <c r="Z6016">
        <v>-6.6452430000000007E-2</v>
      </c>
      <c r="AA6016">
        <v>0.99767969999999895</v>
      </c>
      <c r="AB6016">
        <v>34</v>
      </c>
      <c r="AC6016">
        <v>0.32610000000002498</v>
      </c>
      <c r="AD6016">
        <v>-1.1045789041565</v>
      </c>
      <c r="AE6016">
        <v>16.218183</v>
      </c>
      <c r="AF6016">
        <v>-0.24253611414127699</v>
      </c>
      <c r="AG6016">
        <v>-1.1045789041565</v>
      </c>
      <c r="AH6016">
        <v>16.144771774427301</v>
      </c>
      <c r="AI6016">
        <v>93.913473161112705</v>
      </c>
      <c r="AJ6016">
        <v>90.860665650356694</v>
      </c>
      <c r="AK6016">
        <v>16.1843311252122</v>
      </c>
    </row>
    <row r="6017" spans="1:37" x14ac:dyDescent="0.2">
      <c r="A6017" t="str">
        <f>"20200111153808243"</f>
        <v>20200111153808243</v>
      </c>
      <c r="B6017" t="str">
        <f>"1578728288238967"</f>
        <v>1578728288238967</v>
      </c>
      <c r="C6017" t="s">
        <v>37</v>
      </c>
      <c r="D6017">
        <v>5.9539960000000001</v>
      </c>
      <c r="E6017">
        <v>0.53039820000000004</v>
      </c>
      <c r="F6017" t="s">
        <v>38</v>
      </c>
      <c r="G6017">
        <v>-188.11250000000001</v>
      </c>
      <c r="H6017">
        <v>1.0405219999999999</v>
      </c>
      <c r="I6017">
        <v>-24.624779999999902</v>
      </c>
      <c r="J6017">
        <v>-188.1217</v>
      </c>
      <c r="K6017">
        <v>1.104541</v>
      </c>
      <c r="L6017">
        <v>-25.290009999999999</v>
      </c>
      <c r="M6017">
        <v>3.349034E-2</v>
      </c>
      <c r="N6017">
        <v>0</v>
      </c>
      <c r="O6017">
        <v>0.99943510000000002</v>
      </c>
      <c r="P6017">
        <v>-6.0684299999999997E-2</v>
      </c>
      <c r="Q6017">
        <v>4.3625950000000004E-3</v>
      </c>
      <c r="R6017">
        <v>0.99814749999999997</v>
      </c>
      <c r="S6017">
        <v>5.8639530000000002E-2</v>
      </c>
      <c r="T6017">
        <v>-0.19206309999999999</v>
      </c>
      <c r="U6017">
        <v>3.00943</v>
      </c>
      <c r="V6017">
        <v>-9.4104099999999996E-2</v>
      </c>
      <c r="W6017">
        <v>6.8276040000000001E-3</v>
      </c>
      <c r="X6017">
        <v>0.9955389</v>
      </c>
      <c r="Y6017">
        <v>-1.405298E-2</v>
      </c>
      <c r="Z6017">
        <v>-6.3628160000000003E-2</v>
      </c>
      <c r="AA6017">
        <v>0.997874699999999</v>
      </c>
      <c r="AB6017">
        <v>34</v>
      </c>
      <c r="AC6017">
        <v>9.1999999999927695E-3</v>
      </c>
      <c r="AD6017">
        <v>-6.4019000000000006E-2</v>
      </c>
      <c r="AE6017">
        <v>0.66523000000000398</v>
      </c>
      <c r="AF6017">
        <v>-1.29639864887846E-2</v>
      </c>
      <c r="AG6017">
        <v>-6.4019000000000006E-2</v>
      </c>
      <c r="AH6017">
        <v>0.65906230582266201</v>
      </c>
      <c r="AI6017">
        <v>95.547038633466599</v>
      </c>
      <c r="AJ6017">
        <v>91.1268827354358</v>
      </c>
      <c r="AK6017">
        <v>0.66229118993307301</v>
      </c>
    </row>
    <row r="6018" spans="1:37" x14ac:dyDescent="0.2">
      <c r="A6018" t="str">
        <f>"20200111153808266"</f>
        <v>20200111153808266</v>
      </c>
      <c r="B6018" t="str">
        <f>"1578728288259464"</f>
        <v>1578728288259464</v>
      </c>
      <c r="C6018" t="s">
        <v>37</v>
      </c>
      <c r="D6018">
        <v>5.8953800000000003</v>
      </c>
      <c r="E6018">
        <v>0.53060839999999998</v>
      </c>
      <c r="F6018" t="s">
        <v>39</v>
      </c>
      <c r="G6018">
        <v>-187.78360000000001</v>
      </c>
      <c r="H6018" s="1">
        <v>-1.7007019999999999E-6</v>
      </c>
      <c r="I6018">
        <v>-7.3192810000000001</v>
      </c>
      <c r="J6018">
        <v>-188.11160000000001</v>
      </c>
      <c r="K6018">
        <v>1.104492</v>
      </c>
      <c r="L6018">
        <v>-24.946290000000001</v>
      </c>
      <c r="M6018">
        <v>3.1893690000000002E-2</v>
      </c>
      <c r="N6018">
        <v>0</v>
      </c>
      <c r="O6018">
        <v>0.99948729999999997</v>
      </c>
      <c r="P6018">
        <v>-6.194475E-2</v>
      </c>
      <c r="Q6018">
        <v>3.9601890000000002E-3</v>
      </c>
      <c r="R6018">
        <v>0.99807169999999901</v>
      </c>
      <c r="S6018">
        <v>5.6625370000000001E-2</v>
      </c>
      <c r="T6018">
        <v>-0.1849943</v>
      </c>
      <c r="U6018">
        <v>3.009827</v>
      </c>
      <c r="V6018">
        <v>-9.3769190000000002E-2</v>
      </c>
      <c r="W6018">
        <v>6.4289769999999998E-3</v>
      </c>
      <c r="X6018">
        <v>0.99557320000000005</v>
      </c>
      <c r="Y6018">
        <v>-1.3122959999999999E-2</v>
      </c>
      <c r="Z6018">
        <v>-6.1292869999999999E-2</v>
      </c>
      <c r="AA6018">
        <v>0.99803349999999902</v>
      </c>
      <c r="AB6018">
        <v>34</v>
      </c>
      <c r="AC6018">
        <v>0.32800000000000201</v>
      </c>
      <c r="AD6018">
        <v>-1.1044937007019999</v>
      </c>
      <c r="AE6018">
        <v>17.627009000000001</v>
      </c>
      <c r="AF6018">
        <v>-0.233443234607596</v>
      </c>
      <c r="AG6018">
        <v>-1.1044937007019999</v>
      </c>
      <c r="AH6018">
        <v>17.559584584579898</v>
      </c>
      <c r="AI6018">
        <v>93.598832210730095</v>
      </c>
      <c r="AJ6018">
        <v>90.761665182632896</v>
      </c>
      <c r="AK6018">
        <v>17.595835099866399</v>
      </c>
    </row>
    <row r="6019" spans="1:37" x14ac:dyDescent="0.2">
      <c r="A6019" t="str">
        <f>"20200111153808286"</f>
        <v>20200111153808286</v>
      </c>
      <c r="B6019" t="str">
        <f>"1578728288278984"</f>
        <v>1578728288278984</v>
      </c>
      <c r="C6019" t="s">
        <v>37</v>
      </c>
      <c r="D6019">
        <v>5.6194610000000003</v>
      </c>
      <c r="E6019">
        <v>0.53077890000000005</v>
      </c>
      <c r="F6019" t="s">
        <v>39</v>
      </c>
      <c r="G6019">
        <v>-187.7852</v>
      </c>
      <c r="H6019" s="1">
        <v>-1.8641769999999899E-6</v>
      </c>
      <c r="I6019">
        <v>-6.937557</v>
      </c>
      <c r="J6019">
        <v>-188.10239999999999</v>
      </c>
      <c r="K6019">
        <v>1.104441</v>
      </c>
      <c r="L6019">
        <v>-24.621489999999898</v>
      </c>
      <c r="M6019">
        <v>3.0442250000000001E-2</v>
      </c>
      <c r="N6019">
        <v>0</v>
      </c>
      <c r="O6019">
        <v>0.99953259999999899</v>
      </c>
      <c r="P6019">
        <v>-6.1042249999999999E-2</v>
      </c>
      <c r="Q6019">
        <v>2.0246050000000001E-3</v>
      </c>
      <c r="R6019">
        <v>0.9981331</v>
      </c>
      <c r="S6019">
        <v>5.4550170000000002E-2</v>
      </c>
      <c r="T6019">
        <v>-0.1846014</v>
      </c>
      <c r="U6019">
        <v>3.0099179999999999</v>
      </c>
      <c r="V6019">
        <v>-9.1415730000000001E-2</v>
      </c>
      <c r="W6019">
        <v>4.506398E-3</v>
      </c>
      <c r="X6019">
        <v>0.99580259999999998</v>
      </c>
      <c r="Y6019">
        <v>-1.2359210000000001E-2</v>
      </c>
      <c r="Z6019">
        <v>-6.1166140000000001E-2</v>
      </c>
      <c r="AA6019">
        <v>0.99805109999999997</v>
      </c>
      <c r="AB6019">
        <v>34</v>
      </c>
      <c r="AC6019">
        <v>0.31719999999998499</v>
      </c>
      <c r="AD6019">
        <v>-1.1044428641770001</v>
      </c>
      <c r="AE6019">
        <v>17.6839329999999</v>
      </c>
      <c r="AF6019">
        <v>-0.22042831637336999</v>
      </c>
      <c r="AG6019">
        <v>-1.1044428641770001</v>
      </c>
      <c r="AH6019">
        <v>17.616700052713199</v>
      </c>
      <c r="AI6019">
        <v>93.587066290641999</v>
      </c>
      <c r="AJ6019">
        <v>90.716873939658797</v>
      </c>
      <c r="AK6019">
        <v>17.652662785827999</v>
      </c>
    </row>
    <row r="6020" spans="1:37" x14ac:dyDescent="0.2">
      <c r="A6020" t="str">
        <f>"20200111153808310"</f>
        <v>20200111153808310</v>
      </c>
      <c r="B6020" t="str">
        <f>"1578728288299480"</f>
        <v>1578728288299480</v>
      </c>
      <c r="C6020" t="s">
        <v>37</v>
      </c>
      <c r="D6020">
        <v>5.9370589999999996</v>
      </c>
      <c r="E6020">
        <v>0.53092659999999903</v>
      </c>
      <c r="F6020" t="s">
        <v>38</v>
      </c>
      <c r="G6020">
        <v>-188.08420000000001</v>
      </c>
      <c r="H6020">
        <v>1.0451589999999999</v>
      </c>
      <c r="I6020">
        <v>-23.686219999999999</v>
      </c>
      <c r="J6020">
        <v>-188.09280000000001</v>
      </c>
      <c r="K6020">
        <v>1.1043700000000001</v>
      </c>
      <c r="L6020">
        <v>-24.261779999999899</v>
      </c>
      <c r="M6020">
        <v>2.8905940000000001E-2</v>
      </c>
      <c r="N6020">
        <v>0</v>
      </c>
      <c r="O6020">
        <v>0.99957819999999997</v>
      </c>
      <c r="P6020">
        <v>-5.8366149999999999E-2</v>
      </c>
      <c r="Q6020">
        <v>-8.942803E-4</v>
      </c>
      <c r="R6020">
        <v>0.99829480000000004</v>
      </c>
      <c r="S6020">
        <v>5.8090210000000003E-2</v>
      </c>
      <c r="T6020">
        <v>-0.19077189999999999</v>
      </c>
      <c r="U6020">
        <v>3.0095519999999998</v>
      </c>
      <c r="V6020">
        <v>-8.7204370000000003E-2</v>
      </c>
      <c r="W6020">
        <v>1.6086729999999999E-3</v>
      </c>
      <c r="X6020">
        <v>0.99618909999999905</v>
      </c>
      <c r="Y6020">
        <v>-9.6489969999999994E-3</v>
      </c>
      <c r="Z6020">
        <v>-6.3214900000000004E-2</v>
      </c>
      <c r="AA6020">
        <v>0.99795330000000004</v>
      </c>
      <c r="AB6020">
        <v>35</v>
      </c>
      <c r="AC6020">
        <v>8.6000000000012698E-3</v>
      </c>
      <c r="AD6020">
        <v>-5.9211000000000097E-2</v>
      </c>
      <c r="AE6020">
        <v>0.57555999999999496</v>
      </c>
      <c r="AF6020">
        <v>-7.9565734537642395E-3</v>
      </c>
      <c r="AG6020">
        <v>-5.9211000000000097E-2</v>
      </c>
      <c r="AH6020">
        <v>0.56954176409512502</v>
      </c>
      <c r="AI6020">
        <v>95.934716956984104</v>
      </c>
      <c r="AJ6020">
        <v>90.800377519984906</v>
      </c>
      <c r="AK6020">
        <v>0.57266663132289497</v>
      </c>
    </row>
    <row r="6021" spans="1:37" x14ac:dyDescent="0.2">
      <c r="A6021" t="str">
        <f>"20200111153808331"</f>
        <v>20200111153808331</v>
      </c>
      <c r="B6021" t="str">
        <f>"1578728288318999"</f>
        <v>1578728288318999</v>
      </c>
      <c r="C6021" t="s">
        <v>37</v>
      </c>
      <c r="D6021">
        <v>5.8093379999999897</v>
      </c>
      <c r="E6021">
        <v>0.53098659999999998</v>
      </c>
      <c r="F6021" t="s">
        <v>38</v>
      </c>
      <c r="G6021">
        <v>-188.07320000000001</v>
      </c>
      <c r="H6021">
        <v>1.045496</v>
      </c>
      <c r="I6021">
        <v>-23.38456</v>
      </c>
      <c r="J6021">
        <v>-188.0838</v>
      </c>
      <c r="K6021">
        <v>1.1042969999999901</v>
      </c>
      <c r="L6021">
        <v>-23.911349999999999</v>
      </c>
      <c r="M6021">
        <v>2.7478869999999999E-2</v>
      </c>
      <c r="N6021">
        <v>0</v>
      </c>
      <c r="O6021">
        <v>0.99961849999999997</v>
      </c>
      <c r="P6021">
        <v>-5.4184789999999997E-2</v>
      </c>
      <c r="Q6021">
        <v>-4.7823190000000002E-3</v>
      </c>
      <c r="R6021">
        <v>0.9985195</v>
      </c>
      <c r="S6021">
        <v>6.6711430000000002E-2</v>
      </c>
      <c r="T6021">
        <v>-0.201955</v>
      </c>
      <c r="U6021">
        <v>3.0088499999999998</v>
      </c>
      <c r="V6021">
        <v>-8.1595790000000001E-2</v>
      </c>
      <c r="W6021">
        <v>-2.2560359999999999E-3</v>
      </c>
      <c r="X6021">
        <v>0.99666299999999997</v>
      </c>
      <c r="Y6021">
        <v>-5.3640199999999997E-3</v>
      </c>
      <c r="Z6021">
        <v>-6.6923129999999997E-2</v>
      </c>
      <c r="AA6021">
        <v>0.99774370000000001</v>
      </c>
      <c r="AB6021">
        <v>35</v>
      </c>
      <c r="AC6021">
        <v>1.05999999999824E-2</v>
      </c>
      <c r="AD6021">
        <v>-5.8800999999999798E-2</v>
      </c>
      <c r="AE6021">
        <v>0.52678999999999798</v>
      </c>
      <c r="AF6021">
        <v>-3.83192898154734E-3</v>
      </c>
      <c r="AG6021">
        <v>-5.8800999999999798E-2</v>
      </c>
      <c r="AH6021">
        <v>0.52040113094084495</v>
      </c>
      <c r="AI6021">
        <v>96.446431234162304</v>
      </c>
      <c r="AJ6021">
        <v>90.421884921190397</v>
      </c>
      <c r="AK6021">
        <v>0.52372662560273697</v>
      </c>
    </row>
    <row r="6022" spans="1:37" x14ac:dyDescent="0.2">
      <c r="A6022" t="str">
        <f>"20200111153808354"</f>
        <v>20200111153808354</v>
      </c>
      <c r="B6022" t="str">
        <f>"1578728288349255"</f>
        <v>1578728288349255</v>
      </c>
      <c r="C6022" t="s">
        <v>37</v>
      </c>
      <c r="D6022">
        <v>5.9104839999999896</v>
      </c>
      <c r="E6022">
        <v>0.53120579999999995</v>
      </c>
      <c r="F6022" t="s">
        <v>38</v>
      </c>
      <c r="G6022">
        <v>-188.0616</v>
      </c>
      <c r="H6022">
        <v>1.044106</v>
      </c>
      <c r="I6022">
        <v>-23.073550000000001</v>
      </c>
      <c r="J6022">
        <v>-188.07560000000001</v>
      </c>
      <c r="K6022">
        <v>1.1042350000000001</v>
      </c>
      <c r="L6022">
        <v>-23.573360000000001</v>
      </c>
      <c r="M6022">
        <v>2.61620999999999E-2</v>
      </c>
      <c r="N6022">
        <v>0</v>
      </c>
      <c r="O6022">
        <v>0.99965380000000004</v>
      </c>
      <c r="P6022">
        <v>-5.0470130000000002E-2</v>
      </c>
      <c r="Q6022">
        <v>-7.2144039999999998E-3</v>
      </c>
      <c r="R6022">
        <v>0.99869949999999996</v>
      </c>
      <c r="S6022">
        <v>7.9330440000000002E-2</v>
      </c>
      <c r="T6022">
        <v>-0.21609679999999901</v>
      </c>
      <c r="U6022">
        <v>3.0077210000000001</v>
      </c>
      <c r="V6022">
        <v>-7.6566029999999993E-2</v>
      </c>
      <c r="W6022">
        <v>-4.6681040000000002E-3</v>
      </c>
      <c r="X6022">
        <v>0.99705359999999998</v>
      </c>
      <c r="Y6022">
        <v>1.365762E-4</v>
      </c>
      <c r="Z6022">
        <v>-7.1613499999999997E-2</v>
      </c>
      <c r="AA6022">
        <v>0.99743250000000006</v>
      </c>
      <c r="AB6022">
        <v>35</v>
      </c>
      <c r="AC6022">
        <v>1.4000000000009999E-2</v>
      </c>
      <c r="AD6022">
        <v>-6.0129000000000099E-2</v>
      </c>
      <c r="AE6022">
        <v>0.49980999999999998</v>
      </c>
      <c r="AF6022">
        <v>9.0597570265431098E-4</v>
      </c>
      <c r="AG6022">
        <v>-6.0129000000000099E-2</v>
      </c>
      <c r="AH6022">
        <v>0.49287737745575</v>
      </c>
      <c r="AI6022">
        <v>96.955466102827302</v>
      </c>
      <c r="AJ6022">
        <v>89.894682677647694</v>
      </c>
      <c r="AK6022">
        <v>0.49653240240756902</v>
      </c>
    </row>
    <row r="6023" spans="1:37" x14ac:dyDescent="0.2">
      <c r="A6023" t="str">
        <f>"20200111153808375"</f>
        <v>20200111153808375</v>
      </c>
      <c r="B6023" t="str">
        <f>"1578728288368775"</f>
        <v>1578728288368775</v>
      </c>
      <c r="C6023" t="s">
        <v>37</v>
      </c>
      <c r="D6023">
        <v>6.0250389999999996</v>
      </c>
      <c r="E6023">
        <v>0.53113279999999996</v>
      </c>
      <c r="F6023" t="s">
        <v>38</v>
      </c>
      <c r="G6023">
        <v>-188.0505</v>
      </c>
      <c r="H6023">
        <v>1.0433190000000001</v>
      </c>
      <c r="I6023">
        <v>-22.76061</v>
      </c>
      <c r="J6023">
        <v>-188.06790000000001</v>
      </c>
      <c r="K6023">
        <v>1.1041840000000001</v>
      </c>
      <c r="L6023">
        <v>-23.23743</v>
      </c>
      <c r="M6023">
        <v>2.4902569999999999E-2</v>
      </c>
      <c r="N6023">
        <v>0</v>
      </c>
      <c r="O6023">
        <v>0.99968590000000002</v>
      </c>
      <c r="P6023">
        <v>-4.7412089999999997E-2</v>
      </c>
      <c r="Q6023">
        <v>-8.7331690000000007E-3</v>
      </c>
      <c r="R6023">
        <v>0.99883719999999998</v>
      </c>
      <c r="S6023">
        <v>9.2178339999999998E-2</v>
      </c>
      <c r="T6023">
        <v>-0.2253888</v>
      </c>
      <c r="U6023">
        <v>3.0069270000000001</v>
      </c>
      <c r="V6023">
        <v>-7.2252090000000005E-2</v>
      </c>
      <c r="W6023">
        <v>-6.1694150000000001E-3</v>
      </c>
      <c r="X6023">
        <v>0.99736729999999996</v>
      </c>
      <c r="Y6023">
        <v>5.6548350000000004E-3</v>
      </c>
      <c r="Z6023">
        <v>-7.4694079999999996E-2</v>
      </c>
      <c r="AA6023">
        <v>0.99719049999999998</v>
      </c>
      <c r="AB6023">
        <v>35</v>
      </c>
      <c r="AC6023">
        <v>1.7400000000009099E-2</v>
      </c>
      <c r="AD6023">
        <v>-6.0864999999999898E-2</v>
      </c>
      <c r="AE6023">
        <v>0.47682000000000002</v>
      </c>
      <c r="AF6023">
        <v>5.4321202372439401E-3</v>
      </c>
      <c r="AG6023">
        <v>-6.0864999999999898E-2</v>
      </c>
      <c r="AH6023">
        <v>0.46946615102755201</v>
      </c>
      <c r="AI6023">
        <v>97.386547589400294</v>
      </c>
      <c r="AJ6023">
        <v>89.337068979566993</v>
      </c>
      <c r="AK6023">
        <v>0.47342636504095997</v>
      </c>
    </row>
    <row r="6024" spans="1:37" x14ac:dyDescent="0.2">
      <c r="A6024" t="str">
        <f>"20200111153808399"</f>
        <v>20200111153808399</v>
      </c>
      <c r="B6024" t="str">
        <f>"1578728288389272"</f>
        <v>1578728288389272</v>
      </c>
      <c r="C6024" t="s">
        <v>37</v>
      </c>
      <c r="D6024">
        <v>5.8039129999999997</v>
      </c>
      <c r="E6024">
        <v>0.50790270000000004</v>
      </c>
      <c r="F6024" t="s">
        <v>38</v>
      </c>
      <c r="G6024">
        <v>-188.04130000000001</v>
      </c>
      <c r="H6024">
        <v>1.0431170000000001</v>
      </c>
      <c r="I6024">
        <v>-22.445429999999899</v>
      </c>
      <c r="J6024">
        <v>-188.05969999999999</v>
      </c>
      <c r="K6024">
        <v>1.1041399999999999</v>
      </c>
      <c r="L6024">
        <v>-22.86469</v>
      </c>
      <c r="M6024">
        <v>2.3548469999999998E-2</v>
      </c>
      <c r="N6024">
        <v>0</v>
      </c>
      <c r="O6024">
        <v>0.99971880000000002</v>
      </c>
      <c r="P6024">
        <v>-4.4302710000000002E-2</v>
      </c>
      <c r="Q6024">
        <v>-8.8937329999999992E-3</v>
      </c>
      <c r="R6024">
        <v>0.99897860000000005</v>
      </c>
      <c r="S6024">
        <v>0.1006165</v>
      </c>
      <c r="T6024">
        <v>-0.23180709999999999</v>
      </c>
      <c r="U6024">
        <v>3.0062259999999998</v>
      </c>
      <c r="V6024">
        <v>-6.7796049999999997E-2</v>
      </c>
      <c r="W6024">
        <v>-6.3118609999999898E-3</v>
      </c>
      <c r="X6024">
        <v>0.99767919999999999</v>
      </c>
      <c r="Y6024">
        <v>9.8070799999999993E-3</v>
      </c>
      <c r="Z6024">
        <v>-7.6825669999999999E-2</v>
      </c>
      <c r="AA6024">
        <v>0.99699629999999995</v>
      </c>
      <c r="AB6024">
        <v>35</v>
      </c>
      <c r="AC6024">
        <v>1.8399999999985501E-2</v>
      </c>
      <c r="AD6024">
        <v>-6.10229999999998E-2</v>
      </c>
      <c r="AE6024">
        <v>0.41926000000000102</v>
      </c>
      <c r="AF6024">
        <v>8.3454719684703405E-3</v>
      </c>
      <c r="AG6024">
        <v>-6.10229999999998E-2</v>
      </c>
      <c r="AH6024">
        <v>0.41088923965808999</v>
      </c>
      <c r="AI6024">
        <v>98.445789434614895</v>
      </c>
      <c r="AJ6024">
        <v>88.836439262379997</v>
      </c>
      <c r="AK6024">
        <v>0.41547974763901602</v>
      </c>
    </row>
    <row r="6025" spans="1:37" x14ac:dyDescent="0.2">
      <c r="A6025" t="str">
        <f>"20200111153808442"</f>
        <v>20200111153808442</v>
      </c>
      <c r="B6025" t="str">
        <f>"1578728288439047"</f>
        <v>1578728288439047</v>
      </c>
      <c r="C6025" t="s">
        <v>37</v>
      </c>
      <c r="D6025">
        <v>5.8223779999999996</v>
      </c>
      <c r="E6025">
        <v>0.50305420000000001</v>
      </c>
      <c r="F6025" t="s">
        <v>39</v>
      </c>
      <c r="G6025">
        <v>-188.39439999999999</v>
      </c>
      <c r="H6025" s="1">
        <v>-6.8431000000000002E-7</v>
      </c>
      <c r="I6025">
        <v>-9.5963940000000001</v>
      </c>
      <c r="J6025">
        <v>-188.0455</v>
      </c>
      <c r="K6025">
        <v>1.104085</v>
      </c>
      <c r="L6025">
        <v>-22.156369999999999</v>
      </c>
      <c r="M6025">
        <v>2.105984E-2</v>
      </c>
      <c r="N6025">
        <v>0</v>
      </c>
      <c r="O6025">
        <v>0.9997743</v>
      </c>
      <c r="P6025">
        <v>-4.226017E-2</v>
      </c>
      <c r="Q6025">
        <v>-8.3939140000000006E-3</v>
      </c>
      <c r="R6025">
        <v>0.99907139999999905</v>
      </c>
      <c r="S6025">
        <v>-7.5622560000000005E-2</v>
      </c>
      <c r="T6025">
        <v>-0.2494411</v>
      </c>
      <c r="U6025">
        <v>2.99749799999999</v>
      </c>
      <c r="V6025">
        <v>-6.3274239999999995E-2</v>
      </c>
      <c r="W6025">
        <v>-5.800833E-3</v>
      </c>
      <c r="X6025">
        <v>0.99797930000000001</v>
      </c>
      <c r="Y6025">
        <v>-4.6181420000000001E-2</v>
      </c>
      <c r="Z6025">
        <v>-8.2844899999999999E-2</v>
      </c>
      <c r="AA6025">
        <v>0.99549189999999999</v>
      </c>
      <c r="AB6025">
        <v>36</v>
      </c>
      <c r="AC6025">
        <v>-0.348899999999986</v>
      </c>
      <c r="AD6025">
        <v>-1.10408568431</v>
      </c>
      <c r="AE6025">
        <v>12.559976000000001</v>
      </c>
      <c r="AF6025">
        <v>-0.60863525749307601</v>
      </c>
      <c r="AG6025">
        <v>-1.10408568431</v>
      </c>
      <c r="AH6025">
        <v>12.4536833993428</v>
      </c>
      <c r="AI6025">
        <v>95.060323618042801</v>
      </c>
      <c r="AJ6025">
        <v>92.797927844954899</v>
      </c>
      <c r="AK6025">
        <v>12.517334871530201</v>
      </c>
    </row>
    <row r="6026" spans="1:37" x14ac:dyDescent="0.2">
      <c r="A6026" t="str">
        <f>"20200111153808465"</f>
        <v>20200111153808465</v>
      </c>
      <c r="B6026" t="str">
        <f>"1578728288459544"</f>
        <v>1578728288459544</v>
      </c>
      <c r="C6026" t="s">
        <v>37</v>
      </c>
      <c r="D6026">
        <v>5.8519249999999996</v>
      </c>
      <c r="E6026">
        <v>0.50275760000000003</v>
      </c>
      <c r="F6026" t="s">
        <v>39</v>
      </c>
      <c r="G6026">
        <v>-188.5301</v>
      </c>
      <c r="H6026" s="1">
        <v>-9.2552019999999998E-7</v>
      </c>
      <c r="I6026">
        <v>-8.8175929999999898</v>
      </c>
      <c r="J6026">
        <v>-188.03899999999999</v>
      </c>
      <c r="K6026">
        <v>1.104066</v>
      </c>
      <c r="L6026">
        <v>-21.799189999999999</v>
      </c>
      <c r="M6026">
        <v>1.982681E-2</v>
      </c>
      <c r="N6026">
        <v>0</v>
      </c>
      <c r="O6026">
        <v>0.99979949999999995</v>
      </c>
      <c r="P6026">
        <v>-4.3581259999999997E-2</v>
      </c>
      <c r="Q6026">
        <v>-9.2086419999999995E-3</v>
      </c>
      <c r="R6026">
        <v>0.99900750000000005</v>
      </c>
      <c r="S6026">
        <v>-0.10884089999999901</v>
      </c>
      <c r="T6026">
        <v>-0.24799459999999901</v>
      </c>
      <c r="U6026">
        <v>2.9960939999999998</v>
      </c>
      <c r="V6026">
        <v>-6.3360529999999998E-2</v>
      </c>
      <c r="W6026">
        <v>-6.6188459999999899E-3</v>
      </c>
      <c r="X6026">
        <v>0.99796870000000004</v>
      </c>
      <c r="Y6026">
        <v>-5.5986889999999997E-2</v>
      </c>
      <c r="Z6026">
        <v>-8.2374509999999998E-2</v>
      </c>
      <c r="AA6026">
        <v>0.99502760000000001</v>
      </c>
      <c r="AB6026">
        <v>36</v>
      </c>
      <c r="AC6026">
        <v>-0.49109999999998799</v>
      </c>
      <c r="AD6026">
        <v>-1.1040669255202</v>
      </c>
      <c r="AE6026">
        <v>12.981597000000001</v>
      </c>
      <c r="AF6026">
        <v>-0.74302134006692999</v>
      </c>
      <c r="AG6026">
        <v>-1.1040669255202</v>
      </c>
      <c r="AH6026">
        <v>12.876303545271</v>
      </c>
      <c r="AI6026">
        <v>94.892688137826894</v>
      </c>
      <c r="AJ6026">
        <v>93.302564949563205</v>
      </c>
      <c r="AK6026">
        <v>12.9448923316411</v>
      </c>
    </row>
    <row r="6027" spans="1:37" x14ac:dyDescent="0.2">
      <c r="A6027" t="str">
        <f>"20200111153808487"</f>
        <v>20200111153808487</v>
      </c>
      <c r="B6027" t="str">
        <f>"1578728288478967"</f>
        <v>1578728288478967</v>
      </c>
      <c r="C6027" t="s">
        <v>37</v>
      </c>
      <c r="D6027">
        <v>5.83317</v>
      </c>
      <c r="E6027">
        <v>0.50207159999999995</v>
      </c>
      <c r="F6027" t="s">
        <v>39</v>
      </c>
      <c r="G6027">
        <v>-188.54480000000001</v>
      </c>
      <c r="H6027" s="1">
        <v>-9.9097920000000006E-7</v>
      </c>
      <c r="I6027">
        <v>-8.6589109999999998</v>
      </c>
      <c r="J6027">
        <v>-188.03290000000001</v>
      </c>
      <c r="K6027">
        <v>1.104044</v>
      </c>
      <c r="L6027">
        <v>-21.439360000000001</v>
      </c>
      <c r="M6027">
        <v>1.859154E-2</v>
      </c>
      <c r="N6027">
        <v>0</v>
      </c>
      <c r="O6027">
        <v>0.99982329999999997</v>
      </c>
      <c r="P6027">
        <v>-4.6370429999999997E-2</v>
      </c>
      <c r="Q6027">
        <v>-9.8447080000000006E-3</v>
      </c>
      <c r="R6027">
        <v>0.99887579999999998</v>
      </c>
      <c r="S6027">
        <v>-0.1153107</v>
      </c>
      <c r="T6027">
        <v>-0.25169789999999997</v>
      </c>
      <c r="U6027">
        <v>2.9956360000000002</v>
      </c>
      <c r="V6027">
        <v>-6.4911969999999999E-2</v>
      </c>
      <c r="W6027">
        <v>-7.2617810000000001E-3</v>
      </c>
      <c r="X6027">
        <v>0.99786450000000004</v>
      </c>
      <c r="Y6027">
        <v>-5.6900859999999998E-2</v>
      </c>
      <c r="Z6027">
        <v>-8.3606189999999997E-2</v>
      </c>
      <c r="AA6027">
        <v>0.99487300000000001</v>
      </c>
      <c r="AB6027">
        <v>36</v>
      </c>
      <c r="AC6027">
        <v>-0.51189999999999702</v>
      </c>
      <c r="AD6027">
        <v>-1.1040449909792001</v>
      </c>
      <c r="AE6027">
        <v>12.780449000000001</v>
      </c>
      <c r="AF6027">
        <v>-0.74387840745604294</v>
      </c>
      <c r="AG6027">
        <v>-1.1040449909792001</v>
      </c>
      <c r="AH6027">
        <v>12.674293230892999</v>
      </c>
      <c r="AI6027">
        <v>94.969901626187607</v>
      </c>
      <c r="AJ6027">
        <v>93.358945056854694</v>
      </c>
      <c r="AK6027">
        <v>12.744017393657501</v>
      </c>
    </row>
    <row r="6028" spans="1:37" x14ac:dyDescent="0.2">
      <c r="A6028" t="str">
        <f>"20200111153808509"</f>
        <v>20200111153808509</v>
      </c>
      <c r="B6028" t="str">
        <f>"1578728288499462"</f>
        <v>1578728288499462</v>
      </c>
      <c r="C6028" t="s">
        <v>37</v>
      </c>
      <c r="D6028">
        <v>6.0269560000000002</v>
      </c>
      <c r="E6028">
        <v>0.50237010000000004</v>
      </c>
      <c r="F6028" t="s">
        <v>39</v>
      </c>
      <c r="G6028">
        <v>-188.57980000000001</v>
      </c>
      <c r="H6028" s="1">
        <v>-9.4236879999999998E-7</v>
      </c>
      <c r="I6028">
        <v>-8.7577539999999896</v>
      </c>
      <c r="J6028">
        <v>-188.0273</v>
      </c>
      <c r="K6028">
        <v>1.104028</v>
      </c>
      <c r="L6028">
        <v>-21.082639999999898</v>
      </c>
      <c r="M6028">
        <v>1.7370400000000001E-2</v>
      </c>
      <c r="N6028">
        <v>0</v>
      </c>
      <c r="O6028">
        <v>0.99984530000000005</v>
      </c>
      <c r="P6028">
        <v>-4.9511649999999997E-2</v>
      </c>
      <c r="Q6028">
        <v>-1.052119E-2</v>
      </c>
      <c r="R6028">
        <v>0.99871810000000005</v>
      </c>
      <c r="S6028">
        <v>-0.1291504</v>
      </c>
      <c r="T6028">
        <v>-0.26072469999999998</v>
      </c>
      <c r="U6028">
        <v>2.994812</v>
      </c>
      <c r="V6028">
        <v>-6.6829529999999998E-2</v>
      </c>
      <c r="W6028">
        <v>-7.945143E-3</v>
      </c>
      <c r="X6028">
        <v>0.99773279999999998</v>
      </c>
      <c r="Y6028">
        <v>-6.0270600000000001E-2</v>
      </c>
      <c r="Z6028">
        <v>-8.6592290000000002E-2</v>
      </c>
      <c r="AA6028">
        <v>0.99441900000000005</v>
      </c>
      <c r="AB6028">
        <v>36</v>
      </c>
      <c r="AC6028">
        <v>-0.55250000000000898</v>
      </c>
      <c r="AD6028">
        <v>-1.1040289423687999</v>
      </c>
      <c r="AE6028">
        <v>12.324885999999999</v>
      </c>
      <c r="AF6028">
        <v>-0.76041625635304</v>
      </c>
      <c r="AG6028">
        <v>-1.1040289423687999</v>
      </c>
      <c r="AH6028">
        <v>12.215606871017901</v>
      </c>
      <c r="AI6028">
        <v>95.154356332406905</v>
      </c>
      <c r="AJ6028">
        <v>93.562041314277593</v>
      </c>
      <c r="AK6028">
        <v>12.288944788539499</v>
      </c>
    </row>
    <row r="6029" spans="1:37" x14ac:dyDescent="0.2">
      <c r="A6029" t="str">
        <f>"20200111153808533"</f>
        <v>20200111153808533</v>
      </c>
      <c r="B6029" t="str">
        <f>"1578728288528742"</f>
        <v>1578728288528742</v>
      </c>
      <c r="C6029" t="s">
        <v>37</v>
      </c>
      <c r="D6029">
        <v>5.8494269999999897</v>
      </c>
      <c r="E6029">
        <v>0.50200270000000002</v>
      </c>
      <c r="F6029" t="s">
        <v>39</v>
      </c>
      <c r="G6029">
        <v>-188.59819999999999</v>
      </c>
      <c r="H6029" s="1">
        <v>-1.035366E-6</v>
      </c>
      <c r="I6029">
        <v>-8.5333769999999998</v>
      </c>
      <c r="J6029">
        <v>-188.02160000000001</v>
      </c>
      <c r="K6029">
        <v>1.104017</v>
      </c>
      <c r="L6029">
        <v>-20.689609999999998</v>
      </c>
      <c r="M6029">
        <v>1.6027119999999999E-2</v>
      </c>
      <c r="N6029">
        <v>0</v>
      </c>
      <c r="O6029">
        <v>0.99986769999999903</v>
      </c>
      <c r="P6029">
        <v>-5.2835350000000003E-2</v>
      </c>
      <c r="Q6029">
        <v>-1.1116579999999999E-2</v>
      </c>
      <c r="R6029">
        <v>0.99854140000000002</v>
      </c>
      <c r="S6029">
        <v>-0.13621520000000001</v>
      </c>
      <c r="T6029">
        <v>-0.26342739999999998</v>
      </c>
      <c r="U6029">
        <v>2.9943240000000002</v>
      </c>
      <c r="V6029">
        <v>-6.8807720000000003E-2</v>
      </c>
      <c r="W6029">
        <v>-8.5465860000000001E-3</v>
      </c>
      <c r="X6029">
        <v>0.99759330000000002</v>
      </c>
      <c r="Y6029">
        <v>-6.1274580000000002E-2</v>
      </c>
      <c r="Z6029">
        <v>-8.7492940000000005E-2</v>
      </c>
      <c r="AA6029">
        <v>0.99427880000000002</v>
      </c>
      <c r="AB6029">
        <v>36</v>
      </c>
      <c r="AC6029">
        <v>-0.57659999999998401</v>
      </c>
      <c r="AD6029">
        <v>-1.1040180353660001</v>
      </c>
      <c r="AE6029">
        <v>12.156233</v>
      </c>
      <c r="AF6029">
        <v>-0.76505996451041602</v>
      </c>
      <c r="AG6029">
        <v>-1.1040180353660001</v>
      </c>
      <c r="AH6029">
        <v>12.0462942494602</v>
      </c>
      <c r="AI6029">
        <v>95.225941579524502</v>
      </c>
      <c r="AJ6029">
        <v>93.633973430114494</v>
      </c>
      <c r="AK6029">
        <v>12.120947888522901</v>
      </c>
    </row>
    <row r="6030" spans="1:37" x14ac:dyDescent="0.2">
      <c r="A6030" t="str">
        <f>"20200111153808555"</f>
        <v>20200111153808555</v>
      </c>
      <c r="B6030" t="str">
        <f>"1578728288549238"</f>
        <v>1578728288549238</v>
      </c>
      <c r="C6030" t="s">
        <v>37</v>
      </c>
      <c r="D6030">
        <v>5.75122</v>
      </c>
      <c r="E6030">
        <v>0.50178120000000004</v>
      </c>
      <c r="F6030" t="s">
        <v>39</v>
      </c>
      <c r="G6030">
        <v>-188.63470000000001</v>
      </c>
      <c r="H6030" s="1">
        <v>-1.0886499999999999E-6</v>
      </c>
      <c r="I6030">
        <v>-8.3940839999999994</v>
      </c>
      <c r="J6030">
        <v>-188.01679999999999</v>
      </c>
      <c r="K6030">
        <v>1.1040099999999999</v>
      </c>
      <c r="L6030">
        <v>-20.328029999999998</v>
      </c>
      <c r="M6030">
        <v>1.4792339999999999E-2</v>
      </c>
      <c r="N6030">
        <v>0</v>
      </c>
      <c r="O6030">
        <v>0.99988679999999996</v>
      </c>
      <c r="P6030">
        <v>-5.5827729999999999E-2</v>
      </c>
      <c r="Q6030">
        <v>-1.2037519999999999E-2</v>
      </c>
      <c r="R6030">
        <v>0.99836780000000003</v>
      </c>
      <c r="S6030">
        <v>-0.14926149999999999</v>
      </c>
      <c r="T6030">
        <v>-0.268787</v>
      </c>
      <c r="U6030">
        <v>2.9935</v>
      </c>
      <c r="V6030">
        <v>-7.056279E-2</v>
      </c>
      <c r="W6030">
        <v>-9.471831E-3</v>
      </c>
      <c r="X6030">
        <v>0.99746239999999997</v>
      </c>
      <c r="Y6030">
        <v>-6.4369689999999993E-2</v>
      </c>
      <c r="Z6030">
        <v>-8.9267979999999997E-2</v>
      </c>
      <c r="AA6030">
        <v>0.99392549999999902</v>
      </c>
      <c r="AB6030">
        <v>36</v>
      </c>
      <c r="AC6030">
        <v>-0.61790000000001999</v>
      </c>
      <c r="AD6030">
        <v>-1.1040110886499901</v>
      </c>
      <c r="AE6030">
        <v>11.933946000000001</v>
      </c>
      <c r="AF6030">
        <v>-0.78764133640925404</v>
      </c>
      <c r="AG6030">
        <v>-1.1040110886499901</v>
      </c>
      <c r="AH6030">
        <v>11.8225913228006</v>
      </c>
      <c r="AI6030">
        <v>95.323161500202602</v>
      </c>
      <c r="AJ6030">
        <v>93.811510811076005</v>
      </c>
      <c r="AK6030">
        <v>11.9001212155441</v>
      </c>
    </row>
    <row r="6031" spans="1:37" x14ac:dyDescent="0.2">
      <c r="A6031" t="str">
        <f>"20200111153808576"</f>
        <v>20200111153808576</v>
      </c>
      <c r="B6031" t="str">
        <f>"1578728288569509"</f>
        <v>1578728288569509</v>
      </c>
      <c r="C6031" t="s">
        <v>37</v>
      </c>
      <c r="D6031">
        <v>5.9117410000000001</v>
      </c>
      <c r="E6031">
        <v>0.50184929999999905</v>
      </c>
      <c r="F6031" t="s">
        <v>39</v>
      </c>
      <c r="G6031">
        <v>-188.6628</v>
      </c>
      <c r="H6031" s="1">
        <v>-1.1581189999999899E-6</v>
      </c>
      <c r="I6031">
        <v>-8.2205349999999999</v>
      </c>
      <c r="J6031">
        <v>-188.01259999999999</v>
      </c>
      <c r="K6031">
        <v>1.1039969999999999</v>
      </c>
      <c r="L6031">
        <v>-19.984379999999899</v>
      </c>
      <c r="M6031">
        <v>1.3619640000000001E-2</v>
      </c>
      <c r="N6031">
        <v>0</v>
      </c>
      <c r="O6031">
        <v>0.9999034</v>
      </c>
      <c r="P6031">
        <v>-5.8050490000000003E-2</v>
      </c>
      <c r="Q6031">
        <v>-1.260903E-2</v>
      </c>
      <c r="R6031">
        <v>0.99823399999999995</v>
      </c>
      <c r="S6031">
        <v>-0.159668</v>
      </c>
      <c r="T6031">
        <v>-0.27288440000000003</v>
      </c>
      <c r="U6031">
        <v>2.9926759999999999</v>
      </c>
      <c r="V6031">
        <v>-7.1611579999999994E-2</v>
      </c>
      <c r="W6031">
        <v>-1.004449E-2</v>
      </c>
      <c r="X6031">
        <v>0.99738199999999999</v>
      </c>
      <c r="Y6031">
        <v>-6.6653210000000004E-2</v>
      </c>
      <c r="Z6031">
        <v>-9.0629790000000002E-2</v>
      </c>
      <c r="AA6031">
        <v>0.99365159999999997</v>
      </c>
      <c r="AB6031">
        <v>37</v>
      </c>
      <c r="AC6031">
        <v>-0.65020000000001199</v>
      </c>
      <c r="AD6031">
        <v>-1.1039981581189999</v>
      </c>
      <c r="AE6031">
        <v>11.7638449999999</v>
      </c>
      <c r="AF6031">
        <v>-0.80330630664665104</v>
      </c>
      <c r="AG6031">
        <v>-1.1039981581189999</v>
      </c>
      <c r="AH6031">
        <v>11.6515929152647</v>
      </c>
      <c r="AI6031">
        <v>95.399921387585707</v>
      </c>
      <c r="AJ6031">
        <v>93.943953757600596</v>
      </c>
      <c r="AK6031">
        <v>11.7313140959773</v>
      </c>
    </row>
    <row r="6032" spans="1:37" x14ac:dyDescent="0.2">
      <c r="A6032" t="str">
        <f>"20200111153808622"</f>
        <v>20200111153808622</v>
      </c>
      <c r="B6032" t="str">
        <f>"1578728288619285"</f>
        <v>1578728288619285</v>
      </c>
      <c r="C6032" t="s">
        <v>37</v>
      </c>
      <c r="D6032">
        <v>6.0999359999999996</v>
      </c>
      <c r="E6032">
        <v>0.50203589999999998</v>
      </c>
      <c r="F6032" t="s">
        <v>39</v>
      </c>
      <c r="G6032">
        <v>-188.6815</v>
      </c>
      <c r="H6032" s="1">
        <v>-1.2822870000000001E-6</v>
      </c>
      <c r="I6032">
        <v>-7.9233429999999903</v>
      </c>
      <c r="J6032">
        <v>-188.00479999999999</v>
      </c>
      <c r="K6032">
        <v>1.1039939999999999</v>
      </c>
      <c r="L6032">
        <v>-19.221710000000002</v>
      </c>
      <c r="M6032">
        <v>1.1021309999999999E-2</v>
      </c>
      <c r="N6032">
        <v>0</v>
      </c>
      <c r="O6032">
        <v>0.99993539999999903</v>
      </c>
      <c r="P6032">
        <v>-6.0435199999999897E-2</v>
      </c>
      <c r="Q6032">
        <v>-1.3809729999999999E-2</v>
      </c>
      <c r="R6032">
        <v>0.99807659999999998</v>
      </c>
      <c r="S6032">
        <v>-0.16593929999999901</v>
      </c>
      <c r="T6032">
        <v>-0.27388779999999902</v>
      </c>
      <c r="U6032">
        <v>2.9921880000000001</v>
      </c>
      <c r="V6032">
        <v>-7.1398569999999995E-2</v>
      </c>
      <c r="W6032">
        <v>-1.123615E-2</v>
      </c>
      <c r="X6032">
        <v>0.99738449999999901</v>
      </c>
      <c r="Y6032">
        <v>-6.6143839999999995E-2</v>
      </c>
      <c r="Z6032">
        <v>-9.0975739999999999E-2</v>
      </c>
      <c r="AA6032">
        <v>0.99365409999999899</v>
      </c>
      <c r="AB6032">
        <v>37</v>
      </c>
      <c r="AC6032">
        <v>-0.67670000000001096</v>
      </c>
      <c r="AD6032">
        <v>-1.1039952822870001</v>
      </c>
      <c r="AE6032">
        <v>11.298367000000001</v>
      </c>
      <c r="AF6032">
        <v>-0.79363183654710201</v>
      </c>
      <c r="AG6032">
        <v>-1.1039952822870001</v>
      </c>
      <c r="AH6032">
        <v>11.1838234500563</v>
      </c>
      <c r="AI6032">
        <v>95.623556936995897</v>
      </c>
      <c r="AJ6032">
        <v>94.059046330935999</v>
      </c>
      <c r="AK6032">
        <v>11.2661690044719</v>
      </c>
    </row>
    <row r="6033" spans="1:37" x14ac:dyDescent="0.2">
      <c r="A6033" t="str">
        <f>"20200111153808644"</f>
        <v>20200111153808644</v>
      </c>
      <c r="B6033" t="str">
        <f>"1578728288638806"</f>
        <v>1578728288638806</v>
      </c>
      <c r="C6033" t="s">
        <v>37</v>
      </c>
      <c r="D6033">
        <v>5.884328</v>
      </c>
      <c r="E6033">
        <v>0.50218450000000003</v>
      </c>
      <c r="F6033" t="s">
        <v>39</v>
      </c>
      <c r="G6033">
        <v>-188.6799</v>
      </c>
      <c r="H6033" s="1">
        <v>-1.4919949999999999E-6</v>
      </c>
      <c r="I6033">
        <v>-7.4351779999999996</v>
      </c>
      <c r="J6033">
        <v>-188.0018</v>
      </c>
      <c r="K6033">
        <v>1.1039889999999899</v>
      </c>
      <c r="L6033">
        <v>-18.857089999999999</v>
      </c>
      <c r="M6033">
        <v>9.7814289999999995E-3</v>
      </c>
      <c r="N6033">
        <v>0</v>
      </c>
      <c r="O6033">
        <v>0.99994830000000001</v>
      </c>
      <c r="P6033">
        <v>-6.118552E-2</v>
      </c>
      <c r="Q6033">
        <v>-1.57862E-2</v>
      </c>
      <c r="R6033">
        <v>0.99800159999999905</v>
      </c>
      <c r="S6033">
        <v>-0.17134089999999999</v>
      </c>
      <c r="T6033">
        <v>-0.28020289999999998</v>
      </c>
      <c r="U6033">
        <v>2.9915159999999998</v>
      </c>
      <c r="V6033">
        <v>-7.0905570000000001E-2</v>
      </c>
      <c r="W6033">
        <v>-1.320554E-2</v>
      </c>
      <c r="X6033">
        <v>0.99739560000000005</v>
      </c>
      <c r="Y6033">
        <v>-6.669638E-2</v>
      </c>
      <c r="Z6033">
        <v>-9.3071490000000007E-2</v>
      </c>
      <c r="AA6033">
        <v>0.99342299999999994</v>
      </c>
      <c r="AB6033">
        <v>37</v>
      </c>
      <c r="AC6033">
        <v>-0.67810000000000004</v>
      </c>
      <c r="AD6033">
        <v>-1.1039904919949901</v>
      </c>
      <c r="AE6033">
        <v>11.421911999999899</v>
      </c>
      <c r="AF6033">
        <v>-0.78250589620178701</v>
      </c>
      <c r="AG6033">
        <v>-1.1039904919949901</v>
      </c>
      <c r="AH6033">
        <v>11.3094477856331</v>
      </c>
      <c r="AI6033">
        <v>95.562143752731103</v>
      </c>
      <c r="AJ6033">
        <v>93.958013299815903</v>
      </c>
      <c r="AK6033">
        <v>11.390114999418101</v>
      </c>
    </row>
    <row r="6034" spans="1:37" x14ac:dyDescent="0.2">
      <c r="A6034" t="str">
        <f>"20200111153808667"</f>
        <v>20200111153808667</v>
      </c>
      <c r="B6034" t="str">
        <f>"1578728288659301"</f>
        <v>1578728288659301</v>
      </c>
      <c r="C6034" t="s">
        <v>37</v>
      </c>
      <c r="D6034">
        <v>5.9771669999999997</v>
      </c>
      <c r="E6034">
        <v>0.50192190000000003</v>
      </c>
      <c r="F6034" t="s">
        <v>39</v>
      </c>
      <c r="G6034">
        <v>-188.65700000000001</v>
      </c>
      <c r="H6034" s="1">
        <v>-1.466389E-6</v>
      </c>
      <c r="I6034">
        <v>-7.5043280000000001</v>
      </c>
      <c r="J6034">
        <v>-187.9991</v>
      </c>
      <c r="K6034">
        <v>1.103985</v>
      </c>
      <c r="L6034">
        <v>-18.472839999999898</v>
      </c>
      <c r="M6034">
        <v>8.4766630000000006E-3</v>
      </c>
      <c r="N6034">
        <v>0</v>
      </c>
      <c r="O6034">
        <v>0.99996010000000002</v>
      </c>
      <c r="P6034">
        <v>-6.1942030000000002E-2</v>
      </c>
      <c r="Q6034">
        <v>-1.760579E-2</v>
      </c>
      <c r="R6034">
        <v>0.99792440000000004</v>
      </c>
      <c r="S6034">
        <v>-0.17262269999999999</v>
      </c>
      <c r="T6034">
        <v>-0.29083949999999997</v>
      </c>
      <c r="U6034">
        <v>2.9908139999999999</v>
      </c>
      <c r="V6034">
        <v>-7.0354449999999999E-2</v>
      </c>
      <c r="W6034">
        <v>-1.50164999999999E-2</v>
      </c>
      <c r="X6034">
        <v>0.99740899999999999</v>
      </c>
      <c r="Y6034">
        <v>-6.5812770000000007E-2</v>
      </c>
      <c r="Z6034">
        <v>-9.6597899999999903E-2</v>
      </c>
      <c r="AA6034">
        <v>0.99314530000000001</v>
      </c>
      <c r="AB6034">
        <v>37</v>
      </c>
      <c r="AC6034">
        <v>-0.65790000000001203</v>
      </c>
      <c r="AD6034">
        <v>-1.103986466389</v>
      </c>
      <c r="AE6034">
        <v>10.968511999999899</v>
      </c>
      <c r="AF6034">
        <v>-0.74334958407643803</v>
      </c>
      <c r="AG6034">
        <v>-1.103986466389</v>
      </c>
      <c r="AH6034">
        <v>10.8529887390028</v>
      </c>
      <c r="AI6034">
        <v>95.794772593501406</v>
      </c>
      <c r="AJ6034">
        <v>93.918218339995207</v>
      </c>
      <c r="AK6034">
        <v>10.934290982548299</v>
      </c>
    </row>
    <row r="6035" spans="1:37" x14ac:dyDescent="0.2">
      <c r="A6035" t="str">
        <f>"20200111153808689"</f>
        <v>20200111153808689</v>
      </c>
      <c r="B6035" t="str">
        <f>"1578728288678824"</f>
        <v>1578728288678824</v>
      </c>
      <c r="C6035" t="s">
        <v>37</v>
      </c>
      <c r="D6035">
        <v>5.8492680000000004</v>
      </c>
      <c r="E6035">
        <v>0.48678529999999998</v>
      </c>
      <c r="F6035" t="s">
        <v>38</v>
      </c>
      <c r="G6035">
        <v>-188.05430000000001</v>
      </c>
      <c r="H6035">
        <v>1.009854</v>
      </c>
      <c r="I6035">
        <v>-17.538</v>
      </c>
      <c r="J6035">
        <v>-187.99680000000001</v>
      </c>
      <c r="K6035">
        <v>1.1039779999999999</v>
      </c>
      <c r="L6035">
        <v>-18.088039999999999</v>
      </c>
      <c r="M6035">
        <v>7.17206099999999E-3</v>
      </c>
      <c r="N6035">
        <v>0</v>
      </c>
      <c r="O6035">
        <v>0.99997029999999998</v>
      </c>
      <c r="P6035">
        <v>-6.312653E-2</v>
      </c>
      <c r="Q6035">
        <v>-1.9430159999999998E-2</v>
      </c>
      <c r="R6035">
        <v>0.99781640000000005</v>
      </c>
      <c r="S6035">
        <v>-0.17715449999999999</v>
      </c>
      <c r="T6035">
        <v>-0.30108979999999902</v>
      </c>
      <c r="U6035">
        <v>2.9899290000000001</v>
      </c>
      <c r="V6035">
        <v>-7.023066E-2</v>
      </c>
      <c r="W6035">
        <v>-1.6832819999999998E-2</v>
      </c>
      <c r="X6035">
        <v>0.99738869999999902</v>
      </c>
      <c r="Y6035">
        <v>-6.6008209999999998E-2</v>
      </c>
      <c r="Z6035">
        <v>-9.9994609999999998E-2</v>
      </c>
      <c r="AA6035">
        <v>0.99279609999999996</v>
      </c>
      <c r="AB6035">
        <v>38</v>
      </c>
      <c r="AC6035">
        <v>-5.7500000000004499E-2</v>
      </c>
      <c r="AD6035">
        <v>-9.4124000000000096E-2</v>
      </c>
      <c r="AE6035">
        <v>0.55003999999999897</v>
      </c>
      <c r="AF6035">
        <v>-5.9713774584372797E-2</v>
      </c>
      <c r="AG6035">
        <v>-9.4124000000000096E-2</v>
      </c>
      <c r="AH6035">
        <v>0.53414139774254898</v>
      </c>
      <c r="AI6035">
        <v>99.933170431399404</v>
      </c>
      <c r="AJ6035">
        <v>96.378835285514398</v>
      </c>
      <c r="AK6035">
        <v>0.54564832541984098</v>
      </c>
    </row>
    <row r="6036" spans="1:37" x14ac:dyDescent="0.2">
      <c r="A6036" t="str">
        <f>"20200111153808733"</f>
        <v>20200111153808733</v>
      </c>
      <c r="B6036" t="str">
        <f>"1578728288729573"</f>
        <v>1578728288729573</v>
      </c>
      <c r="C6036" t="s">
        <v>37</v>
      </c>
      <c r="D6036">
        <v>5.7894019999999999</v>
      </c>
      <c r="E6036">
        <v>0.4841744</v>
      </c>
      <c r="F6036" t="s">
        <v>39</v>
      </c>
      <c r="G6036">
        <v>-189.08199999999999</v>
      </c>
      <c r="H6036" s="1">
        <v>-1.4525070000000001E-6</v>
      </c>
      <c r="I6036">
        <v>-7.36097</v>
      </c>
      <c r="J6036">
        <v>-187.9939</v>
      </c>
      <c r="K6036">
        <v>1.1039540000000001</v>
      </c>
      <c r="L6036">
        <v>-17.350829999999998</v>
      </c>
      <c r="M6036">
        <v>4.6769659999999899E-3</v>
      </c>
      <c r="N6036">
        <v>0</v>
      </c>
      <c r="O6036">
        <v>0.99998500000000001</v>
      </c>
      <c r="P6036">
        <v>-6.4652020000000004E-2</v>
      </c>
      <c r="Q6036">
        <v>-2.4194199999999999E-2</v>
      </c>
      <c r="R6036">
        <v>0.99761460000000002</v>
      </c>
      <c r="S6036">
        <v>-0.30162050000000001</v>
      </c>
      <c r="T6036">
        <v>-0.30684240000000002</v>
      </c>
      <c r="U6036">
        <v>2.981506</v>
      </c>
      <c r="V6036">
        <v>-6.925125E-2</v>
      </c>
      <c r="W6036">
        <v>-2.1576959999999999E-2</v>
      </c>
      <c r="X6036">
        <v>0.99736589999999903</v>
      </c>
      <c r="Y6036">
        <v>-0.10477889999999999</v>
      </c>
      <c r="Z6036">
        <v>-0.10183389999999901</v>
      </c>
      <c r="AA6036">
        <v>0.98926809999999998</v>
      </c>
      <c r="AB6036">
        <v>38</v>
      </c>
      <c r="AC6036">
        <v>-1.0880999999999901</v>
      </c>
      <c r="AD6036">
        <v>-1.1039554525069999</v>
      </c>
      <c r="AE6036">
        <v>9.9898599999999895</v>
      </c>
      <c r="AF6036">
        <v>-1.1212780995445</v>
      </c>
      <c r="AG6036">
        <v>-1.1039554525069999</v>
      </c>
      <c r="AH6036">
        <v>9.8655962960922405</v>
      </c>
      <c r="AI6036">
        <v>96.344300600449202</v>
      </c>
      <c r="AJ6036">
        <v>96.484149378209693</v>
      </c>
      <c r="AK6036">
        <v>9.9902939143504099</v>
      </c>
    </row>
    <row r="6037" spans="1:37" x14ac:dyDescent="0.2">
      <c r="A6037" t="str">
        <f>"20200111153808754"</f>
        <v>20200111153808754</v>
      </c>
      <c r="B6037" t="str">
        <f>"1578728288749093"</f>
        <v>1578728288749093</v>
      </c>
      <c r="C6037" t="s">
        <v>37</v>
      </c>
      <c r="D6037">
        <v>5.8834309999999999</v>
      </c>
      <c r="E6037">
        <v>0.48469620000000002</v>
      </c>
      <c r="F6037" t="s">
        <v>39</v>
      </c>
      <c r="G6037">
        <v>-189.19049999999999</v>
      </c>
      <c r="H6037" s="1">
        <v>-1.827721E-6</v>
      </c>
      <c r="I6037">
        <v>-6.4414499999999997</v>
      </c>
      <c r="J6037">
        <v>-187.9931</v>
      </c>
      <c r="K6037">
        <v>1.1039559999999999</v>
      </c>
      <c r="L6037">
        <v>-16.97842</v>
      </c>
      <c r="M6037">
        <v>3.4191079999999902E-3</v>
      </c>
      <c r="N6037">
        <v>0</v>
      </c>
      <c r="O6037">
        <v>0.99999009999999999</v>
      </c>
      <c r="P6037">
        <v>-6.4447099999999993E-2</v>
      </c>
      <c r="Q6037">
        <v>-2.4937170000000002E-2</v>
      </c>
      <c r="R6037">
        <v>0.99760949999999904</v>
      </c>
      <c r="S6037">
        <v>-0.32673649999999999</v>
      </c>
      <c r="T6037">
        <v>-0.30142409999999997</v>
      </c>
      <c r="U6037">
        <v>2.9786990000000002</v>
      </c>
      <c r="V6037">
        <v>-6.778911E-2</v>
      </c>
      <c r="W6037">
        <v>-2.2305579999999998E-2</v>
      </c>
      <c r="X6037">
        <v>0.99745030000000001</v>
      </c>
      <c r="Y6037">
        <v>-0.1118878</v>
      </c>
      <c r="Z6037">
        <v>-0.100065</v>
      </c>
      <c r="AA6037">
        <v>0.98866989999999999</v>
      </c>
      <c r="AB6037">
        <v>38</v>
      </c>
      <c r="AC6037">
        <v>-1.19739999999998</v>
      </c>
      <c r="AD6037">
        <v>-1.103957827721</v>
      </c>
      <c r="AE6037">
        <v>10.53697</v>
      </c>
      <c r="AF6037">
        <v>-1.22019715225464</v>
      </c>
      <c r="AG6037">
        <v>-1.103957827721</v>
      </c>
      <c r="AH6037">
        <v>10.419896017557299</v>
      </c>
      <c r="AI6037">
        <v>96.007017318353505</v>
      </c>
      <c r="AJ6037">
        <v>96.679066831682903</v>
      </c>
      <c r="AK6037">
        <v>10.5490206650885</v>
      </c>
    </row>
    <row r="6038" spans="1:37" x14ac:dyDescent="0.2">
      <c r="A6038" t="str">
        <f>"20200111153808778"</f>
        <v>20200111153808778</v>
      </c>
      <c r="B6038" t="str">
        <f>"1578728288769589"</f>
        <v>1578728288769589</v>
      </c>
      <c r="C6038" t="s">
        <v>37</v>
      </c>
      <c r="D6038">
        <v>5.8306480000000001</v>
      </c>
      <c r="E6038">
        <v>0.48454219999999998</v>
      </c>
      <c r="F6038" t="s">
        <v>39</v>
      </c>
      <c r="G6038">
        <v>-189.13800000000001</v>
      </c>
      <c r="H6038" s="1">
        <v>-1.8593740000000001E-6</v>
      </c>
      <c r="I6038">
        <v>-6.3893789999999999</v>
      </c>
      <c r="J6038">
        <v>-187.99270000000001</v>
      </c>
      <c r="K6038">
        <v>1.1039699999999999</v>
      </c>
      <c r="L6038">
        <v>-16.577269999999999</v>
      </c>
      <c r="M6038">
        <v>2.067045E-3</v>
      </c>
      <c r="N6038">
        <v>0</v>
      </c>
      <c r="O6038">
        <v>0.99999369999999999</v>
      </c>
      <c r="P6038">
        <v>-6.4718059999999994E-2</v>
      </c>
      <c r="Q6038">
        <v>-2.4617380000000001E-2</v>
      </c>
      <c r="R6038">
        <v>0.99759989999999998</v>
      </c>
      <c r="S6038">
        <v>-0.3220673</v>
      </c>
      <c r="T6038">
        <v>-0.31053379999999903</v>
      </c>
      <c r="U6038">
        <v>2.9786069999999998</v>
      </c>
      <c r="V6038">
        <v>-6.6711339999999994E-2</v>
      </c>
      <c r="W6038">
        <v>-2.1971060000000001E-2</v>
      </c>
      <c r="X6038">
        <v>0.99753040000000004</v>
      </c>
      <c r="Y6038">
        <v>-0.1089823</v>
      </c>
      <c r="Z6038">
        <v>-0.10308630000000001</v>
      </c>
      <c r="AA6038">
        <v>0.98868400000000001</v>
      </c>
      <c r="AB6038">
        <v>38</v>
      </c>
      <c r="AC6038">
        <v>-1.14529999999999</v>
      </c>
      <c r="AD6038">
        <v>-1.103971859374</v>
      </c>
      <c r="AE6038">
        <v>10.187891</v>
      </c>
      <c r="AF6038">
        <v>-1.1529868926167699</v>
      </c>
      <c r="AG6038">
        <v>-1.103971859374</v>
      </c>
      <c r="AH6038">
        <v>10.0687486338573</v>
      </c>
      <c r="AI6038">
        <v>96.216804339967098</v>
      </c>
      <c r="AJ6038">
        <v>96.532567742586807</v>
      </c>
      <c r="AK6038">
        <v>10.1945000707557</v>
      </c>
    </row>
    <row r="6039" spans="1:37" x14ac:dyDescent="0.2">
      <c r="A6039" t="str">
        <f>"20200111153808801"</f>
        <v>20200111153808801</v>
      </c>
      <c r="B6039" t="str">
        <f>"1578728288789108"</f>
        <v>1578728288789108</v>
      </c>
      <c r="C6039" t="s">
        <v>37</v>
      </c>
      <c r="D6039">
        <v>6.108886</v>
      </c>
      <c r="E6039">
        <v>0.48435719999999999</v>
      </c>
      <c r="F6039" t="s">
        <v>39</v>
      </c>
      <c r="G6039">
        <v>-189.1311</v>
      </c>
      <c r="H6039" s="1">
        <v>-1.9785589999999999E-6</v>
      </c>
      <c r="I6039">
        <v>-6.1144230000000004</v>
      </c>
      <c r="J6039">
        <v>-187.99289999999999</v>
      </c>
      <c r="K6039">
        <v>1.10398</v>
      </c>
      <c r="L6039">
        <v>-16.186339999999898</v>
      </c>
      <c r="M6039">
        <v>7.5440369999999997E-4</v>
      </c>
      <c r="N6039">
        <v>0</v>
      </c>
      <c r="O6039">
        <v>0.99999559999999998</v>
      </c>
      <c r="P6039">
        <v>-6.4808350000000001E-2</v>
      </c>
      <c r="Q6039">
        <v>-2.4388880000000002E-2</v>
      </c>
      <c r="R6039">
        <v>0.99759969999999998</v>
      </c>
      <c r="S6039">
        <v>-0.32406620000000003</v>
      </c>
      <c r="T6039">
        <v>-0.31426720000000002</v>
      </c>
      <c r="U6039">
        <v>2.9784549999999999</v>
      </c>
      <c r="V6039">
        <v>-6.5492990000000001E-2</v>
      </c>
      <c r="W6039">
        <v>-2.172694E-2</v>
      </c>
      <c r="X6039">
        <v>0.99761650000000002</v>
      </c>
      <c r="Y6039">
        <v>-0.1083249</v>
      </c>
      <c r="Z6039">
        <v>-0.1043178</v>
      </c>
      <c r="AA6039">
        <v>0.98862709999999998</v>
      </c>
      <c r="AB6039">
        <v>38</v>
      </c>
      <c r="AC6039">
        <v>-1.1382000000000101</v>
      </c>
      <c r="AD6039">
        <v>-1.1039819785589999</v>
      </c>
      <c r="AE6039">
        <v>10.0719169999999</v>
      </c>
      <c r="AF6039">
        <v>-1.1323649374418501</v>
      </c>
      <c r="AG6039">
        <v>-1.1039819785589999</v>
      </c>
      <c r="AH6039">
        <v>9.9529848251730293</v>
      </c>
      <c r="AI6039">
        <v>96.289113747129704</v>
      </c>
      <c r="AJ6039">
        <v>96.490711498445506</v>
      </c>
      <c r="AK6039">
        <v>10.0778436925095</v>
      </c>
    </row>
    <row r="6040" spans="1:37" x14ac:dyDescent="0.2">
      <c r="A6040" t="str">
        <f>"20200111153808823"</f>
        <v>20200111153808823</v>
      </c>
      <c r="B6040" t="str">
        <f>"1578728288819365"</f>
        <v>1578728288819365</v>
      </c>
      <c r="C6040" t="s">
        <v>37</v>
      </c>
      <c r="D6040">
        <v>6.110195</v>
      </c>
      <c r="E6040">
        <v>0.48414570000000001</v>
      </c>
      <c r="F6040" t="s">
        <v>39</v>
      </c>
      <c r="G6040">
        <v>-189.14340000000001</v>
      </c>
      <c r="H6040" s="1">
        <v>-2.1676779999999998E-6</v>
      </c>
      <c r="I6040">
        <v>-5.6685169999999996</v>
      </c>
      <c r="J6040">
        <v>-187.99359999999999</v>
      </c>
      <c r="K6040">
        <v>1.1039840000000001</v>
      </c>
      <c r="L6040">
        <v>-15.79959</v>
      </c>
      <c r="M6040">
        <v>-5.3889770000000001E-4</v>
      </c>
      <c r="N6040">
        <v>0</v>
      </c>
      <c r="O6040">
        <v>0.99999570000000004</v>
      </c>
      <c r="P6040">
        <v>-6.5365900000000005E-2</v>
      </c>
      <c r="Q6040">
        <v>-2.4550889999999999E-2</v>
      </c>
      <c r="R6040">
        <v>0.99755930000000004</v>
      </c>
      <c r="S6040">
        <v>-0.32579039999999998</v>
      </c>
      <c r="T6040">
        <v>-0.31262420000000002</v>
      </c>
      <c r="U6040">
        <v>2.978424</v>
      </c>
      <c r="V6040">
        <v>-6.4759239999999996E-2</v>
      </c>
      <c r="W6040">
        <v>-2.187441E-2</v>
      </c>
      <c r="X6040">
        <v>0.99766109999999897</v>
      </c>
      <c r="Y6040">
        <v>-0.1076121</v>
      </c>
      <c r="Z6040">
        <v>-0.103780199999999</v>
      </c>
      <c r="AA6040">
        <v>0.98876149999999996</v>
      </c>
      <c r="AB6040">
        <v>39</v>
      </c>
      <c r="AC6040">
        <v>-1.1498000000000199</v>
      </c>
      <c r="AD6040">
        <v>-1.1039861676780001</v>
      </c>
      <c r="AE6040">
        <v>10.131073000000001</v>
      </c>
      <c r="AF6040">
        <v>-1.1310799561758</v>
      </c>
      <c r="AG6040">
        <v>-1.1039861676780001</v>
      </c>
      <c r="AH6040">
        <v>10.0142884123094</v>
      </c>
      <c r="AI6040">
        <v>96.251515944188299</v>
      </c>
      <c r="AJ6040">
        <v>96.444054692197398</v>
      </c>
      <c r="AK6040">
        <v>10.138249342495101</v>
      </c>
    </row>
    <row r="6041" spans="1:37" x14ac:dyDescent="0.2">
      <c r="A6041" t="str">
        <f>"20200111153808845"</f>
        <v>20200111153808845</v>
      </c>
      <c r="B6041" t="str">
        <f>"1578728288838885"</f>
        <v>1578728288838885</v>
      </c>
      <c r="C6041" t="s">
        <v>37</v>
      </c>
      <c r="D6041">
        <v>5.9384050000000004</v>
      </c>
      <c r="E6041">
        <v>0.48425969999999902</v>
      </c>
      <c r="F6041" t="s">
        <v>39</v>
      </c>
      <c r="G6041">
        <v>-189.15049999999999</v>
      </c>
      <c r="H6041" s="1">
        <v>-2.3116960000000001E-6</v>
      </c>
      <c r="I6041">
        <v>-5.3298709999999998</v>
      </c>
      <c r="J6041">
        <v>-187.99469999999999</v>
      </c>
      <c r="K6041">
        <v>1.1039889999999899</v>
      </c>
      <c r="L6041">
        <v>-15.416839999999899</v>
      </c>
      <c r="M6041">
        <v>-1.8132650000000001E-3</v>
      </c>
      <c r="N6041">
        <v>0</v>
      </c>
      <c r="O6041">
        <v>0.99999419999999895</v>
      </c>
      <c r="P6041">
        <v>-6.7025749999999995E-2</v>
      </c>
      <c r="Q6041">
        <v>-2.4587769999999998E-2</v>
      </c>
      <c r="R6041">
        <v>0.99744829999999995</v>
      </c>
      <c r="S6041">
        <v>-0.329071</v>
      </c>
      <c r="T6041">
        <v>-0.3140231</v>
      </c>
      <c r="U6041">
        <v>2.9780579999999999</v>
      </c>
      <c r="V6041">
        <v>-6.5147860000000002E-2</v>
      </c>
      <c r="W6041">
        <v>-2.1900139999999998E-2</v>
      </c>
      <c r="X6041">
        <v>0.99763519999999895</v>
      </c>
      <c r="Y6041">
        <v>-0.107429199999999</v>
      </c>
      <c r="Z6041">
        <v>-0.1042468</v>
      </c>
      <c r="AA6041">
        <v>0.98873230000000001</v>
      </c>
      <c r="AB6041">
        <v>39</v>
      </c>
      <c r="AC6041">
        <v>-1.1557999999999899</v>
      </c>
      <c r="AD6041">
        <v>-1.1039913116959901</v>
      </c>
      <c r="AE6041">
        <v>10.086969</v>
      </c>
      <c r="AF6041">
        <v>-1.1242155448711999</v>
      </c>
      <c r="AG6041">
        <v>-1.1039913116959901</v>
      </c>
      <c r="AH6041">
        <v>9.9711545299811597</v>
      </c>
      <c r="AI6041">
        <v>96.278511375136304</v>
      </c>
      <c r="AJ6041">
        <v>96.432748963089907</v>
      </c>
      <c r="AK6041">
        <v>10.094878903106901</v>
      </c>
    </row>
    <row r="6042" spans="1:37" x14ac:dyDescent="0.2">
      <c r="A6042" t="str">
        <f>"20200111153808868"</f>
        <v>20200111153808868</v>
      </c>
      <c r="B6042" t="str">
        <f>"1578728288859381"</f>
        <v>1578728288859381</v>
      </c>
      <c r="C6042" t="s">
        <v>37</v>
      </c>
      <c r="D6042">
        <v>6.0476589999999897</v>
      </c>
      <c r="E6042">
        <v>0.48435249999999902</v>
      </c>
      <c r="F6042" t="s">
        <v>39</v>
      </c>
      <c r="G6042">
        <v>-189.18279999999999</v>
      </c>
      <c r="H6042" s="1">
        <v>-2.5398499999999999E-6</v>
      </c>
      <c r="I6042">
        <v>-4.7846779999999898</v>
      </c>
      <c r="J6042">
        <v>-187.9965</v>
      </c>
      <c r="K6042">
        <v>1.1039909999999999</v>
      </c>
      <c r="L6042">
        <v>-15.006929999999899</v>
      </c>
      <c r="M6042">
        <v>-3.1688559999999998E-3</v>
      </c>
      <c r="N6042">
        <v>0</v>
      </c>
      <c r="O6042">
        <v>0.99999069999999901</v>
      </c>
      <c r="P6042">
        <v>-6.9162429999999997E-2</v>
      </c>
      <c r="Q6042">
        <v>-2.4345140000000001E-2</v>
      </c>
      <c r="R6042">
        <v>0.99730830000000004</v>
      </c>
      <c r="S6042">
        <v>-0.33273320000000001</v>
      </c>
      <c r="T6042">
        <v>-0.30918899999999999</v>
      </c>
      <c r="U6042">
        <v>2.9776919999999998</v>
      </c>
      <c r="V6042">
        <v>-6.5933119999999998E-2</v>
      </c>
      <c r="W6042">
        <v>-2.1646180000000001E-2</v>
      </c>
      <c r="X6042">
        <v>0.99758919999999995</v>
      </c>
      <c r="Y6042">
        <v>-0.1073143</v>
      </c>
      <c r="Z6042">
        <v>-0.102664899999999</v>
      </c>
      <c r="AA6042">
        <v>0.98891030000000002</v>
      </c>
      <c r="AB6042">
        <v>39</v>
      </c>
      <c r="AC6042">
        <v>-1.1862999999999799</v>
      </c>
      <c r="AD6042">
        <v>-1.10399353985</v>
      </c>
      <c r="AE6042">
        <v>10.222251999999999</v>
      </c>
      <c r="AF6042">
        <v>-1.14077214477846</v>
      </c>
      <c r="AG6042">
        <v>-1.10399353985</v>
      </c>
      <c r="AH6042">
        <v>10.1096104445559</v>
      </c>
      <c r="AI6042">
        <v>96.193145319920504</v>
      </c>
      <c r="AJ6042">
        <v>96.438043816802093</v>
      </c>
      <c r="AK6042">
        <v>10.233493350904499</v>
      </c>
    </row>
    <row r="6043" spans="1:37" x14ac:dyDescent="0.2">
      <c r="A6043" t="str">
        <f>"20200111153808890"</f>
        <v>20200111153808890</v>
      </c>
      <c r="B6043" t="str">
        <f>"1578728288879483"</f>
        <v>1578728288879483</v>
      </c>
      <c r="C6043" t="s">
        <v>37</v>
      </c>
      <c r="D6043">
        <v>6.068155</v>
      </c>
      <c r="E6043">
        <v>0.48476039999999998</v>
      </c>
      <c r="F6043" t="s">
        <v>39</v>
      </c>
      <c r="G6043">
        <v>-189.2141</v>
      </c>
      <c r="H6043" s="1">
        <v>-2.745547E-6</v>
      </c>
      <c r="I6043">
        <v>-4.2922219999999998</v>
      </c>
      <c r="J6043">
        <v>-187.99860000000001</v>
      </c>
      <c r="K6043">
        <v>1.10399</v>
      </c>
      <c r="L6043">
        <v>-14.635160000000001</v>
      </c>
      <c r="M6043">
        <v>-4.3844920000000003E-3</v>
      </c>
      <c r="N6043">
        <v>0</v>
      </c>
      <c r="O6043">
        <v>0.99998609999999899</v>
      </c>
      <c r="P6043">
        <v>-7.1201699999999896E-2</v>
      </c>
      <c r="Q6043">
        <v>-2.4200920000000001E-2</v>
      </c>
      <c r="R6043">
        <v>0.99716830000000001</v>
      </c>
      <c r="S6043">
        <v>-0.338333099999999</v>
      </c>
      <c r="T6043">
        <v>-0.30675089999999999</v>
      </c>
      <c r="U6043">
        <v>2.97714199999999</v>
      </c>
      <c r="V6043">
        <v>-6.6760550000000002E-2</v>
      </c>
      <c r="W6043">
        <v>-2.1491320000000001E-2</v>
      </c>
      <c r="X6043">
        <v>0.99753760000000002</v>
      </c>
      <c r="Y6043">
        <v>-0.1079719</v>
      </c>
      <c r="Z6043">
        <v>-0.10186729999999999</v>
      </c>
      <c r="AA6043">
        <v>0.98892119999999994</v>
      </c>
      <c r="AB6043">
        <v>39</v>
      </c>
      <c r="AC6043">
        <v>-1.21549999999999</v>
      </c>
      <c r="AD6043">
        <v>-1.103992745547</v>
      </c>
      <c r="AE6043">
        <v>10.342938</v>
      </c>
      <c r="AF6043">
        <v>-1.15713574332608</v>
      </c>
      <c r="AG6043">
        <v>-1.103992745547</v>
      </c>
      <c r="AH6043">
        <v>10.233167982400399</v>
      </c>
      <c r="AI6043">
        <v>96.118773985711599</v>
      </c>
      <c r="AJ6043">
        <v>96.4514300520256</v>
      </c>
      <c r="AK6043">
        <v>10.357388187507899</v>
      </c>
    </row>
    <row r="6044" spans="1:37" x14ac:dyDescent="0.2">
      <c r="A6044" t="str">
        <f>"20200111153808912"</f>
        <v>20200111153808912</v>
      </c>
      <c r="B6044" t="str">
        <f>"1578728288899002"</f>
        <v>1578728288899002</v>
      </c>
      <c r="C6044" t="s">
        <v>37</v>
      </c>
      <c r="D6044">
        <v>5.9311470000000002</v>
      </c>
      <c r="E6044">
        <v>0.48467129999999897</v>
      </c>
      <c r="F6044" t="s">
        <v>39</v>
      </c>
      <c r="G6044">
        <v>-189.21379999999999</v>
      </c>
      <c r="H6044" s="1">
        <v>-2.8532059999999998E-6</v>
      </c>
      <c r="I6044">
        <v>-4.0413949999999996</v>
      </c>
      <c r="J6044">
        <v>-188.00120000000001</v>
      </c>
      <c r="K6044">
        <v>1.1039749999999999</v>
      </c>
      <c r="L6044">
        <v>-14.2355</v>
      </c>
      <c r="M6044">
        <v>-5.66780699999999E-3</v>
      </c>
      <c r="N6044">
        <v>0</v>
      </c>
      <c r="O6044">
        <v>0.99997959999999997</v>
      </c>
      <c r="P6044">
        <v>-7.2848769999999993E-2</v>
      </c>
      <c r="Q6044">
        <v>-2.4795580000000001E-2</v>
      </c>
      <c r="R6044">
        <v>0.99703469999999905</v>
      </c>
      <c r="S6044">
        <v>-0.34146120000000002</v>
      </c>
      <c r="T6044">
        <v>-0.31019540000000001</v>
      </c>
      <c r="U6044">
        <v>2.9765929999999998</v>
      </c>
      <c r="V6044">
        <v>-6.7126909999999998E-2</v>
      </c>
      <c r="W6044">
        <v>-2.2071690000000001E-2</v>
      </c>
      <c r="X6044">
        <v>0.99750030000000001</v>
      </c>
      <c r="Y6044">
        <v>-0.10772909999999999</v>
      </c>
      <c r="Z6044">
        <v>-0.1030121</v>
      </c>
      <c r="AA6044">
        <v>0.98882909999999902</v>
      </c>
      <c r="AB6044">
        <v>39</v>
      </c>
      <c r="AC6044">
        <v>-1.2125999999999799</v>
      </c>
      <c r="AD6044">
        <v>-1.1039778532059901</v>
      </c>
      <c r="AE6044">
        <v>10.194105</v>
      </c>
      <c r="AF6044">
        <v>-1.14160020744003</v>
      </c>
      <c r="AG6044">
        <v>-1.1039778532059901</v>
      </c>
      <c r="AH6044">
        <v>10.084197057619599</v>
      </c>
      <c r="AI6044">
        <v>96.208291585405107</v>
      </c>
      <c r="AJ6044">
        <v>96.458777072614296</v>
      </c>
      <c r="AK6044">
        <v>10.2084792418313</v>
      </c>
    </row>
    <row r="6045" spans="1:37" x14ac:dyDescent="0.2">
      <c r="A6045" t="str">
        <f>"20200111153808936"</f>
        <v>20200111153808936</v>
      </c>
      <c r="B6045" t="str">
        <f>"1578728288929258"</f>
        <v>1578728288929258</v>
      </c>
      <c r="C6045" t="s">
        <v>37</v>
      </c>
      <c r="D6045">
        <v>5.9205759999999996</v>
      </c>
      <c r="E6045">
        <v>0.48463590000000001</v>
      </c>
      <c r="F6045" t="s">
        <v>39</v>
      </c>
      <c r="G6045">
        <v>-189.22829999999999</v>
      </c>
      <c r="H6045" s="1">
        <v>-2.9906319999999998E-6</v>
      </c>
      <c r="I6045">
        <v>-3.715055</v>
      </c>
      <c r="J6045">
        <v>-188.00450000000001</v>
      </c>
      <c r="K6045">
        <v>1.103947</v>
      </c>
      <c r="L6045">
        <v>-13.817229999999901</v>
      </c>
      <c r="M6045">
        <v>-6.9741530000000003E-3</v>
      </c>
      <c r="N6045">
        <v>0</v>
      </c>
      <c r="O6045">
        <v>0.99997130000000001</v>
      </c>
      <c r="P6045">
        <v>-7.4883469999999994E-2</v>
      </c>
      <c r="Q6045">
        <v>-2.6091369999999999E-2</v>
      </c>
      <c r="R6045">
        <v>0.99685089999999998</v>
      </c>
      <c r="S6045">
        <v>-0.3470917</v>
      </c>
      <c r="T6045">
        <v>-0.31226969999999998</v>
      </c>
      <c r="U6045">
        <v>2.9758</v>
      </c>
      <c r="V6045">
        <v>-6.7855979999999996E-2</v>
      </c>
      <c r="W6045">
        <v>-2.335226E-2</v>
      </c>
      <c r="X6045">
        <v>0.99742180000000003</v>
      </c>
      <c r="Y6045">
        <v>-0.10829809999999999</v>
      </c>
      <c r="Z6045">
        <v>-0.10370509999999999</v>
      </c>
      <c r="AA6045">
        <v>0.98869449999999903</v>
      </c>
      <c r="AB6045">
        <v>39</v>
      </c>
      <c r="AC6045">
        <v>-1.22379999999998</v>
      </c>
      <c r="AD6045">
        <v>-1.1039499906320001</v>
      </c>
      <c r="AE6045">
        <v>10.102175000000001</v>
      </c>
      <c r="AF6045">
        <v>-1.1399002569983601</v>
      </c>
      <c r="AG6045">
        <v>-1.1039499906320001</v>
      </c>
      <c r="AH6045">
        <v>9.9928577522919593</v>
      </c>
      <c r="AI6045">
        <v>96.263829384609707</v>
      </c>
      <c r="AJ6045">
        <v>96.507686034575499</v>
      </c>
      <c r="AK6045">
        <v>10.118067218360499</v>
      </c>
    </row>
    <row r="6046" spans="1:37" x14ac:dyDescent="0.2">
      <c r="A6046" t="str">
        <f>"20200111153808957"</f>
        <v>20200111153808957</v>
      </c>
      <c r="B6046" t="str">
        <f>"1578728288948779"</f>
        <v>1578728288948779</v>
      </c>
      <c r="C6046" t="s">
        <v>37</v>
      </c>
      <c r="D6046">
        <v>5.9549289999999999</v>
      </c>
      <c r="E6046">
        <v>0.48482429999999899</v>
      </c>
      <c r="F6046" t="s">
        <v>39</v>
      </c>
      <c r="G6046">
        <v>-189.22370000000001</v>
      </c>
      <c r="H6046" s="1">
        <v>-3.0590010000000001E-6</v>
      </c>
      <c r="I6046">
        <v>-3.5575899999999998</v>
      </c>
      <c r="J6046">
        <v>-188.00810000000001</v>
      </c>
      <c r="K6046">
        <v>1.10392</v>
      </c>
      <c r="L6046">
        <v>-13.43069</v>
      </c>
      <c r="M6046">
        <v>-8.1353740000000008E-3</v>
      </c>
      <c r="N6046">
        <v>0</v>
      </c>
      <c r="O6046">
        <v>0.99996249999999998</v>
      </c>
      <c r="P6046">
        <v>-7.6699290000000003E-2</v>
      </c>
      <c r="Q6046">
        <v>-2.636428E-2</v>
      </c>
      <c r="R6046">
        <v>0.99670569999999903</v>
      </c>
      <c r="S6046">
        <v>-0.3534698</v>
      </c>
      <c r="T6046">
        <v>-0.32006509999999999</v>
      </c>
      <c r="U6046">
        <v>2.974548</v>
      </c>
      <c r="V6046">
        <v>-6.8515220000000002E-2</v>
      </c>
      <c r="W6046">
        <v>-2.3609339999999999E-2</v>
      </c>
      <c r="X6046">
        <v>0.99737070000000005</v>
      </c>
      <c r="Y6046">
        <v>-0.109250399999999</v>
      </c>
      <c r="Z6046">
        <v>-0.1062887</v>
      </c>
      <c r="AA6046">
        <v>0.98831530000000001</v>
      </c>
      <c r="AB6046">
        <v>40</v>
      </c>
      <c r="AC6046">
        <v>-1.21559999999999</v>
      </c>
      <c r="AD6046">
        <v>-1.1039230590010001</v>
      </c>
      <c r="AE6046">
        <v>9.8731000000000009</v>
      </c>
      <c r="AF6046">
        <v>-1.1214276125737901</v>
      </c>
      <c r="AG6046">
        <v>-1.1039230590010001</v>
      </c>
      <c r="AH6046">
        <v>9.7624377006662204</v>
      </c>
      <c r="AI6046">
        <v>96.409726257664204</v>
      </c>
      <c r="AJ6046">
        <v>96.552940023621304</v>
      </c>
      <c r="AK6046">
        <v>9.8884496191175604</v>
      </c>
    </row>
    <row r="6047" spans="1:37" x14ac:dyDescent="0.2">
      <c r="A6047" t="str">
        <f>"20200111153808980"</f>
        <v>20200111153808980</v>
      </c>
      <c r="B6047" t="str">
        <f>"1578728288969543"</f>
        <v>1578728288969543</v>
      </c>
      <c r="C6047" t="s">
        <v>37</v>
      </c>
      <c r="D6047">
        <v>5.9897689999999999</v>
      </c>
      <c r="E6047">
        <v>0.48491769999999901</v>
      </c>
      <c r="F6047" t="s">
        <v>39</v>
      </c>
      <c r="G6047">
        <v>-189.24199999999999</v>
      </c>
      <c r="H6047" s="1">
        <v>-3.2285609999999999E-6</v>
      </c>
      <c r="I6047">
        <v>-3.1547640000000001</v>
      </c>
      <c r="J6047">
        <v>-188.0121</v>
      </c>
      <c r="K6047">
        <v>1.1038790000000001</v>
      </c>
      <c r="L6047">
        <v>-13.03598</v>
      </c>
      <c r="M6047">
        <v>-9.2619130000000001E-3</v>
      </c>
      <c r="N6047">
        <v>0</v>
      </c>
      <c r="O6047">
        <v>0.99995259999999997</v>
      </c>
      <c r="P6047">
        <v>-7.8191609999999995E-2</v>
      </c>
      <c r="Q6047">
        <v>-2.6135019999999998E-2</v>
      </c>
      <c r="R6047">
        <v>0.99659569999999997</v>
      </c>
      <c r="S6047">
        <v>-0.35713200000000001</v>
      </c>
      <c r="T6047">
        <v>-0.31949099999999903</v>
      </c>
      <c r="U6047">
        <v>2.9739990000000001</v>
      </c>
      <c r="V6047">
        <v>-6.8887519999999994E-2</v>
      </c>
      <c r="W6047">
        <v>-2.3360970000000002E-2</v>
      </c>
      <c r="X6047">
        <v>0.99735090000000004</v>
      </c>
      <c r="Y6047">
        <v>-0.109354199999999</v>
      </c>
      <c r="Z6047">
        <v>-0.1061097</v>
      </c>
      <c r="AA6047">
        <v>0.98832299999999995</v>
      </c>
      <c r="AB6047">
        <v>40</v>
      </c>
      <c r="AC6047">
        <v>-1.22990000000001</v>
      </c>
      <c r="AD6047">
        <v>-1.1038822285609999</v>
      </c>
      <c r="AE6047">
        <v>9.8812160000000002</v>
      </c>
      <c r="AF6047">
        <v>-1.1245077928848899</v>
      </c>
      <c r="AG6047">
        <v>-1.1038822285609999</v>
      </c>
      <c r="AH6047">
        <v>9.7720855818058698</v>
      </c>
      <c r="AI6047">
        <v>96.403070315256798</v>
      </c>
      <c r="AJ6047">
        <v>96.564350918547802</v>
      </c>
      <c r="AK6047">
        <v>9.8983195729845903</v>
      </c>
    </row>
    <row r="6048" spans="1:37" x14ac:dyDescent="0.2">
      <c r="A6048" t="str">
        <f>"20200111153809003"</f>
        <v>20200111153809003</v>
      </c>
      <c r="B6048" t="str">
        <f>"1578728288998806"</f>
        <v>1578728288998806</v>
      </c>
      <c r="C6048" t="s">
        <v>37</v>
      </c>
      <c r="D6048">
        <v>5.9539960000000001</v>
      </c>
      <c r="E6048">
        <v>0.4850893</v>
      </c>
      <c r="F6048" t="s">
        <v>39</v>
      </c>
      <c r="G6048">
        <v>-189.25450000000001</v>
      </c>
      <c r="H6048" s="1">
        <v>-3.3852400000000001E-6</v>
      </c>
      <c r="I6048">
        <v>-2.784392</v>
      </c>
      <c r="J6048">
        <v>-188.0164</v>
      </c>
      <c r="K6048">
        <v>1.103837</v>
      </c>
      <c r="L6048">
        <v>-12.64264</v>
      </c>
      <c r="M6048">
        <v>-1.030793E-2</v>
      </c>
      <c r="N6048">
        <v>0</v>
      </c>
      <c r="O6048">
        <v>0.99994240000000001</v>
      </c>
      <c r="P6048">
        <v>-7.9937250000000001E-2</v>
      </c>
      <c r="Q6048">
        <v>-2.6195510000000002E-2</v>
      </c>
      <c r="R6048">
        <v>0.9964556</v>
      </c>
      <c r="S6048">
        <v>-0.36038209999999998</v>
      </c>
      <c r="T6048">
        <v>-0.32019189999999997</v>
      </c>
      <c r="U6048">
        <v>2.9735719999999999</v>
      </c>
      <c r="V6048">
        <v>-6.9593669999999996E-2</v>
      </c>
      <c r="W6048">
        <v>-2.3401390000000001E-2</v>
      </c>
      <c r="X6048">
        <v>0.99730090000000005</v>
      </c>
      <c r="Y6048">
        <v>-0.109393</v>
      </c>
      <c r="Z6048">
        <v>-0.1063461</v>
      </c>
      <c r="AA6048">
        <v>0.98829330000000004</v>
      </c>
      <c r="AB6048">
        <v>40</v>
      </c>
      <c r="AC6048">
        <v>-1.2381</v>
      </c>
      <c r="AD6048">
        <v>-1.1038403852400001</v>
      </c>
      <c r="AE6048">
        <v>9.8582479999999997</v>
      </c>
      <c r="AF6048">
        <v>-1.12256001499016</v>
      </c>
      <c r="AG6048">
        <v>-1.1038403852400001</v>
      </c>
      <c r="AH6048">
        <v>9.7501417362765199</v>
      </c>
      <c r="AI6048">
        <v>96.417077062155599</v>
      </c>
      <c r="AJ6048">
        <v>96.567699453051702</v>
      </c>
      <c r="AK6048">
        <v>9.8764299451179696</v>
      </c>
    </row>
    <row r="6049" spans="1:37" x14ac:dyDescent="0.2">
      <c r="A6049" t="str">
        <f>"20200111153809024"</f>
        <v>20200111153809024</v>
      </c>
      <c r="B6049" t="str">
        <f>"1578728289019303"</f>
        <v>1578728289019303</v>
      </c>
      <c r="C6049" t="s">
        <v>37</v>
      </c>
      <c r="D6049">
        <v>6.281091</v>
      </c>
      <c r="E6049">
        <v>0.48502899999999999</v>
      </c>
      <c r="F6049" t="s">
        <v>39</v>
      </c>
      <c r="G6049">
        <v>-189.26079999999999</v>
      </c>
      <c r="H6049" s="1">
        <v>-3.5117089999999998E-6</v>
      </c>
      <c r="I6049">
        <v>-2.486964</v>
      </c>
      <c r="J6049">
        <v>-188.02119999999999</v>
      </c>
      <c r="K6049">
        <v>1.1037859999999999</v>
      </c>
      <c r="L6049">
        <v>-12.249419999999899</v>
      </c>
      <c r="M6049">
        <v>-1.1287480000000001E-2</v>
      </c>
      <c r="N6049">
        <v>0</v>
      </c>
      <c r="O6049">
        <v>0.99993180000000004</v>
      </c>
      <c r="P6049">
        <v>-8.2009910000000005E-2</v>
      </c>
      <c r="Q6049">
        <v>-2.5916120000000001E-2</v>
      </c>
      <c r="R6049">
        <v>0.99629449999999997</v>
      </c>
      <c r="S6049">
        <v>-0.36428829999999901</v>
      </c>
      <c r="T6049">
        <v>-0.32313709999999901</v>
      </c>
      <c r="U6049">
        <v>2.9729610000000002</v>
      </c>
      <c r="V6049">
        <v>-7.0694549999999995E-2</v>
      </c>
      <c r="W6049">
        <v>-2.3102170000000002E-2</v>
      </c>
      <c r="X6049">
        <v>0.99723050000000002</v>
      </c>
      <c r="Y6049">
        <v>-0.1097104</v>
      </c>
      <c r="Z6049">
        <v>-0.10732269999999999</v>
      </c>
      <c r="AA6049">
        <v>0.98815259999999905</v>
      </c>
      <c r="AB6049">
        <v>40</v>
      </c>
      <c r="AC6049">
        <v>-1.23959999999999</v>
      </c>
      <c r="AD6049">
        <v>-1.103789511709</v>
      </c>
      <c r="AE6049">
        <v>9.7624559999999896</v>
      </c>
      <c r="AF6049">
        <v>-1.1152957013324001</v>
      </c>
      <c r="AG6049">
        <v>-1.103789511709</v>
      </c>
      <c r="AH6049">
        <v>9.6543664901194095</v>
      </c>
      <c r="AI6049">
        <v>96.479617116667299</v>
      </c>
      <c r="AJ6049">
        <v>96.589735953932305</v>
      </c>
      <c r="AK6049">
        <v>9.7810545501551101</v>
      </c>
    </row>
    <row r="6050" spans="1:37" x14ac:dyDescent="0.2">
      <c r="A6050" t="str">
        <f>"20200111153809046"</f>
        <v>20200111153809046</v>
      </c>
      <c r="B6050" t="str">
        <f>"1578728289038822"</f>
        <v>1578728289038822</v>
      </c>
      <c r="C6050" t="s">
        <v>37</v>
      </c>
      <c r="D6050">
        <v>6.1738549999999996</v>
      </c>
      <c r="E6050">
        <v>0.48524689999999998</v>
      </c>
      <c r="F6050" t="s">
        <v>39</v>
      </c>
      <c r="G6050">
        <v>-189.29230000000001</v>
      </c>
      <c r="H6050" s="1">
        <v>-3.6850159999999999E-6</v>
      </c>
      <c r="I6050">
        <v>-2.0699689999999999</v>
      </c>
      <c r="J6050">
        <v>-188.0264</v>
      </c>
      <c r="K6050">
        <v>1.103737</v>
      </c>
      <c r="L6050">
        <v>-11.845280000000001</v>
      </c>
      <c r="M6050">
        <v>-1.222001E-2</v>
      </c>
      <c r="N6050">
        <v>0</v>
      </c>
      <c r="O6050">
        <v>0.9999207</v>
      </c>
      <c r="P6050">
        <v>-8.3485000000000004E-2</v>
      </c>
      <c r="Q6050">
        <v>-2.5765179999999999E-2</v>
      </c>
      <c r="R6050">
        <v>0.9961759</v>
      </c>
      <c r="S6050">
        <v>-0.37115479999999901</v>
      </c>
      <c r="T6050">
        <v>-0.32228820000000002</v>
      </c>
      <c r="U6050">
        <v>2.972229</v>
      </c>
      <c r="V6050">
        <v>-7.1244509999999997E-2</v>
      </c>
      <c r="W6050">
        <v>-2.2927940000000001E-2</v>
      </c>
      <c r="X6050">
        <v>0.99719530000000001</v>
      </c>
      <c r="Y6050">
        <v>-0.11106489999999999</v>
      </c>
      <c r="Z6050">
        <v>-0.1070451</v>
      </c>
      <c r="AA6050">
        <v>0.98803129999999995</v>
      </c>
      <c r="AB6050">
        <v>40</v>
      </c>
      <c r="AC6050">
        <v>-1.26590000000001</v>
      </c>
      <c r="AD6050">
        <v>-1.1037406850160001</v>
      </c>
      <c r="AE6050">
        <v>9.7753110000000003</v>
      </c>
      <c r="AF6050">
        <v>-1.13215485402664</v>
      </c>
      <c r="AG6050">
        <v>-1.1037406850160001</v>
      </c>
      <c r="AH6050">
        <v>9.6688167516110504</v>
      </c>
      <c r="AI6050">
        <v>96.468575195389306</v>
      </c>
      <c r="AJ6050">
        <v>96.678546880400901</v>
      </c>
      <c r="AK6050">
        <v>9.7972463217727697</v>
      </c>
    </row>
    <row r="6051" spans="1:37" x14ac:dyDescent="0.2">
      <c r="A6051" t="str">
        <f>"20200111153809079"</f>
        <v>20200111153809079</v>
      </c>
      <c r="B6051" t="str">
        <f>"1578728289069078"</f>
        <v>1578728289069078</v>
      </c>
      <c r="C6051" t="s">
        <v>37</v>
      </c>
      <c r="D6051">
        <v>5.9984820000000001</v>
      </c>
      <c r="E6051">
        <v>0.51467010000000002</v>
      </c>
      <c r="F6051" t="s">
        <v>39</v>
      </c>
      <c r="G6051">
        <v>-189.31280000000001</v>
      </c>
      <c r="H6051" s="1">
        <v>-3.8723540000000004E-6</v>
      </c>
      <c r="I6051">
        <v>-1.6248229999999999</v>
      </c>
      <c r="J6051">
        <v>-188.03479999999999</v>
      </c>
      <c r="K6051">
        <v>1.1036459999999999</v>
      </c>
      <c r="L6051">
        <v>-11.231260000000001</v>
      </c>
      <c r="M6051">
        <v>-1.3488979999999999E-2</v>
      </c>
      <c r="N6051">
        <v>0</v>
      </c>
      <c r="O6051">
        <v>0.99990429999999997</v>
      </c>
      <c r="P6051">
        <v>-8.3800239999999998E-2</v>
      </c>
      <c r="Q6051">
        <v>-2.5757499999999999E-2</v>
      </c>
      <c r="R6051">
        <v>0.99614959999999997</v>
      </c>
      <c r="S6051">
        <v>-0.374054</v>
      </c>
      <c r="T6051">
        <v>-0.32094139999999999</v>
      </c>
      <c r="U6051">
        <v>2.9718629999999999</v>
      </c>
      <c r="V6051">
        <v>-7.0299730000000005E-2</v>
      </c>
      <c r="W6051">
        <v>-2.2877640000000001E-2</v>
      </c>
      <c r="X6051">
        <v>0.99726360000000003</v>
      </c>
      <c r="Y6051">
        <v>-0.110773499999999</v>
      </c>
      <c r="Z6051">
        <v>-0.1066086</v>
      </c>
      <c r="AA6051">
        <v>0.98811130000000003</v>
      </c>
      <c r="AB6051">
        <v>41</v>
      </c>
      <c r="AC6051">
        <v>-1.27800000000002</v>
      </c>
      <c r="AD6051">
        <v>-1.10364987235399</v>
      </c>
      <c r="AE6051">
        <v>9.6064369999999997</v>
      </c>
      <c r="AF6051">
        <v>-1.1336000022670201</v>
      </c>
      <c r="AG6051">
        <v>-1.10364987235399</v>
      </c>
      <c r="AH6051">
        <v>9.4995982069980798</v>
      </c>
      <c r="AI6051">
        <v>96.580559905208602</v>
      </c>
      <c r="AJ6051">
        <v>96.805004188069503</v>
      </c>
      <c r="AK6051">
        <v>9.6304443355583604</v>
      </c>
    </row>
    <row r="6052" spans="1:37" x14ac:dyDescent="0.2">
      <c r="A6052" t="str">
        <f>"20200111153809102"</f>
        <v>20200111153809102</v>
      </c>
      <c r="B6052" t="str">
        <f>"1578728289099335"</f>
        <v>1578728289099335</v>
      </c>
      <c r="C6052" t="s">
        <v>37</v>
      </c>
      <c r="D6052">
        <v>6.02189</v>
      </c>
      <c r="E6052">
        <v>0.51417669999999904</v>
      </c>
      <c r="F6052" t="s">
        <v>39</v>
      </c>
      <c r="G6052">
        <v>-188.62289999999999</v>
      </c>
      <c r="H6052" s="1">
        <v>-9.9418800000000003E-7</v>
      </c>
      <c r="I6052">
        <v>1.380849</v>
      </c>
      <c r="J6052">
        <v>-188.04089999999999</v>
      </c>
      <c r="K6052">
        <v>1.1035729999999999</v>
      </c>
      <c r="L6052">
        <v>-10.81738</v>
      </c>
      <c r="M6052">
        <v>-1.4224759999999999E-2</v>
      </c>
      <c r="N6052">
        <v>0</v>
      </c>
      <c r="O6052">
        <v>0.99989409999999901</v>
      </c>
      <c r="P6052">
        <v>-8.3223560000000002E-2</v>
      </c>
      <c r="Q6052">
        <v>-2.5103E-2</v>
      </c>
      <c r="R6052">
        <v>0.99621469999999901</v>
      </c>
      <c r="S6052">
        <v>-0.13955689999999901</v>
      </c>
      <c r="T6052">
        <v>-0.2619146</v>
      </c>
      <c r="U6052">
        <v>2.9930729999999999</v>
      </c>
      <c r="V6052">
        <v>-6.8993520000000003E-2</v>
      </c>
      <c r="W6052">
        <v>-2.219142E-2</v>
      </c>
      <c r="X6052">
        <v>0.99737019999999998</v>
      </c>
      <c r="Y6052">
        <v>-3.2184949999999997E-2</v>
      </c>
      <c r="Z6052">
        <v>-8.7091130000000003E-2</v>
      </c>
      <c r="AA6052">
        <v>0.99568029999999996</v>
      </c>
      <c r="AB6052">
        <v>41</v>
      </c>
      <c r="AC6052">
        <v>-0.58199999999999297</v>
      </c>
      <c r="AD6052">
        <v>-1.1035739941879901</v>
      </c>
      <c r="AE6052">
        <v>12.198229</v>
      </c>
      <c r="AF6052">
        <v>-0.405115149786823</v>
      </c>
      <c r="AG6052">
        <v>-1.1035739941879901</v>
      </c>
      <c r="AH6052">
        <v>12.106409877352601</v>
      </c>
      <c r="AI6052">
        <v>95.205571653727304</v>
      </c>
      <c r="AJ6052">
        <v>91.916565736446699</v>
      </c>
      <c r="AK6052">
        <v>12.1633529079648</v>
      </c>
    </row>
    <row r="6053" spans="1:37" x14ac:dyDescent="0.2">
      <c r="A6053" t="str">
        <f>"20200111153809125"</f>
        <v>20200111153809125</v>
      </c>
      <c r="B6053" t="str">
        <f>"1578728289118854"</f>
        <v>1578728289118854</v>
      </c>
      <c r="C6053" t="s">
        <v>37</v>
      </c>
      <c r="D6053">
        <v>6.1758670000000002</v>
      </c>
      <c r="E6053">
        <v>0.51429829999999999</v>
      </c>
      <c r="F6053" t="s">
        <v>38</v>
      </c>
      <c r="G6053">
        <v>-188.08949999999999</v>
      </c>
      <c r="H6053">
        <v>1.0091379999999901</v>
      </c>
      <c r="I6053">
        <v>-9.7883399999999998</v>
      </c>
      <c r="J6053">
        <v>-188.04750000000001</v>
      </c>
      <c r="K6053">
        <v>1.10349599999999</v>
      </c>
      <c r="L6053">
        <v>-10.38571</v>
      </c>
      <c r="M6053">
        <v>-1.489673E-2</v>
      </c>
      <c r="N6053">
        <v>0</v>
      </c>
      <c r="O6053">
        <v>0.999884199999999</v>
      </c>
      <c r="P6053">
        <v>-8.2821909999999999E-2</v>
      </c>
      <c r="Q6053">
        <v>-2.4853790000000001E-2</v>
      </c>
      <c r="R6053">
        <v>0.99625439999999998</v>
      </c>
      <c r="S6053">
        <v>-0.1418915</v>
      </c>
      <c r="T6053">
        <v>-0.2746285</v>
      </c>
      <c r="U6053">
        <v>2.9926149999999998</v>
      </c>
      <c r="V6053">
        <v>-6.7925739999999998E-2</v>
      </c>
      <c r="W6053">
        <v>-2.1909479999999999E-2</v>
      </c>
      <c r="X6053">
        <v>0.99744979999999905</v>
      </c>
      <c r="Y6053">
        <v>-3.2277550000000002E-2</v>
      </c>
      <c r="Z6053">
        <v>-9.1294979999999998E-2</v>
      </c>
      <c r="AA6053">
        <v>0.99530069999999904</v>
      </c>
      <c r="AB6053">
        <v>41</v>
      </c>
      <c r="AC6053">
        <v>-4.1999999999973101E-2</v>
      </c>
      <c r="AD6053">
        <v>-9.43579999999999E-2</v>
      </c>
      <c r="AE6053">
        <v>0.59737000000000096</v>
      </c>
      <c r="AF6053">
        <v>-3.2294648674162499E-2</v>
      </c>
      <c r="AG6053">
        <v>-9.43579999999999E-2</v>
      </c>
      <c r="AH6053">
        <v>0.58344405185861503</v>
      </c>
      <c r="AI6053">
        <v>99.172865968923901</v>
      </c>
      <c r="AJ6053">
        <v>93.168188659262697</v>
      </c>
      <c r="AK6053">
        <v>0.59190652821723999</v>
      </c>
    </row>
    <row r="6054" spans="1:37" x14ac:dyDescent="0.2">
      <c r="A6054" t="str">
        <f>"20200111153809147"</f>
        <v>20200111153809147</v>
      </c>
      <c r="B6054" t="str">
        <f>"1578728289139349"</f>
        <v>1578728289139349</v>
      </c>
      <c r="C6054" t="s">
        <v>37</v>
      </c>
      <c r="D6054">
        <v>6.6810749999999999</v>
      </c>
      <c r="E6054">
        <v>0.51432959999999905</v>
      </c>
      <c r="F6054" t="s">
        <v>38</v>
      </c>
      <c r="G6054">
        <v>-188.09280000000001</v>
      </c>
      <c r="H6054">
        <v>1.0140910000000001</v>
      </c>
      <c r="I6054">
        <v>-9.417116</v>
      </c>
      <c r="J6054">
        <v>-188.0538</v>
      </c>
      <c r="K6054">
        <v>1.1034219999999999</v>
      </c>
      <c r="L6054">
        <v>-9.9914860000000001</v>
      </c>
      <c r="M6054">
        <v>-1.5440560000000001E-2</v>
      </c>
      <c r="N6054">
        <v>0</v>
      </c>
      <c r="O6054">
        <v>0.99987599999999999</v>
      </c>
      <c r="P6054">
        <v>-8.2552749999999994E-2</v>
      </c>
      <c r="Q6054">
        <v>-2.5049060000000001E-2</v>
      </c>
      <c r="R6054">
        <v>0.99627180000000004</v>
      </c>
      <c r="S6054">
        <v>-0.13987729999999901</v>
      </c>
      <c r="T6054">
        <v>-0.27624270000000001</v>
      </c>
      <c r="U6054">
        <v>2.99276699999999</v>
      </c>
      <c r="V6054">
        <v>-6.7117389999999999E-2</v>
      </c>
      <c r="W6054">
        <v>-2.2075709999999998E-2</v>
      </c>
      <c r="X6054">
        <v>0.99750079999999997</v>
      </c>
      <c r="Y6054">
        <v>-3.1060870000000001E-2</v>
      </c>
      <c r="Z6054">
        <v>-9.1824520000000007E-2</v>
      </c>
      <c r="AA6054">
        <v>0.99529059999999903</v>
      </c>
      <c r="AB6054">
        <v>41</v>
      </c>
      <c r="AC6054">
        <v>-3.9000000000015599E-2</v>
      </c>
      <c r="AD6054">
        <v>-8.9330999999999799E-2</v>
      </c>
      <c r="AE6054">
        <v>0.57436999999999905</v>
      </c>
      <c r="AF6054">
        <v>-2.9418373627207499E-2</v>
      </c>
      <c r="AG6054">
        <v>-8.9330999999999799E-2</v>
      </c>
      <c r="AH6054">
        <v>0.56138655976391605</v>
      </c>
      <c r="AI6054">
        <v>99.029239544748293</v>
      </c>
      <c r="AJ6054">
        <v>92.9997303509234</v>
      </c>
      <c r="AK6054">
        <v>0.569210275514625</v>
      </c>
    </row>
    <row r="6055" spans="1:37" x14ac:dyDescent="0.2">
      <c r="A6055" t="str">
        <f>"20200111153809168"</f>
        <v>20200111153809168</v>
      </c>
      <c r="B6055" t="str">
        <f>"1578728289158870"</f>
        <v>1578728289158870</v>
      </c>
      <c r="C6055" t="s">
        <v>37</v>
      </c>
      <c r="D6055">
        <v>6.0331769999999896</v>
      </c>
      <c r="E6055">
        <v>0.51429829999999999</v>
      </c>
      <c r="F6055" t="s">
        <v>38</v>
      </c>
      <c r="G6055">
        <v>-188.0975</v>
      </c>
      <c r="H6055">
        <v>1.016526</v>
      </c>
      <c r="I6055">
        <v>-9.0457149999999995</v>
      </c>
      <c r="J6055">
        <v>-188.06030000000001</v>
      </c>
      <c r="K6055">
        <v>1.1033489999999999</v>
      </c>
      <c r="L6055">
        <v>-9.5896609999999995</v>
      </c>
      <c r="M6055">
        <v>-1.5930699999999999E-2</v>
      </c>
      <c r="N6055">
        <v>0</v>
      </c>
      <c r="O6055">
        <v>0.99986819999999899</v>
      </c>
      <c r="P6055">
        <v>-8.2667909999999997E-2</v>
      </c>
      <c r="Q6055">
        <v>-2.5113630000000001E-2</v>
      </c>
      <c r="R6055">
        <v>0.99626059999999905</v>
      </c>
      <c r="S6055">
        <v>-0.13868710000000001</v>
      </c>
      <c r="T6055">
        <v>-0.27497339999999998</v>
      </c>
      <c r="U6055">
        <v>2.9928279999999998</v>
      </c>
      <c r="V6055">
        <v>-6.6746799999999995E-2</v>
      </c>
      <c r="W6055">
        <v>-2.2112110000000001E-2</v>
      </c>
      <c r="X6055">
        <v>0.99752489999999905</v>
      </c>
      <c r="Y6055">
        <v>-3.017678E-2</v>
      </c>
      <c r="Z6055">
        <v>-9.140529E-2</v>
      </c>
      <c r="AA6055">
        <v>0.99535640000000003</v>
      </c>
      <c r="AB6055">
        <v>41</v>
      </c>
      <c r="AC6055">
        <v>-3.7199999999984301E-2</v>
      </c>
      <c r="AD6055">
        <v>-8.6822999999999803E-2</v>
      </c>
      <c r="AE6055">
        <v>0.54394600000000004</v>
      </c>
      <c r="AF6055">
        <v>-2.7824203257722401E-2</v>
      </c>
      <c r="AG6055">
        <v>-8.6822999999999803E-2</v>
      </c>
      <c r="AH6055">
        <v>0.53100388809145804</v>
      </c>
      <c r="AI6055">
        <v>99.273604256502196</v>
      </c>
      <c r="AJ6055">
        <v>92.999512406954807</v>
      </c>
      <c r="AK6055">
        <v>0.53877411666130803</v>
      </c>
    </row>
    <row r="6056" spans="1:37" x14ac:dyDescent="0.2">
      <c r="A6056" t="str">
        <f>"20200111153809190"</f>
        <v>20200111153809190</v>
      </c>
      <c r="B6056" t="str">
        <f>"1578728289179365"</f>
        <v>1578728289179365</v>
      </c>
      <c r="C6056" t="s">
        <v>37</v>
      </c>
      <c r="D6056">
        <v>6.1136489999999997</v>
      </c>
      <c r="E6056">
        <v>0.51466350000000005</v>
      </c>
      <c r="F6056" t="s">
        <v>38</v>
      </c>
      <c r="G6056">
        <v>-188.1028</v>
      </c>
      <c r="H6056">
        <v>1.020589</v>
      </c>
      <c r="I6056">
        <v>-8.6721000000000004</v>
      </c>
      <c r="J6056">
        <v>-188.06720000000001</v>
      </c>
      <c r="K6056">
        <v>1.1032850000000001</v>
      </c>
      <c r="L6056">
        <v>-9.1794429999999991</v>
      </c>
      <c r="M6056">
        <v>-1.6371190000000001E-2</v>
      </c>
      <c r="N6056">
        <v>0</v>
      </c>
      <c r="O6056">
        <v>0.99986109999999995</v>
      </c>
      <c r="P6056">
        <v>-8.2504279999999999E-2</v>
      </c>
      <c r="Q6056">
        <v>-2.5365459999999999E-2</v>
      </c>
      <c r="R6056">
        <v>0.99626789999999998</v>
      </c>
      <c r="S6056">
        <v>-0.13905329999999999</v>
      </c>
      <c r="T6056">
        <v>-0.26994400000000002</v>
      </c>
      <c r="U6056">
        <v>2.9929199999999998</v>
      </c>
      <c r="V6056">
        <v>-6.6146659999999996E-2</v>
      </c>
      <c r="W6056">
        <v>-2.2335319999999999E-2</v>
      </c>
      <c r="X6056">
        <v>0.99755990000000005</v>
      </c>
      <c r="Y6056">
        <v>-2.9863569999999999E-2</v>
      </c>
      <c r="Z6056">
        <v>-8.9743550000000005E-2</v>
      </c>
      <c r="AA6056">
        <v>0.99551710000000004</v>
      </c>
      <c r="AB6056">
        <v>41</v>
      </c>
      <c r="AC6056">
        <v>-3.5599999999988002E-2</v>
      </c>
      <c r="AD6056">
        <v>-8.2696000000000103E-2</v>
      </c>
      <c r="AE6056">
        <v>0.50734299999999799</v>
      </c>
      <c r="AF6056">
        <v>-2.6586479999995999E-2</v>
      </c>
      <c r="AG6056">
        <v>-8.2696000000000103E-2</v>
      </c>
      <c r="AH6056">
        <v>0.49477679610906899</v>
      </c>
      <c r="AI6056">
        <v>99.475174326271002</v>
      </c>
      <c r="AJ6056">
        <v>93.075790007055801</v>
      </c>
      <c r="AK6056">
        <v>0.50234405271959304</v>
      </c>
    </row>
    <row r="6057" spans="1:37" x14ac:dyDescent="0.2">
      <c r="A6057" t="str">
        <f>"20200111153809213"</f>
        <v>20200111153809213</v>
      </c>
      <c r="B6057" t="str">
        <f>"1578728289209622"</f>
        <v>1578728289209622</v>
      </c>
      <c r="C6057" t="s">
        <v>37</v>
      </c>
      <c r="D6057">
        <v>6.0976330000000001</v>
      </c>
      <c r="E6057">
        <v>0.55226709999999901</v>
      </c>
      <c r="F6057" t="s">
        <v>38</v>
      </c>
      <c r="G6057">
        <v>-188.1071</v>
      </c>
      <c r="H6057">
        <v>1.0245070000000001</v>
      </c>
      <c r="I6057">
        <v>-8.2971009999999996</v>
      </c>
      <c r="J6057">
        <v>-188.07429999999999</v>
      </c>
      <c r="K6057">
        <v>1.1032169999999999</v>
      </c>
      <c r="L6057">
        <v>-8.7588200000000001</v>
      </c>
      <c r="M6057">
        <v>-1.676919E-2</v>
      </c>
      <c r="N6057">
        <v>0</v>
      </c>
      <c r="O6057">
        <v>0.99985440000000003</v>
      </c>
      <c r="P6057">
        <v>-8.1873890000000005E-2</v>
      </c>
      <c r="Q6057">
        <v>-2.582156E-2</v>
      </c>
      <c r="R6057">
        <v>0.99630810000000003</v>
      </c>
      <c r="S6057">
        <v>-0.13595579999999999</v>
      </c>
      <c r="T6057">
        <v>-0.26723459999999899</v>
      </c>
      <c r="U6057">
        <v>2.9931640000000002</v>
      </c>
      <c r="V6057">
        <v>-6.5121380000000006E-2</v>
      </c>
      <c r="W6057">
        <v>-2.2762089999999999E-2</v>
      </c>
      <c r="X6057">
        <v>0.99761769999999905</v>
      </c>
      <c r="Y6057">
        <v>-2.8437489999999999E-2</v>
      </c>
      <c r="Z6057">
        <v>-8.8845839999999995E-2</v>
      </c>
      <c r="AA6057">
        <v>0.99563939999999995</v>
      </c>
      <c r="AB6057">
        <v>42</v>
      </c>
      <c r="AC6057">
        <v>-3.2800000000008801E-2</v>
      </c>
      <c r="AD6057">
        <v>-7.8710000000000002E-2</v>
      </c>
      <c r="AE6057">
        <v>0.46171899999999999</v>
      </c>
      <c r="AF6057">
        <v>-2.4348662195214602E-2</v>
      </c>
      <c r="AG6057">
        <v>-7.8710000000000002E-2</v>
      </c>
      <c r="AH6057">
        <v>0.44921520084635502</v>
      </c>
      <c r="AI6057">
        <v>99.924014386431494</v>
      </c>
      <c r="AJ6057">
        <v>93.102548110849597</v>
      </c>
      <c r="AK6057">
        <v>0.45670824179351999</v>
      </c>
    </row>
    <row r="6058" spans="1:37" x14ac:dyDescent="0.2">
      <c r="A6058" t="str">
        <f>"20200111153809235"</f>
        <v>20200111153809235</v>
      </c>
      <c r="B6058" t="str">
        <f>"1578728289229141"</f>
        <v>1578728289229141</v>
      </c>
      <c r="C6058" t="s">
        <v>37</v>
      </c>
      <c r="D6058">
        <v>6.0208959999999996</v>
      </c>
      <c r="E6058">
        <v>0.55785669999999898</v>
      </c>
      <c r="F6058" t="s">
        <v>38</v>
      </c>
      <c r="G6058">
        <v>-188.03280000000001</v>
      </c>
      <c r="H6058">
        <v>0.94700300000000004</v>
      </c>
      <c r="I6058">
        <v>-7.9600140000000001</v>
      </c>
      <c r="J6058">
        <v>-188.08179999999999</v>
      </c>
      <c r="K6058">
        <v>1.103151</v>
      </c>
      <c r="L6058">
        <v>-8.3287960000000005</v>
      </c>
      <c r="M6058">
        <v>-1.7129709999999999E-2</v>
      </c>
      <c r="N6058">
        <v>0</v>
      </c>
      <c r="O6058">
        <v>0.99984819999999996</v>
      </c>
      <c r="P6058">
        <v>-8.1471000000000002E-2</v>
      </c>
      <c r="Q6058">
        <v>-2.6833449999999998E-2</v>
      </c>
      <c r="R6058">
        <v>0.99631440000000004</v>
      </c>
      <c r="S6058">
        <v>0.1565704</v>
      </c>
      <c r="T6058">
        <v>-0.58838859999999904</v>
      </c>
      <c r="U6058">
        <v>3.0087280000000001</v>
      </c>
      <c r="V6058">
        <v>-6.4360689999999998E-2</v>
      </c>
      <c r="W6058">
        <v>-2.374538E-2</v>
      </c>
      <c r="X6058">
        <v>0.99764409999999903</v>
      </c>
      <c r="Y6058">
        <v>6.8104789999999998E-2</v>
      </c>
      <c r="Z6058">
        <v>-0.1915347</v>
      </c>
      <c r="AA6058">
        <v>0.97912009999999905</v>
      </c>
      <c r="AB6058">
        <v>42</v>
      </c>
      <c r="AC6058">
        <v>4.8999999999978103E-2</v>
      </c>
      <c r="AD6058">
        <v>-0.15614799999999901</v>
      </c>
      <c r="AE6058">
        <v>0.368782</v>
      </c>
      <c r="AF6058">
        <v>4.7025471786790798E-2</v>
      </c>
      <c r="AG6058">
        <v>-0.15614799999999901</v>
      </c>
      <c r="AH6058">
        <v>0.31278504247515798</v>
      </c>
      <c r="AI6058">
        <v>116.27417606083699</v>
      </c>
      <c r="AJ6058">
        <v>81.449938303260794</v>
      </c>
      <c r="AK6058">
        <v>0.35274364019349302</v>
      </c>
    </row>
    <row r="6059" spans="1:37" x14ac:dyDescent="0.2">
      <c r="A6059" t="str">
        <f>"20200111153809258"</f>
        <v>20200111153809258</v>
      </c>
      <c r="B6059" t="str">
        <f>"1578728289249638"</f>
        <v>1578728289249638</v>
      </c>
      <c r="C6059" t="s">
        <v>37</v>
      </c>
      <c r="D6059">
        <v>6.031453</v>
      </c>
      <c r="E6059">
        <v>0.55965140000000002</v>
      </c>
      <c r="F6059" t="s">
        <v>38</v>
      </c>
      <c r="G6059">
        <v>-188.0326</v>
      </c>
      <c r="H6059">
        <v>0.93630650000000004</v>
      </c>
      <c r="I6059">
        <v>-7.5893139999999999</v>
      </c>
      <c r="J6059">
        <v>-188.0891</v>
      </c>
      <c r="K6059">
        <v>1.1030949999999999</v>
      </c>
      <c r="L6059">
        <v>-7.9165039999999998</v>
      </c>
      <c r="M6059">
        <v>-1.744039E-2</v>
      </c>
      <c r="N6059">
        <v>0</v>
      </c>
      <c r="O6059">
        <v>0.99984280000000003</v>
      </c>
      <c r="P6059">
        <v>-8.1057710000000005E-2</v>
      </c>
      <c r="Q6059">
        <v>-2.7849499999999999E-2</v>
      </c>
      <c r="R6059">
        <v>0.99632019999999899</v>
      </c>
      <c r="S6059">
        <v>0.1999359</v>
      </c>
      <c r="T6059">
        <v>-0.67893559999999997</v>
      </c>
      <c r="U6059">
        <v>3.0091549999999998</v>
      </c>
      <c r="V6059">
        <v>-6.3638910000000007E-2</v>
      </c>
      <c r="W6059">
        <v>-2.473504E-2</v>
      </c>
      <c r="X6059">
        <v>0.99766639999999995</v>
      </c>
      <c r="Y6059">
        <v>8.2071519999999995E-2</v>
      </c>
      <c r="Z6059">
        <v>-0.2194381</v>
      </c>
      <c r="AA6059">
        <v>0.97216829999999999</v>
      </c>
      <c r="AB6059">
        <v>42</v>
      </c>
      <c r="AC6059">
        <v>5.6499999999999703E-2</v>
      </c>
      <c r="AD6059">
        <v>-0.16678850000000001</v>
      </c>
      <c r="AE6059">
        <v>0.32718999999999898</v>
      </c>
      <c r="AF6059">
        <v>4.9665576568663598E-2</v>
      </c>
      <c r="AG6059">
        <v>-0.16678850000000001</v>
      </c>
      <c r="AH6059">
        <v>0.26043814782749702</v>
      </c>
      <c r="AI6059">
        <v>122.17311390878901</v>
      </c>
      <c r="AJ6059">
        <v>79.203323634795595</v>
      </c>
      <c r="AK6059">
        <v>0.31323011041719001</v>
      </c>
    </row>
    <row r="6060" spans="1:37" x14ac:dyDescent="0.2">
      <c r="A6060" t="str">
        <f>"20200111153809281"</f>
        <v>20200111153809281</v>
      </c>
      <c r="B6060" t="str">
        <f>"1578728289269157"</f>
        <v>1578728289269157</v>
      </c>
      <c r="C6060" t="s">
        <v>37</v>
      </c>
      <c r="D6060">
        <v>6.0249739999999896</v>
      </c>
      <c r="E6060">
        <v>0.56000179999999999</v>
      </c>
      <c r="F6060" t="s">
        <v>38</v>
      </c>
      <c r="G6060">
        <v>-188.0386</v>
      </c>
      <c r="H6060">
        <v>0.93602430000000003</v>
      </c>
      <c r="I6060">
        <v>-7.2122770000000003</v>
      </c>
      <c r="J6060">
        <v>-188.09700000000001</v>
      </c>
      <c r="K6060">
        <v>1.1030389999999901</v>
      </c>
      <c r="L6060">
        <v>-7.4727779999999999</v>
      </c>
      <c r="M6060">
        <v>-1.7747079999999998E-2</v>
      </c>
      <c r="N6060">
        <v>0</v>
      </c>
      <c r="O6060">
        <v>0.99983729999999904</v>
      </c>
      <c r="P6060">
        <v>-8.0751760000000006E-2</v>
      </c>
      <c r="Q6060">
        <v>-2.7816179999999999E-2</v>
      </c>
      <c r="R6060">
        <v>0.99634609999999901</v>
      </c>
      <c r="S6060">
        <v>0.21525569999999999</v>
      </c>
      <c r="T6060">
        <v>-0.71376609999999996</v>
      </c>
      <c r="U6060">
        <v>3.0086360000000001</v>
      </c>
      <c r="V6060">
        <v>-6.3029119999999994E-2</v>
      </c>
      <c r="W6060">
        <v>-2.4674729999999999E-2</v>
      </c>
      <c r="X6060">
        <v>0.997706599999999</v>
      </c>
      <c r="Y6060">
        <v>8.7138740000000006E-2</v>
      </c>
      <c r="Z6060">
        <v>-0.2300587</v>
      </c>
      <c r="AA6060">
        <v>0.96926769999999995</v>
      </c>
      <c r="AB6060">
        <v>42</v>
      </c>
      <c r="AC6060">
        <v>5.8400000000006003E-2</v>
      </c>
      <c r="AD6060">
        <v>-0.16701469999999899</v>
      </c>
      <c r="AE6060">
        <v>0.26050099999999898</v>
      </c>
      <c r="AF6060">
        <v>4.5288940468881003E-2</v>
      </c>
      <c r="AG6060">
        <v>-0.16701469999999899</v>
      </c>
      <c r="AH6060">
        <v>0.18645102508998801</v>
      </c>
      <c r="AI6060">
        <v>131.03781276642201</v>
      </c>
      <c r="AJ6060">
        <v>76.347266039689302</v>
      </c>
      <c r="AK6060">
        <v>0.25437960394259401</v>
      </c>
    </row>
    <row r="6061" spans="1:37" x14ac:dyDescent="0.2">
      <c r="A6061" t="str">
        <f>"20200111153809305"</f>
        <v>20200111153809305</v>
      </c>
      <c r="B6061" t="str">
        <f>"1578728289299414"</f>
        <v>1578728289299414</v>
      </c>
      <c r="C6061" t="s">
        <v>37</v>
      </c>
      <c r="D6061">
        <v>5.9919310000000001</v>
      </c>
      <c r="E6061">
        <v>0.56052170000000001</v>
      </c>
      <c r="F6061" t="s">
        <v>38</v>
      </c>
      <c r="G6061">
        <v>-188.02529999999999</v>
      </c>
      <c r="H6061">
        <v>0.86144900000000002</v>
      </c>
      <c r="I6061">
        <v>-6.4843390000000003</v>
      </c>
      <c r="J6061">
        <v>-188.10489999999999</v>
      </c>
      <c r="K6061">
        <v>1.1029910000000001</v>
      </c>
      <c r="L6061">
        <v>-7.0395810000000001</v>
      </c>
      <c r="M6061">
        <v>-1.8027990000000001E-2</v>
      </c>
      <c r="N6061">
        <v>0</v>
      </c>
      <c r="O6061">
        <v>0.99983219999999995</v>
      </c>
      <c r="P6061">
        <v>-8.0518919999999994E-2</v>
      </c>
      <c r="Q6061">
        <v>-2.856887E-2</v>
      </c>
      <c r="R6061">
        <v>0.9963436</v>
      </c>
      <c r="S6061">
        <v>0.2182617</v>
      </c>
      <c r="T6061">
        <v>-0.73524250000000002</v>
      </c>
      <c r="U6061">
        <v>3.0081790000000002</v>
      </c>
      <c r="V6061">
        <v>-6.2517489999999995E-2</v>
      </c>
      <c r="W6061">
        <v>-2.540249E-2</v>
      </c>
      <c r="X6061">
        <v>0.99772050000000001</v>
      </c>
      <c r="Y6061">
        <v>8.8278699999999904E-2</v>
      </c>
      <c r="Z6061">
        <v>-0.23660919999999999</v>
      </c>
      <c r="AA6061">
        <v>0.96758619999999995</v>
      </c>
      <c r="AB6061">
        <v>42</v>
      </c>
      <c r="AC6061">
        <v>7.9599999999999199E-2</v>
      </c>
      <c r="AD6061">
        <v>-0.24154200000000001</v>
      </c>
      <c r="AE6061">
        <v>0.55524199999999901</v>
      </c>
      <c r="AF6061">
        <v>7.5581720536419206E-2</v>
      </c>
      <c r="AG6061">
        <v>-0.24154200000000001</v>
      </c>
      <c r="AH6061">
        <v>0.46710109239477099</v>
      </c>
      <c r="AI6061">
        <v>117.04290748711099</v>
      </c>
      <c r="AJ6061">
        <v>80.808623867135907</v>
      </c>
      <c r="AK6061">
        <v>0.53126129612426498</v>
      </c>
    </row>
    <row r="6062" spans="1:37" x14ac:dyDescent="0.2">
      <c r="A6062" t="str">
        <f>"20200111153809323"</f>
        <v>20200111153809323</v>
      </c>
      <c r="B6062" t="str">
        <f>"1578728289318934"</f>
        <v>1578728289318934</v>
      </c>
      <c r="C6062" t="s">
        <v>37</v>
      </c>
      <c r="D6062">
        <v>6.0035059999999998</v>
      </c>
      <c r="E6062">
        <v>0.56148209999999998</v>
      </c>
      <c r="F6062" t="s">
        <v>38</v>
      </c>
      <c r="G6062">
        <v>-188.0351</v>
      </c>
      <c r="H6062">
        <v>0.86800010000000005</v>
      </c>
      <c r="I6062">
        <v>-6.100644</v>
      </c>
      <c r="J6062">
        <v>-188.11199999999999</v>
      </c>
      <c r="K6062">
        <v>1.102954</v>
      </c>
      <c r="L6062">
        <v>-6.6594239999999996</v>
      </c>
      <c r="M6062">
        <v>-1.8265239999999999E-2</v>
      </c>
      <c r="N6062">
        <v>0</v>
      </c>
      <c r="O6062">
        <v>0.99982789999999999</v>
      </c>
      <c r="P6062">
        <v>-8.0839259999999996E-2</v>
      </c>
      <c r="Q6062">
        <v>-2.9063519999999999E-2</v>
      </c>
      <c r="R6062">
        <v>0.9963033</v>
      </c>
      <c r="S6062">
        <v>0.22311399999999901</v>
      </c>
      <c r="T6062">
        <v>-0.75267790000000001</v>
      </c>
      <c r="U6062">
        <v>3.0074459999999998</v>
      </c>
      <c r="V6062">
        <v>-6.2602829999999998E-2</v>
      </c>
      <c r="W6062">
        <v>-2.5876590000000001E-2</v>
      </c>
      <c r="X6062">
        <v>0.99770300000000001</v>
      </c>
      <c r="Y6062">
        <v>8.9987750000000005E-2</v>
      </c>
      <c r="Z6062">
        <v>-0.24191550000000001</v>
      </c>
      <c r="AA6062">
        <v>0.96611550000000002</v>
      </c>
      <c r="AB6062">
        <v>43</v>
      </c>
      <c r="AC6062">
        <v>7.6899999999994806E-2</v>
      </c>
      <c r="AD6062">
        <v>-0.23495389999999899</v>
      </c>
      <c r="AE6062">
        <v>0.55878000000000005</v>
      </c>
      <c r="AF6062">
        <v>7.4215950298484504E-2</v>
      </c>
      <c r="AG6062">
        <v>-0.23495389999999899</v>
      </c>
      <c r="AH6062">
        <v>0.47488317553940501</v>
      </c>
      <c r="AI6062">
        <v>116.050673249111</v>
      </c>
      <c r="AJ6062">
        <v>81.1175207192843</v>
      </c>
      <c r="AK6062">
        <v>0.53500034842447197</v>
      </c>
    </row>
    <row r="6063" spans="1:37" x14ac:dyDescent="0.2">
      <c r="A6063" t="str">
        <f>"20200111153809348"</f>
        <v>20200111153809348</v>
      </c>
      <c r="B6063" t="str">
        <f>"1578728289339430"</f>
        <v>1578728289339430</v>
      </c>
      <c r="C6063" t="s">
        <v>37</v>
      </c>
      <c r="D6063">
        <v>5.9923599999999997</v>
      </c>
      <c r="E6063">
        <v>0.5620984</v>
      </c>
      <c r="F6063" t="s">
        <v>38</v>
      </c>
      <c r="G6063">
        <v>-188.03989999999999</v>
      </c>
      <c r="H6063">
        <v>0.86639339999999998</v>
      </c>
      <c r="I6063">
        <v>-5.7186500000000002</v>
      </c>
      <c r="J6063">
        <v>-188.1206</v>
      </c>
      <c r="K6063">
        <v>1.1029359999999999</v>
      </c>
      <c r="L6063">
        <v>-6.2010500000000004</v>
      </c>
      <c r="M6063">
        <v>-1.8543509999999999E-2</v>
      </c>
      <c r="N6063">
        <v>0</v>
      </c>
      <c r="O6063">
        <v>0.99982269999999895</v>
      </c>
      <c r="P6063">
        <v>-8.1210729999999995E-2</v>
      </c>
      <c r="Q6063">
        <v>-2.9125760000000001E-2</v>
      </c>
      <c r="R6063">
        <v>0.99627129999999997</v>
      </c>
      <c r="S6063">
        <v>0.23013310000000001</v>
      </c>
      <c r="T6063">
        <v>-0.75630869999999994</v>
      </c>
      <c r="U6063">
        <v>3.0077509999999998</v>
      </c>
      <c r="V6063">
        <v>-6.2698879999999999E-2</v>
      </c>
      <c r="W6063">
        <v>-2.591473E-2</v>
      </c>
      <c r="X6063">
        <v>0.99769599999999903</v>
      </c>
      <c r="Y6063">
        <v>9.2479530000000004E-2</v>
      </c>
      <c r="Z6063">
        <v>-0.2429405</v>
      </c>
      <c r="AA6063">
        <v>0.9656228</v>
      </c>
      <c r="AB6063">
        <v>43</v>
      </c>
      <c r="AC6063">
        <v>8.0700000000007294E-2</v>
      </c>
      <c r="AD6063">
        <v>-0.23654259999999999</v>
      </c>
      <c r="AE6063">
        <v>0.4824</v>
      </c>
      <c r="AF6063">
        <v>7.2641277169040203E-2</v>
      </c>
      <c r="AG6063">
        <v>-0.23654259999999999</v>
      </c>
      <c r="AH6063">
        <v>0.38967770824283599</v>
      </c>
      <c r="AI6063">
        <v>120.826270996584</v>
      </c>
      <c r="AJ6063">
        <v>79.440481158648595</v>
      </c>
      <c r="AK6063">
        <v>0.46160358866119899</v>
      </c>
    </row>
    <row r="6064" spans="1:37" x14ac:dyDescent="0.2">
      <c r="A6064" t="str">
        <f>"20200111153809369"</f>
        <v>20200111153809369</v>
      </c>
      <c r="B6064" t="str">
        <f>"1578728289358949"</f>
        <v>1578728289358949</v>
      </c>
      <c r="C6064" t="s">
        <v>37</v>
      </c>
      <c r="D6064">
        <v>5.9820989999999998</v>
      </c>
      <c r="E6064">
        <v>0.56253089999999994</v>
      </c>
      <c r="F6064" t="s">
        <v>38</v>
      </c>
      <c r="G6064">
        <v>-188.0523</v>
      </c>
      <c r="H6064">
        <v>0.88290119999999905</v>
      </c>
      <c r="I6064">
        <v>-5.3284500000000001</v>
      </c>
      <c r="J6064">
        <v>-188.12870000000001</v>
      </c>
      <c r="K6064">
        <v>1.1029149999999901</v>
      </c>
      <c r="L6064">
        <v>-5.7753300000000003</v>
      </c>
      <c r="M6064">
        <v>-1.8797520000000002E-2</v>
      </c>
      <c r="N6064">
        <v>0</v>
      </c>
      <c r="O6064">
        <v>0.99981790000000004</v>
      </c>
      <c r="P6064">
        <v>-8.1566319999999998E-2</v>
      </c>
      <c r="Q6064">
        <v>-2.8146210000000001E-2</v>
      </c>
      <c r="R6064">
        <v>0.9962704</v>
      </c>
      <c r="S6064">
        <v>0.23480219999999999</v>
      </c>
      <c r="T6064">
        <v>-0.75853749999999998</v>
      </c>
      <c r="U6064">
        <v>3.0081790000000002</v>
      </c>
      <c r="V6064">
        <v>-6.2803230000000002E-2</v>
      </c>
      <c r="W6064">
        <v>-2.4913270000000001E-2</v>
      </c>
      <c r="X6064">
        <v>0.99771489999999996</v>
      </c>
      <c r="Y6064">
        <v>9.419988E-2</v>
      </c>
      <c r="Z6064">
        <v>-0.24354619999999999</v>
      </c>
      <c r="AA6064">
        <v>0.96530389999999999</v>
      </c>
      <c r="AB6064">
        <v>43</v>
      </c>
      <c r="AC6064">
        <v>7.6400000000006602E-2</v>
      </c>
      <c r="AD6064">
        <v>-0.22001380000000001</v>
      </c>
      <c r="AE6064">
        <v>0.44688</v>
      </c>
      <c r="AF6064">
        <v>6.8625019166135906E-2</v>
      </c>
      <c r="AG6064">
        <v>-0.22001380000000001</v>
      </c>
      <c r="AH6064">
        <v>0.36047098639861402</v>
      </c>
      <c r="AI6064">
        <v>120.946155619783</v>
      </c>
      <c r="AJ6064">
        <v>79.221242565028206</v>
      </c>
      <c r="AK6064">
        <v>0.42784903585398198</v>
      </c>
    </row>
    <row r="6065" spans="1:37" x14ac:dyDescent="0.2">
      <c r="A6065" t="str">
        <f>"20200111153809392"</f>
        <v>20200111153809392</v>
      </c>
      <c r="B6065" t="str">
        <f>"1578728289389206"</f>
        <v>1578728289389206</v>
      </c>
      <c r="C6065" t="s">
        <v>37</v>
      </c>
      <c r="D6065">
        <v>6.020327</v>
      </c>
      <c r="E6065">
        <v>0.56336079999999999</v>
      </c>
      <c r="F6065" t="s">
        <v>38</v>
      </c>
      <c r="G6065">
        <v>-188.0625</v>
      </c>
      <c r="H6065">
        <v>0.89247129999999997</v>
      </c>
      <c r="I6065">
        <v>-4.9395629999999997</v>
      </c>
      <c r="J6065">
        <v>-188.13659999999999</v>
      </c>
      <c r="K6065">
        <v>1.102902</v>
      </c>
      <c r="L6065">
        <v>-5.3594970000000002</v>
      </c>
      <c r="M6065">
        <v>-1.9043129999999998E-2</v>
      </c>
      <c r="N6065">
        <v>0</v>
      </c>
      <c r="O6065">
        <v>0.99981319999999996</v>
      </c>
      <c r="P6065">
        <v>-8.1961010000000001E-2</v>
      </c>
      <c r="Q6065">
        <v>-2.7522399999999999E-2</v>
      </c>
      <c r="R6065">
        <v>0.99625549999999996</v>
      </c>
      <c r="S6065">
        <v>0.23789979999999999</v>
      </c>
      <c r="T6065">
        <v>-0.75773500000000005</v>
      </c>
      <c r="U6065">
        <v>3.0093079999999999</v>
      </c>
      <c r="V6065">
        <v>-6.2954560000000007E-2</v>
      </c>
      <c r="W6065">
        <v>-2.426857E-2</v>
      </c>
      <c r="X6065">
        <v>0.99772129999999903</v>
      </c>
      <c r="Y6065">
        <v>9.5410640000000005E-2</v>
      </c>
      <c r="Z6065">
        <v>-0.2431932</v>
      </c>
      <c r="AA6065">
        <v>0.96527399999999997</v>
      </c>
      <c r="AB6065">
        <v>43</v>
      </c>
      <c r="AC6065">
        <v>7.4099999999987107E-2</v>
      </c>
      <c r="AD6065">
        <v>-0.2104307</v>
      </c>
      <c r="AE6065">
        <v>0.41993399999999997</v>
      </c>
      <c r="AF6065">
        <v>6.6008807371022105E-2</v>
      </c>
      <c r="AG6065">
        <v>-0.2104307</v>
      </c>
      <c r="AH6065">
        <v>0.336501034810128</v>
      </c>
      <c r="AI6065">
        <v>121.535533843614</v>
      </c>
      <c r="AJ6065">
        <v>78.901651221258305</v>
      </c>
      <c r="AK6065">
        <v>0.40233218685723099</v>
      </c>
    </row>
    <row r="6066" spans="1:37" x14ac:dyDescent="0.2">
      <c r="A6066" t="str">
        <f>"20200111153809414"</f>
        <v>20200111153809414</v>
      </c>
      <c r="B6066" t="str">
        <f>"1578728289408726"</f>
        <v>1578728289408726</v>
      </c>
      <c r="C6066" t="s">
        <v>37</v>
      </c>
      <c r="D6066">
        <v>5.9747449999999898</v>
      </c>
      <c r="E6066">
        <v>0.58508649999999995</v>
      </c>
      <c r="F6066" t="s">
        <v>38</v>
      </c>
      <c r="G6066">
        <v>-188.07130000000001</v>
      </c>
      <c r="H6066">
        <v>0.89950479999999999</v>
      </c>
      <c r="I6066">
        <v>-4.5502820000000002</v>
      </c>
      <c r="J6066">
        <v>-188.14510000000001</v>
      </c>
      <c r="K6066">
        <v>1.1028899999999999</v>
      </c>
      <c r="L6066">
        <v>-4.9262079999999999</v>
      </c>
      <c r="M6066">
        <v>-1.9296520000000001E-2</v>
      </c>
      <c r="N6066">
        <v>0</v>
      </c>
      <c r="O6066">
        <v>0.99980829999999998</v>
      </c>
      <c r="P6066">
        <v>-8.3165379999999997E-2</v>
      </c>
      <c r="Q6066">
        <v>-2.746285E-2</v>
      </c>
      <c r="R6066">
        <v>0.99615730000000002</v>
      </c>
      <c r="S6066">
        <v>0.2430725</v>
      </c>
      <c r="T6066">
        <v>-0.75666259999999996</v>
      </c>
      <c r="U6066">
        <v>3.0103759999999999</v>
      </c>
      <c r="V6066">
        <v>-6.3908549999999995E-2</v>
      </c>
      <c r="W6066">
        <v>-2.4188459999999998E-2</v>
      </c>
      <c r="X6066">
        <v>0.99766259999999996</v>
      </c>
      <c r="Y6066">
        <v>9.7292790000000004E-2</v>
      </c>
      <c r="Z6066">
        <v>-0.2427491</v>
      </c>
      <c r="AA6066">
        <v>0.96519789999999905</v>
      </c>
      <c r="AB6066">
        <v>43</v>
      </c>
      <c r="AC6066">
        <v>7.3800000000005597E-2</v>
      </c>
      <c r="AD6066">
        <v>-0.20338519999999899</v>
      </c>
      <c r="AE6066">
        <v>0.37592599999999898</v>
      </c>
      <c r="AF6066">
        <v>6.3221637517763496E-2</v>
      </c>
      <c r="AG6066">
        <v>-0.20338519999999899</v>
      </c>
      <c r="AH6066">
        <v>0.29210381131958901</v>
      </c>
      <c r="AI6066">
        <v>124.23608131239401</v>
      </c>
      <c r="AJ6066">
        <v>77.787528336498994</v>
      </c>
      <c r="AK6066">
        <v>0.36150677948953802</v>
      </c>
    </row>
    <row r="6067" spans="1:37" x14ac:dyDescent="0.2">
      <c r="A6067" t="str">
        <f>"20200111153809437"</f>
        <v>20200111153809437</v>
      </c>
      <c r="B6067" t="str">
        <f>"1578728289429221"</f>
        <v>1578728289429221</v>
      </c>
      <c r="C6067" t="s">
        <v>37</v>
      </c>
      <c r="D6067">
        <v>5.9096269999999897</v>
      </c>
      <c r="E6067">
        <v>0.58589559999999996</v>
      </c>
      <c r="F6067" t="s">
        <v>38</v>
      </c>
      <c r="G6067">
        <v>-188.04089999999999</v>
      </c>
      <c r="H6067">
        <v>0.89794889999999905</v>
      </c>
      <c r="I6067">
        <v>-4.1605749999999997</v>
      </c>
      <c r="J6067">
        <v>-188.15379999999999</v>
      </c>
      <c r="K6067">
        <v>1.1028770000000001</v>
      </c>
      <c r="L6067">
        <v>-4.4818419999999897</v>
      </c>
      <c r="M6067">
        <v>-1.955376E-2</v>
      </c>
      <c r="N6067">
        <v>0</v>
      </c>
      <c r="O6067">
        <v>0.999803199999999</v>
      </c>
      <c r="P6067">
        <v>-8.4186140000000007E-2</v>
      </c>
      <c r="Q6067">
        <v>-2.7604239999999999E-2</v>
      </c>
      <c r="R6067">
        <v>0.99606759999999905</v>
      </c>
      <c r="S6067">
        <v>0.41137699999999999</v>
      </c>
      <c r="T6067">
        <v>-0.80933739999999998</v>
      </c>
      <c r="U6067">
        <v>3.02359</v>
      </c>
      <c r="V6067">
        <v>-6.467473E-2</v>
      </c>
      <c r="W6067">
        <v>-2.430883E-2</v>
      </c>
      <c r="X6067">
        <v>0.99761029999999995</v>
      </c>
      <c r="Y6067">
        <v>0.14966840000000001</v>
      </c>
      <c r="Z6067">
        <v>-0.25593549999999998</v>
      </c>
      <c r="AA6067">
        <v>0.95503739999999904</v>
      </c>
      <c r="AB6067">
        <v>43</v>
      </c>
      <c r="AC6067">
        <v>0.112899999999996</v>
      </c>
      <c r="AD6067">
        <v>-0.2049281</v>
      </c>
      <c r="AE6067">
        <v>0.32126699999999903</v>
      </c>
      <c r="AF6067">
        <v>8.7479105430191606E-2</v>
      </c>
      <c r="AG6067">
        <v>-0.2049281</v>
      </c>
      <c r="AH6067">
        <v>0.234185588326288</v>
      </c>
      <c r="AI6067">
        <v>129.34291315668401</v>
      </c>
      <c r="AJ6067">
        <v>69.517023516789905</v>
      </c>
      <c r="AK6067">
        <v>0.32325069193461298</v>
      </c>
    </row>
    <row r="6068" spans="1:37" x14ac:dyDescent="0.2">
      <c r="A6068" t="str">
        <f>"20200111153809459"</f>
        <v>20200111153809459</v>
      </c>
      <c r="B6068" t="str">
        <f>"1578728289448744"</f>
        <v>1578728289448744</v>
      </c>
      <c r="C6068" t="s">
        <v>37</v>
      </c>
      <c r="D6068">
        <v>5.8588610000000001</v>
      </c>
      <c r="E6068">
        <v>0.58547969999999905</v>
      </c>
      <c r="F6068" t="s">
        <v>38</v>
      </c>
      <c r="G6068">
        <v>-188.05549999999999</v>
      </c>
      <c r="H6068">
        <v>0.91030840000000002</v>
      </c>
      <c r="I6068">
        <v>-3.7666230000000001</v>
      </c>
      <c r="J6068">
        <v>-188.16239999999999</v>
      </c>
      <c r="K6068">
        <v>1.1028610000000001</v>
      </c>
      <c r="L6068">
        <v>-4.051056</v>
      </c>
      <c r="M6068">
        <v>-1.980032E-2</v>
      </c>
      <c r="N6068">
        <v>0</v>
      </c>
      <c r="O6068">
        <v>0.99979830000000003</v>
      </c>
      <c r="P6068">
        <v>-8.5238499999999995E-2</v>
      </c>
      <c r="Q6068">
        <v>-2.751953E-2</v>
      </c>
      <c r="R6068">
        <v>0.99598039999999999</v>
      </c>
      <c r="S6068">
        <v>0.4151917</v>
      </c>
      <c r="T6068">
        <v>-0.81429079999999998</v>
      </c>
      <c r="U6068">
        <v>3.024384</v>
      </c>
      <c r="V6068">
        <v>-6.5483559999999996E-2</v>
      </c>
      <c r="W6068">
        <v>-2.4204030000000001E-2</v>
      </c>
      <c r="X6068">
        <v>0.99756009999999995</v>
      </c>
      <c r="Y6068">
        <v>0.1510119</v>
      </c>
      <c r="Z6068">
        <v>-0.25728590000000001</v>
      </c>
      <c r="AA6068">
        <v>0.9544629</v>
      </c>
      <c r="AB6068">
        <v>43</v>
      </c>
      <c r="AC6068">
        <v>0.106899999999996</v>
      </c>
      <c r="AD6068">
        <v>-0.19255259999999999</v>
      </c>
      <c r="AE6068">
        <v>0.28443299999999899</v>
      </c>
      <c r="AF6068">
        <v>8.0275151087423197E-2</v>
      </c>
      <c r="AG6068">
        <v>-0.19255259999999999</v>
      </c>
      <c r="AH6068">
        <v>0.20138939612739401</v>
      </c>
      <c r="AI6068">
        <v>131.610266089947</v>
      </c>
      <c r="AJ6068">
        <v>68.267445534245496</v>
      </c>
      <c r="AK6068">
        <v>0.28996257089739202</v>
      </c>
    </row>
    <row r="6069" spans="1:37" x14ac:dyDescent="0.2">
      <c r="A6069" t="str">
        <f>"20200111153809483"</f>
        <v>20200111153809483</v>
      </c>
      <c r="B6069" t="str">
        <f>"1578728289478998"</f>
        <v>1578728289478998</v>
      </c>
      <c r="C6069" t="s">
        <v>37</v>
      </c>
      <c r="D6069">
        <v>5.8612690000000001</v>
      </c>
      <c r="E6069">
        <v>0.58579829999999999</v>
      </c>
      <c r="F6069" t="s">
        <v>38</v>
      </c>
      <c r="G6069">
        <v>-188.07040000000001</v>
      </c>
      <c r="H6069">
        <v>0.92206219999999905</v>
      </c>
      <c r="I6069">
        <v>-3.3714789999999999</v>
      </c>
      <c r="J6069">
        <v>-188.17179999999999</v>
      </c>
      <c r="K6069">
        <v>1.1028450000000001</v>
      </c>
      <c r="L6069">
        <v>-3.5842589999999999</v>
      </c>
      <c r="M6069">
        <v>-2.0064370000000002E-2</v>
      </c>
      <c r="N6069">
        <v>0</v>
      </c>
      <c r="O6069">
        <v>0.99979289999999998</v>
      </c>
      <c r="P6069">
        <v>-8.6423990000000006E-2</v>
      </c>
      <c r="Q6069">
        <v>-2.786599E-2</v>
      </c>
      <c r="R6069">
        <v>0.99586869999999905</v>
      </c>
      <c r="S6069">
        <v>0.40914919999999999</v>
      </c>
      <c r="T6069">
        <v>-0.80475850000000004</v>
      </c>
      <c r="U6069">
        <v>3.024902</v>
      </c>
      <c r="V6069">
        <v>-6.6407240000000006E-2</v>
      </c>
      <c r="W6069">
        <v>-2.452911E-2</v>
      </c>
      <c r="X6069">
        <v>0.99749109999999996</v>
      </c>
      <c r="Y6069">
        <v>0.1494779</v>
      </c>
      <c r="Z6069">
        <v>-0.254492</v>
      </c>
      <c r="AA6069">
        <v>0.95545290000000005</v>
      </c>
      <c r="AB6069">
        <v>44</v>
      </c>
      <c r="AC6069">
        <v>0.101399999999983</v>
      </c>
      <c r="AD6069">
        <v>-0.18078279999999999</v>
      </c>
      <c r="AE6069">
        <v>0.21278</v>
      </c>
      <c r="AF6069">
        <v>6.6518429441094803E-2</v>
      </c>
      <c r="AG6069">
        <v>-0.18078279999999999</v>
      </c>
      <c r="AH6069">
        <v>0.132662116232588</v>
      </c>
      <c r="AI6069">
        <v>140.61741897792101</v>
      </c>
      <c r="AJ6069">
        <v>63.3702459815959</v>
      </c>
      <c r="AK6069">
        <v>0.23389390610800101</v>
      </c>
    </row>
    <row r="6070" spans="1:37" x14ac:dyDescent="0.2">
      <c r="A6070" t="str">
        <f>"20200111153809503"</f>
        <v>20200111153809503</v>
      </c>
      <c r="B6070" t="str">
        <f>"1578728289499494"</f>
        <v>1578728289499494</v>
      </c>
      <c r="C6070" t="s">
        <v>37</v>
      </c>
      <c r="D6070">
        <v>5.8673549999999999</v>
      </c>
      <c r="E6070">
        <v>0.58563659999999995</v>
      </c>
      <c r="F6070" t="s">
        <v>38</v>
      </c>
      <c r="G6070">
        <v>-188.0412</v>
      </c>
      <c r="H6070">
        <v>0.84719310000000003</v>
      </c>
      <c r="I6070">
        <v>-2.614808</v>
      </c>
      <c r="J6070">
        <v>-188.18020000000001</v>
      </c>
      <c r="K6070">
        <v>1.10284</v>
      </c>
      <c r="L6070">
        <v>-3.177155</v>
      </c>
      <c r="M6070">
        <v>-2.0292919999999999E-2</v>
      </c>
      <c r="N6070">
        <v>0</v>
      </c>
      <c r="O6070">
        <v>0.99978829999999996</v>
      </c>
      <c r="P6070">
        <v>-8.7261050000000007E-2</v>
      </c>
      <c r="Q6070">
        <v>-2.7369560000000001E-2</v>
      </c>
      <c r="R6070">
        <v>0.99580939999999996</v>
      </c>
      <c r="S6070">
        <v>0.40779109999999902</v>
      </c>
      <c r="T6070">
        <v>-0.79785309999999998</v>
      </c>
      <c r="U6070">
        <v>3.0255130000000001</v>
      </c>
      <c r="V6070">
        <v>-6.7018320000000006E-2</v>
      </c>
      <c r="W6070">
        <v>-2.4013980000000001E-2</v>
      </c>
      <c r="X6070">
        <v>0.99746270000000004</v>
      </c>
      <c r="Y6070">
        <v>0.14932989999999999</v>
      </c>
      <c r="Z6070">
        <v>-0.25241069999999999</v>
      </c>
      <c r="AA6070">
        <v>0.95602790000000004</v>
      </c>
      <c r="AB6070">
        <v>44</v>
      </c>
      <c r="AC6070">
        <v>0.13900000000001</v>
      </c>
      <c r="AD6070">
        <v>-0.25564690000000001</v>
      </c>
      <c r="AE6070">
        <v>0.56234699999999904</v>
      </c>
      <c r="AF6070">
        <v>0.125868060095294</v>
      </c>
      <c r="AG6070">
        <v>-0.25564690000000001</v>
      </c>
      <c r="AH6070">
        <v>0.46821689315762499</v>
      </c>
      <c r="AI6070">
        <v>117.801827706805</v>
      </c>
      <c r="AJ6070">
        <v>74.953231119874005</v>
      </c>
      <c r="AK6070">
        <v>0.54811054092212197</v>
      </c>
    </row>
    <row r="6071" spans="1:37" x14ac:dyDescent="0.2">
      <c r="A6071" t="str">
        <f>"20200111153809525"</f>
        <v>20200111153809525</v>
      </c>
      <c r="B6071" t="str">
        <f>"1578728289519014"</f>
        <v>1578728289519014</v>
      </c>
      <c r="C6071" t="s">
        <v>37</v>
      </c>
      <c r="D6071">
        <v>5.7970870000000003</v>
      </c>
      <c r="E6071">
        <v>0.58534169999999996</v>
      </c>
      <c r="F6071" t="s">
        <v>38</v>
      </c>
      <c r="G6071">
        <v>-188.05199999999999</v>
      </c>
      <c r="H6071">
        <v>0.85125589999999995</v>
      </c>
      <c r="I6071">
        <v>-2.2187509999999899</v>
      </c>
      <c r="J6071">
        <v>-188.1893</v>
      </c>
      <c r="K6071">
        <v>1.102832</v>
      </c>
      <c r="L6071">
        <v>-2.7345890000000002</v>
      </c>
      <c r="M6071">
        <v>-2.053959E-2</v>
      </c>
      <c r="N6071">
        <v>0</v>
      </c>
      <c r="O6071">
        <v>0.99978319999999998</v>
      </c>
      <c r="P6071">
        <v>-8.8223140000000005E-2</v>
      </c>
      <c r="Q6071">
        <v>-2.66265999999999E-2</v>
      </c>
      <c r="R6071">
        <v>0.99574479999999999</v>
      </c>
      <c r="S6071">
        <v>0.40408329999999998</v>
      </c>
      <c r="T6071">
        <v>-0.79438869999999995</v>
      </c>
      <c r="U6071">
        <v>3.0262150000000001</v>
      </c>
      <c r="V6071">
        <v>-6.7735809999999994E-2</v>
      </c>
      <c r="W6071">
        <v>-2.325085E-2</v>
      </c>
      <c r="X6071">
        <v>0.9974324</v>
      </c>
      <c r="Y6071">
        <v>0.14842959999999999</v>
      </c>
      <c r="Z6071">
        <v>-0.25136520000000001</v>
      </c>
      <c r="AA6071">
        <v>0.9564435</v>
      </c>
      <c r="AB6071">
        <v>44</v>
      </c>
      <c r="AC6071">
        <v>0.13729999999998199</v>
      </c>
      <c r="AD6071">
        <v>-0.25157609999999903</v>
      </c>
      <c r="AE6071">
        <v>0.51583800000000002</v>
      </c>
      <c r="AF6071">
        <v>0.120991681744243</v>
      </c>
      <c r="AG6071">
        <v>-0.25157609999999903</v>
      </c>
      <c r="AH6071">
        <v>0.41968842479495899</v>
      </c>
      <c r="AI6071">
        <v>119.940999823684</v>
      </c>
      <c r="AJ6071">
        <v>73.918294582076598</v>
      </c>
      <c r="AK6071">
        <v>0.50405148055469895</v>
      </c>
    </row>
    <row r="6072" spans="1:37" x14ac:dyDescent="0.2">
      <c r="A6072" t="str">
        <f>"20200111153809549"</f>
        <v>20200111153809549</v>
      </c>
      <c r="B6072" t="str">
        <f>"1578728289539510"</f>
        <v>1578728289539510</v>
      </c>
      <c r="C6072" t="s">
        <v>37</v>
      </c>
      <c r="D6072">
        <v>5.7764939999999996</v>
      </c>
      <c r="E6072">
        <v>0.58537280000000003</v>
      </c>
      <c r="F6072" t="s">
        <v>38</v>
      </c>
      <c r="G6072">
        <v>-188.0686</v>
      </c>
      <c r="H6072">
        <v>0.86312469999999997</v>
      </c>
      <c r="I6072">
        <v>-1.818487</v>
      </c>
      <c r="J6072">
        <v>-188.19890000000001</v>
      </c>
      <c r="K6072">
        <v>1.102824</v>
      </c>
      <c r="L6072">
        <v>-2.2754819999999998</v>
      </c>
      <c r="M6072">
        <v>-2.0793260000000001E-2</v>
      </c>
      <c r="N6072">
        <v>0</v>
      </c>
      <c r="O6072">
        <v>0.9997779</v>
      </c>
      <c r="P6072">
        <v>-8.817171E-2</v>
      </c>
      <c r="Q6072">
        <v>-2.67935999999999E-2</v>
      </c>
      <c r="R6072">
        <v>0.99574490000000004</v>
      </c>
      <c r="S6072">
        <v>0.39909359999999999</v>
      </c>
      <c r="T6072">
        <v>-0.79204839999999999</v>
      </c>
      <c r="U6072">
        <v>3.0270079999999999</v>
      </c>
      <c r="V6072">
        <v>-6.7431660000000004E-2</v>
      </c>
      <c r="W6072">
        <v>-2.339623E-2</v>
      </c>
      <c r="X6072">
        <v>0.99744949999999999</v>
      </c>
      <c r="Y6072">
        <v>0.147122</v>
      </c>
      <c r="Z6072">
        <v>-0.25065879999999902</v>
      </c>
      <c r="AA6072">
        <v>0.95683090000000004</v>
      </c>
      <c r="AB6072">
        <v>44</v>
      </c>
      <c r="AC6072">
        <v>0.130300000000005</v>
      </c>
      <c r="AD6072">
        <v>-0.2396993</v>
      </c>
      <c r="AE6072">
        <v>0.45699499999999899</v>
      </c>
      <c r="AF6072">
        <v>0.11142465754790901</v>
      </c>
      <c r="AG6072">
        <v>-0.2396993</v>
      </c>
      <c r="AH6072">
        <v>0.36206663516937299</v>
      </c>
      <c r="AI6072">
        <v>122.32340442126301</v>
      </c>
      <c r="AJ6072">
        <v>72.894446504737999</v>
      </c>
      <c r="AK6072">
        <v>0.44828947905681499</v>
      </c>
    </row>
    <row r="6073" spans="1:37" x14ac:dyDescent="0.2">
      <c r="A6073" t="str">
        <f>"20200111153809571"</f>
        <v>20200111153809571</v>
      </c>
      <c r="B6073" t="str">
        <f>"1578728289559031"</f>
        <v>1578728289559031</v>
      </c>
      <c r="C6073" t="s">
        <v>37</v>
      </c>
      <c r="D6073">
        <v>5.7473769999999904</v>
      </c>
      <c r="E6073">
        <v>0.58556180000000002</v>
      </c>
      <c r="F6073" t="s">
        <v>38</v>
      </c>
      <c r="G6073">
        <v>-188.08529999999999</v>
      </c>
      <c r="H6073">
        <v>0.87785569999999902</v>
      </c>
      <c r="I6073">
        <v>-1.4157230000000001</v>
      </c>
      <c r="J6073">
        <v>-188.20849999999999</v>
      </c>
      <c r="K6073">
        <v>1.102819</v>
      </c>
      <c r="L6073">
        <v>-1.82043499999999</v>
      </c>
      <c r="M6073">
        <v>-2.1042109999999999E-2</v>
      </c>
      <c r="N6073">
        <v>0</v>
      </c>
      <c r="O6073">
        <v>0.99977249999999995</v>
      </c>
      <c r="P6073">
        <v>-8.8335819999999995E-2</v>
      </c>
      <c r="Q6073">
        <v>-2.651835E-2</v>
      </c>
      <c r="R6073">
        <v>0.99573769999999995</v>
      </c>
      <c r="S6073">
        <v>0.3995514</v>
      </c>
      <c r="T6073">
        <v>-0.792027699999999</v>
      </c>
      <c r="U6073">
        <v>3.0268860000000002</v>
      </c>
      <c r="V6073">
        <v>-6.7347950000000004E-2</v>
      </c>
      <c r="W6073">
        <v>-2.3099680000000001E-2</v>
      </c>
      <c r="X6073">
        <v>0.99746209999999902</v>
      </c>
      <c r="Y6073">
        <v>0.14751549999999999</v>
      </c>
      <c r="Z6073">
        <v>-0.25065029999999999</v>
      </c>
      <c r="AA6073">
        <v>0.95677250000000003</v>
      </c>
      <c r="AB6073">
        <v>44</v>
      </c>
      <c r="AC6073">
        <v>0.12319999999999701</v>
      </c>
      <c r="AD6073">
        <v>-0.2249633</v>
      </c>
      <c r="AE6073">
        <v>0.40471199999999902</v>
      </c>
      <c r="AF6073">
        <v>0.102659184135953</v>
      </c>
      <c r="AG6073">
        <v>-0.2249633</v>
      </c>
      <c r="AH6073">
        <v>0.31340615535977301</v>
      </c>
      <c r="AI6073">
        <v>124.299395635831</v>
      </c>
      <c r="AJ6073">
        <v>71.863296353272204</v>
      </c>
      <c r="AK6073">
        <v>0.399212741093948</v>
      </c>
    </row>
    <row r="6074" spans="1:37" x14ac:dyDescent="0.2">
      <c r="A6074" t="str">
        <f>"20200111153809592"</f>
        <v>20200111153809592</v>
      </c>
      <c r="B6074" t="str">
        <f>"1578728289589286"</f>
        <v>1578728289589286</v>
      </c>
      <c r="C6074" t="s">
        <v>37</v>
      </c>
      <c r="D6074">
        <v>5.7327009999999996</v>
      </c>
      <c r="E6074">
        <v>0.58580089999999996</v>
      </c>
      <c r="F6074" t="s">
        <v>38</v>
      </c>
      <c r="G6074">
        <v>-188.10159999999999</v>
      </c>
      <c r="H6074">
        <v>0.89146569999999903</v>
      </c>
      <c r="I6074">
        <v>-1.0120659999999999</v>
      </c>
      <c r="J6074">
        <v>-188.21709999999999</v>
      </c>
      <c r="K6074">
        <v>1.102816</v>
      </c>
      <c r="L6074">
        <v>-1.4184270000000001</v>
      </c>
      <c r="M6074">
        <v>-2.1259130000000001E-2</v>
      </c>
      <c r="N6074">
        <v>0</v>
      </c>
      <c r="O6074">
        <v>0.99976790000000004</v>
      </c>
      <c r="P6074">
        <v>-8.8507769999999999E-2</v>
      </c>
      <c r="Q6074">
        <v>-2.6033850000000001E-2</v>
      </c>
      <c r="R6074">
        <v>0.99573519999999904</v>
      </c>
      <c r="S6074">
        <v>0.4004974</v>
      </c>
      <c r="T6074">
        <v>-0.7915044</v>
      </c>
      <c r="U6074">
        <v>3.0272830000000002</v>
      </c>
      <c r="V6074">
        <v>-6.7304000000000003E-2</v>
      </c>
      <c r="W6074">
        <v>-2.2596270000000002E-2</v>
      </c>
      <c r="X6074">
        <v>0.99747659999999905</v>
      </c>
      <c r="Y6074">
        <v>0.14801439999999999</v>
      </c>
      <c r="Z6074">
        <v>-0.25044879999999903</v>
      </c>
      <c r="AA6074">
        <v>0.95674820000000005</v>
      </c>
      <c r="AB6074">
        <v>44</v>
      </c>
      <c r="AC6074">
        <v>0.11549999999999699</v>
      </c>
      <c r="AD6074">
        <v>-0.21135029999999999</v>
      </c>
      <c r="AE6074">
        <v>0.40636099999999997</v>
      </c>
      <c r="AF6074">
        <v>9.9267316741390693E-2</v>
      </c>
      <c r="AG6074">
        <v>-0.21135029999999999</v>
      </c>
      <c r="AH6074">
        <v>0.32297631039946501</v>
      </c>
      <c r="AI6074">
        <v>122.02621264330899</v>
      </c>
      <c r="AJ6074">
        <v>72.915100517520898</v>
      </c>
      <c r="AK6074">
        <v>0.39854315520703298</v>
      </c>
    </row>
    <row r="6075" spans="1:37" x14ac:dyDescent="0.2">
      <c r="A6075" t="str">
        <f>"20200111153809615"</f>
        <v>20200111153809615</v>
      </c>
      <c r="B6075" t="str">
        <f>"1578728289608806"</f>
        <v>1578728289608806</v>
      </c>
      <c r="C6075" t="s">
        <v>37</v>
      </c>
      <c r="D6075">
        <v>5.7135920000000002</v>
      </c>
      <c r="E6075">
        <v>0.58586769999999999</v>
      </c>
      <c r="F6075" t="s">
        <v>38</v>
      </c>
      <c r="G6075">
        <v>-188.11009999999999</v>
      </c>
      <c r="H6075">
        <v>0.89167489999999905</v>
      </c>
      <c r="I6075">
        <v>-0.61215719999999996</v>
      </c>
      <c r="J6075">
        <v>-188.22720000000001</v>
      </c>
      <c r="K6075">
        <v>1.1028129999999901</v>
      </c>
      <c r="L6075">
        <v>-0.949951199999999</v>
      </c>
      <c r="M6075">
        <v>-2.1507720000000001E-2</v>
      </c>
      <c r="N6075">
        <v>0</v>
      </c>
      <c r="O6075">
        <v>0.9997625</v>
      </c>
      <c r="P6075">
        <v>-8.8910429999999999E-2</v>
      </c>
      <c r="Q6075">
        <v>-2.5521430000000001E-2</v>
      </c>
      <c r="R6075">
        <v>0.99571259999999995</v>
      </c>
      <c r="S6075">
        <v>0.40168759999999998</v>
      </c>
      <c r="T6075">
        <v>-0.79291109999999998</v>
      </c>
      <c r="U6075">
        <v>3.0278320000000001</v>
      </c>
      <c r="V6075">
        <v>-6.7459399999999906E-2</v>
      </c>
      <c r="W6075">
        <v>-2.2061879999999999E-2</v>
      </c>
      <c r="X6075">
        <v>0.99747809999999903</v>
      </c>
      <c r="Y6075">
        <v>0.148594899999999</v>
      </c>
      <c r="Z6075">
        <v>-0.25080429999999998</v>
      </c>
      <c r="AA6075">
        <v>0.95656509999999995</v>
      </c>
      <c r="AB6075">
        <v>45</v>
      </c>
      <c r="AC6075">
        <v>0.11710000000002101</v>
      </c>
      <c r="AD6075">
        <v>-0.211138099999999</v>
      </c>
      <c r="AE6075">
        <v>0.33779399999999898</v>
      </c>
      <c r="AF6075">
        <v>9.2186050978151607E-2</v>
      </c>
      <c r="AG6075">
        <v>-0.211138099999999</v>
      </c>
      <c r="AH6075">
        <v>0.248520008481249</v>
      </c>
      <c r="AI6075">
        <v>128.53895005969599</v>
      </c>
      <c r="AJ6075">
        <v>69.648160169398807</v>
      </c>
      <c r="AK6075">
        <v>0.33888015563333901</v>
      </c>
    </row>
    <row r="6076" spans="1:37" x14ac:dyDescent="0.2">
      <c r="A6076" t="str">
        <f>"20200111153809639"</f>
        <v>20200111153809639</v>
      </c>
      <c r="B6076" t="str">
        <f>"1578728289629302"</f>
        <v>1578728289629302</v>
      </c>
      <c r="C6076" t="s">
        <v>37</v>
      </c>
      <c r="D6076">
        <v>5.6661779999999897</v>
      </c>
      <c r="E6076">
        <v>0.58569479999999996</v>
      </c>
      <c r="F6076" t="s">
        <v>38</v>
      </c>
      <c r="G6076">
        <v>-188.1283</v>
      </c>
      <c r="H6076">
        <v>0.9081572</v>
      </c>
      <c r="I6076">
        <v>-0.2048085</v>
      </c>
      <c r="J6076">
        <v>-188.23750000000001</v>
      </c>
      <c r="K6076">
        <v>1.1028169999999999</v>
      </c>
      <c r="L6076">
        <v>-0.47763059999999902</v>
      </c>
      <c r="M6076">
        <v>-2.1751880000000001E-2</v>
      </c>
      <c r="N6076">
        <v>0</v>
      </c>
      <c r="O6076">
        <v>0.99975720000000001</v>
      </c>
      <c r="P6076">
        <v>-8.9571159999999997E-2</v>
      </c>
      <c r="Q6076">
        <v>-2.467279E-2</v>
      </c>
      <c r="R6076">
        <v>0.99567479999999997</v>
      </c>
      <c r="S6076">
        <v>0.40129090000000001</v>
      </c>
      <c r="T6076">
        <v>-0.79113900000000004</v>
      </c>
      <c r="U6076">
        <v>3.028473</v>
      </c>
      <c r="V6076">
        <v>-6.7878270000000004E-2</v>
      </c>
      <c r="W6076">
        <v>-2.1191229999999998E-2</v>
      </c>
      <c r="X6076">
        <v>0.99746849999999998</v>
      </c>
      <c r="Y6076">
        <v>0.14870629999999899</v>
      </c>
      <c r="Z6076">
        <v>-0.25022800000000001</v>
      </c>
      <c r="AA6076">
        <v>0.95669869999999901</v>
      </c>
      <c r="AB6076">
        <v>45</v>
      </c>
      <c r="AC6076">
        <v>0.10920000000001499</v>
      </c>
      <c r="AD6076">
        <v>-0.19465979999999899</v>
      </c>
      <c r="AE6076">
        <v>0.27282209999999901</v>
      </c>
      <c r="AF6076">
        <v>8.0003714816340596E-2</v>
      </c>
      <c r="AG6076">
        <v>-0.19465979999999899</v>
      </c>
      <c r="AH6076">
        <v>0.18792326578917201</v>
      </c>
      <c r="AI6076">
        <v>133.623609802586</v>
      </c>
      <c r="AJ6076">
        <v>66.939311605452801</v>
      </c>
      <c r="AK6076">
        <v>0.28214922637732398</v>
      </c>
    </row>
    <row r="6077" spans="1:37" x14ac:dyDescent="0.2">
      <c r="A6077" t="str">
        <f>"20200111153809661"</f>
        <v>20200111153809661</v>
      </c>
      <c r="B6077" t="str">
        <f>"1578728289649799"</f>
        <v>1578728289649799</v>
      </c>
      <c r="C6077" t="s">
        <v>37</v>
      </c>
      <c r="D6077">
        <v>5.6830800000000004</v>
      </c>
      <c r="E6077">
        <v>0.58536029999999994</v>
      </c>
      <c r="F6077" t="s">
        <v>38</v>
      </c>
      <c r="G6077">
        <v>-188.14760000000001</v>
      </c>
      <c r="H6077">
        <v>0.92526849999999905</v>
      </c>
      <c r="I6077">
        <v>0.20434859999999999</v>
      </c>
      <c r="J6077">
        <v>-188.24709999999999</v>
      </c>
      <c r="K6077">
        <v>1.102814</v>
      </c>
      <c r="L6077">
        <v>-3.7963869999999997E-2</v>
      </c>
      <c r="M6077">
        <v>-2.1968830000000002E-2</v>
      </c>
      <c r="N6077">
        <v>0</v>
      </c>
      <c r="O6077">
        <v>0.99975230000000004</v>
      </c>
      <c r="P6077">
        <v>-9.0151469999999997E-2</v>
      </c>
      <c r="Q6077">
        <v>-2.3646360000000002E-2</v>
      </c>
      <c r="R6077">
        <v>0.99564730000000001</v>
      </c>
      <c r="S6077">
        <v>0.39817809999999998</v>
      </c>
      <c r="T6077">
        <v>-0.78864880000000004</v>
      </c>
      <c r="U6077">
        <v>3.0292970000000001</v>
      </c>
      <c r="V6077">
        <v>-6.8243600000000001E-2</v>
      </c>
      <c r="W6077">
        <v>-2.0143950000000001E-2</v>
      </c>
      <c r="X6077">
        <v>0.9974653</v>
      </c>
      <c r="Y6077">
        <v>0.14794649999999901</v>
      </c>
      <c r="Z6077">
        <v>-0.24945519999999999</v>
      </c>
      <c r="AA6077">
        <v>0.95701829999999999</v>
      </c>
      <c r="AB6077">
        <v>45</v>
      </c>
      <c r="AC6077">
        <v>9.9499999999977704E-2</v>
      </c>
      <c r="AD6077">
        <v>-0.17754549999999999</v>
      </c>
      <c r="AE6077">
        <v>0.24231247</v>
      </c>
      <c r="AF6077">
        <v>7.1809590720409794E-2</v>
      </c>
      <c r="AG6077">
        <v>-0.17754549999999999</v>
      </c>
      <c r="AH6077">
        <v>0.16449712455207099</v>
      </c>
      <c r="AI6077">
        <v>134.688285144905</v>
      </c>
      <c r="AJ6077">
        <v>66.416801116926806</v>
      </c>
      <c r="AK6077">
        <v>0.252464504189366</v>
      </c>
    </row>
    <row r="6078" spans="1:37" x14ac:dyDescent="0.2">
      <c r="A6078" t="str">
        <f>"20200111153809684"</f>
        <v>20200111153809684</v>
      </c>
      <c r="B6078" t="str">
        <f>"1578728289679078"</f>
        <v>1578728289679078</v>
      </c>
      <c r="C6078" t="s">
        <v>37</v>
      </c>
      <c r="D6078">
        <v>5.7179949999999904</v>
      </c>
      <c r="E6078">
        <v>0.58489579999999997</v>
      </c>
      <c r="F6078" t="s">
        <v>38</v>
      </c>
      <c r="G6078">
        <v>-188.1147</v>
      </c>
      <c r="H6078">
        <v>0.83913979999999999</v>
      </c>
      <c r="I6078">
        <v>0.98030849999999903</v>
      </c>
      <c r="J6078">
        <v>-188.2578</v>
      </c>
      <c r="K6078">
        <v>1.102806</v>
      </c>
      <c r="L6078">
        <v>0.44393919999999998</v>
      </c>
      <c r="M6078">
        <v>-2.2190700000000001E-2</v>
      </c>
      <c r="N6078">
        <v>0</v>
      </c>
      <c r="O6078">
        <v>0.99974730000000001</v>
      </c>
      <c r="P6078">
        <v>-9.0806399999999995E-2</v>
      </c>
      <c r="Q6078">
        <v>-2.272795E-2</v>
      </c>
      <c r="R6078">
        <v>0.99560919999999897</v>
      </c>
      <c r="S6078">
        <v>0.39373779999999903</v>
      </c>
      <c r="T6078">
        <v>-0.78462279999999995</v>
      </c>
      <c r="U6078">
        <v>3.0301209999999998</v>
      </c>
      <c r="V6078">
        <v>-6.8679119999999996E-2</v>
      </c>
      <c r="W6078">
        <v>-1.9202170000000001E-2</v>
      </c>
      <c r="X6078">
        <v>0.99745399999999995</v>
      </c>
      <c r="Y6078">
        <v>0.1467936</v>
      </c>
      <c r="Z6078">
        <v>-0.248240299999999</v>
      </c>
      <c r="AA6078">
        <v>0.95751149999999996</v>
      </c>
      <c r="AB6078">
        <v>45</v>
      </c>
      <c r="AC6078">
        <v>0.143100000000004</v>
      </c>
      <c r="AD6078">
        <v>-0.26366619999999902</v>
      </c>
      <c r="AE6078">
        <v>0.53636929999999905</v>
      </c>
      <c r="AF6078">
        <v>0.12644301897493501</v>
      </c>
      <c r="AG6078">
        <v>-0.26366619999999902</v>
      </c>
      <c r="AH6078">
        <v>0.434943076218681</v>
      </c>
      <c r="AI6078">
        <v>120.20408669221599</v>
      </c>
      <c r="AJ6078">
        <v>73.790236772079794</v>
      </c>
      <c r="AK6078">
        <v>0.52410226255999404</v>
      </c>
    </row>
    <row r="6079" spans="1:37" x14ac:dyDescent="0.2">
      <c r="A6079" t="str">
        <f>"20200111153809706"</f>
        <v>20200111153809706</v>
      </c>
      <c r="B6079" t="str">
        <f>"1578728289699575"</f>
        <v>1578728289699575</v>
      </c>
      <c r="C6079" t="s">
        <v>37</v>
      </c>
      <c r="D6079">
        <v>5.6094419999999996</v>
      </c>
      <c r="E6079">
        <v>0.58268469999999895</v>
      </c>
      <c r="F6079" t="s">
        <v>38</v>
      </c>
      <c r="G6079">
        <v>-188.1362</v>
      </c>
      <c r="H6079">
        <v>0.85782619999999898</v>
      </c>
      <c r="I6079">
        <v>1.3935999999999999</v>
      </c>
      <c r="J6079">
        <v>-188.26759999999999</v>
      </c>
      <c r="K6079">
        <v>1.1028</v>
      </c>
      <c r="L6079">
        <v>0.88031009999999998</v>
      </c>
      <c r="M6079">
        <v>-2.2377660000000001E-2</v>
      </c>
      <c r="N6079">
        <v>0</v>
      </c>
      <c r="O6079">
        <v>0.9997431</v>
      </c>
      <c r="P6079">
        <v>-9.1662430000000003E-2</v>
      </c>
      <c r="Q6079">
        <v>-2.2413209999999999E-2</v>
      </c>
      <c r="R6079">
        <v>0.99553789999999998</v>
      </c>
      <c r="S6079">
        <v>0.38819890000000001</v>
      </c>
      <c r="T6079">
        <v>-0.78183979999999997</v>
      </c>
      <c r="U6079">
        <v>3.0307919999999999</v>
      </c>
      <c r="V6079">
        <v>-6.9350640000000005E-2</v>
      </c>
      <c r="W6079">
        <v>-1.8866150000000002E-2</v>
      </c>
      <c r="X6079">
        <v>0.99741389999999996</v>
      </c>
      <c r="Y6079">
        <v>0.14525669999999999</v>
      </c>
      <c r="Z6079">
        <v>-0.24741729999999901</v>
      </c>
      <c r="AA6079">
        <v>0.95795889999999995</v>
      </c>
      <c r="AB6079">
        <v>45</v>
      </c>
      <c r="AC6079">
        <v>0.131399999999985</v>
      </c>
      <c r="AD6079">
        <v>-0.24497379999999999</v>
      </c>
      <c r="AE6079">
        <v>0.51328989999999897</v>
      </c>
      <c r="AF6079">
        <v>0.117693966115023</v>
      </c>
      <c r="AG6079">
        <v>-0.24497379999999999</v>
      </c>
      <c r="AH6079">
        <v>0.42036048918242702</v>
      </c>
      <c r="AI6079">
        <v>119.300690987575</v>
      </c>
      <c r="AJ6079">
        <v>74.3586346096169</v>
      </c>
      <c r="AK6079">
        <v>0.50056665211739204</v>
      </c>
    </row>
    <row r="6080" spans="1:37" x14ac:dyDescent="0.2">
      <c r="A6080" t="str">
        <f>"20200111153809727"</f>
        <v>20200111153809727</v>
      </c>
      <c r="B6080" t="str">
        <f>"1578728289719094"</f>
        <v>1578728289719094</v>
      </c>
      <c r="C6080" t="s">
        <v>37</v>
      </c>
      <c r="D6080">
        <v>5.6598860000000002</v>
      </c>
      <c r="E6080">
        <v>0.50586039999999999</v>
      </c>
      <c r="F6080" t="s">
        <v>38</v>
      </c>
      <c r="G6080">
        <v>-188.15520000000001</v>
      </c>
      <c r="H6080">
        <v>0.86635069999999903</v>
      </c>
      <c r="I6080">
        <v>1.8041099999999901</v>
      </c>
      <c r="J6080">
        <v>-188.27760000000001</v>
      </c>
      <c r="K6080">
        <v>1.102786</v>
      </c>
      <c r="L6080">
        <v>1.3222049999999901</v>
      </c>
      <c r="M6080">
        <v>-2.2549179999999999E-2</v>
      </c>
      <c r="N6080">
        <v>0</v>
      </c>
      <c r="O6080">
        <v>0.99973919999999905</v>
      </c>
      <c r="P6080">
        <v>-9.2182159999999999E-2</v>
      </c>
      <c r="Q6080">
        <v>-2.2073820000000001E-2</v>
      </c>
      <c r="R6080">
        <v>0.99549750000000004</v>
      </c>
      <c r="S6080">
        <v>0.36843870000000001</v>
      </c>
      <c r="T6080">
        <v>-0.77551049999999999</v>
      </c>
      <c r="U6080">
        <v>3.0299070000000001</v>
      </c>
      <c r="V6080">
        <v>-6.9700680000000001E-2</v>
      </c>
      <c r="W6080">
        <v>-1.8504300000000001E-2</v>
      </c>
      <c r="X6080">
        <v>0.99739630000000001</v>
      </c>
      <c r="Y6080">
        <v>0.13935729999999999</v>
      </c>
      <c r="Z6080">
        <v>-0.2458002</v>
      </c>
      <c r="AA6080">
        <v>0.95925059999999995</v>
      </c>
      <c r="AB6080">
        <v>45</v>
      </c>
      <c r="AC6080">
        <v>0.122399999999998</v>
      </c>
      <c r="AD6080">
        <v>-0.23643529999999999</v>
      </c>
      <c r="AE6080">
        <v>0.48190499999999997</v>
      </c>
      <c r="AF6080">
        <v>0.108663766370929</v>
      </c>
      <c r="AG6080">
        <v>-0.23643529999999999</v>
      </c>
      <c r="AH6080">
        <v>0.39067948839641897</v>
      </c>
      <c r="AI6080">
        <v>120.24461384360001</v>
      </c>
      <c r="AJ6080">
        <v>74.456600047668303</v>
      </c>
      <c r="AK6080">
        <v>0.46940380043379898</v>
      </c>
    </row>
    <row r="6081" spans="1:37" x14ac:dyDescent="0.2">
      <c r="A6081" t="str">
        <f>"20200111153809749"</f>
        <v>20200111153809749</v>
      </c>
      <c r="B6081" t="str">
        <f>"1578728289739590"</f>
        <v>1578728289739590</v>
      </c>
      <c r="C6081" t="s">
        <v>37</v>
      </c>
      <c r="D6081">
        <v>5.5767009999999999</v>
      </c>
      <c r="E6081">
        <v>0.50350119999999998</v>
      </c>
      <c r="F6081" t="s">
        <v>38</v>
      </c>
      <c r="G6081">
        <v>-188.3519</v>
      </c>
      <c r="H6081">
        <v>0.98552809999999902</v>
      </c>
      <c r="I6081">
        <v>2.263261</v>
      </c>
      <c r="J6081">
        <v>-188.2878</v>
      </c>
      <c r="K6081">
        <v>1.10276</v>
      </c>
      <c r="L6081">
        <v>1.7707820000000001</v>
      </c>
      <c r="M6081">
        <v>-2.2700250000000002E-2</v>
      </c>
      <c r="N6081">
        <v>0</v>
      </c>
      <c r="O6081">
        <v>0.9997357</v>
      </c>
      <c r="P6081">
        <v>-9.2625310000000002E-2</v>
      </c>
      <c r="Q6081">
        <v>-2.2106899999999999E-2</v>
      </c>
      <c r="R6081">
        <v>0.9954556</v>
      </c>
      <c r="S6081">
        <v>-0.23571779999999901</v>
      </c>
      <c r="T6081">
        <v>-0.37174859999999998</v>
      </c>
      <c r="U6081">
        <v>2.9834900000000002</v>
      </c>
      <c r="V6081">
        <v>-6.9994580000000001E-2</v>
      </c>
      <c r="W6081">
        <v>-1.851386E-2</v>
      </c>
      <c r="X6081">
        <v>0.99737549999999997</v>
      </c>
      <c r="Y6081">
        <v>-5.5510629999999998E-2</v>
      </c>
      <c r="Z6081">
        <v>-0.12331400000000001</v>
      </c>
      <c r="AA6081">
        <v>0.99081390000000003</v>
      </c>
      <c r="AB6081">
        <v>46</v>
      </c>
      <c r="AC6081">
        <v>-6.4099999999996202E-2</v>
      </c>
      <c r="AD6081">
        <v>-0.1172319</v>
      </c>
      <c r="AE6081">
        <v>0.492478999999999</v>
      </c>
      <c r="AF6081">
        <v>-5.01117267755819E-2</v>
      </c>
      <c r="AG6081">
        <v>-0.1172319</v>
      </c>
      <c r="AH6081">
        <v>0.46774394057476998</v>
      </c>
      <c r="AI6081">
        <v>103.99344778513699</v>
      </c>
      <c r="AJ6081">
        <v>96.115056035879704</v>
      </c>
      <c r="AK6081">
        <v>0.48480810377143502</v>
      </c>
    </row>
    <row r="6082" spans="1:37" x14ac:dyDescent="0.2">
      <c r="A6082" t="str">
        <f>"20200111153809772"</f>
        <v>20200111153809772</v>
      </c>
      <c r="B6082" t="str">
        <f>"1578728289768870"</f>
        <v>1578728289768870</v>
      </c>
      <c r="C6082" t="s">
        <v>37</v>
      </c>
      <c r="D6082">
        <v>5.5759989999999897</v>
      </c>
      <c r="E6082">
        <v>0.50528980000000001</v>
      </c>
      <c r="F6082" t="s">
        <v>39</v>
      </c>
      <c r="G6082">
        <v>-189.2861</v>
      </c>
      <c r="H6082" s="1">
        <v>-1.7826509999999901E-6</v>
      </c>
      <c r="I6082">
        <v>13.49297</v>
      </c>
      <c r="J6082">
        <v>-188.29839999999999</v>
      </c>
      <c r="K6082">
        <v>1.1027309999999999</v>
      </c>
      <c r="L6082">
        <v>2.2373660000000002</v>
      </c>
      <c r="M6082">
        <v>-2.2827960000000001E-2</v>
      </c>
      <c r="N6082">
        <v>0</v>
      </c>
      <c r="O6082">
        <v>0.99973269999999903</v>
      </c>
      <c r="P6082">
        <v>-9.280273E-2</v>
      </c>
      <c r="Q6082">
        <v>-2.243844E-2</v>
      </c>
      <c r="R6082">
        <v>0.99543169999999903</v>
      </c>
      <c r="S6082">
        <v>-0.25410460000000001</v>
      </c>
      <c r="T6082">
        <v>-0.28070259999999903</v>
      </c>
      <c r="U6082">
        <v>2.9838259999999899</v>
      </c>
      <c r="V6082">
        <v>-7.0046029999999995E-2</v>
      </c>
      <c r="W6082">
        <v>-1.882004E-2</v>
      </c>
      <c r="X6082">
        <v>0.99736619999999998</v>
      </c>
      <c r="Y6082">
        <v>-6.1714980000000003E-2</v>
      </c>
      <c r="Z6082">
        <v>-9.3368080000000006E-2</v>
      </c>
      <c r="AA6082">
        <v>0.99371710000000002</v>
      </c>
      <c r="AB6082">
        <v>46</v>
      </c>
      <c r="AC6082">
        <v>-0.98770000000001801</v>
      </c>
      <c r="AD6082">
        <v>-1.1027327826509901</v>
      </c>
      <c r="AE6082">
        <v>11.255604</v>
      </c>
      <c r="AF6082">
        <v>-0.72360595819839402</v>
      </c>
      <c r="AG6082">
        <v>-1.1027327826509901</v>
      </c>
      <c r="AH6082">
        <v>11.168833426162699</v>
      </c>
      <c r="AI6082">
        <v>95.626989668752003</v>
      </c>
      <c r="AJ6082">
        <v>93.706896051160598</v>
      </c>
      <c r="AK6082">
        <v>11.2464423385372</v>
      </c>
    </row>
    <row r="6083" spans="1:37" x14ac:dyDescent="0.2">
      <c r="A6083" t="str">
        <f>"20200111153809794"</f>
        <v>20200111153809794</v>
      </c>
      <c r="B6083" t="str">
        <f>"1578728289789366"</f>
        <v>1578728289789366</v>
      </c>
      <c r="C6083" t="s">
        <v>37</v>
      </c>
      <c r="D6083">
        <v>5.6151089999999897</v>
      </c>
      <c r="E6083">
        <v>0.50656120000000004</v>
      </c>
      <c r="F6083" t="s">
        <v>39</v>
      </c>
      <c r="G6083">
        <v>-189.40350000000001</v>
      </c>
      <c r="H6083" s="1">
        <v>-2.8434709999999998E-6</v>
      </c>
      <c r="I6083">
        <v>16.014329999999902</v>
      </c>
      <c r="J6083">
        <v>-188.30840000000001</v>
      </c>
      <c r="K6083">
        <v>1.1027039999999999</v>
      </c>
      <c r="L6083">
        <v>2.6735229999999999</v>
      </c>
      <c r="M6083">
        <v>-2.2918830000000001E-2</v>
      </c>
      <c r="N6083">
        <v>0</v>
      </c>
      <c r="O6083">
        <v>0.99973049999999997</v>
      </c>
      <c r="P6083">
        <v>-9.2351299999999997E-2</v>
      </c>
      <c r="Q6083">
        <v>-2.2017490000000001E-2</v>
      </c>
      <c r="R6083">
        <v>0.99548300000000001</v>
      </c>
      <c r="S6083">
        <v>-0.23951720000000001</v>
      </c>
      <c r="T6083">
        <v>-0.2390092</v>
      </c>
      <c r="U6083">
        <v>2.9860530000000001</v>
      </c>
      <c r="V6083">
        <v>-6.9503960000000004E-2</v>
      </c>
      <c r="W6083">
        <v>-1.8374310000000001E-2</v>
      </c>
      <c r="X6083">
        <v>0.99741239999999998</v>
      </c>
      <c r="Y6083">
        <v>-5.683506E-2</v>
      </c>
      <c r="Z6083">
        <v>-7.956394E-2</v>
      </c>
      <c r="AA6083">
        <v>0.99520819999999999</v>
      </c>
      <c r="AB6083">
        <v>46</v>
      </c>
      <c r="AC6083">
        <v>-1.0951</v>
      </c>
      <c r="AD6083">
        <v>-1.1027068434709999</v>
      </c>
      <c r="AE6083">
        <v>13.3408069999999</v>
      </c>
      <c r="AF6083">
        <v>-0.78373582592649604</v>
      </c>
      <c r="AG6083">
        <v>-1.1027068434709999</v>
      </c>
      <c r="AH6083">
        <v>13.2723299653167</v>
      </c>
      <c r="AI6083">
        <v>94.741184032354298</v>
      </c>
      <c r="AJ6083">
        <v>93.3794119537732</v>
      </c>
      <c r="AK6083">
        <v>13.3410999147643</v>
      </c>
    </row>
    <row r="6084" spans="1:37" x14ac:dyDescent="0.2">
      <c r="A6084" t="str">
        <f>"20200111153809816"</f>
        <v>20200111153809816</v>
      </c>
      <c r="B6084" t="str">
        <f>"1578728289808886"</f>
        <v>1578728289808886</v>
      </c>
      <c r="C6084" t="s">
        <v>37</v>
      </c>
      <c r="D6084">
        <v>5.6824750000000002</v>
      </c>
      <c r="E6084">
        <v>0.50718479999999999</v>
      </c>
      <c r="F6084" t="s">
        <v>39</v>
      </c>
      <c r="G6084">
        <v>-189.4023</v>
      </c>
      <c r="H6084" s="1">
        <v>-3.2703479999999999E-6</v>
      </c>
      <c r="I6084">
        <v>17.00891</v>
      </c>
      <c r="J6084">
        <v>-188.3194</v>
      </c>
      <c r="K6084">
        <v>1.102678</v>
      </c>
      <c r="L6084">
        <v>3.1494140000000002</v>
      </c>
      <c r="M6084">
        <v>-2.2991169999999998E-2</v>
      </c>
      <c r="N6084">
        <v>0</v>
      </c>
      <c r="O6084">
        <v>0.99972879999999997</v>
      </c>
      <c r="P6084">
        <v>-9.0844419999999995E-2</v>
      </c>
      <c r="Q6084">
        <v>-2.1130949999999999E-2</v>
      </c>
      <c r="R6084">
        <v>0.99564089999999905</v>
      </c>
      <c r="S6084">
        <v>-0.22796630000000001</v>
      </c>
      <c r="T6084">
        <v>-0.22979659999999999</v>
      </c>
      <c r="U6084">
        <v>2.9873959999999999</v>
      </c>
      <c r="V6084">
        <v>-6.7923120000000003E-2</v>
      </c>
      <c r="W6084">
        <v>-1.7459990000000002E-2</v>
      </c>
      <c r="X6084">
        <v>0.99753780000000003</v>
      </c>
      <c r="Y6084">
        <v>-5.2920380000000003E-2</v>
      </c>
      <c r="Z6084">
        <v>-7.650092E-2</v>
      </c>
      <c r="AA6084">
        <v>0.99566409999999905</v>
      </c>
      <c r="AB6084">
        <v>46</v>
      </c>
      <c r="AC6084">
        <v>-1.08289999999999</v>
      </c>
      <c r="AD6084">
        <v>-1.102681270348</v>
      </c>
      <c r="AE6084">
        <v>13.859496</v>
      </c>
      <c r="AF6084">
        <v>-0.75918901283014395</v>
      </c>
      <c r="AG6084">
        <v>-1.102681270348</v>
      </c>
      <c r="AH6084">
        <v>13.7939436296935</v>
      </c>
      <c r="AI6084">
        <v>94.563600703486898</v>
      </c>
      <c r="AJ6084">
        <v>93.150258251438601</v>
      </c>
      <c r="AK6084">
        <v>13.858757332471701</v>
      </c>
    </row>
    <row r="6085" spans="1:37" x14ac:dyDescent="0.2">
      <c r="A6085" t="str">
        <f>"20200111153809839"</f>
        <v>20200111153809839</v>
      </c>
      <c r="B6085" t="str">
        <f>"1578728289829382"</f>
        <v>1578728289829382</v>
      </c>
      <c r="C6085" t="s">
        <v>37</v>
      </c>
      <c r="D6085">
        <v>5.5311820000000003</v>
      </c>
      <c r="E6085">
        <v>0.50800959999999995</v>
      </c>
      <c r="F6085" t="s">
        <v>39</v>
      </c>
      <c r="G6085">
        <v>-189.40889999999999</v>
      </c>
      <c r="H6085" s="1">
        <v>-3.7162020000000002E-6</v>
      </c>
      <c r="I6085">
        <v>18.050909999999998</v>
      </c>
      <c r="J6085">
        <v>-188.33019999999999</v>
      </c>
      <c r="K6085">
        <v>1.102641</v>
      </c>
      <c r="L6085">
        <v>3.6188660000000001</v>
      </c>
      <c r="M6085">
        <v>-2.3040540000000002E-2</v>
      </c>
      <c r="N6085">
        <v>0</v>
      </c>
      <c r="O6085">
        <v>0.99972759999999905</v>
      </c>
      <c r="P6085">
        <v>-8.9679869999999995E-2</v>
      </c>
      <c r="Q6085">
        <v>-2.1268180000000001E-2</v>
      </c>
      <c r="R6085">
        <v>0.9957435</v>
      </c>
      <c r="S6085">
        <v>-0.218505899999999</v>
      </c>
      <c r="T6085">
        <v>-0.2211428</v>
      </c>
      <c r="U6085">
        <v>2.9884949999999999</v>
      </c>
      <c r="V6085">
        <v>-6.6708110000000001E-2</v>
      </c>
      <c r="W6085">
        <v>-1.7570510000000001E-2</v>
      </c>
      <c r="X6085">
        <v>0.9976178</v>
      </c>
      <c r="Y6085">
        <v>-4.9724400000000002E-2</v>
      </c>
      <c r="Z6085">
        <v>-7.3623629999999995E-2</v>
      </c>
      <c r="AA6085">
        <v>0.99604570000000003</v>
      </c>
      <c r="AB6085">
        <v>46</v>
      </c>
      <c r="AC6085">
        <v>-1.07869999999999</v>
      </c>
      <c r="AD6085">
        <v>-1.1026447162019899</v>
      </c>
      <c r="AE6085">
        <v>14.432043999999999</v>
      </c>
      <c r="AF6085">
        <v>-0.74158440758435995</v>
      </c>
      <c r="AG6085">
        <v>-1.1026447162019899</v>
      </c>
      <c r="AH6085">
        <v>14.369652053322399</v>
      </c>
      <c r="AI6085">
        <v>94.382141865483504</v>
      </c>
      <c r="AJ6085">
        <v>92.954281361044394</v>
      </c>
      <c r="AK6085">
        <v>14.4309623011528</v>
      </c>
    </row>
    <row r="6086" spans="1:37" x14ac:dyDescent="0.2">
      <c r="A6086" t="str">
        <f>"20200111153809861"</f>
        <v>20200111153809861</v>
      </c>
      <c r="B6086" t="str">
        <f>"1578728289848904"</f>
        <v>1578728289848904</v>
      </c>
      <c r="C6086" t="s">
        <v>37</v>
      </c>
      <c r="D6086">
        <v>5.6104349999999998</v>
      </c>
      <c r="E6086">
        <v>0.50883020000000001</v>
      </c>
      <c r="F6086" t="s">
        <v>39</v>
      </c>
      <c r="G6086">
        <v>-189.39859999999999</v>
      </c>
      <c r="H6086" s="1">
        <v>-4.1071099999999999E-6</v>
      </c>
      <c r="I6086">
        <v>18.957889999999999</v>
      </c>
      <c r="J6086">
        <v>-188.34059999999999</v>
      </c>
      <c r="K6086">
        <v>1.1026119999999999</v>
      </c>
      <c r="L6086">
        <v>4.0714420000000002</v>
      </c>
      <c r="M6086">
        <v>-2.3071640000000001E-2</v>
      </c>
      <c r="N6086">
        <v>0</v>
      </c>
      <c r="O6086">
        <v>0.99972680000000003</v>
      </c>
      <c r="P6086">
        <v>-8.9674480000000001E-2</v>
      </c>
      <c r="Q6086">
        <v>-2.2584719999999999E-2</v>
      </c>
      <c r="R6086">
        <v>0.99571500000000002</v>
      </c>
      <c r="S6086">
        <v>-0.2082367</v>
      </c>
      <c r="T6086">
        <v>-0.21489800000000001</v>
      </c>
      <c r="U6086">
        <v>2.989471</v>
      </c>
      <c r="V6086">
        <v>-6.6673239999999995E-2</v>
      </c>
      <c r="W6086">
        <v>-1.88625999999999E-2</v>
      </c>
      <c r="X6086">
        <v>0.99759660000000006</v>
      </c>
      <c r="Y6086">
        <v>-4.6275690000000001E-2</v>
      </c>
      <c r="Z6086">
        <v>-7.1546760000000001E-2</v>
      </c>
      <c r="AA6086">
        <v>0.9963632</v>
      </c>
      <c r="AB6086">
        <v>46</v>
      </c>
      <c r="AC6086">
        <v>-1.0579999999999901</v>
      </c>
      <c r="AD6086">
        <v>-1.10261610711</v>
      </c>
      <c r="AE6086">
        <v>14.8864479999999</v>
      </c>
      <c r="AF6086">
        <v>-0.71038352068241695</v>
      </c>
      <c r="AG6086">
        <v>-1.10261610711</v>
      </c>
      <c r="AH6086">
        <v>14.825966875033499</v>
      </c>
      <c r="AI6086">
        <v>94.248435441545595</v>
      </c>
      <c r="AJ6086">
        <v>92.743218872522107</v>
      </c>
      <c r="AK6086">
        <v>14.8838738507724</v>
      </c>
    </row>
    <row r="6087" spans="1:37" x14ac:dyDescent="0.2">
      <c r="A6087" t="str">
        <f>"20200111153809885"</f>
        <v>20200111153809885</v>
      </c>
      <c r="B6087" t="str">
        <f>"1578728289879158"</f>
        <v>1578728289879158</v>
      </c>
      <c r="C6087" t="s">
        <v>37</v>
      </c>
      <c r="D6087">
        <v>5.6087860000000003</v>
      </c>
      <c r="E6087">
        <v>0.50971350000000004</v>
      </c>
      <c r="F6087" t="s">
        <v>39</v>
      </c>
      <c r="G6087">
        <v>-189.36349999999999</v>
      </c>
      <c r="H6087" s="1">
        <v>-4.23736E-6</v>
      </c>
      <c r="I6087">
        <v>19.24699</v>
      </c>
      <c r="J6087">
        <v>-188.35220000000001</v>
      </c>
      <c r="K6087">
        <v>1.102581</v>
      </c>
      <c r="L6087">
        <v>4.5744930000000004</v>
      </c>
      <c r="M6087">
        <v>-2.308816E-2</v>
      </c>
      <c r="N6087">
        <v>0</v>
      </c>
      <c r="O6087">
        <v>0.99972629999999996</v>
      </c>
      <c r="P6087">
        <v>-9.0071029999999996E-2</v>
      </c>
      <c r="Q6087">
        <v>-2.3455400000000001E-2</v>
      </c>
      <c r="R6087">
        <v>0.99565910000000002</v>
      </c>
      <c r="S6087">
        <v>-0.2015381</v>
      </c>
      <c r="T6087">
        <v>-0.21723379999999901</v>
      </c>
      <c r="U6087">
        <v>2.9898380000000002</v>
      </c>
      <c r="V6087">
        <v>-6.7055069999999994E-2</v>
      </c>
      <c r="W6087">
        <v>-1.970645E-2</v>
      </c>
      <c r="X6087">
        <v>0.99755469999999902</v>
      </c>
      <c r="Y6087">
        <v>-4.4024960000000002E-2</v>
      </c>
      <c r="Z6087">
        <v>-7.232073E-2</v>
      </c>
      <c r="AA6087">
        <v>0.99640930000000005</v>
      </c>
      <c r="AB6087">
        <v>47</v>
      </c>
      <c r="AC6087">
        <v>-1.0112999999999699</v>
      </c>
      <c r="AD6087">
        <v>-1.10258523736</v>
      </c>
      <c r="AE6087">
        <v>14.672497</v>
      </c>
      <c r="AF6087">
        <v>-0.66850982997863995</v>
      </c>
      <c r="AG6087">
        <v>-1.10258523736</v>
      </c>
      <c r="AH6087">
        <v>14.609823653870899</v>
      </c>
      <c r="AI6087">
        <v>94.311365911225707</v>
      </c>
      <c r="AJ6087">
        <v>92.619887416330201</v>
      </c>
      <c r="AK6087">
        <v>14.6666133376328</v>
      </c>
    </row>
    <row r="6088" spans="1:37" x14ac:dyDescent="0.2">
      <c r="A6088" t="str">
        <f>"20200111153809905"</f>
        <v>20200111153809905</v>
      </c>
      <c r="B6088" t="str">
        <f>"1578728289899653"</f>
        <v>1578728289899653</v>
      </c>
      <c r="C6088" t="s">
        <v>37</v>
      </c>
      <c r="D6088">
        <v>5.5620900000000004</v>
      </c>
      <c r="E6088">
        <v>0.50965020000000005</v>
      </c>
      <c r="F6088" t="s">
        <v>39</v>
      </c>
      <c r="G6088">
        <v>-189.35839999999999</v>
      </c>
      <c r="H6088" s="1">
        <v>-2.7802240000000002E-7</v>
      </c>
      <c r="I6088">
        <v>19.96341</v>
      </c>
      <c r="J6088">
        <v>-188.36199999999999</v>
      </c>
      <c r="K6088">
        <v>1.1025609999999999</v>
      </c>
      <c r="L6088">
        <v>5.0005189999999997</v>
      </c>
      <c r="M6088">
        <v>-2.308851E-2</v>
      </c>
      <c r="N6088">
        <v>0</v>
      </c>
      <c r="O6088">
        <v>0.99972619999999901</v>
      </c>
      <c r="P6088">
        <v>-9.0633169999999999E-2</v>
      </c>
      <c r="Q6088">
        <v>-2.4214610000000001E-2</v>
      </c>
      <c r="R6088">
        <v>0.99558989999999903</v>
      </c>
      <c r="S6088">
        <v>-0.19552610000000001</v>
      </c>
      <c r="T6088">
        <v>-0.21425239999999901</v>
      </c>
      <c r="U6088">
        <v>2.9903559999999998</v>
      </c>
      <c r="V6088">
        <v>-6.7619150000000003E-2</v>
      </c>
      <c r="W6088">
        <v>-2.0442999999999999E-2</v>
      </c>
      <c r="X6088">
        <v>0.99750169999999905</v>
      </c>
      <c r="Y6088">
        <v>-4.2023159999999997E-2</v>
      </c>
      <c r="Z6088">
        <v>-7.1328779999999994E-2</v>
      </c>
      <c r="AA6088">
        <v>0.99656719999999899</v>
      </c>
      <c r="AB6088">
        <v>47</v>
      </c>
      <c r="AC6088">
        <v>-0.99639999999999396</v>
      </c>
      <c r="AD6088">
        <v>-1.1025612780223999</v>
      </c>
      <c r="AE6088">
        <v>14.962891000000001</v>
      </c>
      <c r="AF6088">
        <v>-0.64716265227354497</v>
      </c>
      <c r="AG6088">
        <v>-1.1025612780223999</v>
      </c>
      <c r="AH6088">
        <v>14.9013553369081</v>
      </c>
      <c r="AI6088">
        <v>94.227671538852405</v>
      </c>
      <c r="AJ6088">
        <v>92.486780670071497</v>
      </c>
      <c r="AK6088">
        <v>14.9560974771861</v>
      </c>
    </row>
    <row r="6089" spans="1:37" x14ac:dyDescent="0.2">
      <c r="A6089" t="str">
        <f>"20200111153809928"</f>
        <v>20200111153809928</v>
      </c>
      <c r="B6089" t="str">
        <f>"1578728289919173"</f>
        <v>1578728289919173</v>
      </c>
      <c r="C6089" t="s">
        <v>37</v>
      </c>
      <c r="D6089">
        <v>5.5086050000000002</v>
      </c>
      <c r="E6089">
        <v>0.50967779999999996</v>
      </c>
      <c r="F6089" t="s">
        <v>39</v>
      </c>
      <c r="G6089">
        <v>-189.3443</v>
      </c>
      <c r="H6089" s="1">
        <v>-2.4676010000000001E-7</v>
      </c>
      <c r="I6089">
        <v>19.860489999999999</v>
      </c>
      <c r="J6089">
        <v>-188.37370000000001</v>
      </c>
      <c r="K6089">
        <v>1.1025399999999901</v>
      </c>
      <c r="L6089">
        <v>5.507568</v>
      </c>
      <c r="M6089">
        <v>-2.3060919999999999E-2</v>
      </c>
      <c r="N6089">
        <v>0</v>
      </c>
      <c r="O6089">
        <v>0.99972680000000003</v>
      </c>
      <c r="P6089">
        <v>-9.1737799999999994E-2</v>
      </c>
      <c r="Q6089">
        <v>-2.3406969999999999E-2</v>
      </c>
      <c r="R6089">
        <v>0.99550810000000001</v>
      </c>
      <c r="S6089">
        <v>-0.1976318</v>
      </c>
      <c r="T6089">
        <v>-0.22184090000000001</v>
      </c>
      <c r="U6089">
        <v>2.9898989999999999</v>
      </c>
      <c r="V6089">
        <v>-6.8753729999999999E-2</v>
      </c>
      <c r="W6089">
        <v>-1.9607360000000001E-2</v>
      </c>
      <c r="X6089">
        <v>0.99744089999999996</v>
      </c>
      <c r="Y6089">
        <v>-4.2747380000000001E-2</v>
      </c>
      <c r="Z6089">
        <v>-7.3850029999999997E-2</v>
      </c>
      <c r="AA6089">
        <v>0.99635280000000004</v>
      </c>
      <c r="AB6089">
        <v>47</v>
      </c>
      <c r="AC6089">
        <v>-0.97059999999999003</v>
      </c>
      <c r="AD6089">
        <v>-1.10254024676009</v>
      </c>
      <c r="AE6089">
        <v>14.352922</v>
      </c>
      <c r="AF6089">
        <v>-0.63561435060180904</v>
      </c>
      <c r="AG6089">
        <v>-1.10254024676009</v>
      </c>
      <c r="AH6089">
        <v>14.287564278854401</v>
      </c>
      <c r="AI6089">
        <v>94.408302684265607</v>
      </c>
      <c r="AJ6089">
        <v>92.547251744127806</v>
      </c>
      <c r="AK6089">
        <v>14.3441309817226</v>
      </c>
    </row>
    <row r="6090" spans="1:37" x14ac:dyDescent="0.2">
      <c r="A6090" t="str">
        <f>"20200111153809950"</f>
        <v>20200111153809950</v>
      </c>
      <c r="B6090" t="str">
        <f>"1578728289939669"</f>
        <v>1578728289939669</v>
      </c>
      <c r="C6090" t="s">
        <v>37</v>
      </c>
      <c r="D6090">
        <v>5.4773019999999999</v>
      </c>
      <c r="E6090">
        <v>0.50976319999999997</v>
      </c>
      <c r="F6090" t="s">
        <v>39</v>
      </c>
      <c r="G6090">
        <v>-189.3707</v>
      </c>
      <c r="H6090" s="1">
        <v>-4.1950750000000001E-7</v>
      </c>
      <c r="I6090">
        <v>20.350449999999999</v>
      </c>
      <c r="J6090">
        <v>-188.3843</v>
      </c>
      <c r="K6090">
        <v>1.102514</v>
      </c>
      <c r="L6090">
        <v>5.9650879999999997</v>
      </c>
      <c r="M6090">
        <v>-2.2997730000000001E-2</v>
      </c>
      <c r="N6090">
        <v>0</v>
      </c>
      <c r="O6090">
        <v>0.99972809999999901</v>
      </c>
      <c r="P6090">
        <v>-9.3179269999999995E-2</v>
      </c>
      <c r="Q6090">
        <v>-2.2674090000000001E-2</v>
      </c>
      <c r="R6090">
        <v>0.99539109999999997</v>
      </c>
      <c r="S6090">
        <v>-0.2008209</v>
      </c>
      <c r="T6090">
        <v>-0.22208510000000001</v>
      </c>
      <c r="U6090">
        <v>2.9898069999999999</v>
      </c>
      <c r="V6090">
        <v>-7.0262379999999999E-2</v>
      </c>
      <c r="W6090">
        <v>-1.8847550000000001E-2</v>
      </c>
      <c r="X6090">
        <v>0.99735049999999903</v>
      </c>
      <c r="Y6090">
        <v>-4.3870180000000002E-2</v>
      </c>
      <c r="Z6090">
        <v>-7.3928869999999994E-2</v>
      </c>
      <c r="AA6090">
        <v>0.99629809999999996</v>
      </c>
      <c r="AB6090">
        <v>47</v>
      </c>
      <c r="AC6090">
        <v>-0.98640000000000305</v>
      </c>
      <c r="AD6090">
        <v>-1.1025144195074901</v>
      </c>
      <c r="AE6090">
        <v>14.385361999999899</v>
      </c>
      <c r="AF6090">
        <v>-0.65149706242120198</v>
      </c>
      <c r="AG6090">
        <v>-1.1025144195074901</v>
      </c>
      <c r="AH6090">
        <v>14.320518669368701</v>
      </c>
      <c r="AI6090">
        <v>94.397897504728107</v>
      </c>
      <c r="AJ6090">
        <v>92.604815665204399</v>
      </c>
      <c r="AK6090">
        <v>14.377664672237399</v>
      </c>
    </row>
    <row r="6091" spans="1:37" x14ac:dyDescent="0.2">
      <c r="A6091" t="str">
        <f>"20200111153809972"</f>
        <v>20200111153809972</v>
      </c>
      <c r="B6091" t="str">
        <f>"1578728289968950"</f>
        <v>1578728289968950</v>
      </c>
      <c r="C6091" t="s">
        <v>37</v>
      </c>
      <c r="D6091">
        <v>5.5537999999999998</v>
      </c>
      <c r="E6091">
        <v>0.51016039999999996</v>
      </c>
      <c r="F6091" t="s">
        <v>39</v>
      </c>
      <c r="G6091">
        <v>-189.40440000000001</v>
      </c>
      <c r="H6091" s="1">
        <v>-6.4242649999999997E-7</v>
      </c>
      <c r="I6091">
        <v>20.883990000000001</v>
      </c>
      <c r="J6091">
        <v>-188.39510000000001</v>
      </c>
      <c r="K6091">
        <v>1.1024700000000001</v>
      </c>
      <c r="L6091">
        <v>6.4380489999999897</v>
      </c>
      <c r="M6091">
        <v>-2.2881470000000001E-2</v>
      </c>
      <c r="N6091">
        <v>0</v>
      </c>
      <c r="O6091">
        <v>0.99973069999999897</v>
      </c>
      <c r="P6091">
        <v>-9.398869E-2</v>
      </c>
      <c r="Q6091">
        <v>-2.2546320000000002E-2</v>
      </c>
      <c r="R6091">
        <v>0.99531789999999998</v>
      </c>
      <c r="S6091">
        <v>-0.20442199999999999</v>
      </c>
      <c r="T6091">
        <v>-0.22094149999999901</v>
      </c>
      <c r="U6091">
        <v>2.989716</v>
      </c>
      <c r="V6091">
        <v>-7.119135E-2</v>
      </c>
      <c r="W6091">
        <v>-1.8689609999999999E-2</v>
      </c>
      <c r="X6091">
        <v>0.99728760000000005</v>
      </c>
      <c r="Y6091">
        <v>-4.5184830000000002E-2</v>
      </c>
      <c r="Z6091">
        <v>-7.3547650000000006E-2</v>
      </c>
      <c r="AA6091">
        <v>0.99626759999999903</v>
      </c>
      <c r="AB6091">
        <v>47</v>
      </c>
      <c r="AC6091">
        <v>-1.0092999999999901</v>
      </c>
      <c r="AD6091">
        <v>-1.1024706424265001</v>
      </c>
      <c r="AE6091">
        <v>14.445940999999999</v>
      </c>
      <c r="AF6091">
        <v>-0.67457905410257302</v>
      </c>
      <c r="AG6091">
        <v>-1.1024706424265001</v>
      </c>
      <c r="AH6091">
        <v>14.3818959055956</v>
      </c>
      <c r="AI6091">
        <v>94.378744985091998</v>
      </c>
      <c r="AJ6091">
        <v>92.685475262326804</v>
      </c>
      <c r="AK6091">
        <v>14.439855548343701</v>
      </c>
    </row>
    <row r="6092" spans="1:37" x14ac:dyDescent="0.2">
      <c r="A6092" t="str">
        <f>"20200111153809994"</f>
        <v>20200111153809994</v>
      </c>
      <c r="B6092" t="str">
        <f>"1578728289989446"</f>
        <v>1578728289989446</v>
      </c>
      <c r="C6092" t="s">
        <v>37</v>
      </c>
      <c r="D6092">
        <v>5.4537409999999999</v>
      </c>
      <c r="E6092">
        <v>0.51034409999999997</v>
      </c>
      <c r="F6092" t="s">
        <v>39</v>
      </c>
      <c r="G6092">
        <v>-189.41970000000001</v>
      </c>
      <c r="H6092" s="1">
        <v>-8.9088179999999996E-7</v>
      </c>
      <c r="I6092">
        <v>21.469479999999901</v>
      </c>
      <c r="J6092">
        <v>-188.40530000000001</v>
      </c>
      <c r="K6092">
        <v>1.1024129999999901</v>
      </c>
      <c r="L6092">
        <v>6.8893129999999996</v>
      </c>
      <c r="M6092">
        <v>-2.2712299999999901E-2</v>
      </c>
      <c r="N6092">
        <v>0</v>
      </c>
      <c r="O6092">
        <v>0.99973449999999997</v>
      </c>
      <c r="P6092">
        <v>-9.4713469999999994E-2</v>
      </c>
      <c r="Q6092">
        <v>-2.2621260000000001E-2</v>
      </c>
      <c r="R6092">
        <v>0.99524749999999995</v>
      </c>
      <c r="S6092">
        <v>-0.20379639999999999</v>
      </c>
      <c r="T6092">
        <v>-0.21929219999999999</v>
      </c>
      <c r="U6092">
        <v>2.9898989999999999</v>
      </c>
      <c r="V6092">
        <v>-7.2089100000000003E-2</v>
      </c>
      <c r="W6092">
        <v>-1.8733730000000001E-2</v>
      </c>
      <c r="X6092">
        <v>0.99722219999999995</v>
      </c>
      <c r="Y6092">
        <v>-4.514497E-2</v>
      </c>
      <c r="Z6092">
        <v>-7.2998160000000006E-2</v>
      </c>
      <c r="AA6092">
        <v>0.99630980000000002</v>
      </c>
      <c r="AB6092">
        <v>47</v>
      </c>
      <c r="AC6092">
        <v>-1.01439999999999</v>
      </c>
      <c r="AD6092">
        <v>-1.1024138908818</v>
      </c>
      <c r="AE6092">
        <v>14.5801669999999</v>
      </c>
      <c r="AF6092">
        <v>-0.67912289152557803</v>
      </c>
      <c r="AG6092">
        <v>-1.1024138908818</v>
      </c>
      <c r="AH6092">
        <v>14.5168530848249</v>
      </c>
      <c r="AI6092">
        <v>94.337996121467697</v>
      </c>
      <c r="AJ6092">
        <v>92.678440473185404</v>
      </c>
      <c r="AK6092">
        <v>14.574482761833901</v>
      </c>
    </row>
    <row r="6093" spans="1:37" x14ac:dyDescent="0.2">
      <c r="A6093" t="str">
        <f>"20200111153810017"</f>
        <v>20200111153810017</v>
      </c>
      <c r="B6093" t="str">
        <f>"1578728290008966"</f>
        <v>1578728290008966</v>
      </c>
      <c r="C6093" t="s">
        <v>37</v>
      </c>
      <c r="D6093">
        <v>5.5692560000000002</v>
      </c>
      <c r="E6093">
        <v>0.51047039999999999</v>
      </c>
      <c r="F6093" t="s">
        <v>39</v>
      </c>
      <c r="G6093">
        <v>-189.44110000000001</v>
      </c>
      <c r="H6093" s="1">
        <v>-1.131213E-6</v>
      </c>
      <c r="I6093">
        <v>22.03856</v>
      </c>
      <c r="J6093">
        <v>-188.41650000000001</v>
      </c>
      <c r="K6093">
        <v>1.1023369999999999</v>
      </c>
      <c r="L6093">
        <v>7.3868710000000002</v>
      </c>
      <c r="M6093">
        <v>-2.2454950000000001E-2</v>
      </c>
      <c r="N6093">
        <v>0</v>
      </c>
      <c r="O6093">
        <v>0.99974019999999997</v>
      </c>
      <c r="P6093">
        <v>-9.4710630000000004E-2</v>
      </c>
      <c r="Q6093">
        <v>-2.2228890000000001E-2</v>
      </c>
      <c r="R6093">
        <v>0.99525669999999899</v>
      </c>
      <c r="S6093">
        <v>-0.20442199999999999</v>
      </c>
      <c r="T6093">
        <v>-0.21757789999999999</v>
      </c>
      <c r="U6093">
        <v>2.9899290000000001</v>
      </c>
      <c r="V6093">
        <v>-7.2345489999999998E-2</v>
      </c>
      <c r="W6093">
        <v>-1.8305399999999999E-2</v>
      </c>
      <c r="X6093">
        <v>0.99721159999999998</v>
      </c>
      <c r="Y6093">
        <v>-4.5611760000000001E-2</v>
      </c>
      <c r="Z6093">
        <v>-7.2429129999999994E-2</v>
      </c>
      <c r="AA6093">
        <v>0.9963301</v>
      </c>
      <c r="AB6093">
        <v>47</v>
      </c>
      <c r="AC6093">
        <v>-1.02459999999999</v>
      </c>
      <c r="AD6093">
        <v>-1.1023381312130001</v>
      </c>
      <c r="AE6093">
        <v>14.651688999999999</v>
      </c>
      <c r="AF6093">
        <v>-0.69144133492112003</v>
      </c>
      <c r="AG6093">
        <v>-1.1023381312130001</v>
      </c>
      <c r="AH6093">
        <v>14.5888240563723</v>
      </c>
      <c r="AI6093">
        <v>94.316257104065699</v>
      </c>
      <c r="AJ6093">
        <v>92.713518665585795</v>
      </c>
      <c r="AK6093">
        <v>14.6467412014738</v>
      </c>
    </row>
    <row r="6094" spans="1:37" x14ac:dyDescent="0.2">
      <c r="A6094" t="str">
        <f>"20200111153810041"</f>
        <v>20200111153810041</v>
      </c>
      <c r="B6094" t="str">
        <f>"1578728290029461"</f>
        <v>1578728290029461</v>
      </c>
      <c r="C6094" t="s">
        <v>37</v>
      </c>
      <c r="D6094">
        <v>5.5226800000000003</v>
      </c>
      <c r="E6094">
        <v>0.51063080000000005</v>
      </c>
      <c r="F6094" t="s">
        <v>39</v>
      </c>
      <c r="G6094">
        <v>-189.46119999999999</v>
      </c>
      <c r="H6094" s="1">
        <v>-1.428109E-6</v>
      </c>
      <c r="I6094">
        <v>22.738939999999999</v>
      </c>
      <c r="J6094">
        <v>-188.42760000000001</v>
      </c>
      <c r="K6094">
        <v>1.1022459999999901</v>
      </c>
      <c r="L6094">
        <v>7.8926089999999904</v>
      </c>
      <c r="M6094">
        <v>-2.210759E-2</v>
      </c>
      <c r="N6094">
        <v>0</v>
      </c>
      <c r="O6094">
        <v>0.99974789999999902</v>
      </c>
      <c r="P6094">
        <v>-9.4162800000000005E-2</v>
      </c>
      <c r="Q6094">
        <v>-2.3303419999999998E-2</v>
      </c>
      <c r="R6094">
        <v>0.99528399999999995</v>
      </c>
      <c r="S6094">
        <v>-0.20347599999999999</v>
      </c>
      <c r="T6094">
        <v>-0.2147038</v>
      </c>
      <c r="U6094">
        <v>2.9901430000000002</v>
      </c>
      <c r="V6094">
        <v>-7.2147699999999995E-2</v>
      </c>
      <c r="W6094">
        <v>-1.9342310000000001E-2</v>
      </c>
      <c r="X6094">
        <v>0.99720640000000005</v>
      </c>
      <c r="Y6094">
        <v>-4.5644909999999997E-2</v>
      </c>
      <c r="Z6094">
        <v>-7.1473759999999997E-2</v>
      </c>
      <c r="AA6094">
        <v>0.99639759999999999</v>
      </c>
      <c r="AB6094">
        <v>48</v>
      </c>
      <c r="AC6094">
        <v>-1.0335999999999701</v>
      </c>
      <c r="AD6094">
        <v>-1.10224742810899</v>
      </c>
      <c r="AE6094">
        <v>14.846330999999999</v>
      </c>
      <c r="AF6094">
        <v>-0.701281344682542</v>
      </c>
      <c r="AG6094">
        <v>-1.10224742810899</v>
      </c>
      <c r="AH6094">
        <v>14.784452223848</v>
      </c>
      <c r="AI6094">
        <v>94.258998995891503</v>
      </c>
      <c r="AJ6094">
        <v>92.715715573899899</v>
      </c>
      <c r="AK6094">
        <v>14.842060924158</v>
      </c>
    </row>
    <row r="6095" spans="1:37" x14ac:dyDescent="0.2">
      <c r="A6095" t="str">
        <f>"20200111153810061"</f>
        <v>20200111153810061</v>
      </c>
      <c r="B6095" t="str">
        <f>"1578728290048984"</f>
        <v>1578728290048984</v>
      </c>
      <c r="C6095" t="s">
        <v>37</v>
      </c>
      <c r="D6095">
        <v>5.4992239999999999</v>
      </c>
      <c r="E6095">
        <v>0.51072029999999902</v>
      </c>
      <c r="F6095" t="s">
        <v>39</v>
      </c>
      <c r="G6095">
        <v>-189.44399999999999</v>
      </c>
      <c r="H6095" s="1">
        <v>-1.56937E-6</v>
      </c>
      <c r="I6095">
        <v>23.0611</v>
      </c>
      <c r="J6095">
        <v>-188.43709999999999</v>
      </c>
      <c r="K6095">
        <v>1.1021700000000001</v>
      </c>
      <c r="L6095">
        <v>8.3286739999999995</v>
      </c>
      <c r="M6095">
        <v>-2.1740530000000001E-2</v>
      </c>
      <c r="N6095">
        <v>0</v>
      </c>
      <c r="O6095">
        <v>0.99975590000000003</v>
      </c>
      <c r="P6095">
        <v>-9.3555009999999994E-2</v>
      </c>
      <c r="Q6095">
        <v>-2.474939E-2</v>
      </c>
      <c r="R6095">
        <v>0.99530640000000004</v>
      </c>
      <c r="S6095">
        <v>-0.2003479</v>
      </c>
      <c r="T6095">
        <v>-0.2172868</v>
      </c>
      <c r="U6095">
        <v>2.990173</v>
      </c>
      <c r="V6095">
        <v>-7.1909810000000005E-2</v>
      </c>
      <c r="W6095">
        <v>-2.0755579999999999E-2</v>
      </c>
      <c r="X6095">
        <v>0.99719519999999995</v>
      </c>
      <c r="Y6095">
        <v>-4.4969219999999997E-2</v>
      </c>
      <c r="Z6095">
        <v>-7.2332939999999998E-2</v>
      </c>
      <c r="AA6095">
        <v>0.99636630000000004</v>
      </c>
      <c r="AB6095">
        <v>48</v>
      </c>
      <c r="AC6095">
        <v>-1.0069000000000301</v>
      </c>
      <c r="AD6095">
        <v>-1.10217156937</v>
      </c>
      <c r="AE6095">
        <v>14.732425999999901</v>
      </c>
      <c r="AF6095">
        <v>-0.68256626868246195</v>
      </c>
      <c r="AG6095">
        <v>-1.10217156937</v>
      </c>
      <c r="AH6095">
        <v>14.6691143210696</v>
      </c>
      <c r="AI6095">
        <v>94.292247967505702</v>
      </c>
      <c r="AJ6095">
        <v>92.664099383934399</v>
      </c>
      <c r="AK6095">
        <v>14.7262892082181</v>
      </c>
    </row>
    <row r="6096" spans="1:37" x14ac:dyDescent="0.2">
      <c r="A6096" t="str">
        <f>"20200111153810084"</f>
        <v>20200111153810084</v>
      </c>
      <c r="B6096" t="str">
        <f>"1578728290079237"</f>
        <v>1578728290079237</v>
      </c>
      <c r="C6096" t="s">
        <v>37</v>
      </c>
      <c r="D6096">
        <v>5.5234220000000001</v>
      </c>
      <c r="E6096">
        <v>0.51078619999999997</v>
      </c>
      <c r="F6096" t="s">
        <v>39</v>
      </c>
      <c r="G6096">
        <v>-189.42689999999999</v>
      </c>
      <c r="H6096" s="1">
        <v>-1.675083E-6</v>
      </c>
      <c r="I6096">
        <v>23.300460000000001</v>
      </c>
      <c r="J6096">
        <v>-188.44720000000001</v>
      </c>
      <c r="K6096">
        <v>1.1020909999999999</v>
      </c>
      <c r="L6096">
        <v>8.8037720000000004</v>
      </c>
      <c r="M6096">
        <v>-2.12794E-2</v>
      </c>
      <c r="N6096">
        <v>0</v>
      </c>
      <c r="O6096">
        <v>0.99976569999999998</v>
      </c>
      <c r="P6096">
        <v>-9.3446970000000004E-2</v>
      </c>
      <c r="Q6096">
        <v>-2.594554E-2</v>
      </c>
      <c r="R6096">
        <v>0.99528619999999901</v>
      </c>
      <c r="S6096">
        <v>-0.19767760000000001</v>
      </c>
      <c r="T6096">
        <v>-0.22011979999999901</v>
      </c>
      <c r="U6096">
        <v>2.9900820000000001</v>
      </c>
      <c r="V6096">
        <v>-7.2266529999999995E-2</v>
      </c>
      <c r="W6096">
        <v>-2.1916140000000001E-2</v>
      </c>
      <c r="X6096">
        <v>0.99714449999999999</v>
      </c>
      <c r="Y6096">
        <v>-4.4541589999999999E-2</v>
      </c>
      <c r="Z6096">
        <v>-7.3277149999999999E-2</v>
      </c>
      <c r="AA6096">
        <v>0.99631650000000005</v>
      </c>
      <c r="AB6096">
        <v>48</v>
      </c>
      <c r="AC6096">
        <v>-0.97969999999997903</v>
      </c>
      <c r="AD6096">
        <v>-1.102092675083</v>
      </c>
      <c r="AE6096">
        <v>14.496688000000001</v>
      </c>
      <c r="AF6096">
        <v>-0.66715653677696096</v>
      </c>
      <c r="AG6096">
        <v>-1.102092675083</v>
      </c>
      <c r="AH6096">
        <v>14.431225352018201</v>
      </c>
      <c r="AI6096">
        <v>94.362481207258597</v>
      </c>
      <c r="AJ6096">
        <v>92.646903215169502</v>
      </c>
      <c r="AK6096">
        <v>14.4886152295438</v>
      </c>
    </row>
    <row r="6097" spans="1:37" x14ac:dyDescent="0.2">
      <c r="A6097" t="str">
        <f>"20200111153810118"</f>
        <v>20200111153810118</v>
      </c>
      <c r="B6097" t="str">
        <f>"1578728290109494"</f>
        <v>1578728290109494</v>
      </c>
      <c r="C6097" t="s">
        <v>37</v>
      </c>
      <c r="D6097">
        <v>5.5096759999999998</v>
      </c>
      <c r="E6097">
        <v>0.51103989999999999</v>
      </c>
      <c r="F6097" t="s">
        <v>39</v>
      </c>
      <c r="G6097">
        <v>-189.42019999999999</v>
      </c>
      <c r="H6097" s="1">
        <v>-1.803423E-6</v>
      </c>
      <c r="I6097">
        <v>23.596869999999999</v>
      </c>
      <c r="J6097">
        <v>-188.4624</v>
      </c>
      <c r="K6097">
        <v>1.102004</v>
      </c>
      <c r="L6097">
        <v>9.5426640000000003</v>
      </c>
      <c r="M6097">
        <v>-2.046419E-2</v>
      </c>
      <c r="N6097">
        <v>0</v>
      </c>
      <c r="O6097">
        <v>0.99978259999999997</v>
      </c>
      <c r="P6097">
        <v>-9.2929150000000002E-2</v>
      </c>
      <c r="Q6097">
        <v>-2.5536380000000001E-2</v>
      </c>
      <c r="R6097">
        <v>0.99534519999999904</v>
      </c>
      <c r="S6097">
        <v>-0.1966705</v>
      </c>
      <c r="T6097">
        <v>-0.22275110000000001</v>
      </c>
      <c r="U6097">
        <v>2.9899290000000001</v>
      </c>
      <c r="V6097">
        <v>-7.2565389999999994E-2</v>
      </c>
      <c r="W6097">
        <v>-2.1453400000000001E-2</v>
      </c>
      <c r="X6097">
        <v>0.99713289999999999</v>
      </c>
      <c r="Y6097">
        <v>-4.5021129999999999E-2</v>
      </c>
      <c r="Z6097">
        <v>-7.415397E-2</v>
      </c>
      <c r="AA6097">
        <v>0.99623009999999901</v>
      </c>
      <c r="AB6097">
        <v>48</v>
      </c>
      <c r="AC6097">
        <v>-0.95779999999999099</v>
      </c>
      <c r="AD6097">
        <v>-1.102005803423</v>
      </c>
      <c r="AE6097">
        <v>14.054206000000001</v>
      </c>
      <c r="AF6097">
        <v>-0.66591387083369002</v>
      </c>
      <c r="AG6097">
        <v>-1.102005803423</v>
      </c>
      <c r="AH6097">
        <v>13.9852753980568</v>
      </c>
      <c r="AI6097">
        <v>94.500381241889798</v>
      </c>
      <c r="AJ6097">
        <v>92.726099974555893</v>
      </c>
      <c r="AK6097">
        <v>14.0444218832119</v>
      </c>
    </row>
    <row r="6098" spans="1:37" x14ac:dyDescent="0.2">
      <c r="A6098" t="str">
        <f>"20200111153810140"</f>
        <v>20200111153810140</v>
      </c>
      <c r="B6098" t="str">
        <f>"1578728290129013"</f>
        <v>1578728290129013</v>
      </c>
      <c r="C6098" t="s">
        <v>37</v>
      </c>
      <c r="D6098">
        <v>5.5558940000000003</v>
      </c>
      <c r="E6098">
        <v>0.51116980000000001</v>
      </c>
      <c r="F6098" t="s">
        <v>39</v>
      </c>
      <c r="G6098">
        <v>-189.42920000000001</v>
      </c>
      <c r="H6098" s="1">
        <v>-2.1928439999999999E-6</v>
      </c>
      <c r="I6098">
        <v>24.508310000000002</v>
      </c>
      <c r="J6098">
        <v>-188.47219999999999</v>
      </c>
      <c r="K6098">
        <v>1.1019570000000001</v>
      </c>
      <c r="L6098">
        <v>10.03262</v>
      </c>
      <c r="M6098">
        <v>-1.9871639999999999E-2</v>
      </c>
      <c r="N6098">
        <v>0</v>
      </c>
      <c r="O6098">
        <v>0.99979439999999997</v>
      </c>
      <c r="P6098">
        <v>-9.2514269999999996E-2</v>
      </c>
      <c r="Q6098">
        <v>-2.422968E-2</v>
      </c>
      <c r="R6098">
        <v>0.99541650000000004</v>
      </c>
      <c r="S6098">
        <v>-0.1931763</v>
      </c>
      <c r="T6098">
        <v>-0.220196999999999</v>
      </c>
      <c r="U6098">
        <v>2.9903559999999998</v>
      </c>
      <c r="V6098">
        <v>-7.2741429999999996E-2</v>
      </c>
      <c r="W6098">
        <v>-2.0112669999999999E-2</v>
      </c>
      <c r="X6098">
        <v>0.99714799999999904</v>
      </c>
      <c r="Y6098">
        <v>-4.444874E-2</v>
      </c>
      <c r="Z6098">
        <v>-7.3302919999999994E-2</v>
      </c>
      <c r="AA6098">
        <v>0.9963187</v>
      </c>
      <c r="AB6098">
        <v>48</v>
      </c>
      <c r="AC6098">
        <v>-0.95700000000002206</v>
      </c>
      <c r="AD6098">
        <v>-1.101959192844</v>
      </c>
      <c r="AE6098">
        <v>14.47569</v>
      </c>
      <c r="AF6098">
        <v>-0.66531427580050595</v>
      </c>
      <c r="AG6098">
        <v>-1.101959192844</v>
      </c>
      <c r="AH6098">
        <v>14.408713931539801</v>
      </c>
      <c r="AI6098">
        <v>94.368754564089102</v>
      </c>
      <c r="AJ6098">
        <v>92.643722641517599</v>
      </c>
      <c r="AK6098">
        <v>14.4660981024333</v>
      </c>
    </row>
    <row r="6099" spans="1:37" x14ac:dyDescent="0.2">
      <c r="A6099" t="str">
        <f>"20200111153810163"</f>
        <v>20200111153810163</v>
      </c>
      <c r="B6099" t="str">
        <f>"1578728290159270"</f>
        <v>1578728290159270</v>
      </c>
      <c r="C6099" t="s">
        <v>37</v>
      </c>
      <c r="D6099">
        <v>5.3650919999999998</v>
      </c>
      <c r="E6099">
        <v>0.51133260000000003</v>
      </c>
      <c r="F6099" t="s">
        <v>39</v>
      </c>
      <c r="G6099">
        <v>-189.44589999999999</v>
      </c>
      <c r="H6099" s="1">
        <v>-2.5241679999999999E-6</v>
      </c>
      <c r="I6099">
        <v>25.28754</v>
      </c>
      <c r="J6099">
        <v>-188.48159999999999</v>
      </c>
      <c r="K6099">
        <v>1.101918</v>
      </c>
      <c r="L6099">
        <v>10.523099999999999</v>
      </c>
      <c r="M6099">
        <v>-1.924824E-2</v>
      </c>
      <c r="N6099">
        <v>0</v>
      </c>
      <c r="O6099">
        <v>0.99980650000000004</v>
      </c>
      <c r="P6099">
        <v>-9.2041979999999995E-2</v>
      </c>
      <c r="Q6099">
        <v>-2.2298209999999999E-2</v>
      </c>
      <c r="R6099">
        <v>0.99550550000000004</v>
      </c>
      <c r="S6099">
        <v>-0.19090270000000001</v>
      </c>
      <c r="T6099">
        <v>-0.2160455</v>
      </c>
      <c r="U6099">
        <v>2.9908139999999999</v>
      </c>
      <c r="V6099">
        <v>-7.2889190000000006E-2</v>
      </c>
      <c r="W6099">
        <v>-1.8154509999999999E-2</v>
      </c>
      <c r="X6099">
        <v>0.99717479999999903</v>
      </c>
      <c r="Y6099">
        <v>-4.4313970000000001E-2</v>
      </c>
      <c r="Z6099">
        <v>-7.1920479999999995E-2</v>
      </c>
      <c r="AA6099">
        <v>0.99642540000000002</v>
      </c>
      <c r="AB6099">
        <v>49</v>
      </c>
      <c r="AC6099">
        <v>-0.96430000000000804</v>
      </c>
      <c r="AD6099">
        <v>-1.1019205241679999</v>
      </c>
      <c r="AE6099">
        <v>14.76444</v>
      </c>
      <c r="AF6099">
        <v>-0.67617910363351996</v>
      </c>
      <c r="AG6099">
        <v>-1.1019205241679999</v>
      </c>
      <c r="AH6099">
        <v>14.6987394991869</v>
      </c>
      <c r="AI6099">
        <v>94.282761220388096</v>
      </c>
      <c r="AJ6099">
        <v>92.633893492346701</v>
      </c>
      <c r="AK6099">
        <v>14.755486772273199</v>
      </c>
    </row>
    <row r="6100" spans="1:37" x14ac:dyDescent="0.2">
      <c r="A6100" t="str">
        <f>"20200111153810184"</f>
        <v>20200111153810184</v>
      </c>
      <c r="B6100" t="str">
        <f>"1578728290179766"</f>
        <v>1578728290179766</v>
      </c>
      <c r="C6100" t="s">
        <v>37</v>
      </c>
      <c r="D6100">
        <v>5.5414050000000001</v>
      </c>
      <c r="E6100">
        <v>0.51139040000000002</v>
      </c>
      <c r="F6100" t="s">
        <v>39</v>
      </c>
      <c r="G6100">
        <v>-189.4812</v>
      </c>
      <c r="H6100" s="1">
        <v>-2.9936320000000001E-6</v>
      </c>
      <c r="I6100">
        <v>26.39649</v>
      </c>
      <c r="J6100">
        <v>-188.4907</v>
      </c>
      <c r="K6100">
        <v>1.101888</v>
      </c>
      <c r="L6100">
        <v>11.01028</v>
      </c>
      <c r="M6100">
        <v>-1.8611180000000001E-2</v>
      </c>
      <c r="N6100">
        <v>0</v>
      </c>
      <c r="O6100">
        <v>0.9998186</v>
      </c>
      <c r="P6100">
        <v>-9.1315049999999995E-2</v>
      </c>
      <c r="Q6100">
        <v>-2.1309189999999999E-2</v>
      </c>
      <c r="R6100">
        <v>0.99559399999999998</v>
      </c>
      <c r="S6100">
        <v>-0.188385</v>
      </c>
      <c r="T6100">
        <v>-0.20766699999999999</v>
      </c>
      <c r="U6100">
        <v>2.9914860000000001</v>
      </c>
      <c r="V6100">
        <v>-7.2796340000000001E-2</v>
      </c>
      <c r="W6100">
        <v>-1.7145500000000001E-2</v>
      </c>
      <c r="X6100">
        <v>0.99719939999999996</v>
      </c>
      <c r="Y6100">
        <v>-4.4113430000000002E-2</v>
      </c>
      <c r="Z6100">
        <v>-6.9132910000000006E-2</v>
      </c>
      <c r="AA6100">
        <v>0.99663159999999895</v>
      </c>
      <c r="AB6100">
        <v>49</v>
      </c>
      <c r="AC6100">
        <v>-0.99049999999999705</v>
      </c>
      <c r="AD6100">
        <v>-1.101890993632</v>
      </c>
      <c r="AE6100">
        <v>15.38621</v>
      </c>
      <c r="AF6100">
        <v>-0.70039323242681895</v>
      </c>
      <c r="AG6100">
        <v>-1.101890993632</v>
      </c>
      <c r="AH6100">
        <v>15.3237119767235</v>
      </c>
      <c r="AI6100">
        <v>94.108646809093202</v>
      </c>
      <c r="AJ6100">
        <v>92.616968171106905</v>
      </c>
      <c r="AK6100">
        <v>15.3792348050043</v>
      </c>
    </row>
    <row r="6101" spans="1:37" x14ac:dyDescent="0.2">
      <c r="A6101" t="str">
        <f>"20200111153810206"</f>
        <v>20200111153810206</v>
      </c>
      <c r="B6101" t="str">
        <f>"1578728290199286"</f>
        <v>1578728290199286</v>
      </c>
      <c r="C6101" t="s">
        <v>37</v>
      </c>
      <c r="D6101">
        <v>5.5542590000000001</v>
      </c>
      <c r="E6101">
        <v>0.51147149999999997</v>
      </c>
      <c r="F6101" t="s">
        <v>39</v>
      </c>
      <c r="G6101">
        <v>-189.49690000000001</v>
      </c>
      <c r="H6101" s="1">
        <v>-3.351891E-6</v>
      </c>
      <c r="I6101">
        <v>27.23809</v>
      </c>
      <c r="J6101">
        <v>-188.49930000000001</v>
      </c>
      <c r="K6101">
        <v>1.1018459999999899</v>
      </c>
      <c r="L6101">
        <v>11.481960000000001</v>
      </c>
      <c r="M6101">
        <v>-1.798367E-2</v>
      </c>
      <c r="N6101">
        <v>0</v>
      </c>
      <c r="O6101">
        <v>0.999829999999999</v>
      </c>
      <c r="P6101">
        <v>-9.048747E-2</v>
      </c>
      <c r="Q6101">
        <v>-2.0712979999999999E-2</v>
      </c>
      <c r="R6101">
        <v>0.99568219999999996</v>
      </c>
      <c r="S6101">
        <v>-0.1855164</v>
      </c>
      <c r="T6101">
        <v>-0.20315510000000001</v>
      </c>
      <c r="U6101">
        <v>2.9919129999999998</v>
      </c>
      <c r="V6101">
        <v>-7.2593569999999996E-2</v>
      </c>
      <c r="W6101">
        <v>-1.6532689999999999E-2</v>
      </c>
      <c r="X6101">
        <v>0.99722459999999902</v>
      </c>
      <c r="Y6101">
        <v>-4.3786029999999997E-2</v>
      </c>
      <c r="Z6101">
        <v>-6.7631919999999998E-2</v>
      </c>
      <c r="AA6101">
        <v>0.996749</v>
      </c>
      <c r="AB6101">
        <v>49</v>
      </c>
      <c r="AC6101">
        <v>-0.99760000000000504</v>
      </c>
      <c r="AD6101">
        <v>-1.101849351891</v>
      </c>
      <c r="AE6101">
        <v>15.756130000000001</v>
      </c>
      <c r="AF6101">
        <v>-0.71062192062384399</v>
      </c>
      <c r="AG6101">
        <v>-1.101849351891</v>
      </c>
      <c r="AH6101">
        <v>15.6950736578854</v>
      </c>
      <c r="AI6101">
        <v>94.011680119899097</v>
      </c>
      <c r="AJ6101">
        <v>92.592396174974795</v>
      </c>
      <c r="AK6101">
        <v>15.749742621223399</v>
      </c>
    </row>
    <row r="6102" spans="1:37" x14ac:dyDescent="0.2">
      <c r="A6102" t="str">
        <f>"20200111153810229"</f>
        <v>20200111153810229</v>
      </c>
      <c r="B6102" t="str">
        <f>"1578728290219782"</f>
        <v>1578728290219782</v>
      </c>
      <c r="C6102" t="s">
        <v>37</v>
      </c>
      <c r="D6102">
        <v>5.6621319999999997</v>
      </c>
      <c r="E6102">
        <v>0.51149739999999999</v>
      </c>
      <c r="F6102" t="s">
        <v>39</v>
      </c>
      <c r="G6102">
        <v>-189.5017</v>
      </c>
      <c r="H6102" s="1">
        <v>-3.6415619999999998E-6</v>
      </c>
      <c r="I6102">
        <v>27.915289999999999</v>
      </c>
      <c r="J6102">
        <v>-188.50829999999999</v>
      </c>
      <c r="K6102">
        <v>1.101804</v>
      </c>
      <c r="L6102">
        <v>11.996700000000001</v>
      </c>
      <c r="M6102">
        <v>-1.7292060000000001E-2</v>
      </c>
      <c r="N6102">
        <v>0</v>
      </c>
      <c r="O6102">
        <v>0.99984219999999902</v>
      </c>
      <c r="P6102">
        <v>-8.9110690000000006E-2</v>
      </c>
      <c r="Q6102">
        <v>-2.0709310000000002E-2</v>
      </c>
      <c r="R6102">
        <v>0.99580639999999998</v>
      </c>
      <c r="S6102">
        <v>-0.18252560000000001</v>
      </c>
      <c r="T6102">
        <v>-0.20062939999999899</v>
      </c>
      <c r="U6102">
        <v>2.9922490000000002</v>
      </c>
      <c r="V6102">
        <v>-7.1906449999999997E-2</v>
      </c>
      <c r="W6102">
        <v>-1.651236E-2</v>
      </c>
      <c r="X6102">
        <v>0.99727469999999996</v>
      </c>
      <c r="Y6102">
        <v>-4.348113E-2</v>
      </c>
      <c r="Z6102">
        <v>-6.6791110000000001E-2</v>
      </c>
      <c r="AA6102">
        <v>0.99681909999999896</v>
      </c>
      <c r="AB6102">
        <v>49</v>
      </c>
      <c r="AC6102">
        <v>-0.99340000000000805</v>
      </c>
      <c r="AD6102">
        <v>-1.101807641562</v>
      </c>
      <c r="AE6102">
        <v>15.91859</v>
      </c>
      <c r="AF6102">
        <v>-0.71457391702051198</v>
      </c>
      <c r="AG6102">
        <v>-1.101807641562</v>
      </c>
      <c r="AH6102">
        <v>15.857712479180201</v>
      </c>
      <c r="AI6102">
        <v>93.970556634473496</v>
      </c>
      <c r="AJ6102">
        <v>92.580094181351697</v>
      </c>
      <c r="AK6102">
        <v>15.911996764524501</v>
      </c>
    </row>
    <row r="6103" spans="1:37" x14ac:dyDescent="0.2">
      <c r="A6103" t="str">
        <f>"20200111153810251"</f>
        <v>20200111153810251</v>
      </c>
      <c r="B6103" t="str">
        <f>"1578728290239301"</f>
        <v>1578728290239301</v>
      </c>
      <c r="C6103" t="s">
        <v>37</v>
      </c>
      <c r="D6103">
        <v>5.6432289999999998</v>
      </c>
      <c r="E6103">
        <v>0.51160839999999996</v>
      </c>
      <c r="F6103" t="s">
        <v>39</v>
      </c>
      <c r="G6103">
        <v>-189.48410000000001</v>
      </c>
      <c r="H6103" s="1">
        <v>-3.8478470000000001E-6</v>
      </c>
      <c r="I6103">
        <v>28.38888</v>
      </c>
      <c r="J6103">
        <v>-188.5164</v>
      </c>
      <c r="K6103">
        <v>1.1017760000000001</v>
      </c>
      <c r="L6103">
        <v>12.4826</v>
      </c>
      <c r="M6103">
        <v>-1.6635440000000001E-2</v>
      </c>
      <c r="N6103">
        <v>0</v>
      </c>
      <c r="O6103">
        <v>0.99985329999999994</v>
      </c>
      <c r="P6103">
        <v>-8.8192899999999894E-2</v>
      </c>
      <c r="Q6103">
        <v>-2.0711460000000001E-2</v>
      </c>
      <c r="R6103">
        <v>0.99588809999999905</v>
      </c>
      <c r="S6103">
        <v>-0.17814639999999901</v>
      </c>
      <c r="T6103">
        <v>-0.20114179999999901</v>
      </c>
      <c r="U6103">
        <v>2.9924930000000001</v>
      </c>
      <c r="V6103">
        <v>-7.1643490000000004E-2</v>
      </c>
      <c r="W6103">
        <v>-1.6498160000000001E-2</v>
      </c>
      <c r="X6103">
        <v>0.99729380000000001</v>
      </c>
      <c r="Y6103">
        <v>-4.2678109999999998E-2</v>
      </c>
      <c r="Z6103">
        <v>-6.6960729999999996E-2</v>
      </c>
      <c r="AA6103">
        <v>0.99684240000000002</v>
      </c>
      <c r="AB6103">
        <v>49</v>
      </c>
      <c r="AC6103">
        <v>-0.967700000000007</v>
      </c>
      <c r="AD6103">
        <v>-1.101779847847</v>
      </c>
      <c r="AE6103">
        <v>15.906280000000001</v>
      </c>
      <c r="AF6103">
        <v>-0.69961162267958299</v>
      </c>
      <c r="AG6103">
        <v>-1.101779847847</v>
      </c>
      <c r="AH6103">
        <v>15.844437217652199</v>
      </c>
      <c r="AI6103">
        <v>93.973932661130803</v>
      </c>
      <c r="AJ6103">
        <v>92.528254711464101</v>
      </c>
      <c r="AK6103">
        <v>15.8980994461549</v>
      </c>
    </row>
    <row r="6104" spans="1:37" x14ac:dyDescent="0.2">
      <c r="A6104" t="str">
        <f>"20200111153810274"</f>
        <v>20200111153810274</v>
      </c>
      <c r="B6104" t="str">
        <f>"1578728290269558"</f>
        <v>1578728290269558</v>
      </c>
      <c r="C6104" t="s">
        <v>37</v>
      </c>
      <c r="D6104">
        <v>5.7266750000000002</v>
      </c>
      <c r="E6104">
        <v>0.51163840000000005</v>
      </c>
      <c r="F6104" t="s">
        <v>39</v>
      </c>
      <c r="G6104">
        <v>-189.4659</v>
      </c>
      <c r="H6104" s="1">
        <v>-4.0102280000000001E-6</v>
      </c>
      <c r="I6104">
        <v>28.759879999999999</v>
      </c>
      <c r="J6104">
        <v>-188.52440000000001</v>
      </c>
      <c r="K6104">
        <v>1.1017479999999999</v>
      </c>
      <c r="L6104">
        <v>12.975860000000001</v>
      </c>
      <c r="M6104">
        <v>-1.5967200000000001E-2</v>
      </c>
      <c r="N6104">
        <v>0</v>
      </c>
      <c r="O6104">
        <v>0.99986409999999903</v>
      </c>
      <c r="P6104">
        <v>-8.7490490000000004E-2</v>
      </c>
      <c r="Q6104">
        <v>-2.0288270000000001E-2</v>
      </c>
      <c r="R6104">
        <v>0.99595869999999997</v>
      </c>
      <c r="S6104">
        <v>-0.174575799999999</v>
      </c>
      <c r="T6104">
        <v>-0.20257120000000001</v>
      </c>
      <c r="U6104">
        <v>2.9927060000000001</v>
      </c>
      <c r="V6104">
        <v>-7.1607400000000002E-2</v>
      </c>
      <c r="W6104">
        <v>-1.605763E-2</v>
      </c>
      <c r="X6104">
        <v>0.99730359999999996</v>
      </c>
      <c r="Y6104">
        <v>-4.2154539999999997E-2</v>
      </c>
      <c r="Z6104">
        <v>-6.7433820000000005E-2</v>
      </c>
      <c r="AA6104">
        <v>0.99683279999999996</v>
      </c>
      <c r="AB6104">
        <v>49</v>
      </c>
      <c r="AC6104">
        <v>-0.94149999999999001</v>
      </c>
      <c r="AD6104">
        <v>-1.1017520102279901</v>
      </c>
      <c r="AE6104">
        <v>15.7840199999999</v>
      </c>
      <c r="AF6104">
        <v>-0.68602061113336599</v>
      </c>
      <c r="AG6104">
        <v>-1.1017520102279901</v>
      </c>
      <c r="AH6104">
        <v>15.720716792021101</v>
      </c>
      <c r="AI6104">
        <v>94.005095283988197</v>
      </c>
      <c r="AJ6104">
        <v>92.498687865239603</v>
      </c>
      <c r="AK6104">
        <v>15.774201032885101</v>
      </c>
    </row>
    <row r="6105" spans="1:37" x14ac:dyDescent="0.2">
      <c r="A6105" t="str">
        <f>"20200111153810296"</f>
        <v>20200111153810296</v>
      </c>
      <c r="B6105" t="str">
        <f>"1578728290289077"</f>
        <v>1578728290289077</v>
      </c>
      <c r="C6105" t="s">
        <v>37</v>
      </c>
      <c r="D6105">
        <v>5.6596849999999996</v>
      </c>
      <c r="E6105">
        <v>0.51159790000000005</v>
      </c>
      <c r="F6105" t="s">
        <v>39</v>
      </c>
      <c r="G6105">
        <v>-189.46449999999999</v>
      </c>
      <c r="H6105" s="1">
        <v>-4.2466750000000003E-6</v>
      </c>
      <c r="I6105">
        <v>29.310449999999999</v>
      </c>
      <c r="J6105">
        <v>-188.53229999999999</v>
      </c>
      <c r="K6105">
        <v>1.101723</v>
      </c>
      <c r="L6105">
        <v>13.484129999999899</v>
      </c>
      <c r="M6105">
        <v>-1.527768E-2</v>
      </c>
      <c r="N6105">
        <v>0</v>
      </c>
      <c r="O6105">
        <v>0.99987479999999995</v>
      </c>
      <c r="P6105">
        <v>-8.6663669999999998E-2</v>
      </c>
      <c r="Q6105">
        <v>-2.0296769999999999E-2</v>
      </c>
      <c r="R6105">
        <v>0.99603090000000005</v>
      </c>
      <c r="S6105">
        <v>-0.17225650000000001</v>
      </c>
      <c r="T6105">
        <v>-0.20186960000000001</v>
      </c>
      <c r="U6105">
        <v>2.9929199999999998</v>
      </c>
      <c r="V6105">
        <v>-7.1468080000000003E-2</v>
      </c>
      <c r="W6105">
        <v>-1.6048099999999999E-2</v>
      </c>
      <c r="X6105">
        <v>0.99731380000000003</v>
      </c>
      <c r="Y6105">
        <v>-4.2070410000000003E-2</v>
      </c>
      <c r="Z6105">
        <v>-6.7199270000000005E-2</v>
      </c>
      <c r="AA6105">
        <v>0.99685219999999897</v>
      </c>
      <c r="AB6105">
        <v>49</v>
      </c>
      <c r="AC6105">
        <v>-0.93219999999999403</v>
      </c>
      <c r="AD6105">
        <v>-1.1017272466750001</v>
      </c>
      <c r="AE6105">
        <v>15.826320000000001</v>
      </c>
      <c r="AF6105">
        <v>-0.686982053448848</v>
      </c>
      <c r="AG6105">
        <v>-1.1017272466750001</v>
      </c>
      <c r="AH6105">
        <v>15.762592562396399</v>
      </c>
      <c r="AI6105">
        <v>93.994409646117106</v>
      </c>
      <c r="AJ6105">
        <v>92.495546244033207</v>
      </c>
      <c r="AK6105">
        <v>15.8159752009144</v>
      </c>
    </row>
    <row r="6106" spans="1:37" x14ac:dyDescent="0.2">
      <c r="A6106" t="str">
        <f>"20200111153810320"</f>
        <v>20200111153810320</v>
      </c>
      <c r="B6106" t="str">
        <f>"1578728290309575"</f>
        <v>1578728290309575</v>
      </c>
      <c r="C6106" t="s">
        <v>37</v>
      </c>
      <c r="D6106">
        <v>5.6334210000000002</v>
      </c>
      <c r="E6106">
        <v>0.51161520000000005</v>
      </c>
      <c r="F6106" t="s">
        <v>39</v>
      </c>
      <c r="G6106">
        <v>-189.45949999999999</v>
      </c>
      <c r="H6106" s="1">
        <v>-1.9715239999999901E-7</v>
      </c>
      <c r="I6106">
        <v>29.804790000000001</v>
      </c>
      <c r="J6106">
        <v>-188.53989999999999</v>
      </c>
      <c r="K6106">
        <v>1.101691</v>
      </c>
      <c r="L6106">
        <v>14.003879999999899</v>
      </c>
      <c r="M6106">
        <v>-1.457169E-2</v>
      </c>
      <c r="N6106">
        <v>0</v>
      </c>
      <c r="O6106">
        <v>0.99988529999999998</v>
      </c>
      <c r="P6106">
        <v>-8.6413429999999999E-2</v>
      </c>
      <c r="Q6106">
        <v>-1.951261E-2</v>
      </c>
      <c r="R6106">
        <v>0.99606819999999896</v>
      </c>
      <c r="S6106">
        <v>-0.1700439</v>
      </c>
      <c r="T6106">
        <v>-0.20204469999999999</v>
      </c>
      <c r="U6106">
        <v>2.993042</v>
      </c>
      <c r="V6106">
        <v>-7.192076E-2</v>
      </c>
      <c r="W6106">
        <v>-1.5243949999999999E-2</v>
      </c>
      <c r="X6106">
        <v>0.99729380000000001</v>
      </c>
      <c r="Y6106">
        <v>-4.2038810000000003E-2</v>
      </c>
      <c r="Z6106">
        <v>-6.7257079999999997E-2</v>
      </c>
      <c r="AA6106">
        <v>0.99684969999999995</v>
      </c>
      <c r="AB6106">
        <v>50</v>
      </c>
      <c r="AC6106">
        <v>-0.91960000000000197</v>
      </c>
      <c r="AD6106">
        <v>-1.1016911971523999</v>
      </c>
      <c r="AE6106">
        <v>15.80091</v>
      </c>
      <c r="AF6106">
        <v>-0.68593115174327302</v>
      </c>
      <c r="AG6106">
        <v>-1.1016911971523999</v>
      </c>
      <c r="AH6106">
        <v>15.7363909578354</v>
      </c>
      <c r="AI6106">
        <v>94.000907389850298</v>
      </c>
      <c r="AJ6106">
        <v>92.495877105925004</v>
      </c>
      <c r="AK6106">
        <v>15.7898139766324</v>
      </c>
    </row>
    <row r="6107" spans="1:37" x14ac:dyDescent="0.2">
      <c r="A6107" t="str">
        <f>"20200111153810341"</f>
        <v>20200111153810341</v>
      </c>
      <c r="B6107" t="str">
        <f>"1578728290329093"</f>
        <v>1578728290329093</v>
      </c>
      <c r="C6107" t="s">
        <v>37</v>
      </c>
      <c r="D6107">
        <v>5.6476949999999997</v>
      </c>
      <c r="E6107">
        <v>0.51155349999999999</v>
      </c>
      <c r="F6107" t="s">
        <v>39</v>
      </c>
      <c r="G6107">
        <v>-189.47059999999999</v>
      </c>
      <c r="H6107" s="1">
        <v>-4.4709260000000002E-7</v>
      </c>
      <c r="I6107">
        <v>30.456040000000002</v>
      </c>
      <c r="J6107">
        <v>-188.54660000000001</v>
      </c>
      <c r="K6107">
        <v>1.101672</v>
      </c>
      <c r="L6107">
        <v>14.47885</v>
      </c>
      <c r="M6107">
        <v>-1.3925939999999999E-2</v>
      </c>
      <c r="N6107">
        <v>0</v>
      </c>
      <c r="O6107">
        <v>0.99989439999999996</v>
      </c>
      <c r="P6107">
        <v>-8.6177719999999999E-2</v>
      </c>
      <c r="Q6107">
        <v>-1.795128E-2</v>
      </c>
      <c r="R6107">
        <v>0.99611810000000001</v>
      </c>
      <c r="S6107">
        <v>-0.1693115</v>
      </c>
      <c r="T6107">
        <v>-0.20043620000000001</v>
      </c>
      <c r="U6107">
        <v>2.9932249999999998</v>
      </c>
      <c r="V6107">
        <v>-7.2326119999999994E-2</v>
      </c>
      <c r="W6107">
        <v>-1.366381E-2</v>
      </c>
      <c r="X6107">
        <v>0.99728749999999999</v>
      </c>
      <c r="Y6107">
        <v>-4.2439499999999998E-2</v>
      </c>
      <c r="Z6107">
        <v>-6.672082E-2</v>
      </c>
      <c r="AA6107">
        <v>0.99686869999999905</v>
      </c>
      <c r="AB6107">
        <v>50</v>
      </c>
      <c r="AC6107">
        <v>-0.92399999999997795</v>
      </c>
      <c r="AD6107">
        <v>-1.1016724470926</v>
      </c>
      <c r="AE6107">
        <v>15.97719</v>
      </c>
      <c r="AF6107">
        <v>-0.698103026897543</v>
      </c>
      <c r="AG6107">
        <v>-1.1016724470926</v>
      </c>
      <c r="AH6107">
        <v>15.9131018142741</v>
      </c>
      <c r="AI6107">
        <v>93.956504783880504</v>
      </c>
      <c r="AJ6107">
        <v>92.511938121186702</v>
      </c>
      <c r="AK6107">
        <v>15.966459825781699</v>
      </c>
    </row>
    <row r="6108" spans="1:37" x14ac:dyDescent="0.2">
      <c r="A6108" t="str">
        <f>"20200111153810362"</f>
        <v>20200111153810362</v>
      </c>
      <c r="B6108" t="str">
        <f>"1578728290359350"</f>
        <v>1578728290359350</v>
      </c>
      <c r="C6108" t="s">
        <v>37</v>
      </c>
      <c r="D6108">
        <v>5.6663899999999998</v>
      </c>
      <c r="E6108">
        <v>0.51150099999999998</v>
      </c>
      <c r="F6108" t="s">
        <v>39</v>
      </c>
      <c r="G6108">
        <v>-189.49099999999899</v>
      </c>
      <c r="H6108" s="1">
        <v>-7.6705330000000004E-7</v>
      </c>
      <c r="I6108">
        <v>31.210329999999999</v>
      </c>
      <c r="J6108">
        <v>-188.5531</v>
      </c>
      <c r="K6108">
        <v>1.1016619999999999</v>
      </c>
      <c r="L6108">
        <v>14.956910000000001</v>
      </c>
      <c r="M6108">
        <v>-1.3275840000000001E-2</v>
      </c>
      <c r="N6108">
        <v>0</v>
      </c>
      <c r="O6108">
        <v>0.99990319999999899</v>
      </c>
      <c r="P6108">
        <v>-8.5215840000000001E-2</v>
      </c>
      <c r="Q6108">
        <v>-1.7749529999999999E-2</v>
      </c>
      <c r="R6108">
        <v>0.99620439999999999</v>
      </c>
      <c r="S6108">
        <v>-0.16896059999999999</v>
      </c>
      <c r="T6108">
        <v>-0.197107</v>
      </c>
      <c r="U6108">
        <v>2.9935299999999998</v>
      </c>
      <c r="V6108">
        <v>-7.2011049999999993E-2</v>
      </c>
      <c r="W6108">
        <v>-1.344392E-2</v>
      </c>
      <c r="X6108">
        <v>0.99731320000000001</v>
      </c>
      <c r="Y6108">
        <v>-4.2970979999999999E-2</v>
      </c>
      <c r="Z6108">
        <v>-6.5611089999999997E-2</v>
      </c>
      <c r="AA6108">
        <v>0.99691960000000002</v>
      </c>
      <c r="AB6108">
        <v>50</v>
      </c>
      <c r="AC6108">
        <v>-0.93789999999998397</v>
      </c>
      <c r="AD6108">
        <v>-1.1016627670532999</v>
      </c>
      <c r="AE6108">
        <v>16.253419999999998</v>
      </c>
      <c r="AF6108">
        <v>-0.71874657799638197</v>
      </c>
      <c r="AG6108">
        <v>-1.1016627670532999</v>
      </c>
      <c r="AH6108">
        <v>16.190304826044802</v>
      </c>
      <c r="AI6108">
        <v>93.888849447445097</v>
      </c>
      <c r="AJ6108">
        <v>92.541899281227401</v>
      </c>
      <c r="AK6108">
        <v>16.243651924858</v>
      </c>
    </row>
    <row r="6109" spans="1:37" x14ac:dyDescent="0.2">
      <c r="A6109" t="str">
        <f>"20200111153810385"</f>
        <v>20200111153810385</v>
      </c>
      <c r="B6109" t="str">
        <f>"1578728290378870"</f>
        <v>1578728290378870</v>
      </c>
      <c r="C6109" t="s">
        <v>37</v>
      </c>
      <c r="D6109">
        <v>5.7615280000000002</v>
      </c>
      <c r="E6109">
        <v>0.51148209999999905</v>
      </c>
      <c r="F6109" t="s">
        <v>39</v>
      </c>
      <c r="G6109">
        <v>-189.48220000000001</v>
      </c>
      <c r="H6109" s="1">
        <v>-9.4889650000000004E-7</v>
      </c>
      <c r="I6109">
        <v>31.630579999999998</v>
      </c>
      <c r="J6109">
        <v>-188.55959999999999</v>
      </c>
      <c r="K6109">
        <v>1.1016520000000001</v>
      </c>
      <c r="L6109">
        <v>15.470429999999901</v>
      </c>
      <c r="M6109">
        <v>-1.25767999999999E-2</v>
      </c>
      <c r="N6109">
        <v>0</v>
      </c>
      <c r="O6109">
        <v>0.99991209999999997</v>
      </c>
      <c r="P6109">
        <v>-8.4793590000000002E-2</v>
      </c>
      <c r="Q6109">
        <v>-1.779093E-2</v>
      </c>
      <c r="R6109">
        <v>0.99623969999999995</v>
      </c>
      <c r="S6109">
        <v>-0.16682429999999901</v>
      </c>
      <c r="T6109">
        <v>-0.19779659999999999</v>
      </c>
      <c r="U6109">
        <v>2.993652</v>
      </c>
      <c r="V6109">
        <v>-7.2286370000000003E-2</v>
      </c>
      <c r="W6109">
        <v>-1.3464220000000001E-2</v>
      </c>
      <c r="X6109">
        <v>0.99729310000000004</v>
      </c>
      <c r="Y6109">
        <v>-4.295715E-2</v>
      </c>
      <c r="Z6109">
        <v>-6.5839190000000006E-2</v>
      </c>
      <c r="AA6109">
        <v>0.99690509999999999</v>
      </c>
      <c r="AB6109">
        <v>50</v>
      </c>
      <c r="AC6109">
        <v>-0.92260000000001696</v>
      </c>
      <c r="AD6109">
        <v>-1.1016529488964999</v>
      </c>
      <c r="AE6109">
        <v>16.160150000000002</v>
      </c>
      <c r="AF6109">
        <v>-0.71596578088943397</v>
      </c>
      <c r="AG6109">
        <v>-1.1016529488964999</v>
      </c>
      <c r="AH6109">
        <v>16.095916102260102</v>
      </c>
      <c r="AI6109">
        <v>93.911533726110903</v>
      </c>
      <c r="AJ6109">
        <v>92.546906580566699</v>
      </c>
      <c r="AK6109">
        <v>16.149450807696699</v>
      </c>
    </row>
    <row r="6110" spans="1:37" x14ac:dyDescent="0.2">
      <c r="A6110" t="str">
        <f>"20200111153810408"</f>
        <v>20200111153810408</v>
      </c>
      <c r="B6110" t="str">
        <f>"1578728290399366"</f>
        <v>1578728290399366</v>
      </c>
      <c r="C6110" t="s">
        <v>37</v>
      </c>
      <c r="D6110">
        <v>5.7704469999999999</v>
      </c>
      <c r="E6110">
        <v>0.5115305</v>
      </c>
      <c r="F6110" t="s">
        <v>39</v>
      </c>
      <c r="G6110">
        <v>-189.4778</v>
      </c>
      <c r="H6110" s="1">
        <v>-1.1415110000000001E-6</v>
      </c>
      <c r="I6110">
        <v>32.077739999999999</v>
      </c>
      <c r="J6110">
        <v>-188.5658</v>
      </c>
      <c r="K6110">
        <v>1.101656</v>
      </c>
      <c r="L6110">
        <v>15.984739999999899</v>
      </c>
      <c r="M6110">
        <v>-1.187623E-2</v>
      </c>
      <c r="N6110">
        <v>0</v>
      </c>
      <c r="O6110">
        <v>0.9999207</v>
      </c>
      <c r="P6110">
        <v>-8.5218409999999994E-2</v>
      </c>
      <c r="Q6110">
        <v>-1.744184E-2</v>
      </c>
      <c r="R6110">
        <v>0.99620959999999903</v>
      </c>
      <c r="S6110">
        <v>-0.1655121</v>
      </c>
      <c r="T6110">
        <v>-0.19858719999999999</v>
      </c>
      <c r="U6110">
        <v>2.9936829999999999</v>
      </c>
      <c r="V6110">
        <v>-7.3409940000000007E-2</v>
      </c>
      <c r="W6110">
        <v>-1.309186E-2</v>
      </c>
      <c r="X6110">
        <v>0.99721589999999904</v>
      </c>
      <c r="Y6110">
        <v>-4.3219960000000002E-2</v>
      </c>
      <c r="Z6110">
        <v>-6.6101800000000002E-2</v>
      </c>
      <c r="AA6110">
        <v>0.9968764</v>
      </c>
      <c r="AB6110">
        <v>50</v>
      </c>
      <c r="AC6110">
        <v>-0.91200000000000503</v>
      </c>
      <c r="AD6110">
        <v>-1.1016571415109999</v>
      </c>
      <c r="AE6110">
        <v>16.093</v>
      </c>
      <c r="AF6110">
        <v>-0.71745845801885999</v>
      </c>
      <c r="AG6110">
        <v>-1.1016571415109999</v>
      </c>
      <c r="AH6110">
        <v>16.0278274147216</v>
      </c>
      <c r="AI6110">
        <v>93.928064325557997</v>
      </c>
      <c r="AJ6110">
        <v>92.563037222626704</v>
      </c>
      <c r="AK6110">
        <v>16.0816555967514</v>
      </c>
    </row>
    <row r="6111" spans="1:37" x14ac:dyDescent="0.2">
      <c r="A6111" t="str">
        <f>"20200111153810430"</f>
        <v>20200111153810430</v>
      </c>
      <c r="B6111" t="str">
        <f>"1578728290418888"</f>
        <v>1578728290418888</v>
      </c>
      <c r="C6111" t="s">
        <v>37</v>
      </c>
      <c r="D6111">
        <v>5.7147620000000003</v>
      </c>
      <c r="E6111">
        <v>0.51150629999999997</v>
      </c>
      <c r="F6111" t="s">
        <v>39</v>
      </c>
      <c r="G6111">
        <v>-189.4881</v>
      </c>
      <c r="H6111" s="1">
        <v>-1.3516599999999899E-6</v>
      </c>
      <c r="I6111">
        <v>32.571869999999997</v>
      </c>
      <c r="J6111">
        <v>-188.57159999999999</v>
      </c>
      <c r="K6111">
        <v>1.1016619999999999</v>
      </c>
      <c r="L6111">
        <v>16.491150000000001</v>
      </c>
      <c r="M6111">
        <v>-1.1186430000000001E-2</v>
      </c>
      <c r="N6111">
        <v>0</v>
      </c>
      <c r="O6111">
        <v>0.9999285</v>
      </c>
      <c r="P6111">
        <v>-8.5005499999999998E-2</v>
      </c>
      <c r="Q6111">
        <v>-1.41549E-2</v>
      </c>
      <c r="R6111">
        <v>0.99627999999999906</v>
      </c>
      <c r="S6111">
        <v>-0.1664581</v>
      </c>
      <c r="T6111">
        <v>-0.1988296</v>
      </c>
      <c r="U6111">
        <v>2.9936829999999999</v>
      </c>
      <c r="V6111">
        <v>-7.3877300000000007E-2</v>
      </c>
      <c r="W6111">
        <v>-9.7824890000000001E-3</v>
      </c>
      <c r="X6111">
        <v>0.99721939999999998</v>
      </c>
      <c r="Y6111">
        <v>-4.4222909999999997E-2</v>
      </c>
      <c r="Z6111">
        <v>-6.6180879999999997E-2</v>
      </c>
      <c r="AA6111">
        <v>0.99682719999999903</v>
      </c>
      <c r="AB6111">
        <v>50</v>
      </c>
      <c r="AC6111">
        <v>-0.91650000000001297</v>
      </c>
      <c r="AD6111">
        <v>-1.1016633516600001</v>
      </c>
      <c r="AE6111">
        <v>16.080719999999999</v>
      </c>
      <c r="AF6111">
        <v>-0.73312549395715298</v>
      </c>
      <c r="AG6111">
        <v>-1.1016633516600001</v>
      </c>
      <c r="AH6111">
        <v>16.015044749129601</v>
      </c>
      <c r="AI6111">
        <v>93.931032317197307</v>
      </c>
      <c r="AJ6111">
        <v>92.621016226034001</v>
      </c>
      <c r="AK6111">
        <v>16.0696233137839</v>
      </c>
    </row>
    <row r="6112" spans="1:37" x14ac:dyDescent="0.2">
      <c r="A6112" t="str">
        <f>"20200111153810453"</f>
        <v>20200111153810453</v>
      </c>
      <c r="B6112" t="str">
        <f>"1578728290449141"</f>
        <v>1578728290449141</v>
      </c>
      <c r="C6112" t="s">
        <v>37</v>
      </c>
      <c r="D6112">
        <v>5.9120809999999997</v>
      </c>
      <c r="E6112">
        <v>0.53137760000000001</v>
      </c>
      <c r="F6112" t="s">
        <v>39</v>
      </c>
      <c r="G6112">
        <v>-189.54259999999999</v>
      </c>
      <c r="H6112" s="1">
        <v>-1.94742799999999E-6</v>
      </c>
      <c r="I6112">
        <v>33.983129999999903</v>
      </c>
      <c r="J6112">
        <v>-188.577</v>
      </c>
      <c r="K6112">
        <v>1.101666</v>
      </c>
      <c r="L6112">
        <v>16.991</v>
      </c>
      <c r="M6112">
        <v>-1.0505240000000001E-2</v>
      </c>
      <c r="N6112">
        <v>0</v>
      </c>
      <c r="O6112">
        <v>0.99993580000000004</v>
      </c>
      <c r="P6112">
        <v>-8.3436209999999997E-2</v>
      </c>
      <c r="Q6112">
        <v>-1.134815E-2</v>
      </c>
      <c r="R6112">
        <v>0.99644849999999996</v>
      </c>
      <c r="S6112">
        <v>-0.166214</v>
      </c>
      <c r="T6112">
        <v>-0.1885877</v>
      </c>
      <c r="U6112">
        <v>2.994354</v>
      </c>
      <c r="V6112">
        <v>-7.2979810000000006E-2</v>
      </c>
      <c r="W6112">
        <v>-6.9557509999999996E-3</v>
      </c>
      <c r="X6112">
        <v>0.99730909999999995</v>
      </c>
      <c r="Y6112">
        <v>-4.4822269999999997E-2</v>
      </c>
      <c r="Z6112">
        <v>-6.2771660000000007E-2</v>
      </c>
      <c r="AA6112">
        <v>0.99702089999999999</v>
      </c>
      <c r="AB6112">
        <v>51</v>
      </c>
      <c r="AC6112">
        <v>-0.96559999999999402</v>
      </c>
      <c r="AD6112">
        <v>-1.101667947428</v>
      </c>
      <c r="AE6112">
        <v>16.9921299999999</v>
      </c>
      <c r="AF6112">
        <v>-0.783754833077414</v>
      </c>
      <c r="AG6112">
        <v>-1.101667947428</v>
      </c>
      <c r="AH6112">
        <v>16.9303992837892</v>
      </c>
      <c r="AI6112">
        <v>93.719039265745494</v>
      </c>
      <c r="AJ6112">
        <v>92.6504872395885</v>
      </c>
      <c r="AK6112">
        <v>16.984297566084201</v>
      </c>
    </row>
    <row r="6113" spans="1:37" x14ac:dyDescent="0.2">
      <c r="A6113" t="str">
        <f>"20200111153810474"</f>
        <v>20200111153810474</v>
      </c>
      <c r="B6113" t="str">
        <f>"1578728290469638"</f>
        <v>1578728290469638</v>
      </c>
      <c r="C6113" t="s">
        <v>37</v>
      </c>
      <c r="D6113">
        <v>5.839118</v>
      </c>
      <c r="E6113">
        <v>0.53646569999999905</v>
      </c>
      <c r="F6113" t="s">
        <v>38</v>
      </c>
      <c r="G6113">
        <v>-188.57820000000001</v>
      </c>
      <c r="H6113">
        <v>1.036721</v>
      </c>
      <c r="I6113">
        <v>17.86777</v>
      </c>
      <c r="J6113">
        <v>-188.58199999999999</v>
      </c>
      <c r="K6113">
        <v>1.101658</v>
      </c>
      <c r="L6113">
        <v>17.494959999999999</v>
      </c>
      <c r="M6113">
        <v>-9.8184810000000004E-3</v>
      </c>
      <c r="N6113">
        <v>0</v>
      </c>
      <c r="O6113">
        <v>0.99994269999999996</v>
      </c>
      <c r="P6113">
        <v>-8.1460640000000001E-2</v>
      </c>
      <c r="Q6113">
        <v>-1.1812309999999999E-2</v>
      </c>
      <c r="R6113">
        <v>0.99660659999999901</v>
      </c>
      <c r="S6113">
        <v>-4.6844479999999999E-3</v>
      </c>
      <c r="T6113">
        <v>-0.22277859999999999</v>
      </c>
      <c r="U6113">
        <v>3.0077509999999998</v>
      </c>
      <c r="V6113">
        <v>-7.1688379999999996E-2</v>
      </c>
      <c r="W6113">
        <v>-7.4002139999999996E-3</v>
      </c>
      <c r="X6113">
        <v>0.99739959999999905</v>
      </c>
      <c r="Y6113">
        <v>8.2654330000000008E-3</v>
      </c>
      <c r="Z6113">
        <v>-7.3859179999999997E-2</v>
      </c>
      <c r="AA6113">
        <v>0.99723439999999997</v>
      </c>
      <c r="AB6113">
        <v>51</v>
      </c>
      <c r="AC6113">
        <v>3.7999999999840301E-3</v>
      </c>
      <c r="AD6113">
        <v>-6.4936999999999995E-2</v>
      </c>
      <c r="AE6113">
        <v>0.37281000000000097</v>
      </c>
      <c r="AF6113">
        <v>7.2406234895187596E-3</v>
      </c>
      <c r="AG6113">
        <v>-6.4936999999999995E-2</v>
      </c>
      <c r="AH6113">
        <v>0.36177962296787097</v>
      </c>
      <c r="AI6113">
        <v>100.173852926758</v>
      </c>
      <c r="AJ6113">
        <v>88.853440706082694</v>
      </c>
      <c r="AK6113">
        <v>0.36763261034937</v>
      </c>
    </row>
    <row r="6114" spans="1:37" x14ac:dyDescent="0.2">
      <c r="A6114" t="str">
        <f>"20200111153810496"</f>
        <v>20200111153810496</v>
      </c>
      <c r="B6114" t="str">
        <f>"1578728290488886"</f>
        <v>1578728290488886</v>
      </c>
      <c r="C6114" t="s">
        <v>37</v>
      </c>
      <c r="D6114">
        <v>5.8827350000000003</v>
      </c>
      <c r="E6114">
        <v>0.53749639999999999</v>
      </c>
      <c r="F6114" t="s">
        <v>38</v>
      </c>
      <c r="G6114">
        <v>-188.57040000000001</v>
      </c>
      <c r="H6114">
        <v>1.0389329999999899</v>
      </c>
      <c r="I6114">
        <v>18.325039999999898</v>
      </c>
      <c r="J6114">
        <v>-188.58670000000001</v>
      </c>
      <c r="K6114">
        <v>1.10165</v>
      </c>
      <c r="L6114">
        <v>17.99268</v>
      </c>
      <c r="M6114">
        <v>-9.1403869999999998E-3</v>
      </c>
      <c r="N6114">
        <v>0</v>
      </c>
      <c r="O6114">
        <v>0.99994899999999998</v>
      </c>
      <c r="P6114">
        <v>-7.9786640000000006E-2</v>
      </c>
      <c r="Q6114">
        <v>-1.269468E-2</v>
      </c>
      <c r="R6114">
        <v>0.99673109999999998</v>
      </c>
      <c r="S6114">
        <v>4.1564940000000002E-2</v>
      </c>
      <c r="T6114">
        <v>-0.22751149999999901</v>
      </c>
      <c r="U6114">
        <v>3.0109249999999999</v>
      </c>
      <c r="V6114">
        <v>-7.0691970000000007E-2</v>
      </c>
      <c r="W6114">
        <v>-8.2622519999999994E-3</v>
      </c>
      <c r="X6114">
        <v>0.99746399999999902</v>
      </c>
      <c r="Y6114">
        <v>2.2903199999999999E-2</v>
      </c>
      <c r="Z6114">
        <v>-7.5329019999999997E-2</v>
      </c>
      <c r="AA6114">
        <v>0.99689570000000005</v>
      </c>
      <c r="AB6114">
        <v>51</v>
      </c>
      <c r="AC6114">
        <v>1.6300000000001001E-2</v>
      </c>
      <c r="AD6114">
        <v>-6.2717000000000106E-2</v>
      </c>
      <c r="AE6114">
        <v>0.33235999999999699</v>
      </c>
      <c r="AF6114">
        <v>1.8673893270103901E-2</v>
      </c>
      <c r="AG6114">
        <v>-6.2717000000000106E-2</v>
      </c>
      <c r="AH6114">
        <v>0.320801299092146</v>
      </c>
      <c r="AI6114">
        <v>101.043630699413</v>
      </c>
      <c r="AJ6114">
        <v>86.668563184415405</v>
      </c>
      <c r="AK6114">
        <v>0.32740740657180001</v>
      </c>
    </row>
    <row r="6115" spans="1:37" x14ac:dyDescent="0.2">
      <c r="A6115" t="str">
        <f>"20200111153810520"</f>
        <v>20200111153810520</v>
      </c>
      <c r="B6115" t="str">
        <f>"1578728290509381"</f>
        <v>1578728290509381</v>
      </c>
      <c r="C6115" t="s">
        <v>37</v>
      </c>
      <c r="D6115">
        <v>5.9030480000000001</v>
      </c>
      <c r="E6115">
        <v>0.53720579999999996</v>
      </c>
      <c r="F6115" t="s">
        <v>38</v>
      </c>
      <c r="G6115">
        <v>-188.5719</v>
      </c>
      <c r="H6115">
        <v>1.048662</v>
      </c>
      <c r="I6115">
        <v>18.789809999999999</v>
      </c>
      <c r="J6115">
        <v>-188.59129999999999</v>
      </c>
      <c r="K6115">
        <v>1.1016440000000001</v>
      </c>
      <c r="L6115">
        <v>18.526</v>
      </c>
      <c r="M6115">
        <v>-8.4140719999999999E-3</v>
      </c>
      <c r="N6115">
        <v>0</v>
      </c>
      <c r="O6115">
        <v>0.99995540000000005</v>
      </c>
      <c r="P6115">
        <v>-7.7847559999999996E-2</v>
      </c>
      <c r="Q6115">
        <v>-1.194051E-2</v>
      </c>
      <c r="R6115">
        <v>0.99689380000000005</v>
      </c>
      <c r="S6115">
        <v>5.5679319999999997E-2</v>
      </c>
      <c r="T6115">
        <v>-0.2002062</v>
      </c>
      <c r="U6115">
        <v>3.011749</v>
      </c>
      <c r="V6115">
        <v>-6.9474259999999996E-2</v>
      </c>
      <c r="W6115">
        <v>-7.4861060000000002E-3</v>
      </c>
      <c r="X6115">
        <v>0.99755569999999905</v>
      </c>
      <c r="Y6115">
        <v>2.685558E-2</v>
      </c>
      <c r="Z6115">
        <v>-6.6307550000000007E-2</v>
      </c>
      <c r="AA6115">
        <v>0.99743780000000004</v>
      </c>
      <c r="AB6115">
        <v>51</v>
      </c>
      <c r="AC6115">
        <v>1.93999999999903E-2</v>
      </c>
      <c r="AD6115">
        <v>-5.2982000000000001E-2</v>
      </c>
      <c r="AE6115">
        <v>0.26380999999999899</v>
      </c>
      <c r="AF6115">
        <v>2.07852033069733E-2</v>
      </c>
      <c r="AG6115">
        <v>-5.2982000000000001E-2</v>
      </c>
      <c r="AH6115">
        <v>0.253468931920526</v>
      </c>
      <c r="AI6115">
        <v>101.768013268651</v>
      </c>
      <c r="AJ6115">
        <v>85.312065550110006</v>
      </c>
      <c r="AK6115">
        <v>0.25977993850458198</v>
      </c>
    </row>
    <row r="6116" spans="1:37" x14ac:dyDescent="0.2">
      <c r="A6116" t="str">
        <f>"20200111153810541"</f>
        <v>20200111153810541</v>
      </c>
      <c r="B6116" t="str">
        <f>"1578728290528901"</f>
        <v>1578728290528901</v>
      </c>
      <c r="C6116" t="s">
        <v>37</v>
      </c>
      <c r="D6116">
        <v>5.8479720000000004</v>
      </c>
      <c r="E6116">
        <v>0.53736130000000004</v>
      </c>
      <c r="F6116" t="s">
        <v>38</v>
      </c>
      <c r="G6116">
        <v>-188.5684</v>
      </c>
      <c r="H6116">
        <v>1.0246919999999999</v>
      </c>
      <c r="I6116">
        <v>19.694269999999999</v>
      </c>
      <c r="J6116">
        <v>-188.59530000000001</v>
      </c>
      <c r="K6116">
        <v>1.1016299999999899</v>
      </c>
      <c r="L6116">
        <v>19.025510000000001</v>
      </c>
      <c r="M6116">
        <v>-7.7342390000000004E-3</v>
      </c>
      <c r="N6116">
        <v>0</v>
      </c>
      <c r="O6116">
        <v>0.99996070000000004</v>
      </c>
      <c r="P6116">
        <v>-7.5278559999999994E-2</v>
      </c>
      <c r="Q6116">
        <v>-1.101303E-2</v>
      </c>
      <c r="R6116">
        <v>0.99710169999999998</v>
      </c>
      <c r="S6116">
        <v>5.9280399999999997E-2</v>
      </c>
      <c r="T6116">
        <v>-0.19837769999999999</v>
      </c>
      <c r="U6116">
        <v>3.0115970000000001</v>
      </c>
      <c r="V6116">
        <v>-6.7579520000000004E-2</v>
      </c>
      <c r="W6116">
        <v>-6.5391199999999998E-3</v>
      </c>
      <c r="X6116">
        <v>0.99769249999999998</v>
      </c>
      <c r="Y6116">
        <v>2.7369919999999999E-2</v>
      </c>
      <c r="Z6116">
        <v>-6.5707219999999997E-2</v>
      </c>
      <c r="AA6116">
        <v>0.99746349999999995</v>
      </c>
      <c r="AB6116">
        <v>51</v>
      </c>
      <c r="AC6116">
        <v>2.6900000000011901E-2</v>
      </c>
      <c r="AD6116">
        <v>-7.6937999999999895E-2</v>
      </c>
      <c r="AE6116">
        <v>0.66875999999999802</v>
      </c>
      <c r="AF6116">
        <v>3.1653322029967998E-2</v>
      </c>
      <c r="AG6116">
        <v>-7.6937999999999895E-2</v>
      </c>
      <c r="AH6116">
        <v>0.65981307772477005</v>
      </c>
      <c r="AI6116">
        <v>96.643409877249795</v>
      </c>
      <c r="AJ6116">
        <v>87.253445786636902</v>
      </c>
      <c r="AK6116">
        <v>0.665037356977912</v>
      </c>
    </row>
    <row r="6117" spans="1:37" x14ac:dyDescent="0.2">
      <c r="A6117" t="str">
        <f>"20200111153810565"</f>
        <v>20200111153810565</v>
      </c>
      <c r="B6117" t="str">
        <f>"1578728290559158"</f>
        <v>1578728290559158</v>
      </c>
      <c r="C6117" t="s">
        <v>37</v>
      </c>
      <c r="D6117">
        <v>6.1182939999999997</v>
      </c>
      <c r="E6117">
        <v>0.53732809999999998</v>
      </c>
      <c r="F6117" t="s">
        <v>38</v>
      </c>
      <c r="G6117">
        <v>-188.56950000000001</v>
      </c>
      <c r="H6117">
        <v>1.0274369999999999</v>
      </c>
      <c r="I6117">
        <v>20.156749999999999</v>
      </c>
      <c r="J6117">
        <v>-188.59899999999999</v>
      </c>
      <c r="K6117">
        <v>1.1016219999999901</v>
      </c>
      <c r="L6117">
        <v>19.545439999999999</v>
      </c>
      <c r="M6117">
        <v>-7.0272729999999997E-3</v>
      </c>
      <c r="N6117">
        <v>0</v>
      </c>
      <c r="O6117">
        <v>0.99996580000000002</v>
      </c>
      <c r="P6117">
        <v>-7.3723999999999998E-2</v>
      </c>
      <c r="Q6117">
        <v>-9.9198269999999904E-3</v>
      </c>
      <c r="R6117">
        <v>0.99722929999999999</v>
      </c>
      <c r="S6117">
        <v>6.8130490000000002E-2</v>
      </c>
      <c r="T6117">
        <v>-0.19751659999999999</v>
      </c>
      <c r="U6117">
        <v>3.0116879999999999</v>
      </c>
      <c r="V6117">
        <v>-6.6726919999999995E-2</v>
      </c>
      <c r="W6117">
        <v>-5.4232219999999897E-3</v>
      </c>
      <c r="X6117">
        <v>0.99775650000000005</v>
      </c>
      <c r="Y6117">
        <v>2.9592779999999999E-2</v>
      </c>
      <c r="Z6117">
        <v>-6.5417649999999994E-2</v>
      </c>
      <c r="AA6117">
        <v>0.997419099999999</v>
      </c>
      <c r="AB6117">
        <v>51</v>
      </c>
      <c r="AC6117">
        <v>2.9500000000012901E-2</v>
      </c>
      <c r="AD6117">
        <v>-7.4184999999999696E-2</v>
      </c>
      <c r="AE6117">
        <v>0.61130999999999902</v>
      </c>
      <c r="AF6117">
        <v>3.3305805402270502E-2</v>
      </c>
      <c r="AG6117">
        <v>-7.4184999999999696E-2</v>
      </c>
      <c r="AH6117">
        <v>0.60223913288988595</v>
      </c>
      <c r="AI6117">
        <v>97.011822759116797</v>
      </c>
      <c r="AJ6117">
        <v>86.834579360983994</v>
      </c>
      <c r="AK6117">
        <v>0.60770442164135696</v>
      </c>
    </row>
    <row r="6118" spans="1:37" x14ac:dyDescent="0.2">
      <c r="A6118" t="str">
        <f>"20200111153810586"</f>
        <v>20200111153810586</v>
      </c>
      <c r="B6118" t="str">
        <f>"1578728290579521"</f>
        <v>1578728290579521</v>
      </c>
      <c r="C6118" t="s">
        <v>37</v>
      </c>
      <c r="D6118">
        <v>5.9005640000000001</v>
      </c>
      <c r="E6118">
        <v>0.53718759999999999</v>
      </c>
      <c r="F6118" t="s">
        <v>38</v>
      </c>
      <c r="G6118">
        <v>-188.57310000000001</v>
      </c>
      <c r="H6118">
        <v>1.03349</v>
      </c>
      <c r="I6118">
        <v>20.622060000000001</v>
      </c>
      <c r="J6118">
        <v>-188.60239999999999</v>
      </c>
      <c r="K6118">
        <v>1.101612</v>
      </c>
      <c r="L6118">
        <v>20.062650000000001</v>
      </c>
      <c r="M6118">
        <v>-6.3243730000000003E-3</v>
      </c>
      <c r="N6118">
        <v>0</v>
      </c>
      <c r="O6118">
        <v>0.99997039999999904</v>
      </c>
      <c r="P6118">
        <v>-7.3481889999999994E-2</v>
      </c>
      <c r="Q6118">
        <v>-8.4335269999999997E-3</v>
      </c>
      <c r="R6118">
        <v>0.99726090000000001</v>
      </c>
      <c r="S6118">
        <v>7.2540279999999999E-2</v>
      </c>
      <c r="T6118">
        <v>-0.1905926</v>
      </c>
      <c r="U6118">
        <v>3.0118099999999899</v>
      </c>
      <c r="V6118">
        <v>-6.7182710000000007E-2</v>
      </c>
      <c r="W6118">
        <v>-3.9115590000000002E-3</v>
      </c>
      <c r="X6118">
        <v>0.99773299999999998</v>
      </c>
      <c r="Y6118">
        <v>3.0352380000000002E-2</v>
      </c>
      <c r="Z6118">
        <v>-6.3129829999999998E-2</v>
      </c>
      <c r="AA6118">
        <v>0.99754359999999997</v>
      </c>
      <c r="AB6118">
        <v>52</v>
      </c>
      <c r="AC6118">
        <v>2.9299999999977899E-2</v>
      </c>
      <c r="AD6118">
        <v>-6.8122000000000002E-2</v>
      </c>
      <c r="AE6118">
        <v>0.55940999999999896</v>
      </c>
      <c r="AF6118">
        <v>3.2358826503757897E-2</v>
      </c>
      <c r="AG6118">
        <v>-6.8122000000000002E-2</v>
      </c>
      <c r="AH6118">
        <v>0.55106408688760999</v>
      </c>
      <c r="AI6118">
        <v>97.035099159959898</v>
      </c>
      <c r="AJ6118">
        <v>86.639415142773103</v>
      </c>
      <c r="AK6118">
        <v>0.55620079862759597</v>
      </c>
    </row>
    <row r="6119" spans="1:37" x14ac:dyDescent="0.2">
      <c r="A6119" t="str">
        <f>"20200111153810608"</f>
        <v>20200111153810608</v>
      </c>
      <c r="B6119" t="str">
        <f>"1578728290599040"</f>
        <v>1578728290599040</v>
      </c>
      <c r="C6119" t="s">
        <v>37</v>
      </c>
      <c r="D6119">
        <v>5.8876349999999897</v>
      </c>
      <c r="E6119">
        <v>0.53693679999999999</v>
      </c>
      <c r="F6119" t="s">
        <v>38</v>
      </c>
      <c r="G6119">
        <v>-188.5778</v>
      </c>
      <c r="H6119">
        <v>1.0381910000000001</v>
      </c>
      <c r="I6119">
        <v>21.087949999999999</v>
      </c>
      <c r="J6119">
        <v>-188.60550000000001</v>
      </c>
      <c r="K6119">
        <v>1.1015950000000001</v>
      </c>
      <c r="L6119">
        <v>20.579709999999999</v>
      </c>
      <c r="M6119">
        <v>-5.6228609999999998E-3</v>
      </c>
      <c r="N6119">
        <v>0</v>
      </c>
      <c r="O6119">
        <v>0.99997449999999999</v>
      </c>
      <c r="P6119">
        <v>-7.2999079999999994E-2</v>
      </c>
      <c r="Q6119">
        <v>-7.4730409999999997E-3</v>
      </c>
      <c r="R6119">
        <v>0.99730399999999997</v>
      </c>
      <c r="S6119">
        <v>7.2204589999999999E-2</v>
      </c>
      <c r="T6119">
        <v>-0.18630439999999901</v>
      </c>
      <c r="U6119">
        <v>3.0119929999999999</v>
      </c>
      <c r="V6119">
        <v>-6.7397509999999994E-2</v>
      </c>
      <c r="W6119">
        <v>-2.9261159999999999E-3</v>
      </c>
      <c r="X6119">
        <v>0.99772190000000005</v>
      </c>
      <c r="Y6119">
        <v>2.9540710000000001E-2</v>
      </c>
      <c r="Z6119">
        <v>-6.1712429999999999E-2</v>
      </c>
      <c r="AA6119">
        <v>0.99765669999999995</v>
      </c>
      <c r="AB6119">
        <v>52</v>
      </c>
      <c r="AC6119">
        <v>2.7700000000010001E-2</v>
      </c>
      <c r="AD6119">
        <v>-6.3404000000000002E-2</v>
      </c>
      <c r="AE6119">
        <v>0.50823999999999703</v>
      </c>
      <c r="AF6119">
        <v>3.0090439604896199E-2</v>
      </c>
      <c r="AG6119">
        <v>-6.3404000000000002E-2</v>
      </c>
      <c r="AH6119">
        <v>0.50031286072983405</v>
      </c>
      <c r="AI6119">
        <v>97.209628944569502</v>
      </c>
      <c r="AJ6119">
        <v>86.558191740477696</v>
      </c>
      <c r="AK6119">
        <v>0.50521130270737802</v>
      </c>
    </row>
    <row r="6120" spans="1:37" x14ac:dyDescent="0.2">
      <c r="A6120" t="str">
        <f>"20200111153810631"</f>
        <v>20200111153810631</v>
      </c>
      <c r="B6120" t="str">
        <f>"1578728290619537"</f>
        <v>1578728290619537</v>
      </c>
      <c r="C6120" t="s">
        <v>37</v>
      </c>
      <c r="D6120">
        <v>5.8381819999999998</v>
      </c>
      <c r="E6120">
        <v>0.53678570000000003</v>
      </c>
      <c r="F6120" t="s">
        <v>38</v>
      </c>
      <c r="G6120">
        <v>-188.5823</v>
      </c>
      <c r="H6120">
        <v>1.041631</v>
      </c>
      <c r="I6120">
        <v>21.554479999999899</v>
      </c>
      <c r="J6120">
        <v>-188.60820000000001</v>
      </c>
      <c r="K6120">
        <v>1.1015870000000001</v>
      </c>
      <c r="L6120">
        <v>21.103490000000001</v>
      </c>
      <c r="M6120">
        <v>-4.9148780000000001E-3</v>
      </c>
      <c r="N6120">
        <v>0</v>
      </c>
      <c r="O6120">
        <v>0.99997809999999898</v>
      </c>
      <c r="P6120">
        <v>-7.2191309999999995E-2</v>
      </c>
      <c r="Q6120">
        <v>-5.5505299999999997E-3</v>
      </c>
      <c r="R6120">
        <v>0.99737540000000002</v>
      </c>
      <c r="S6120">
        <v>7.1685789999999999E-2</v>
      </c>
      <c r="T6120">
        <v>-0.18528059999999999</v>
      </c>
      <c r="U6120">
        <v>3.0119630000000002</v>
      </c>
      <c r="V6120">
        <v>-6.7290719999999998E-2</v>
      </c>
      <c r="W6120">
        <v>-9.7881179999999898E-4</v>
      </c>
      <c r="X6120">
        <v>0.99773289999999903</v>
      </c>
      <c r="Y6120">
        <v>2.8662010000000002E-2</v>
      </c>
      <c r="Z6120">
        <v>-6.1376460000000001E-2</v>
      </c>
      <c r="AA6120">
        <v>0.99770309999999995</v>
      </c>
      <c r="AB6120">
        <v>52</v>
      </c>
      <c r="AC6120">
        <v>2.5900000000007101E-2</v>
      </c>
      <c r="AD6120">
        <v>-5.9956000000000099E-2</v>
      </c>
      <c r="AE6120">
        <v>0.450989999999997</v>
      </c>
      <c r="AF6120">
        <v>2.7629554069673701E-2</v>
      </c>
      <c r="AG6120">
        <v>-5.9956000000000099E-2</v>
      </c>
      <c r="AH6120">
        <v>0.44305254713057202</v>
      </c>
      <c r="AI6120">
        <v>97.691960826433601</v>
      </c>
      <c r="AJ6120">
        <v>86.431553193134604</v>
      </c>
      <c r="AK6120">
        <v>0.44794382874750799</v>
      </c>
    </row>
    <row r="6121" spans="1:37" x14ac:dyDescent="0.2">
      <c r="A6121" t="str">
        <f>"20200111153810654"</f>
        <v>20200111153810654</v>
      </c>
      <c r="B6121" t="str">
        <f>"1578728290649793"</f>
        <v>1578728290649793</v>
      </c>
      <c r="C6121" t="s">
        <v>37</v>
      </c>
      <c r="D6121">
        <v>5.8870550000000001</v>
      </c>
      <c r="E6121">
        <v>0.53644720000000001</v>
      </c>
      <c r="F6121" t="s">
        <v>38</v>
      </c>
      <c r="G6121">
        <v>-188.58590000000001</v>
      </c>
      <c r="H6121">
        <v>1.0460559999999901</v>
      </c>
      <c r="I6121">
        <v>22.023859999999999</v>
      </c>
      <c r="J6121">
        <v>-188.61070000000001</v>
      </c>
      <c r="K6121">
        <v>1.101585</v>
      </c>
      <c r="L6121">
        <v>21.650089999999999</v>
      </c>
      <c r="M6121">
        <v>-4.1792230000000001E-3</v>
      </c>
      <c r="N6121">
        <v>0</v>
      </c>
      <c r="O6121">
        <v>0.99998140000000002</v>
      </c>
      <c r="P6121">
        <v>-7.0911650000000007E-2</v>
      </c>
      <c r="Q6121">
        <v>-3.751674E-3</v>
      </c>
      <c r="R6121">
        <v>0.99747559999999902</v>
      </c>
      <c r="S6121">
        <v>7.2784420000000002E-2</v>
      </c>
      <c r="T6121">
        <v>-0.18173619999999999</v>
      </c>
      <c r="U6121">
        <v>3.012146</v>
      </c>
      <c r="V6121">
        <v>-6.6740240000000006E-2</v>
      </c>
      <c r="W6121">
        <v>8.4525720000000004E-4</v>
      </c>
      <c r="X6121">
        <v>0.99777000000000005</v>
      </c>
      <c r="Y6121">
        <v>2.8290610000000001E-2</v>
      </c>
      <c r="Z6121">
        <v>-6.0203369999999999E-2</v>
      </c>
      <c r="AA6121">
        <v>0.99778519999999904</v>
      </c>
      <c r="AB6121">
        <v>52</v>
      </c>
      <c r="AC6121">
        <v>2.4799999999999E-2</v>
      </c>
      <c r="AD6121">
        <v>-5.5529000000000099E-2</v>
      </c>
      <c r="AE6121">
        <v>0.37376999999999999</v>
      </c>
      <c r="AF6121">
        <v>2.57950288529591E-2</v>
      </c>
      <c r="AG6121">
        <v>-5.5529000000000099E-2</v>
      </c>
      <c r="AH6121">
        <v>0.36562851125409201</v>
      </c>
      <c r="AI6121">
        <v>98.614585485341095</v>
      </c>
      <c r="AJ6121">
        <v>85.964479007914406</v>
      </c>
      <c r="AK6121">
        <v>0.37071965364195197</v>
      </c>
    </row>
    <row r="6122" spans="1:37" x14ac:dyDescent="0.2">
      <c r="A6122" t="str">
        <f>"20200111153810677"</f>
        <v>20200111153810677</v>
      </c>
      <c r="B6122" t="str">
        <f>"1578728290669315"</f>
        <v>1578728290669315</v>
      </c>
      <c r="C6122" t="s">
        <v>37</v>
      </c>
      <c r="D6122">
        <v>5.9244309999999896</v>
      </c>
      <c r="E6122">
        <v>0.53625230000000002</v>
      </c>
      <c r="F6122" t="s">
        <v>38</v>
      </c>
      <c r="G6122">
        <v>-188.59</v>
      </c>
      <c r="H6122">
        <v>1.0510649999999999</v>
      </c>
      <c r="I6122">
        <v>22.495809999999999</v>
      </c>
      <c r="J6122">
        <v>-188.61259999999999</v>
      </c>
      <c r="K6122">
        <v>1.1015919999999999</v>
      </c>
      <c r="L6122">
        <v>22.16217</v>
      </c>
      <c r="M6122">
        <v>-3.4927729999999998E-3</v>
      </c>
      <c r="N6122">
        <v>0</v>
      </c>
      <c r="O6122">
        <v>0.99998390000000004</v>
      </c>
      <c r="P6122">
        <v>-6.978819E-2</v>
      </c>
      <c r="Q6122">
        <v>-9.4396219999999997E-4</v>
      </c>
      <c r="R6122">
        <v>0.99756139999999904</v>
      </c>
      <c r="S6122">
        <v>7.3501590000000006E-2</v>
      </c>
      <c r="T6122">
        <v>-0.17993580000000001</v>
      </c>
      <c r="U6122">
        <v>3.012146</v>
      </c>
      <c r="V6122">
        <v>-6.6294980000000003E-2</v>
      </c>
      <c r="W6122">
        <v>3.6767079999999999E-3</v>
      </c>
      <c r="X6122">
        <v>0.99779329999999999</v>
      </c>
      <c r="Y6122">
        <v>2.784271E-2</v>
      </c>
      <c r="Z6122">
        <v>-5.9609500000000003E-2</v>
      </c>
      <c r="AA6122">
        <v>0.99783339999999998</v>
      </c>
      <c r="AB6122">
        <v>52</v>
      </c>
      <c r="AC6122">
        <v>2.2599999999982801E-2</v>
      </c>
      <c r="AD6122">
        <v>-5.0526999999999898E-2</v>
      </c>
      <c r="AE6122">
        <v>0.33364000000000199</v>
      </c>
      <c r="AF6122">
        <v>2.3234757066129999E-2</v>
      </c>
      <c r="AG6122">
        <v>-5.0526999999999898E-2</v>
      </c>
      <c r="AH6122">
        <v>0.32611390297291998</v>
      </c>
      <c r="AI6122">
        <v>98.785268268862794</v>
      </c>
      <c r="AJ6122">
        <v>85.924712876162005</v>
      </c>
      <c r="AK6122">
        <v>0.33082186955694598</v>
      </c>
    </row>
    <row r="6123" spans="1:37" x14ac:dyDescent="0.2">
      <c r="A6123" t="str">
        <f>"20200111153810699"</f>
        <v>20200111153810699</v>
      </c>
      <c r="B6123" t="str">
        <f>"1578728290689810"</f>
        <v>1578728290689810</v>
      </c>
      <c r="C6123" t="s">
        <v>37</v>
      </c>
      <c r="D6123">
        <v>5.86815</v>
      </c>
      <c r="E6123">
        <v>0.53615740000000001</v>
      </c>
      <c r="F6123" t="s">
        <v>39</v>
      </c>
      <c r="G6123">
        <v>-188.13740000000001</v>
      </c>
      <c r="H6123" s="1">
        <v>-1.033471E-6</v>
      </c>
      <c r="I6123">
        <v>41.228679999999997</v>
      </c>
      <c r="J6123">
        <v>-188.61429999999999</v>
      </c>
      <c r="K6123">
        <v>1.1015889999999999</v>
      </c>
      <c r="L6123">
        <v>22.691770000000002</v>
      </c>
      <c r="M6123">
        <v>-2.7852990000000002E-3</v>
      </c>
      <c r="N6123">
        <v>0</v>
      </c>
      <c r="O6123">
        <v>0.99998600000000004</v>
      </c>
      <c r="P6123">
        <v>-6.8467009999999995E-2</v>
      </c>
      <c r="Q6123">
        <v>5.0020640000000003E-4</v>
      </c>
      <c r="R6123">
        <v>0.99765319999999902</v>
      </c>
      <c r="S6123">
        <v>7.5073239999999999E-2</v>
      </c>
      <c r="T6123">
        <v>-0.1740466</v>
      </c>
      <c r="U6123">
        <v>3.0124209999999998</v>
      </c>
      <c r="V6123">
        <v>-6.5676020000000002E-2</v>
      </c>
      <c r="W6123">
        <v>5.1453519999999997E-3</v>
      </c>
      <c r="X6123">
        <v>0.99782769999999998</v>
      </c>
      <c r="Y6123">
        <v>2.7656420000000001E-2</v>
      </c>
      <c r="Z6123">
        <v>-5.765986E-2</v>
      </c>
      <c r="AA6123">
        <v>0.99795309999999904</v>
      </c>
      <c r="AB6123">
        <v>52</v>
      </c>
      <c r="AC6123">
        <v>0.47689999999997201</v>
      </c>
      <c r="AD6123">
        <v>-1.10159003347099</v>
      </c>
      <c r="AE6123">
        <v>18.536909999999899</v>
      </c>
      <c r="AF6123">
        <v>0.52667077581709798</v>
      </c>
      <c r="AG6123">
        <v>-1.10159003347099</v>
      </c>
      <c r="AH6123">
        <v>18.470324051420199</v>
      </c>
      <c r="AI6123">
        <v>93.411755519745796</v>
      </c>
      <c r="AJ6123">
        <v>88.366686035426397</v>
      </c>
      <c r="AK6123">
        <v>18.510638921237</v>
      </c>
    </row>
    <row r="6124" spans="1:37" x14ac:dyDescent="0.2">
      <c r="A6124" t="str">
        <f>"20200111153810722"</f>
        <v>20200111153810722</v>
      </c>
      <c r="B6124" t="str">
        <f>"1578728290709330"</f>
        <v>1578728290709330</v>
      </c>
      <c r="C6124" t="s">
        <v>37</v>
      </c>
      <c r="D6124">
        <v>5.7767910000000002</v>
      </c>
      <c r="E6124">
        <v>0.53622749999999997</v>
      </c>
      <c r="F6124" t="s">
        <v>39</v>
      </c>
      <c r="G6124">
        <v>-188.1078</v>
      </c>
      <c r="H6124" s="1">
        <v>-1.436341E-6</v>
      </c>
      <c r="I6124">
        <v>42.198509999999999</v>
      </c>
      <c r="J6124">
        <v>-188.6155</v>
      </c>
      <c r="K6124">
        <v>1.1015870000000001</v>
      </c>
      <c r="L6124">
        <v>23.209869999999999</v>
      </c>
      <c r="M6124">
        <v>-2.0956659999999999E-3</v>
      </c>
      <c r="N6124">
        <v>0</v>
      </c>
      <c r="O6124">
        <v>0.99998759999999998</v>
      </c>
      <c r="P6124">
        <v>-6.6425970000000001E-2</v>
      </c>
      <c r="Q6124">
        <v>1.8709579999999901E-3</v>
      </c>
      <c r="R6124">
        <v>0.99778960000000005</v>
      </c>
      <c r="S6124">
        <v>7.8216549999999996E-2</v>
      </c>
      <c r="T6124">
        <v>-0.17012349999999901</v>
      </c>
      <c r="U6124">
        <v>3.0125120000000001</v>
      </c>
      <c r="V6124">
        <v>-6.4318920000000002E-2</v>
      </c>
      <c r="W6124">
        <v>6.5386469999999999E-3</v>
      </c>
      <c r="X6124">
        <v>0.99790800000000002</v>
      </c>
      <c r="Y6124">
        <v>2.800882E-2</v>
      </c>
      <c r="Z6124">
        <v>-5.6361769999999999E-2</v>
      </c>
      <c r="AA6124">
        <v>0.998017499999999</v>
      </c>
      <c r="AB6124">
        <v>52</v>
      </c>
      <c r="AC6124">
        <v>0.50769999999999904</v>
      </c>
      <c r="AD6124">
        <v>-1.101588436341</v>
      </c>
      <c r="AE6124">
        <v>18.98864</v>
      </c>
      <c r="AF6124">
        <v>0.54565803216018405</v>
      </c>
      <c r="AG6124">
        <v>-1.101588436341</v>
      </c>
      <c r="AH6124">
        <v>18.923891253524701</v>
      </c>
      <c r="AI6124">
        <v>93.330133694701402</v>
      </c>
      <c r="AJ6124">
        <v>88.348371287475302</v>
      </c>
      <c r="AK6124">
        <v>18.963778630493799</v>
      </c>
    </row>
    <row r="6125" spans="1:37" x14ac:dyDescent="0.2">
      <c r="A6125" t="str">
        <f>"20200111153810744"</f>
        <v>20200111153810744</v>
      </c>
      <c r="B6125" t="str">
        <f>"1578728290739585"</f>
        <v>1578728290739585</v>
      </c>
      <c r="C6125" t="s">
        <v>37</v>
      </c>
      <c r="D6125">
        <v>5.8105779999999996</v>
      </c>
      <c r="E6125">
        <v>0.50589689999999998</v>
      </c>
      <c r="F6125" t="s">
        <v>38</v>
      </c>
      <c r="G6125">
        <v>-188.583</v>
      </c>
      <c r="H6125">
        <v>1.0364249999999999</v>
      </c>
      <c r="I6125">
        <v>24.366429999999902</v>
      </c>
      <c r="J6125">
        <v>-188.6164</v>
      </c>
      <c r="K6125">
        <v>1.1015889999999999</v>
      </c>
      <c r="L6125">
        <v>23.749759999999998</v>
      </c>
      <c r="M6125">
        <v>-1.3787629999999901E-3</v>
      </c>
      <c r="N6125">
        <v>0</v>
      </c>
      <c r="O6125">
        <v>0.99998869999999895</v>
      </c>
      <c r="P6125">
        <v>-6.4054189999999997E-2</v>
      </c>
      <c r="Q6125">
        <v>3.808849E-3</v>
      </c>
      <c r="R6125">
        <v>0.99793920000000003</v>
      </c>
      <c r="S6125">
        <v>8.467102E-2</v>
      </c>
      <c r="T6125">
        <v>-0.16973479999999999</v>
      </c>
      <c r="U6125">
        <v>3.0126040000000001</v>
      </c>
      <c r="V6125">
        <v>-6.2658179999999994E-2</v>
      </c>
      <c r="W6125">
        <v>8.4993469999999904E-3</v>
      </c>
      <c r="X6125">
        <v>0.99799879999999996</v>
      </c>
      <c r="Y6125">
        <v>2.9428260000000001E-2</v>
      </c>
      <c r="Z6125">
        <v>-5.6229040000000001E-2</v>
      </c>
      <c r="AA6125">
        <v>0.99798410000000004</v>
      </c>
      <c r="AB6125">
        <v>53</v>
      </c>
      <c r="AC6125">
        <v>3.3400000000000298E-2</v>
      </c>
      <c r="AD6125">
        <v>-6.5164E-2</v>
      </c>
      <c r="AE6125">
        <v>0.61666999999999506</v>
      </c>
      <c r="AF6125">
        <v>3.3873087624083802E-2</v>
      </c>
      <c r="AG6125">
        <v>-6.5164E-2</v>
      </c>
      <c r="AH6125">
        <v>0.60983368596682597</v>
      </c>
      <c r="AI6125">
        <v>96.089901408969894</v>
      </c>
      <c r="AJ6125">
        <v>86.8207844660989</v>
      </c>
      <c r="AK6125">
        <v>0.61424006504059503</v>
      </c>
    </row>
    <row r="6126" spans="1:37" x14ac:dyDescent="0.2">
      <c r="A6126" t="str">
        <f>"20200111153810765"</f>
        <v>20200111153810765</v>
      </c>
      <c r="B6126" t="str">
        <f>"1578728290759106"</f>
        <v>1578728290759106</v>
      </c>
      <c r="C6126" t="s">
        <v>37</v>
      </c>
      <c r="D6126">
        <v>5.6933769999999999</v>
      </c>
      <c r="E6126">
        <v>0.50257159999999901</v>
      </c>
      <c r="F6126" t="s">
        <v>38</v>
      </c>
      <c r="G6126">
        <v>-188.6712</v>
      </c>
      <c r="H6126">
        <v>1.0086899999999901</v>
      </c>
      <c r="I6126">
        <v>24.83117</v>
      </c>
      <c r="J6126">
        <v>-188.61689999999999</v>
      </c>
      <c r="K6126">
        <v>1.101594</v>
      </c>
      <c r="L6126">
        <v>24.27112</v>
      </c>
      <c r="M6126">
        <v>-6.8808170000000002E-4</v>
      </c>
      <c r="N6126">
        <v>0</v>
      </c>
      <c r="O6126">
        <v>0.99998929999999997</v>
      </c>
      <c r="P6126">
        <v>-6.1771050000000001E-2</v>
      </c>
      <c r="Q6126">
        <v>6.4523540000000004E-3</v>
      </c>
      <c r="R6126">
        <v>0.99806949999999905</v>
      </c>
      <c r="S6126">
        <v>-0.1521759</v>
      </c>
      <c r="T6126">
        <v>-0.25748579999999999</v>
      </c>
      <c r="U6126">
        <v>2.9974059999999998</v>
      </c>
      <c r="V6126">
        <v>-6.1057550000000002E-2</v>
      </c>
      <c r="W6126">
        <v>1.1164739999999999E-2</v>
      </c>
      <c r="X6126">
        <v>0.99807179999999995</v>
      </c>
      <c r="Y6126">
        <v>-4.9831099999999899E-2</v>
      </c>
      <c r="Z6126">
        <v>-8.5479849999999996E-2</v>
      </c>
      <c r="AA6126">
        <v>0.99509300000000001</v>
      </c>
      <c r="AB6126">
        <v>53</v>
      </c>
      <c r="AC6126">
        <v>-5.4300000000011998E-2</v>
      </c>
      <c r="AD6126">
        <v>-9.2904000000000098E-2</v>
      </c>
      <c r="AE6126">
        <v>0.56005000000000005</v>
      </c>
      <c r="AF6126">
        <v>-5.2483828462582503E-2</v>
      </c>
      <c r="AG6126">
        <v>-9.2904000000000098E-2</v>
      </c>
      <c r="AH6126">
        <v>0.54522355021589197</v>
      </c>
      <c r="AI6126">
        <v>99.626445560040395</v>
      </c>
      <c r="AJ6126">
        <v>95.498414409900903</v>
      </c>
      <c r="AK6126">
        <v>0.555566760323286</v>
      </c>
    </row>
    <row r="6127" spans="1:37" x14ac:dyDescent="0.2">
      <c r="A6127" t="str">
        <f>"20200111153810789"</f>
        <v>20200111153810789</v>
      </c>
      <c r="B6127" t="str">
        <f>"1578728290779602"</f>
        <v>1578728290779602</v>
      </c>
      <c r="C6127" t="s">
        <v>37</v>
      </c>
      <c r="D6127">
        <v>5.7135030000000002</v>
      </c>
      <c r="E6127">
        <v>0.50342399999999998</v>
      </c>
      <c r="F6127" t="s">
        <v>39</v>
      </c>
      <c r="G6127">
        <v>-189.38849999999999</v>
      </c>
      <c r="H6127" s="1">
        <v>-3.5692009999999999E-6</v>
      </c>
      <c r="I6127">
        <v>37.699809999999999</v>
      </c>
      <c r="J6127">
        <v>-188.61709999999999</v>
      </c>
      <c r="K6127">
        <v>1.1015979999999901</v>
      </c>
      <c r="L6127">
        <v>24.821259999999999</v>
      </c>
      <c r="M6127" s="1">
        <v>3.957578E-5</v>
      </c>
      <c r="N6127">
        <v>0</v>
      </c>
      <c r="O6127">
        <v>0.99998940000000003</v>
      </c>
      <c r="P6127">
        <v>-5.9610429999999999E-2</v>
      </c>
      <c r="Q6127">
        <v>8.3395320000000002E-3</v>
      </c>
      <c r="R6127">
        <v>0.99818689999999999</v>
      </c>
      <c r="S6127">
        <v>-0.17218020000000001</v>
      </c>
      <c r="T6127">
        <v>-0.24583150000000001</v>
      </c>
      <c r="U6127">
        <v>2.9967349999999899</v>
      </c>
      <c r="V6127">
        <v>-5.9618820000000003E-2</v>
      </c>
      <c r="W6127">
        <v>1.3076229999999999E-2</v>
      </c>
      <c r="X6127">
        <v>0.99813560000000001</v>
      </c>
      <c r="Y6127">
        <v>-5.7209429999999999E-2</v>
      </c>
      <c r="Z6127">
        <v>-8.162469E-2</v>
      </c>
      <c r="AA6127">
        <v>0.99501989999999996</v>
      </c>
      <c r="AB6127">
        <v>53</v>
      </c>
      <c r="AC6127">
        <v>-0.77139999999999898</v>
      </c>
      <c r="AD6127">
        <v>-1.1016015692009999</v>
      </c>
      <c r="AE6127">
        <v>12.878549999999899</v>
      </c>
      <c r="AF6127">
        <v>-0.76632277539111304</v>
      </c>
      <c r="AG6127">
        <v>-1.1016015692009999</v>
      </c>
      <c r="AH6127">
        <v>12.7853076436637</v>
      </c>
      <c r="AI6127">
        <v>94.915750616485298</v>
      </c>
      <c r="AJ6127">
        <v>93.430077383646406</v>
      </c>
      <c r="AK6127">
        <v>12.8555384234373</v>
      </c>
    </row>
    <row r="6128" spans="1:37" x14ac:dyDescent="0.2">
      <c r="A6128" t="str">
        <f>"20200111153810811"</f>
        <v>20200111153810811</v>
      </c>
      <c r="B6128" t="str">
        <f>"1578728290799122"</f>
        <v>1578728290799122</v>
      </c>
      <c r="C6128" t="s">
        <v>37</v>
      </c>
      <c r="D6128">
        <v>5.6936470000000003</v>
      </c>
      <c r="E6128">
        <v>0.50390570000000001</v>
      </c>
      <c r="F6128" t="s">
        <v>39</v>
      </c>
      <c r="G6128">
        <v>-189.34219999999999</v>
      </c>
      <c r="H6128" s="1">
        <v>-3.9242289999999998E-6</v>
      </c>
      <c r="I6128">
        <v>38.508249999999997</v>
      </c>
      <c r="J6128">
        <v>-188.61689999999999</v>
      </c>
      <c r="K6128">
        <v>1.1015979999999901</v>
      </c>
      <c r="L6128">
        <v>25.34216</v>
      </c>
      <c r="M6128">
        <v>7.2766119999999996E-4</v>
      </c>
      <c r="N6128">
        <v>0</v>
      </c>
      <c r="O6128">
        <v>0.99998899999999902</v>
      </c>
      <c r="P6128">
        <v>-5.7488780000000003E-2</v>
      </c>
      <c r="Q6128">
        <v>1.0232079999999999E-2</v>
      </c>
      <c r="R6128">
        <v>0.99829369999999995</v>
      </c>
      <c r="S6128">
        <v>-0.15882869999999999</v>
      </c>
      <c r="T6128">
        <v>-0.2412938</v>
      </c>
      <c r="U6128">
        <v>2.997986</v>
      </c>
      <c r="V6128">
        <v>-5.8178889999999997E-2</v>
      </c>
      <c r="W6128">
        <v>1.49915E-2</v>
      </c>
      <c r="X6128">
        <v>0.99819360000000001</v>
      </c>
      <c r="Y6128">
        <v>-5.3460880000000002E-2</v>
      </c>
      <c r="Z6128">
        <v>-8.0112669999999997E-2</v>
      </c>
      <c r="AA6128">
        <v>0.99535110000000004</v>
      </c>
      <c r="AB6128">
        <v>53</v>
      </c>
      <c r="AC6128">
        <v>-0.72530000000000405</v>
      </c>
      <c r="AD6128">
        <v>-1.1016019242289901</v>
      </c>
      <c r="AE6128">
        <v>13.166089999999899</v>
      </c>
      <c r="AF6128">
        <v>-0.72978686963498396</v>
      </c>
      <c r="AG6128">
        <v>-1.1016019242289901</v>
      </c>
      <c r="AH6128">
        <v>13.0743075632728</v>
      </c>
      <c r="AI6128">
        <v>94.808744567552395</v>
      </c>
      <c r="AJ6128">
        <v>93.194843179600298</v>
      </c>
      <c r="AK6128">
        <v>13.1409145014192</v>
      </c>
    </row>
    <row r="6129" spans="1:37" x14ac:dyDescent="0.2">
      <c r="A6129" t="str">
        <f>"20200111153810855"</f>
        <v>20200111153810855</v>
      </c>
      <c r="B6129" t="str">
        <f>"1578728290848898"</f>
        <v>1578728290848898</v>
      </c>
      <c r="C6129" t="s">
        <v>37</v>
      </c>
      <c r="D6129">
        <v>5.7259000000000002</v>
      </c>
      <c r="E6129">
        <v>0.50306960000000001</v>
      </c>
      <c r="F6129" t="s">
        <v>39</v>
      </c>
      <c r="G6129">
        <v>-189.3793</v>
      </c>
      <c r="H6129" s="1">
        <v>-6.0553630000000003E-7</v>
      </c>
      <c r="I6129">
        <v>40.78763</v>
      </c>
      <c r="J6129">
        <v>-188.61539999999999</v>
      </c>
      <c r="K6129">
        <v>1.101607</v>
      </c>
      <c r="L6129">
        <v>26.411379999999902</v>
      </c>
      <c r="M6129">
        <v>2.137875E-3</v>
      </c>
      <c r="N6129">
        <v>0</v>
      </c>
      <c r="O6129">
        <v>0.99998679999999995</v>
      </c>
      <c r="P6129">
        <v>-5.4171560000000001E-2</v>
      </c>
      <c r="Q6129">
        <v>1.498992E-2</v>
      </c>
      <c r="R6129">
        <v>0.998419099999999</v>
      </c>
      <c r="S6129">
        <v>-0.1480255</v>
      </c>
      <c r="T6129">
        <v>-0.213880499999999</v>
      </c>
      <c r="U6129">
        <v>2.99880999999999</v>
      </c>
      <c r="V6129">
        <v>-5.6257330000000001E-2</v>
      </c>
      <c r="W6129">
        <v>1.9797769999999999E-2</v>
      </c>
      <c r="X6129">
        <v>0.99822</v>
      </c>
      <c r="Y6129">
        <v>-5.131198E-2</v>
      </c>
      <c r="Z6129">
        <v>-7.1050959999999996E-2</v>
      </c>
      <c r="AA6129">
        <v>0.99615200000000004</v>
      </c>
      <c r="AB6129">
        <v>53</v>
      </c>
      <c r="AC6129">
        <v>-0.76390000000000602</v>
      </c>
      <c r="AD6129">
        <v>-1.1016076055363</v>
      </c>
      <c r="AE6129">
        <v>14.376250000000001</v>
      </c>
      <c r="AF6129">
        <v>-0.79000760103922496</v>
      </c>
      <c r="AG6129">
        <v>-1.1016076055363</v>
      </c>
      <c r="AH6129">
        <v>14.290908571342699</v>
      </c>
      <c r="AI6129">
        <v>94.401206662935707</v>
      </c>
      <c r="AJ6129">
        <v>93.1641149712123</v>
      </c>
      <c r="AK6129">
        <v>14.3550590079161</v>
      </c>
    </row>
    <row r="6130" spans="1:37" x14ac:dyDescent="0.2">
      <c r="A6130" t="str">
        <f>"20200111153810878"</f>
        <v>20200111153810878</v>
      </c>
      <c r="B6130" t="str">
        <f>"1578728290869394"</f>
        <v>1578728290869394</v>
      </c>
      <c r="C6130" t="s">
        <v>37</v>
      </c>
      <c r="D6130">
        <v>5.7645169999999997</v>
      </c>
      <c r="E6130">
        <v>0.5024267</v>
      </c>
      <c r="F6130" t="s">
        <v>39</v>
      </c>
      <c r="G6130">
        <v>-189.46629999999999</v>
      </c>
      <c r="H6130" s="1">
        <v>-1.9765559999999999E-6</v>
      </c>
      <c r="I6130">
        <v>44.019480000000001</v>
      </c>
      <c r="J6130">
        <v>-188.61410000000001</v>
      </c>
      <c r="K6130">
        <v>1.1016109999999999</v>
      </c>
      <c r="L6130">
        <v>26.941220000000001</v>
      </c>
      <c r="M6130">
        <v>2.8353839999999998E-3</v>
      </c>
      <c r="N6130">
        <v>0</v>
      </c>
      <c r="O6130">
        <v>0.99998489999999995</v>
      </c>
      <c r="P6130">
        <v>-5.3237689999999997E-2</v>
      </c>
      <c r="Q6130">
        <v>1.654241E-2</v>
      </c>
      <c r="R6130">
        <v>0.99844489999999997</v>
      </c>
      <c r="S6130">
        <v>-0.14495849999999999</v>
      </c>
      <c r="T6130">
        <v>-0.18766869999999999</v>
      </c>
      <c r="U6130">
        <v>2.999695</v>
      </c>
      <c r="V6130">
        <v>-5.6015599999999902E-2</v>
      </c>
      <c r="W6130">
        <v>2.1376240000000001E-2</v>
      </c>
      <c r="X6130">
        <v>0.998201</v>
      </c>
      <c r="Y6130">
        <v>-5.1006049999999997E-2</v>
      </c>
      <c r="Z6130">
        <v>-6.2363259999999997E-2</v>
      </c>
      <c r="AA6130">
        <v>0.99674929999999995</v>
      </c>
      <c r="AB6130">
        <v>53</v>
      </c>
      <c r="AC6130">
        <v>-0.85219999999998197</v>
      </c>
      <c r="AD6130">
        <v>-1.1016129765560001</v>
      </c>
      <c r="AE6130">
        <v>17.07826</v>
      </c>
      <c r="AF6130">
        <v>-0.89689804311024601</v>
      </c>
      <c r="AG6130">
        <v>-1.1016129765560001</v>
      </c>
      <c r="AH6130">
        <v>17.005196502214901</v>
      </c>
      <c r="AI6130">
        <v>93.701366316205196</v>
      </c>
      <c r="AJ6130">
        <v>93.019130147031404</v>
      </c>
      <c r="AK6130">
        <v>17.064427483182499</v>
      </c>
    </row>
    <row r="6131" spans="1:37" x14ac:dyDescent="0.2">
      <c r="A6131" t="str">
        <f>"20200111153810900"</f>
        <v>20200111153810900</v>
      </c>
      <c r="B6131" t="str">
        <f>"1578728290889683"</f>
        <v>1578728290889683</v>
      </c>
      <c r="C6131" t="s">
        <v>37</v>
      </c>
      <c r="D6131">
        <v>5.7408429999999999</v>
      </c>
      <c r="E6131">
        <v>0.50196430000000003</v>
      </c>
      <c r="F6131" t="s">
        <v>39</v>
      </c>
      <c r="G6131">
        <v>-189.5034</v>
      </c>
      <c r="H6131" s="1">
        <v>-2.431587E-6</v>
      </c>
      <c r="I6131">
        <v>45.09554</v>
      </c>
      <c r="J6131">
        <v>-188.61240000000001</v>
      </c>
      <c r="K6131">
        <v>1.10161</v>
      </c>
      <c r="L6131">
        <v>27.472349999999999</v>
      </c>
      <c r="M6131">
        <v>3.533778E-3</v>
      </c>
      <c r="N6131">
        <v>0</v>
      </c>
      <c r="O6131">
        <v>0.99998259999999894</v>
      </c>
      <c r="P6131">
        <v>-5.307075E-2</v>
      </c>
      <c r="Q6131">
        <v>1.8220699999999999E-2</v>
      </c>
      <c r="R6131">
        <v>0.99842450000000005</v>
      </c>
      <c r="S6131">
        <v>-0.14695739999999999</v>
      </c>
      <c r="T6131">
        <v>-0.18203220000000001</v>
      </c>
      <c r="U6131">
        <v>2.9998469999999999</v>
      </c>
      <c r="V6131">
        <v>-5.654178E-2</v>
      </c>
      <c r="W6131">
        <v>2.3082419999999999E-2</v>
      </c>
      <c r="X6131">
        <v>0.99813339999999995</v>
      </c>
      <c r="Y6131">
        <v>-5.2369289999999999E-2</v>
      </c>
      <c r="Z6131">
        <v>-6.0490809999999999E-2</v>
      </c>
      <c r="AA6131">
        <v>0.99679399999999996</v>
      </c>
      <c r="AB6131">
        <v>54</v>
      </c>
      <c r="AC6131">
        <v>-0.89099999999999102</v>
      </c>
      <c r="AD6131">
        <v>-1.101612431587</v>
      </c>
      <c r="AE6131">
        <v>17.623190000000001</v>
      </c>
      <c r="AF6131">
        <v>-0.94957067382370497</v>
      </c>
      <c r="AG6131">
        <v>-1.101612431587</v>
      </c>
      <c r="AH6131">
        <v>17.5515252403926</v>
      </c>
      <c r="AI6131">
        <v>93.586198124724405</v>
      </c>
      <c r="AJ6131">
        <v>93.096790819058896</v>
      </c>
      <c r="AK6131">
        <v>17.611680007260901</v>
      </c>
    </row>
    <row r="6132" spans="1:37" x14ac:dyDescent="0.2">
      <c r="A6132" t="str">
        <f>"20200111153810921"</f>
        <v>20200111153810921</v>
      </c>
      <c r="B6132" t="str">
        <f>"1578728290909205"</f>
        <v>1578728290909205</v>
      </c>
      <c r="C6132" t="s">
        <v>37</v>
      </c>
      <c r="D6132">
        <v>5.7669879999999996</v>
      </c>
      <c r="E6132">
        <v>0.50187119999999996</v>
      </c>
      <c r="F6132" t="s">
        <v>39</v>
      </c>
      <c r="G6132">
        <v>-189.5377</v>
      </c>
      <c r="H6132" s="1">
        <v>-2.7943609999999999E-6</v>
      </c>
      <c r="I6132">
        <v>45.955329999999996</v>
      </c>
      <c r="J6132">
        <v>-188.6104</v>
      </c>
      <c r="K6132">
        <v>1.1016109999999999</v>
      </c>
      <c r="L6132">
        <v>27.997159999999901</v>
      </c>
      <c r="M6132">
        <v>4.2232800000000003E-3</v>
      </c>
      <c r="N6132">
        <v>0</v>
      </c>
      <c r="O6132">
        <v>0.99997979999999997</v>
      </c>
      <c r="P6132">
        <v>-5.3488019999999997E-2</v>
      </c>
      <c r="Q6132">
        <v>2.0227169999999999E-2</v>
      </c>
      <c r="R6132">
        <v>0.99836360000000002</v>
      </c>
      <c r="S6132">
        <v>-0.150177</v>
      </c>
      <c r="T6132">
        <v>-0.1788062</v>
      </c>
      <c r="U6132">
        <v>3.0000309999999999</v>
      </c>
      <c r="V6132">
        <v>-5.7641690000000002E-2</v>
      </c>
      <c r="W6132">
        <v>2.5117440000000001E-2</v>
      </c>
      <c r="X6132">
        <v>0.9980213</v>
      </c>
      <c r="Y6132">
        <v>-5.4125159999999999E-2</v>
      </c>
      <c r="Z6132">
        <v>-5.9414420000000003E-2</v>
      </c>
      <c r="AA6132">
        <v>0.99676500000000001</v>
      </c>
      <c r="AB6132">
        <v>54</v>
      </c>
      <c r="AC6132">
        <v>-0.92730000000000201</v>
      </c>
      <c r="AD6132">
        <v>-1.101613794361</v>
      </c>
      <c r="AE6132">
        <v>17.958169999999999</v>
      </c>
      <c r="AF6132">
        <v>-0.99938428041265703</v>
      </c>
      <c r="AG6132">
        <v>-1.101613794361</v>
      </c>
      <c r="AH6132">
        <v>17.886963843038</v>
      </c>
      <c r="AI6132">
        <v>93.518779575544897</v>
      </c>
      <c r="AJ6132">
        <v>93.197917197245204</v>
      </c>
      <c r="AK6132">
        <v>17.948699045167899</v>
      </c>
    </row>
    <row r="6133" spans="1:37" x14ac:dyDescent="0.2">
      <c r="A6133" t="str">
        <f>"20200111153810944"</f>
        <v>20200111153810944</v>
      </c>
      <c r="B6133" t="str">
        <f>"1578728290939459"</f>
        <v>1578728290939459</v>
      </c>
      <c r="C6133" t="s">
        <v>37</v>
      </c>
      <c r="D6133">
        <v>5.7725200000000001</v>
      </c>
      <c r="E6133">
        <v>0.50153510000000001</v>
      </c>
      <c r="F6133" t="s">
        <v>39</v>
      </c>
      <c r="G6133">
        <v>-189.5625</v>
      </c>
      <c r="H6133" s="1">
        <v>-3.1422799999999998E-6</v>
      </c>
      <c r="I6133">
        <v>46.776620000000001</v>
      </c>
      <c r="J6133">
        <v>-188.608</v>
      </c>
      <c r="K6133">
        <v>1.1016189999999999</v>
      </c>
      <c r="L6133">
        <v>28.532139999999998</v>
      </c>
      <c r="M6133">
        <v>4.9250609999999997E-3</v>
      </c>
      <c r="N6133">
        <v>0</v>
      </c>
      <c r="O6133">
        <v>0.99997649999999905</v>
      </c>
      <c r="P6133">
        <v>-5.3766269999999998E-2</v>
      </c>
      <c r="Q6133">
        <v>2.2512839999999999E-2</v>
      </c>
      <c r="R6133">
        <v>0.99829969999999901</v>
      </c>
      <c r="S6133">
        <v>-0.1521149</v>
      </c>
      <c r="T6133">
        <v>-0.17600150000000001</v>
      </c>
      <c r="U6133">
        <v>3.0003359999999999</v>
      </c>
      <c r="V6133">
        <v>-5.8614159999999998E-2</v>
      </c>
      <c r="W6133">
        <v>2.7431210000000001E-2</v>
      </c>
      <c r="X6133">
        <v>0.99790380000000001</v>
      </c>
      <c r="Y6133">
        <v>-5.5465790000000001E-2</v>
      </c>
      <c r="Z6133">
        <v>-5.847637E-2</v>
      </c>
      <c r="AA6133">
        <v>0.99674669999999899</v>
      </c>
      <c r="AB6133">
        <v>54</v>
      </c>
      <c r="AC6133">
        <v>-0.95449999999999602</v>
      </c>
      <c r="AD6133">
        <v>-1.1016221422800001</v>
      </c>
      <c r="AE6133">
        <v>18.244479999999999</v>
      </c>
      <c r="AF6133">
        <v>-1.04056121661973</v>
      </c>
      <c r="AG6133">
        <v>-1.1016221422800001</v>
      </c>
      <c r="AH6133">
        <v>18.173480235676301</v>
      </c>
      <c r="AI6133">
        <v>93.463196309973696</v>
      </c>
      <c r="AJ6133">
        <v>93.277013597438497</v>
      </c>
      <c r="AK6133">
        <v>18.236549094234199</v>
      </c>
    </row>
    <row r="6134" spans="1:37" x14ac:dyDescent="0.2">
      <c r="A6134" t="str">
        <f>"20200111153810967"</f>
        <v>20200111153810967</v>
      </c>
      <c r="B6134" t="str">
        <f>"1578728290958980"</f>
        <v>1578728290958980</v>
      </c>
      <c r="C6134" t="s">
        <v>37</v>
      </c>
      <c r="D6134">
        <v>5.9079649999999999</v>
      </c>
      <c r="E6134">
        <v>0.5012373</v>
      </c>
      <c r="F6134" t="s">
        <v>39</v>
      </c>
      <c r="G6134">
        <v>-189.60239999999999</v>
      </c>
      <c r="H6134" s="1">
        <v>-3.56400399999999E-6</v>
      </c>
      <c r="I6134">
        <v>47.77617</v>
      </c>
      <c r="J6134">
        <v>-188.60489999999999</v>
      </c>
      <c r="K6134">
        <v>1.1016219999999901</v>
      </c>
      <c r="L6134">
        <v>29.11957</v>
      </c>
      <c r="M6134">
        <v>5.6950050000000004E-3</v>
      </c>
      <c r="N6134">
        <v>0</v>
      </c>
      <c r="O6134">
        <v>0.99997219999999998</v>
      </c>
      <c r="P6134">
        <v>-5.450435E-2</v>
      </c>
      <c r="Q6134">
        <v>2.4384200000000002E-2</v>
      </c>
      <c r="R6134">
        <v>0.99821569999999904</v>
      </c>
      <c r="S6134">
        <v>-0.1550598</v>
      </c>
      <c r="T6134">
        <v>-0.17177139999999999</v>
      </c>
      <c r="U6134">
        <v>3.0006409999999999</v>
      </c>
      <c r="V6134">
        <v>-6.0114960000000002E-2</v>
      </c>
      <c r="W6134">
        <v>2.9335400000000001E-2</v>
      </c>
      <c r="X6134">
        <v>0.99776030000000004</v>
      </c>
      <c r="Y6134">
        <v>-5.7209259999999998E-2</v>
      </c>
      <c r="Z6134">
        <v>-5.7065209999999998E-2</v>
      </c>
      <c r="AA6134">
        <v>0.99672999999999901</v>
      </c>
      <c r="AB6134">
        <v>54</v>
      </c>
      <c r="AC6134">
        <v>-0.99750000000000205</v>
      </c>
      <c r="AD6134">
        <v>-1.10162556400399</v>
      </c>
      <c r="AE6134">
        <v>18.656600000000001</v>
      </c>
      <c r="AF6134">
        <v>-1.09991046041373</v>
      </c>
      <c r="AG6134">
        <v>-1.10162556400399</v>
      </c>
      <c r="AH6134">
        <v>18.5859992530882</v>
      </c>
      <c r="AI6134">
        <v>93.386144731884301</v>
      </c>
      <c r="AJ6134">
        <v>93.386786496801193</v>
      </c>
      <c r="AK6134">
        <v>18.651079061008499</v>
      </c>
    </row>
    <row r="6135" spans="1:37" x14ac:dyDescent="0.2">
      <c r="A6135" t="str">
        <f>"20200111153810989"</f>
        <v>20200111153810989</v>
      </c>
      <c r="B6135" t="str">
        <f>"1578728290979267"</f>
        <v>1578728290979267</v>
      </c>
      <c r="C6135" t="s">
        <v>37</v>
      </c>
      <c r="D6135">
        <v>5.5842299999999998</v>
      </c>
      <c r="E6135">
        <v>0.50091920000000001</v>
      </c>
      <c r="F6135" t="s">
        <v>39</v>
      </c>
      <c r="G6135">
        <v>-189.66130000000001</v>
      </c>
      <c r="H6135" s="1">
        <v>-4.0895679999999997E-6</v>
      </c>
      <c r="I6135">
        <v>49.025599999999997</v>
      </c>
      <c r="J6135">
        <v>-188.6019</v>
      </c>
      <c r="K6135">
        <v>1.1016219999999901</v>
      </c>
      <c r="L6135">
        <v>29.631529999999898</v>
      </c>
      <c r="M6135">
        <v>6.3649469999999897E-3</v>
      </c>
      <c r="N6135">
        <v>0</v>
      </c>
      <c r="O6135">
        <v>0.99996810000000003</v>
      </c>
      <c r="P6135">
        <v>-5.6007630000000003E-2</v>
      </c>
      <c r="Q6135">
        <v>2.6615980000000001E-2</v>
      </c>
      <c r="R6135">
        <v>0.99807549999999901</v>
      </c>
      <c r="S6135">
        <v>-0.15924070000000001</v>
      </c>
      <c r="T6135">
        <v>-0.1660645</v>
      </c>
      <c r="U6135">
        <v>3.0007320000000002</v>
      </c>
      <c r="V6135">
        <v>-6.2280009999999997E-2</v>
      </c>
      <c r="W6135">
        <v>3.1597420000000001E-2</v>
      </c>
      <c r="X6135">
        <v>0.99755839999999996</v>
      </c>
      <c r="Y6135">
        <v>-5.9267019999999997E-2</v>
      </c>
      <c r="Z6135">
        <v>-5.5167840000000003E-2</v>
      </c>
      <c r="AA6135">
        <v>0.99671659999999995</v>
      </c>
      <c r="AB6135">
        <v>54</v>
      </c>
      <c r="AC6135">
        <v>-1.0594000000000099</v>
      </c>
      <c r="AD6135">
        <v>-1.1016260895679999</v>
      </c>
      <c r="AE6135">
        <v>19.394069999999999</v>
      </c>
      <c r="AF6135">
        <v>-1.17902939388507</v>
      </c>
      <c r="AG6135">
        <v>-1.1016260895679999</v>
      </c>
      <c r="AH6135">
        <v>19.3247683289432</v>
      </c>
      <c r="AI6135">
        <v>93.256624662631793</v>
      </c>
      <c r="AJ6135">
        <v>93.491362687518901</v>
      </c>
      <c r="AK6135">
        <v>19.392017979575702</v>
      </c>
    </row>
    <row r="6136" spans="1:37" x14ac:dyDescent="0.2">
      <c r="A6136" t="str">
        <f>"20200111153811011"</f>
        <v>20200111153811011</v>
      </c>
      <c r="B6136" t="str">
        <f>"1578728290999744"</f>
        <v>1578728290999744</v>
      </c>
      <c r="C6136" t="s">
        <v>37</v>
      </c>
      <c r="D6136">
        <v>5.7729089999999896</v>
      </c>
      <c r="E6136">
        <v>0.50065289999999996</v>
      </c>
      <c r="F6136" t="s">
        <v>39</v>
      </c>
      <c r="G6136">
        <v>-189.73500000000001</v>
      </c>
      <c r="H6136" s="1">
        <v>-2.5648799999999999E-7</v>
      </c>
      <c r="I6136">
        <v>50.121090000000002</v>
      </c>
      <c r="J6136">
        <v>-188.59829999999999</v>
      </c>
      <c r="K6136">
        <v>1.1016280000000001</v>
      </c>
      <c r="L6136">
        <v>30.177609999999898</v>
      </c>
      <c r="M6136">
        <v>7.0735939999999999E-3</v>
      </c>
      <c r="N6136">
        <v>0</v>
      </c>
      <c r="O6136">
        <v>0.99996319999999905</v>
      </c>
      <c r="P6136">
        <v>-5.7035099999999998E-2</v>
      </c>
      <c r="Q6136">
        <v>2.8033809999999999E-2</v>
      </c>
      <c r="R6136">
        <v>0.99797849999999999</v>
      </c>
      <c r="S6136">
        <v>-0.16595460000000001</v>
      </c>
      <c r="T6136">
        <v>-0.16133620000000001</v>
      </c>
      <c r="U6136">
        <v>3.0007630000000001</v>
      </c>
      <c r="V6136">
        <v>-6.4010280000000003E-2</v>
      </c>
      <c r="W6136">
        <v>3.3045779999999997E-2</v>
      </c>
      <c r="X6136">
        <v>0.99740200000000001</v>
      </c>
      <c r="Y6136">
        <v>-6.2201890000000003E-2</v>
      </c>
      <c r="Z6136">
        <v>-5.3592710000000002E-2</v>
      </c>
      <c r="AA6136">
        <v>0.996623699999999</v>
      </c>
      <c r="AB6136">
        <v>54</v>
      </c>
      <c r="AC6136">
        <v>-1.13670000000001</v>
      </c>
      <c r="AD6136">
        <v>-1.101628256488</v>
      </c>
      <c r="AE6136">
        <v>19.943480000000001</v>
      </c>
      <c r="AF6136">
        <v>-1.27387107561313</v>
      </c>
      <c r="AG6136">
        <v>-1.101628256488</v>
      </c>
      <c r="AH6136">
        <v>19.8744960227863</v>
      </c>
      <c r="AI6136">
        <v>93.166131391288701</v>
      </c>
      <c r="AJ6136">
        <v>93.667400230493499</v>
      </c>
      <c r="AK6136">
        <v>19.945724466474701</v>
      </c>
    </row>
    <row r="6137" spans="1:37" x14ac:dyDescent="0.2">
      <c r="A6137" t="str">
        <f>"20200111153811033"</f>
        <v>20200111153811033</v>
      </c>
      <c r="B6137" t="str">
        <f>"1578728291019269"</f>
        <v>1578728291019269</v>
      </c>
      <c r="C6137" t="s">
        <v>37</v>
      </c>
      <c r="D6137">
        <v>5.7982370000000003</v>
      </c>
      <c r="E6137">
        <v>0.500475</v>
      </c>
      <c r="F6137" t="s">
        <v>39</v>
      </c>
      <c r="G6137">
        <v>-189.76259999999999</v>
      </c>
      <c r="H6137" s="1">
        <v>-4.6744169999999998E-7</v>
      </c>
      <c r="I6137">
        <v>50.624220000000001</v>
      </c>
      <c r="J6137">
        <v>-188.5943</v>
      </c>
      <c r="K6137">
        <v>1.101631</v>
      </c>
      <c r="L6137">
        <v>30.720369999999999</v>
      </c>
      <c r="M6137">
        <v>7.75676199999999E-3</v>
      </c>
      <c r="N6137">
        <v>0</v>
      </c>
      <c r="O6137">
        <v>0.99995800000000001</v>
      </c>
      <c r="P6137">
        <v>-5.7525970000000003E-2</v>
      </c>
      <c r="Q6137">
        <v>2.873326E-2</v>
      </c>
      <c r="R6137">
        <v>0.99793050000000005</v>
      </c>
      <c r="S6137">
        <v>-0.17088320000000001</v>
      </c>
      <c r="T6137">
        <v>-0.16168089999999999</v>
      </c>
      <c r="U6137">
        <v>3.0008539999999999</v>
      </c>
      <c r="V6137">
        <v>-6.518053E-2</v>
      </c>
      <c r="W6137">
        <v>3.3773020000000001E-2</v>
      </c>
      <c r="X6137">
        <v>0.99730180000000002</v>
      </c>
      <c r="Y6137">
        <v>-6.4513299999999996E-2</v>
      </c>
      <c r="Z6137">
        <v>-5.369844E-2</v>
      </c>
      <c r="AA6137">
        <v>0.996470999999999</v>
      </c>
      <c r="AB6137">
        <v>54</v>
      </c>
      <c r="AC6137">
        <v>-1.1682999999999799</v>
      </c>
      <c r="AD6137">
        <v>-1.1016314674417</v>
      </c>
      <c r="AE6137">
        <v>19.903849999999998</v>
      </c>
      <c r="AF6137">
        <v>-1.3186305441771899</v>
      </c>
      <c r="AG6137">
        <v>-1.1016314674417</v>
      </c>
      <c r="AH6137">
        <v>19.833639834235299</v>
      </c>
      <c r="AI6137">
        <v>93.172157690656505</v>
      </c>
      <c r="AJ6137">
        <v>93.803686146990103</v>
      </c>
      <c r="AK6137">
        <v>19.907929261383799</v>
      </c>
    </row>
    <row r="6138" spans="1:37" x14ac:dyDescent="0.2">
      <c r="A6138" t="str">
        <f>"20200111153811056"</f>
        <v>20200111153811056</v>
      </c>
      <c r="B6138" t="str">
        <f>"1578728291049517"</f>
        <v>1578728291049517</v>
      </c>
      <c r="C6138" t="s">
        <v>37</v>
      </c>
      <c r="D6138">
        <v>5.8427429999999996</v>
      </c>
      <c r="E6138">
        <v>0.5002472</v>
      </c>
      <c r="F6138" t="s">
        <v>39</v>
      </c>
      <c r="G6138">
        <v>-189.7594</v>
      </c>
      <c r="H6138" s="1">
        <v>-5.7061619999999999E-7</v>
      </c>
      <c r="I6138">
        <v>50.863390000000003</v>
      </c>
      <c r="J6138">
        <v>-188.59</v>
      </c>
      <c r="K6138">
        <v>1.1016520000000001</v>
      </c>
      <c r="L6138">
        <v>31.272029999999901</v>
      </c>
      <c r="M6138">
        <v>8.4022390000000006E-3</v>
      </c>
      <c r="N6138">
        <v>0</v>
      </c>
      <c r="O6138">
        <v>0.99995259999999997</v>
      </c>
      <c r="P6138">
        <v>-5.6478090000000002E-2</v>
      </c>
      <c r="Q6138">
        <v>2.9112320000000001E-2</v>
      </c>
      <c r="R6138">
        <v>0.99797930000000001</v>
      </c>
      <c r="S6138">
        <v>-0.17356869999999999</v>
      </c>
      <c r="T6138">
        <v>-0.1641232</v>
      </c>
      <c r="U6138">
        <v>3.0009459999999999</v>
      </c>
      <c r="V6138">
        <v>-6.4777810000000005E-2</v>
      </c>
      <c r="W6138">
        <v>3.4173820000000001E-2</v>
      </c>
      <c r="X6138">
        <v>0.99731440000000005</v>
      </c>
      <c r="Y6138">
        <v>-6.6041970000000005E-2</v>
      </c>
      <c r="Z6138">
        <v>-5.4500960000000001E-2</v>
      </c>
      <c r="AA6138">
        <v>0.99632730000000003</v>
      </c>
      <c r="AB6138">
        <v>55</v>
      </c>
      <c r="AC6138">
        <v>-1.16939999999999</v>
      </c>
      <c r="AD6138">
        <v>-1.1016525706161999</v>
      </c>
      <c r="AE6138">
        <v>19.591360000000002</v>
      </c>
      <c r="AF6138">
        <v>-1.3297821739771001</v>
      </c>
      <c r="AG6138">
        <v>-1.1016525706161999</v>
      </c>
      <c r="AH6138">
        <v>19.519341926900601</v>
      </c>
      <c r="AI6138">
        <v>93.222836331123602</v>
      </c>
      <c r="AJ6138">
        <v>93.897332254706996</v>
      </c>
      <c r="AK6138">
        <v>19.5955777734629</v>
      </c>
    </row>
    <row r="6139" spans="1:37" x14ac:dyDescent="0.2">
      <c r="A6139" t="str">
        <f>"20200111153811078"</f>
        <v>20200111153811078</v>
      </c>
      <c r="B6139" t="str">
        <f>"1578728291069037"</f>
        <v>1578728291069037</v>
      </c>
      <c r="C6139" t="s">
        <v>37</v>
      </c>
      <c r="D6139">
        <v>5.8289229999999996</v>
      </c>
      <c r="E6139">
        <v>0.50009809999999999</v>
      </c>
      <c r="F6139" t="s">
        <v>39</v>
      </c>
      <c r="G6139">
        <v>-189.7209</v>
      </c>
      <c r="H6139" s="1">
        <v>-6.3005129999999996E-7</v>
      </c>
      <c r="I6139">
        <v>50.986049999999999</v>
      </c>
      <c r="J6139">
        <v>-188.58529999999999</v>
      </c>
      <c r="K6139">
        <v>1.1016870000000001</v>
      </c>
      <c r="L6139">
        <v>31.821349999999999</v>
      </c>
      <c r="M6139">
        <v>8.9648119999999904E-3</v>
      </c>
      <c r="N6139">
        <v>0</v>
      </c>
      <c r="O6139">
        <v>0.99994760000000005</v>
      </c>
      <c r="P6139">
        <v>-5.4174939999999998E-2</v>
      </c>
      <c r="Q6139">
        <v>2.889338E-2</v>
      </c>
      <c r="R6139">
        <v>0.99811329999999998</v>
      </c>
      <c r="S6139">
        <v>-0.17218020000000001</v>
      </c>
      <c r="T6139">
        <v>-0.16771329999999901</v>
      </c>
      <c r="U6139">
        <v>3.0012209999999899</v>
      </c>
      <c r="V6139">
        <v>-6.3041890000000003E-2</v>
      </c>
      <c r="W6139">
        <v>3.3970800000000002E-2</v>
      </c>
      <c r="X6139">
        <v>0.99743250000000006</v>
      </c>
      <c r="Y6139">
        <v>-6.6134890000000002E-2</v>
      </c>
      <c r="Z6139">
        <v>-5.5684549999999999E-2</v>
      </c>
      <c r="AA6139">
        <v>0.99625569999999897</v>
      </c>
      <c r="AB6139">
        <v>55</v>
      </c>
      <c r="AC6139">
        <v>-1.1356000000000099</v>
      </c>
      <c r="AD6139">
        <v>-1.1016876300513001</v>
      </c>
      <c r="AE6139">
        <v>19.1647</v>
      </c>
      <c r="AF6139">
        <v>-1.3030733857557999</v>
      </c>
      <c r="AG6139">
        <v>-1.1016876300513001</v>
      </c>
      <c r="AH6139">
        <v>19.0908831585127</v>
      </c>
      <c r="AI6139">
        <v>93.2950848031834</v>
      </c>
      <c r="AJ6139">
        <v>93.904742476557203</v>
      </c>
      <c r="AK6139">
        <v>19.166990782458701</v>
      </c>
    </row>
    <row r="6140" spans="1:37" x14ac:dyDescent="0.2">
      <c r="A6140" t="str">
        <f>"20200111153811101"</f>
        <v>20200111153811101</v>
      </c>
      <c r="B6140" t="str">
        <f>"1578728291089103"</f>
        <v>1578728291089103</v>
      </c>
      <c r="C6140" t="s">
        <v>37</v>
      </c>
      <c r="D6140">
        <v>6.0342209999999996</v>
      </c>
      <c r="E6140">
        <v>0.50001430000000002</v>
      </c>
      <c r="F6140" t="s">
        <v>39</v>
      </c>
      <c r="G6140">
        <v>-189.65459999999999</v>
      </c>
      <c r="H6140" s="1">
        <v>-6.8597039999999996E-7</v>
      </c>
      <c r="I6140">
        <v>51.088949999999997</v>
      </c>
      <c r="J6140">
        <v>-188.58029999999999</v>
      </c>
      <c r="K6140">
        <v>1.1017489999999901</v>
      </c>
      <c r="L6140">
        <v>32.372990000000001</v>
      </c>
      <c r="M6140">
        <v>9.4284659999999999E-3</v>
      </c>
      <c r="N6140">
        <v>0</v>
      </c>
      <c r="O6140">
        <v>0.99994319999999903</v>
      </c>
      <c r="P6140">
        <v>-5.1787550000000002E-2</v>
      </c>
      <c r="Q6140">
        <v>2.8158079999999999E-2</v>
      </c>
      <c r="R6140">
        <v>0.99826109999999901</v>
      </c>
      <c r="S6140">
        <v>-0.16658020000000001</v>
      </c>
      <c r="T6140">
        <v>-0.17162559999999999</v>
      </c>
      <c r="U6140">
        <v>3.0015869999999998</v>
      </c>
      <c r="V6140">
        <v>-6.1125579999999999E-2</v>
      </c>
      <c r="W6140">
        <v>3.3247850000000002E-2</v>
      </c>
      <c r="X6140">
        <v>0.99757619999999902</v>
      </c>
      <c r="Y6140">
        <v>-6.4733719999999995E-2</v>
      </c>
      <c r="Z6140">
        <v>-5.6977659999999999E-2</v>
      </c>
      <c r="AA6140">
        <v>0.99627459999999901</v>
      </c>
      <c r="AB6140">
        <v>55</v>
      </c>
      <c r="AC6140">
        <v>-1.07429999999999</v>
      </c>
      <c r="AD6140">
        <v>-1.1017496859703999</v>
      </c>
      <c r="AE6140">
        <v>18.7159599999999</v>
      </c>
      <c r="AF6140">
        <v>-1.2464122030125999</v>
      </c>
      <c r="AG6140">
        <v>-1.1017496859703999</v>
      </c>
      <c r="AH6140">
        <v>18.640615630591899</v>
      </c>
      <c r="AI6140">
        <v>93.375001025390901</v>
      </c>
      <c r="AJ6140">
        <v>93.825410829600202</v>
      </c>
      <c r="AK6140">
        <v>18.7146986841312</v>
      </c>
    </row>
    <row r="6141" spans="1:37" x14ac:dyDescent="0.2">
      <c r="A6141" t="str">
        <f>"20200111153811145"</f>
        <v>20200111153811145</v>
      </c>
      <c r="B6141" t="str">
        <f>"1578728291138877"</f>
        <v>1578728291138877</v>
      </c>
      <c r="C6141" t="s">
        <v>37</v>
      </c>
      <c r="D6141">
        <v>5.8333639999999898</v>
      </c>
      <c r="E6141">
        <v>0.49973329999999899</v>
      </c>
      <c r="F6141" t="s">
        <v>39</v>
      </c>
      <c r="G6141">
        <v>-189.5821</v>
      </c>
      <c r="H6141" s="1">
        <v>-7.0253450000000005E-7</v>
      </c>
      <c r="I6141">
        <v>51.097589999999997</v>
      </c>
      <c r="J6141">
        <v>-188.56989999999999</v>
      </c>
      <c r="K6141">
        <v>1.10188</v>
      </c>
      <c r="L6141">
        <v>33.464659999999903</v>
      </c>
      <c r="M6141">
        <v>1.008323E-2</v>
      </c>
      <c r="N6141">
        <v>0</v>
      </c>
      <c r="O6141">
        <v>0.99993659999999995</v>
      </c>
      <c r="P6141">
        <v>-4.8187090000000002E-2</v>
      </c>
      <c r="Q6141">
        <v>2.8694649999999999E-2</v>
      </c>
      <c r="R6141">
        <v>0.99842609999999998</v>
      </c>
      <c r="S6141">
        <v>-0.16059879999999899</v>
      </c>
      <c r="T6141">
        <v>-0.17663029999999999</v>
      </c>
      <c r="U6141">
        <v>3.0018919999999998</v>
      </c>
      <c r="V6141">
        <v>-5.8191649999999998E-2</v>
      </c>
      <c r="W6141">
        <v>3.3809720000000001E-2</v>
      </c>
      <c r="X6141">
        <v>0.99773279999999998</v>
      </c>
      <c r="Y6141">
        <v>-6.3397090000000003E-2</v>
      </c>
      <c r="Z6141">
        <v>-5.8632719999999999E-2</v>
      </c>
      <c r="AA6141">
        <v>0.9962645</v>
      </c>
      <c r="AB6141">
        <v>55</v>
      </c>
      <c r="AC6141">
        <v>-1.0122</v>
      </c>
      <c r="AD6141">
        <v>-1.1018807025345001</v>
      </c>
      <c r="AE6141">
        <v>17.632930000000002</v>
      </c>
      <c r="AF6141">
        <v>-1.18533414552991</v>
      </c>
      <c r="AG6141">
        <v>-1.1018807025345001</v>
      </c>
      <c r="AH6141">
        <v>17.553506023766499</v>
      </c>
      <c r="AI6141">
        <v>93.583756888797296</v>
      </c>
      <c r="AJ6141">
        <v>93.863142646390202</v>
      </c>
      <c r="AK6141">
        <v>17.627953138285299</v>
      </c>
    </row>
    <row r="6142" spans="1:37" x14ac:dyDescent="0.2">
      <c r="A6142" t="str">
        <f>"20200111153811179"</f>
        <v>20200111153811179</v>
      </c>
      <c r="B6142" t="str">
        <f>"1578728291169133"</f>
        <v>1578728291169133</v>
      </c>
      <c r="C6142" t="s">
        <v>37</v>
      </c>
      <c r="D6142">
        <v>5.8800860000000004</v>
      </c>
      <c r="E6142">
        <v>0.49955729999999998</v>
      </c>
      <c r="F6142" t="s">
        <v>39</v>
      </c>
      <c r="G6142">
        <v>-189.5085</v>
      </c>
      <c r="H6142" s="1">
        <v>-1.038143E-6</v>
      </c>
      <c r="I6142">
        <v>51.849499999999999</v>
      </c>
      <c r="J6142">
        <v>-188.5615</v>
      </c>
      <c r="K6142">
        <v>1.1019589999999999</v>
      </c>
      <c r="L6142">
        <v>34.310670000000002</v>
      </c>
      <c r="M6142">
        <v>1.0425200000000001E-2</v>
      </c>
      <c r="N6142">
        <v>0</v>
      </c>
      <c r="O6142">
        <v>0.99993279999999995</v>
      </c>
      <c r="P6142">
        <v>-4.7153140000000003E-2</v>
      </c>
      <c r="Q6142">
        <v>2.8954649999999998E-2</v>
      </c>
      <c r="R6142">
        <v>0.99846789999999996</v>
      </c>
      <c r="S6142">
        <v>-0.1532898</v>
      </c>
      <c r="T6142">
        <v>-0.17995269999999999</v>
      </c>
      <c r="U6142">
        <v>3.0025019999999998</v>
      </c>
      <c r="V6142">
        <v>-5.7506939999999999E-2</v>
      </c>
      <c r="W6142">
        <v>3.4095649999999998E-2</v>
      </c>
      <c r="X6142">
        <v>0.9977627</v>
      </c>
      <c r="Y6142">
        <v>-6.1305560000000002E-2</v>
      </c>
      <c r="Z6142">
        <v>-5.9726969999999997E-2</v>
      </c>
      <c r="AA6142">
        <v>0.99633039999999995</v>
      </c>
      <c r="AB6142">
        <v>55</v>
      </c>
      <c r="AC6142">
        <v>-0.94700000000000195</v>
      </c>
      <c r="AD6142">
        <v>-1.1019600381429999</v>
      </c>
      <c r="AE6142">
        <v>17.538829999999901</v>
      </c>
      <c r="AF6142">
        <v>-1.12536713825293</v>
      </c>
      <c r="AG6142">
        <v>-1.1019600381429999</v>
      </c>
      <c r="AH6142">
        <v>17.459282569592499</v>
      </c>
      <c r="AI6142">
        <v>93.604030528490398</v>
      </c>
      <c r="AJ6142">
        <v>93.687993092243701</v>
      </c>
      <c r="AK6142">
        <v>17.5301829701347</v>
      </c>
    </row>
    <row r="6143" spans="1:37" x14ac:dyDescent="0.2">
      <c r="A6143" t="str">
        <f>"20200111153811201"</f>
        <v>20200111153811201</v>
      </c>
      <c r="B6143" t="str">
        <f>"1578728291189247"</f>
        <v>1578728291189247</v>
      </c>
      <c r="C6143" t="s">
        <v>37</v>
      </c>
      <c r="D6143">
        <v>6.1490530000000003</v>
      </c>
      <c r="E6143">
        <v>0.49430069999999998</v>
      </c>
      <c r="F6143" t="s">
        <v>39</v>
      </c>
      <c r="G6143">
        <v>-189.48089999999999</v>
      </c>
      <c r="H6143" s="1">
        <v>-1.307715E-6</v>
      </c>
      <c r="I6143">
        <v>52.466459999999998</v>
      </c>
      <c r="J6143">
        <v>-188.5558</v>
      </c>
      <c r="K6143">
        <v>1.1019950000000001</v>
      </c>
      <c r="L6143">
        <v>34.858519999999999</v>
      </c>
      <c r="M6143">
        <v>1.0594050000000001E-2</v>
      </c>
      <c r="N6143">
        <v>0</v>
      </c>
      <c r="O6143">
        <v>0.99993089999999996</v>
      </c>
      <c r="P6143">
        <v>-4.6822809999999999E-2</v>
      </c>
      <c r="Q6143">
        <v>2.8215090000000002E-2</v>
      </c>
      <c r="R6143">
        <v>0.99850459999999996</v>
      </c>
      <c r="S6143">
        <v>-0.15206910000000001</v>
      </c>
      <c r="T6143">
        <v>-0.18224699999999999</v>
      </c>
      <c r="U6143">
        <v>3.0026860000000002</v>
      </c>
      <c r="V6143">
        <v>-5.7351319999999997E-2</v>
      </c>
      <c r="W6143">
        <v>3.337557E-2</v>
      </c>
      <c r="X6143">
        <v>0.99779599999999902</v>
      </c>
      <c r="Y6143">
        <v>-6.1064720000000003E-2</v>
      </c>
      <c r="Z6143">
        <v>-6.0482939999999999E-2</v>
      </c>
      <c r="AA6143">
        <v>0.99629959999999995</v>
      </c>
      <c r="AB6143">
        <v>56</v>
      </c>
      <c r="AC6143">
        <v>-0.92509999999998604</v>
      </c>
      <c r="AD6143">
        <v>-1.1019963077149999</v>
      </c>
      <c r="AE6143">
        <v>17.607939999999999</v>
      </c>
      <c r="AF6143">
        <v>-1.1072647879439901</v>
      </c>
      <c r="AG6143">
        <v>-1.1019963077149999</v>
      </c>
      <c r="AH6143">
        <v>17.5286819528881</v>
      </c>
      <c r="AI6143">
        <v>93.590209805113005</v>
      </c>
      <c r="AJ6143">
        <v>93.614499784907693</v>
      </c>
      <c r="AK6143">
        <v>17.598156783548198</v>
      </c>
    </row>
    <row r="6144" spans="1:37" x14ac:dyDescent="0.2">
      <c r="A6144" t="str">
        <f>"20200111153811222"</f>
        <v>20200111153811222</v>
      </c>
      <c r="B6144" t="str">
        <f>"1578728291219503"</f>
        <v>1578728291219503</v>
      </c>
      <c r="C6144" t="s">
        <v>37</v>
      </c>
      <c r="D6144">
        <v>6.0870009999999999</v>
      </c>
      <c r="E6144">
        <v>0.4949055</v>
      </c>
      <c r="F6144" t="s">
        <v>39</v>
      </c>
      <c r="G6144">
        <v>-189.47919999999999</v>
      </c>
      <c r="H6144" s="1">
        <v>-4.1557839999999996E-6</v>
      </c>
      <c r="I6144">
        <v>49.104649999999999</v>
      </c>
      <c r="J6144">
        <v>-188.55</v>
      </c>
      <c r="K6144">
        <v>1.1020289999999999</v>
      </c>
      <c r="L6144">
        <v>35.406100000000002</v>
      </c>
      <c r="M6144">
        <v>1.073824E-2</v>
      </c>
      <c r="N6144">
        <v>0</v>
      </c>
      <c r="O6144">
        <v>0.99992919999999996</v>
      </c>
      <c r="P6144">
        <v>-4.6887690000000003E-2</v>
      </c>
      <c r="Q6144">
        <v>2.694941E-2</v>
      </c>
      <c r="R6144">
        <v>0.9985366</v>
      </c>
      <c r="S6144">
        <v>-0.19456479999999901</v>
      </c>
      <c r="T6144">
        <v>-0.23221159999999999</v>
      </c>
      <c r="U6144">
        <v>3.0019230000000001</v>
      </c>
      <c r="V6144">
        <v>-5.756588E-2</v>
      </c>
      <c r="W6144">
        <v>3.2129789999999998E-2</v>
      </c>
      <c r="X6144">
        <v>0.9978245</v>
      </c>
      <c r="Y6144">
        <v>-7.5198139999999997E-2</v>
      </c>
      <c r="Z6144">
        <v>-7.6927780000000001E-2</v>
      </c>
      <c r="AA6144">
        <v>0.99419679999999999</v>
      </c>
      <c r="AB6144">
        <v>56</v>
      </c>
      <c r="AC6144">
        <v>-0.92919999999998004</v>
      </c>
      <c r="AD6144">
        <v>-1.102033155784</v>
      </c>
      <c r="AE6144">
        <v>13.6985499999999</v>
      </c>
      <c r="AF6144">
        <v>-1.0693574661937499</v>
      </c>
      <c r="AG6144">
        <v>-1.102033155784</v>
      </c>
      <c r="AH6144">
        <v>13.6001646151914</v>
      </c>
      <c r="AI6144">
        <v>94.618412754990104</v>
      </c>
      <c r="AJ6144">
        <v>94.495818469909295</v>
      </c>
      <c r="AK6144">
        <v>13.686580289731101</v>
      </c>
    </row>
    <row r="6145" spans="1:37" x14ac:dyDescent="0.2">
      <c r="A6145" t="str">
        <f>"20200111153811245"</f>
        <v>20200111153811245</v>
      </c>
      <c r="B6145" t="str">
        <f>"1578728291240000"</f>
        <v>1578728291240000</v>
      </c>
      <c r="C6145" t="s">
        <v>37</v>
      </c>
      <c r="D6145">
        <v>5.6334650000000002</v>
      </c>
      <c r="E6145">
        <v>0.49404419999999999</v>
      </c>
      <c r="F6145" t="s">
        <v>39</v>
      </c>
      <c r="G6145">
        <v>-189.41419999999999</v>
      </c>
      <c r="H6145" s="1">
        <v>-4.1337209999999999E-6</v>
      </c>
      <c r="I6145">
        <v>49.02637</v>
      </c>
      <c r="J6145">
        <v>-188.54390000000001</v>
      </c>
      <c r="K6145">
        <v>1.1020729999999901</v>
      </c>
      <c r="L6145">
        <v>35.977939999999997</v>
      </c>
      <c r="M6145">
        <v>1.0873509999999999E-2</v>
      </c>
      <c r="N6145">
        <v>0</v>
      </c>
      <c r="O6145">
        <v>0.99992760000000003</v>
      </c>
      <c r="P6145">
        <v>-4.6196849999999998E-2</v>
      </c>
      <c r="Q6145">
        <v>2.5776009999999999E-2</v>
      </c>
      <c r="R6145">
        <v>0.99859979999999904</v>
      </c>
      <c r="S6145">
        <v>-0.19047549999999999</v>
      </c>
      <c r="T6145">
        <v>-0.24289669999999999</v>
      </c>
      <c r="U6145">
        <v>3.002014</v>
      </c>
      <c r="V6145">
        <v>-5.7016020000000001E-2</v>
      </c>
      <c r="W6145">
        <v>3.097784E-2</v>
      </c>
      <c r="X6145">
        <v>0.99789259999999902</v>
      </c>
      <c r="Y6145">
        <v>-7.3964660000000002E-2</v>
      </c>
      <c r="Z6145">
        <v>-8.0449690000000004E-2</v>
      </c>
      <c r="AA6145">
        <v>0.99401059999999997</v>
      </c>
      <c r="AB6145">
        <v>56</v>
      </c>
      <c r="AC6145">
        <v>-0.87029999999998597</v>
      </c>
      <c r="AD6145">
        <v>-1.10207713372099</v>
      </c>
      <c r="AE6145">
        <v>13.0484299999999</v>
      </c>
      <c r="AF6145">
        <v>-1.0049952054353899</v>
      </c>
      <c r="AG6145">
        <v>-1.10207713372099</v>
      </c>
      <c r="AH6145">
        <v>12.9462511541866</v>
      </c>
      <c r="AI6145">
        <v>94.851169274996906</v>
      </c>
      <c r="AJ6145">
        <v>94.438870646914907</v>
      </c>
      <c r="AK6145">
        <v>13.0318842965589</v>
      </c>
    </row>
    <row r="6146" spans="1:37" x14ac:dyDescent="0.2">
      <c r="A6146" t="str">
        <f>"20200111153811269"</f>
        <v>20200111153811269</v>
      </c>
      <c r="B6146" t="str">
        <f>"1578728291259520"</f>
        <v>1578728291259520</v>
      </c>
      <c r="C6146" t="s">
        <v>37</v>
      </c>
      <c r="D6146">
        <v>5.8721519999999998</v>
      </c>
      <c r="E6146">
        <v>0.493654599999999</v>
      </c>
      <c r="F6146" t="s">
        <v>39</v>
      </c>
      <c r="G6146">
        <v>-189.42910000000001</v>
      </c>
      <c r="H6146" s="1">
        <v>-4.3561410000000002E-6</v>
      </c>
      <c r="I6146">
        <v>49.551000000000002</v>
      </c>
      <c r="J6146">
        <v>-188.53749999999999</v>
      </c>
      <c r="K6146">
        <v>1.1021179999999999</v>
      </c>
      <c r="L6146">
        <v>36.561070000000001</v>
      </c>
      <c r="M6146">
        <v>1.1003819999999999E-2</v>
      </c>
      <c r="N6146">
        <v>0</v>
      </c>
      <c r="O6146">
        <v>0.99992610000000004</v>
      </c>
      <c r="P6146">
        <v>-4.5493039999999998E-2</v>
      </c>
      <c r="Q6146">
        <v>2.6641990000000001E-2</v>
      </c>
      <c r="R6146">
        <v>0.99860930000000003</v>
      </c>
      <c r="S6146">
        <v>-0.19575499999999901</v>
      </c>
      <c r="T6146">
        <v>-0.24370429999999901</v>
      </c>
      <c r="U6146">
        <v>3.0014340000000002</v>
      </c>
      <c r="V6146">
        <v>-5.6444380000000002E-2</v>
      </c>
      <c r="W6146">
        <v>3.1865749999999998E-2</v>
      </c>
      <c r="X6146">
        <v>0.99789709999999998</v>
      </c>
      <c r="Y6146">
        <v>-7.5846479999999994E-2</v>
      </c>
      <c r="Z6146">
        <v>-8.0720470000000002E-2</v>
      </c>
      <c r="AA6146">
        <v>0.99384680000000003</v>
      </c>
      <c r="AB6146">
        <v>56</v>
      </c>
      <c r="AC6146">
        <v>-0.89160000000001105</v>
      </c>
      <c r="AD6146">
        <v>-1.1021223561409901</v>
      </c>
      <c r="AE6146">
        <v>12.989929999999999</v>
      </c>
      <c r="AF6146">
        <v>-1.0271276023196001</v>
      </c>
      <c r="AG6146">
        <v>-1.1021223561409901</v>
      </c>
      <c r="AH6146">
        <v>12.886999456756101</v>
      </c>
      <c r="AI6146">
        <v>94.872779256726005</v>
      </c>
      <c r="AJ6146">
        <v>94.556990514005903</v>
      </c>
      <c r="AK6146">
        <v>12.9747608763239</v>
      </c>
    </row>
    <row r="6147" spans="1:37" x14ac:dyDescent="0.2">
      <c r="A6147" t="str">
        <f>"20200111153811289"</f>
        <v>20200111153811289</v>
      </c>
      <c r="B6147" t="str">
        <f>"1578728291279039"</f>
        <v>1578728291279039</v>
      </c>
      <c r="C6147" t="s">
        <v>37</v>
      </c>
      <c r="D6147">
        <v>5.7870689999999998</v>
      </c>
      <c r="E6147">
        <v>0.47813309999999998</v>
      </c>
      <c r="F6147" t="s">
        <v>39</v>
      </c>
      <c r="G6147">
        <v>-189.422</v>
      </c>
      <c r="H6147" s="1">
        <v>-2.642149E-7</v>
      </c>
      <c r="I6147">
        <v>49.972520000000003</v>
      </c>
      <c r="J6147">
        <v>-188.5317</v>
      </c>
      <c r="K6147">
        <v>1.1021620000000001</v>
      </c>
      <c r="L6147">
        <v>37.09299</v>
      </c>
      <c r="M6147">
        <v>1.1120029999999999E-2</v>
      </c>
      <c r="N6147">
        <v>0</v>
      </c>
      <c r="O6147">
        <v>0.999924699999999</v>
      </c>
      <c r="P6147">
        <v>-4.4553919999999997E-2</v>
      </c>
      <c r="Q6147">
        <v>2.7753079999999999E-2</v>
      </c>
      <c r="R6147">
        <v>0.99862139999999999</v>
      </c>
      <c r="S6147">
        <v>-0.1979523</v>
      </c>
      <c r="T6147">
        <v>-0.24667500000000001</v>
      </c>
      <c r="U6147">
        <v>3.0017399999999999</v>
      </c>
      <c r="V6147">
        <v>-5.5623409999999998E-2</v>
      </c>
      <c r="W6147">
        <v>3.2996690000000002E-2</v>
      </c>
      <c r="X6147">
        <v>0.99790639999999997</v>
      </c>
      <c r="Y6147">
        <v>-7.6674969999999995E-2</v>
      </c>
      <c r="Z6147">
        <v>-8.1684969999999996E-2</v>
      </c>
      <c r="AA6147">
        <v>0.99370439999999904</v>
      </c>
      <c r="AB6147">
        <v>56</v>
      </c>
      <c r="AC6147">
        <v>-0.89029999999999598</v>
      </c>
      <c r="AD6147">
        <v>-1.1021622642148901</v>
      </c>
      <c r="AE6147">
        <v>12.879530000000001</v>
      </c>
      <c r="AF6147">
        <v>-1.02599001157199</v>
      </c>
      <c r="AG6147">
        <v>-1.1021622642148901</v>
      </c>
      <c r="AH6147">
        <v>12.7757212254902</v>
      </c>
      <c r="AI6147">
        <v>94.9149565918203</v>
      </c>
      <c r="AJ6147">
        <v>94.591444082985106</v>
      </c>
      <c r="AK6147">
        <v>12.864154460824301</v>
      </c>
    </row>
    <row r="6148" spans="1:37" x14ac:dyDescent="0.2">
      <c r="A6148" t="str">
        <f>"20200111153811313"</f>
        <v>20200111153811313</v>
      </c>
      <c r="B6148" t="str">
        <f>"1578728291309295"</f>
        <v>1578728291309295</v>
      </c>
      <c r="C6148" t="s">
        <v>37</v>
      </c>
      <c r="D6148">
        <v>5.6757160000000004</v>
      </c>
      <c r="E6148">
        <v>0.47234110000000001</v>
      </c>
      <c r="F6148" t="s">
        <v>39</v>
      </c>
      <c r="G6148">
        <v>-189.7799</v>
      </c>
      <c r="H6148" s="1">
        <v>-3.9592769999999999E-6</v>
      </c>
      <c r="I6148">
        <v>48.77093</v>
      </c>
      <c r="J6148">
        <v>-188.52520000000001</v>
      </c>
      <c r="K6148">
        <v>1.102201</v>
      </c>
      <c r="L6148">
        <v>37.675509999999903</v>
      </c>
      <c r="M6148">
        <v>1.124528E-2</v>
      </c>
      <c r="N6148">
        <v>0</v>
      </c>
      <c r="O6148">
        <v>0.99992309999999995</v>
      </c>
      <c r="P6148">
        <v>-4.4077360000000003E-2</v>
      </c>
      <c r="Q6148">
        <v>2.913483E-2</v>
      </c>
      <c r="R6148">
        <v>0.99860319999999902</v>
      </c>
      <c r="S6148">
        <v>-0.32041929999999902</v>
      </c>
      <c r="T6148">
        <v>-0.28292449999999902</v>
      </c>
      <c r="U6148">
        <v>2.9977109999999998</v>
      </c>
      <c r="V6148">
        <v>-5.5272950000000001E-2</v>
      </c>
      <c r="W6148">
        <v>3.4401130000000002E-2</v>
      </c>
      <c r="X6148">
        <v>0.9978785</v>
      </c>
      <c r="Y6148">
        <v>-0.1169931</v>
      </c>
      <c r="Z6148">
        <v>-9.336738E-2</v>
      </c>
      <c r="AA6148">
        <v>0.98873409999999995</v>
      </c>
      <c r="AB6148">
        <v>56</v>
      </c>
      <c r="AC6148">
        <v>-1.2546999999999799</v>
      </c>
      <c r="AD6148">
        <v>-1.102204959277</v>
      </c>
      <c r="AE6148">
        <v>11.095420000000001</v>
      </c>
      <c r="AF6148">
        <v>-1.3660829269283801</v>
      </c>
      <c r="AG6148">
        <v>-1.102204959277</v>
      </c>
      <c r="AH6148">
        <v>10.9736857220121</v>
      </c>
      <c r="AI6148">
        <v>95.6919509054446</v>
      </c>
      <c r="AJ6148">
        <v>97.096082789624205</v>
      </c>
      <c r="AK6148">
        <v>11.113182112293201</v>
      </c>
    </row>
    <row r="6149" spans="1:37" x14ac:dyDescent="0.2">
      <c r="A6149" t="str">
        <f>"20200111153811334"</f>
        <v>20200111153811334</v>
      </c>
      <c r="B6149" t="str">
        <f>"1578728291329791"</f>
        <v>1578728291329791</v>
      </c>
      <c r="C6149" t="s">
        <v>37</v>
      </c>
      <c r="D6149">
        <v>5.7820749999999999</v>
      </c>
      <c r="E6149">
        <v>0.47159790000000001</v>
      </c>
      <c r="F6149" t="s">
        <v>39</v>
      </c>
      <c r="G6149">
        <v>-190.19759999999999</v>
      </c>
      <c r="H6149" s="1">
        <v>-8.4329699999999996E-7</v>
      </c>
      <c r="I6149">
        <v>51.432299999999998</v>
      </c>
      <c r="J6149">
        <v>-188.51900000000001</v>
      </c>
      <c r="K6149">
        <v>1.102239</v>
      </c>
      <c r="L6149">
        <v>38.220979999999997</v>
      </c>
      <c r="M6149">
        <v>1.135737E-2</v>
      </c>
      <c r="N6149">
        <v>0</v>
      </c>
      <c r="O6149">
        <v>0.99992169999999903</v>
      </c>
      <c r="P6149">
        <v>-4.4306159999999997E-2</v>
      </c>
      <c r="Q6149">
        <v>3.0583010000000001E-2</v>
      </c>
      <c r="R6149">
        <v>0.99854979999999904</v>
      </c>
      <c r="S6149">
        <v>-0.36412050000000001</v>
      </c>
      <c r="T6149">
        <v>-0.23997060000000001</v>
      </c>
      <c r="U6149">
        <v>2.995117</v>
      </c>
      <c r="V6149">
        <v>-5.5615039999999998E-2</v>
      </c>
      <c r="W6149">
        <v>3.587079E-2</v>
      </c>
      <c r="X6149">
        <v>0.99780769999999996</v>
      </c>
      <c r="Y6149">
        <v>-0.1315701</v>
      </c>
      <c r="Z6149">
        <v>-7.9219949999999997E-2</v>
      </c>
      <c r="AA6149">
        <v>0.98813639999999903</v>
      </c>
      <c r="AB6149">
        <v>56</v>
      </c>
      <c r="AC6149">
        <v>-1.6785999999999801</v>
      </c>
      <c r="AD6149">
        <v>-1.102239843297</v>
      </c>
      <c r="AE6149">
        <v>13.211320000000001</v>
      </c>
      <c r="AF6149">
        <v>-1.8160989707842401</v>
      </c>
      <c r="AG6149">
        <v>-1.102239843297</v>
      </c>
      <c r="AH6149">
        <v>13.1016538976916</v>
      </c>
      <c r="AI6149">
        <v>94.763624811776197</v>
      </c>
      <c r="AJ6149">
        <v>97.891823141376406</v>
      </c>
      <c r="AK6149">
        <v>13.2727722424041</v>
      </c>
    </row>
    <row r="6150" spans="1:37" x14ac:dyDescent="0.2">
      <c r="A6150" t="str">
        <f>"20200111153811358"</f>
        <v>20200111153811358</v>
      </c>
      <c r="B6150" t="str">
        <f>"1578728291349311"</f>
        <v>1578728291349311</v>
      </c>
      <c r="C6150" t="s">
        <v>37</v>
      </c>
      <c r="D6150">
        <v>5.9463429999999997</v>
      </c>
      <c r="E6150">
        <v>0.4713157</v>
      </c>
      <c r="F6150" t="s">
        <v>39</v>
      </c>
      <c r="G6150">
        <v>-190.29320000000001</v>
      </c>
      <c r="H6150" s="1">
        <v>-1.359844E-6</v>
      </c>
      <c r="I6150">
        <v>52.577089999999998</v>
      </c>
      <c r="J6150">
        <v>-188.51230000000001</v>
      </c>
      <c r="K6150">
        <v>1.102266</v>
      </c>
      <c r="L6150">
        <v>38.807310000000001</v>
      </c>
      <c r="M6150">
        <v>1.1467410000000001E-2</v>
      </c>
      <c r="N6150">
        <v>0</v>
      </c>
      <c r="O6150">
        <v>0.99992029999999998</v>
      </c>
      <c r="P6150">
        <v>-4.4497309999999998E-2</v>
      </c>
      <c r="Q6150">
        <v>3.1380539999999998E-2</v>
      </c>
      <c r="R6150">
        <v>0.99851650000000003</v>
      </c>
      <c r="S6150">
        <v>-0.37013239999999997</v>
      </c>
      <c r="T6150">
        <v>-0.22994879999999901</v>
      </c>
      <c r="U6150">
        <v>2.9949650000000001</v>
      </c>
      <c r="V6150">
        <v>-5.5917889999999998E-2</v>
      </c>
      <c r="W6150">
        <v>3.6692790000000003E-2</v>
      </c>
      <c r="X6150">
        <v>0.99776089999999995</v>
      </c>
      <c r="Y6150">
        <v>-0.1336706</v>
      </c>
      <c r="Z6150">
        <v>-7.5914949999999995E-2</v>
      </c>
      <c r="AA6150">
        <v>0.98811389999999999</v>
      </c>
      <c r="AB6150">
        <v>57</v>
      </c>
      <c r="AC6150">
        <v>-1.7808999999999999</v>
      </c>
      <c r="AD6150">
        <v>-1.102267359844</v>
      </c>
      <c r="AE6150">
        <v>13.769780000000001</v>
      </c>
      <c r="AF6150">
        <v>-1.9265466802643001</v>
      </c>
      <c r="AG6150">
        <v>-1.102267359844</v>
      </c>
      <c r="AH6150">
        <v>13.662344541323501</v>
      </c>
      <c r="AI6150">
        <v>94.5675944069244</v>
      </c>
      <c r="AJ6150">
        <v>98.026438905487495</v>
      </c>
      <c r="AK6150">
        <v>13.841467906607599</v>
      </c>
    </row>
    <row r="6151" spans="1:37" x14ac:dyDescent="0.2">
      <c r="A6151" t="str">
        <f>"20200111153811380"</f>
        <v>20200111153811380</v>
      </c>
      <c r="B6151" t="str">
        <f>"1578728291368831"</f>
        <v>1578728291368831</v>
      </c>
      <c r="C6151" t="s">
        <v>37</v>
      </c>
      <c r="D6151">
        <v>5.9425039999999996</v>
      </c>
      <c r="E6151">
        <v>0.47135070000000001</v>
      </c>
      <c r="F6151" t="s">
        <v>39</v>
      </c>
      <c r="G6151">
        <v>-190.3441</v>
      </c>
      <c r="H6151" s="1">
        <v>-1.7918129999999899E-6</v>
      </c>
      <c r="I6151">
        <v>53.552459999999897</v>
      </c>
      <c r="J6151">
        <v>-188.50579999999999</v>
      </c>
      <c r="K6151">
        <v>1.1022860000000001</v>
      </c>
      <c r="L6151">
        <v>39.374270000000003</v>
      </c>
      <c r="M6151">
        <v>1.155664E-2</v>
      </c>
      <c r="N6151">
        <v>0</v>
      </c>
      <c r="O6151">
        <v>0.99991909999999895</v>
      </c>
      <c r="P6151">
        <v>-4.3670889999999997E-2</v>
      </c>
      <c r="Q6151">
        <v>3.0274479999999999E-2</v>
      </c>
      <c r="R6151">
        <v>0.99858709999999995</v>
      </c>
      <c r="S6151">
        <v>-0.37205509999999897</v>
      </c>
      <c r="T6151">
        <v>-0.223882899999999</v>
      </c>
      <c r="U6151">
        <v>2.994904</v>
      </c>
      <c r="V6151">
        <v>-5.5185919999999999E-2</v>
      </c>
      <c r="W6151">
        <v>3.5609170000000002E-2</v>
      </c>
      <c r="X6151">
        <v>0.99784089999999903</v>
      </c>
      <c r="Y6151">
        <v>-0.13440469999999999</v>
      </c>
      <c r="Z6151">
        <v>-7.3918360000000002E-2</v>
      </c>
      <c r="AA6151">
        <v>0.98816569999999904</v>
      </c>
      <c r="AB6151">
        <v>57</v>
      </c>
      <c r="AC6151">
        <v>-1.8383</v>
      </c>
      <c r="AD6151">
        <v>-1.1022877918130001</v>
      </c>
      <c r="AE6151">
        <v>14.178189999999899</v>
      </c>
      <c r="AF6151">
        <v>-1.9902012283034101</v>
      </c>
      <c r="AG6151">
        <v>-1.1022877918130001</v>
      </c>
      <c r="AH6151">
        <v>14.072346586331401</v>
      </c>
      <c r="AI6151">
        <v>94.434883111780394</v>
      </c>
      <c r="AJ6151">
        <v>98.049749940172404</v>
      </c>
      <c r="AK6151">
        <v>14.2550649858551</v>
      </c>
    </row>
    <row r="6152" spans="1:37" x14ac:dyDescent="0.2">
      <c r="A6152" t="str">
        <f>"20200111153811423"</f>
        <v>20200111153811423</v>
      </c>
      <c r="B6152" t="str">
        <f>"1578728291408847"</f>
        <v>1578728291408847</v>
      </c>
      <c r="C6152" t="s">
        <v>37</v>
      </c>
      <c r="D6152">
        <v>6.0026960000000003</v>
      </c>
      <c r="E6152">
        <v>0.47107019999999999</v>
      </c>
      <c r="F6152" t="s">
        <v>39</v>
      </c>
      <c r="G6152">
        <v>-190.30420000000001</v>
      </c>
      <c r="H6152" s="1">
        <v>-1.960206E-6</v>
      </c>
      <c r="I6152">
        <v>53.969719999999903</v>
      </c>
      <c r="J6152">
        <v>-188.49279999999999</v>
      </c>
      <c r="K6152">
        <v>1.1023160000000001</v>
      </c>
      <c r="L6152">
        <v>40.492129999999896</v>
      </c>
      <c r="M6152">
        <v>1.1678829999999999E-2</v>
      </c>
      <c r="N6152">
        <v>0</v>
      </c>
      <c r="O6152">
        <v>0.99991739999999996</v>
      </c>
      <c r="P6152">
        <v>-4.2036339999999998E-2</v>
      </c>
      <c r="Q6152">
        <v>2.6136900000000001E-2</v>
      </c>
      <c r="R6152">
        <v>0.99877419999999995</v>
      </c>
      <c r="S6152">
        <v>-0.36903379999999902</v>
      </c>
      <c r="T6152">
        <v>-0.226187799999999</v>
      </c>
      <c r="U6152">
        <v>2.9949650000000001</v>
      </c>
      <c r="V6152">
        <v>-5.3682550000000002E-2</v>
      </c>
      <c r="W6152">
        <v>3.1517839999999998E-2</v>
      </c>
      <c r="X6152">
        <v>0.99806049999999902</v>
      </c>
      <c r="Y6152">
        <v>-0.1335345</v>
      </c>
      <c r="Z6152">
        <v>-7.4682449999999997E-2</v>
      </c>
      <c r="AA6152">
        <v>0.98822619999999906</v>
      </c>
      <c r="AB6152">
        <v>57</v>
      </c>
      <c r="AC6152">
        <v>-1.8114000000000201</v>
      </c>
      <c r="AD6152">
        <v>-1.102317960206</v>
      </c>
      <c r="AE6152">
        <v>13.477589999999999</v>
      </c>
      <c r="AF6152">
        <v>-1.9558299552234799</v>
      </c>
      <c r="AG6152">
        <v>-1.102317960206</v>
      </c>
      <c r="AH6152">
        <v>13.3676798984258</v>
      </c>
      <c r="AI6152">
        <v>94.664586366261105</v>
      </c>
      <c r="AJ6152">
        <v>98.3239051605306</v>
      </c>
      <c r="AK6152">
        <v>13.5548973277528</v>
      </c>
    </row>
    <row r="6153" spans="1:37" x14ac:dyDescent="0.2">
      <c r="A6153" t="str">
        <f>"20200111153811446"</f>
        <v>20200111153811446</v>
      </c>
      <c r="B6153" t="str">
        <f>"1578728291439103"</f>
        <v>1578728291439103</v>
      </c>
      <c r="C6153" t="s">
        <v>37</v>
      </c>
      <c r="D6153">
        <v>5.793399</v>
      </c>
      <c r="E6153">
        <v>0.470891</v>
      </c>
      <c r="F6153" t="s">
        <v>39</v>
      </c>
      <c r="G6153">
        <v>-190.17840000000001</v>
      </c>
      <c r="H6153" s="1">
        <v>-2.0570789999999998E-6</v>
      </c>
      <c r="I6153">
        <v>54.273559999999897</v>
      </c>
      <c r="J6153">
        <v>-188.48599999999999</v>
      </c>
      <c r="K6153">
        <v>1.102328</v>
      </c>
      <c r="L6153">
        <v>41.080750000000002</v>
      </c>
      <c r="M6153">
        <v>1.172085E-2</v>
      </c>
      <c r="N6153">
        <v>0</v>
      </c>
      <c r="O6153">
        <v>0.99991679999999905</v>
      </c>
      <c r="P6153">
        <v>-4.1904030000000002E-2</v>
      </c>
      <c r="Q6153">
        <v>2.5305149999999998E-2</v>
      </c>
      <c r="R6153">
        <v>0.9988011</v>
      </c>
      <c r="S6153">
        <v>-0.36625669999999999</v>
      </c>
      <c r="T6153">
        <v>-0.239520399999999</v>
      </c>
      <c r="U6153">
        <v>2.9945369999999998</v>
      </c>
      <c r="V6153">
        <v>-5.3595360000000002E-2</v>
      </c>
      <c r="W6153">
        <v>3.0710939999999999E-2</v>
      </c>
      <c r="X6153">
        <v>0.99809040000000004</v>
      </c>
      <c r="Y6153">
        <v>-0.13264919999999999</v>
      </c>
      <c r="Z6153">
        <v>-7.907778E-2</v>
      </c>
      <c r="AA6153">
        <v>0.98800350000000003</v>
      </c>
      <c r="AB6153">
        <v>57</v>
      </c>
      <c r="AC6153">
        <v>-1.6924000000000201</v>
      </c>
      <c r="AD6153">
        <v>-1.102330057079</v>
      </c>
      <c r="AE6153">
        <v>13.1928099999999</v>
      </c>
      <c r="AF6153">
        <v>-1.8343179761689601</v>
      </c>
      <c r="AG6153">
        <v>-1.102330057079</v>
      </c>
      <c r="AH6153">
        <v>13.082212306966399</v>
      </c>
      <c r="AI6153">
        <v>94.770021926730706</v>
      </c>
      <c r="AJ6153">
        <v>97.981672831572297</v>
      </c>
      <c r="AK6153">
        <v>13.256097949131901</v>
      </c>
    </row>
    <row r="6154" spans="1:37" x14ac:dyDescent="0.2">
      <c r="A6154" t="str">
        <f>"20200111153811470"</f>
        <v>20200111153811470</v>
      </c>
      <c r="B6154" t="str">
        <f>"1578728291459601"</f>
        <v>1578728291459601</v>
      </c>
      <c r="C6154" t="s">
        <v>37</v>
      </c>
      <c r="D6154">
        <v>5.7380100000000001</v>
      </c>
      <c r="E6154">
        <v>0.47070109999999898</v>
      </c>
      <c r="F6154" t="s">
        <v>39</v>
      </c>
      <c r="G6154">
        <v>-190.15790000000001</v>
      </c>
      <c r="H6154" s="1">
        <v>-2.2356499999999999E-6</v>
      </c>
      <c r="I6154">
        <v>54.702559999999998</v>
      </c>
      <c r="J6154">
        <v>-188.47890000000001</v>
      </c>
      <c r="K6154">
        <v>1.1023459999999901</v>
      </c>
      <c r="L6154">
        <v>41.688389999999998</v>
      </c>
      <c r="M6154">
        <v>1.174825E-2</v>
      </c>
      <c r="N6154">
        <v>0</v>
      </c>
      <c r="O6154">
        <v>0.99991629999999998</v>
      </c>
      <c r="P6154">
        <v>-4.2282460000000001E-2</v>
      </c>
      <c r="Q6154">
        <v>2.4702160000000001E-2</v>
      </c>
      <c r="R6154">
        <v>0.99880029999999997</v>
      </c>
      <c r="S6154">
        <v>-0.3675079</v>
      </c>
      <c r="T6154">
        <v>-0.24231230000000001</v>
      </c>
      <c r="U6154">
        <v>2.9943240000000002</v>
      </c>
      <c r="V6154">
        <v>-5.4002759999999997E-2</v>
      </c>
      <c r="W6154">
        <v>3.0133750000000001E-2</v>
      </c>
      <c r="X6154">
        <v>0.99808600000000003</v>
      </c>
      <c r="Y6154">
        <v>-0.1330827</v>
      </c>
      <c r="Z6154">
        <v>-7.9994839999999998E-2</v>
      </c>
      <c r="AA6154">
        <v>0.98787130000000001</v>
      </c>
      <c r="AB6154">
        <v>57</v>
      </c>
      <c r="AC6154">
        <v>-1.679</v>
      </c>
      <c r="AD6154">
        <v>-1.1023482356499901</v>
      </c>
      <c r="AE6154">
        <v>13.014169999999901</v>
      </c>
      <c r="AF6154">
        <v>-1.8189433510970601</v>
      </c>
      <c r="AG6154">
        <v>-1.1023482356499901</v>
      </c>
      <c r="AH6154">
        <v>12.902490106823601</v>
      </c>
      <c r="AI6154">
        <v>94.835725913036299</v>
      </c>
      <c r="AJ6154">
        <v>98.024457031602793</v>
      </c>
      <c r="AK6154">
        <v>13.0766194983192</v>
      </c>
    </row>
    <row r="6155" spans="1:37" x14ac:dyDescent="0.2">
      <c r="A6155" t="str">
        <f>"20200111153811491"</f>
        <v>20200111153811491</v>
      </c>
      <c r="B6155" t="str">
        <f>"1578728291479119"</f>
        <v>1578728291479119</v>
      </c>
      <c r="C6155" t="s">
        <v>37</v>
      </c>
      <c r="D6155">
        <v>5.5399859999999999</v>
      </c>
      <c r="E6155">
        <v>0.47061709999999901</v>
      </c>
      <c r="F6155" t="s">
        <v>39</v>
      </c>
      <c r="G6155">
        <v>-190.14940000000001</v>
      </c>
      <c r="H6155" s="1">
        <v>-2.4416169999999999E-6</v>
      </c>
      <c r="I6155">
        <v>55.187899999999999</v>
      </c>
      <c r="J6155">
        <v>-188.4725</v>
      </c>
      <c r="K6155">
        <v>1.1023639999999999</v>
      </c>
      <c r="L6155">
        <v>42.233089999999997</v>
      </c>
      <c r="M6155">
        <v>1.1750419999999999E-2</v>
      </c>
      <c r="N6155">
        <v>0</v>
      </c>
      <c r="O6155">
        <v>0.99991609999999997</v>
      </c>
      <c r="P6155">
        <v>-4.3078859999999997E-2</v>
      </c>
      <c r="Q6155">
        <v>2.4706579999999999E-2</v>
      </c>
      <c r="R6155">
        <v>0.99876609999999999</v>
      </c>
      <c r="S6155">
        <v>-0.37049870000000001</v>
      </c>
      <c r="T6155">
        <v>-0.24448159999999999</v>
      </c>
      <c r="U6155">
        <v>2.9939580000000001</v>
      </c>
      <c r="V6155">
        <v>-5.4802719999999999E-2</v>
      </c>
      <c r="W6155">
        <v>3.0161400000000001E-2</v>
      </c>
      <c r="X6155">
        <v>0.99804159999999997</v>
      </c>
      <c r="Y6155">
        <v>-0.1340644</v>
      </c>
      <c r="Z6155">
        <v>-8.0705780000000005E-2</v>
      </c>
      <c r="AA6155">
        <v>0.98768080000000003</v>
      </c>
      <c r="AB6155">
        <v>57</v>
      </c>
      <c r="AC6155">
        <v>-1.67690000000001</v>
      </c>
      <c r="AD6155">
        <v>-1.10236644161699</v>
      </c>
      <c r="AE6155">
        <v>12.954809999999901</v>
      </c>
      <c r="AF6155">
        <v>-1.8160776911608101</v>
      </c>
      <c r="AG6155">
        <v>-1.10236644161699</v>
      </c>
      <c r="AH6155">
        <v>12.842750958539799</v>
      </c>
      <c r="AI6155">
        <v>94.857902590272204</v>
      </c>
      <c r="AJ6155">
        <v>98.048760302699705</v>
      </c>
      <c r="AK6155">
        <v>13.0172809040525</v>
      </c>
    </row>
    <row r="6156" spans="1:37" x14ac:dyDescent="0.2">
      <c r="A6156" t="str">
        <f>"20200111153811514"</f>
        <v>20200111153811514</v>
      </c>
      <c r="B6156" t="str">
        <f>"1578728291509376"</f>
        <v>1578728291509376</v>
      </c>
      <c r="C6156" t="s">
        <v>37</v>
      </c>
      <c r="D6156">
        <v>5.7176629999999999</v>
      </c>
      <c r="E6156">
        <v>0.47034290000000001</v>
      </c>
      <c r="F6156" t="s">
        <v>39</v>
      </c>
      <c r="G6156">
        <v>-190.1549</v>
      </c>
      <c r="H6156" s="1">
        <v>-2.67265699999999E-6</v>
      </c>
      <c r="I6156">
        <v>55.723050000000001</v>
      </c>
      <c r="J6156">
        <v>-188.4658</v>
      </c>
      <c r="K6156">
        <v>1.1023879999999999</v>
      </c>
      <c r="L6156">
        <v>42.812559999999998</v>
      </c>
      <c r="M6156">
        <v>1.1719830000000001E-2</v>
      </c>
      <c r="N6156">
        <v>0</v>
      </c>
      <c r="O6156">
        <v>0.99991629999999998</v>
      </c>
      <c r="P6156">
        <v>-4.424082E-2</v>
      </c>
      <c r="Q6156">
        <v>2.4561059999999999E-2</v>
      </c>
      <c r="R6156">
        <v>0.99871889999999997</v>
      </c>
      <c r="S6156">
        <v>-0.37335209999999902</v>
      </c>
      <c r="T6156">
        <v>-0.24463399999999999</v>
      </c>
      <c r="U6156">
        <v>2.993652</v>
      </c>
      <c r="V6156">
        <v>-5.5936020000000003E-2</v>
      </c>
      <c r="W6156">
        <v>3.0039860000000002E-2</v>
      </c>
      <c r="X6156">
        <v>0.99798229999999999</v>
      </c>
      <c r="Y6156">
        <v>-0.13497290000000001</v>
      </c>
      <c r="Z6156">
        <v>-8.0754229999999996E-2</v>
      </c>
      <c r="AA6156">
        <v>0.98755309999999896</v>
      </c>
      <c r="AB6156">
        <v>58</v>
      </c>
      <c r="AC6156">
        <v>-1.6890999999999901</v>
      </c>
      <c r="AD6156">
        <v>-1.1023906726570001</v>
      </c>
      <c r="AE6156">
        <v>12.910489999999999</v>
      </c>
      <c r="AF6156">
        <v>-1.8271971564404601</v>
      </c>
      <c r="AG6156">
        <v>-1.1023906726570001</v>
      </c>
      <c r="AH6156">
        <v>12.798066944608699</v>
      </c>
      <c r="AI6156">
        <v>94.873968246210595</v>
      </c>
      <c r="AJ6156">
        <v>98.125284430809103</v>
      </c>
      <c r="AK6156">
        <v>12.9747613528092</v>
      </c>
    </row>
    <row r="6157" spans="1:37" x14ac:dyDescent="0.2">
      <c r="A6157" t="str">
        <f>"20200111153811535"</f>
        <v>20200111153811535</v>
      </c>
      <c r="B6157" t="str">
        <f>"1578728291528896"</f>
        <v>1578728291528896</v>
      </c>
      <c r="C6157" t="s">
        <v>37</v>
      </c>
      <c r="D6157">
        <v>5.9998529999999999</v>
      </c>
      <c r="E6157">
        <v>0.47020020000000001</v>
      </c>
      <c r="F6157" t="s">
        <v>39</v>
      </c>
      <c r="G6157">
        <v>-190.1704</v>
      </c>
      <c r="H6157" s="1">
        <v>-2.9177060000000002E-6</v>
      </c>
      <c r="I6157">
        <v>56.284659999999903</v>
      </c>
      <c r="J6157">
        <v>-188.45910000000001</v>
      </c>
      <c r="K6157">
        <v>1.10242</v>
      </c>
      <c r="L6157">
        <v>43.383389999999999</v>
      </c>
      <c r="M6157">
        <v>1.16502999999999E-2</v>
      </c>
      <c r="N6157">
        <v>0</v>
      </c>
      <c r="O6157">
        <v>0.99991699999999994</v>
      </c>
      <c r="P6157">
        <v>-4.5026940000000001E-2</v>
      </c>
      <c r="Q6157">
        <v>2.3833610000000002E-2</v>
      </c>
      <c r="R6157">
        <v>0.99870149999999902</v>
      </c>
      <c r="S6157">
        <v>-0.37872309999999998</v>
      </c>
      <c r="T6157">
        <v>-0.24491879999999999</v>
      </c>
      <c r="U6157">
        <v>2.9931030000000001</v>
      </c>
      <c r="V6157">
        <v>-5.6655280000000002E-2</v>
      </c>
      <c r="W6157">
        <v>2.9334929999999999E-2</v>
      </c>
      <c r="X6157">
        <v>0.99796280000000004</v>
      </c>
      <c r="Y6157">
        <v>-0.13666970000000001</v>
      </c>
      <c r="Z6157">
        <v>-8.0843960000000006E-2</v>
      </c>
      <c r="AA6157">
        <v>0.98731229999999903</v>
      </c>
      <c r="AB6157">
        <v>58</v>
      </c>
      <c r="AC6157">
        <v>-1.7112999999999901</v>
      </c>
      <c r="AD6157">
        <v>-1.1024229177060001</v>
      </c>
      <c r="AE6157">
        <v>12.901269999999901</v>
      </c>
      <c r="AF6157">
        <v>-1.8482277025326801</v>
      </c>
      <c r="AG6157">
        <v>-1.1024229177060001</v>
      </c>
      <c r="AH6157">
        <v>12.788690754267799</v>
      </c>
      <c r="AI6157">
        <v>94.876471574310997</v>
      </c>
      <c r="AJ6157">
        <v>98.223476577236198</v>
      </c>
      <c r="AK6157">
        <v>12.968496178747399</v>
      </c>
    </row>
    <row r="6158" spans="1:37" x14ac:dyDescent="0.2">
      <c r="A6158" t="str">
        <f>"20200111153811559"</f>
        <v>20200111153811559</v>
      </c>
      <c r="B6158" t="str">
        <f>"1578728291549391"</f>
        <v>1578728291549391</v>
      </c>
      <c r="C6158" t="s">
        <v>37</v>
      </c>
      <c r="D6158">
        <v>5.8138370000000004</v>
      </c>
      <c r="E6158">
        <v>0.47011389999999997</v>
      </c>
      <c r="F6158" t="s">
        <v>39</v>
      </c>
      <c r="G6158">
        <v>-190.16099999999901</v>
      </c>
      <c r="H6158" s="1">
        <v>-3.10279999999999E-6</v>
      </c>
      <c r="I6158">
        <v>56.721959999999903</v>
      </c>
      <c r="J6158">
        <v>-188.45230000000001</v>
      </c>
      <c r="K6158">
        <v>1.102465</v>
      </c>
      <c r="L6158">
        <v>43.973880000000001</v>
      </c>
      <c r="M6158">
        <v>1.1533679999999999E-2</v>
      </c>
      <c r="N6158">
        <v>0</v>
      </c>
      <c r="O6158">
        <v>0.99991819999999898</v>
      </c>
      <c r="P6158">
        <v>-4.6118970000000002E-2</v>
      </c>
      <c r="Q6158">
        <v>2.3732880000000001E-2</v>
      </c>
      <c r="R6158">
        <v>0.99865400000000004</v>
      </c>
      <c r="S6158">
        <v>-0.38182070000000001</v>
      </c>
      <c r="T6158">
        <v>-0.247335</v>
      </c>
      <c r="U6158">
        <v>2.9925839999999999</v>
      </c>
      <c r="V6158">
        <v>-5.7633289999999997E-2</v>
      </c>
      <c r="W6158">
        <v>2.925581E-2</v>
      </c>
      <c r="X6158">
        <v>0.99790909999999999</v>
      </c>
      <c r="Y6158">
        <v>-0.137573</v>
      </c>
      <c r="Z6158">
        <v>-8.1639859999999995E-2</v>
      </c>
      <c r="AA6158">
        <v>0.98712140000000004</v>
      </c>
      <c r="AB6158">
        <v>58</v>
      </c>
      <c r="AC6158">
        <v>-1.7086999999999599</v>
      </c>
      <c r="AD6158">
        <v>-1.1024681028000001</v>
      </c>
      <c r="AE6158">
        <v>12.7480799999999</v>
      </c>
      <c r="AF6158">
        <v>-1.8420870710792201</v>
      </c>
      <c r="AG6158">
        <v>-1.1024681028000001</v>
      </c>
      <c r="AH6158">
        <v>12.634697151400299</v>
      </c>
      <c r="AI6158">
        <v>94.934925757030996</v>
      </c>
      <c r="AJ6158">
        <v>98.295044977636493</v>
      </c>
      <c r="AK6158">
        <v>12.8157829570702</v>
      </c>
    </row>
    <row r="6159" spans="1:37" x14ac:dyDescent="0.2">
      <c r="A6159" t="str">
        <f>"20200111153811580"</f>
        <v>20200111153811580</v>
      </c>
      <c r="B6159" t="str">
        <f>"1578728291568911"</f>
        <v>1578728291568911</v>
      </c>
      <c r="C6159" t="s">
        <v>37</v>
      </c>
      <c r="D6159">
        <v>5.8371699999999898</v>
      </c>
      <c r="E6159">
        <v>0.4701534</v>
      </c>
      <c r="F6159" t="s">
        <v>39</v>
      </c>
      <c r="G6159">
        <v>-190.172</v>
      </c>
      <c r="H6159" s="1">
        <v>-3.3589690000000001E-6</v>
      </c>
      <c r="I6159">
        <v>57.312240000000003</v>
      </c>
      <c r="J6159">
        <v>-188.44589999999999</v>
      </c>
      <c r="K6159">
        <v>1.1025129999999901</v>
      </c>
      <c r="L6159">
        <v>44.535490000000003</v>
      </c>
      <c r="M6159">
        <v>1.1378249999999999E-2</v>
      </c>
      <c r="N6159">
        <v>0</v>
      </c>
      <c r="O6159">
        <v>0.99991980000000003</v>
      </c>
      <c r="P6159">
        <v>-4.6666199999999998E-2</v>
      </c>
      <c r="Q6159">
        <v>2.473508E-2</v>
      </c>
      <c r="R6159">
        <v>0.99860419999999905</v>
      </c>
      <c r="S6159">
        <v>-0.38577270000000002</v>
      </c>
      <c r="T6159">
        <v>-0.24730849999999999</v>
      </c>
      <c r="U6159">
        <v>2.9920960000000001</v>
      </c>
      <c r="V6159">
        <v>-5.8028379999999997E-2</v>
      </c>
      <c r="W6159">
        <v>3.027817E-2</v>
      </c>
      <c r="X6159">
        <v>0.99785569999999901</v>
      </c>
      <c r="Y6159">
        <v>-0.13872190000000001</v>
      </c>
      <c r="Z6159">
        <v>-8.1631159999999994E-2</v>
      </c>
      <c r="AA6159">
        <v>0.98696130000000004</v>
      </c>
      <c r="AB6159">
        <v>58</v>
      </c>
      <c r="AC6159">
        <v>-1.7261</v>
      </c>
      <c r="AD6159">
        <v>-1.1025163589689999</v>
      </c>
      <c r="AE6159">
        <v>12.77675</v>
      </c>
      <c r="AF6159">
        <v>-1.8577822641906101</v>
      </c>
      <c r="AG6159">
        <v>-1.1025163589689999</v>
      </c>
      <c r="AH6159">
        <v>12.663677626234801</v>
      </c>
      <c r="AI6159">
        <v>94.923266956508002</v>
      </c>
      <c r="AJ6159">
        <v>98.345853148597698</v>
      </c>
      <c r="AK6159">
        <v>12.846619332888199</v>
      </c>
    </row>
    <row r="6160" spans="1:37" x14ac:dyDescent="0.2">
      <c r="A6160" t="str">
        <f>"20200111153811602"</f>
        <v>20200111153811602</v>
      </c>
      <c r="B6160" t="str">
        <f>"1578728291599167"</f>
        <v>1578728291599167</v>
      </c>
      <c r="C6160" t="s">
        <v>37</v>
      </c>
      <c r="D6160">
        <v>5.762982</v>
      </c>
      <c r="E6160">
        <v>0.47027790000000003</v>
      </c>
      <c r="F6160" t="s">
        <v>39</v>
      </c>
      <c r="G6160">
        <v>-190.1901</v>
      </c>
      <c r="H6160" s="1">
        <v>-3.6709240000000001E-6</v>
      </c>
      <c r="I6160">
        <v>58.028199999999998</v>
      </c>
      <c r="J6160">
        <v>-188.43950000000001</v>
      </c>
      <c r="K6160">
        <v>1.102562</v>
      </c>
      <c r="L6160">
        <v>45.110050000000001</v>
      </c>
      <c r="M6160">
        <v>1.117661E-2</v>
      </c>
      <c r="N6160">
        <v>0</v>
      </c>
      <c r="O6160">
        <v>0.99992190000000003</v>
      </c>
      <c r="P6160">
        <v>-4.7163900000000002E-2</v>
      </c>
      <c r="Q6160">
        <v>2.5289450000000002E-2</v>
      </c>
      <c r="R6160">
        <v>0.99856699999999998</v>
      </c>
      <c r="S6160">
        <v>-0.386795</v>
      </c>
      <c r="T6160">
        <v>-0.24449509999999999</v>
      </c>
      <c r="U6160">
        <v>2.9921570000000002</v>
      </c>
      <c r="V6160">
        <v>-5.8328539999999998E-2</v>
      </c>
      <c r="W6160">
        <v>3.085249E-2</v>
      </c>
      <c r="X6160">
        <v>0.99782059999999995</v>
      </c>
      <c r="Y6160">
        <v>-0.13886099999999901</v>
      </c>
      <c r="Z6160">
        <v>-8.0704789999999998E-2</v>
      </c>
      <c r="AA6160">
        <v>0.9870179</v>
      </c>
      <c r="AB6160">
        <v>58</v>
      </c>
      <c r="AC6160">
        <v>-1.7505999999999899</v>
      </c>
      <c r="AD6160">
        <v>-1.1025656709239999</v>
      </c>
      <c r="AE6160">
        <v>12.918149999999899</v>
      </c>
      <c r="AF6160">
        <v>-1.8814157450683999</v>
      </c>
      <c r="AG6160">
        <v>-1.1025656709239999</v>
      </c>
      <c r="AH6160">
        <v>12.8061709156513</v>
      </c>
      <c r="AI6160">
        <v>94.868819237394703</v>
      </c>
      <c r="AJ6160">
        <v>98.3578074108717</v>
      </c>
      <c r="AK6160">
        <v>12.990511529010901</v>
      </c>
    </row>
    <row r="6161" spans="1:37" x14ac:dyDescent="0.2">
      <c r="A6161" t="str">
        <f>"20200111153811625"</f>
        <v>20200111153811625</v>
      </c>
      <c r="B6161" t="str">
        <f>"1578728291619664"</f>
        <v>1578728291619664</v>
      </c>
      <c r="C6161" t="s">
        <v>37</v>
      </c>
      <c r="D6161">
        <v>5.9901400000000002</v>
      </c>
      <c r="E6161">
        <v>0.47025230000000001</v>
      </c>
      <c r="F6161" t="s">
        <v>39</v>
      </c>
      <c r="G6161">
        <v>-190.2046</v>
      </c>
      <c r="H6161" s="1">
        <v>-3.9830499999999999E-6</v>
      </c>
      <c r="I6161">
        <v>58.746780000000001</v>
      </c>
      <c r="J6161">
        <v>-188.43279999999999</v>
      </c>
      <c r="K6161">
        <v>1.1026119999999999</v>
      </c>
      <c r="L6161">
        <v>45.715420000000002</v>
      </c>
      <c r="M6161">
        <v>1.092796E-2</v>
      </c>
      <c r="N6161">
        <v>0</v>
      </c>
      <c r="O6161">
        <v>0.99992449999999999</v>
      </c>
      <c r="P6161">
        <v>-4.7481120000000002E-2</v>
      </c>
      <c r="Q6161">
        <v>2.4915710000000001E-2</v>
      </c>
      <c r="R6161">
        <v>0.99856129999999999</v>
      </c>
      <c r="S6161">
        <v>-0.38729859999999999</v>
      </c>
      <c r="T6161">
        <v>-0.24192129999999901</v>
      </c>
      <c r="U6161">
        <v>2.9921259999999998</v>
      </c>
      <c r="V6161">
        <v>-5.8400529999999999E-2</v>
      </c>
      <c r="W6161">
        <v>3.0501230000000001E-2</v>
      </c>
      <c r="X6161">
        <v>0.99782719999999903</v>
      </c>
      <c r="Y6161">
        <v>-0.1387882</v>
      </c>
      <c r="Z6161">
        <v>-7.9861409999999994E-2</v>
      </c>
      <c r="AA6161">
        <v>0.98709669999999905</v>
      </c>
      <c r="AB6161">
        <v>58</v>
      </c>
      <c r="AC6161">
        <v>-1.77180000000001</v>
      </c>
      <c r="AD6161">
        <v>-1.10261598305</v>
      </c>
      <c r="AE6161">
        <v>13.031359999999999</v>
      </c>
      <c r="AF6161">
        <v>-1.9007416887600399</v>
      </c>
      <c r="AG6161">
        <v>-1.10261598305</v>
      </c>
      <c r="AH6161">
        <v>12.9203976520858</v>
      </c>
      <c r="AI6161">
        <v>94.826062207191896</v>
      </c>
      <c r="AJ6161">
        <v>98.368851678620103</v>
      </c>
      <c r="AK6161">
        <v>13.105924479466999</v>
      </c>
    </row>
    <row r="6162" spans="1:37" x14ac:dyDescent="0.2">
      <c r="A6162" t="str">
        <f>"20200111153811647"</f>
        <v>20200111153811647</v>
      </c>
      <c r="B6162" t="str">
        <f>"1578728291639184"</f>
        <v>1578728291639184</v>
      </c>
      <c r="C6162" t="s">
        <v>37</v>
      </c>
      <c r="D6162">
        <v>5.8202249999999998</v>
      </c>
      <c r="E6162">
        <v>0.47025139999999999</v>
      </c>
      <c r="F6162" t="s">
        <v>39</v>
      </c>
      <c r="G6162">
        <v>-190.18899999999999</v>
      </c>
      <c r="H6162" s="1">
        <v>-4.1909309999999998E-6</v>
      </c>
      <c r="I6162">
        <v>59.241039999999998</v>
      </c>
      <c r="J6162">
        <v>-188.42670000000001</v>
      </c>
      <c r="K6162">
        <v>1.1026479999999901</v>
      </c>
      <c r="L6162">
        <v>46.287050000000001</v>
      </c>
      <c r="M6162">
        <v>1.0667070000000001E-2</v>
      </c>
      <c r="N6162">
        <v>0</v>
      </c>
      <c r="O6162">
        <v>0.99992719999999902</v>
      </c>
      <c r="P6162">
        <v>-4.777493E-2</v>
      </c>
      <c r="Q6162">
        <v>2.410729E-2</v>
      </c>
      <c r="R6162">
        <v>0.99856719999999899</v>
      </c>
      <c r="S6162">
        <v>-0.38847350000000003</v>
      </c>
      <c r="T6162">
        <v>-0.24390490000000001</v>
      </c>
      <c r="U6162">
        <v>2.991943</v>
      </c>
      <c r="V6162">
        <v>-5.8437129999999997E-2</v>
      </c>
      <c r="W6162">
        <v>2.971385E-2</v>
      </c>
      <c r="X6162">
        <v>0.99784879999999998</v>
      </c>
      <c r="Y6162">
        <v>-0.13891199999999901</v>
      </c>
      <c r="Z6162">
        <v>-8.0514470000000005E-2</v>
      </c>
      <c r="AA6162">
        <v>0.98702630000000002</v>
      </c>
      <c r="AB6162">
        <v>58</v>
      </c>
      <c r="AC6162">
        <v>-1.76230000000001</v>
      </c>
      <c r="AD6162">
        <v>-1.1026521909309901</v>
      </c>
      <c r="AE6162">
        <v>12.953989999999999</v>
      </c>
      <c r="AF6162">
        <v>-1.8869594708401001</v>
      </c>
      <c r="AG6162">
        <v>-1.1026521909309901</v>
      </c>
      <c r="AH6162">
        <v>12.843090068710399</v>
      </c>
      <c r="AI6162">
        <v>94.855262837546704</v>
      </c>
      <c r="AJ6162">
        <v>98.358330382379904</v>
      </c>
      <c r="AK6162">
        <v>13.027717390693001</v>
      </c>
    </row>
    <row r="6163" spans="1:37" x14ac:dyDescent="0.2">
      <c r="A6163" t="str">
        <f>"20200111153811670"</f>
        <v>20200111153811670</v>
      </c>
      <c r="B6163" t="str">
        <f>"1578728291659679"</f>
        <v>1578728291659679</v>
      </c>
      <c r="C6163" t="s">
        <v>37</v>
      </c>
      <c r="D6163">
        <v>6.0269969999999997</v>
      </c>
      <c r="E6163">
        <v>0.50752189999999997</v>
      </c>
      <c r="F6163" t="s">
        <v>39</v>
      </c>
      <c r="G6163">
        <v>-190.17490000000001</v>
      </c>
      <c r="H6163" s="1">
        <v>-1.06268E-7</v>
      </c>
      <c r="I6163">
        <v>59.728340000000003</v>
      </c>
      <c r="J6163">
        <v>-188.4203</v>
      </c>
      <c r="K6163">
        <v>1.1026769999999999</v>
      </c>
      <c r="L6163">
        <v>46.891300000000001</v>
      </c>
      <c r="M6163">
        <v>1.0370310000000001E-2</v>
      </c>
      <c r="N6163">
        <v>0</v>
      </c>
      <c r="O6163">
        <v>0.99993009999999904</v>
      </c>
      <c r="P6163">
        <v>-4.7857440000000001E-2</v>
      </c>
      <c r="Q6163">
        <v>2.3949080000000001E-2</v>
      </c>
      <c r="R6163">
        <v>0.99856699999999998</v>
      </c>
      <c r="S6163">
        <v>-0.38909909999999998</v>
      </c>
      <c r="T6163">
        <v>-0.24541469999999899</v>
      </c>
      <c r="U6163">
        <v>2.9916079999999998</v>
      </c>
      <c r="V6163">
        <v>-5.8226590000000002E-2</v>
      </c>
      <c r="W6163">
        <v>2.957897E-2</v>
      </c>
      <c r="X6163">
        <v>0.99786509999999995</v>
      </c>
      <c r="Y6163">
        <v>-0.13883000000000001</v>
      </c>
      <c r="Z6163">
        <v>-8.1018270000000003E-2</v>
      </c>
      <c r="AA6163">
        <v>0.9869966</v>
      </c>
      <c r="AB6163">
        <v>59</v>
      </c>
      <c r="AC6163">
        <v>-1.7546000000000099</v>
      </c>
      <c r="AD6163">
        <v>-1.1026771062680001</v>
      </c>
      <c r="AE6163">
        <v>12.83704</v>
      </c>
      <c r="AF6163">
        <v>-1.87405777247114</v>
      </c>
      <c r="AG6163">
        <v>-1.1026771062680001</v>
      </c>
      <c r="AH6163">
        <v>12.725977327125101</v>
      </c>
      <c r="AI6163">
        <v>94.899600290395398</v>
      </c>
      <c r="AJ6163">
        <v>98.377302108985404</v>
      </c>
      <c r="AK6163">
        <v>12.9104023278033</v>
      </c>
    </row>
    <row r="6164" spans="1:37" x14ac:dyDescent="0.2">
      <c r="A6164" t="str">
        <f>"20200111153811693"</f>
        <v>20200111153811693</v>
      </c>
      <c r="B6164" t="str">
        <f>"1578728291688961"</f>
        <v>1578728291688961</v>
      </c>
      <c r="C6164" t="s">
        <v>37</v>
      </c>
      <c r="D6164">
        <v>6.0989379999999898</v>
      </c>
      <c r="E6164">
        <v>0.51030929999999997</v>
      </c>
      <c r="F6164" t="s">
        <v>39</v>
      </c>
      <c r="G6164">
        <v>-188.88980000000001</v>
      </c>
      <c r="H6164" s="1">
        <v>-1.3789959999999999E-6</v>
      </c>
      <c r="I6164">
        <v>62.388179999999998</v>
      </c>
      <c r="J6164">
        <v>-188.41409999999999</v>
      </c>
      <c r="K6164">
        <v>1.102706</v>
      </c>
      <c r="L6164">
        <v>47.497859999999903</v>
      </c>
      <c r="M6164">
        <v>1.00573E-2</v>
      </c>
      <c r="N6164">
        <v>0</v>
      </c>
      <c r="O6164">
        <v>0.99993319999999997</v>
      </c>
      <c r="P6164">
        <v>-4.7858280000000003E-2</v>
      </c>
      <c r="Q6164">
        <v>2.308673E-2</v>
      </c>
      <c r="R6164">
        <v>0.99858729999999996</v>
      </c>
      <c r="S6164">
        <v>-9.1033939999999994E-2</v>
      </c>
      <c r="T6164">
        <v>-0.21382489999999901</v>
      </c>
      <c r="U6164">
        <v>3.0050659999999998</v>
      </c>
      <c r="V6164">
        <v>-5.7917280000000002E-2</v>
      </c>
      <c r="W6164">
        <v>2.874057E-2</v>
      </c>
      <c r="X6164">
        <v>0.99790759999999901</v>
      </c>
      <c r="Y6164">
        <v>-4.0254650000000003E-2</v>
      </c>
      <c r="Z6164">
        <v>-7.0925020000000005E-2</v>
      </c>
      <c r="AA6164">
        <v>0.99666909999999898</v>
      </c>
      <c r="AB6164">
        <v>59</v>
      </c>
      <c r="AC6164">
        <v>-0.475700000000017</v>
      </c>
      <c r="AD6164">
        <v>-1.102707378996</v>
      </c>
      <c r="AE6164">
        <v>14.890319999999999</v>
      </c>
      <c r="AF6164">
        <v>-0.62202694919660295</v>
      </c>
      <c r="AG6164">
        <v>-1.102707378996</v>
      </c>
      <c r="AH6164">
        <v>14.8036791329975</v>
      </c>
      <c r="AI6164">
        <v>94.256281074698506</v>
      </c>
      <c r="AJ6164">
        <v>92.406061790312904</v>
      </c>
      <c r="AK6164">
        <v>14.8577184305655</v>
      </c>
    </row>
    <row r="6165" spans="1:37" x14ac:dyDescent="0.2">
      <c r="A6165" t="str">
        <f>"20200111153811715"</f>
        <v>20200111153811715</v>
      </c>
      <c r="B6165" t="str">
        <f>"1578728291709456"</f>
        <v>1578728291709456</v>
      </c>
      <c r="C6165" t="s">
        <v>37</v>
      </c>
      <c r="D6165">
        <v>5.911562</v>
      </c>
      <c r="E6165">
        <v>0.51007930000000001</v>
      </c>
      <c r="F6165" t="s">
        <v>39</v>
      </c>
      <c r="G6165">
        <v>-188.81569999999999</v>
      </c>
      <c r="H6165" s="1">
        <v>-2.620517E-6</v>
      </c>
      <c r="I6165">
        <v>65.251559999999998</v>
      </c>
      <c r="J6165">
        <v>-188.4084</v>
      </c>
      <c r="K6165">
        <v>1.102725</v>
      </c>
      <c r="L6165">
        <v>48.068420000000003</v>
      </c>
      <c r="M6165">
        <v>9.7537760000000005E-3</v>
      </c>
      <c r="N6165">
        <v>0</v>
      </c>
      <c r="O6165">
        <v>0.99993600000000005</v>
      </c>
      <c r="P6165">
        <v>-4.7980920000000003E-2</v>
      </c>
      <c r="Q6165">
        <v>2.2572140000000001E-2</v>
      </c>
      <c r="R6165">
        <v>0.99859319999999896</v>
      </c>
      <c r="S6165">
        <v>-6.7977910000000002E-2</v>
      </c>
      <c r="T6165">
        <v>-0.18666440000000001</v>
      </c>
      <c r="U6165">
        <v>3.0053099999999899</v>
      </c>
      <c r="V6165">
        <v>-5.7739180000000001E-2</v>
      </c>
      <c r="W6165">
        <v>2.8249150000000001E-2</v>
      </c>
      <c r="X6165">
        <v>0.99793199999999904</v>
      </c>
      <c r="Y6165">
        <v>-3.2320389999999997E-2</v>
      </c>
      <c r="Z6165">
        <v>-6.1963549999999999E-2</v>
      </c>
      <c r="AA6165">
        <v>0.99755499999999997</v>
      </c>
      <c r="AB6165">
        <v>59</v>
      </c>
      <c r="AC6165">
        <v>-0.407299999999992</v>
      </c>
      <c r="AD6165">
        <v>-1.102727620517</v>
      </c>
      <c r="AE6165">
        <v>17.183139999999899</v>
      </c>
      <c r="AF6165">
        <v>-0.57252728849098</v>
      </c>
      <c r="AG6165">
        <v>-1.102727620517</v>
      </c>
      <c r="AH6165">
        <v>17.107931591691901</v>
      </c>
      <c r="AI6165">
        <v>93.685959986826802</v>
      </c>
      <c r="AJ6165">
        <v>91.916722621542306</v>
      </c>
      <c r="AK6165">
        <v>17.1529915480398</v>
      </c>
    </row>
    <row r="6166" spans="1:37" x14ac:dyDescent="0.2">
      <c r="A6166" t="str">
        <f>"20200111153811736"</f>
        <v>20200111153811736</v>
      </c>
      <c r="B6166" t="str">
        <f>"1578728291728976"</f>
        <v>1578728291728976</v>
      </c>
      <c r="C6166" t="s">
        <v>37</v>
      </c>
      <c r="D6166">
        <v>5.9260109999999999</v>
      </c>
      <c r="E6166">
        <v>0.5102603</v>
      </c>
      <c r="F6166" t="s">
        <v>39</v>
      </c>
      <c r="G6166">
        <v>-188.82550000000001</v>
      </c>
      <c r="H6166" s="1">
        <v>-2.9265150000000001E-6</v>
      </c>
      <c r="I6166">
        <v>65.968900000000005</v>
      </c>
      <c r="J6166">
        <v>-188.40280000000001</v>
      </c>
      <c r="K6166">
        <v>1.102749</v>
      </c>
      <c r="L6166">
        <v>48.64011</v>
      </c>
      <c r="M6166">
        <v>9.4444679999999993E-3</v>
      </c>
      <c r="N6166">
        <v>0</v>
      </c>
      <c r="O6166">
        <v>0.99993880000000002</v>
      </c>
      <c r="P6166">
        <v>-4.8770519999999998E-2</v>
      </c>
      <c r="Q6166">
        <v>2.170708E-2</v>
      </c>
      <c r="R6166">
        <v>0.99857410000000002</v>
      </c>
      <c r="S6166">
        <v>-7.0022580000000001E-2</v>
      </c>
      <c r="T6166">
        <v>-0.18512190000000001</v>
      </c>
      <c r="U6166">
        <v>3.0050659999999998</v>
      </c>
      <c r="V6166">
        <v>-5.8221139999999998E-2</v>
      </c>
      <c r="W6166">
        <v>2.7406900000000001E-2</v>
      </c>
      <c r="X6166">
        <v>0.99792739999999902</v>
      </c>
      <c r="Y6166">
        <v>-3.269217E-2</v>
      </c>
      <c r="Z6166">
        <v>-6.1457850000000001E-2</v>
      </c>
      <c r="AA6166">
        <v>0.99757419999999997</v>
      </c>
      <c r="AB6166">
        <v>59</v>
      </c>
      <c r="AC6166">
        <v>-0.42269999999999103</v>
      </c>
      <c r="AD6166">
        <v>-1.1027519265150001</v>
      </c>
      <c r="AE6166">
        <v>17.328790000000001</v>
      </c>
      <c r="AF6166">
        <v>-0.58398154261215096</v>
      </c>
      <c r="AG6166">
        <v>-1.1027519265150001</v>
      </c>
      <c r="AH6166">
        <v>17.254192706654798</v>
      </c>
      <c r="AI6166">
        <v>93.654833479923397</v>
      </c>
      <c r="AJ6166">
        <v>91.938480149155097</v>
      </c>
      <c r="AK6166">
        <v>17.2992561172995</v>
      </c>
    </row>
    <row r="6167" spans="1:37" x14ac:dyDescent="0.2">
      <c r="A6167" t="str">
        <f>"20200111153811760"</f>
        <v>20200111153811760</v>
      </c>
      <c r="B6167" t="str">
        <f>"1578728291749473"</f>
        <v>1578728291749473</v>
      </c>
      <c r="C6167" t="s">
        <v>37</v>
      </c>
      <c r="D6167">
        <v>5.9024650000000003</v>
      </c>
      <c r="E6167">
        <v>0.50999589999999995</v>
      </c>
      <c r="F6167" t="s">
        <v>39</v>
      </c>
      <c r="G6167">
        <v>-188.83160000000001</v>
      </c>
      <c r="H6167" s="1">
        <v>-3.313551E-6</v>
      </c>
      <c r="I6167">
        <v>66.873630000000006</v>
      </c>
      <c r="J6167">
        <v>-188.39699999999999</v>
      </c>
      <c r="K6167">
        <v>1.102768</v>
      </c>
      <c r="L6167">
        <v>49.250399999999999</v>
      </c>
      <c r="M6167">
        <v>9.110857E-3</v>
      </c>
      <c r="N6167">
        <v>0</v>
      </c>
      <c r="O6167">
        <v>0.99994179999999999</v>
      </c>
      <c r="P6167">
        <v>-4.9840849999999999E-2</v>
      </c>
      <c r="Q6167">
        <v>2.1590720000000001E-2</v>
      </c>
      <c r="R6167">
        <v>0.99852379999999996</v>
      </c>
      <c r="S6167">
        <v>-7.0663450000000003E-2</v>
      </c>
      <c r="T6167">
        <v>-0.1817279</v>
      </c>
      <c r="U6167">
        <v>3.004791</v>
      </c>
      <c r="V6167">
        <v>-5.8959789999999998E-2</v>
      </c>
      <c r="W6167">
        <v>2.73149E-2</v>
      </c>
      <c r="X6167">
        <v>0.99788659999999996</v>
      </c>
      <c r="Y6167">
        <v>-3.2575099999999899E-2</v>
      </c>
      <c r="Z6167">
        <v>-6.0340989999999997E-2</v>
      </c>
      <c r="AA6167">
        <v>0.99764619999999904</v>
      </c>
      <c r="AB6167">
        <v>59</v>
      </c>
      <c r="AC6167">
        <v>-0.434599999999989</v>
      </c>
      <c r="AD6167">
        <v>-1.102771313551</v>
      </c>
      <c r="AE6167">
        <v>17.62323</v>
      </c>
      <c r="AF6167">
        <v>-0.59282749744566898</v>
      </c>
      <c r="AG6167">
        <v>-1.102771313551</v>
      </c>
      <c r="AH6167">
        <v>17.549862158716</v>
      </c>
      <c r="AI6167">
        <v>93.593492791735898</v>
      </c>
      <c r="AJ6167">
        <v>91.934693435987697</v>
      </c>
      <c r="AK6167">
        <v>17.594465345717399</v>
      </c>
    </row>
    <row r="6168" spans="1:37" x14ac:dyDescent="0.2">
      <c r="A6168" t="str">
        <f>"20200111153811781"</f>
        <v>20200111153811781</v>
      </c>
      <c r="B6168" t="str">
        <f>"1578728291768994"</f>
        <v>1578728291768994</v>
      </c>
      <c r="C6168" t="s">
        <v>37</v>
      </c>
      <c r="D6168">
        <v>5.9730679999999996</v>
      </c>
      <c r="E6168">
        <v>0.51028289999999998</v>
      </c>
      <c r="F6168" t="s">
        <v>39</v>
      </c>
      <c r="G6168">
        <v>-188.88499999999999</v>
      </c>
      <c r="H6168" s="1">
        <v>-4.0686479999999999E-6</v>
      </c>
      <c r="I6168">
        <v>68.655860000000004</v>
      </c>
      <c r="J6168">
        <v>-188.39179999999999</v>
      </c>
      <c r="K6168">
        <v>1.1027879999999901</v>
      </c>
      <c r="L6168">
        <v>49.831330000000001</v>
      </c>
      <c r="M6168">
        <v>8.791498E-3</v>
      </c>
      <c r="N6168">
        <v>0</v>
      </c>
      <c r="O6168">
        <v>0.99994439999999996</v>
      </c>
      <c r="P6168">
        <v>-5.0671609999999999E-2</v>
      </c>
      <c r="Q6168">
        <v>2.1432619999999999E-2</v>
      </c>
      <c r="R6168">
        <v>0.99848539999999997</v>
      </c>
      <c r="S6168">
        <v>-7.5546260000000004E-2</v>
      </c>
      <c r="T6168">
        <v>-0.17073179999999999</v>
      </c>
      <c r="U6168">
        <v>3.0043639999999998</v>
      </c>
      <c r="V6168">
        <v>-5.9472959999999998E-2</v>
      </c>
      <c r="W6168">
        <v>2.7179539999999999E-2</v>
      </c>
      <c r="X6168">
        <v>0.99785979999999996</v>
      </c>
      <c r="Y6168">
        <v>-3.3884999999999998E-2</v>
      </c>
      <c r="Z6168">
        <v>-5.670787E-2</v>
      </c>
      <c r="AA6168">
        <v>0.99781559999999903</v>
      </c>
      <c r="AB6168">
        <v>59</v>
      </c>
      <c r="AC6168">
        <v>-0.49320000000000103</v>
      </c>
      <c r="AD6168">
        <v>-1.1027920686479999</v>
      </c>
      <c r="AE6168">
        <v>18.824529999999999</v>
      </c>
      <c r="AF6168">
        <v>-0.65642828925736196</v>
      </c>
      <c r="AG6168">
        <v>-1.1027920686479999</v>
      </c>
      <c r="AH6168">
        <v>18.755144170362399</v>
      </c>
      <c r="AI6168">
        <v>93.363031002043996</v>
      </c>
      <c r="AJ6168">
        <v>92.004528672048195</v>
      </c>
      <c r="AK6168">
        <v>18.799002135663802</v>
      </c>
    </row>
    <row r="6169" spans="1:37" x14ac:dyDescent="0.2">
      <c r="A6169" t="str">
        <f>"20200111153811803"</f>
        <v>20200111153811803</v>
      </c>
      <c r="B6169" t="str">
        <f>"1578728291799247"</f>
        <v>1578728291799247</v>
      </c>
      <c r="C6169" t="s">
        <v>37</v>
      </c>
      <c r="D6169">
        <v>6.2216589999999998</v>
      </c>
      <c r="E6169">
        <v>0.51023469999999904</v>
      </c>
      <c r="F6169" t="s">
        <v>39</v>
      </c>
      <c r="G6169">
        <v>-188.90549999999999</v>
      </c>
      <c r="H6169" s="1">
        <v>-5.055747E-7</v>
      </c>
      <c r="I6169">
        <v>70.277979999999999</v>
      </c>
      <c r="J6169">
        <v>-188.38669999999999</v>
      </c>
      <c r="K6169">
        <v>1.102808</v>
      </c>
      <c r="L6169">
        <v>50.405729999999998</v>
      </c>
      <c r="M6169">
        <v>8.474779E-3</v>
      </c>
      <c r="N6169">
        <v>0</v>
      </c>
      <c r="O6169">
        <v>0.99994699999999903</v>
      </c>
      <c r="P6169">
        <v>-5.1156550000000002E-2</v>
      </c>
      <c r="Q6169">
        <v>2.1561360000000002E-2</v>
      </c>
      <c r="R6169">
        <v>0.99845779999999995</v>
      </c>
      <c r="S6169">
        <v>-7.548523E-2</v>
      </c>
      <c r="T6169">
        <v>-0.16203199999999901</v>
      </c>
      <c r="U6169">
        <v>3.0042110000000002</v>
      </c>
      <c r="V6169">
        <v>-5.9643509999999997E-2</v>
      </c>
      <c r="W6169">
        <v>2.7332059999999998E-2</v>
      </c>
      <c r="X6169">
        <v>0.99784549999999905</v>
      </c>
      <c r="Y6169">
        <v>-3.3553470000000002E-2</v>
      </c>
      <c r="Z6169">
        <v>-5.3830139999999999E-2</v>
      </c>
      <c r="AA6169">
        <v>0.99798619999999905</v>
      </c>
      <c r="AB6169">
        <v>59</v>
      </c>
      <c r="AC6169">
        <v>-0.51879999999999804</v>
      </c>
      <c r="AD6169">
        <v>-1.1028085055746999</v>
      </c>
      <c r="AE6169">
        <v>19.872250000000001</v>
      </c>
      <c r="AF6169">
        <v>-0.68508875355026499</v>
      </c>
      <c r="AG6169">
        <v>-1.1028085055746999</v>
      </c>
      <c r="AH6169">
        <v>19.8061843008627</v>
      </c>
      <c r="AI6169">
        <v>93.185037881964902</v>
      </c>
      <c r="AJ6169">
        <v>91.981050477182194</v>
      </c>
      <c r="AK6169">
        <v>19.848689371340001</v>
      </c>
    </row>
    <row r="6170" spans="1:37" x14ac:dyDescent="0.2">
      <c r="A6170" t="str">
        <f>"20200111153811826"</f>
        <v>20200111153811826</v>
      </c>
      <c r="B6170" t="str">
        <f>"1578728291819744"</f>
        <v>1578728291819744</v>
      </c>
      <c r="C6170" t="s">
        <v>37</v>
      </c>
      <c r="D6170">
        <v>5.9173770000000001</v>
      </c>
      <c r="E6170">
        <v>0.50995639999999998</v>
      </c>
      <c r="F6170" t="s">
        <v>39</v>
      </c>
      <c r="G6170">
        <v>-188.9341</v>
      </c>
      <c r="H6170" s="1">
        <v>-1.0967870000000001E-6</v>
      </c>
      <c r="I6170">
        <v>71.748660000000001</v>
      </c>
      <c r="J6170">
        <v>-188.38149999999999</v>
      </c>
      <c r="K6170">
        <v>1.102827</v>
      </c>
      <c r="L6170">
        <v>51.024409999999897</v>
      </c>
      <c r="M6170">
        <v>8.1327459999999997E-3</v>
      </c>
      <c r="N6170">
        <v>0</v>
      </c>
      <c r="O6170">
        <v>0.99994969999999905</v>
      </c>
      <c r="P6170">
        <v>-5.048383E-2</v>
      </c>
      <c r="Q6170">
        <v>2.2132889999999999E-2</v>
      </c>
      <c r="R6170">
        <v>0.99847960000000002</v>
      </c>
      <c r="S6170">
        <v>-7.704163E-2</v>
      </c>
      <c r="T6170">
        <v>-0.15522089999999999</v>
      </c>
      <c r="U6170">
        <v>3.0040279999999999</v>
      </c>
      <c r="V6170">
        <v>-5.8631429999999998E-2</v>
      </c>
      <c r="W6170">
        <v>2.7930750000000001E-2</v>
      </c>
      <c r="X6170">
        <v>0.99788889999999997</v>
      </c>
      <c r="Y6170">
        <v>-3.3732909999999998E-2</v>
      </c>
      <c r="Z6170">
        <v>-5.1576379999999998E-2</v>
      </c>
      <c r="AA6170">
        <v>0.99809910000000002</v>
      </c>
      <c r="AB6170">
        <v>59</v>
      </c>
      <c r="AC6170">
        <v>-0.55260000000001197</v>
      </c>
      <c r="AD6170">
        <v>-1.1028280967869999</v>
      </c>
      <c r="AE6170">
        <v>20.724250000000001</v>
      </c>
      <c r="AF6170">
        <v>-0.71909482472130903</v>
      </c>
      <c r="AG6170">
        <v>-1.1028280967869999</v>
      </c>
      <c r="AH6170">
        <v>20.660605845997399</v>
      </c>
      <c r="AI6170">
        <v>93.053606320438703</v>
      </c>
      <c r="AJ6170">
        <v>91.993381702510604</v>
      </c>
      <c r="AK6170">
        <v>20.702510985425501</v>
      </c>
    </row>
    <row r="6171" spans="1:37" x14ac:dyDescent="0.2">
      <c r="A6171" t="str">
        <f>"20200111153811849"</f>
        <v>20200111153811849</v>
      </c>
      <c r="B6171" t="str">
        <f>"1578728291839264"</f>
        <v>1578728291839264</v>
      </c>
      <c r="C6171" t="s">
        <v>37</v>
      </c>
      <c r="D6171">
        <v>6.0015619999999998</v>
      </c>
      <c r="E6171">
        <v>0.50992209999999905</v>
      </c>
      <c r="F6171" t="s">
        <v>39</v>
      </c>
      <c r="G6171">
        <v>-188.923</v>
      </c>
      <c r="H6171" s="1">
        <v>-1.2167740000000001E-6</v>
      </c>
      <c r="I6171">
        <v>72.023769999999999</v>
      </c>
      <c r="J6171">
        <v>-188.3766</v>
      </c>
      <c r="K6171">
        <v>1.102846</v>
      </c>
      <c r="L6171">
        <v>51.625</v>
      </c>
      <c r="M6171">
        <v>7.7997269999999898E-3</v>
      </c>
      <c r="N6171">
        <v>0</v>
      </c>
      <c r="O6171">
        <v>0.99995219999999996</v>
      </c>
      <c r="P6171">
        <v>-5.0054950000000001E-2</v>
      </c>
      <c r="Q6171">
        <v>2.2705659999999999E-2</v>
      </c>
      <c r="R6171">
        <v>0.9984883</v>
      </c>
      <c r="S6171">
        <v>-7.7468869999999995E-2</v>
      </c>
      <c r="T6171">
        <v>-0.15776970000000001</v>
      </c>
      <c r="U6171">
        <v>3.0041500000000001</v>
      </c>
      <c r="V6171">
        <v>-5.7871949999999998E-2</v>
      </c>
      <c r="W6171">
        <v>2.8530360000000001E-2</v>
      </c>
      <c r="X6171">
        <v>0.99791629999999998</v>
      </c>
      <c r="Y6171">
        <v>-3.3539760000000002E-2</v>
      </c>
      <c r="Z6171">
        <v>-5.2419149999999998E-2</v>
      </c>
      <c r="AA6171">
        <v>0.9980618</v>
      </c>
      <c r="AB6171">
        <v>60</v>
      </c>
      <c r="AC6171">
        <v>-0.54640000000000499</v>
      </c>
      <c r="AD6171">
        <v>-1.102847216774</v>
      </c>
      <c r="AE6171">
        <v>20.398769999999999</v>
      </c>
      <c r="AF6171">
        <v>-0.70343633996729205</v>
      </c>
      <c r="AG6171">
        <v>-1.102847216774</v>
      </c>
      <c r="AH6171">
        <v>20.334493358805499</v>
      </c>
      <c r="AI6171">
        <v>93.102559741517297</v>
      </c>
      <c r="AJ6171">
        <v>91.981257516922398</v>
      </c>
      <c r="AK6171">
        <v>20.376523619774702</v>
      </c>
    </row>
    <row r="6172" spans="1:37" x14ac:dyDescent="0.2">
      <c r="A6172" t="str">
        <f>"20200111153811872"</f>
        <v>20200111153811872</v>
      </c>
      <c r="B6172" t="str">
        <f>"1578728291859759"</f>
        <v>1578728291859759</v>
      </c>
      <c r="C6172" t="s">
        <v>37</v>
      </c>
      <c r="D6172">
        <v>6.2183900000000003</v>
      </c>
      <c r="E6172">
        <v>0.50968639999999998</v>
      </c>
      <c r="F6172" t="s">
        <v>39</v>
      </c>
      <c r="G6172">
        <v>-188.91220000000001</v>
      </c>
      <c r="H6172" s="1">
        <v>-1.4874449999999999E-6</v>
      </c>
      <c r="I6172">
        <v>72.650269999999907</v>
      </c>
      <c r="J6172">
        <v>-188.37180000000001</v>
      </c>
      <c r="K6172">
        <v>1.10286</v>
      </c>
      <c r="L6172">
        <v>52.236719999999998</v>
      </c>
      <c r="M6172">
        <v>7.459083E-3</v>
      </c>
      <c r="N6172">
        <v>0</v>
      </c>
      <c r="O6172">
        <v>0.99995460000000003</v>
      </c>
      <c r="P6172">
        <v>-4.9859670000000002E-2</v>
      </c>
      <c r="Q6172">
        <v>2.258114E-2</v>
      </c>
      <c r="R6172">
        <v>0.99850090000000002</v>
      </c>
      <c r="S6172">
        <v>-7.6538090000000003E-2</v>
      </c>
      <c r="T6172">
        <v>-0.15758440000000001</v>
      </c>
      <c r="U6172">
        <v>3.0042719999999998</v>
      </c>
      <c r="V6172">
        <v>-5.7338199999999902E-2</v>
      </c>
      <c r="W6172">
        <v>2.8433610000000002E-2</v>
      </c>
      <c r="X6172">
        <v>0.9979498</v>
      </c>
      <c r="Y6172">
        <v>-3.2889300000000003E-2</v>
      </c>
      <c r="Z6172">
        <v>-5.2356590000000001E-2</v>
      </c>
      <c r="AA6172">
        <v>0.99808669999999999</v>
      </c>
      <c r="AB6172">
        <v>60</v>
      </c>
      <c r="AC6172">
        <v>-0.54040000000000499</v>
      </c>
      <c r="AD6172">
        <v>-1.102861487445</v>
      </c>
      <c r="AE6172">
        <v>20.413549999999901</v>
      </c>
      <c r="AF6172">
        <v>-0.69063957703432099</v>
      </c>
      <c r="AG6172">
        <v>-1.102861487445</v>
      </c>
      <c r="AH6172">
        <v>20.3495962507819</v>
      </c>
      <c r="AI6172">
        <v>93.100370958693404</v>
      </c>
      <c r="AJ6172">
        <v>91.943800255813599</v>
      </c>
      <c r="AK6172">
        <v>20.391158722733099</v>
      </c>
    </row>
    <row r="6173" spans="1:37" x14ac:dyDescent="0.2">
      <c r="A6173" t="str">
        <f>"20200111153811893"</f>
        <v>20200111153811893</v>
      </c>
      <c r="B6173" t="str">
        <f>"1578728291889040"</f>
        <v>1578728291889040</v>
      </c>
      <c r="C6173" t="s">
        <v>37</v>
      </c>
      <c r="D6173">
        <v>6.1394599999999997</v>
      </c>
      <c r="E6173">
        <v>0.50990599999999997</v>
      </c>
      <c r="F6173" t="s">
        <v>39</v>
      </c>
      <c r="G6173">
        <v>-188.8999</v>
      </c>
      <c r="H6173" s="1">
        <v>-1.5028469999999899E-6</v>
      </c>
      <c r="I6173">
        <v>72.681079999999994</v>
      </c>
      <c r="J6173">
        <v>-188.36760000000001</v>
      </c>
      <c r="K6173">
        <v>1.102868</v>
      </c>
      <c r="L6173">
        <v>52.799009999999903</v>
      </c>
      <c r="M6173">
        <v>7.1449850000000004E-3</v>
      </c>
      <c r="N6173">
        <v>0</v>
      </c>
      <c r="O6173">
        <v>0.99995669999999903</v>
      </c>
      <c r="P6173">
        <v>-5.0153940000000001E-2</v>
      </c>
      <c r="Q6173">
        <v>2.276881E-2</v>
      </c>
      <c r="R6173">
        <v>0.99848189999999903</v>
      </c>
      <c r="S6173">
        <v>-7.76062E-2</v>
      </c>
      <c r="T6173">
        <v>-0.16206570000000001</v>
      </c>
      <c r="U6173">
        <v>3.00430299999999</v>
      </c>
      <c r="V6173">
        <v>-5.7319780000000001E-2</v>
      </c>
      <c r="W6173">
        <v>2.8645239999999999E-2</v>
      </c>
      <c r="X6173">
        <v>0.99794479999999997</v>
      </c>
      <c r="Y6173">
        <v>-3.2927680000000001E-2</v>
      </c>
      <c r="Z6173">
        <v>-5.3840599999999898E-2</v>
      </c>
      <c r="AA6173">
        <v>0.99800650000000002</v>
      </c>
      <c r="AB6173">
        <v>60</v>
      </c>
      <c r="AC6173">
        <v>-0.532299999999992</v>
      </c>
      <c r="AD6173">
        <v>-1.1028695028469999</v>
      </c>
      <c r="AE6173">
        <v>19.882069999999999</v>
      </c>
      <c r="AF6173">
        <v>-0.67227892008244505</v>
      </c>
      <c r="AG6173">
        <v>-1.1028695028469999</v>
      </c>
      <c r="AH6173">
        <v>19.816826776292601</v>
      </c>
      <c r="AI6173">
        <v>93.183578900082097</v>
      </c>
      <c r="AJ6173">
        <v>91.942994131419397</v>
      </c>
      <c r="AK6173">
        <v>19.858874680310699</v>
      </c>
    </row>
    <row r="6174" spans="1:37" x14ac:dyDescent="0.2">
      <c r="A6174" t="str">
        <f>"20200111153811915"</f>
        <v>20200111153811915</v>
      </c>
      <c r="B6174" t="str">
        <f>"1578728291909536"</f>
        <v>1578728291909536</v>
      </c>
      <c r="C6174" t="s">
        <v>37</v>
      </c>
      <c r="D6174">
        <v>6.1398390000000003</v>
      </c>
      <c r="E6174">
        <v>0.51002360000000002</v>
      </c>
      <c r="F6174" t="s">
        <v>39</v>
      </c>
      <c r="G6174">
        <v>-188.90780000000001</v>
      </c>
      <c r="H6174" s="1">
        <v>-2.083261E-6</v>
      </c>
      <c r="I6174">
        <v>74.037300000000002</v>
      </c>
      <c r="J6174">
        <v>-188.36330000000001</v>
      </c>
      <c r="K6174">
        <v>1.102876</v>
      </c>
      <c r="L6174">
        <v>53.398899999999998</v>
      </c>
      <c r="M6174">
        <v>6.8087449999999997E-3</v>
      </c>
      <c r="N6174">
        <v>0</v>
      </c>
      <c r="O6174">
        <v>0.99995889999999998</v>
      </c>
      <c r="P6174">
        <v>-5.0720029999999999E-2</v>
      </c>
      <c r="Q6174">
        <v>2.2820409999999999E-2</v>
      </c>
      <c r="R6174">
        <v>0.99845209999999995</v>
      </c>
      <c r="S6174">
        <v>-7.6416020000000001E-2</v>
      </c>
      <c r="T6174">
        <v>-0.15600710000000001</v>
      </c>
      <c r="U6174">
        <v>3.0042719999999998</v>
      </c>
      <c r="V6174">
        <v>-5.7550909999999997E-2</v>
      </c>
      <c r="W6174">
        <v>2.8723410000000001E-2</v>
      </c>
      <c r="X6174">
        <v>0.99792930000000002</v>
      </c>
      <c r="Y6174">
        <v>-3.2199449999999998E-2</v>
      </c>
      <c r="Z6174">
        <v>-5.1834909999999998E-2</v>
      </c>
      <c r="AA6174">
        <v>0.99813649999999998</v>
      </c>
      <c r="AB6174">
        <v>60</v>
      </c>
      <c r="AC6174">
        <v>-0.54449999999999898</v>
      </c>
      <c r="AD6174">
        <v>-1.1028780832609999</v>
      </c>
      <c r="AE6174">
        <v>20.638400000000001</v>
      </c>
      <c r="AF6174">
        <v>-0.68306227815861398</v>
      </c>
      <c r="AG6174">
        <v>-1.1028780832609999</v>
      </c>
      <c r="AH6174">
        <v>20.575498879732301</v>
      </c>
      <c r="AI6174">
        <v>93.066518758171398</v>
      </c>
      <c r="AJ6174">
        <v>91.901398258792597</v>
      </c>
      <c r="AK6174">
        <v>20.616354388985599</v>
      </c>
    </row>
    <row r="6175" spans="1:37" x14ac:dyDescent="0.2">
      <c r="A6175" t="str">
        <f>"20200111153811937"</f>
        <v>20200111153811937</v>
      </c>
      <c r="B6175" t="str">
        <f>"1578728291929056"</f>
        <v>1578728291929056</v>
      </c>
      <c r="C6175" t="s">
        <v>37</v>
      </c>
      <c r="D6175">
        <v>6.1029949999999999</v>
      </c>
      <c r="E6175">
        <v>0.50999300000000003</v>
      </c>
      <c r="F6175" t="s">
        <v>39</v>
      </c>
      <c r="G6175">
        <v>-188.91749999999999</v>
      </c>
      <c r="H6175" s="1">
        <v>-2.4809829999999998E-6</v>
      </c>
      <c r="I6175">
        <v>74.968409999999906</v>
      </c>
      <c r="J6175">
        <v>-188.35910000000001</v>
      </c>
      <c r="K6175">
        <v>1.1028849999999999</v>
      </c>
      <c r="L6175">
        <v>54.01755</v>
      </c>
      <c r="M6175">
        <v>6.4607809999999996E-3</v>
      </c>
      <c r="N6175">
        <v>0</v>
      </c>
      <c r="O6175">
        <v>0.99996109999999905</v>
      </c>
      <c r="P6175">
        <v>-5.1436040000000002E-2</v>
      </c>
      <c r="Q6175">
        <v>2.3438799999999999E-2</v>
      </c>
      <c r="R6175">
        <v>0.99840119999999899</v>
      </c>
      <c r="S6175">
        <v>-7.7194209999999999E-2</v>
      </c>
      <c r="T6175">
        <v>-0.15361089999999999</v>
      </c>
      <c r="U6175">
        <v>3.0042419999999899</v>
      </c>
      <c r="V6175">
        <v>-5.79205E-2</v>
      </c>
      <c r="W6175">
        <v>2.9368769999999999E-2</v>
      </c>
      <c r="X6175">
        <v>0.99788909999999997</v>
      </c>
      <c r="Y6175">
        <v>-3.2111340000000002E-2</v>
      </c>
      <c r="Z6175">
        <v>-5.104148E-2</v>
      </c>
      <c r="AA6175">
        <v>0.99818019999999996</v>
      </c>
      <c r="AB6175">
        <v>60</v>
      </c>
      <c r="AC6175">
        <v>-0.55839999999997703</v>
      </c>
      <c r="AD6175">
        <v>-1.102887480983</v>
      </c>
      <c r="AE6175">
        <v>20.950859999999899</v>
      </c>
      <c r="AF6175">
        <v>-0.69183389508342397</v>
      </c>
      <c r="AG6175">
        <v>-1.102887480983</v>
      </c>
      <c r="AH6175">
        <v>20.888969752817001</v>
      </c>
      <c r="AI6175">
        <v>93.0206203361805</v>
      </c>
      <c r="AJ6175">
        <v>91.896918748364499</v>
      </c>
      <c r="AK6175">
        <v>20.929501959392098</v>
      </c>
    </row>
    <row r="6176" spans="1:37" x14ac:dyDescent="0.2">
      <c r="A6176" t="str">
        <f>"20200111153811961"</f>
        <v>20200111153811961</v>
      </c>
      <c r="B6176" t="str">
        <f>"1578728291949551"</f>
        <v>1578728291949551</v>
      </c>
      <c r="C6176" t="s">
        <v>37</v>
      </c>
      <c r="D6176">
        <v>5.9648149999999998</v>
      </c>
      <c r="E6176">
        <v>0.51005690000000004</v>
      </c>
      <c r="F6176" t="s">
        <v>39</v>
      </c>
      <c r="G6176">
        <v>-188.93599999999901</v>
      </c>
      <c r="H6176" s="1">
        <v>-2.839236E-6</v>
      </c>
      <c r="I6176">
        <v>75.811149999999998</v>
      </c>
      <c r="J6176">
        <v>-188.3552</v>
      </c>
      <c r="K6176">
        <v>1.1028899999999999</v>
      </c>
      <c r="L6176">
        <v>54.620059999999903</v>
      </c>
      <c r="M6176">
        <v>6.1209339999999998E-3</v>
      </c>
      <c r="N6176">
        <v>0</v>
      </c>
      <c r="O6176">
        <v>0.99996299999999905</v>
      </c>
      <c r="P6176">
        <v>-5.248514E-2</v>
      </c>
      <c r="Q6176">
        <v>2.313581E-2</v>
      </c>
      <c r="R6176">
        <v>0.99835370000000001</v>
      </c>
      <c r="S6176">
        <v>-7.9528810000000005E-2</v>
      </c>
      <c r="T6176">
        <v>-0.15203429999999901</v>
      </c>
      <c r="U6176">
        <v>3.0042719999999998</v>
      </c>
      <c r="V6176">
        <v>-5.8630910000000001E-2</v>
      </c>
      <c r="W6176">
        <v>2.9091369999999998E-2</v>
      </c>
      <c r="X6176">
        <v>0.99785579999999996</v>
      </c>
      <c r="Y6176">
        <v>-3.254725E-2</v>
      </c>
      <c r="Z6176">
        <v>-5.051771E-2</v>
      </c>
      <c r="AA6176">
        <v>0.99819269999999904</v>
      </c>
      <c r="AB6176">
        <v>60</v>
      </c>
      <c r="AC6176">
        <v>-0.580799999999982</v>
      </c>
      <c r="AD6176">
        <v>-1.102892839236</v>
      </c>
      <c r="AE6176">
        <v>21.191089999999999</v>
      </c>
      <c r="AF6176">
        <v>-0.70858285821684897</v>
      </c>
      <c r="AG6176">
        <v>-1.102892839236</v>
      </c>
      <c r="AH6176">
        <v>21.129946297457</v>
      </c>
      <c r="AI6176">
        <v>92.986207677007002</v>
      </c>
      <c r="AJ6176">
        <v>91.9206673900933</v>
      </c>
      <c r="AK6176">
        <v>21.170571386129701</v>
      </c>
    </row>
    <row r="6177" spans="1:37" x14ac:dyDescent="0.2">
      <c r="A6177" t="str">
        <f>"20200111153811982"</f>
        <v>20200111153811982</v>
      </c>
      <c r="B6177" t="str">
        <f>"1578728291979808"</f>
        <v>1578728291979808</v>
      </c>
      <c r="C6177" t="s">
        <v>37</v>
      </c>
      <c r="D6177">
        <v>6.1482989999999997</v>
      </c>
      <c r="E6177">
        <v>0.50991229999999999</v>
      </c>
      <c r="F6177" t="s">
        <v>39</v>
      </c>
      <c r="G6177">
        <v>-188.94980000000001</v>
      </c>
      <c r="H6177" s="1">
        <v>-3.0536709999999999E-6</v>
      </c>
      <c r="I6177">
        <v>76.316730000000007</v>
      </c>
      <c r="J6177">
        <v>-188.35149999999999</v>
      </c>
      <c r="K6177">
        <v>1.1028929999999999</v>
      </c>
      <c r="L6177">
        <v>55.229519999999901</v>
      </c>
      <c r="M6177">
        <v>5.7766830000000003E-3</v>
      </c>
      <c r="N6177">
        <v>0</v>
      </c>
      <c r="O6177">
        <v>0.99996489999999905</v>
      </c>
      <c r="P6177">
        <v>-5.3736399999999997E-2</v>
      </c>
      <c r="Q6177">
        <v>2.3397890000000001E-2</v>
      </c>
      <c r="R6177">
        <v>0.99828099999999997</v>
      </c>
      <c r="S6177">
        <v>-8.2336430000000002E-2</v>
      </c>
      <c r="T6177">
        <v>-0.15270810000000001</v>
      </c>
      <c r="U6177">
        <v>3.0041500000000001</v>
      </c>
      <c r="V6177">
        <v>-5.9538229999999998E-2</v>
      </c>
      <c r="W6177">
        <v>2.937973E-2</v>
      </c>
      <c r="X6177">
        <v>0.99779359999999995</v>
      </c>
      <c r="Y6177">
        <v>-3.3136150000000003E-2</v>
      </c>
      <c r="Z6177">
        <v>-5.074211E-2</v>
      </c>
      <c r="AA6177">
        <v>0.99816190000000005</v>
      </c>
      <c r="AB6177">
        <v>60</v>
      </c>
      <c r="AC6177">
        <v>-0.59830000000002304</v>
      </c>
      <c r="AD6177">
        <v>-1.102896053671</v>
      </c>
      <c r="AE6177">
        <v>21.087209999999999</v>
      </c>
      <c r="AF6177">
        <v>-0.71814351239271801</v>
      </c>
      <c r="AG6177">
        <v>-1.102896053671</v>
      </c>
      <c r="AH6177">
        <v>21.025932483285398</v>
      </c>
      <c r="AI6177">
        <v>93.000899186829301</v>
      </c>
      <c r="AJ6177">
        <v>91.956184506839406</v>
      </c>
      <c r="AK6177">
        <v>21.067082061863001</v>
      </c>
    </row>
    <row r="6178" spans="1:37" x14ac:dyDescent="0.2">
      <c r="A6178" t="str">
        <f>"20200111153812006"</f>
        <v>20200111153812006</v>
      </c>
      <c r="B6178" t="str">
        <f>"1578728291999328"</f>
        <v>1578728291999328</v>
      </c>
      <c r="C6178" t="s">
        <v>37</v>
      </c>
      <c r="D6178">
        <v>6.2121399999999998</v>
      </c>
      <c r="E6178">
        <v>0.50989209999999996</v>
      </c>
      <c r="F6178" t="s">
        <v>39</v>
      </c>
      <c r="G6178">
        <v>-188.9836</v>
      </c>
      <c r="H6178" s="1">
        <v>-3.3601240000000001E-6</v>
      </c>
      <c r="I6178">
        <v>77.04504</v>
      </c>
      <c r="J6178">
        <v>-188.34799999999899</v>
      </c>
      <c r="K6178">
        <v>1.102895</v>
      </c>
      <c r="L6178">
        <v>55.832209999999897</v>
      </c>
      <c r="M6178">
        <v>5.435535E-3</v>
      </c>
      <c r="N6178">
        <v>0</v>
      </c>
      <c r="O6178">
        <v>0.99996659999999904</v>
      </c>
      <c r="P6178">
        <v>-5.4564340000000003E-2</v>
      </c>
      <c r="Q6178">
        <v>2.3783220000000001E-2</v>
      </c>
      <c r="R6178">
        <v>0.99822699999999998</v>
      </c>
      <c r="S6178">
        <v>-8.7051390000000006E-2</v>
      </c>
      <c r="T6178">
        <v>-0.1518719</v>
      </c>
      <c r="U6178">
        <v>3.0040589999999998</v>
      </c>
      <c r="V6178">
        <v>-6.0026610000000001E-2</v>
      </c>
      <c r="W6178">
        <v>2.9791539999999998E-2</v>
      </c>
      <c r="X6178">
        <v>0.99775210000000003</v>
      </c>
      <c r="Y6178">
        <v>-3.4361780000000001E-2</v>
      </c>
      <c r="Z6178">
        <v>-5.0464499999999898E-2</v>
      </c>
      <c r="AA6178">
        <v>0.99813459999999998</v>
      </c>
      <c r="AB6178">
        <v>61</v>
      </c>
      <c r="AC6178">
        <v>-0.63560000000001005</v>
      </c>
      <c r="AD6178">
        <v>-1.1028983601240001</v>
      </c>
      <c r="AE6178">
        <v>21.21283</v>
      </c>
      <c r="AF6178">
        <v>-0.74887331990490003</v>
      </c>
      <c r="AG6178">
        <v>-1.1028983601240001</v>
      </c>
      <c r="AH6178">
        <v>21.151935684702401</v>
      </c>
      <c r="AI6178">
        <v>92.982932055329698</v>
      </c>
      <c r="AJ6178">
        <v>92.027680443209604</v>
      </c>
      <c r="AK6178">
        <v>21.193904294674301</v>
      </c>
    </row>
    <row r="6179" spans="1:37" x14ac:dyDescent="0.2">
      <c r="A6179" t="str">
        <f>"20200111153812028"</f>
        <v>20200111153812028</v>
      </c>
      <c r="B6179" t="str">
        <f>"1578728292019824"</f>
        <v>1578728292019824</v>
      </c>
      <c r="C6179" t="s">
        <v>37</v>
      </c>
      <c r="D6179">
        <v>6.1453419999999896</v>
      </c>
      <c r="E6179">
        <v>0.51001850000000004</v>
      </c>
      <c r="F6179" t="s">
        <v>39</v>
      </c>
      <c r="G6179">
        <v>-189.00489999999999</v>
      </c>
      <c r="H6179" s="1">
        <v>-3.6963270000000002E-6</v>
      </c>
      <c r="I6179">
        <v>77.837549999999993</v>
      </c>
      <c r="J6179">
        <v>-188.34460000000001</v>
      </c>
      <c r="K6179">
        <v>1.1029</v>
      </c>
      <c r="L6179">
        <v>56.453769999999999</v>
      </c>
      <c r="M6179">
        <v>5.0832569999999999E-3</v>
      </c>
      <c r="N6179">
        <v>0</v>
      </c>
      <c r="O6179">
        <v>0.99996830000000003</v>
      </c>
      <c r="P6179">
        <v>-5.5460450000000001E-2</v>
      </c>
      <c r="Q6179">
        <v>2.3824970000000001E-2</v>
      </c>
      <c r="R6179">
        <v>0.99817659999999997</v>
      </c>
      <c r="S6179">
        <v>-8.9675899999999906E-2</v>
      </c>
      <c r="T6179">
        <v>-0.1505592</v>
      </c>
      <c r="U6179">
        <v>3.0039980000000002</v>
      </c>
      <c r="V6179">
        <v>-6.0571699999999999E-2</v>
      </c>
      <c r="W6179">
        <v>2.986018E-2</v>
      </c>
      <c r="X6179">
        <v>0.99771710000000002</v>
      </c>
      <c r="Y6179">
        <v>-3.488223E-2</v>
      </c>
      <c r="Z6179">
        <v>-5.0029469999999999E-2</v>
      </c>
      <c r="AA6179">
        <v>0.99813839999999998</v>
      </c>
      <c r="AB6179">
        <v>61</v>
      </c>
      <c r="AC6179">
        <v>-0.66029999999997802</v>
      </c>
      <c r="AD6179">
        <v>-1.102903696327</v>
      </c>
      <c r="AE6179">
        <v>21.383779999999899</v>
      </c>
      <c r="AF6179">
        <v>-0.76695448848016001</v>
      </c>
      <c r="AG6179">
        <v>-1.102903696327</v>
      </c>
      <c r="AH6179">
        <v>21.323477548467501</v>
      </c>
      <c r="AI6179">
        <v>92.9589329655347</v>
      </c>
      <c r="AJ6179">
        <v>92.059904184177697</v>
      </c>
      <c r="AK6179">
        <v>21.3657508763621</v>
      </c>
    </row>
    <row r="6180" spans="1:37" x14ac:dyDescent="0.2">
      <c r="A6180" t="str">
        <f>"20200111153812051"</f>
        <v>20200111153812051</v>
      </c>
      <c r="B6180" t="str">
        <f>"1578728292039343"</f>
        <v>1578728292039343</v>
      </c>
      <c r="C6180" t="s">
        <v>37</v>
      </c>
      <c r="D6180">
        <v>6.1415629999999997</v>
      </c>
      <c r="E6180">
        <v>0.51008520000000002</v>
      </c>
      <c r="F6180" t="s">
        <v>39</v>
      </c>
      <c r="G6180">
        <v>-189.0145</v>
      </c>
      <c r="H6180" s="1">
        <v>-3.956227E-6</v>
      </c>
      <c r="I6180">
        <v>78.447319999999905</v>
      </c>
      <c r="J6180">
        <v>-188.3415</v>
      </c>
      <c r="K6180">
        <v>1.1029040000000001</v>
      </c>
      <c r="L6180">
        <v>57.058230000000002</v>
      </c>
      <c r="M6180">
        <v>4.7405750000000003E-3</v>
      </c>
      <c r="N6180">
        <v>0</v>
      </c>
      <c r="O6180">
        <v>0.99996980000000002</v>
      </c>
      <c r="P6180">
        <v>-5.5828179999999998E-2</v>
      </c>
      <c r="Q6180">
        <v>2.3371920000000001E-2</v>
      </c>
      <c r="R6180">
        <v>0.99816680000000002</v>
      </c>
      <c r="S6180">
        <v>-9.1491699999999995E-2</v>
      </c>
      <c r="T6180">
        <v>-0.15064050000000001</v>
      </c>
      <c r="U6180">
        <v>3.0039980000000002</v>
      </c>
      <c r="V6180">
        <v>-6.0597209999999999E-2</v>
      </c>
      <c r="W6180">
        <v>2.9435019999999999E-2</v>
      </c>
      <c r="X6180">
        <v>0.99772819999999995</v>
      </c>
      <c r="Y6180">
        <v>-3.51425E-2</v>
      </c>
      <c r="Z6180">
        <v>-5.0055849999999999E-2</v>
      </c>
      <c r="AA6180">
        <v>0.99812789999999996</v>
      </c>
      <c r="AB6180">
        <v>61</v>
      </c>
      <c r="AC6180">
        <v>-0.67300000000000104</v>
      </c>
      <c r="AD6180">
        <v>-1.1029079562270001</v>
      </c>
      <c r="AE6180">
        <v>21.3890899999999</v>
      </c>
      <c r="AF6180">
        <v>-0.77233944156004197</v>
      </c>
      <c r="AG6180">
        <v>-1.1029079562270001</v>
      </c>
      <c r="AH6180">
        <v>21.3290046370646</v>
      </c>
      <c r="AI6180">
        <v>92.958153091971894</v>
      </c>
      <c r="AJ6180">
        <v>92.073817557086201</v>
      </c>
      <c r="AK6180">
        <v>21.371461180294201</v>
      </c>
    </row>
    <row r="6181" spans="1:37" x14ac:dyDescent="0.2">
      <c r="A6181" t="str">
        <f>"20200111153812072"</f>
        <v>20200111153812072</v>
      </c>
      <c r="B6181" t="str">
        <f>"1578728292059839"</f>
        <v>1578728292059839</v>
      </c>
      <c r="C6181" t="s">
        <v>37</v>
      </c>
      <c r="D6181">
        <v>5.9602930000000001</v>
      </c>
      <c r="E6181">
        <v>0.51012709999999895</v>
      </c>
      <c r="F6181" t="s">
        <v>39</v>
      </c>
      <c r="G6181">
        <v>-189.0119</v>
      </c>
      <c r="H6181" s="1">
        <v>-4.1633949999999901E-6</v>
      </c>
      <c r="I6181">
        <v>78.929169999999999</v>
      </c>
      <c r="J6181">
        <v>-188.33860000000001</v>
      </c>
      <c r="K6181">
        <v>1.102911</v>
      </c>
      <c r="L6181">
        <v>57.664519999999897</v>
      </c>
      <c r="M6181">
        <v>4.3966889999999996E-3</v>
      </c>
      <c r="N6181">
        <v>0</v>
      </c>
      <c r="O6181">
        <v>0.99997119999999995</v>
      </c>
      <c r="P6181">
        <v>-5.6103060000000003E-2</v>
      </c>
      <c r="Q6181">
        <v>2.2766660000000001E-2</v>
      </c>
      <c r="R6181">
        <v>0.99816539999999998</v>
      </c>
      <c r="S6181">
        <v>-9.2071529999999999E-2</v>
      </c>
      <c r="T6181">
        <v>-0.15148110000000001</v>
      </c>
      <c r="U6181">
        <v>3.0039060000000002</v>
      </c>
      <c r="V6181">
        <v>-6.0528289999999998E-2</v>
      </c>
      <c r="W6181">
        <v>2.8857339999999999E-2</v>
      </c>
      <c r="X6181">
        <v>0.99774929999999995</v>
      </c>
      <c r="Y6181">
        <v>-3.4991790000000002E-2</v>
      </c>
      <c r="Z6181">
        <v>-5.0336100000000002E-2</v>
      </c>
      <c r="AA6181">
        <v>0.99811919999999899</v>
      </c>
      <c r="AB6181">
        <v>61</v>
      </c>
      <c r="AC6181">
        <v>-0.67329999999998302</v>
      </c>
      <c r="AD6181">
        <v>-1.1029151633949901</v>
      </c>
      <c r="AE6181">
        <v>21.26465</v>
      </c>
      <c r="AF6181">
        <v>-0.76473418588949305</v>
      </c>
      <c r="AG6181">
        <v>-1.1029151633949901</v>
      </c>
      <c r="AH6181">
        <v>21.204499108468699</v>
      </c>
      <c r="AI6181">
        <v>92.975526292645895</v>
      </c>
      <c r="AJ6181">
        <v>92.065460695166806</v>
      </c>
      <c r="AK6181">
        <v>21.246929723462699</v>
      </c>
    </row>
    <row r="6182" spans="1:37" x14ac:dyDescent="0.2">
      <c r="A6182" t="str">
        <f>"20200111153812094"</f>
        <v>20200111153812094</v>
      </c>
      <c r="B6182" t="str">
        <f>"1578728292089119"</f>
        <v>1578728292089119</v>
      </c>
      <c r="C6182" t="s">
        <v>37</v>
      </c>
      <c r="D6182">
        <v>5.9540439999999997</v>
      </c>
      <c r="E6182">
        <v>0.50985209999999903</v>
      </c>
      <c r="F6182" t="s">
        <v>39</v>
      </c>
      <c r="G6182">
        <v>-189.0043</v>
      </c>
      <c r="H6182" s="1">
        <v>-4.3160569999999999E-6</v>
      </c>
      <c r="I6182">
        <v>79.281899999999993</v>
      </c>
      <c r="J6182">
        <v>-188.33590000000001</v>
      </c>
      <c r="K6182">
        <v>1.102922</v>
      </c>
      <c r="L6182">
        <v>58.272979999999997</v>
      </c>
      <c r="M6182">
        <v>4.0517030000000002E-3</v>
      </c>
      <c r="N6182">
        <v>0</v>
      </c>
      <c r="O6182">
        <v>0.99997250000000004</v>
      </c>
      <c r="P6182">
        <v>-5.638373E-2</v>
      </c>
      <c r="Q6182">
        <v>2.2047049999999999E-2</v>
      </c>
      <c r="R6182">
        <v>0.99816569999999905</v>
      </c>
      <c r="S6182">
        <v>-9.2498780000000003E-2</v>
      </c>
      <c r="T6182">
        <v>-0.15325420000000001</v>
      </c>
      <c r="U6182">
        <v>3.0038149999999999</v>
      </c>
      <c r="V6182">
        <v>-6.0464299999999999E-2</v>
      </c>
      <c r="W6182">
        <v>2.816573E-2</v>
      </c>
      <c r="X6182">
        <v>0.99777289999999996</v>
      </c>
      <c r="Y6182">
        <v>-3.4788850000000003E-2</v>
      </c>
      <c r="Z6182">
        <v>-5.0925480000000002E-2</v>
      </c>
      <c r="AA6182">
        <v>0.99809629999999905</v>
      </c>
      <c r="AB6182">
        <v>61</v>
      </c>
      <c r="AC6182">
        <v>-0.668399999999991</v>
      </c>
      <c r="AD6182">
        <v>-1.102926316057</v>
      </c>
      <c r="AE6182">
        <v>21.0089199999999</v>
      </c>
      <c r="AF6182">
        <v>-0.75144912998038704</v>
      </c>
      <c r="AG6182">
        <v>-1.102926316057</v>
      </c>
      <c r="AH6182">
        <v>20.948363186938</v>
      </c>
      <c r="AI6182">
        <v>93.011892778000401</v>
      </c>
      <c r="AJ6182">
        <v>92.054404459875599</v>
      </c>
      <c r="AK6182">
        <v>20.990832343322101</v>
      </c>
    </row>
    <row r="6183" spans="1:37" x14ac:dyDescent="0.2">
      <c r="A6183" t="str">
        <f>"20200111153812117"</f>
        <v>20200111153812117</v>
      </c>
      <c r="B6183" t="str">
        <f>"1578728292109618"</f>
        <v>1578728292109618</v>
      </c>
      <c r="C6183" t="s">
        <v>37</v>
      </c>
      <c r="D6183">
        <v>6.0055069999999997</v>
      </c>
      <c r="E6183">
        <v>0.50919639999999999</v>
      </c>
      <c r="F6183" t="s">
        <v>39</v>
      </c>
      <c r="G6183">
        <v>-189.00839999999999</v>
      </c>
      <c r="H6183" s="1">
        <v>-4.3999669999999999E-6</v>
      </c>
      <c r="I6183">
        <v>79.479190000000003</v>
      </c>
      <c r="J6183">
        <v>-188.33340000000001</v>
      </c>
      <c r="K6183">
        <v>1.1029340000000001</v>
      </c>
      <c r="L6183">
        <v>58.877290000000002</v>
      </c>
      <c r="M6183">
        <v>3.7090109999999999E-3</v>
      </c>
      <c r="N6183">
        <v>0</v>
      </c>
      <c r="O6183">
        <v>0.99997369999999997</v>
      </c>
      <c r="P6183">
        <v>-5.5951260000000003E-2</v>
      </c>
      <c r="Q6183">
        <v>2.2067070000000001E-2</v>
      </c>
      <c r="R6183">
        <v>0.99818960000000001</v>
      </c>
      <c r="S6183">
        <v>-9.5245360000000001E-2</v>
      </c>
      <c r="T6183">
        <v>-0.15621450000000001</v>
      </c>
      <c r="U6183">
        <v>3.003571</v>
      </c>
      <c r="V6183">
        <v>-5.9690109999999998E-2</v>
      </c>
      <c r="W6183">
        <v>2.821483E-2</v>
      </c>
      <c r="X6183">
        <v>0.99781810000000004</v>
      </c>
      <c r="Y6183">
        <v>-3.5359050000000003E-2</v>
      </c>
      <c r="Z6183">
        <v>-5.1909610000000002E-2</v>
      </c>
      <c r="AA6183">
        <v>0.99802559999999996</v>
      </c>
      <c r="AB6183">
        <v>61</v>
      </c>
      <c r="AC6183">
        <v>-0.67499999999998195</v>
      </c>
      <c r="AD6183">
        <v>-1.1029383999669999</v>
      </c>
      <c r="AE6183">
        <v>20.601900000000001</v>
      </c>
      <c r="AF6183">
        <v>-0.74926436753857595</v>
      </c>
      <c r="AG6183">
        <v>-1.1029383999669999</v>
      </c>
      <c r="AH6183">
        <v>20.5404472650992</v>
      </c>
      <c r="AI6183">
        <v>93.071559468049998</v>
      </c>
      <c r="AJ6183">
        <v>92.089081107204393</v>
      </c>
      <c r="AK6183">
        <v>20.583679070003601</v>
      </c>
    </row>
    <row r="6184" spans="1:37" x14ac:dyDescent="0.2">
      <c r="A6184" t="str">
        <f>"20200111153812140"</f>
        <v>20200111153812140</v>
      </c>
      <c r="B6184" t="str">
        <f>"1578728292129136"</f>
        <v>1578728292129136</v>
      </c>
      <c r="C6184" t="s">
        <v>37</v>
      </c>
      <c r="D6184">
        <v>5.9960040000000001</v>
      </c>
      <c r="E6184">
        <v>0.50883140000000004</v>
      </c>
      <c r="F6184" t="s">
        <v>39</v>
      </c>
      <c r="G6184">
        <v>-189.0137</v>
      </c>
      <c r="H6184" s="1">
        <v>-4.389291E-6</v>
      </c>
      <c r="I6184">
        <v>79.456479999999999</v>
      </c>
      <c r="J6184">
        <v>-188.33109999999999</v>
      </c>
      <c r="K6184">
        <v>1.102954</v>
      </c>
      <c r="L6184">
        <v>59.517119999999998</v>
      </c>
      <c r="M6184">
        <v>3.3462190000000001E-3</v>
      </c>
      <c r="N6184">
        <v>0</v>
      </c>
      <c r="O6184">
        <v>0.99997469999999999</v>
      </c>
      <c r="P6184">
        <v>-5.599519E-2</v>
      </c>
      <c r="Q6184">
        <v>2.2304930000000001E-2</v>
      </c>
      <c r="R6184">
        <v>0.99818189999999996</v>
      </c>
      <c r="S6184">
        <v>-9.9273680000000003E-2</v>
      </c>
      <c r="T6184">
        <v>-0.16096779999999999</v>
      </c>
      <c r="U6184">
        <v>3.0034179999999999</v>
      </c>
      <c r="V6184">
        <v>-5.937278E-2</v>
      </c>
      <c r="W6184">
        <v>2.8482230000000001E-2</v>
      </c>
      <c r="X6184">
        <v>0.99782939999999998</v>
      </c>
      <c r="Y6184">
        <v>-3.6332509999999998E-2</v>
      </c>
      <c r="Z6184">
        <v>-5.3485369999999997E-2</v>
      </c>
      <c r="AA6184">
        <v>0.99790749999999995</v>
      </c>
      <c r="AB6184">
        <v>61</v>
      </c>
      <c r="AC6184">
        <v>-0.68260000000000698</v>
      </c>
      <c r="AD6184">
        <v>-1.102958389291</v>
      </c>
      <c r="AE6184">
        <v>19.939360000000001</v>
      </c>
      <c r="AF6184">
        <v>-0.74703583882260405</v>
      </c>
      <c r="AG6184">
        <v>-1.102958389291</v>
      </c>
      <c r="AH6184">
        <v>19.876217739475599</v>
      </c>
      <c r="AI6184">
        <v>93.173927043741898</v>
      </c>
      <c r="AJ6184">
        <v>92.1524147338462</v>
      </c>
      <c r="AK6184">
        <v>19.920808502167699</v>
      </c>
    </row>
    <row r="6185" spans="1:37" x14ac:dyDescent="0.2">
      <c r="A6185" t="str">
        <f>"20200111153812162"</f>
        <v>20200111153812162</v>
      </c>
      <c r="B6185" t="str">
        <f>"1578728292149631"</f>
        <v>1578728292149631</v>
      </c>
      <c r="C6185" t="s">
        <v>37</v>
      </c>
      <c r="D6185">
        <v>5.9546339999999898</v>
      </c>
      <c r="E6185">
        <v>0.50854670000000002</v>
      </c>
      <c r="F6185" t="s">
        <v>39</v>
      </c>
      <c r="G6185">
        <v>-189.02430000000001</v>
      </c>
      <c r="H6185" s="1">
        <v>-3.2546829999999999E-7</v>
      </c>
      <c r="I6185">
        <v>79.841629999999995</v>
      </c>
      <c r="J6185">
        <v>-188.32910000000001</v>
      </c>
      <c r="K6185">
        <v>1.1029819999999999</v>
      </c>
      <c r="L6185">
        <v>60.106540000000003</v>
      </c>
      <c r="M6185">
        <v>3.01211599999999E-3</v>
      </c>
      <c r="N6185">
        <v>0</v>
      </c>
      <c r="O6185">
        <v>0.99997559999999996</v>
      </c>
      <c r="P6185">
        <v>-5.5963659999999998E-2</v>
      </c>
      <c r="Q6185">
        <v>2.254919E-2</v>
      </c>
      <c r="R6185">
        <v>0.99817809999999996</v>
      </c>
      <c r="S6185">
        <v>-0.1024475</v>
      </c>
      <c r="T6185">
        <v>-0.16298370000000001</v>
      </c>
      <c r="U6185">
        <v>3.0033569999999998</v>
      </c>
      <c r="V6185">
        <v>-5.9007850000000001E-2</v>
      </c>
      <c r="W6185">
        <v>2.8753440000000002E-2</v>
      </c>
      <c r="X6185">
        <v>0.99784329999999999</v>
      </c>
      <c r="Y6185">
        <v>-3.7051420000000002E-2</v>
      </c>
      <c r="Z6185">
        <v>-5.4152779999999998E-2</v>
      </c>
      <c r="AA6185">
        <v>0.99784499999999998</v>
      </c>
      <c r="AB6185">
        <v>61</v>
      </c>
      <c r="AC6185">
        <v>-0.69519999999999904</v>
      </c>
      <c r="AD6185">
        <v>-1.1029823254683</v>
      </c>
      <c r="AE6185">
        <v>19.73509</v>
      </c>
      <c r="AF6185">
        <v>-0.75229543090490503</v>
      </c>
      <c r="AG6185">
        <v>-1.1029823254683</v>
      </c>
      <c r="AH6185">
        <v>19.671536059224699</v>
      </c>
      <c r="AI6185">
        <v>93.206872750504104</v>
      </c>
      <c r="AJ6185">
        <v>92.190086139141002</v>
      </c>
      <c r="AK6185">
        <v>19.7167910511583</v>
      </c>
    </row>
    <row r="6186" spans="1:37" x14ac:dyDescent="0.2">
      <c r="A6186" t="str">
        <f>"20200111153812182"</f>
        <v>20200111153812182</v>
      </c>
      <c r="B6186" t="str">
        <f>"1578728292179889"</f>
        <v>1578728292179889</v>
      </c>
      <c r="C6186" t="s">
        <v>37</v>
      </c>
      <c r="D6186">
        <v>5.9660679999999999</v>
      </c>
      <c r="E6186">
        <v>0.50815129999999997</v>
      </c>
      <c r="F6186" t="s">
        <v>39</v>
      </c>
      <c r="G6186">
        <v>-189.02369999999999</v>
      </c>
      <c r="H6186" s="1">
        <v>-3.96469299999999E-7</v>
      </c>
      <c r="I6186">
        <v>80.049790000000002</v>
      </c>
      <c r="J6186">
        <v>-188.32730000000001</v>
      </c>
      <c r="K6186">
        <v>1.1030389999999901</v>
      </c>
      <c r="L6186">
        <v>60.695859999999897</v>
      </c>
      <c r="M6186">
        <v>2.6781819999999999E-3</v>
      </c>
      <c r="N6186">
        <v>0</v>
      </c>
      <c r="O6186">
        <v>0.99997649999999905</v>
      </c>
      <c r="P6186">
        <v>-5.6770580000000001E-2</v>
      </c>
      <c r="Q6186">
        <v>2.2649039999999999E-2</v>
      </c>
      <c r="R6186">
        <v>0.99813030000000003</v>
      </c>
      <c r="S6186">
        <v>-0.10461429999999999</v>
      </c>
      <c r="T6186">
        <v>-0.166103799999999</v>
      </c>
      <c r="U6186">
        <v>3.0033569999999998</v>
      </c>
      <c r="V6186">
        <v>-5.9482E-2</v>
      </c>
      <c r="W6186">
        <v>2.8879269999999999E-2</v>
      </c>
      <c r="X6186">
        <v>0.99781160000000002</v>
      </c>
      <c r="Y6186">
        <v>-3.7434780000000001E-2</v>
      </c>
      <c r="Z6186">
        <v>-5.5185339999999999E-2</v>
      </c>
      <c r="AA6186">
        <v>0.9977741</v>
      </c>
      <c r="AB6186">
        <v>62</v>
      </c>
      <c r="AC6186">
        <v>-0.69639999999998203</v>
      </c>
      <c r="AD6186">
        <v>-1.1030393964692999</v>
      </c>
      <c r="AE6186">
        <v>19.353929999999998</v>
      </c>
      <c r="AF6186">
        <v>-0.74581246067886697</v>
      </c>
      <c r="AG6186">
        <v>-1.1030393964692999</v>
      </c>
      <c r="AH6186">
        <v>19.289420449023002</v>
      </c>
      <c r="AI6186">
        <v>93.270379087150303</v>
      </c>
      <c r="AJ6186">
        <v>92.214199838631004</v>
      </c>
      <c r="AK6186">
        <v>19.335321910841099</v>
      </c>
    </row>
    <row r="6187" spans="1:37" x14ac:dyDescent="0.2">
      <c r="A6187" t="str">
        <f>"20200111153812216"</f>
        <v>20200111153812216</v>
      </c>
      <c r="B6187" t="str">
        <f>"1578728292209167"</f>
        <v>1578728292209167</v>
      </c>
      <c r="C6187" t="s">
        <v>37</v>
      </c>
      <c r="D6187">
        <v>5.9914069999999997</v>
      </c>
      <c r="E6187">
        <v>0.50795970000000001</v>
      </c>
      <c r="F6187" t="s">
        <v>39</v>
      </c>
      <c r="G6187">
        <v>-189.04040000000001</v>
      </c>
      <c r="H6187" s="1">
        <v>-4.3577739999999999E-7</v>
      </c>
      <c r="I6187">
        <v>80.178309999999996</v>
      </c>
      <c r="J6187">
        <v>-188.32480000000001</v>
      </c>
      <c r="K6187">
        <v>1.103116</v>
      </c>
      <c r="L6187">
        <v>61.632809999999999</v>
      </c>
      <c r="M6187">
        <v>2.1475190000000001E-3</v>
      </c>
      <c r="N6187">
        <v>0</v>
      </c>
      <c r="O6187">
        <v>0.99997739999999902</v>
      </c>
      <c r="P6187">
        <v>-5.8087529999999998E-2</v>
      </c>
      <c r="Q6187">
        <v>2.436404E-2</v>
      </c>
      <c r="R6187">
        <v>0.99801419999999996</v>
      </c>
      <c r="S6187">
        <v>-0.109924299999999</v>
      </c>
      <c r="T6187">
        <v>-0.1700344</v>
      </c>
      <c r="U6187">
        <v>3.0032349999999899</v>
      </c>
      <c r="V6187">
        <v>-6.027151E-2</v>
      </c>
      <c r="W6187">
        <v>3.0635160000000002E-2</v>
      </c>
      <c r="X6187">
        <v>0.99771180000000004</v>
      </c>
      <c r="Y6187">
        <v>-3.8665119999999997E-2</v>
      </c>
      <c r="Z6187">
        <v>-5.6486380000000003E-2</v>
      </c>
      <c r="AA6187">
        <v>0.99765439999999905</v>
      </c>
      <c r="AB6187">
        <v>62</v>
      </c>
      <c r="AC6187">
        <v>-0.71559999999999402</v>
      </c>
      <c r="AD6187">
        <v>-1.1031164357773999</v>
      </c>
      <c r="AE6187">
        <v>18.545500000000001</v>
      </c>
      <c r="AF6187">
        <v>-0.75276659524240197</v>
      </c>
      <c r="AG6187">
        <v>-1.1031164357773999</v>
      </c>
      <c r="AH6187">
        <v>18.4786390376313</v>
      </c>
      <c r="AI6187">
        <v>93.413498312120296</v>
      </c>
      <c r="AJ6187">
        <v>92.332775376193894</v>
      </c>
      <c r="AK6187">
        <v>18.526835242449401</v>
      </c>
    </row>
    <row r="6188" spans="1:37" x14ac:dyDescent="0.2">
      <c r="A6188" t="str">
        <f>"20200111153812240"</f>
        <v>20200111153812240</v>
      </c>
      <c r="B6188" t="str">
        <f>"1578728292229663"</f>
        <v>1578728292229663</v>
      </c>
      <c r="C6188" t="s">
        <v>37</v>
      </c>
      <c r="D6188">
        <v>6.2339409999999997</v>
      </c>
      <c r="E6188">
        <v>0.50785449999999999</v>
      </c>
      <c r="F6188" t="s">
        <v>39</v>
      </c>
      <c r="G6188">
        <v>-189.0926</v>
      </c>
      <c r="H6188" s="1">
        <v>-1.021503E-6</v>
      </c>
      <c r="I6188">
        <v>81.638729999999995</v>
      </c>
      <c r="J6188">
        <v>-188.32339999999999</v>
      </c>
      <c r="K6188">
        <v>1.1031739999999901</v>
      </c>
      <c r="L6188">
        <v>62.261899999999997</v>
      </c>
      <c r="M6188">
        <v>1.791792E-3</v>
      </c>
      <c r="N6188">
        <v>0</v>
      </c>
      <c r="O6188">
        <v>0.99997789999999998</v>
      </c>
      <c r="P6188">
        <v>-5.8696579999999998E-2</v>
      </c>
      <c r="Q6188">
        <v>2.7074210000000001E-2</v>
      </c>
      <c r="R6188">
        <v>0.99790869999999998</v>
      </c>
      <c r="S6188">
        <v>-0.115264899999999</v>
      </c>
      <c r="T6188">
        <v>-0.16560030000000001</v>
      </c>
      <c r="U6188">
        <v>3.00329599999999</v>
      </c>
      <c r="V6188">
        <v>-6.0529270000000003E-2</v>
      </c>
      <c r="W6188">
        <v>3.3378899999999899E-2</v>
      </c>
      <c r="X6188">
        <v>0.99760819999999995</v>
      </c>
      <c r="Y6188">
        <v>-4.0083599999999997E-2</v>
      </c>
      <c r="Z6188">
        <v>-5.5013439999999997E-2</v>
      </c>
      <c r="AA6188">
        <v>0.99768069999999898</v>
      </c>
      <c r="AB6188">
        <v>62</v>
      </c>
      <c r="AC6188">
        <v>-0.76920000000001199</v>
      </c>
      <c r="AD6188">
        <v>-1.1031750215029901</v>
      </c>
      <c r="AE6188">
        <v>19.376830000000002</v>
      </c>
      <c r="AF6188">
        <v>-0.80132545131368604</v>
      </c>
      <c r="AG6188">
        <v>-1.1031750215029901</v>
      </c>
      <c r="AH6188">
        <v>19.312919546479399</v>
      </c>
      <c r="AI6188">
        <v>93.266440449864106</v>
      </c>
      <c r="AJ6188">
        <v>92.375935258139094</v>
      </c>
      <c r="AK6188">
        <v>19.360991168217002</v>
      </c>
    </row>
    <row r="6189" spans="1:37" x14ac:dyDescent="0.2">
      <c r="A6189" t="str">
        <f>"20200111153812261"</f>
        <v>20200111153812261</v>
      </c>
      <c r="B6189" t="str">
        <f>"1578728292249186"</f>
        <v>1578728292249186</v>
      </c>
      <c r="C6189" t="s">
        <v>37</v>
      </c>
      <c r="D6189">
        <v>6.1623760000000001</v>
      </c>
      <c r="E6189">
        <v>0.50786600000000004</v>
      </c>
      <c r="F6189" t="s">
        <v>39</v>
      </c>
      <c r="G6189">
        <v>-189.14279999999999</v>
      </c>
      <c r="H6189" s="1">
        <v>-1.644803E-6</v>
      </c>
      <c r="I6189">
        <v>83.112409999999997</v>
      </c>
      <c r="J6189">
        <v>-188.32230000000001</v>
      </c>
      <c r="K6189">
        <v>1.1032329999999999</v>
      </c>
      <c r="L6189">
        <v>62.863889999999998</v>
      </c>
      <c r="M6189">
        <v>1.451822E-3</v>
      </c>
      <c r="N6189">
        <v>0</v>
      </c>
      <c r="O6189">
        <v>0.99997809999999898</v>
      </c>
      <c r="P6189">
        <v>-5.9434519999999998E-2</v>
      </c>
      <c r="Q6189">
        <v>3.094206E-2</v>
      </c>
      <c r="R6189">
        <v>0.99775249999999904</v>
      </c>
      <c r="S6189">
        <v>-0.11804199999999999</v>
      </c>
      <c r="T6189">
        <v>-0.15892020000000001</v>
      </c>
      <c r="U6189">
        <v>3.0036619999999998</v>
      </c>
      <c r="V6189">
        <v>-6.0933719999999997E-2</v>
      </c>
      <c r="W6189">
        <v>3.7301769999999998E-2</v>
      </c>
      <c r="X6189">
        <v>0.99744460000000001</v>
      </c>
      <c r="Y6189">
        <v>-4.0664989999999998E-2</v>
      </c>
      <c r="Z6189">
        <v>-5.2792659999999998E-2</v>
      </c>
      <c r="AA6189">
        <v>0.99777719999999903</v>
      </c>
      <c r="AB6189">
        <v>62</v>
      </c>
      <c r="AC6189">
        <v>-0.82049999999998102</v>
      </c>
      <c r="AD6189">
        <v>-1.1032346448029999</v>
      </c>
      <c r="AE6189">
        <v>20.2485199999999</v>
      </c>
      <c r="AF6189">
        <v>-0.84738558405667797</v>
      </c>
      <c r="AG6189">
        <v>-1.1032346448029999</v>
      </c>
      <c r="AH6189">
        <v>20.187477450146702</v>
      </c>
      <c r="AI6189">
        <v>93.125324865379895</v>
      </c>
      <c r="AJ6189">
        <v>92.403625333972201</v>
      </c>
      <c r="AK6189">
        <v>20.235351116542098</v>
      </c>
    </row>
    <row r="6190" spans="1:37" x14ac:dyDescent="0.2">
      <c r="A6190" t="str">
        <f>"20200111153812284"</f>
        <v>20200111153812284</v>
      </c>
      <c r="B6190" t="str">
        <f>"1578728292279440"</f>
        <v>1578728292279440</v>
      </c>
      <c r="C6190" t="s">
        <v>37</v>
      </c>
      <c r="D6190">
        <v>6.1076589999999999</v>
      </c>
      <c r="E6190">
        <v>0.507683</v>
      </c>
      <c r="F6190" t="s">
        <v>39</v>
      </c>
      <c r="G6190">
        <v>-189.2268</v>
      </c>
      <c r="H6190" s="1">
        <v>-2.659236E-6</v>
      </c>
      <c r="I6190">
        <v>85.511830000000003</v>
      </c>
      <c r="J6190">
        <v>-188.32140000000001</v>
      </c>
      <c r="K6190">
        <v>1.1032740000000001</v>
      </c>
      <c r="L6190">
        <v>63.487729999999999</v>
      </c>
      <c r="M6190">
        <v>1.100085E-3</v>
      </c>
      <c r="N6190">
        <v>0</v>
      </c>
      <c r="O6190">
        <v>0.99997789999999998</v>
      </c>
      <c r="P6190">
        <v>-6.0537010000000002E-2</v>
      </c>
      <c r="Q6190">
        <v>3.3386150000000003E-2</v>
      </c>
      <c r="R6190">
        <v>0.99760749999999998</v>
      </c>
      <c r="S6190">
        <v>-0.1199799</v>
      </c>
      <c r="T6190">
        <v>-0.14633940000000001</v>
      </c>
      <c r="U6190">
        <v>3.0041500000000001</v>
      </c>
      <c r="V6190">
        <v>-6.1688659999999999E-2</v>
      </c>
      <c r="W6190">
        <v>3.9831419999999999E-2</v>
      </c>
      <c r="X6190">
        <v>0.99730030000000003</v>
      </c>
      <c r="Y6190">
        <v>-4.095824E-2</v>
      </c>
      <c r="Z6190">
        <v>-4.8614919999999999E-2</v>
      </c>
      <c r="AA6190">
        <v>0.99797739999999902</v>
      </c>
      <c r="AB6190">
        <v>62</v>
      </c>
      <c r="AC6190">
        <v>-0.90539999999998599</v>
      </c>
      <c r="AD6190">
        <v>-1.1032766592359999</v>
      </c>
      <c r="AE6190">
        <v>22.024100000000001</v>
      </c>
      <c r="AF6190">
        <v>-0.927305286976565</v>
      </c>
      <c r="AG6190">
        <v>-1.1032766592359999</v>
      </c>
      <c r="AH6190">
        <v>21.968056666578601</v>
      </c>
      <c r="AI6190">
        <v>92.872531280575103</v>
      </c>
      <c r="AJ6190">
        <v>92.417107596125007</v>
      </c>
      <c r="AK6190">
        <v>22.0152816967687</v>
      </c>
    </row>
    <row r="6191" spans="1:37" x14ac:dyDescent="0.2">
      <c r="A6191" t="str">
        <f>"20200111153812306"</f>
        <v>20200111153812306</v>
      </c>
      <c r="B6191" t="str">
        <f>"1578728292299936"</f>
        <v>1578728292299936</v>
      </c>
      <c r="C6191" t="s">
        <v>37</v>
      </c>
      <c r="D6191">
        <v>5.9268190000000001</v>
      </c>
      <c r="E6191">
        <v>0.50760740000000004</v>
      </c>
      <c r="F6191" t="s">
        <v>39</v>
      </c>
      <c r="G6191">
        <v>-189.3065</v>
      </c>
      <c r="H6191" s="1">
        <v>-3.3621240000000002E-6</v>
      </c>
      <c r="I6191">
        <v>87.183189999999996</v>
      </c>
      <c r="J6191">
        <v>-188.32069999999999</v>
      </c>
      <c r="K6191">
        <v>1.103316</v>
      </c>
      <c r="L6191">
        <v>64.111940000000004</v>
      </c>
      <c r="M6191">
        <v>7.4957780000000002E-4</v>
      </c>
      <c r="N6191">
        <v>0</v>
      </c>
      <c r="O6191">
        <v>0.99997719999999901</v>
      </c>
      <c r="P6191">
        <v>-6.1729810000000003E-2</v>
      </c>
      <c r="Q6191">
        <v>3.2219919999999999E-2</v>
      </c>
      <c r="R6191">
        <v>0.99757269999999898</v>
      </c>
      <c r="S6191">
        <v>-0.1248932</v>
      </c>
      <c r="T6191">
        <v>-0.13988249999999999</v>
      </c>
      <c r="U6191">
        <v>3.00430299999999</v>
      </c>
      <c r="V6191">
        <v>-6.2530959999999997E-2</v>
      </c>
      <c r="W6191">
        <v>3.8819399999999997E-2</v>
      </c>
      <c r="X6191">
        <v>0.99728779999999995</v>
      </c>
      <c r="Y6191">
        <v>-4.223963E-2</v>
      </c>
      <c r="Z6191">
        <v>-4.6469530000000002E-2</v>
      </c>
      <c r="AA6191">
        <v>0.99802630000000003</v>
      </c>
      <c r="AB6191">
        <v>62</v>
      </c>
      <c r="AC6191">
        <v>-0.985800000000011</v>
      </c>
      <c r="AD6191">
        <v>-1.1033193621240001</v>
      </c>
      <c r="AE6191">
        <v>23.0712499999999</v>
      </c>
      <c r="AF6191">
        <v>-1.0008091611785399</v>
      </c>
      <c r="AG6191">
        <v>-1.1033193621240001</v>
      </c>
      <c r="AH6191">
        <v>23.017959148184499</v>
      </c>
      <c r="AI6191">
        <v>92.741670661997304</v>
      </c>
      <c r="AJ6191">
        <v>92.489623303975307</v>
      </c>
      <c r="AK6191">
        <v>23.066108816604199</v>
      </c>
    </row>
    <row r="6192" spans="1:37" x14ac:dyDescent="0.2">
      <c r="A6192" t="str">
        <f>"20200111153812328"</f>
        <v>20200111153812328</v>
      </c>
      <c r="B6192" t="str">
        <f>"1578728292319456"</f>
        <v>1578728292319456</v>
      </c>
      <c r="C6192" t="s">
        <v>37</v>
      </c>
      <c r="D6192">
        <v>6.0375120000000004</v>
      </c>
      <c r="E6192">
        <v>0.507494</v>
      </c>
      <c r="F6192" t="s">
        <v>39</v>
      </c>
      <c r="G6192">
        <v>-189.31020000000001</v>
      </c>
      <c r="H6192" s="1">
        <v>-3.3683559999999999E-6</v>
      </c>
      <c r="I6192">
        <v>87.199280000000002</v>
      </c>
      <c r="J6192">
        <v>-188.3202</v>
      </c>
      <c r="K6192">
        <v>1.103372</v>
      </c>
      <c r="L6192">
        <v>64.73648</v>
      </c>
      <c r="M6192">
        <v>4.0099019999999898E-4</v>
      </c>
      <c r="N6192">
        <v>0</v>
      </c>
      <c r="O6192">
        <v>0.99997559999999996</v>
      </c>
      <c r="P6192">
        <v>-6.1987279999999999E-2</v>
      </c>
      <c r="Q6192">
        <v>2.997414E-2</v>
      </c>
      <c r="R6192">
        <v>0.99762669999999998</v>
      </c>
      <c r="S6192">
        <v>-0.1287537</v>
      </c>
      <c r="T6192">
        <v>-0.143556399999999</v>
      </c>
      <c r="U6192">
        <v>3.0039669999999998</v>
      </c>
      <c r="V6192">
        <v>-6.2438130000000001E-2</v>
      </c>
      <c r="W6192">
        <v>3.685099E-2</v>
      </c>
      <c r="X6192">
        <v>0.99736829999999999</v>
      </c>
      <c r="Y6192">
        <v>-4.3173799999999998E-2</v>
      </c>
      <c r="Z6192">
        <v>-4.7690339999999998E-2</v>
      </c>
      <c r="AA6192">
        <v>0.9979287</v>
      </c>
      <c r="AB6192">
        <v>62</v>
      </c>
      <c r="AC6192">
        <v>-0.99000000000000898</v>
      </c>
      <c r="AD6192">
        <v>-1.1033753683559999</v>
      </c>
      <c r="AE6192">
        <v>22.462800000000001</v>
      </c>
      <c r="AF6192">
        <v>-0.99660756312409704</v>
      </c>
      <c r="AG6192">
        <v>-1.1033753683559999</v>
      </c>
      <c r="AH6192">
        <v>22.4084392541161</v>
      </c>
      <c r="AI6192">
        <v>92.816146816300105</v>
      </c>
      <c r="AJ6192">
        <v>92.546531795788496</v>
      </c>
      <c r="AK6192">
        <v>22.457711674250799</v>
      </c>
    </row>
    <row r="6193" spans="1:37" x14ac:dyDescent="0.2">
      <c r="A6193" t="str">
        <f>"20200111153812351"</f>
        <v>20200111153812351</v>
      </c>
      <c r="B6193" t="str">
        <f>"1578728292339951"</f>
        <v>1578728292339951</v>
      </c>
      <c r="C6193" t="s">
        <v>37</v>
      </c>
      <c r="D6193">
        <v>5.9504619999999999</v>
      </c>
      <c r="E6193">
        <v>0.50144390000000005</v>
      </c>
      <c r="F6193" t="s">
        <v>39</v>
      </c>
      <c r="G6193">
        <v>-189.2731</v>
      </c>
      <c r="H6193" s="1">
        <v>-3.1567419999999899E-6</v>
      </c>
      <c r="I6193">
        <v>86.690669999999997</v>
      </c>
      <c r="J6193">
        <v>-188.32</v>
      </c>
      <c r="K6193">
        <v>1.1034740000000001</v>
      </c>
      <c r="L6193">
        <v>65.372069999999994</v>
      </c>
      <c r="M6193" s="1">
        <v>4.5681809999999899E-5</v>
      </c>
      <c r="N6193">
        <v>0</v>
      </c>
      <c r="O6193">
        <v>0.99997230000000004</v>
      </c>
      <c r="P6193">
        <v>-6.176239E-2</v>
      </c>
      <c r="Q6193">
        <v>2.7365190000000001E-2</v>
      </c>
      <c r="R6193">
        <v>0.99771569999999898</v>
      </c>
      <c r="S6193">
        <v>-0.13037109999999999</v>
      </c>
      <c r="T6193">
        <v>-0.1509537</v>
      </c>
      <c r="U6193">
        <v>3.003571</v>
      </c>
      <c r="V6193">
        <v>-6.185649E-2</v>
      </c>
      <c r="W6193">
        <v>3.469564E-2</v>
      </c>
      <c r="X6193">
        <v>0.99748179999999997</v>
      </c>
      <c r="Y6193">
        <v>-4.3355629999999999E-2</v>
      </c>
      <c r="Z6193">
        <v>-5.0147570000000002E-2</v>
      </c>
      <c r="AA6193">
        <v>0.99780040000000003</v>
      </c>
      <c r="AB6193">
        <v>62</v>
      </c>
      <c r="AC6193">
        <v>-0.95310000000000605</v>
      </c>
      <c r="AD6193">
        <v>-1.1034771567420001</v>
      </c>
      <c r="AE6193">
        <v>21.3186</v>
      </c>
      <c r="AF6193">
        <v>-0.95152962080188097</v>
      </c>
      <c r="AG6193">
        <v>-1.1034771567420001</v>
      </c>
      <c r="AH6193">
        <v>21.261705157928802</v>
      </c>
      <c r="AI6193">
        <v>92.968005528728796</v>
      </c>
      <c r="AJ6193">
        <v>92.562460398985095</v>
      </c>
      <c r="AK6193">
        <v>21.311573772891801</v>
      </c>
    </row>
    <row r="6194" spans="1:37" x14ac:dyDescent="0.2">
      <c r="A6194" t="str">
        <f>"20200111153812373"</f>
        <v>20200111153812373</v>
      </c>
      <c r="B6194" t="str">
        <f>"1578728292369232"</f>
        <v>1578728292369232</v>
      </c>
      <c r="C6194" t="s">
        <v>37</v>
      </c>
      <c r="D6194">
        <v>6.1696419999999996</v>
      </c>
      <c r="E6194">
        <v>0.50374030000000003</v>
      </c>
      <c r="F6194" t="s">
        <v>39</v>
      </c>
      <c r="G6194">
        <v>-189.0326</v>
      </c>
      <c r="H6194" s="1">
        <v>-3.4549979999999999E-6</v>
      </c>
      <c r="I6194">
        <v>77.286450000000002</v>
      </c>
      <c r="J6194">
        <v>-188.31989999999999</v>
      </c>
      <c r="K6194">
        <v>1.1035889999999999</v>
      </c>
      <c r="L6194">
        <v>65.972719999999995</v>
      </c>
      <c r="M6194">
        <v>-2.8426619999999999E-4</v>
      </c>
      <c r="N6194">
        <v>0</v>
      </c>
      <c r="O6194">
        <v>0.99996759999999996</v>
      </c>
      <c r="P6194">
        <v>-6.1530210000000002E-2</v>
      </c>
      <c r="Q6194">
        <v>2.4816919999999999E-2</v>
      </c>
      <c r="R6194">
        <v>0.99779669999999898</v>
      </c>
      <c r="S6194">
        <v>-0.17964169999999999</v>
      </c>
      <c r="T6194">
        <v>-0.27816550000000001</v>
      </c>
      <c r="U6194">
        <v>3.003387</v>
      </c>
      <c r="V6194">
        <v>-6.1293069999999998E-2</v>
      </c>
      <c r="W6194">
        <v>3.2751250000000003E-2</v>
      </c>
      <c r="X6194">
        <v>0.99758230000000003</v>
      </c>
      <c r="Y6194">
        <v>-5.9169020000000003E-2</v>
      </c>
      <c r="Z6194">
        <v>-9.2060199999999995E-2</v>
      </c>
      <c r="AA6194">
        <v>0.99399389999999999</v>
      </c>
      <c r="AB6194">
        <v>62</v>
      </c>
      <c r="AC6194">
        <v>-0.71270000000001199</v>
      </c>
      <c r="AD6194">
        <v>-1.1035924549979901</v>
      </c>
      <c r="AE6194">
        <v>11.31373</v>
      </c>
      <c r="AF6194">
        <v>-0.70282287435809199</v>
      </c>
      <c r="AG6194">
        <v>-1.1035924549979901</v>
      </c>
      <c r="AH6194">
        <v>11.207712992464</v>
      </c>
      <c r="AI6194">
        <v>95.612674068736396</v>
      </c>
      <c r="AJ6194">
        <v>93.588254297074698</v>
      </c>
      <c r="AK6194">
        <v>11.2838250084311</v>
      </c>
    </row>
    <row r="6195" spans="1:37" x14ac:dyDescent="0.2">
      <c r="A6195" t="str">
        <f>"20200111153812395"</f>
        <v>20200111153812395</v>
      </c>
      <c r="B6195" t="str">
        <f>"1578728292389727"</f>
        <v>1578728292389727</v>
      </c>
      <c r="C6195" t="s">
        <v>37</v>
      </c>
      <c r="D6195">
        <v>6.2347589999999897</v>
      </c>
      <c r="E6195">
        <v>0.50382289999999996</v>
      </c>
      <c r="F6195" t="s">
        <v>39</v>
      </c>
      <c r="G6195">
        <v>-189.05590000000001</v>
      </c>
      <c r="H6195" s="1">
        <v>-3.0121269999999998E-7</v>
      </c>
      <c r="I6195">
        <v>79.79504</v>
      </c>
      <c r="J6195">
        <v>-188.3202</v>
      </c>
      <c r="K6195">
        <v>1.1037299999999901</v>
      </c>
      <c r="L6195">
        <v>66.600769999999997</v>
      </c>
      <c r="M6195">
        <v>-6.160181E-4</v>
      </c>
      <c r="N6195">
        <v>0</v>
      </c>
      <c r="O6195">
        <v>0.99996099999999999</v>
      </c>
      <c r="P6195">
        <v>-6.1575970000000001E-2</v>
      </c>
      <c r="Q6195">
        <v>2.0956809999999999E-2</v>
      </c>
      <c r="R6195">
        <v>0.99788239999999995</v>
      </c>
      <c r="S6195">
        <v>-0.15988160000000001</v>
      </c>
      <c r="T6195">
        <v>-0.2397426</v>
      </c>
      <c r="U6195">
        <v>3.0027469999999998</v>
      </c>
      <c r="V6195">
        <v>-6.1004049999999997E-2</v>
      </c>
      <c r="W6195">
        <v>2.9655219999999999E-2</v>
      </c>
      <c r="X6195">
        <v>0.9976969</v>
      </c>
      <c r="Y6195">
        <v>-5.2386429999999998E-2</v>
      </c>
      <c r="Z6195">
        <v>-7.9477259999999994E-2</v>
      </c>
      <c r="AA6195">
        <v>0.99545919999999899</v>
      </c>
      <c r="AB6195">
        <v>62</v>
      </c>
      <c r="AC6195">
        <v>-0.73570000000000801</v>
      </c>
      <c r="AD6195">
        <v>-1.10373030121269</v>
      </c>
      <c r="AE6195">
        <v>13.194269999999999</v>
      </c>
      <c r="AF6195">
        <v>-0.72253125121242701</v>
      </c>
      <c r="AG6195">
        <v>-1.10373030121269</v>
      </c>
      <c r="AH6195">
        <v>13.1033118952857</v>
      </c>
      <c r="AI6195">
        <v>94.807556326832298</v>
      </c>
      <c r="AJ6195">
        <v>93.156157047570204</v>
      </c>
      <c r="AK6195">
        <v>13.169550281309199</v>
      </c>
    </row>
    <row r="6196" spans="1:37" x14ac:dyDescent="0.2">
      <c r="A6196" t="str">
        <f>"20200111153812419"</f>
        <v>20200111153812419</v>
      </c>
      <c r="B6196" t="str">
        <f>"1578728292409248"</f>
        <v>1578728292409248</v>
      </c>
      <c r="C6196" t="s">
        <v>37</v>
      </c>
      <c r="D6196">
        <v>5.9976079999999996</v>
      </c>
      <c r="E6196">
        <v>0.50369109999999995</v>
      </c>
      <c r="F6196" t="s">
        <v>39</v>
      </c>
      <c r="G6196">
        <v>-189.0384</v>
      </c>
      <c r="H6196" s="1">
        <v>-4.2999819999999999E-7</v>
      </c>
      <c r="I6196">
        <v>80.159769999999995</v>
      </c>
      <c r="J6196">
        <v>-188.32060000000001</v>
      </c>
      <c r="K6196">
        <v>1.1038559999999999</v>
      </c>
      <c r="L6196">
        <v>67.243870000000001</v>
      </c>
      <c r="M6196">
        <v>-9.510845E-4</v>
      </c>
      <c r="N6196">
        <v>0</v>
      </c>
      <c r="O6196">
        <v>0.99995319999999899</v>
      </c>
      <c r="P6196">
        <v>-6.1802629999999997E-2</v>
      </c>
      <c r="Q6196">
        <v>1.7501539999999999E-2</v>
      </c>
      <c r="R6196">
        <v>0.99793489999999996</v>
      </c>
      <c r="S6196">
        <v>-0.15899659999999999</v>
      </c>
      <c r="T6196">
        <v>-0.2443427</v>
      </c>
      <c r="U6196">
        <v>3.0016780000000001</v>
      </c>
      <c r="V6196">
        <v>-6.0892979999999999E-2</v>
      </c>
      <c r="W6196">
        <v>2.7021759999999999E-2</v>
      </c>
      <c r="X6196">
        <v>0.99777850000000001</v>
      </c>
      <c r="Y6196">
        <v>-5.1771350000000001E-2</v>
      </c>
      <c r="Z6196">
        <v>-8.1022789999999997E-2</v>
      </c>
      <c r="AA6196">
        <v>0.9953668</v>
      </c>
      <c r="AB6196">
        <v>62</v>
      </c>
      <c r="AC6196">
        <v>-0.71779999999998201</v>
      </c>
      <c r="AD6196">
        <v>-1.1038564299981899</v>
      </c>
      <c r="AE6196">
        <v>12.915899999999899</v>
      </c>
      <c r="AF6196">
        <v>-0.70041473936558496</v>
      </c>
      <c r="AG6196">
        <v>-1.1038564299981899</v>
      </c>
      <c r="AH6196">
        <v>12.8232013617378</v>
      </c>
      <c r="AI6196">
        <v>94.912762146301205</v>
      </c>
      <c r="AJ6196">
        <v>93.1264400609424</v>
      </c>
      <c r="AK6196">
        <v>12.889669235044099</v>
      </c>
    </row>
    <row r="6197" spans="1:37" x14ac:dyDescent="0.2">
      <c r="A6197" t="str">
        <f>"20200111153812441"</f>
        <v>20200111153812441</v>
      </c>
      <c r="B6197" t="str">
        <f>"1578728292429754"</f>
        <v>1578728292429754</v>
      </c>
      <c r="C6197" t="s">
        <v>37</v>
      </c>
      <c r="D6197">
        <v>6.1669960000000001</v>
      </c>
      <c r="E6197">
        <v>0.5041447</v>
      </c>
      <c r="F6197" t="s">
        <v>39</v>
      </c>
      <c r="G6197">
        <v>-189.0352</v>
      </c>
      <c r="H6197" s="1">
        <v>-5.8283549999999998E-7</v>
      </c>
      <c r="I6197">
        <v>80.592439999999996</v>
      </c>
      <c r="J6197">
        <v>-188.32130000000001</v>
      </c>
      <c r="K6197">
        <v>1.1039429999999999</v>
      </c>
      <c r="L6197">
        <v>67.851839999999996</v>
      </c>
      <c r="M6197">
        <v>-1.272102E-3</v>
      </c>
      <c r="N6197">
        <v>0</v>
      </c>
      <c r="O6197">
        <v>0.99994550000000004</v>
      </c>
      <c r="P6197">
        <v>-6.1988399999999999E-2</v>
      </c>
      <c r="Q6197">
        <v>1.42363E-2</v>
      </c>
      <c r="R6197">
        <v>0.99797530000000001</v>
      </c>
      <c r="S6197">
        <v>-0.1606293</v>
      </c>
      <c r="T6197">
        <v>-0.24813460000000001</v>
      </c>
      <c r="U6197">
        <v>3.00061</v>
      </c>
      <c r="V6197">
        <v>-6.0754219999999998E-2</v>
      </c>
      <c r="W6197">
        <v>2.4493460000000002E-2</v>
      </c>
      <c r="X6197">
        <v>0.99785219999999897</v>
      </c>
      <c r="Y6197">
        <v>-5.2003929999999997E-2</v>
      </c>
      <c r="Z6197">
        <v>-8.2299029999999995E-2</v>
      </c>
      <c r="AA6197">
        <v>0.99524990000000002</v>
      </c>
      <c r="AB6197">
        <v>62</v>
      </c>
      <c r="AC6197">
        <v>-0.71389999999999498</v>
      </c>
      <c r="AD6197">
        <v>-1.1039435828355</v>
      </c>
      <c r="AE6197">
        <v>12.740600000000001</v>
      </c>
      <c r="AF6197">
        <v>-0.69250825346587797</v>
      </c>
      <c r="AG6197">
        <v>-1.1039435828355</v>
      </c>
      <c r="AH6197">
        <v>12.646844813441099</v>
      </c>
      <c r="AI6197">
        <v>94.981281282815004</v>
      </c>
      <c r="AJ6197">
        <v>93.134237488215305</v>
      </c>
      <c r="AK6197">
        <v>12.713809140083301</v>
      </c>
    </row>
    <row r="6198" spans="1:37" x14ac:dyDescent="0.2">
      <c r="A6198" t="str">
        <f>"20200111153812464"</f>
        <v>20200111153812464</v>
      </c>
      <c r="B6198" t="str">
        <f>"1578728292459999"</f>
        <v>1578728292459999</v>
      </c>
      <c r="C6198" t="s">
        <v>37</v>
      </c>
      <c r="D6198">
        <v>6.056915</v>
      </c>
      <c r="E6198">
        <v>0.50472470000000003</v>
      </c>
      <c r="F6198" t="s">
        <v>38</v>
      </c>
      <c r="G6198">
        <v>-188.3862</v>
      </c>
      <c r="H6198">
        <v>1.0027079999999999</v>
      </c>
      <c r="I6198">
        <v>69.093319999999906</v>
      </c>
      <c r="J6198">
        <v>-188.32230000000001</v>
      </c>
      <c r="K6198">
        <v>1.1040110000000001</v>
      </c>
      <c r="L6198">
        <v>68.499020000000002</v>
      </c>
      <c r="M6198">
        <v>-1.6200159999999999E-3</v>
      </c>
      <c r="N6198">
        <v>0</v>
      </c>
      <c r="O6198">
        <v>0.99993739999999998</v>
      </c>
      <c r="P6198">
        <v>-6.2516249999999995E-2</v>
      </c>
      <c r="Q6198">
        <v>1.1745770000000001E-2</v>
      </c>
      <c r="R6198">
        <v>0.99797479999999905</v>
      </c>
      <c r="S6198">
        <v>-0.1569672</v>
      </c>
      <c r="T6198">
        <v>-0.2446161</v>
      </c>
      <c r="U6198">
        <v>2.99981699999999</v>
      </c>
      <c r="V6198">
        <v>-6.0932350000000003E-2</v>
      </c>
      <c r="W6198">
        <v>2.2709150000000001E-2</v>
      </c>
      <c r="X6198">
        <v>0.99788359999999998</v>
      </c>
      <c r="Y6198">
        <v>-5.0463719999999997E-2</v>
      </c>
      <c r="Z6198">
        <v>-8.1166840000000004E-2</v>
      </c>
      <c r="AA6198">
        <v>0.99542219999999904</v>
      </c>
      <c r="AB6198">
        <v>62</v>
      </c>
      <c r="AC6198">
        <v>-6.3899999999989604E-2</v>
      </c>
      <c r="AD6198">
        <v>-0.101303</v>
      </c>
      <c r="AE6198">
        <v>0.59429999999998895</v>
      </c>
      <c r="AF6198">
        <v>-6.1179769236609401E-2</v>
      </c>
      <c r="AG6198">
        <v>-0.101303</v>
      </c>
      <c r="AH6198">
        <v>0.57780599071694805</v>
      </c>
      <c r="AI6198">
        <v>99.890047478088903</v>
      </c>
      <c r="AJ6198">
        <v>96.044122698214494</v>
      </c>
      <c r="AK6198">
        <v>0.58980083492755397</v>
      </c>
    </row>
    <row r="6199" spans="1:37" x14ac:dyDescent="0.2">
      <c r="A6199" t="str">
        <f>"20200111153812486"</f>
        <v>20200111153812486</v>
      </c>
      <c r="B6199" t="str">
        <f>"1578728292479520"</f>
        <v>1578728292479520</v>
      </c>
      <c r="C6199" t="s">
        <v>37</v>
      </c>
      <c r="D6199">
        <v>6.0039629999999997</v>
      </c>
      <c r="E6199">
        <v>0.50473369999999995</v>
      </c>
      <c r="F6199" t="s">
        <v>39</v>
      </c>
      <c r="G6199">
        <v>-189.01679999999999</v>
      </c>
      <c r="H6199" s="1">
        <v>-1.203477E-6</v>
      </c>
      <c r="I6199">
        <v>82.031580000000005</v>
      </c>
      <c r="J6199">
        <v>-188.32339999999999</v>
      </c>
      <c r="K6199">
        <v>1.10406</v>
      </c>
      <c r="L6199">
        <v>69.099819999999994</v>
      </c>
      <c r="M6199">
        <v>-1.9470799999999999E-3</v>
      </c>
      <c r="N6199">
        <v>0</v>
      </c>
      <c r="O6199">
        <v>0.99993009999999904</v>
      </c>
      <c r="P6199">
        <v>-6.3105259999999996E-2</v>
      </c>
      <c r="Q6199">
        <v>9.718717E-3</v>
      </c>
      <c r="R6199">
        <v>0.99795959999999995</v>
      </c>
      <c r="S6199">
        <v>-0.1539459</v>
      </c>
      <c r="T6199">
        <v>-0.24469099999999999</v>
      </c>
      <c r="U6199">
        <v>2.9993289999999999</v>
      </c>
      <c r="V6199">
        <v>-6.1192669999999998E-2</v>
      </c>
      <c r="W6199">
        <v>2.1269449999999999E-2</v>
      </c>
      <c r="X6199">
        <v>0.99789939999999999</v>
      </c>
      <c r="Y6199">
        <v>-4.9145269999999998E-2</v>
      </c>
      <c r="Z6199">
        <v>-8.120935E-2</v>
      </c>
      <c r="AA6199">
        <v>0.9954847</v>
      </c>
      <c r="AB6199">
        <v>62</v>
      </c>
      <c r="AC6199">
        <v>-0.69339999999999602</v>
      </c>
      <c r="AD6199">
        <v>-1.1040612034770001</v>
      </c>
      <c r="AE6199">
        <v>12.931760000000001</v>
      </c>
      <c r="AF6199">
        <v>-0.663396135839459</v>
      </c>
      <c r="AG6199">
        <v>-1.1040612034770001</v>
      </c>
      <c r="AH6199">
        <v>12.839764284056599</v>
      </c>
      <c r="AI6199">
        <v>94.9081259443536</v>
      </c>
      <c r="AJ6199">
        <v>92.957689053288405</v>
      </c>
      <c r="AK6199">
        <v>12.9042083230319</v>
      </c>
    </row>
    <row r="6200" spans="1:37" x14ac:dyDescent="0.2">
      <c r="A6200" t="str">
        <f>"20200111153812508"</f>
        <v>20200111153812508</v>
      </c>
      <c r="B6200" t="str">
        <f>"1578728292499040"</f>
        <v>1578728292499040</v>
      </c>
      <c r="C6200" t="s">
        <v>37</v>
      </c>
      <c r="D6200">
        <v>6.003876</v>
      </c>
      <c r="E6200">
        <v>0.50524650000000004</v>
      </c>
      <c r="F6200" t="s">
        <v>39</v>
      </c>
      <c r="G6200">
        <v>-189.01410000000001</v>
      </c>
      <c r="H6200" s="1">
        <v>-1.361974E-6</v>
      </c>
      <c r="I6200">
        <v>82.399889999999999</v>
      </c>
      <c r="J6200">
        <v>-188.32480000000001</v>
      </c>
      <c r="K6200">
        <v>1.104088</v>
      </c>
      <c r="L6200">
        <v>69.748540000000006</v>
      </c>
      <c r="M6200">
        <v>-2.3028710000000002E-3</v>
      </c>
      <c r="N6200">
        <v>0</v>
      </c>
      <c r="O6200">
        <v>0.99992259999999999</v>
      </c>
      <c r="P6200">
        <v>-6.3465270000000004E-2</v>
      </c>
      <c r="Q6200">
        <v>1.0305089999999999E-2</v>
      </c>
      <c r="R6200">
        <v>0.99793080000000001</v>
      </c>
      <c r="S6200">
        <v>-0.15573119999999999</v>
      </c>
      <c r="T6200">
        <v>-0.2489285</v>
      </c>
      <c r="U6200">
        <v>2.9987180000000002</v>
      </c>
      <c r="V6200">
        <v>-6.1198740000000001E-2</v>
      </c>
      <c r="W6200">
        <v>2.2421690000000001E-2</v>
      </c>
      <c r="X6200">
        <v>0.99787369999999898</v>
      </c>
      <c r="Y6200">
        <v>-4.9385310000000002E-2</v>
      </c>
      <c r="Z6200">
        <v>-8.2621020000000003E-2</v>
      </c>
      <c r="AA6200">
        <v>0.99535659999999904</v>
      </c>
      <c r="AB6200">
        <v>62</v>
      </c>
      <c r="AC6200">
        <v>-0.68930000000000202</v>
      </c>
      <c r="AD6200">
        <v>-1.104089361974</v>
      </c>
      <c r="AE6200">
        <v>12.6513499999999</v>
      </c>
      <c r="AF6200">
        <v>-0.65518634762527805</v>
      </c>
      <c r="AG6200">
        <v>-1.104089361974</v>
      </c>
      <c r="AH6200">
        <v>12.5575470168618</v>
      </c>
      <c r="AI6200">
        <v>95.017869897993506</v>
      </c>
      <c r="AJ6200">
        <v>92.986682409127397</v>
      </c>
      <c r="AK6200">
        <v>12.6230055672186</v>
      </c>
    </row>
    <row r="6201" spans="1:37" x14ac:dyDescent="0.2">
      <c r="A6201" t="str">
        <f>"20200111153812530"</f>
        <v>20200111153812530</v>
      </c>
      <c r="B6201" t="str">
        <f>"1578728292519535"</f>
        <v>1578728292519535</v>
      </c>
      <c r="C6201" t="s">
        <v>37</v>
      </c>
      <c r="D6201">
        <v>5.9654790000000002</v>
      </c>
      <c r="E6201">
        <v>0.50549960000000005</v>
      </c>
      <c r="F6201" t="s">
        <v>39</v>
      </c>
      <c r="G6201">
        <v>-189.02709999999999</v>
      </c>
      <c r="H6201" s="1">
        <v>-1.8410700000000001E-6</v>
      </c>
      <c r="I6201">
        <v>83.522049999999993</v>
      </c>
      <c r="J6201">
        <v>-188.3262</v>
      </c>
      <c r="K6201">
        <v>1.104104</v>
      </c>
      <c r="L6201">
        <v>70.336209999999994</v>
      </c>
      <c r="M6201">
        <v>-2.6262239999999999E-3</v>
      </c>
      <c r="N6201">
        <v>0</v>
      </c>
      <c r="O6201">
        <v>0.99991609999999997</v>
      </c>
      <c r="P6201">
        <v>-6.4306009999999997E-2</v>
      </c>
      <c r="Q6201">
        <v>1.099439E-2</v>
      </c>
      <c r="R6201">
        <v>0.99786969999999997</v>
      </c>
      <c r="S6201">
        <v>-0.1529083</v>
      </c>
      <c r="T6201">
        <v>-0.24039779999999999</v>
      </c>
      <c r="U6201">
        <v>2.9989619999999899</v>
      </c>
      <c r="V6201">
        <v>-6.1718130000000003E-2</v>
      </c>
      <c r="W6201">
        <v>2.356627E-2</v>
      </c>
      <c r="X6201">
        <v>0.99781540000000002</v>
      </c>
      <c r="Y6201">
        <v>-4.8135310000000001E-2</v>
      </c>
      <c r="Z6201">
        <v>-7.9805810000000005E-2</v>
      </c>
      <c r="AA6201">
        <v>0.99564750000000002</v>
      </c>
      <c r="AB6201">
        <v>62</v>
      </c>
      <c r="AC6201">
        <v>-0.70089999999998998</v>
      </c>
      <c r="AD6201">
        <v>-1.10410584107</v>
      </c>
      <c r="AE6201">
        <v>13.185839999999899</v>
      </c>
      <c r="AF6201">
        <v>-0.661639864446955</v>
      </c>
      <c r="AG6201">
        <v>-1.10410584107</v>
      </c>
      <c r="AH6201">
        <v>13.096072076818</v>
      </c>
      <c r="AI6201">
        <v>94.812996179743493</v>
      </c>
      <c r="AJ6201">
        <v>92.892238743403894</v>
      </c>
      <c r="AK6201">
        <v>13.1591762986793</v>
      </c>
    </row>
    <row r="6202" spans="1:37" x14ac:dyDescent="0.2">
      <c r="A6202" t="str">
        <f>"20200111153812551"</f>
        <v>20200111153812551</v>
      </c>
      <c r="B6202" t="str">
        <f>"1578728292549792"</f>
        <v>1578728292549792</v>
      </c>
      <c r="C6202" t="s">
        <v>37</v>
      </c>
      <c r="D6202">
        <v>6.2301950000000001</v>
      </c>
      <c r="E6202">
        <v>0.50626019999999905</v>
      </c>
      <c r="F6202" t="s">
        <v>39</v>
      </c>
      <c r="G6202">
        <v>-189.04859999999999</v>
      </c>
      <c r="H6202" s="1">
        <v>-2.2326820000000002E-6</v>
      </c>
      <c r="I6202">
        <v>84.443820000000002</v>
      </c>
      <c r="J6202">
        <v>-188.3279</v>
      </c>
      <c r="K6202">
        <v>1.1041049999999999</v>
      </c>
      <c r="L6202">
        <v>70.932919999999996</v>
      </c>
      <c r="M6202">
        <v>-2.9545449999999998E-3</v>
      </c>
      <c r="N6202">
        <v>0</v>
      </c>
      <c r="O6202">
        <v>0.99990990000000002</v>
      </c>
      <c r="P6202">
        <v>-6.5533820000000007E-2</v>
      </c>
      <c r="Q6202">
        <v>1.109841E-2</v>
      </c>
      <c r="R6202">
        <v>0.99778860000000003</v>
      </c>
      <c r="S6202">
        <v>-0.15356449999999999</v>
      </c>
      <c r="T6202">
        <v>-0.23472029999999999</v>
      </c>
      <c r="U6202">
        <v>2.9991150000000002</v>
      </c>
      <c r="V6202">
        <v>-6.2618969999999996E-2</v>
      </c>
      <c r="W6202">
        <v>2.4081109999999999E-2</v>
      </c>
      <c r="X6202">
        <v>0.99774689999999999</v>
      </c>
      <c r="Y6202">
        <v>-4.802961E-2</v>
      </c>
      <c r="Z6202">
        <v>-7.7928330000000004E-2</v>
      </c>
      <c r="AA6202">
        <v>0.9958013</v>
      </c>
      <c r="AB6202">
        <v>62</v>
      </c>
      <c r="AC6202">
        <v>-0.72069999999999301</v>
      </c>
      <c r="AD6202">
        <v>-1.1041072326819901</v>
      </c>
      <c r="AE6202">
        <v>13.510899999999999</v>
      </c>
      <c r="AF6202">
        <v>-0.67627146379456604</v>
      </c>
      <c r="AG6202">
        <v>-1.1041072326819901</v>
      </c>
      <c r="AH6202">
        <v>13.4235806634806</v>
      </c>
      <c r="AI6202">
        <v>94.696139845698198</v>
      </c>
      <c r="AJ6202">
        <v>92.884086597925702</v>
      </c>
      <c r="AK6202">
        <v>13.4858783066945</v>
      </c>
    </row>
    <row r="6203" spans="1:37" x14ac:dyDescent="0.2">
      <c r="A6203" t="str">
        <f>"20200111153812575"</f>
        <v>20200111153812575</v>
      </c>
      <c r="B6203" t="str">
        <f>"1578728292569311"</f>
        <v>1578728292569311</v>
      </c>
      <c r="C6203" t="s">
        <v>37</v>
      </c>
      <c r="D6203">
        <v>6.2252729999999996</v>
      </c>
      <c r="E6203">
        <v>0.50622769999999995</v>
      </c>
      <c r="F6203" t="s">
        <v>39</v>
      </c>
      <c r="G6203">
        <v>-189.04060000000001</v>
      </c>
      <c r="H6203" s="1">
        <v>-2.5097049999999998E-6</v>
      </c>
      <c r="I6203">
        <v>85.086240000000004</v>
      </c>
      <c r="J6203">
        <v>-188.33</v>
      </c>
      <c r="K6203">
        <v>1.1040989999999999</v>
      </c>
      <c r="L6203">
        <v>71.574219999999997</v>
      </c>
      <c r="M6203">
        <v>-3.3069179999999998E-3</v>
      </c>
      <c r="N6203">
        <v>0</v>
      </c>
      <c r="O6203">
        <v>0.9999036</v>
      </c>
      <c r="P6203">
        <v>-6.7000749999999998E-2</v>
      </c>
      <c r="Q6203">
        <v>1.0835030000000001E-2</v>
      </c>
      <c r="R6203">
        <v>0.99769409999999903</v>
      </c>
      <c r="S6203">
        <v>-0.15101619999999999</v>
      </c>
      <c r="T6203">
        <v>-0.233979299999999</v>
      </c>
      <c r="U6203">
        <v>2.9993289999999999</v>
      </c>
      <c r="V6203">
        <v>-6.3733929999999994E-2</v>
      </c>
      <c r="W6203">
        <v>2.420744E-2</v>
      </c>
      <c r="X6203">
        <v>0.99767329999999999</v>
      </c>
      <c r="Y6203">
        <v>-4.6831049999999999E-2</v>
      </c>
      <c r="Z6203">
        <v>-7.7682059999999997E-2</v>
      </c>
      <c r="AA6203">
        <v>0.99587769999999998</v>
      </c>
      <c r="AB6203">
        <v>62</v>
      </c>
      <c r="AC6203">
        <v>-0.71059999999999901</v>
      </c>
      <c r="AD6203">
        <v>-1.104101509705</v>
      </c>
      <c r="AE6203">
        <v>13.51202</v>
      </c>
      <c r="AF6203">
        <v>-0.661504266202109</v>
      </c>
      <c r="AG6203">
        <v>-1.104101509705</v>
      </c>
      <c r="AH6203">
        <v>13.424906155299301</v>
      </c>
      <c r="AI6203">
        <v>94.695910761563496</v>
      </c>
      <c r="AJ6203">
        <v>92.820933889745604</v>
      </c>
      <c r="AK6203">
        <v>13.4864648190891</v>
      </c>
    </row>
    <row r="6204" spans="1:37" x14ac:dyDescent="0.2">
      <c r="A6204" t="str">
        <f>"20200111153812596"</f>
        <v>20200111153812596</v>
      </c>
      <c r="B6204" t="str">
        <f>"1578728292589808"</f>
        <v>1578728292589808</v>
      </c>
      <c r="C6204" t="s">
        <v>37</v>
      </c>
      <c r="D6204">
        <v>6.0217479999999997</v>
      </c>
      <c r="E6204">
        <v>0.50657450000000004</v>
      </c>
      <c r="F6204" t="s">
        <v>39</v>
      </c>
      <c r="G6204">
        <v>-189.0736</v>
      </c>
      <c r="H6204" s="1">
        <v>-2.865587E-6</v>
      </c>
      <c r="I6204">
        <v>85.929469999999995</v>
      </c>
      <c r="J6204">
        <v>-188.3321</v>
      </c>
      <c r="K6204">
        <v>1.1040889999999901</v>
      </c>
      <c r="L6204">
        <v>72.169560000000004</v>
      </c>
      <c r="M6204">
        <v>-3.6331639999999999E-3</v>
      </c>
      <c r="N6204">
        <v>0</v>
      </c>
      <c r="O6204">
        <v>0.99989810000000001</v>
      </c>
      <c r="P6204">
        <v>-6.8163089999999996E-2</v>
      </c>
      <c r="Q6204">
        <v>1.0275950000000001E-2</v>
      </c>
      <c r="R6204">
        <v>0.99762129999999904</v>
      </c>
      <c r="S6204">
        <v>-0.15534970000000001</v>
      </c>
      <c r="T6204">
        <v>-0.230660799999999</v>
      </c>
      <c r="U6204">
        <v>2.998993</v>
      </c>
      <c r="V6204">
        <v>-6.4570139999999998E-2</v>
      </c>
      <c r="W6204">
        <v>2.396527E-2</v>
      </c>
      <c r="X6204">
        <v>0.9976254</v>
      </c>
      <c r="Y6204">
        <v>-4.7950340000000001E-2</v>
      </c>
      <c r="Z6204">
        <v>-7.6590370000000005E-2</v>
      </c>
      <c r="AA6204">
        <v>0.99590900000000004</v>
      </c>
      <c r="AB6204">
        <v>62</v>
      </c>
      <c r="AC6204">
        <v>-0.74150000000000205</v>
      </c>
      <c r="AD6204">
        <v>-1.10409186558699</v>
      </c>
      <c r="AE6204">
        <v>13.7599099999999</v>
      </c>
      <c r="AF6204">
        <v>-0.68708738366541999</v>
      </c>
      <c r="AG6204">
        <v>-1.10409186558699</v>
      </c>
      <c r="AH6204">
        <v>13.674724743646401</v>
      </c>
      <c r="AI6204">
        <v>94.610234866301496</v>
      </c>
      <c r="AJ6204">
        <v>92.876411020710094</v>
      </c>
      <c r="AK6204">
        <v>13.7364189196072</v>
      </c>
    </row>
    <row r="6205" spans="1:37" x14ac:dyDescent="0.2">
      <c r="A6205" t="str">
        <f>"20200111153812620"</f>
        <v>20200111153812620</v>
      </c>
      <c r="B6205" t="str">
        <f>"1578728292609328"</f>
        <v>1578728292609328</v>
      </c>
      <c r="C6205" t="s">
        <v>37</v>
      </c>
      <c r="D6205">
        <v>6.2290749999999999</v>
      </c>
      <c r="E6205">
        <v>0.50661520000000004</v>
      </c>
      <c r="F6205" t="s">
        <v>39</v>
      </c>
      <c r="G6205">
        <v>-189.08690000000001</v>
      </c>
      <c r="H6205" s="1">
        <v>-3.182314E-6</v>
      </c>
      <c r="I6205">
        <v>86.673289999999994</v>
      </c>
      <c r="J6205">
        <v>-188.33449999999999</v>
      </c>
      <c r="K6205">
        <v>1.1040829999999999</v>
      </c>
      <c r="L6205">
        <v>72.79956</v>
      </c>
      <c r="M6205">
        <v>-3.9779400000000001E-3</v>
      </c>
      <c r="N6205">
        <v>0</v>
      </c>
      <c r="O6205">
        <v>0.99989259999999902</v>
      </c>
      <c r="P6205">
        <v>-6.8211640000000004E-2</v>
      </c>
      <c r="Q6205">
        <v>9.7948229999999994E-3</v>
      </c>
      <c r="R6205">
        <v>0.99762280000000003</v>
      </c>
      <c r="S6205">
        <v>-0.1560822</v>
      </c>
      <c r="T6205">
        <v>-0.22828579999999901</v>
      </c>
      <c r="U6205">
        <v>2.99884</v>
      </c>
      <c r="V6205">
        <v>-6.4274529999999996E-2</v>
      </c>
      <c r="W6205">
        <v>2.378079E-2</v>
      </c>
      <c r="X6205">
        <v>0.99764889999999995</v>
      </c>
      <c r="Y6205">
        <v>-4.7854229999999998E-2</v>
      </c>
      <c r="Z6205">
        <v>-7.5809719999999997E-2</v>
      </c>
      <c r="AA6205">
        <v>0.99597329999999995</v>
      </c>
      <c r="AB6205">
        <v>62</v>
      </c>
      <c r="AC6205">
        <v>-0.75240000000002205</v>
      </c>
      <c r="AD6205">
        <v>-1.104086182314</v>
      </c>
      <c r="AE6205">
        <v>13.87373</v>
      </c>
      <c r="AF6205">
        <v>-0.69282479588229495</v>
      </c>
      <c r="AG6205">
        <v>-1.104086182314</v>
      </c>
      <c r="AH6205">
        <v>13.789538451011399</v>
      </c>
      <c r="AI6205">
        <v>94.571989881714003</v>
      </c>
      <c r="AJ6205">
        <v>92.876280842082593</v>
      </c>
      <c r="AK6205">
        <v>13.851006576696401</v>
      </c>
    </row>
    <row r="6206" spans="1:37" x14ac:dyDescent="0.2">
      <c r="A6206" t="str">
        <f>"20200111153812641"</f>
        <v>20200111153812641</v>
      </c>
      <c r="B6206" t="str">
        <f>"1578728292629823"</f>
        <v>1578728292629823</v>
      </c>
      <c r="C6206" t="s">
        <v>37</v>
      </c>
      <c r="D6206">
        <v>6.0419039999999997</v>
      </c>
      <c r="E6206">
        <v>0.50672819999999996</v>
      </c>
      <c r="F6206" t="s">
        <v>39</v>
      </c>
      <c r="G6206">
        <v>-189.09110000000001</v>
      </c>
      <c r="H6206" s="1">
        <v>-3.4631619999999999E-6</v>
      </c>
      <c r="I6206">
        <v>87.329679999999996</v>
      </c>
      <c r="J6206">
        <v>-188.33699999999999</v>
      </c>
      <c r="K6206">
        <v>1.1040829999999999</v>
      </c>
      <c r="L6206">
        <v>73.409120000000001</v>
      </c>
      <c r="M6206">
        <v>-4.3111019999999998E-3</v>
      </c>
      <c r="N6206">
        <v>0</v>
      </c>
      <c r="O6206">
        <v>0.99988770000000005</v>
      </c>
      <c r="P6206">
        <v>-6.8366659999999996E-2</v>
      </c>
      <c r="Q6206">
        <v>8.6720830000000006E-3</v>
      </c>
      <c r="R6206">
        <v>0.99762249999999997</v>
      </c>
      <c r="S6206">
        <v>-0.156158399999999</v>
      </c>
      <c r="T6206">
        <v>-0.227860799999999</v>
      </c>
      <c r="U6206">
        <v>2.9987180000000002</v>
      </c>
      <c r="V6206">
        <v>-6.4096020000000004E-2</v>
      </c>
      <c r="W6206">
        <v>2.2905559999999998E-2</v>
      </c>
      <c r="X6206">
        <v>0.99768080000000003</v>
      </c>
      <c r="Y6206">
        <v>-4.7549300000000003E-2</v>
      </c>
      <c r="Z6206">
        <v>-7.5672779999999995E-2</v>
      </c>
      <c r="AA6206">
        <v>0.9959983</v>
      </c>
      <c r="AB6206">
        <v>62</v>
      </c>
      <c r="AC6206">
        <v>-0.754099999999994</v>
      </c>
      <c r="AD6206">
        <v>-1.104086463162</v>
      </c>
      <c r="AE6206">
        <v>13.92056</v>
      </c>
      <c r="AF6206">
        <v>-0.68974761685068697</v>
      </c>
      <c r="AG6206">
        <v>-1.104086463162</v>
      </c>
      <c r="AH6206">
        <v>13.8368941297798</v>
      </c>
      <c r="AI6206">
        <v>94.556499079767306</v>
      </c>
      <c r="AJ6206">
        <v>92.853743191654104</v>
      </c>
      <c r="AK6206">
        <v>13.897999778810799</v>
      </c>
    </row>
    <row r="6207" spans="1:37" x14ac:dyDescent="0.2">
      <c r="A6207" t="str">
        <f>"20200111153812664"</f>
        <v>20200111153812664</v>
      </c>
      <c r="B6207" t="str">
        <f>"1578728292659104"</f>
        <v>1578728292659104</v>
      </c>
      <c r="C6207" t="s">
        <v>37</v>
      </c>
      <c r="D6207">
        <v>6.2326639999999998</v>
      </c>
      <c r="E6207">
        <v>0.50696560000000002</v>
      </c>
      <c r="F6207" t="s">
        <v>39</v>
      </c>
      <c r="G6207">
        <v>-189.08949999999999</v>
      </c>
      <c r="H6207" s="1">
        <v>-3.7092509999999999E-6</v>
      </c>
      <c r="I6207">
        <v>87.902640000000005</v>
      </c>
      <c r="J6207">
        <v>-188.3398</v>
      </c>
      <c r="K6207">
        <v>1.104088</v>
      </c>
      <c r="L6207">
        <v>74.031800000000004</v>
      </c>
      <c r="M6207">
        <v>-4.6513830000000003E-3</v>
      </c>
      <c r="N6207">
        <v>0</v>
      </c>
      <c r="O6207">
        <v>0.99988310000000002</v>
      </c>
      <c r="P6207">
        <v>-6.8350590000000003E-2</v>
      </c>
      <c r="Q6207">
        <v>7.9078220000000001E-3</v>
      </c>
      <c r="R6207">
        <v>0.99762999999999902</v>
      </c>
      <c r="S6207">
        <v>-0.15567020000000001</v>
      </c>
      <c r="T6207">
        <v>-0.2284176</v>
      </c>
      <c r="U6207">
        <v>2.9984739999999999</v>
      </c>
      <c r="V6207">
        <v>-6.3739050000000005E-2</v>
      </c>
      <c r="W6207">
        <v>2.2360669999999999E-2</v>
      </c>
      <c r="X6207">
        <v>0.99771609999999999</v>
      </c>
      <c r="Y6207">
        <v>-4.7051049999999997E-2</v>
      </c>
      <c r="Z6207">
        <v>-7.5863799999999995E-2</v>
      </c>
      <c r="AA6207">
        <v>0.99600739999999999</v>
      </c>
      <c r="AB6207">
        <v>62</v>
      </c>
      <c r="AC6207">
        <v>-0.74969999999999004</v>
      </c>
      <c r="AD6207">
        <v>-1.1040917092510001</v>
      </c>
      <c r="AE6207">
        <v>13.870839999999999</v>
      </c>
      <c r="AF6207">
        <v>-0.68086516069439096</v>
      </c>
      <c r="AG6207">
        <v>-1.1040917092510001</v>
      </c>
      <c r="AH6207">
        <v>13.787079023726299</v>
      </c>
      <c r="AI6207">
        <v>94.573019044615506</v>
      </c>
      <c r="AJ6207">
        <v>92.827214754796501</v>
      </c>
      <c r="AK6207">
        <v>13.847965333432899</v>
      </c>
    </row>
    <row r="6208" spans="1:37" x14ac:dyDescent="0.2">
      <c r="A6208" t="str">
        <f>"20200111153812688"</f>
        <v>20200111153812688</v>
      </c>
      <c r="B6208" t="str">
        <f>"1578728292679600"</f>
        <v>1578728292679600</v>
      </c>
      <c r="C6208" t="s">
        <v>37</v>
      </c>
      <c r="D6208">
        <v>5.9554199999999904</v>
      </c>
      <c r="E6208">
        <v>0.50713750000000002</v>
      </c>
      <c r="F6208" t="s">
        <v>39</v>
      </c>
      <c r="G6208">
        <v>-189.0804</v>
      </c>
      <c r="H6208" s="1">
        <v>-3.946722E-6</v>
      </c>
      <c r="I6208">
        <v>88.452430000000007</v>
      </c>
      <c r="J6208">
        <v>-188.34299999999999</v>
      </c>
      <c r="K6208">
        <v>1.10409</v>
      </c>
      <c r="L6208">
        <v>74.678650000000005</v>
      </c>
      <c r="M6208">
        <v>-5.0049159999999999E-3</v>
      </c>
      <c r="N6208">
        <v>0</v>
      </c>
      <c r="O6208">
        <v>0.9998785</v>
      </c>
      <c r="P6208">
        <v>-6.8088930000000006E-2</v>
      </c>
      <c r="Q6208">
        <v>8.6324699999999997E-3</v>
      </c>
      <c r="R6208">
        <v>0.99764189999999997</v>
      </c>
      <c r="S6208">
        <v>-0.15397639999999899</v>
      </c>
      <c r="T6208">
        <v>-0.22956849999999901</v>
      </c>
      <c r="U6208">
        <v>2.9984130000000002</v>
      </c>
      <c r="V6208">
        <v>-6.3125410000000007E-2</v>
      </c>
      <c r="W6208">
        <v>2.3283109999999999E-2</v>
      </c>
      <c r="X6208">
        <v>0.99773400000000001</v>
      </c>
      <c r="Y6208">
        <v>-4.6136259999999998E-2</v>
      </c>
      <c r="Z6208">
        <v>-7.6247919999999997E-2</v>
      </c>
      <c r="AA6208">
        <v>0.99602089999999999</v>
      </c>
      <c r="AB6208">
        <v>62</v>
      </c>
      <c r="AC6208">
        <v>-0.73740000000000705</v>
      </c>
      <c r="AD6208">
        <v>-1.1040939467219999</v>
      </c>
      <c r="AE6208">
        <v>13.77378</v>
      </c>
      <c r="AF6208">
        <v>-0.66419108587645004</v>
      </c>
      <c r="AG6208">
        <v>-1.1040939467219999</v>
      </c>
      <c r="AH6208">
        <v>13.6895876588812</v>
      </c>
      <c r="AI6208">
        <v>94.605649815428805</v>
      </c>
      <c r="AJ6208">
        <v>92.777697062718701</v>
      </c>
      <c r="AK6208">
        <v>13.750090309228501</v>
      </c>
    </row>
    <row r="6209" spans="1:37" x14ac:dyDescent="0.2">
      <c r="A6209" t="str">
        <f>"20200111153812709"</f>
        <v>20200111153812709</v>
      </c>
      <c r="B6209" t="str">
        <f>"1578728292699121"</f>
        <v>1578728292699121</v>
      </c>
      <c r="C6209" t="s">
        <v>37</v>
      </c>
      <c r="D6209">
        <v>6.0577569999999996</v>
      </c>
      <c r="E6209">
        <v>0.5072487</v>
      </c>
      <c r="F6209" t="s">
        <v>39</v>
      </c>
      <c r="G6209">
        <v>-189.0873</v>
      </c>
      <c r="H6209" s="1">
        <v>-4.3373300000000004E-6</v>
      </c>
      <c r="I6209">
        <v>89.365809999999996</v>
      </c>
      <c r="J6209">
        <v>-188.34610000000001</v>
      </c>
      <c r="K6209">
        <v>1.104101</v>
      </c>
      <c r="L6209">
        <v>75.267430000000004</v>
      </c>
      <c r="M6209">
        <v>-5.3269769999999897E-3</v>
      </c>
      <c r="N6209">
        <v>0</v>
      </c>
      <c r="O6209">
        <v>0.9998745</v>
      </c>
      <c r="P6209">
        <v>-6.6628499999999993E-2</v>
      </c>
      <c r="Q6209">
        <v>8.9664459999999994E-3</v>
      </c>
      <c r="R6209">
        <v>0.9977376</v>
      </c>
      <c r="S6209">
        <v>-0.15196229999999999</v>
      </c>
      <c r="T6209">
        <v>-0.22542139999999999</v>
      </c>
      <c r="U6209">
        <v>2.9986570000000001</v>
      </c>
      <c r="V6209">
        <v>-6.1343839999999997E-2</v>
      </c>
      <c r="W6209">
        <v>2.3775549999999999E-2</v>
      </c>
      <c r="X6209">
        <v>0.99783349999999904</v>
      </c>
      <c r="Y6209">
        <v>-4.5148309999999997E-2</v>
      </c>
      <c r="Z6209">
        <v>-7.487502E-2</v>
      </c>
      <c r="AA6209">
        <v>0.99617029999999995</v>
      </c>
      <c r="AB6209">
        <v>62</v>
      </c>
      <c r="AC6209">
        <v>-0.74119999999999198</v>
      </c>
      <c r="AD6209">
        <v>-1.10410533733</v>
      </c>
      <c r="AE6209">
        <v>14.098379999999899</v>
      </c>
      <c r="AF6209">
        <v>-0.66203024481236705</v>
      </c>
      <c r="AG6209">
        <v>-1.10410533733</v>
      </c>
      <c r="AH6209">
        <v>14.0164011697054</v>
      </c>
      <c r="AI6209">
        <v>94.499029512399304</v>
      </c>
      <c r="AJ6209">
        <v>92.704215501200906</v>
      </c>
      <c r="AK6209">
        <v>14.0753981965373</v>
      </c>
    </row>
    <row r="6210" spans="1:37" x14ac:dyDescent="0.2">
      <c r="A6210" t="str">
        <f>"20200111153812731"</f>
        <v>20200111153812731</v>
      </c>
      <c r="B6210" t="str">
        <f>"1578728292719615"</f>
        <v>1578728292719615</v>
      </c>
      <c r="C6210" t="s">
        <v>37</v>
      </c>
      <c r="D6210">
        <v>6.0659359999999998</v>
      </c>
      <c r="E6210">
        <v>0.50735070000000004</v>
      </c>
      <c r="F6210" t="s">
        <v>39</v>
      </c>
      <c r="G6210">
        <v>-189.07740000000001</v>
      </c>
      <c r="H6210" s="1">
        <v>-4.3191019999999999E-7</v>
      </c>
      <c r="I6210">
        <v>90.195920000000001</v>
      </c>
      <c r="J6210">
        <v>-188.3494</v>
      </c>
      <c r="K6210">
        <v>1.1041049999999999</v>
      </c>
      <c r="L6210">
        <v>75.873019999999997</v>
      </c>
      <c r="M6210">
        <v>-5.6584159999999899E-3</v>
      </c>
      <c r="N6210">
        <v>0</v>
      </c>
      <c r="O6210">
        <v>0.99987060000000005</v>
      </c>
      <c r="P6210">
        <v>-6.4675070000000001E-2</v>
      </c>
      <c r="Q6210">
        <v>8.5087879999999998E-3</v>
      </c>
      <c r="R6210">
        <v>0.99787009999999898</v>
      </c>
      <c r="S6210">
        <v>-0.1469269</v>
      </c>
      <c r="T6210">
        <v>-0.22180340000000001</v>
      </c>
      <c r="U6210">
        <v>2.998993</v>
      </c>
      <c r="V6210">
        <v>-5.9058359999999997E-2</v>
      </c>
      <c r="W6210">
        <v>2.34614E-2</v>
      </c>
      <c r="X6210">
        <v>0.99797880000000005</v>
      </c>
      <c r="Y6210">
        <v>-4.3147329999999998E-2</v>
      </c>
      <c r="Z6210">
        <v>-7.3677809999999996E-2</v>
      </c>
      <c r="AA6210">
        <v>0.99634829999999996</v>
      </c>
      <c r="AB6210">
        <v>61</v>
      </c>
      <c r="AC6210">
        <v>-0.72800000000000797</v>
      </c>
      <c r="AD6210">
        <v>-1.1041054319101999</v>
      </c>
      <c r="AE6210">
        <v>14.322900000000001</v>
      </c>
      <c r="AF6210">
        <v>-0.64312240654910202</v>
      </c>
      <c r="AG6210">
        <v>-1.1041054319101999</v>
      </c>
      <c r="AH6210">
        <v>14.2423751678761</v>
      </c>
      <c r="AI6210">
        <v>94.428355296421799</v>
      </c>
      <c r="AJ6210">
        <v>92.585466607468405</v>
      </c>
      <c r="AK6210">
        <v>14.299577114625199</v>
      </c>
    </row>
    <row r="6211" spans="1:37" x14ac:dyDescent="0.2">
      <c r="A6211" t="str">
        <f>"20200111153812753"</f>
        <v>20200111153812753</v>
      </c>
      <c r="B6211" t="str">
        <f>"1578728292749872"</f>
        <v>1578728292749872</v>
      </c>
      <c r="C6211" t="s">
        <v>37</v>
      </c>
      <c r="D6211">
        <v>6.2015169999999999</v>
      </c>
      <c r="E6211">
        <v>0.50753219999999999</v>
      </c>
      <c r="F6211" t="s">
        <v>39</v>
      </c>
      <c r="G6211">
        <v>-189.0472</v>
      </c>
      <c r="H6211" s="1">
        <v>-6.5797409999999995E-7</v>
      </c>
      <c r="I6211">
        <v>90.772580000000005</v>
      </c>
      <c r="J6211">
        <v>-188.35290000000001</v>
      </c>
      <c r="K6211">
        <v>1.104115</v>
      </c>
      <c r="L6211">
        <v>76.475399999999993</v>
      </c>
      <c r="M6211">
        <v>-5.9881439999999999E-3</v>
      </c>
      <c r="N6211">
        <v>0</v>
      </c>
      <c r="O6211">
        <v>0.9998669</v>
      </c>
      <c r="P6211">
        <v>-6.2639699999999895E-2</v>
      </c>
      <c r="Q6211">
        <v>6.8990359999999999E-3</v>
      </c>
      <c r="R6211">
        <v>0.99801240000000002</v>
      </c>
      <c r="S6211">
        <v>-0.1404724</v>
      </c>
      <c r="T6211">
        <v>-0.22224869999999999</v>
      </c>
      <c r="U6211">
        <v>2.9991759999999998</v>
      </c>
      <c r="V6211">
        <v>-5.6690749999999998E-2</v>
      </c>
      <c r="W6211">
        <v>2.1975959999999999E-2</v>
      </c>
      <c r="X6211">
        <v>0.99814990000000003</v>
      </c>
      <c r="Y6211">
        <v>-4.0674929999999998E-2</v>
      </c>
      <c r="Z6211">
        <v>-7.3827829999999997E-2</v>
      </c>
      <c r="AA6211">
        <v>0.99644120000000003</v>
      </c>
      <c r="AB6211">
        <v>61</v>
      </c>
      <c r="AC6211">
        <v>-0.69429999999999803</v>
      </c>
      <c r="AD6211">
        <v>-1.1041156579741001</v>
      </c>
      <c r="AE6211">
        <v>14.297180000000001</v>
      </c>
      <c r="AF6211">
        <v>-0.60506407985897404</v>
      </c>
      <c r="AG6211">
        <v>-1.1041156579741001</v>
      </c>
      <c r="AH6211">
        <v>14.2164957575624</v>
      </c>
      <c r="AI6211">
        <v>94.436927289749605</v>
      </c>
      <c r="AJ6211">
        <v>92.437077952105895</v>
      </c>
      <c r="AK6211">
        <v>14.272138086205199</v>
      </c>
    </row>
    <row r="6212" spans="1:37" x14ac:dyDescent="0.2">
      <c r="A6212" t="str">
        <f>"20200111153812774"</f>
        <v>20200111153812774</v>
      </c>
      <c r="B6212" t="str">
        <f>"1578728292769391"</f>
        <v>1578728292769391</v>
      </c>
      <c r="C6212" t="s">
        <v>37</v>
      </c>
      <c r="D6212">
        <v>6.0357180000000001</v>
      </c>
      <c r="E6212">
        <v>0.50778210000000001</v>
      </c>
      <c r="F6212" t="s">
        <v>39</v>
      </c>
      <c r="G6212">
        <v>-189.00729999999999</v>
      </c>
      <c r="H6212" s="1">
        <v>-8.5694719999999896E-7</v>
      </c>
      <c r="I6212">
        <v>91.219890000000007</v>
      </c>
      <c r="J6212">
        <v>-188.35650000000001</v>
      </c>
      <c r="K6212">
        <v>1.1041190000000001</v>
      </c>
      <c r="L6212">
        <v>77.057649999999995</v>
      </c>
      <c r="M6212">
        <v>-6.3069739999999999E-3</v>
      </c>
      <c r="N6212">
        <v>0</v>
      </c>
      <c r="O6212">
        <v>0.99986339999999996</v>
      </c>
      <c r="P6212">
        <v>-6.0313310000000002E-2</v>
      </c>
      <c r="Q6212">
        <v>5.2539919999999999E-3</v>
      </c>
      <c r="R6212">
        <v>0.99816569999999905</v>
      </c>
      <c r="S6212">
        <v>-0.13311770000000001</v>
      </c>
      <c r="T6212">
        <v>-0.2245859</v>
      </c>
      <c r="U6212">
        <v>2.9991460000000001</v>
      </c>
      <c r="V6212">
        <v>-5.4042670000000001E-2</v>
      </c>
      <c r="W6212">
        <v>2.0436119999999999E-2</v>
      </c>
      <c r="X6212">
        <v>0.99832949999999998</v>
      </c>
      <c r="Y6212">
        <v>-3.7915579999999997E-2</v>
      </c>
      <c r="Z6212">
        <v>-7.4608640000000004E-2</v>
      </c>
      <c r="AA6212">
        <v>0.99649179999999904</v>
      </c>
      <c r="AB6212">
        <v>61</v>
      </c>
      <c r="AC6212">
        <v>-0.65079999999997495</v>
      </c>
      <c r="AD6212">
        <v>-1.1041198569471999</v>
      </c>
      <c r="AE6212">
        <v>14.162240000000001</v>
      </c>
      <c r="AF6212">
        <v>-0.55807087965471502</v>
      </c>
      <c r="AG6212">
        <v>-1.1041198569471999</v>
      </c>
      <c r="AH6212">
        <v>14.080659866305901</v>
      </c>
      <c r="AI6212">
        <v>94.480109595663293</v>
      </c>
      <c r="AJ6212">
        <v>92.269664882053107</v>
      </c>
      <c r="AK6212">
        <v>14.1349038212441</v>
      </c>
    </row>
    <row r="6213" spans="1:37" x14ac:dyDescent="0.2">
      <c r="A6213" t="str">
        <f>"20200111153812797"</f>
        <v>20200111153812797</v>
      </c>
      <c r="B6213" t="str">
        <f>"1578728292789605"</f>
        <v>1578728292789605</v>
      </c>
      <c r="C6213" t="s">
        <v>37</v>
      </c>
      <c r="D6213">
        <v>6.2062679999999997</v>
      </c>
      <c r="E6213">
        <v>0.55730440000000003</v>
      </c>
      <c r="F6213" t="s">
        <v>39</v>
      </c>
      <c r="G6213">
        <v>-188.95740000000001</v>
      </c>
      <c r="H6213" s="1">
        <v>-1.0178659999999999E-6</v>
      </c>
      <c r="I6213">
        <v>91.574330000000003</v>
      </c>
      <c r="J6213">
        <v>-188.3605</v>
      </c>
      <c r="K6213">
        <v>1.1041190000000001</v>
      </c>
      <c r="L6213">
        <v>77.675600000000003</v>
      </c>
      <c r="M6213">
        <v>-6.6453609999999998E-3</v>
      </c>
      <c r="N6213">
        <v>0</v>
      </c>
      <c r="O6213">
        <v>0.99985979999999997</v>
      </c>
      <c r="P6213">
        <v>-5.7867200000000001E-2</v>
      </c>
      <c r="Q6213">
        <v>3.9006100000000001E-3</v>
      </c>
      <c r="R6213">
        <v>0.998316599999999</v>
      </c>
      <c r="S6213">
        <v>-0.12414549999999901</v>
      </c>
      <c r="T6213">
        <v>-0.2281157</v>
      </c>
      <c r="U6213">
        <v>2.9992070000000002</v>
      </c>
      <c r="V6213">
        <v>-5.125652E-2</v>
      </c>
      <c r="W6213">
        <v>1.91799E-2</v>
      </c>
      <c r="X6213">
        <v>0.99850130000000004</v>
      </c>
      <c r="Y6213">
        <v>-3.4597070000000001E-2</v>
      </c>
      <c r="Z6213">
        <v>-7.5782189999999999E-2</v>
      </c>
      <c r="AA6213">
        <v>0.99652399999999997</v>
      </c>
      <c r="AB6213">
        <v>61</v>
      </c>
      <c r="AC6213">
        <v>-0.59690000000000498</v>
      </c>
      <c r="AD6213">
        <v>-1.104120017866</v>
      </c>
      <c r="AE6213">
        <v>13.89873</v>
      </c>
      <c r="AF6213">
        <v>-0.50135571222198605</v>
      </c>
      <c r="AG6213">
        <v>-1.104120017866</v>
      </c>
      <c r="AH6213">
        <v>13.815365040282501</v>
      </c>
      <c r="AI6213">
        <v>94.566357310566801</v>
      </c>
      <c r="AJ6213">
        <v>92.078335695912003</v>
      </c>
      <c r="AK6213">
        <v>13.868480441645</v>
      </c>
    </row>
    <row r="6214" spans="1:37" x14ac:dyDescent="0.2">
      <c r="A6214" t="str">
        <f>"20200111153812820"</f>
        <v>20200111153812820</v>
      </c>
      <c r="B6214" t="str">
        <f>"1578728292809128"</f>
        <v>1578728292809128</v>
      </c>
      <c r="C6214" t="s">
        <v>37</v>
      </c>
      <c r="D6214">
        <v>6.3439519999999998</v>
      </c>
      <c r="E6214">
        <v>0.56118730000000006</v>
      </c>
      <c r="F6214" t="s">
        <v>38</v>
      </c>
      <c r="G6214">
        <v>-188.28829999999999</v>
      </c>
      <c r="H6214">
        <v>1.030899</v>
      </c>
      <c r="I6214">
        <v>78.462719999999905</v>
      </c>
      <c r="J6214">
        <v>-188.3648</v>
      </c>
      <c r="K6214">
        <v>1.10412</v>
      </c>
      <c r="L6214">
        <v>78.30444</v>
      </c>
      <c r="M6214">
        <v>-6.9897780000000003E-3</v>
      </c>
      <c r="N6214">
        <v>0</v>
      </c>
      <c r="O6214">
        <v>0.99985630000000003</v>
      </c>
      <c r="P6214">
        <v>-5.583929E-2</v>
      </c>
      <c r="Q6214">
        <v>3.2152509999999902E-3</v>
      </c>
      <c r="R6214">
        <v>0.99843459999999995</v>
      </c>
      <c r="S6214">
        <v>0.27629090000000001</v>
      </c>
      <c r="T6214">
        <v>-0.28119099999999903</v>
      </c>
      <c r="U6214">
        <v>3.022186</v>
      </c>
      <c r="V6214">
        <v>-4.8882509999999997E-2</v>
      </c>
      <c r="W6214">
        <v>1.857872E-2</v>
      </c>
      <c r="X6214">
        <v>0.99863169999999901</v>
      </c>
      <c r="Y6214">
        <v>9.7612459999999998E-2</v>
      </c>
      <c r="Z6214">
        <v>-9.2226790000000003E-2</v>
      </c>
      <c r="AA6214">
        <v>0.99094199999999999</v>
      </c>
      <c r="AB6214">
        <v>61</v>
      </c>
      <c r="AC6214">
        <v>7.6500000000009893E-2</v>
      </c>
      <c r="AD6214">
        <v>-7.3220999999999897E-2</v>
      </c>
      <c r="AE6214">
        <v>0.15827999999999001</v>
      </c>
      <c r="AF6214">
        <v>6.6132115245826906E-2</v>
      </c>
      <c r="AG6214">
        <v>-7.3220999999999897E-2</v>
      </c>
      <c r="AH6214">
        <v>0.13442203864404401</v>
      </c>
      <c r="AI6214">
        <v>116.047641463056</v>
      </c>
      <c r="AJ6214">
        <v>63.804024574770999</v>
      </c>
      <c r="AK6214">
        <v>0.16674548264078401</v>
      </c>
    </row>
    <row r="6215" spans="1:37" x14ac:dyDescent="0.2">
      <c r="A6215" t="str">
        <f>"20200111153812842"</f>
        <v>20200111153812842</v>
      </c>
      <c r="B6215" t="str">
        <f>"1578728292829621"</f>
        <v>1578728292829621</v>
      </c>
      <c r="C6215" t="s">
        <v>37</v>
      </c>
      <c r="D6215">
        <v>6.155106</v>
      </c>
      <c r="E6215">
        <v>0.56250180000000005</v>
      </c>
      <c r="F6215" t="s">
        <v>38</v>
      </c>
      <c r="G6215">
        <v>-188.23670000000001</v>
      </c>
      <c r="H6215">
        <v>0.98999289999999995</v>
      </c>
      <c r="I6215">
        <v>79.538169999999994</v>
      </c>
      <c r="J6215">
        <v>-188.3691</v>
      </c>
      <c r="K6215">
        <v>1.104123</v>
      </c>
      <c r="L6215">
        <v>78.907560000000004</v>
      </c>
      <c r="M6215">
        <v>-7.3182730000000001E-3</v>
      </c>
      <c r="N6215">
        <v>0</v>
      </c>
      <c r="O6215">
        <v>0.99985270000000004</v>
      </c>
      <c r="P6215">
        <v>-5.4407150000000001E-2</v>
      </c>
      <c r="Q6215">
        <v>2.6969820000000001E-3</v>
      </c>
      <c r="R6215">
        <v>0.99851520000000005</v>
      </c>
      <c r="S6215">
        <v>0.31347659999999899</v>
      </c>
      <c r="T6215">
        <v>-0.2796901</v>
      </c>
      <c r="U6215">
        <v>3.0231319999999999</v>
      </c>
      <c r="V6215">
        <v>-4.7121410000000002E-2</v>
      </c>
      <c r="W6215">
        <v>1.8143909999999999E-2</v>
      </c>
      <c r="X6215">
        <v>0.99872439999999996</v>
      </c>
      <c r="Y6215">
        <v>0.10998330000000001</v>
      </c>
      <c r="Z6215">
        <v>-9.1596579999999997E-2</v>
      </c>
      <c r="AA6215">
        <v>0.98970380000000002</v>
      </c>
      <c r="AB6215">
        <v>61</v>
      </c>
      <c r="AC6215">
        <v>0.132399999999989</v>
      </c>
      <c r="AD6215">
        <v>-0.1141301</v>
      </c>
      <c r="AE6215">
        <v>0.63060999999999001</v>
      </c>
      <c r="AF6215">
        <v>0.132844371552851</v>
      </c>
      <c r="AG6215">
        <v>-0.1141301</v>
      </c>
      <c r="AH6215">
        <v>0.610472222457213</v>
      </c>
      <c r="AI6215">
        <v>100.352558074455</v>
      </c>
      <c r="AJ6215">
        <v>77.723305725927005</v>
      </c>
      <c r="AK6215">
        <v>0.63509813507136903</v>
      </c>
    </row>
    <row r="6216" spans="1:37" x14ac:dyDescent="0.2">
      <c r="A6216" t="str">
        <f>"20200111153812863"</f>
        <v>20200111153812863</v>
      </c>
      <c r="B6216" t="str">
        <f>"1578728292859877"</f>
        <v>1578728292859877</v>
      </c>
      <c r="C6216" t="s">
        <v>37</v>
      </c>
      <c r="D6216">
        <v>6.2017930000000003</v>
      </c>
      <c r="E6216">
        <v>0.56304880000000002</v>
      </c>
      <c r="F6216" t="s">
        <v>38</v>
      </c>
      <c r="G6216">
        <v>-188.2406</v>
      </c>
      <c r="H6216">
        <v>0.99976369999999903</v>
      </c>
      <c r="I6216">
        <v>80.08914</v>
      </c>
      <c r="J6216">
        <v>-188.37360000000001</v>
      </c>
      <c r="K6216">
        <v>1.104176</v>
      </c>
      <c r="L6216">
        <v>79.505859999999998</v>
      </c>
      <c r="M6216">
        <v>-7.6275249999999996E-3</v>
      </c>
      <c r="N6216">
        <v>0</v>
      </c>
      <c r="O6216">
        <v>0.99984699999999904</v>
      </c>
      <c r="P6216">
        <v>-5.3609909999999997E-2</v>
      </c>
      <c r="Q6216">
        <v>3.1436290000000002E-3</v>
      </c>
      <c r="R6216">
        <v>0.99855699999999903</v>
      </c>
      <c r="S6216">
        <v>0.3289185</v>
      </c>
      <c r="T6216">
        <v>-0.26700869999999999</v>
      </c>
      <c r="U6216">
        <v>3.0231020000000002</v>
      </c>
      <c r="V6216">
        <v>-4.6015960000000002E-2</v>
      </c>
      <c r="W6216">
        <v>1.8806610000000001E-2</v>
      </c>
      <c r="X6216">
        <v>0.99876369999999903</v>
      </c>
      <c r="Y6216">
        <v>0.1153296</v>
      </c>
      <c r="Z6216">
        <v>-8.7426829999999997E-2</v>
      </c>
      <c r="AA6216">
        <v>0.98947240000000003</v>
      </c>
      <c r="AB6216">
        <v>61</v>
      </c>
      <c r="AC6216">
        <v>0.133000000000009</v>
      </c>
      <c r="AD6216">
        <v>-0.1044123</v>
      </c>
      <c r="AE6216">
        <v>0.58328000000000202</v>
      </c>
      <c r="AF6216">
        <v>0.133382767126144</v>
      </c>
      <c r="AG6216">
        <v>-0.1044123</v>
      </c>
      <c r="AH6216">
        <v>0.56503716406704496</v>
      </c>
      <c r="AI6216">
        <v>100.19539435423999</v>
      </c>
      <c r="AJ6216">
        <v>76.717898316244401</v>
      </c>
      <c r="AK6216">
        <v>0.58988124884119297</v>
      </c>
    </row>
    <row r="6217" spans="1:37" x14ac:dyDescent="0.2">
      <c r="A6217" t="str">
        <f>"20200111153812887"</f>
        <v>20200111153812887</v>
      </c>
      <c r="B6217" t="str">
        <f>"1578728292879397"</f>
        <v>1578728292879397</v>
      </c>
      <c r="C6217" t="s">
        <v>37</v>
      </c>
      <c r="D6217">
        <v>6.2090579999999997</v>
      </c>
      <c r="E6217">
        <v>0.56320349999999997</v>
      </c>
      <c r="F6217" t="s">
        <v>38</v>
      </c>
      <c r="G6217">
        <v>-188.24760000000001</v>
      </c>
      <c r="H6217">
        <v>1.0075479999999899</v>
      </c>
      <c r="I6217">
        <v>80.637979999999999</v>
      </c>
      <c r="J6217">
        <v>-188.37870000000001</v>
      </c>
      <c r="K6217">
        <v>1.1042700000000001</v>
      </c>
      <c r="L6217">
        <v>80.143190000000004</v>
      </c>
      <c r="M6217">
        <v>-7.9461540000000004E-3</v>
      </c>
      <c r="N6217">
        <v>0</v>
      </c>
      <c r="O6217">
        <v>0.99983829999999996</v>
      </c>
      <c r="P6217">
        <v>-5.2552979999999999E-2</v>
      </c>
      <c r="Q6217">
        <v>4.483636E-3</v>
      </c>
      <c r="R6217">
        <v>0.9986081</v>
      </c>
      <c r="S6217">
        <v>0.3362579</v>
      </c>
      <c r="T6217">
        <v>-0.25806020000000002</v>
      </c>
      <c r="U6217">
        <v>3.023193</v>
      </c>
      <c r="V6217">
        <v>-4.4642319999999999E-2</v>
      </c>
      <c r="W6217">
        <v>2.053957E-2</v>
      </c>
      <c r="X6217">
        <v>0.99879189999999995</v>
      </c>
      <c r="Y6217">
        <v>0.118044</v>
      </c>
      <c r="Z6217">
        <v>-8.449081E-2</v>
      </c>
      <c r="AA6217">
        <v>0.98940740000000005</v>
      </c>
      <c r="AB6217">
        <v>61</v>
      </c>
      <c r="AC6217">
        <v>0.13110000000000299</v>
      </c>
      <c r="AD6217">
        <v>-9.6722000000000197E-2</v>
      </c>
      <c r="AE6217">
        <v>0.49478999999999401</v>
      </c>
      <c r="AF6217">
        <v>0.13037294395135501</v>
      </c>
      <c r="AG6217">
        <v>-9.6722000000000197E-2</v>
      </c>
      <c r="AH6217">
        <v>0.47671102228777001</v>
      </c>
      <c r="AI6217">
        <v>101.07325725119</v>
      </c>
      <c r="AJ6217">
        <v>74.704521497530195</v>
      </c>
      <c r="AK6217">
        <v>0.50359274078286098</v>
      </c>
    </row>
    <row r="6218" spans="1:37" x14ac:dyDescent="0.2">
      <c r="A6218" t="str">
        <f>"20200111153812909"</f>
        <v>20200111153812909</v>
      </c>
      <c r="B6218" t="str">
        <f>"1578728292899893"</f>
        <v>1578728292899893</v>
      </c>
      <c r="C6218" t="s">
        <v>37</v>
      </c>
      <c r="D6218">
        <v>6.2034469999999997</v>
      </c>
      <c r="E6218">
        <v>0.56325859999999905</v>
      </c>
      <c r="F6218" t="s">
        <v>38</v>
      </c>
      <c r="G6218">
        <v>-188.261</v>
      </c>
      <c r="H6218">
        <v>1.0179590000000001</v>
      </c>
      <c r="I6218">
        <v>81.18665</v>
      </c>
      <c r="J6218">
        <v>-188.3837</v>
      </c>
      <c r="K6218">
        <v>1.1043700000000001</v>
      </c>
      <c r="L6218">
        <v>80.749600000000001</v>
      </c>
      <c r="M6218">
        <v>-8.2460509999999904E-3</v>
      </c>
      <c r="N6218">
        <v>0</v>
      </c>
      <c r="O6218">
        <v>0.99982789999999999</v>
      </c>
      <c r="P6218">
        <v>-5.1369230000000002E-2</v>
      </c>
      <c r="Q6218">
        <v>6.1656409999999899E-3</v>
      </c>
      <c r="R6218">
        <v>0.99866069999999996</v>
      </c>
      <c r="S6218">
        <v>0.34107969999999999</v>
      </c>
      <c r="T6218">
        <v>-0.25007509999999999</v>
      </c>
      <c r="U6218">
        <v>3.0232540000000001</v>
      </c>
      <c r="V6218">
        <v>-4.3160980000000002E-2</v>
      </c>
      <c r="W6218">
        <v>2.2711060000000002E-2</v>
      </c>
      <c r="X6218">
        <v>0.99880990000000003</v>
      </c>
      <c r="Y6218">
        <v>0.1199224</v>
      </c>
      <c r="Z6218">
        <v>-8.1875980000000001E-2</v>
      </c>
      <c r="AA6218">
        <v>0.98940130000000004</v>
      </c>
      <c r="AB6218">
        <v>61</v>
      </c>
      <c r="AC6218">
        <v>0.122700000000008</v>
      </c>
      <c r="AD6218">
        <v>-8.6411000000000002E-2</v>
      </c>
      <c r="AE6218">
        <v>0.43704999999999899</v>
      </c>
      <c r="AF6218">
        <v>0.121883809222603</v>
      </c>
      <c r="AG6218">
        <v>-8.6411000000000002E-2</v>
      </c>
      <c r="AH6218">
        <v>0.42077639959020502</v>
      </c>
      <c r="AI6218">
        <v>101.15847414272</v>
      </c>
      <c r="AJ6218">
        <v>73.845596221237102</v>
      </c>
      <c r="AK6218">
        <v>0.44651461602472498</v>
      </c>
    </row>
    <row r="6219" spans="1:37" x14ac:dyDescent="0.2">
      <c r="A6219" t="str">
        <f>"20200111153812933"</f>
        <v>20200111153812933</v>
      </c>
      <c r="B6219" t="str">
        <f>"1578728292919413"</f>
        <v>1578728292919413</v>
      </c>
      <c r="C6219" t="s">
        <v>37</v>
      </c>
      <c r="D6219">
        <v>6.3656680000000003</v>
      </c>
      <c r="E6219">
        <v>0.56269930000000001</v>
      </c>
      <c r="F6219" t="s">
        <v>38</v>
      </c>
      <c r="G6219">
        <v>-188.27099999999999</v>
      </c>
      <c r="H6219">
        <v>1.026016</v>
      </c>
      <c r="I6219">
        <v>81.733090000000004</v>
      </c>
      <c r="J6219">
        <v>-188.3887</v>
      </c>
      <c r="K6219">
        <v>1.1044609999999999</v>
      </c>
      <c r="L6219">
        <v>81.344999999999999</v>
      </c>
      <c r="M6219">
        <v>-8.5391849999999995E-3</v>
      </c>
      <c r="N6219">
        <v>0</v>
      </c>
      <c r="O6219">
        <v>0.99981679999999995</v>
      </c>
      <c r="P6219">
        <v>-4.970757E-2</v>
      </c>
      <c r="Q6219">
        <v>6.65948199999999E-3</v>
      </c>
      <c r="R6219">
        <v>0.99874159999999901</v>
      </c>
      <c r="S6219">
        <v>0.34545900000000002</v>
      </c>
      <c r="T6219">
        <v>-0.24093789999999901</v>
      </c>
      <c r="U6219">
        <v>3.023285</v>
      </c>
      <c r="V6219">
        <v>-4.120675E-2</v>
      </c>
      <c r="W6219">
        <v>2.3720729999999999E-2</v>
      </c>
      <c r="X6219">
        <v>0.99886900000000001</v>
      </c>
      <c r="Y6219">
        <v>0.1216545</v>
      </c>
      <c r="Z6219">
        <v>-7.8887730000000003E-2</v>
      </c>
      <c r="AA6219">
        <v>0.989432599999999</v>
      </c>
      <c r="AB6219">
        <v>61</v>
      </c>
      <c r="AC6219">
        <v>0.117700000000013</v>
      </c>
      <c r="AD6219">
        <v>-7.8445000000000098E-2</v>
      </c>
      <c r="AE6219">
        <v>0.38809000000000499</v>
      </c>
      <c r="AF6219">
        <v>0.116645806484853</v>
      </c>
      <c r="AG6219">
        <v>-7.8445000000000098E-2</v>
      </c>
      <c r="AH6219">
        <v>0.37311052480909201</v>
      </c>
      <c r="AI6219">
        <v>101.346737009088</v>
      </c>
      <c r="AJ6219">
        <v>72.639153030200703</v>
      </c>
      <c r="AK6219">
        <v>0.39871208398895802</v>
      </c>
    </row>
    <row r="6220" spans="1:37" x14ac:dyDescent="0.2">
      <c r="A6220" t="str">
        <f>"20200111153812952"</f>
        <v>20200111153812952</v>
      </c>
      <c r="B6220" t="str">
        <f>"1578728292939909"</f>
        <v>1578728292939909</v>
      </c>
      <c r="C6220" t="s">
        <v>37</v>
      </c>
      <c r="D6220">
        <v>6.2327029999999999</v>
      </c>
      <c r="E6220">
        <v>0.56255390000000005</v>
      </c>
      <c r="F6220" t="s">
        <v>38</v>
      </c>
      <c r="G6220">
        <v>-188.28200000000001</v>
      </c>
      <c r="H6220">
        <v>1.031126</v>
      </c>
      <c r="I6220">
        <v>82.276769999999999</v>
      </c>
      <c r="J6220">
        <v>-188.3938</v>
      </c>
      <c r="K6220">
        <v>1.1045370000000001</v>
      </c>
      <c r="L6220">
        <v>81.915189999999996</v>
      </c>
      <c r="M6220">
        <v>-8.8199550000000008E-3</v>
      </c>
      <c r="N6220">
        <v>0</v>
      </c>
      <c r="O6220">
        <v>0.99980559999999996</v>
      </c>
      <c r="P6220">
        <v>-4.8134199999999898E-2</v>
      </c>
      <c r="Q6220">
        <v>6.1679909999999899E-3</v>
      </c>
      <c r="R6220">
        <v>0.99882190000000004</v>
      </c>
      <c r="S6220">
        <v>0.34608459999999902</v>
      </c>
      <c r="T6220">
        <v>-0.2379116</v>
      </c>
      <c r="U6220">
        <v>3.0226139999999999</v>
      </c>
      <c r="V6220">
        <v>-3.9351959999999998E-2</v>
      </c>
      <c r="W6220">
        <v>2.3735510000000001E-2</v>
      </c>
      <c r="X6220">
        <v>0.99894340000000004</v>
      </c>
      <c r="Y6220">
        <v>0.122169</v>
      </c>
      <c r="Z6220">
        <v>-7.7916379999999993E-2</v>
      </c>
      <c r="AA6220">
        <v>0.98944619999999905</v>
      </c>
      <c r="AB6220">
        <v>61</v>
      </c>
      <c r="AC6220">
        <v>0.11179999999998801</v>
      </c>
      <c r="AD6220">
        <v>-7.3411000000000101E-2</v>
      </c>
      <c r="AE6220">
        <v>0.36158000000000301</v>
      </c>
      <c r="AF6220">
        <v>0.110815973015466</v>
      </c>
      <c r="AG6220">
        <v>-7.3411000000000101E-2</v>
      </c>
      <c r="AH6220">
        <v>0.34750531713447802</v>
      </c>
      <c r="AI6220">
        <v>101.379646795319</v>
      </c>
      <c r="AJ6220">
        <v>72.313037364847702</v>
      </c>
      <c r="AK6220">
        <v>0.37206088242799501</v>
      </c>
    </row>
    <row r="6221" spans="1:37" x14ac:dyDescent="0.2">
      <c r="A6221" t="str">
        <f>"20200111153812976"</f>
        <v>20200111153812976</v>
      </c>
      <c r="B6221" t="str">
        <f>"1578728292969190"</f>
        <v>1578728292969190</v>
      </c>
      <c r="C6221" t="s">
        <v>37</v>
      </c>
      <c r="D6221">
        <v>6.2565759999999999</v>
      </c>
      <c r="E6221">
        <v>0.56225340000000001</v>
      </c>
      <c r="F6221" t="s">
        <v>38</v>
      </c>
      <c r="G6221">
        <v>-188.28919999999999</v>
      </c>
      <c r="H6221">
        <v>1.0331870000000001</v>
      </c>
      <c r="I6221">
        <v>82.817629999999994</v>
      </c>
      <c r="J6221">
        <v>-188.39940000000001</v>
      </c>
      <c r="K6221">
        <v>1.104617</v>
      </c>
      <c r="L6221">
        <v>82.533019999999993</v>
      </c>
      <c r="M6221">
        <v>-9.1261640000000008E-3</v>
      </c>
      <c r="N6221">
        <v>0</v>
      </c>
      <c r="O6221">
        <v>0.99979229999999997</v>
      </c>
      <c r="P6221">
        <v>-4.6389739999999999E-2</v>
      </c>
      <c r="Q6221">
        <v>5.2487690000000004E-3</v>
      </c>
      <c r="R6221">
        <v>0.99890970000000001</v>
      </c>
      <c r="S6221">
        <v>0.34979250000000001</v>
      </c>
      <c r="T6221">
        <v>-0.23897019999999999</v>
      </c>
      <c r="U6221">
        <v>3.021881</v>
      </c>
      <c r="V6221">
        <v>-3.7300119999999999E-2</v>
      </c>
      <c r="W6221">
        <v>2.34123E-2</v>
      </c>
      <c r="X6221">
        <v>0.99902979999999997</v>
      </c>
      <c r="Y6221">
        <v>0.123695</v>
      </c>
      <c r="Z6221">
        <v>-7.8266470000000005E-2</v>
      </c>
      <c r="AA6221">
        <v>0.98922900000000002</v>
      </c>
      <c r="AB6221">
        <v>61</v>
      </c>
      <c r="AC6221">
        <v>0.11020000000002</v>
      </c>
      <c r="AD6221">
        <v>-7.1429999999999799E-2</v>
      </c>
      <c r="AE6221">
        <v>0.28461000000001402</v>
      </c>
      <c r="AF6221">
        <v>0.106935693348388</v>
      </c>
      <c r="AG6221">
        <v>-7.1429999999999799E-2</v>
      </c>
      <c r="AH6221">
        <v>0.26886484396378901</v>
      </c>
      <c r="AI6221">
        <v>103.866980641599</v>
      </c>
      <c r="AJ6221">
        <v>68.3107855885915</v>
      </c>
      <c r="AK6221">
        <v>0.29803656106520399</v>
      </c>
    </row>
    <row r="6222" spans="1:37" x14ac:dyDescent="0.2">
      <c r="A6222" t="str">
        <f>"20200111153812998"</f>
        <v>20200111153812998</v>
      </c>
      <c r="B6222" t="str">
        <f>"1578728292989685"</f>
        <v>1578728292989685</v>
      </c>
      <c r="C6222" t="s">
        <v>37</v>
      </c>
      <c r="D6222">
        <v>6.2462269999999904</v>
      </c>
      <c r="E6222">
        <v>0.56215539999999997</v>
      </c>
      <c r="F6222" t="s">
        <v>38</v>
      </c>
      <c r="G6222">
        <v>-188.3031</v>
      </c>
      <c r="H6222">
        <v>1.038179</v>
      </c>
      <c r="I6222">
        <v>83.358450000000005</v>
      </c>
      <c r="J6222">
        <v>-188.40530000000001</v>
      </c>
      <c r="K6222">
        <v>1.1047039999999999</v>
      </c>
      <c r="L6222">
        <v>83.150180000000006</v>
      </c>
      <c r="M6222">
        <v>-9.4350600000000003E-3</v>
      </c>
      <c r="N6222">
        <v>0</v>
      </c>
      <c r="O6222">
        <v>0.99977739999999904</v>
      </c>
      <c r="P6222">
        <v>-4.4147659999999998E-2</v>
      </c>
      <c r="Q6222">
        <v>4.857704E-3</v>
      </c>
      <c r="R6222">
        <v>0.99901319999999905</v>
      </c>
      <c r="S6222">
        <v>0.35281370000000001</v>
      </c>
      <c r="T6222">
        <v>-0.2431451</v>
      </c>
      <c r="U6222">
        <v>3.0209349999999899</v>
      </c>
      <c r="V6222">
        <v>-3.4747849999999997E-2</v>
      </c>
      <c r="W6222">
        <v>2.3674959999999998E-2</v>
      </c>
      <c r="X6222">
        <v>0.99911559999999899</v>
      </c>
      <c r="Y6222">
        <v>0.12500039999999901</v>
      </c>
      <c r="Z6222">
        <v>-7.9638319999999999E-2</v>
      </c>
      <c r="AA6222">
        <v>0.98895529999999998</v>
      </c>
      <c r="AB6222">
        <v>60</v>
      </c>
      <c r="AC6222">
        <v>0.10220000000001001</v>
      </c>
      <c r="AD6222">
        <v>-6.6524999999999904E-2</v>
      </c>
      <c r="AE6222">
        <v>0.20826999999999801</v>
      </c>
      <c r="AF6222">
        <v>9.6246728911764598E-2</v>
      </c>
      <c r="AG6222">
        <v>-6.6524999999999904E-2</v>
      </c>
      <c r="AH6222">
        <v>0.19154597934893899</v>
      </c>
      <c r="AI6222">
        <v>107.24078878076401</v>
      </c>
      <c r="AJ6222">
        <v>63.3216960259413</v>
      </c>
      <c r="AK6222">
        <v>0.224452379483843</v>
      </c>
    </row>
    <row r="6223" spans="1:37" x14ac:dyDescent="0.2">
      <c r="A6223" t="str">
        <f>"20200111153813020"</f>
        <v>20200111153813020</v>
      </c>
      <c r="B6223" t="str">
        <f>"1578728293009208"</f>
        <v>1578728293009208</v>
      </c>
      <c r="C6223" t="s">
        <v>37</v>
      </c>
      <c r="D6223">
        <v>6.2489790000000003</v>
      </c>
      <c r="E6223">
        <v>0.562007699999999</v>
      </c>
      <c r="F6223" t="s">
        <v>38</v>
      </c>
      <c r="G6223">
        <v>-188.31610000000001</v>
      </c>
      <c r="H6223">
        <v>1.043736</v>
      </c>
      <c r="I6223">
        <v>83.899590000000003</v>
      </c>
      <c r="J6223">
        <v>-188.41099999999901</v>
      </c>
      <c r="K6223">
        <v>1.104778</v>
      </c>
      <c r="L6223">
        <v>83.738219999999998</v>
      </c>
      <c r="M6223">
        <v>-9.7300909999999997E-3</v>
      </c>
      <c r="N6223">
        <v>0</v>
      </c>
      <c r="O6223">
        <v>0.99976239999999905</v>
      </c>
      <c r="P6223">
        <v>-4.1650550000000001E-2</v>
      </c>
      <c r="Q6223">
        <v>3.9739969999999999E-3</v>
      </c>
      <c r="R6223">
        <v>0.99912429999999997</v>
      </c>
      <c r="S6223">
        <v>0.3585663</v>
      </c>
      <c r="T6223">
        <v>-0.2457645</v>
      </c>
      <c r="U6223">
        <v>3.0199889999999998</v>
      </c>
      <c r="V6223">
        <v>-3.195373E-2</v>
      </c>
      <c r="W6223">
        <v>2.343137E-2</v>
      </c>
      <c r="X6223">
        <v>0.99921459999999995</v>
      </c>
      <c r="Y6223">
        <v>0.1271786</v>
      </c>
      <c r="Z6223">
        <v>-8.0495129999999998E-2</v>
      </c>
      <c r="AA6223">
        <v>0.98860820000000005</v>
      </c>
      <c r="AB6223">
        <v>60</v>
      </c>
      <c r="AC6223">
        <v>9.4899999999967094E-2</v>
      </c>
      <c r="AD6223">
        <v>-6.1041999999999999E-2</v>
      </c>
      <c r="AE6223">
        <v>0.16137000000000501</v>
      </c>
      <c r="AF6223">
        <v>8.7195330590256304E-2</v>
      </c>
      <c r="AG6223">
        <v>-6.1041999999999999E-2</v>
      </c>
      <c r="AH6223">
        <v>0.14502022737578599</v>
      </c>
      <c r="AI6223">
        <v>109.836160285296</v>
      </c>
      <c r="AJ6223">
        <v>58.983054117657197</v>
      </c>
      <c r="AK6223">
        <v>0.17988890401819899</v>
      </c>
    </row>
    <row r="6224" spans="1:37" x14ac:dyDescent="0.2">
      <c r="A6224" t="str">
        <f>"20200111153813042"</f>
        <v>20200111153813042</v>
      </c>
      <c r="B6224" t="str">
        <f>"1578728293029704"</f>
        <v>1578728293029704</v>
      </c>
      <c r="C6224" t="s">
        <v>37</v>
      </c>
      <c r="D6224">
        <v>6.2714249999999998</v>
      </c>
      <c r="E6224">
        <v>0.56174380000000002</v>
      </c>
      <c r="F6224" t="s">
        <v>38</v>
      </c>
      <c r="G6224">
        <v>-188.2646</v>
      </c>
      <c r="H6224">
        <v>1.004518</v>
      </c>
      <c r="I6224">
        <v>84.947419999999994</v>
      </c>
      <c r="J6224">
        <v>-188.4169</v>
      </c>
      <c r="K6224">
        <v>1.104851</v>
      </c>
      <c r="L6224">
        <v>84.318209999999993</v>
      </c>
      <c r="M6224">
        <v>-1.001721E-2</v>
      </c>
      <c r="N6224">
        <v>0</v>
      </c>
      <c r="O6224">
        <v>0.99974739999999995</v>
      </c>
      <c r="P6224">
        <v>-3.9072799999999998E-2</v>
      </c>
      <c r="Q6224">
        <v>3.2156390000000002E-3</v>
      </c>
      <c r="R6224">
        <v>0.99923119999999999</v>
      </c>
      <c r="S6224">
        <v>0.36485289999999998</v>
      </c>
      <c r="T6224">
        <v>-0.2503552</v>
      </c>
      <c r="U6224">
        <v>3.0188290000000002</v>
      </c>
      <c r="V6224">
        <v>-2.9087769999999999E-2</v>
      </c>
      <c r="W6224">
        <v>2.329121E-2</v>
      </c>
      <c r="X6224">
        <v>0.99930549999999996</v>
      </c>
      <c r="Y6224">
        <v>0.12952259999999999</v>
      </c>
      <c r="Z6224">
        <v>-8.1996810000000003E-2</v>
      </c>
      <c r="AA6224">
        <v>0.98818030000000001</v>
      </c>
      <c r="AB6224">
        <v>60</v>
      </c>
      <c r="AC6224">
        <v>0.15229999999999599</v>
      </c>
      <c r="AD6224">
        <v>-0.10033300000000001</v>
      </c>
      <c r="AE6224">
        <v>0.62921000000000005</v>
      </c>
      <c r="AF6224">
        <v>0.15487645856587001</v>
      </c>
      <c r="AG6224">
        <v>-0.10033300000000001</v>
      </c>
      <c r="AH6224">
        <v>0.61293003031767601</v>
      </c>
      <c r="AI6224">
        <v>99.017966323500701</v>
      </c>
      <c r="AJ6224">
        <v>75.819213637850794</v>
      </c>
      <c r="AK6224">
        <v>0.64010674920057897</v>
      </c>
    </row>
    <row r="6225" spans="1:37" x14ac:dyDescent="0.2">
      <c r="A6225" t="str">
        <f>"20200111153813064"</f>
        <v>20200111153813064</v>
      </c>
      <c r="B6225" t="str">
        <f>"1578728293059957"</f>
        <v>1578728293059957</v>
      </c>
      <c r="C6225" t="s">
        <v>37</v>
      </c>
      <c r="D6225">
        <v>6.242966</v>
      </c>
      <c r="E6225">
        <v>0.56145619999999996</v>
      </c>
      <c r="F6225" t="s">
        <v>38</v>
      </c>
      <c r="G6225">
        <v>-188.27420000000001</v>
      </c>
      <c r="H6225">
        <v>1.0064979999999999</v>
      </c>
      <c r="I6225">
        <v>85.479349999999997</v>
      </c>
      <c r="J6225">
        <v>-188.4229</v>
      </c>
      <c r="K6225">
        <v>1.104924</v>
      </c>
      <c r="L6225">
        <v>84.897639999999996</v>
      </c>
      <c r="M6225">
        <v>-1.029827E-2</v>
      </c>
      <c r="N6225">
        <v>0</v>
      </c>
      <c r="O6225">
        <v>0.99973219999999996</v>
      </c>
      <c r="P6225">
        <v>-3.6633249999999999E-2</v>
      </c>
      <c r="Q6225">
        <v>2.376221E-3</v>
      </c>
      <c r="R6225">
        <v>0.99932589999999999</v>
      </c>
      <c r="S6225">
        <v>0.37042239999999999</v>
      </c>
      <c r="T6225">
        <v>-0.2556311</v>
      </c>
      <c r="U6225">
        <v>3.017639</v>
      </c>
      <c r="V6225">
        <v>-2.6365530000000002E-2</v>
      </c>
      <c r="W6225">
        <v>2.3060009999999999E-2</v>
      </c>
      <c r="X6225">
        <v>0.99938640000000001</v>
      </c>
      <c r="Y6225">
        <v>0.1316272</v>
      </c>
      <c r="Z6225">
        <v>-8.3723969999999995E-2</v>
      </c>
      <c r="AA6225">
        <v>0.98775729999999995</v>
      </c>
      <c r="AB6225">
        <v>60</v>
      </c>
      <c r="AC6225">
        <v>0.14869999999999001</v>
      </c>
      <c r="AD6225">
        <v>-9.8426000000000097E-2</v>
      </c>
      <c r="AE6225">
        <v>0.58171000000000095</v>
      </c>
      <c r="AF6225">
        <v>0.150635960799546</v>
      </c>
      <c r="AG6225">
        <v>-9.8426000000000097E-2</v>
      </c>
      <c r="AH6225">
        <v>0.56496513564717399</v>
      </c>
      <c r="AI6225">
        <v>99.555314899288007</v>
      </c>
      <c r="AJ6225">
        <v>75.070609855625406</v>
      </c>
      <c r="AK6225">
        <v>0.59292872645776895</v>
      </c>
    </row>
    <row r="6226" spans="1:37" x14ac:dyDescent="0.2">
      <c r="A6226" t="str">
        <f>"20200111153813088"</f>
        <v>20200111153813088</v>
      </c>
      <c r="B6226" t="str">
        <f>"1578728293079477"</f>
        <v>1578728293079477</v>
      </c>
      <c r="C6226" t="s">
        <v>37</v>
      </c>
      <c r="D6226">
        <v>6.2584239999999998</v>
      </c>
      <c r="E6226">
        <v>0.56122729999999998</v>
      </c>
      <c r="F6226" t="s">
        <v>38</v>
      </c>
      <c r="G6226">
        <v>-188.2843</v>
      </c>
      <c r="H6226">
        <v>1.0088029999999999</v>
      </c>
      <c r="I6226">
        <v>86.009519999999995</v>
      </c>
      <c r="J6226">
        <v>-188.42959999999999</v>
      </c>
      <c r="K6226">
        <v>1.104994</v>
      </c>
      <c r="L6226">
        <v>85.522090000000006</v>
      </c>
      <c r="M6226">
        <v>-1.059731E-2</v>
      </c>
      <c r="N6226">
        <v>0</v>
      </c>
      <c r="O6226">
        <v>0.99971559999999904</v>
      </c>
      <c r="P6226">
        <v>-3.3564040000000003E-2</v>
      </c>
      <c r="Q6226">
        <v>1.892206E-3</v>
      </c>
      <c r="R6226">
        <v>0.99943479999999996</v>
      </c>
      <c r="S6226">
        <v>0.37551879999999999</v>
      </c>
      <c r="T6226">
        <v>-0.26080799999999998</v>
      </c>
      <c r="U6226">
        <v>3.0164179999999998</v>
      </c>
      <c r="V6226">
        <v>-2.299613E-2</v>
      </c>
      <c r="W6226">
        <v>2.3221140000000001E-2</v>
      </c>
      <c r="X6226">
        <v>0.99946579999999996</v>
      </c>
      <c r="Y6226">
        <v>0.13359789999999999</v>
      </c>
      <c r="Z6226">
        <v>-8.5420720000000006E-2</v>
      </c>
      <c r="AA6226">
        <v>0.98734739999999999</v>
      </c>
      <c r="AB6226">
        <v>59</v>
      </c>
      <c r="AC6226">
        <v>0.14529999999999099</v>
      </c>
      <c r="AD6226">
        <v>-9.6190999999999902E-2</v>
      </c>
      <c r="AE6226">
        <v>0.48742999999998898</v>
      </c>
      <c r="AF6226">
        <v>0.14526296507991801</v>
      </c>
      <c r="AG6226">
        <v>-9.6190999999999902E-2</v>
      </c>
      <c r="AH6226">
        <v>0.469085104183048</v>
      </c>
      <c r="AI6226">
        <v>101.082967559883</v>
      </c>
      <c r="AJ6226">
        <v>72.793661405733801</v>
      </c>
      <c r="AK6226">
        <v>0.50039471666998103</v>
      </c>
    </row>
    <row r="6227" spans="1:37" x14ac:dyDescent="0.2">
      <c r="A6227" t="str">
        <f>"20200111153813110"</f>
        <v>20200111153813110</v>
      </c>
      <c r="B6227" t="str">
        <f>"1578728293099612"</f>
        <v>1578728293099612</v>
      </c>
      <c r="C6227" t="s">
        <v>37</v>
      </c>
      <c r="D6227">
        <v>6.2689379999999897</v>
      </c>
      <c r="E6227">
        <v>0.56097589999999997</v>
      </c>
      <c r="F6227" t="s">
        <v>38</v>
      </c>
      <c r="G6227">
        <v>-188.3004</v>
      </c>
      <c r="H6227">
        <v>1.0156350000000001</v>
      </c>
      <c r="I6227">
        <v>86.539699999999996</v>
      </c>
      <c r="J6227">
        <v>-188.43599999999901</v>
      </c>
      <c r="K6227">
        <v>1.105059</v>
      </c>
      <c r="L6227">
        <v>86.105620000000002</v>
      </c>
      <c r="M6227">
        <v>-1.087601E-2</v>
      </c>
      <c r="N6227">
        <v>0</v>
      </c>
      <c r="O6227">
        <v>0.99969969999999997</v>
      </c>
      <c r="P6227">
        <v>-3.0391040000000001E-2</v>
      </c>
      <c r="Q6227">
        <v>1.4872539999999999E-3</v>
      </c>
      <c r="R6227">
        <v>0.99953700000000001</v>
      </c>
      <c r="S6227">
        <v>0.3827972</v>
      </c>
      <c r="T6227">
        <v>-0.264758099999999</v>
      </c>
      <c r="U6227">
        <v>3.0150450000000002</v>
      </c>
      <c r="V6227">
        <v>-1.9543069999999999E-2</v>
      </c>
      <c r="W6227">
        <v>2.3420880000000002E-2</v>
      </c>
      <c r="X6227">
        <v>0.9995347</v>
      </c>
      <c r="Y6227">
        <v>0.1362612</v>
      </c>
      <c r="Z6227">
        <v>-8.6714509999999995E-2</v>
      </c>
      <c r="AA6227">
        <v>0.98687049999999998</v>
      </c>
      <c r="AB6227">
        <v>59</v>
      </c>
      <c r="AC6227">
        <v>0.13559999999998201</v>
      </c>
      <c r="AD6227">
        <v>-8.9423999999999906E-2</v>
      </c>
      <c r="AE6227">
        <v>0.43407999999999403</v>
      </c>
      <c r="AF6227">
        <v>0.13509073654602499</v>
      </c>
      <c r="AG6227">
        <v>-8.9423999999999906E-2</v>
      </c>
      <c r="AH6227">
        <v>0.41647566691484</v>
      </c>
      <c r="AI6227">
        <v>101.54334553900701</v>
      </c>
      <c r="AJ6227">
        <v>72.028676012248596</v>
      </c>
      <c r="AK6227">
        <v>0.44687597833035098</v>
      </c>
    </row>
    <row r="6228" spans="1:37" x14ac:dyDescent="0.2">
      <c r="A6228" t="str">
        <f>"20200111153813133"</f>
        <v>20200111153813133</v>
      </c>
      <c r="B6228" t="str">
        <f>"1578728293129869"</f>
        <v>1578728293129869</v>
      </c>
      <c r="C6228" t="s">
        <v>37</v>
      </c>
      <c r="D6228">
        <v>6.2782140000000002</v>
      </c>
      <c r="E6228">
        <v>0.56066990000000005</v>
      </c>
      <c r="F6228" t="s">
        <v>38</v>
      </c>
      <c r="G6228">
        <v>-188.31129999999999</v>
      </c>
      <c r="H6228">
        <v>1.019666</v>
      </c>
      <c r="I6228">
        <v>87.066559999999996</v>
      </c>
      <c r="J6228">
        <v>-188.4427</v>
      </c>
      <c r="K6228">
        <v>1.1051229999999901</v>
      </c>
      <c r="L6228">
        <v>86.703800000000001</v>
      </c>
      <c r="M6228">
        <v>-1.1162760000000001E-2</v>
      </c>
      <c r="N6228">
        <v>0</v>
      </c>
      <c r="O6228">
        <v>0.99968279999999998</v>
      </c>
      <c r="P6228">
        <v>-2.7119040000000001E-2</v>
      </c>
      <c r="Q6228">
        <v>1.39992E-3</v>
      </c>
      <c r="R6228">
        <v>0.99963119999999905</v>
      </c>
      <c r="S6228">
        <v>0.39054870000000003</v>
      </c>
      <c r="T6228">
        <v>-0.2678625</v>
      </c>
      <c r="U6228">
        <v>3.0136720000000001</v>
      </c>
      <c r="V6228">
        <v>-1.5983859999999999E-2</v>
      </c>
      <c r="W6228">
        <v>2.395193E-2</v>
      </c>
      <c r="X6228">
        <v>0.99958530000000001</v>
      </c>
      <c r="Y6228">
        <v>0.13908679999999901</v>
      </c>
      <c r="Z6228">
        <v>-8.7730799999999998E-2</v>
      </c>
      <c r="AA6228">
        <v>0.9863864</v>
      </c>
      <c r="AB6228">
        <v>59</v>
      </c>
      <c r="AC6228">
        <v>0.13140000000001301</v>
      </c>
      <c r="AD6228">
        <v>-8.5456999999999894E-2</v>
      </c>
      <c r="AE6228">
        <v>0.36275999999999398</v>
      </c>
      <c r="AF6228">
        <v>0.12910837033008901</v>
      </c>
      <c r="AG6228">
        <v>-8.5456999999999894E-2</v>
      </c>
      <c r="AH6228">
        <v>0.34437564467207699</v>
      </c>
      <c r="AI6228">
        <v>103.081002533339</v>
      </c>
      <c r="AJ6228">
        <v>69.448694976801093</v>
      </c>
      <c r="AK6228">
        <v>0.37757973301224701</v>
      </c>
    </row>
    <row r="6229" spans="1:37" x14ac:dyDescent="0.2">
      <c r="A6229" t="str">
        <f>"20200111153813154"</f>
        <v>20200111153813154</v>
      </c>
      <c r="B6229" t="str">
        <f>"1578728293149389"</f>
        <v>1578728293149389</v>
      </c>
      <c r="C6229" t="s">
        <v>37</v>
      </c>
      <c r="D6229">
        <v>6.271223</v>
      </c>
      <c r="E6229">
        <v>0.56041640000000004</v>
      </c>
      <c r="F6229" t="s">
        <v>38</v>
      </c>
      <c r="G6229">
        <v>-188.3254</v>
      </c>
      <c r="H6229">
        <v>1.0253760000000001</v>
      </c>
      <c r="I6229">
        <v>87.592019999999906</v>
      </c>
      <c r="J6229">
        <v>-188.44900000000001</v>
      </c>
      <c r="K6229">
        <v>1.1051789999999999</v>
      </c>
      <c r="L6229">
        <v>87.242769999999993</v>
      </c>
      <c r="M6229">
        <v>-1.142172E-2</v>
      </c>
      <c r="N6229">
        <v>0</v>
      </c>
      <c r="O6229">
        <v>0.99966749999999904</v>
      </c>
      <c r="P6229">
        <v>-2.3574649999999999E-2</v>
      </c>
      <c r="Q6229">
        <v>1.094458E-3</v>
      </c>
      <c r="R6229">
        <v>0.99972150000000004</v>
      </c>
      <c r="S6229">
        <v>0.39775090000000002</v>
      </c>
      <c r="T6229">
        <v>-0.2704782</v>
      </c>
      <c r="U6229">
        <v>3.0122680000000002</v>
      </c>
      <c r="V6229">
        <v>-1.217915E-2</v>
      </c>
      <c r="W6229">
        <v>2.4195520000000002E-2</v>
      </c>
      <c r="X6229">
        <v>0.99963310000000005</v>
      </c>
      <c r="Y6229">
        <v>0.14171029999999901</v>
      </c>
      <c r="Z6229">
        <v>-8.8590849999999999E-2</v>
      </c>
      <c r="AA6229">
        <v>0.98593600000000003</v>
      </c>
      <c r="AB6229">
        <v>59</v>
      </c>
      <c r="AC6229">
        <v>0.12360000000000999</v>
      </c>
      <c r="AD6229">
        <v>-7.9802999999999999E-2</v>
      </c>
      <c r="AE6229">
        <v>0.34924999999999701</v>
      </c>
      <c r="AF6229">
        <v>0.121924726463585</v>
      </c>
      <c r="AG6229">
        <v>-7.9802999999999999E-2</v>
      </c>
      <c r="AH6229">
        <v>0.332392106265333</v>
      </c>
      <c r="AI6229">
        <v>102.702276962916</v>
      </c>
      <c r="AJ6229">
        <v>69.856461121301507</v>
      </c>
      <c r="AK6229">
        <v>0.36293066836480598</v>
      </c>
    </row>
    <row r="6230" spans="1:37" x14ac:dyDescent="0.2">
      <c r="A6230" t="str">
        <f>"20200111153813176"</f>
        <v>20200111153813176</v>
      </c>
      <c r="B6230" t="str">
        <f>"1578728293169884"</f>
        <v>1578728293169884</v>
      </c>
      <c r="C6230" t="s">
        <v>37</v>
      </c>
      <c r="D6230">
        <v>6.283296</v>
      </c>
      <c r="E6230">
        <v>0.56014869999999894</v>
      </c>
      <c r="F6230" t="s">
        <v>38</v>
      </c>
      <c r="G6230">
        <v>-188.33150000000001</v>
      </c>
      <c r="H6230">
        <v>1.026111</v>
      </c>
      <c r="I6230">
        <v>88.112979999999993</v>
      </c>
      <c r="J6230">
        <v>-188.45590000000001</v>
      </c>
      <c r="K6230">
        <v>1.105229</v>
      </c>
      <c r="L6230">
        <v>87.829930000000004</v>
      </c>
      <c r="M6230">
        <v>-1.170298E-2</v>
      </c>
      <c r="N6230">
        <v>0</v>
      </c>
      <c r="O6230">
        <v>0.99965079999999995</v>
      </c>
      <c r="P6230">
        <v>-2.052853E-2</v>
      </c>
      <c r="Q6230">
        <v>6.9301699999999998E-4</v>
      </c>
      <c r="R6230">
        <v>0.99978899999999904</v>
      </c>
      <c r="S6230">
        <v>0.40631099999999998</v>
      </c>
      <c r="T6230">
        <v>-0.27356849999999999</v>
      </c>
      <c r="U6230">
        <v>3.0107119999999998</v>
      </c>
      <c r="V6230">
        <v>-8.8505149999999998E-3</v>
      </c>
      <c r="W6230">
        <v>2.4371420000000001E-2</v>
      </c>
      <c r="X6230">
        <v>0.99966379999999999</v>
      </c>
      <c r="Y6230">
        <v>0.14479639999999999</v>
      </c>
      <c r="Z6230">
        <v>-8.9603169999999996E-2</v>
      </c>
      <c r="AA6230">
        <v>0.98539599999999905</v>
      </c>
      <c r="AB6230">
        <v>58</v>
      </c>
      <c r="AC6230">
        <v>0.124400000000008</v>
      </c>
      <c r="AD6230">
        <v>-7.9117999999999994E-2</v>
      </c>
      <c r="AE6230">
        <v>0.28305000000000202</v>
      </c>
      <c r="AF6230">
        <v>0.119856422140876</v>
      </c>
      <c r="AG6230">
        <v>-7.9117999999999994E-2</v>
      </c>
      <c r="AH6230">
        <v>0.26426929979535002</v>
      </c>
      <c r="AI6230">
        <v>105.251127942114</v>
      </c>
      <c r="AJ6230">
        <v>65.603856811987896</v>
      </c>
      <c r="AK6230">
        <v>0.30077147914444402</v>
      </c>
    </row>
    <row r="6231" spans="1:37" x14ac:dyDescent="0.2">
      <c r="A6231" t="str">
        <f>"20200111153813199"</f>
        <v>20200111153813199</v>
      </c>
      <c r="B6231" t="str">
        <f>"1578728293189013"</f>
        <v>1578728293189013</v>
      </c>
      <c r="C6231" t="s">
        <v>37</v>
      </c>
      <c r="D6231">
        <v>6.1887780000000001</v>
      </c>
      <c r="E6231">
        <v>0.56008930000000001</v>
      </c>
      <c r="F6231" t="s">
        <v>38</v>
      </c>
      <c r="G6231">
        <v>-188.34540000000001</v>
      </c>
      <c r="H6231">
        <v>1.0312939999999999</v>
      </c>
      <c r="I6231">
        <v>88.634369999999905</v>
      </c>
      <c r="J6231">
        <v>-188.4632</v>
      </c>
      <c r="K6231">
        <v>1.1052770000000001</v>
      </c>
      <c r="L6231">
        <v>88.424710000000005</v>
      </c>
      <c r="M6231">
        <v>-1.198607E-2</v>
      </c>
      <c r="N6231">
        <v>0</v>
      </c>
      <c r="O6231">
        <v>0.99963429999999998</v>
      </c>
      <c r="P6231">
        <v>-1.7235190000000001E-2</v>
      </c>
      <c r="Q6231">
        <v>4.1032299999999998E-4</v>
      </c>
      <c r="R6231">
        <v>0.99985139999999995</v>
      </c>
      <c r="S6231">
        <v>0.41319269999999902</v>
      </c>
      <c r="T6231">
        <v>-0.27658179999999999</v>
      </c>
      <c r="U6231">
        <v>3.0093079999999999</v>
      </c>
      <c r="V6231">
        <v>-5.273448E-3</v>
      </c>
      <c r="W6231">
        <v>2.464361E-2</v>
      </c>
      <c r="X6231">
        <v>0.99968239999999997</v>
      </c>
      <c r="Y6231">
        <v>0.14733740000000001</v>
      </c>
      <c r="Z6231">
        <v>-9.0592140000000002E-2</v>
      </c>
      <c r="AA6231">
        <v>0.98492880000000005</v>
      </c>
      <c r="AB6231">
        <v>58</v>
      </c>
      <c r="AC6231">
        <v>0.117799999999988</v>
      </c>
      <c r="AD6231">
        <v>-7.3982999999999896E-2</v>
      </c>
      <c r="AE6231">
        <v>0.209659999999985</v>
      </c>
      <c r="AF6231">
        <v>0.109903856278481</v>
      </c>
      <c r="AG6231">
        <v>-7.3982999999999896E-2</v>
      </c>
      <c r="AH6231">
        <v>0.19022907927923199</v>
      </c>
      <c r="AI6231">
        <v>108.611106336405</v>
      </c>
      <c r="AJ6231">
        <v>59.983050331609299</v>
      </c>
      <c r="AK6231">
        <v>0.23181769673022301</v>
      </c>
    </row>
    <row r="6232" spans="1:37" x14ac:dyDescent="0.2">
      <c r="A6232" t="str">
        <f>"20200111153813222"</f>
        <v>20200111153813222</v>
      </c>
      <c r="B6232" t="str">
        <f>"1578728293209492"</f>
        <v>1578728293209492</v>
      </c>
      <c r="C6232" t="s">
        <v>37</v>
      </c>
      <c r="D6232">
        <v>6.2508140000000001</v>
      </c>
      <c r="E6232">
        <v>0.55998800000000004</v>
      </c>
      <c r="F6232" t="s">
        <v>38</v>
      </c>
      <c r="G6232">
        <v>-188.3603</v>
      </c>
      <c r="H6232">
        <v>1.0383849999999999</v>
      </c>
      <c r="I6232">
        <v>89.155779999999993</v>
      </c>
      <c r="J6232">
        <v>-188.4701</v>
      </c>
      <c r="K6232">
        <v>1.1053189999999999</v>
      </c>
      <c r="L6232">
        <v>88.983249999999998</v>
      </c>
      <c r="M6232">
        <v>-1.225095E-2</v>
      </c>
      <c r="N6232">
        <v>0</v>
      </c>
      <c r="O6232">
        <v>0.99961939999999905</v>
      </c>
      <c r="P6232">
        <v>-1.274838E-2</v>
      </c>
      <c r="Q6232">
        <v>2.5726569999999998E-4</v>
      </c>
      <c r="R6232">
        <v>0.99991869999999905</v>
      </c>
      <c r="S6232">
        <v>0.42277529999999902</v>
      </c>
      <c r="T6232">
        <v>-0.27525519999999998</v>
      </c>
      <c r="U6232">
        <v>3.0078429999999998</v>
      </c>
      <c r="V6232">
        <v>-5.2132239999999998E-4</v>
      </c>
      <c r="W6232">
        <v>2.497301E-2</v>
      </c>
      <c r="X6232">
        <v>0.99968799999999902</v>
      </c>
      <c r="Y6232">
        <v>0.1507472</v>
      </c>
      <c r="Z6232">
        <v>-9.0161110000000003E-2</v>
      </c>
      <c r="AA6232">
        <v>0.984452199999999</v>
      </c>
      <c r="AB6232">
        <v>58</v>
      </c>
      <c r="AC6232">
        <v>0.109800000000007</v>
      </c>
      <c r="AD6232">
        <v>-6.6933999999999799E-2</v>
      </c>
      <c r="AE6232">
        <v>0.17253000000000801</v>
      </c>
      <c r="AF6232">
        <v>0.10107826575128299</v>
      </c>
      <c r="AG6232">
        <v>-6.6933999999999799E-2</v>
      </c>
      <c r="AH6232">
        <v>0.154609291564654</v>
      </c>
      <c r="AI6232">
        <v>109.918347530041</v>
      </c>
      <c r="AJ6232">
        <v>56.8247139729366</v>
      </c>
      <c r="AK6232">
        <v>0.19647139537706501</v>
      </c>
    </row>
    <row r="6233" spans="1:37" x14ac:dyDescent="0.2">
      <c r="A6233" t="str">
        <f>"20200111153813254"</f>
        <v>20200111153813254</v>
      </c>
      <c r="B6233" t="str">
        <f>"1578728293249509"</f>
        <v>1578728293249509</v>
      </c>
      <c r="C6233" t="s">
        <v>37</v>
      </c>
      <c r="D6233">
        <v>6.2286839999999897</v>
      </c>
      <c r="E6233">
        <v>0.48064030000000002</v>
      </c>
      <c r="F6233" t="s">
        <v>38</v>
      </c>
      <c r="G6233">
        <v>-188.29920000000001</v>
      </c>
      <c r="H6233">
        <v>0.99739849999999997</v>
      </c>
      <c r="I6233">
        <v>90.161869999999993</v>
      </c>
      <c r="J6233">
        <v>-188.48099999999999</v>
      </c>
      <c r="K6233">
        <v>1.105375</v>
      </c>
      <c r="L6233">
        <v>89.832980000000006</v>
      </c>
      <c r="M6233">
        <v>-1.26575E-2</v>
      </c>
      <c r="N6233">
        <v>0</v>
      </c>
      <c r="O6233">
        <v>0.99959819999999999</v>
      </c>
      <c r="P6233">
        <v>-7.7834929999999998E-3</v>
      </c>
      <c r="Q6233">
        <v>4.2754519999999902E-4</v>
      </c>
      <c r="R6233">
        <v>0.99996960000000001</v>
      </c>
      <c r="S6233">
        <v>0.43554690000000001</v>
      </c>
      <c r="T6233">
        <v>-0.27526899999999999</v>
      </c>
      <c r="U6233">
        <v>3.0058590000000001</v>
      </c>
      <c r="V6233">
        <v>4.8507450000000001E-3</v>
      </c>
      <c r="W6233">
        <v>2.5794810000000001E-2</v>
      </c>
      <c r="X6233">
        <v>0.99965550000000003</v>
      </c>
      <c r="Y6233">
        <v>0.15533649999999999</v>
      </c>
      <c r="Z6233">
        <v>-9.0164369999999994E-2</v>
      </c>
      <c r="AA6233">
        <v>0.98373820000000001</v>
      </c>
      <c r="AB6233">
        <v>57</v>
      </c>
      <c r="AC6233">
        <v>0.181799999999981</v>
      </c>
      <c r="AD6233">
        <v>-0.107976499999999</v>
      </c>
      <c r="AE6233">
        <v>0.32888999999998703</v>
      </c>
      <c r="AF6233">
        <v>0.17176869660074701</v>
      </c>
      <c r="AG6233">
        <v>-0.107976499999999</v>
      </c>
      <c r="AH6233">
        <v>0.301657334201757</v>
      </c>
      <c r="AI6233">
        <v>107.27840225424301</v>
      </c>
      <c r="AJ6233">
        <v>60.342095067592098</v>
      </c>
      <c r="AK6233">
        <v>0.36353893458869002</v>
      </c>
    </row>
    <row r="6234" spans="1:37" x14ac:dyDescent="0.2">
      <c r="A6234" t="str">
        <f>"20200111153813278"</f>
        <v>20200111153813278</v>
      </c>
      <c r="B6234" t="str">
        <f>"1578728293269030"</f>
        <v>1578728293269030</v>
      </c>
      <c r="C6234" t="s">
        <v>37</v>
      </c>
      <c r="D6234">
        <v>6.138325</v>
      </c>
      <c r="E6234">
        <v>0.4823287</v>
      </c>
      <c r="F6234" t="s">
        <v>39</v>
      </c>
      <c r="G6234">
        <v>-190.17140000000001</v>
      </c>
      <c r="H6234" s="1">
        <v>-3.6588839999999998E-6</v>
      </c>
      <c r="I6234">
        <v>118.0117</v>
      </c>
      <c r="J6234">
        <v>-188.4889</v>
      </c>
      <c r="K6234">
        <v>1.1054139999999999</v>
      </c>
      <c r="L6234">
        <v>90.430329999999998</v>
      </c>
      <c r="M6234">
        <v>-1.294448E-2</v>
      </c>
      <c r="N6234">
        <v>0</v>
      </c>
      <c r="O6234">
        <v>0.99958429999999998</v>
      </c>
      <c r="P6234">
        <v>-4.2544549999999999E-3</v>
      </c>
      <c r="Q6234">
        <v>1.101793E-3</v>
      </c>
      <c r="R6234">
        <v>0.9999903</v>
      </c>
      <c r="S6234">
        <v>-0.17988589999999999</v>
      </c>
      <c r="T6234">
        <v>-0.117632999999999</v>
      </c>
      <c r="U6234">
        <v>2.9987490000000001</v>
      </c>
      <c r="V6234">
        <v>8.666422E-3</v>
      </c>
      <c r="W6234">
        <v>2.68697E-2</v>
      </c>
      <c r="X6234">
        <v>0.99960139999999997</v>
      </c>
      <c r="Y6234">
        <v>-4.6902899999999997E-2</v>
      </c>
      <c r="Z6234">
        <v>-3.9135589999999998E-2</v>
      </c>
      <c r="AA6234">
        <v>0.99813249999999998</v>
      </c>
      <c r="AB6234">
        <v>57</v>
      </c>
      <c r="AC6234">
        <v>-1.6825000000000001</v>
      </c>
      <c r="AD6234">
        <v>-1.1054176588839999</v>
      </c>
      <c r="AE6234">
        <v>27.58137</v>
      </c>
      <c r="AF6234">
        <v>-1.3230965324255901</v>
      </c>
      <c r="AG6234">
        <v>-1.1054176588839999</v>
      </c>
      <c r="AH6234">
        <v>27.556744193384699</v>
      </c>
      <c r="AI6234">
        <v>92.294504222896407</v>
      </c>
      <c r="AJ6234">
        <v>92.748861543903402</v>
      </c>
      <c r="AK6234">
        <v>27.610626272765501</v>
      </c>
    </row>
    <row r="6235" spans="1:37" x14ac:dyDescent="0.2">
      <c r="A6235" t="str">
        <f>"20200111153813301"</f>
        <v>20200111153813301</v>
      </c>
      <c r="B6235" t="str">
        <f>"1578728293289079"</f>
        <v>1578728293289079</v>
      </c>
      <c r="C6235" t="s">
        <v>37</v>
      </c>
      <c r="D6235">
        <v>5.9471629999999998</v>
      </c>
      <c r="E6235">
        <v>0.48306700000000002</v>
      </c>
      <c r="F6235" t="s">
        <v>39</v>
      </c>
      <c r="G6235">
        <v>-189.49520000000001</v>
      </c>
      <c r="H6235" s="1">
        <v>-1.4824869999999999E-7</v>
      </c>
      <c r="I6235">
        <v>109.68899999999999</v>
      </c>
      <c r="J6235">
        <v>-188.4967</v>
      </c>
      <c r="K6235">
        <v>1.105437</v>
      </c>
      <c r="L6235">
        <v>91.010249999999999</v>
      </c>
      <c r="M6235">
        <v>-1.320064E-2</v>
      </c>
      <c r="N6235">
        <v>0</v>
      </c>
      <c r="O6235">
        <v>0.99957220000000002</v>
      </c>
      <c r="P6235">
        <v>-4.6025649999999999E-4</v>
      </c>
      <c r="Q6235">
        <v>1.52337E-3</v>
      </c>
      <c r="R6235">
        <v>0.99999869999999902</v>
      </c>
      <c r="S6235">
        <v>-0.156738299999999</v>
      </c>
      <c r="T6235">
        <v>-0.1721702</v>
      </c>
      <c r="U6235">
        <v>2.9995729999999998</v>
      </c>
      <c r="V6235">
        <v>1.27172E-2</v>
      </c>
      <c r="W6235">
        <v>2.7631409999999999E-2</v>
      </c>
      <c r="X6235">
        <v>0.99953729999999996</v>
      </c>
      <c r="Y6235">
        <v>-3.8905120000000001E-2</v>
      </c>
      <c r="Z6235">
        <v>-5.7235840000000003E-2</v>
      </c>
      <c r="AA6235">
        <v>0.99760230000000005</v>
      </c>
      <c r="AB6235">
        <v>57</v>
      </c>
      <c r="AC6235">
        <v>-0.99850000000000705</v>
      </c>
      <c r="AD6235">
        <v>-1.1054371482487</v>
      </c>
      <c r="AE6235">
        <v>18.678749999999901</v>
      </c>
      <c r="AF6235">
        <v>-0.74914110841037296</v>
      </c>
      <c r="AG6235">
        <v>-1.1054371482487</v>
      </c>
      <c r="AH6235">
        <v>18.625258462454099</v>
      </c>
      <c r="AI6235">
        <v>93.393868517033098</v>
      </c>
      <c r="AJ6235">
        <v>92.303296873784902</v>
      </c>
      <c r="AK6235">
        <v>18.673067677332899</v>
      </c>
    </row>
    <row r="6236" spans="1:37" x14ac:dyDescent="0.2">
      <c r="A6236" t="str">
        <f>"20200111153813324"</f>
        <v>20200111153813324</v>
      </c>
      <c r="B6236" t="str">
        <f>"1578728293319330"</f>
        <v>1578728293319330</v>
      </c>
      <c r="C6236" t="s">
        <v>37</v>
      </c>
      <c r="D6236">
        <v>6.2981509999999998</v>
      </c>
      <c r="E6236">
        <v>0.48391640000000002</v>
      </c>
      <c r="F6236" t="s">
        <v>39</v>
      </c>
      <c r="G6236">
        <v>-189.33349999999999</v>
      </c>
      <c r="H6236" s="1">
        <v>-4.1245699999999999E-6</v>
      </c>
      <c r="I6236">
        <v>108.9717</v>
      </c>
      <c r="J6236">
        <v>-188.5042</v>
      </c>
      <c r="K6236">
        <v>1.1054360000000001</v>
      </c>
      <c r="L6236">
        <v>91.564030000000002</v>
      </c>
      <c r="M6236">
        <v>-1.3397249999999999E-2</v>
      </c>
      <c r="N6236">
        <v>0</v>
      </c>
      <c r="O6236">
        <v>0.99956209999999901</v>
      </c>
      <c r="P6236">
        <v>3.9199250000000003E-3</v>
      </c>
      <c r="Q6236">
        <v>2.1577100000000002E-3</v>
      </c>
      <c r="R6236">
        <v>0.99998999999999905</v>
      </c>
      <c r="S6236">
        <v>-0.13978579999999999</v>
      </c>
      <c r="T6236">
        <v>-0.18464910000000001</v>
      </c>
      <c r="U6236">
        <v>3.0002140000000002</v>
      </c>
      <c r="V6236">
        <v>1.7295169999999999E-2</v>
      </c>
      <c r="W6236">
        <v>2.855038E-2</v>
      </c>
      <c r="X6236">
        <v>0.99944270000000002</v>
      </c>
      <c r="Y6236">
        <v>-3.3062149999999998E-2</v>
      </c>
      <c r="Z6236">
        <v>-6.1370889999999997E-2</v>
      </c>
      <c r="AA6236">
        <v>0.99756730000000005</v>
      </c>
      <c r="AB6236">
        <v>56</v>
      </c>
      <c r="AC6236">
        <v>-0.82929999999998905</v>
      </c>
      <c r="AD6236">
        <v>-1.1054401245700001</v>
      </c>
      <c r="AE6236">
        <v>17.4076699999999</v>
      </c>
      <c r="AF6236">
        <v>-0.59354128178716603</v>
      </c>
      <c r="AG6236">
        <v>-1.1054401245700001</v>
      </c>
      <c r="AH6236">
        <v>17.347423374670502</v>
      </c>
      <c r="AI6236">
        <v>93.644036279399401</v>
      </c>
      <c r="AJ6236">
        <v>91.959607982477607</v>
      </c>
      <c r="AK6236">
        <v>17.392739486988798</v>
      </c>
    </row>
    <row r="6237" spans="1:37" x14ac:dyDescent="0.2">
      <c r="A6237" t="str">
        <f>"20200111153813345"</f>
        <v>20200111153813345</v>
      </c>
      <c r="B6237" t="str">
        <f>"1578728293339825"</f>
        <v>1578728293339825</v>
      </c>
      <c r="C6237" t="s">
        <v>37</v>
      </c>
      <c r="D6237">
        <v>6.1237680000000001</v>
      </c>
      <c r="E6237">
        <v>0.48418430000000001</v>
      </c>
      <c r="F6237" t="s">
        <v>39</v>
      </c>
      <c r="G6237">
        <v>-189.16470000000001</v>
      </c>
      <c r="H6237" s="1">
        <v>-3.7430809999999999E-6</v>
      </c>
      <c r="I6237">
        <v>108.01260000000001</v>
      </c>
      <c r="J6237">
        <v>-188.51159999999999</v>
      </c>
      <c r="K6237">
        <v>1.1054079999999999</v>
      </c>
      <c r="L6237">
        <v>92.105159999999998</v>
      </c>
      <c r="M6237">
        <v>-1.3543919999999999E-2</v>
      </c>
      <c r="N6237">
        <v>0</v>
      </c>
      <c r="O6237">
        <v>0.99955369999999999</v>
      </c>
      <c r="P6237">
        <v>8.2783619999999992E-3</v>
      </c>
      <c r="Q6237">
        <v>3.1606830000000001E-3</v>
      </c>
      <c r="R6237">
        <v>0.99996070000000004</v>
      </c>
      <c r="S6237">
        <v>-0.12051389999999999</v>
      </c>
      <c r="T6237">
        <v>-0.20168069999999999</v>
      </c>
      <c r="U6237">
        <v>3.0009459999999999</v>
      </c>
      <c r="V6237">
        <v>2.1801930000000001E-2</v>
      </c>
      <c r="W6237">
        <v>2.9795350000000002E-2</v>
      </c>
      <c r="X6237">
        <v>0.99931819999999905</v>
      </c>
      <c r="Y6237">
        <v>-2.6494630000000002E-2</v>
      </c>
      <c r="Z6237">
        <v>-6.7006599999999999E-2</v>
      </c>
      <c r="AA6237">
        <v>0.99740069999999903</v>
      </c>
      <c r="AB6237">
        <v>56</v>
      </c>
      <c r="AC6237">
        <v>-0.653100000000023</v>
      </c>
      <c r="AD6237">
        <v>-1.105411743081</v>
      </c>
      <c r="AE6237">
        <v>15.907439999999999</v>
      </c>
      <c r="AF6237">
        <v>-0.43541550840339399</v>
      </c>
      <c r="AG6237">
        <v>-1.105411743081</v>
      </c>
      <c r="AH6237">
        <v>15.838474962520699</v>
      </c>
      <c r="AI6237">
        <v>93.990856896687902</v>
      </c>
      <c r="AJ6237">
        <v>91.574721628665799</v>
      </c>
      <c r="AK6237">
        <v>15.8829723580033</v>
      </c>
    </row>
    <row r="6238" spans="1:37" x14ac:dyDescent="0.2">
      <c r="A6238" t="str">
        <f>"20200111153813367"</f>
        <v>20200111153813367</v>
      </c>
      <c r="B6238" t="str">
        <f>"1578728293359344"</f>
        <v>1578728293359344</v>
      </c>
      <c r="C6238" t="s">
        <v>37</v>
      </c>
      <c r="D6238">
        <v>6.035539</v>
      </c>
      <c r="E6238">
        <v>0.48417399999999999</v>
      </c>
      <c r="F6238" t="s">
        <v>39</v>
      </c>
      <c r="G6238">
        <v>-189.07990000000001</v>
      </c>
      <c r="H6238" s="1">
        <v>-3.8827040000000002E-6</v>
      </c>
      <c r="I6238">
        <v>108.303</v>
      </c>
      <c r="J6238">
        <v>-188.51929999999999</v>
      </c>
      <c r="K6238">
        <v>1.1053599999999999</v>
      </c>
      <c r="L6238">
        <v>92.661379999999994</v>
      </c>
      <c r="M6238">
        <v>-1.363909E-2</v>
      </c>
      <c r="N6238">
        <v>0</v>
      </c>
      <c r="O6238">
        <v>0.99954659999999995</v>
      </c>
      <c r="P6238">
        <v>1.3223769999999999E-2</v>
      </c>
      <c r="Q6238">
        <v>2.5153490000000001E-3</v>
      </c>
      <c r="R6238">
        <v>0.99990939999999995</v>
      </c>
      <c r="S6238">
        <v>-0.1053009</v>
      </c>
      <c r="T6238">
        <v>-0.20484579999999999</v>
      </c>
      <c r="U6238">
        <v>3.0016479999999999</v>
      </c>
      <c r="V6238">
        <v>2.6846160000000001E-2</v>
      </c>
      <c r="W6238">
        <v>2.9364479999999998E-2</v>
      </c>
      <c r="X6238">
        <v>0.99920819999999999</v>
      </c>
      <c r="Y6238">
        <v>-2.133931E-2</v>
      </c>
      <c r="Z6238">
        <v>-6.8048010000000006E-2</v>
      </c>
      <c r="AA6238">
        <v>0.99745379999999995</v>
      </c>
      <c r="AB6238">
        <v>56</v>
      </c>
      <c r="AC6238">
        <v>-0.56060000000002197</v>
      </c>
      <c r="AD6238">
        <v>-1.105363882704</v>
      </c>
      <c r="AE6238">
        <v>15.6416199999999</v>
      </c>
      <c r="AF6238">
        <v>-0.34541068823925503</v>
      </c>
      <c r="AG6238">
        <v>-1.105363882704</v>
      </c>
      <c r="AH6238">
        <v>15.570155506387801</v>
      </c>
      <c r="AI6238">
        <v>94.0597608730329</v>
      </c>
      <c r="AJ6238">
        <v>91.270849801711705</v>
      </c>
      <c r="AK6238">
        <v>15.6131636880498</v>
      </c>
    </row>
    <row r="6239" spans="1:37" x14ac:dyDescent="0.2">
      <c r="A6239" t="str">
        <f>"20200111153813389"</f>
        <v>20200111153813389</v>
      </c>
      <c r="B6239" t="str">
        <f>"1578728293379845"</f>
        <v>1578728293379845</v>
      </c>
      <c r="C6239" t="s">
        <v>37</v>
      </c>
      <c r="D6239">
        <v>6.0933830000000002</v>
      </c>
      <c r="E6239">
        <v>0.48393350000000002</v>
      </c>
      <c r="F6239" t="s">
        <v>39</v>
      </c>
      <c r="G6239">
        <v>-188.9973</v>
      </c>
      <c r="H6239" s="1">
        <v>-4.0005500000000002E-6</v>
      </c>
      <c r="I6239">
        <v>108.54349999999999</v>
      </c>
      <c r="J6239">
        <v>-188.52670000000001</v>
      </c>
      <c r="K6239">
        <v>1.1052850000000001</v>
      </c>
      <c r="L6239">
        <v>93.204130000000006</v>
      </c>
      <c r="M6239">
        <v>-1.364186E-2</v>
      </c>
      <c r="N6239">
        <v>0</v>
      </c>
      <c r="O6239">
        <v>0.99954159999999903</v>
      </c>
      <c r="P6239">
        <v>1.8872119999999999E-2</v>
      </c>
      <c r="Q6239" s="1">
        <v>9.2944229999999999E-5</v>
      </c>
      <c r="R6239">
        <v>0.99982190000000004</v>
      </c>
      <c r="S6239">
        <v>-9.0347289999999997E-2</v>
      </c>
      <c r="T6239">
        <v>-0.20893349999999999</v>
      </c>
      <c r="U6239">
        <v>3.002014</v>
      </c>
      <c r="V6239">
        <v>3.2502379999999997E-2</v>
      </c>
      <c r="W6239">
        <v>2.7120430000000001E-2</v>
      </c>
      <c r="X6239">
        <v>0.99910370000000004</v>
      </c>
      <c r="Y6239">
        <v>-1.6365930000000001E-2</v>
      </c>
      <c r="Z6239">
        <v>-6.9399870000000002E-2</v>
      </c>
      <c r="AA6239">
        <v>0.99745459999999997</v>
      </c>
      <c r="AB6239">
        <v>56</v>
      </c>
      <c r="AC6239">
        <v>-0.47059999999999003</v>
      </c>
      <c r="AD6239">
        <v>-1.10528900055</v>
      </c>
      <c r="AE6239">
        <v>15.339369999999899</v>
      </c>
      <c r="AF6239">
        <v>-0.25987416239241301</v>
      </c>
      <c r="AG6239">
        <v>-1.10528900055</v>
      </c>
      <c r="AH6239">
        <v>15.265181113231201</v>
      </c>
      <c r="AI6239">
        <v>94.140726894812204</v>
      </c>
      <c r="AJ6239">
        <v>90.975308083523203</v>
      </c>
      <c r="AK6239">
        <v>15.307349632603501</v>
      </c>
    </row>
    <row r="6240" spans="1:37" x14ac:dyDescent="0.2">
      <c r="A6240" t="str">
        <f>"20200111153813411"</f>
        <v>20200111153813411</v>
      </c>
      <c r="B6240" t="str">
        <f>"1578728293399360"</f>
        <v>1578728293399360</v>
      </c>
      <c r="C6240" t="s">
        <v>37</v>
      </c>
      <c r="D6240">
        <v>6.0207350000000002</v>
      </c>
      <c r="E6240">
        <v>0.48374600000000001</v>
      </c>
      <c r="F6240" t="s">
        <v>39</v>
      </c>
      <c r="G6240">
        <v>-188.89859999999999</v>
      </c>
      <c r="H6240" s="1">
        <v>-3.7658629999999998E-6</v>
      </c>
      <c r="I6240">
        <v>107.95569999999999</v>
      </c>
      <c r="J6240">
        <v>-188.53399999999999</v>
      </c>
      <c r="K6240">
        <v>1.1051789999999999</v>
      </c>
      <c r="L6240">
        <v>93.744290000000007</v>
      </c>
      <c r="M6240">
        <v>-1.351514E-2</v>
      </c>
      <c r="N6240">
        <v>0</v>
      </c>
      <c r="O6240">
        <v>0.99953899999999996</v>
      </c>
      <c r="P6240">
        <v>2.4543120000000002E-2</v>
      </c>
      <c r="Q6240">
        <v>-2.2166690000000001E-3</v>
      </c>
      <c r="R6240">
        <v>0.99969629999999998</v>
      </c>
      <c r="S6240">
        <v>-7.5668330000000006E-2</v>
      </c>
      <c r="T6240">
        <v>-0.22492970000000001</v>
      </c>
      <c r="U6240">
        <v>3.0019840000000002</v>
      </c>
      <c r="V6240">
        <v>3.8052229999999999E-2</v>
      </c>
      <c r="W6240">
        <v>2.4956799999999901E-2</v>
      </c>
      <c r="X6240">
        <v>0.99896409999999902</v>
      </c>
      <c r="Y6240">
        <v>-1.160957E-2</v>
      </c>
      <c r="Z6240">
        <v>-7.4693029999999994E-2</v>
      </c>
      <c r="AA6240">
        <v>0.997138999999999</v>
      </c>
      <c r="AB6240">
        <v>55</v>
      </c>
      <c r="AC6240">
        <v>-0.36459999999996701</v>
      </c>
      <c r="AD6240">
        <v>-1.105182765863</v>
      </c>
      <c r="AE6240">
        <v>14.2114099999999</v>
      </c>
      <c r="AF6240">
        <v>-0.17139061220966001</v>
      </c>
      <c r="AG6240">
        <v>-1.105182765863</v>
      </c>
      <c r="AH6240">
        <v>14.1296441465249</v>
      </c>
      <c r="AI6240">
        <v>94.472088299497699</v>
      </c>
      <c r="AJ6240">
        <v>90.694955729489294</v>
      </c>
      <c r="AK6240">
        <v>14.1738367210625</v>
      </c>
    </row>
    <row r="6241" spans="1:37" x14ac:dyDescent="0.2">
      <c r="A6241" t="str">
        <f>"20200111153813434"</f>
        <v>20200111153813434</v>
      </c>
      <c r="B6241" t="str">
        <f>"1578728293429617"</f>
        <v>1578728293429617</v>
      </c>
      <c r="C6241" t="s">
        <v>37</v>
      </c>
      <c r="D6241">
        <v>6.3664809999999896</v>
      </c>
      <c r="E6241">
        <v>0.48250369999999998</v>
      </c>
      <c r="F6241" t="s">
        <v>38</v>
      </c>
      <c r="G6241">
        <v>-188.55260000000001</v>
      </c>
      <c r="H6241">
        <v>1.027209</v>
      </c>
      <c r="I6241">
        <v>94.674229999999994</v>
      </c>
      <c r="J6241">
        <v>-188.54140000000001</v>
      </c>
      <c r="K6241">
        <v>1.1050389999999899</v>
      </c>
      <c r="L6241">
        <v>94.306489999999997</v>
      </c>
      <c r="M6241">
        <v>-1.321159E-2</v>
      </c>
      <c r="N6241">
        <v>0</v>
      </c>
      <c r="O6241">
        <v>0.99953930000000002</v>
      </c>
      <c r="P6241">
        <v>2.9995939999999999E-2</v>
      </c>
      <c r="Q6241">
        <v>-4.7309040000000002E-3</v>
      </c>
      <c r="R6241">
        <v>0.99953879999999995</v>
      </c>
      <c r="S6241">
        <v>-6.0134890000000003E-2</v>
      </c>
      <c r="T6241">
        <v>-0.25170749999999997</v>
      </c>
      <c r="U6241">
        <v>3.0018310000000001</v>
      </c>
      <c r="V6241">
        <v>4.3208070000000001E-2</v>
      </c>
      <c r="W6241">
        <v>2.2563280000000002E-2</v>
      </c>
      <c r="X6241">
        <v>0.99881119999999901</v>
      </c>
      <c r="Y6241">
        <v>-6.7430750000000003E-3</v>
      </c>
      <c r="Z6241">
        <v>-8.3537890000000004E-2</v>
      </c>
      <c r="AA6241">
        <v>0.99648179999999997</v>
      </c>
      <c r="AB6241">
        <v>55</v>
      </c>
      <c r="AC6241">
        <v>-1.12000000000023E-2</v>
      </c>
      <c r="AD6241">
        <v>-7.7829999999999802E-2</v>
      </c>
      <c r="AE6241">
        <v>0.367740000000012</v>
      </c>
      <c r="AF6241">
        <v>-6.06725676264385E-3</v>
      </c>
      <c r="AG6241">
        <v>-7.7829999999999802E-2</v>
      </c>
      <c r="AH6241">
        <v>0.35209887815153401</v>
      </c>
      <c r="AI6241">
        <v>102.462770705303</v>
      </c>
      <c r="AJ6241">
        <v>90.987205089900201</v>
      </c>
      <c r="AK6241">
        <v>0.36064933176174402</v>
      </c>
    </row>
    <row r="6242" spans="1:37" x14ac:dyDescent="0.2">
      <c r="A6242" t="str">
        <f>"20200111153813456"</f>
        <v>20200111153813456</v>
      </c>
      <c r="B6242" t="str">
        <f>"1578728293449137"</f>
        <v>1578728293449137</v>
      </c>
      <c r="C6242" t="s">
        <v>37</v>
      </c>
      <c r="D6242">
        <v>6.3838189999999999</v>
      </c>
      <c r="E6242">
        <v>0.482616299999999</v>
      </c>
      <c r="F6242" t="s">
        <v>38</v>
      </c>
      <c r="G6242">
        <v>-188.55670000000001</v>
      </c>
      <c r="H6242">
        <v>1.02742</v>
      </c>
      <c r="I6242">
        <v>95.162819999999996</v>
      </c>
      <c r="J6242">
        <v>-188.54810000000001</v>
      </c>
      <c r="K6242">
        <v>1.10487</v>
      </c>
      <c r="L6242">
        <v>94.840819999999994</v>
      </c>
      <c r="M6242">
        <v>-1.273231E-2</v>
      </c>
      <c r="N6242">
        <v>0</v>
      </c>
      <c r="O6242">
        <v>0.99954240000000005</v>
      </c>
      <c r="P6242">
        <v>3.548946E-2</v>
      </c>
      <c r="Q6242">
        <v>-6.6350339999999997E-3</v>
      </c>
      <c r="R6242">
        <v>0.99934799999999901</v>
      </c>
      <c r="S6242">
        <v>-5.3878780000000001E-2</v>
      </c>
      <c r="T6242">
        <v>-0.2720921</v>
      </c>
      <c r="U6242">
        <v>3.0017399999999999</v>
      </c>
      <c r="V6242">
        <v>4.822883E-2</v>
      </c>
      <c r="W6242">
        <v>2.074409E-2</v>
      </c>
      <c r="X6242">
        <v>0.99862090000000003</v>
      </c>
      <c r="Y6242">
        <v>-5.1365350000000002E-3</v>
      </c>
      <c r="Z6242">
        <v>-9.0255950000000001E-2</v>
      </c>
      <c r="AA6242">
        <v>0.99590529999999999</v>
      </c>
      <c r="AB6242">
        <v>55</v>
      </c>
      <c r="AC6242">
        <v>-8.6000000000012698E-3</v>
      </c>
      <c r="AD6242">
        <v>-7.7450000000000005E-2</v>
      </c>
      <c r="AE6242">
        <v>0.32200000000000201</v>
      </c>
      <c r="AF6242">
        <v>-4.2521283622740901E-3</v>
      </c>
      <c r="AG6242">
        <v>-7.7450000000000005E-2</v>
      </c>
      <c r="AH6242">
        <v>0.30448064452481999</v>
      </c>
      <c r="AI6242">
        <v>104.270188571774</v>
      </c>
      <c r="AJ6242">
        <v>90.800094118664802</v>
      </c>
      <c r="AK6242">
        <v>0.31420542004532498</v>
      </c>
    </row>
    <row r="6243" spans="1:37" x14ac:dyDescent="0.2">
      <c r="A6243" t="str">
        <f>"20200111153813478"</f>
        <v>20200111153813478</v>
      </c>
      <c r="B6243" t="str">
        <f>"1578728293469632"</f>
        <v>1578728293469632</v>
      </c>
      <c r="C6243" t="s">
        <v>37</v>
      </c>
      <c r="D6243">
        <v>6.3278549999999996</v>
      </c>
      <c r="E6243">
        <v>0.533570199999999</v>
      </c>
      <c r="F6243" t="s">
        <v>38</v>
      </c>
      <c r="G6243">
        <v>-188.55799999999999</v>
      </c>
      <c r="H6243">
        <v>1.0308299999999999</v>
      </c>
      <c r="I6243">
        <v>95.651619999999994</v>
      </c>
      <c r="J6243">
        <v>-188.55449999999999</v>
      </c>
      <c r="K6243">
        <v>1.1046559999999901</v>
      </c>
      <c r="L6243">
        <v>95.38861</v>
      </c>
      <c r="M6243">
        <v>-1.20222E-2</v>
      </c>
      <c r="N6243">
        <v>0</v>
      </c>
      <c r="O6243">
        <v>0.99954889999999996</v>
      </c>
      <c r="P6243">
        <v>4.2208929999999999E-2</v>
      </c>
      <c r="Q6243">
        <v>-7.0835230000000004E-3</v>
      </c>
      <c r="R6243">
        <v>0.99908369999999902</v>
      </c>
      <c r="S6243">
        <v>-3.6437990000000003E-2</v>
      </c>
      <c r="T6243">
        <v>-0.2740843</v>
      </c>
      <c r="U6243">
        <v>3.0014340000000002</v>
      </c>
      <c r="V6243">
        <v>5.4246219999999998E-2</v>
      </c>
      <c r="W6243">
        <v>2.033505E-2</v>
      </c>
      <c r="X6243">
        <v>0.99832049999999894</v>
      </c>
      <c r="Y6243" s="1">
        <v>-6.2265580000000001E-5</v>
      </c>
      <c r="Z6243">
        <v>-9.0926240000000005E-2</v>
      </c>
      <c r="AA6243">
        <v>0.99585769999999996</v>
      </c>
      <c r="AB6243">
        <v>55</v>
      </c>
      <c r="AC6243">
        <v>-3.5000000000024998E-3</v>
      </c>
      <c r="AD6243">
        <v>-7.3825999999999906E-2</v>
      </c>
      <c r="AE6243">
        <v>0.26300999999999403</v>
      </c>
      <c r="AF6243">
        <v>-3.12010687158411E-4</v>
      </c>
      <c r="AG6243">
        <v>-7.3825999999999906E-2</v>
      </c>
      <c r="AH6243">
        <v>0.24382533959046701</v>
      </c>
      <c r="AI6243">
        <v>106.845371036385</v>
      </c>
      <c r="AJ6243">
        <v>90.0733184082072</v>
      </c>
      <c r="AK6243">
        <v>0.25475708400960201</v>
      </c>
    </row>
    <row r="6244" spans="1:37" x14ac:dyDescent="0.2">
      <c r="A6244" t="str">
        <f>"20200111153813502"</f>
        <v>20200111153813502</v>
      </c>
      <c r="B6244" t="str">
        <f>"1578728293489666"</f>
        <v>1578728293489666</v>
      </c>
      <c r="C6244" t="s">
        <v>37</v>
      </c>
      <c r="D6244">
        <v>6.4019909999999998</v>
      </c>
      <c r="E6244">
        <v>0.55175189999999996</v>
      </c>
      <c r="F6244" t="s">
        <v>38</v>
      </c>
      <c r="G6244">
        <v>-188.45660000000001</v>
      </c>
      <c r="H6244">
        <v>1.035504</v>
      </c>
      <c r="I6244">
        <v>96.137900000000002</v>
      </c>
      <c r="J6244">
        <v>-188.56020000000001</v>
      </c>
      <c r="K6244">
        <v>1.1044020000000001</v>
      </c>
      <c r="L6244">
        <v>95.930480000000003</v>
      </c>
      <c r="M6244">
        <v>-1.1057590000000001E-2</v>
      </c>
      <c r="N6244">
        <v>0</v>
      </c>
      <c r="O6244">
        <v>0.99955919999999898</v>
      </c>
      <c r="P6244">
        <v>4.9416830000000002E-2</v>
      </c>
      <c r="Q6244">
        <v>-7.3701180000000002E-3</v>
      </c>
      <c r="R6244">
        <v>0.99875100000000006</v>
      </c>
      <c r="S6244">
        <v>0.38922119999999999</v>
      </c>
      <c r="T6244">
        <v>-0.2754315</v>
      </c>
      <c r="U6244">
        <v>2.9843439999999899</v>
      </c>
      <c r="V6244">
        <v>6.0498860000000002E-2</v>
      </c>
      <c r="W6244">
        <v>2.0024219999999999E-2</v>
      </c>
      <c r="X6244">
        <v>0.99796739999999995</v>
      </c>
      <c r="Y6244">
        <v>0.13974919999999999</v>
      </c>
      <c r="Z6244">
        <v>-9.1059710000000002E-2</v>
      </c>
      <c r="AA6244">
        <v>0.98599099999999995</v>
      </c>
      <c r="AB6244">
        <v>54</v>
      </c>
      <c r="AC6244">
        <v>0.1036</v>
      </c>
      <c r="AD6244">
        <v>-6.8898000000000098E-2</v>
      </c>
      <c r="AE6244">
        <v>0.20741999999999899</v>
      </c>
      <c r="AF6244">
        <v>9.7296328511087896E-2</v>
      </c>
      <c r="AG6244">
        <v>-6.8898000000000098E-2</v>
      </c>
      <c r="AH6244">
        <v>0.189525247865371</v>
      </c>
      <c r="AI6244">
        <v>107.921352365183</v>
      </c>
      <c r="AJ6244">
        <v>62.825455505800399</v>
      </c>
      <c r="AK6244">
        <v>0.22390473314373699</v>
      </c>
    </row>
    <row r="6245" spans="1:37" x14ac:dyDescent="0.2">
      <c r="A6245" t="str">
        <f>"20200111153813522"</f>
        <v>20200111153813522</v>
      </c>
      <c r="B6245" t="str">
        <f>"1578728293519915"</f>
        <v>1578728293519915</v>
      </c>
      <c r="C6245" t="s">
        <v>37</v>
      </c>
      <c r="D6245">
        <v>6.2509319999999997</v>
      </c>
      <c r="E6245">
        <v>0.55779309999999904</v>
      </c>
      <c r="F6245" t="s">
        <v>39</v>
      </c>
      <c r="G6245">
        <v>-186.42269999999999</v>
      </c>
      <c r="H6245" s="1">
        <v>-3.9569369999999997E-6</v>
      </c>
      <c r="I6245">
        <v>107.37730000000001</v>
      </c>
      <c r="J6245">
        <v>-188.56479999999999</v>
      </c>
      <c r="K6245">
        <v>1.1041350000000001</v>
      </c>
      <c r="L6245">
        <v>96.443479999999994</v>
      </c>
      <c r="M6245">
        <v>-9.8950359999999994E-3</v>
      </c>
      <c r="N6245">
        <v>0</v>
      </c>
      <c r="O6245">
        <v>0.99957169999999895</v>
      </c>
      <c r="P6245">
        <v>5.5567699999999998E-2</v>
      </c>
      <c r="Q6245">
        <v>-7.1698559999999996E-3</v>
      </c>
      <c r="R6245">
        <v>0.99842919999999902</v>
      </c>
      <c r="S6245">
        <v>0.55535889999999999</v>
      </c>
      <c r="T6245">
        <v>-0.28694940000000002</v>
      </c>
      <c r="U6245">
        <v>2.9741520000000001</v>
      </c>
      <c r="V6245">
        <v>6.5498890000000004E-2</v>
      </c>
      <c r="W6245">
        <v>2.014817E-2</v>
      </c>
      <c r="X6245">
        <v>0.99764920000000001</v>
      </c>
      <c r="Y6245">
        <v>0.19245870000000001</v>
      </c>
      <c r="Z6245">
        <v>-9.4322509999999998E-2</v>
      </c>
      <c r="AA6245">
        <v>0.97676149999999995</v>
      </c>
      <c r="AB6245">
        <v>54</v>
      </c>
      <c r="AC6245">
        <v>2.1420999999999899</v>
      </c>
      <c r="AD6245">
        <v>-1.1041389569369999</v>
      </c>
      <c r="AE6245">
        <v>10.9338199999999</v>
      </c>
      <c r="AF6245">
        <v>2.2283425748012302</v>
      </c>
      <c r="AG6245">
        <v>-1.1041389569369999</v>
      </c>
      <c r="AH6245">
        <v>10.8059571305149</v>
      </c>
      <c r="AI6245">
        <v>95.714740496065005</v>
      </c>
      <c r="AJ6245">
        <v>78.348123006002297</v>
      </c>
      <c r="AK6245">
        <v>11.0884328456921</v>
      </c>
    </row>
    <row r="6246" spans="1:37" x14ac:dyDescent="0.2">
      <c r="A6246" t="str">
        <f>"20200111153813544"</f>
        <v>20200111153813544</v>
      </c>
      <c r="B6246" t="str">
        <f>"1578728293539435"</f>
        <v>1578728293539435</v>
      </c>
      <c r="C6246" t="s">
        <v>37</v>
      </c>
      <c r="D6246">
        <v>6.2853199999999996</v>
      </c>
      <c r="E6246">
        <v>0.55956640000000002</v>
      </c>
      <c r="F6246" t="s">
        <v>39</v>
      </c>
      <c r="G6246">
        <v>-186.25120000000001</v>
      </c>
      <c r="H6246" s="1">
        <v>-4.0351029999999903E-6</v>
      </c>
      <c r="I6246">
        <v>107.48860000000001</v>
      </c>
      <c r="J6246">
        <v>-188.56870000000001</v>
      </c>
      <c r="K6246">
        <v>1.1038589999999999</v>
      </c>
      <c r="L6246">
        <v>96.957890000000006</v>
      </c>
      <c r="M6246">
        <v>-8.5081269999999903E-3</v>
      </c>
      <c r="N6246">
        <v>0</v>
      </c>
      <c r="O6246">
        <v>0.99958579999999997</v>
      </c>
      <c r="P6246">
        <v>6.1203470000000003E-2</v>
      </c>
      <c r="Q6246">
        <v>-6.222801E-3</v>
      </c>
      <c r="R6246">
        <v>0.99810589999999999</v>
      </c>
      <c r="S6246">
        <v>0.62171940000000003</v>
      </c>
      <c r="T6246">
        <v>-0.29669829999999903</v>
      </c>
      <c r="U6246">
        <v>2.9679869999999999</v>
      </c>
      <c r="V6246">
        <v>6.9763359999999996E-2</v>
      </c>
      <c r="W6246">
        <v>2.0984360000000001E-2</v>
      </c>
      <c r="X6246">
        <v>0.99734279999999997</v>
      </c>
      <c r="Y6246">
        <v>0.21237529999999899</v>
      </c>
      <c r="Z6246">
        <v>-9.7284830000000003E-2</v>
      </c>
      <c r="AA6246">
        <v>0.97233349999999996</v>
      </c>
      <c r="AB6246">
        <v>54</v>
      </c>
      <c r="AC6246">
        <v>2.3174999999999901</v>
      </c>
      <c r="AD6246">
        <v>-1.1038630351029901</v>
      </c>
      <c r="AE6246">
        <v>10.530709999999999</v>
      </c>
      <c r="AF6246">
        <v>2.3820815390522498</v>
      </c>
      <c r="AG6246">
        <v>-1.1038630351029901</v>
      </c>
      <c r="AH6246">
        <v>10.401591347557501</v>
      </c>
      <c r="AI6246">
        <v>95.906035827531198</v>
      </c>
      <c r="AJ6246">
        <v>77.101051479320205</v>
      </c>
      <c r="AK6246">
        <v>10.727810989225301</v>
      </c>
    </row>
    <row r="6247" spans="1:37" x14ac:dyDescent="0.2">
      <c r="A6247" t="str">
        <f>"20200111153813567"</f>
        <v>20200111153813567</v>
      </c>
      <c r="B6247" t="str">
        <f>"1578728293559933"</f>
        <v>1578728293559933</v>
      </c>
      <c r="C6247" t="s">
        <v>37</v>
      </c>
      <c r="D6247">
        <v>6.3190160000000004</v>
      </c>
      <c r="E6247">
        <v>0.56032309999999996</v>
      </c>
      <c r="F6247" t="s">
        <v>39</v>
      </c>
      <c r="G6247">
        <v>-186.02680000000001</v>
      </c>
      <c r="H6247" s="1">
        <v>-4.509469E-6</v>
      </c>
      <c r="I6247">
        <v>108.5016</v>
      </c>
      <c r="J6247">
        <v>-188.5718</v>
      </c>
      <c r="K6247">
        <v>1.103556</v>
      </c>
      <c r="L6247">
        <v>97.514430000000004</v>
      </c>
      <c r="M6247">
        <v>-6.7410049999999996E-3</v>
      </c>
      <c r="N6247">
        <v>0</v>
      </c>
      <c r="O6247">
        <v>0.99960119999999897</v>
      </c>
      <c r="P6247">
        <v>6.6228319999999993E-2</v>
      </c>
      <c r="Q6247">
        <v>-6.0721780000000001E-3</v>
      </c>
      <c r="R6247">
        <v>0.99778599999999995</v>
      </c>
      <c r="S6247">
        <v>0.65263369999999998</v>
      </c>
      <c r="T6247">
        <v>-0.28342440000000002</v>
      </c>
      <c r="U6247">
        <v>2.9639279999999899</v>
      </c>
      <c r="V6247">
        <v>7.30378E-2</v>
      </c>
      <c r="W6247">
        <v>2.0996279999999999E-2</v>
      </c>
      <c r="X6247">
        <v>0.9971082</v>
      </c>
      <c r="Y6247">
        <v>0.2206911</v>
      </c>
      <c r="Z6247">
        <v>-9.2910569999999998E-2</v>
      </c>
      <c r="AA6247">
        <v>0.97090829999999995</v>
      </c>
      <c r="AB6247">
        <v>53</v>
      </c>
      <c r="AC6247">
        <v>2.5449999999999799</v>
      </c>
      <c r="AD6247">
        <v>-1.103560509469</v>
      </c>
      <c r="AE6247">
        <v>10.9871699999999</v>
      </c>
      <c r="AF6247">
        <v>2.5941960676213598</v>
      </c>
      <c r="AG6247">
        <v>-1.103560509469</v>
      </c>
      <c r="AH6247">
        <v>10.8657224698043</v>
      </c>
      <c r="AI6247">
        <v>95.641771793085198</v>
      </c>
      <c r="AJ6247">
        <v>76.571980921096994</v>
      </c>
      <c r="AK6247">
        <v>11.225489914749</v>
      </c>
    </row>
    <row r="6248" spans="1:37" x14ac:dyDescent="0.2">
      <c r="A6248" t="str">
        <f>"20200111153813589"</f>
        <v>20200111153813589</v>
      </c>
      <c r="B6248" t="str">
        <f>"1578728293579451"</f>
        <v>1578728293579451</v>
      </c>
      <c r="C6248" t="s">
        <v>37</v>
      </c>
      <c r="D6248">
        <v>6.2831729999999997</v>
      </c>
      <c r="E6248">
        <v>0.56012280000000003</v>
      </c>
      <c r="F6248" t="s">
        <v>39</v>
      </c>
      <c r="G6248">
        <v>-185.8237</v>
      </c>
      <c r="H6248" s="1">
        <v>-5.0122330000000003E-6</v>
      </c>
      <c r="I6248">
        <v>109.5896</v>
      </c>
      <c r="J6248">
        <v>-188.5737</v>
      </c>
      <c r="K6248">
        <v>1.1032459999999999</v>
      </c>
      <c r="L6248">
        <v>98.044430000000006</v>
      </c>
      <c r="M6248">
        <v>-4.7778990000000004E-3</v>
      </c>
      <c r="N6248">
        <v>0</v>
      </c>
      <c r="O6248">
        <v>0.99961469999999897</v>
      </c>
      <c r="P6248">
        <v>7.0394680000000001E-2</v>
      </c>
      <c r="Q6248">
        <v>-7.659875E-3</v>
      </c>
      <c r="R6248">
        <v>0.99748979999999998</v>
      </c>
      <c r="S6248">
        <v>0.67370609999999997</v>
      </c>
      <c r="T6248">
        <v>-0.27054459999999902</v>
      </c>
      <c r="U6248">
        <v>2.9602970000000002</v>
      </c>
      <c r="V6248">
        <v>7.5251360000000003E-2</v>
      </c>
      <c r="W6248">
        <v>1.9261420000000001E-2</v>
      </c>
      <c r="X6248">
        <v>0.99697849999999999</v>
      </c>
      <c r="Y6248">
        <v>0.22568939999999901</v>
      </c>
      <c r="Z6248">
        <v>-8.8711159999999997E-2</v>
      </c>
      <c r="AA6248">
        <v>0.97015180000000001</v>
      </c>
      <c r="AB6248">
        <v>53</v>
      </c>
      <c r="AC6248">
        <v>2.75</v>
      </c>
      <c r="AD6248">
        <v>-1.1032510122329999</v>
      </c>
      <c r="AE6248">
        <v>11.545169999999899</v>
      </c>
      <c r="AF6248">
        <v>2.78111828180998</v>
      </c>
      <c r="AG6248">
        <v>-1.1032510122329999</v>
      </c>
      <c r="AH6248">
        <v>11.433096690283399</v>
      </c>
      <c r="AI6248">
        <v>95.356512633578404</v>
      </c>
      <c r="AJ6248">
        <v>76.328244504436398</v>
      </c>
      <c r="AK6248">
        <v>11.8180997466928</v>
      </c>
    </row>
    <row r="6249" spans="1:37" x14ac:dyDescent="0.2">
      <c r="A6249" t="str">
        <f>"20200111153813611"</f>
        <v>20200111153813611</v>
      </c>
      <c r="B6249" t="str">
        <f>"1578728293599480"</f>
        <v>1578728293599480</v>
      </c>
      <c r="C6249" t="s">
        <v>37</v>
      </c>
      <c r="D6249">
        <v>6.3247900000000001</v>
      </c>
      <c r="E6249">
        <v>0.55950159999999904</v>
      </c>
      <c r="F6249" t="s">
        <v>39</v>
      </c>
      <c r="G6249">
        <v>-185.80860000000001</v>
      </c>
      <c r="H6249" s="1">
        <v>-1.2282210000000001E-6</v>
      </c>
      <c r="I6249">
        <v>109.98009999999999</v>
      </c>
      <c r="J6249">
        <v>-188.57419999999999</v>
      </c>
      <c r="K6249">
        <v>1.10293</v>
      </c>
      <c r="L6249">
        <v>98.547969999999907</v>
      </c>
      <c r="M6249">
        <v>-2.6345650000000002E-3</v>
      </c>
      <c r="N6249">
        <v>0</v>
      </c>
      <c r="O6249">
        <v>0.99962499999999999</v>
      </c>
      <c r="P6249">
        <v>7.3942019999999997E-2</v>
      </c>
      <c r="Q6249">
        <v>-9.754848E-3</v>
      </c>
      <c r="R6249">
        <v>0.99721489999999902</v>
      </c>
      <c r="S6249">
        <v>0.68505859999999996</v>
      </c>
      <c r="T6249">
        <v>-0.273335099999999</v>
      </c>
      <c r="U6249">
        <v>2.9571230000000002</v>
      </c>
      <c r="V6249">
        <v>7.6662330000000001E-2</v>
      </c>
      <c r="W6249">
        <v>1.701399E-2</v>
      </c>
      <c r="X6249">
        <v>0.99691189999999996</v>
      </c>
      <c r="Y6249">
        <v>0.22734470000000001</v>
      </c>
      <c r="Z6249">
        <v>-8.9657550000000003E-2</v>
      </c>
      <c r="AA6249">
        <v>0.96967829999999999</v>
      </c>
      <c r="AB6249">
        <v>53</v>
      </c>
      <c r="AC6249">
        <v>2.7655999999999699</v>
      </c>
      <c r="AD6249">
        <v>-1.102931228221</v>
      </c>
      <c r="AE6249">
        <v>11.432130000000001</v>
      </c>
      <c r="AF6249">
        <v>2.7713514872931002</v>
      </c>
      <c r="AG6249">
        <v>-1.102931228221</v>
      </c>
      <c r="AH6249">
        <v>11.325217579966299</v>
      </c>
      <c r="AI6249">
        <v>95.403877636974002</v>
      </c>
      <c r="AJ6249">
        <v>76.249578152733307</v>
      </c>
      <c r="AK6249">
        <v>11.7114217580055</v>
      </c>
    </row>
    <row r="6250" spans="1:37" x14ac:dyDescent="0.2">
      <c r="A6250" t="str">
        <f>"20200111153813633"</f>
        <v>20200111153813633</v>
      </c>
      <c r="B6250" t="str">
        <f>"1578728293629736"</f>
        <v>1578728293629736</v>
      </c>
      <c r="C6250" t="s">
        <v>37</v>
      </c>
      <c r="D6250">
        <v>6.2790460000000001</v>
      </c>
      <c r="E6250">
        <v>0.55880319999999895</v>
      </c>
      <c r="F6250" t="s">
        <v>39</v>
      </c>
      <c r="G6250">
        <v>-185.8775</v>
      </c>
      <c r="H6250" s="1">
        <v>-1.244059E-6</v>
      </c>
      <c r="I6250">
        <v>110.0805</v>
      </c>
      <c r="J6250">
        <v>-188.5735</v>
      </c>
      <c r="K6250">
        <v>1.1025860000000001</v>
      </c>
      <c r="L6250">
        <v>99.060419999999993</v>
      </c>
      <c r="M6250">
        <v>-1.5998790000000001E-4</v>
      </c>
      <c r="N6250">
        <v>0</v>
      </c>
      <c r="O6250">
        <v>0.99963099999999905</v>
      </c>
      <c r="P6250">
        <v>7.8560720000000001E-2</v>
      </c>
      <c r="Q6250">
        <v>-1.058912E-2</v>
      </c>
      <c r="R6250">
        <v>0.99685309999999905</v>
      </c>
      <c r="S6250">
        <v>0.6908569</v>
      </c>
      <c r="T6250">
        <v>-0.28254950000000001</v>
      </c>
      <c r="U6250">
        <v>2.9544069999999998</v>
      </c>
      <c r="V6250">
        <v>7.8820719999999997E-2</v>
      </c>
      <c r="W6250">
        <v>1.6002280000000001E-2</v>
      </c>
      <c r="X6250">
        <v>0.99676039999999999</v>
      </c>
      <c r="Y6250">
        <v>0.22687189999999999</v>
      </c>
      <c r="Z6250">
        <v>-9.272155E-2</v>
      </c>
      <c r="AA6250">
        <v>0.96950079999999905</v>
      </c>
      <c r="AB6250">
        <v>53</v>
      </c>
      <c r="AC6250">
        <v>2.69599999999999</v>
      </c>
      <c r="AD6250">
        <v>-1.1025872440590001</v>
      </c>
      <c r="AE6250">
        <v>11.02008</v>
      </c>
      <c r="AF6250">
        <v>2.6725211683008898</v>
      </c>
      <c r="AG6250">
        <v>-1.1025872440590001</v>
      </c>
      <c r="AH6250">
        <v>10.916539350286</v>
      </c>
      <c r="AI6250">
        <v>95.603039922884093</v>
      </c>
      <c r="AJ6250">
        <v>76.243755754320006</v>
      </c>
      <c r="AK6250">
        <v>11.292869405608201</v>
      </c>
    </row>
    <row r="6251" spans="1:37" x14ac:dyDescent="0.2">
      <c r="A6251" t="str">
        <f>"20200111153813657"</f>
        <v>20200111153813657</v>
      </c>
      <c r="B6251" t="str">
        <f>"1578728293649257"</f>
        <v>1578728293649257</v>
      </c>
      <c r="C6251" t="s">
        <v>37</v>
      </c>
      <c r="D6251">
        <v>6.2934769999999904</v>
      </c>
      <c r="E6251">
        <v>0.55843009999999904</v>
      </c>
      <c r="F6251" t="s">
        <v>39</v>
      </c>
      <c r="G6251">
        <v>-185.92840000000001</v>
      </c>
      <c r="H6251" s="1">
        <v>-1.2835069999999899E-6</v>
      </c>
      <c r="I6251">
        <v>110.2362</v>
      </c>
      <c r="J6251">
        <v>-188.571</v>
      </c>
      <c r="K6251">
        <v>1.102193</v>
      </c>
      <c r="L6251">
        <v>99.622280000000003</v>
      </c>
      <c r="M6251">
        <v>2.8937469999999999E-3</v>
      </c>
      <c r="N6251">
        <v>0</v>
      </c>
      <c r="O6251">
        <v>0.99963019999999903</v>
      </c>
      <c r="P6251">
        <v>8.4179710000000005E-2</v>
      </c>
      <c r="Q6251">
        <v>-1.2238479999999999E-2</v>
      </c>
      <c r="R6251">
        <v>0.99637540000000002</v>
      </c>
      <c r="S6251">
        <v>0.69851680000000005</v>
      </c>
      <c r="T6251">
        <v>-0.291172599999999</v>
      </c>
      <c r="U6251">
        <v>2.9513240000000001</v>
      </c>
      <c r="V6251">
        <v>8.1398079999999998E-2</v>
      </c>
      <c r="W6251">
        <v>1.4134239999999999E-2</v>
      </c>
      <c r="X6251">
        <v>0.99658139999999995</v>
      </c>
      <c r="Y6251">
        <v>0.22644359999999999</v>
      </c>
      <c r="Z6251">
        <v>-9.5597950000000001E-2</v>
      </c>
      <c r="AA6251">
        <v>0.96932160000000001</v>
      </c>
      <c r="AB6251">
        <v>52</v>
      </c>
      <c r="AC6251">
        <v>2.6425999999999799</v>
      </c>
      <c r="AD6251">
        <v>-1.102194283507</v>
      </c>
      <c r="AE6251">
        <v>10.613919999999901</v>
      </c>
      <c r="AF6251">
        <v>2.5856089555877202</v>
      </c>
      <c r="AG6251">
        <v>-1.102194283507</v>
      </c>
      <c r="AH6251">
        <v>10.514756607014901</v>
      </c>
      <c r="AI6251">
        <v>95.812185301596898</v>
      </c>
      <c r="AJ6251">
        <v>76.184907507272499</v>
      </c>
      <c r="AK6251">
        <v>10.8839474647103</v>
      </c>
    </row>
    <row r="6252" spans="1:37" x14ac:dyDescent="0.2">
      <c r="A6252" t="str">
        <f>"20200111153813680"</f>
        <v>20200111153813680</v>
      </c>
      <c r="B6252" t="str">
        <f>"1578728293669752"</f>
        <v>1578728293669752</v>
      </c>
      <c r="C6252" t="s">
        <v>37</v>
      </c>
      <c r="D6252">
        <v>6.2536750000000003</v>
      </c>
      <c r="E6252">
        <v>0.55805059999999995</v>
      </c>
      <c r="F6252" t="s">
        <v>39</v>
      </c>
      <c r="G6252">
        <v>-185.93010000000001</v>
      </c>
      <c r="H6252" s="1">
        <v>-1.390215E-6</v>
      </c>
      <c r="I6252">
        <v>110.55119999999999</v>
      </c>
      <c r="J6252">
        <v>-188.5667</v>
      </c>
      <c r="K6252">
        <v>1.101801</v>
      </c>
      <c r="L6252">
        <v>100.1627</v>
      </c>
      <c r="M6252">
        <v>6.1881829999999999E-3</v>
      </c>
      <c r="N6252">
        <v>0</v>
      </c>
      <c r="O6252">
        <v>0.99961860000000002</v>
      </c>
      <c r="P6252">
        <v>8.8669629999999999E-2</v>
      </c>
      <c r="Q6252">
        <v>-1.4144469999999999E-2</v>
      </c>
      <c r="R6252">
        <v>0.99596070000000003</v>
      </c>
      <c r="S6252">
        <v>0.71214290000000002</v>
      </c>
      <c r="T6252">
        <v>-0.29722080000000001</v>
      </c>
      <c r="U6252">
        <v>2.9471129999999999</v>
      </c>
      <c r="V6252">
        <v>8.2602449999999994E-2</v>
      </c>
      <c r="W6252">
        <v>1.200916E-2</v>
      </c>
      <c r="X6252">
        <v>0.99651019999999901</v>
      </c>
      <c r="Y6252">
        <v>0.2277373</v>
      </c>
      <c r="Z6252">
        <v>-9.7630449999999994E-2</v>
      </c>
      <c r="AA6252">
        <v>0.9688158</v>
      </c>
      <c r="AB6252">
        <v>52</v>
      </c>
      <c r="AC6252">
        <v>2.6365999999999801</v>
      </c>
      <c r="AD6252">
        <v>-1.101802390215</v>
      </c>
      <c r="AE6252">
        <v>10.388499999999899</v>
      </c>
      <c r="AF6252">
        <v>2.54534119162716</v>
      </c>
      <c r="AG6252">
        <v>-1.101802390215</v>
      </c>
      <c r="AH6252">
        <v>10.295816882288801</v>
      </c>
      <c r="AI6252">
        <v>95.931008415981395</v>
      </c>
      <c r="AJ6252">
        <v>76.113718042588303</v>
      </c>
      <c r="AK6252">
        <v>10.6628596334427</v>
      </c>
    </row>
    <row r="6253" spans="1:37" x14ac:dyDescent="0.2">
      <c r="A6253" t="str">
        <f>"20200111153813702"</f>
        <v>20200111153813702</v>
      </c>
      <c r="B6253" t="str">
        <f>"1578728293689272"</f>
        <v>1578728293689272</v>
      </c>
      <c r="C6253" t="s">
        <v>37</v>
      </c>
      <c r="D6253">
        <v>6.2735599999999998</v>
      </c>
      <c r="E6253">
        <v>0.55781349999999996</v>
      </c>
      <c r="F6253" t="s">
        <v>39</v>
      </c>
      <c r="G6253">
        <v>-185.93770000000001</v>
      </c>
      <c r="H6253" s="1">
        <v>-1.4983130000000001E-6</v>
      </c>
      <c r="I6253">
        <v>110.8747</v>
      </c>
      <c r="J6253">
        <v>-188.56059999999999</v>
      </c>
      <c r="K6253">
        <v>1.1014349999999999</v>
      </c>
      <c r="L6253">
        <v>100.6698</v>
      </c>
      <c r="M6253">
        <v>9.6140229999999993E-3</v>
      </c>
      <c r="N6253">
        <v>0</v>
      </c>
      <c r="O6253">
        <v>0.99959509999999996</v>
      </c>
      <c r="P6253">
        <v>9.4413369999999996E-2</v>
      </c>
      <c r="Q6253">
        <v>-1.448994E-2</v>
      </c>
      <c r="R6253">
        <v>0.99542759999999997</v>
      </c>
      <c r="S6253">
        <v>0.7224121</v>
      </c>
      <c r="T6253">
        <v>-0.30276350000000002</v>
      </c>
      <c r="U6253">
        <v>2.9435419999999999</v>
      </c>
      <c r="V6253">
        <v>8.4941760000000005E-2</v>
      </c>
      <c r="W6253">
        <v>1.143222E-2</v>
      </c>
      <c r="X6253">
        <v>0.99632030000000005</v>
      </c>
      <c r="Y6253">
        <v>0.22781589999999999</v>
      </c>
      <c r="Z6253">
        <v>-9.9503809999999998E-2</v>
      </c>
      <c r="AA6253">
        <v>0.96860669999999904</v>
      </c>
      <c r="AB6253">
        <v>52</v>
      </c>
      <c r="AC6253">
        <v>2.62289999999998</v>
      </c>
      <c r="AD6253">
        <v>-1.1014364983129901</v>
      </c>
      <c r="AE6253">
        <v>10.2049</v>
      </c>
      <c r="AF6253">
        <v>2.4973437195538701</v>
      </c>
      <c r="AG6253">
        <v>-1.1014364983129901</v>
      </c>
      <c r="AH6253">
        <v>10.119077861382699</v>
      </c>
      <c r="AI6253">
        <v>96.032445136231502</v>
      </c>
      <c r="AJ6253">
        <v>76.136685991569607</v>
      </c>
      <c r="AK6253">
        <v>10.4807263478318</v>
      </c>
    </row>
    <row r="6254" spans="1:37" x14ac:dyDescent="0.2">
      <c r="A6254" t="str">
        <f>"20200111153813723"</f>
        <v>20200111153813723</v>
      </c>
      <c r="B6254" t="str">
        <f>"1578728293719529"</f>
        <v>1578728293719529</v>
      </c>
      <c r="C6254" t="s">
        <v>37</v>
      </c>
      <c r="D6254">
        <v>6.2105449999999998</v>
      </c>
      <c r="E6254">
        <v>0.55751039999999996</v>
      </c>
      <c r="F6254" t="s">
        <v>39</v>
      </c>
      <c r="G6254">
        <v>-185.88929999999999</v>
      </c>
      <c r="H6254" s="1">
        <v>-1.6631569999999899E-6</v>
      </c>
      <c r="I6254">
        <v>111.32129999999999</v>
      </c>
      <c r="J6254">
        <v>-188.5532</v>
      </c>
      <c r="K6254">
        <v>1.1011139999999999</v>
      </c>
      <c r="L6254">
        <v>101.14490000000001</v>
      </c>
      <c r="M6254">
        <v>1.3068740000000001E-2</v>
      </c>
      <c r="N6254">
        <v>0</v>
      </c>
      <c r="O6254">
        <v>0.99955930000000004</v>
      </c>
      <c r="P6254">
        <v>0.1016073</v>
      </c>
      <c r="Q6254">
        <v>-1.340677E-2</v>
      </c>
      <c r="R6254">
        <v>0.99473419999999901</v>
      </c>
      <c r="S6254">
        <v>0.73719789999999996</v>
      </c>
      <c r="T6254">
        <v>-0.30395719999999998</v>
      </c>
      <c r="U6254">
        <v>2.9394230000000001</v>
      </c>
      <c r="V6254">
        <v>8.8718560000000002E-2</v>
      </c>
      <c r="W6254">
        <v>1.22776E-2</v>
      </c>
      <c r="X6254">
        <v>0.99598099999999901</v>
      </c>
      <c r="Y6254">
        <v>0.229344299999999</v>
      </c>
      <c r="Z6254">
        <v>-9.9943589999999999E-2</v>
      </c>
      <c r="AA6254">
        <v>0.96820059999999997</v>
      </c>
      <c r="AB6254">
        <v>52</v>
      </c>
      <c r="AC6254">
        <v>2.6639000000000101</v>
      </c>
      <c r="AD6254">
        <v>-1.1011156631569901</v>
      </c>
      <c r="AE6254">
        <v>10.1763999999999</v>
      </c>
      <c r="AF6254">
        <v>2.5032046563089199</v>
      </c>
      <c r="AG6254">
        <v>-1.1011156631569901</v>
      </c>
      <c r="AH6254">
        <v>10.0996938359271</v>
      </c>
      <c r="AI6254">
        <v>96.040716818881506</v>
      </c>
      <c r="AJ6254">
        <v>76.079778592440206</v>
      </c>
      <c r="AK6254">
        <v>10.463379226353201</v>
      </c>
    </row>
    <row r="6255" spans="1:37" x14ac:dyDescent="0.2">
      <c r="A6255" t="str">
        <f>"20200111153813745"</f>
        <v>20200111153813745</v>
      </c>
      <c r="B6255" t="str">
        <f>"1578728293739048"</f>
        <v>1578728293739048</v>
      </c>
      <c r="C6255" t="s">
        <v>37</v>
      </c>
      <c r="D6255">
        <v>6.2076510000000003</v>
      </c>
      <c r="E6255">
        <v>0.5573304</v>
      </c>
      <c r="F6255" t="s">
        <v>39</v>
      </c>
      <c r="G6255">
        <v>-185.7903</v>
      </c>
      <c r="H6255" s="1">
        <v>-1.87918E-6</v>
      </c>
      <c r="I6255">
        <v>111.87869999999999</v>
      </c>
      <c r="J6255">
        <v>-188.5429</v>
      </c>
      <c r="K6255">
        <v>1.1007719999999901</v>
      </c>
      <c r="L6255">
        <v>101.6691</v>
      </c>
      <c r="M6255">
        <v>1.7159799999999999E-2</v>
      </c>
      <c r="N6255">
        <v>0</v>
      </c>
      <c r="O6255">
        <v>0.99950099999999997</v>
      </c>
      <c r="P6255">
        <v>0.1081119</v>
      </c>
      <c r="Q6255">
        <v>-1.225505E-2</v>
      </c>
      <c r="R6255">
        <v>0.99406319999999904</v>
      </c>
      <c r="S6255">
        <v>0.75540160000000001</v>
      </c>
      <c r="T6255">
        <v>-0.30105149999999897</v>
      </c>
      <c r="U6255">
        <v>2.9346619999999999</v>
      </c>
      <c r="V6255">
        <v>9.1177419999999995E-2</v>
      </c>
      <c r="W6255">
        <v>1.3187809999999999E-2</v>
      </c>
      <c r="X6255">
        <v>0.9957473</v>
      </c>
      <c r="Y6255">
        <v>0.2313953</v>
      </c>
      <c r="Z6255">
        <v>-9.9044660000000007E-2</v>
      </c>
      <c r="AA6255">
        <v>0.96780489999999997</v>
      </c>
      <c r="AB6255">
        <v>51</v>
      </c>
      <c r="AC6255">
        <v>2.7526000000000002</v>
      </c>
      <c r="AD6255">
        <v>-1.1007738791799999</v>
      </c>
      <c r="AE6255">
        <v>10.209599999999901</v>
      </c>
      <c r="AF6255">
        <v>2.54931146251413</v>
      </c>
      <c r="AG6255">
        <v>-1.1007738791799999</v>
      </c>
      <c r="AH6255">
        <v>10.145401689280799</v>
      </c>
      <c r="AI6255">
        <v>96.007044414101998</v>
      </c>
      <c r="AJ6255">
        <v>75.894885979420295</v>
      </c>
      <c r="AK6255">
        <v>10.5185487355839</v>
      </c>
    </row>
    <row r="6256" spans="1:37" x14ac:dyDescent="0.2">
      <c r="A6256" t="str">
        <f>"20200111153813768"</f>
        <v>20200111153813768</v>
      </c>
      <c r="B6256" t="str">
        <f>"1578728293759545"</f>
        <v>1578728293759545</v>
      </c>
      <c r="C6256" t="s">
        <v>37</v>
      </c>
      <c r="D6256">
        <v>6.1797899999999997</v>
      </c>
      <c r="E6256">
        <v>0.5572047</v>
      </c>
      <c r="F6256" t="s">
        <v>39</v>
      </c>
      <c r="G6256">
        <v>-185.68</v>
      </c>
      <c r="H6256" s="1">
        <v>-2.1264690000000001E-6</v>
      </c>
      <c r="I6256">
        <v>112.51909999999999</v>
      </c>
      <c r="J6256">
        <v>-188.5308</v>
      </c>
      <c r="K6256">
        <v>1.1004430000000001</v>
      </c>
      <c r="L6256">
        <v>102.17659999999999</v>
      </c>
      <c r="M6256">
        <v>2.1392339999999999E-2</v>
      </c>
      <c r="N6256">
        <v>0</v>
      </c>
      <c r="O6256">
        <v>0.999422899999999</v>
      </c>
      <c r="P6256">
        <v>0.1152474</v>
      </c>
      <c r="Q6256">
        <v>-1.1862579999999999E-2</v>
      </c>
      <c r="R6256">
        <v>0.99326599999999998</v>
      </c>
      <c r="S6256">
        <v>0.77317809999999998</v>
      </c>
      <c r="T6256">
        <v>-0.29727749999999997</v>
      </c>
      <c r="U6256">
        <v>2.9301759999999999</v>
      </c>
      <c r="V6256">
        <v>9.4123680000000001E-2</v>
      </c>
      <c r="W6256">
        <v>1.3335609999999999E-2</v>
      </c>
      <c r="X6256">
        <v>0.9954712</v>
      </c>
      <c r="Y6256">
        <v>0.2331616</v>
      </c>
      <c r="Z6256">
        <v>-9.7852960000000003E-2</v>
      </c>
      <c r="AA6256">
        <v>0.96750219999999898</v>
      </c>
      <c r="AB6256">
        <v>51</v>
      </c>
      <c r="AC6256">
        <v>2.8507999999999898</v>
      </c>
      <c r="AD6256">
        <v>-1.1004451264690001</v>
      </c>
      <c r="AE6256">
        <v>10.342499999999999</v>
      </c>
      <c r="AF6256">
        <v>2.6014483664862502</v>
      </c>
      <c r="AG6256">
        <v>-1.1004451264690001</v>
      </c>
      <c r="AH6256">
        <v>10.292840689595099</v>
      </c>
      <c r="AI6256">
        <v>95.917815388990206</v>
      </c>
      <c r="AJ6256">
        <v>75.815908979252001</v>
      </c>
      <c r="AK6256">
        <v>10.673381963616199</v>
      </c>
    </row>
    <row r="6257" spans="1:37" x14ac:dyDescent="0.2">
      <c r="A6257" t="str">
        <f>"20200111153813790"</f>
        <v>20200111153813790</v>
      </c>
      <c r="B6257" t="str">
        <f>"1578728293779067"</f>
        <v>1578728293779067</v>
      </c>
      <c r="C6257" t="s">
        <v>37</v>
      </c>
      <c r="D6257">
        <v>6.1487739999999897</v>
      </c>
      <c r="E6257">
        <v>0.55703879999999995</v>
      </c>
      <c r="F6257" t="s">
        <v>39</v>
      </c>
      <c r="G6257">
        <v>-185.57570000000001</v>
      </c>
      <c r="H6257" s="1">
        <v>-2.3414990000000001E-6</v>
      </c>
      <c r="I6257">
        <v>113.0694</v>
      </c>
      <c r="J6257">
        <v>-188.5163</v>
      </c>
      <c r="K6257">
        <v>1.1001190000000001</v>
      </c>
      <c r="L6257">
        <v>102.6863</v>
      </c>
      <c r="M6257">
        <v>2.591475E-2</v>
      </c>
      <c r="N6257">
        <v>0</v>
      </c>
      <c r="O6257">
        <v>0.99931930000000002</v>
      </c>
      <c r="P6257">
        <v>0.123867899999999</v>
      </c>
      <c r="Q6257">
        <v>-1.004971E-2</v>
      </c>
      <c r="R6257">
        <v>0.99224780000000001</v>
      </c>
      <c r="S6257">
        <v>0.79344179999999997</v>
      </c>
      <c r="T6257">
        <v>-0.29547119999999999</v>
      </c>
      <c r="U6257">
        <v>2.924744</v>
      </c>
      <c r="V6257">
        <v>9.8292480000000002E-2</v>
      </c>
      <c r="W6257">
        <v>1.488279E-2</v>
      </c>
      <c r="X6257">
        <v>0.99504629999999905</v>
      </c>
      <c r="Y6257">
        <v>0.23547379999999901</v>
      </c>
      <c r="Z6257">
        <v>-9.7309039999999999E-2</v>
      </c>
      <c r="AA6257">
        <v>0.96699690000000005</v>
      </c>
      <c r="AB6257">
        <v>51</v>
      </c>
      <c r="AC6257">
        <v>2.9405999999999799</v>
      </c>
      <c r="AD6257">
        <v>-1.1001213414990001</v>
      </c>
      <c r="AE6257">
        <v>10.383100000000001</v>
      </c>
      <c r="AF6257">
        <v>2.6429763917335301</v>
      </c>
      <c r="AG6257">
        <v>-1.1001213414990001</v>
      </c>
      <c r="AH6257">
        <v>10.348297094446099</v>
      </c>
      <c r="AI6257">
        <v>95.880898873127606</v>
      </c>
      <c r="AJ6257">
        <v>75.6728203960472</v>
      </c>
      <c r="AK6257">
        <v>10.736984862064601</v>
      </c>
    </row>
    <row r="6258" spans="1:37" x14ac:dyDescent="0.2">
      <c r="A6258" t="str">
        <f>"20200111153813812"</f>
        <v>20200111153813812</v>
      </c>
      <c r="B6258" t="str">
        <f>"1578728293799560"</f>
        <v>1578728293799560</v>
      </c>
      <c r="C6258" t="s">
        <v>37</v>
      </c>
      <c r="D6258">
        <v>6.1319759999999999</v>
      </c>
      <c r="E6258">
        <v>0.55697680000000005</v>
      </c>
      <c r="F6258" t="s">
        <v>39</v>
      </c>
      <c r="G6258">
        <v>-185.40719999999999</v>
      </c>
      <c r="H6258" s="1">
        <v>-2.6293759999999999E-6</v>
      </c>
      <c r="I6258">
        <v>113.78360000000001</v>
      </c>
      <c r="J6258">
        <v>-188.50030000000001</v>
      </c>
      <c r="K6258">
        <v>1.0998019999999999</v>
      </c>
      <c r="L6258">
        <v>103.1656</v>
      </c>
      <c r="M6258">
        <v>3.0424960000000001E-2</v>
      </c>
      <c r="N6258">
        <v>0</v>
      </c>
      <c r="O6258">
        <v>0.99919519999999995</v>
      </c>
      <c r="P6258">
        <v>0.13251109999999999</v>
      </c>
      <c r="Q6258">
        <v>-9.1338900000000004E-3</v>
      </c>
      <c r="R6258">
        <v>0.9911394</v>
      </c>
      <c r="S6258">
        <v>0.81764219999999999</v>
      </c>
      <c r="T6258">
        <v>-0.28931599999999902</v>
      </c>
      <c r="U6258">
        <v>2.9184269999999999</v>
      </c>
      <c r="V6258">
        <v>0.1024941</v>
      </c>
      <c r="W6258">
        <v>1.5543619999999999E-2</v>
      </c>
      <c r="X6258">
        <v>0.99461219999999995</v>
      </c>
      <c r="Y6258">
        <v>0.23911849999999901</v>
      </c>
      <c r="Z6258">
        <v>-9.5334539999999995E-2</v>
      </c>
      <c r="AA6258">
        <v>0.96629900000000002</v>
      </c>
      <c r="AB6258">
        <v>51</v>
      </c>
      <c r="AC6258">
        <v>3.0931000000000202</v>
      </c>
      <c r="AD6258">
        <v>-1.099804629376</v>
      </c>
      <c r="AE6258">
        <v>10.618</v>
      </c>
      <c r="AF6258">
        <v>2.7413935677745598</v>
      </c>
      <c r="AG6258">
        <v>-1.099804629376</v>
      </c>
      <c r="AH6258">
        <v>10.602369122175199</v>
      </c>
      <c r="AI6258">
        <v>95.734937691148602</v>
      </c>
      <c r="AJ6258">
        <v>75.5028645659294</v>
      </c>
      <c r="AK6258">
        <v>11.006136466493899</v>
      </c>
    </row>
    <row r="6259" spans="1:37" x14ac:dyDescent="0.2">
      <c r="A6259" t="str">
        <f>"20200111153813834"</f>
        <v>20200111153813834</v>
      </c>
      <c r="B6259" t="str">
        <f>"1578728293829817"</f>
        <v>1578728293829817</v>
      </c>
      <c r="C6259" t="s">
        <v>37</v>
      </c>
      <c r="D6259">
        <v>6.05863</v>
      </c>
      <c r="E6259">
        <v>0.55678349999999999</v>
      </c>
      <c r="F6259" t="s">
        <v>39</v>
      </c>
      <c r="G6259">
        <v>-185.25890000000001</v>
      </c>
      <c r="H6259" s="1">
        <v>-2.8730950000000001E-6</v>
      </c>
      <c r="I6259">
        <v>114.36969999999999</v>
      </c>
      <c r="J6259">
        <v>-188.48070000000001</v>
      </c>
      <c r="K6259">
        <v>1.0994379999999999</v>
      </c>
      <c r="L6259">
        <v>103.6803</v>
      </c>
      <c r="M6259">
        <v>3.5554950000000002E-2</v>
      </c>
      <c r="N6259">
        <v>0</v>
      </c>
      <c r="O6259">
        <v>0.9990289</v>
      </c>
      <c r="P6259">
        <v>0.14002110000000001</v>
      </c>
      <c r="Q6259">
        <v>-1.064789E-2</v>
      </c>
      <c r="R6259">
        <v>0.99009130000000001</v>
      </c>
      <c r="S6259">
        <v>0.84233089999999999</v>
      </c>
      <c r="T6259">
        <v>-0.28580329999999998</v>
      </c>
      <c r="U6259">
        <v>2.911575</v>
      </c>
      <c r="V6259">
        <v>0.1049182</v>
      </c>
      <c r="W6259">
        <v>1.378618E-2</v>
      </c>
      <c r="X6259">
        <v>0.99438530000000003</v>
      </c>
      <c r="Y6259">
        <v>0.24233109999999999</v>
      </c>
      <c r="Z6259">
        <v>-9.4230359999999999E-2</v>
      </c>
      <c r="AA6259">
        <v>0.96560669999999904</v>
      </c>
      <c r="AB6259">
        <v>51</v>
      </c>
      <c r="AC6259">
        <v>3.2218</v>
      </c>
      <c r="AD6259">
        <v>-1.0994408730949901</v>
      </c>
      <c r="AE6259">
        <v>10.6893999999999</v>
      </c>
      <c r="AF6259">
        <v>2.8122985150509701</v>
      </c>
      <c r="AG6259">
        <v>-1.0994408730949901</v>
      </c>
      <c r="AH6259">
        <v>10.6935224453172</v>
      </c>
      <c r="AI6259">
        <v>95.678404834597899</v>
      </c>
      <c r="AJ6259">
        <v>75.265388821320698</v>
      </c>
      <c r="AK6259">
        <v>11.1116702371737</v>
      </c>
    </row>
    <row r="6260" spans="1:37" x14ac:dyDescent="0.2">
      <c r="A6260" t="str">
        <f>"20200111153813857"</f>
        <v>20200111153813857</v>
      </c>
      <c r="B6260" t="str">
        <f>"1578728293849336"</f>
        <v>1578728293849336</v>
      </c>
      <c r="C6260" t="s">
        <v>37</v>
      </c>
      <c r="D6260">
        <v>6.0693699999999904</v>
      </c>
      <c r="E6260">
        <v>0.5566738</v>
      </c>
      <c r="F6260" t="s">
        <v>39</v>
      </c>
      <c r="G6260">
        <v>-185.197</v>
      </c>
      <c r="H6260" s="1">
        <v>-3.0375119999999899E-6</v>
      </c>
      <c r="I6260">
        <v>114.7273</v>
      </c>
      <c r="J6260">
        <v>-188.45849999999999</v>
      </c>
      <c r="K6260">
        <v>1.0990690000000001</v>
      </c>
      <c r="L6260">
        <v>104.1884</v>
      </c>
      <c r="M6260">
        <v>4.0920949999999998E-2</v>
      </c>
      <c r="N6260">
        <v>0</v>
      </c>
      <c r="O6260">
        <v>0.9988264</v>
      </c>
      <c r="P6260">
        <v>0.14623649999999999</v>
      </c>
      <c r="Q6260">
        <v>-1.2536530000000001E-2</v>
      </c>
      <c r="R6260">
        <v>0.989170199999999</v>
      </c>
      <c r="S6260">
        <v>0.86343380000000003</v>
      </c>
      <c r="T6260">
        <v>-0.28909699999999999</v>
      </c>
      <c r="U6260">
        <v>2.9048159999999998</v>
      </c>
      <c r="V6260">
        <v>0.105805</v>
      </c>
      <c r="W6260">
        <v>1.1680640000000001E-2</v>
      </c>
      <c r="X6260">
        <v>0.99431829999999999</v>
      </c>
      <c r="Y6260">
        <v>0.244147899999999</v>
      </c>
      <c r="Z6260">
        <v>-9.5370780000000002E-2</v>
      </c>
      <c r="AA6260">
        <v>0.96503689999999998</v>
      </c>
      <c r="AB6260">
        <v>50</v>
      </c>
      <c r="AC6260">
        <v>3.2614999999999799</v>
      </c>
      <c r="AD6260">
        <v>-1.099072037512</v>
      </c>
      <c r="AE6260">
        <v>10.5388999999999</v>
      </c>
      <c r="AF6260">
        <v>2.7995732253463901</v>
      </c>
      <c r="AG6260">
        <v>-1.099072037512</v>
      </c>
      <c r="AH6260">
        <v>10.5587766450845</v>
      </c>
      <c r="AI6260">
        <v>95.745439928312393</v>
      </c>
      <c r="AJ6260">
        <v>75.150180863591501</v>
      </c>
      <c r="AK6260">
        <v>10.9787674093451</v>
      </c>
    </row>
    <row r="6261" spans="1:37" x14ac:dyDescent="0.2">
      <c r="A6261" t="str">
        <f>"20200111153813879"</f>
        <v>20200111153813879</v>
      </c>
      <c r="B6261" t="str">
        <f>"1578728293869832"</f>
        <v>1578728293869832</v>
      </c>
      <c r="C6261" t="s">
        <v>37</v>
      </c>
      <c r="D6261">
        <v>6.1152980000000001</v>
      </c>
      <c r="E6261">
        <v>0.55669279999999999</v>
      </c>
      <c r="F6261" t="s">
        <v>39</v>
      </c>
      <c r="G6261">
        <v>-185.11019999999999</v>
      </c>
      <c r="H6261" s="1">
        <v>-3.253297E-6</v>
      </c>
      <c r="I6261">
        <v>115.1944</v>
      </c>
      <c r="J6261">
        <v>-188.43369999999999</v>
      </c>
      <c r="K6261">
        <v>1.0987089999999999</v>
      </c>
      <c r="L6261">
        <v>104.69199999999999</v>
      </c>
      <c r="M6261">
        <v>4.6542500000000001E-2</v>
      </c>
      <c r="N6261">
        <v>0</v>
      </c>
      <c r="O6261">
        <v>0.998583</v>
      </c>
      <c r="P6261">
        <v>0.1530987</v>
      </c>
      <c r="Q6261">
        <v>-1.354583E-2</v>
      </c>
      <c r="R6261">
        <v>0.9881181</v>
      </c>
      <c r="S6261">
        <v>0.88188169999999899</v>
      </c>
      <c r="T6261">
        <v>-0.2894775</v>
      </c>
      <c r="U6261">
        <v>2.8988040000000002</v>
      </c>
      <c r="V6261">
        <v>0.1071028</v>
      </c>
      <c r="W6261">
        <v>1.0452380000000001E-2</v>
      </c>
      <c r="X6261">
        <v>0.99419299999999999</v>
      </c>
      <c r="Y6261">
        <v>0.244864</v>
      </c>
      <c r="Z6261">
        <v>-9.5553869999999999E-2</v>
      </c>
      <c r="AA6261">
        <v>0.96483730000000001</v>
      </c>
      <c r="AB6261">
        <v>50</v>
      </c>
      <c r="AC6261">
        <v>3.3234999999999899</v>
      </c>
      <c r="AD6261">
        <v>-1.098712253297</v>
      </c>
      <c r="AE6261">
        <v>10.5023999999999</v>
      </c>
      <c r="AF6261">
        <v>2.8030401433083698</v>
      </c>
      <c r="AG6261">
        <v>-1.098712253297</v>
      </c>
      <c r="AH6261">
        <v>10.5408843088016</v>
      </c>
      <c r="AI6261">
        <v>95.752151587377597</v>
      </c>
      <c r="AJ6261">
        <v>75.108489301113494</v>
      </c>
      <c r="AK6261">
        <v>10.962410531999</v>
      </c>
    </row>
    <row r="6262" spans="1:37" x14ac:dyDescent="0.2">
      <c r="A6262" t="str">
        <f>"20200111153813901"</f>
        <v>20200111153813901</v>
      </c>
      <c r="B6262" t="str">
        <f>"1578728293889352"</f>
        <v>1578728293889352</v>
      </c>
      <c r="C6262" t="s">
        <v>37</v>
      </c>
      <c r="D6262">
        <v>6.1092629999999897</v>
      </c>
      <c r="E6262">
        <v>0.55661619999999901</v>
      </c>
      <c r="F6262" t="s">
        <v>39</v>
      </c>
      <c r="G6262">
        <v>-184.9991</v>
      </c>
      <c r="H6262" s="1">
        <v>-3.4893050000000001E-6</v>
      </c>
      <c r="I6262">
        <v>115.6987</v>
      </c>
      <c r="J6262">
        <v>-188.4066</v>
      </c>
      <c r="K6262">
        <v>1.098374</v>
      </c>
      <c r="L6262">
        <v>105.1768</v>
      </c>
      <c r="M6262">
        <v>5.2271699999999997E-2</v>
      </c>
      <c r="N6262">
        <v>0</v>
      </c>
      <c r="O6262">
        <v>0.99830189999999996</v>
      </c>
      <c r="P6262">
        <v>0.16096740000000001</v>
      </c>
      <c r="Q6262">
        <v>-1.382625E-2</v>
      </c>
      <c r="R6262">
        <v>0.98686289999999999</v>
      </c>
      <c r="S6262">
        <v>0.90251159999999997</v>
      </c>
      <c r="T6262">
        <v>-0.28871459999999999</v>
      </c>
      <c r="U6262">
        <v>2.8922880000000002</v>
      </c>
      <c r="V6262">
        <v>0.10932210000000001</v>
      </c>
      <c r="W6262">
        <v>9.9512550000000009E-3</v>
      </c>
      <c r="X6262">
        <v>0.99395659999999897</v>
      </c>
      <c r="Y6262">
        <v>0.2461971</v>
      </c>
      <c r="Z6262">
        <v>-9.5353510000000002E-2</v>
      </c>
      <c r="AA6262">
        <v>0.96451779999999998</v>
      </c>
      <c r="AB6262">
        <v>50</v>
      </c>
      <c r="AC6262">
        <v>3.40749999999999</v>
      </c>
      <c r="AD6262">
        <v>-1.098377489305</v>
      </c>
      <c r="AE6262">
        <v>10.5219</v>
      </c>
      <c r="AF6262">
        <v>2.8247986108422198</v>
      </c>
      <c r="AG6262">
        <v>-1.098377489305</v>
      </c>
      <c r="AH6262">
        <v>10.5813191620382</v>
      </c>
      <c r="AI6262">
        <v>95.727110553126394</v>
      </c>
      <c r="AJ6262">
        <v>75.052844244466101</v>
      </c>
      <c r="AK6262">
        <v>11.0068267684081</v>
      </c>
    </row>
    <row r="6263" spans="1:37" x14ac:dyDescent="0.2">
      <c r="A6263" t="str">
        <f>"20200111153813923"</f>
        <v>20200111153813923</v>
      </c>
      <c r="B6263" t="str">
        <f>"1578728293919609"</f>
        <v>1578728293919609</v>
      </c>
      <c r="C6263" t="s">
        <v>37</v>
      </c>
      <c r="D6263">
        <v>6.0534879999999998</v>
      </c>
      <c r="E6263">
        <v>0.55651300000000004</v>
      </c>
      <c r="F6263" t="s">
        <v>39</v>
      </c>
      <c r="G6263">
        <v>-184.86179999999999</v>
      </c>
      <c r="H6263" s="1">
        <v>-3.7446909999999999E-6</v>
      </c>
      <c r="I6263">
        <v>116.2372</v>
      </c>
      <c r="J6263">
        <v>-188.37649999999999</v>
      </c>
      <c r="K6263">
        <v>1.0980570000000001</v>
      </c>
      <c r="L6263">
        <v>105.6627</v>
      </c>
      <c r="M6263">
        <v>5.8282380000000002E-2</v>
      </c>
      <c r="N6263">
        <v>0</v>
      </c>
      <c r="O6263">
        <v>0.99797119999999995</v>
      </c>
      <c r="P6263">
        <v>0.1680942</v>
      </c>
      <c r="Q6263">
        <v>-1.261965E-2</v>
      </c>
      <c r="R6263">
        <v>0.98569019999999996</v>
      </c>
      <c r="S6263">
        <v>0.92465209999999998</v>
      </c>
      <c r="T6263">
        <v>-0.2865105</v>
      </c>
      <c r="U6263">
        <v>2.8851009999999899</v>
      </c>
      <c r="V6263">
        <v>0.11054460000000001</v>
      </c>
      <c r="W6263">
        <v>1.096019E-2</v>
      </c>
      <c r="X6263">
        <v>0.99381070000000005</v>
      </c>
      <c r="Y6263">
        <v>0.2477924</v>
      </c>
      <c r="Z6263">
        <v>-9.4681769999999998E-2</v>
      </c>
      <c r="AA6263">
        <v>0.96417549999999996</v>
      </c>
      <c r="AB6263">
        <v>50</v>
      </c>
      <c r="AC6263">
        <v>3.5146999999999999</v>
      </c>
      <c r="AD6263">
        <v>-1.098060744691</v>
      </c>
      <c r="AE6263">
        <v>10.5745</v>
      </c>
      <c r="AF6263">
        <v>2.864398411532</v>
      </c>
      <c r="AG6263">
        <v>-1.098060744691</v>
      </c>
      <c r="AH6263">
        <v>10.6579354282858</v>
      </c>
      <c r="AI6263">
        <v>95.682047078334904</v>
      </c>
      <c r="AJ6263">
        <v>74.956806852340407</v>
      </c>
      <c r="AK6263">
        <v>11.090631327951</v>
      </c>
    </row>
    <row r="6264" spans="1:37" x14ac:dyDescent="0.2">
      <c r="A6264" t="str">
        <f>"20200111153813946"</f>
        <v>20200111153813946</v>
      </c>
      <c r="B6264" t="str">
        <f>"1578728293939129"</f>
        <v>1578728293939129</v>
      </c>
      <c r="C6264" t="s">
        <v>37</v>
      </c>
      <c r="D6264">
        <v>5.921017</v>
      </c>
      <c r="E6264">
        <v>0.55640749999999894</v>
      </c>
      <c r="F6264" t="s">
        <v>39</v>
      </c>
      <c r="G6264">
        <v>-184.6935</v>
      </c>
      <c r="H6264" s="1">
        <v>-4.0518790000000002E-6</v>
      </c>
      <c r="I6264">
        <v>116.8836</v>
      </c>
      <c r="J6264">
        <v>-188.34139999999999</v>
      </c>
      <c r="K6264">
        <v>1.0977330000000001</v>
      </c>
      <c r="L6264">
        <v>106.17570000000001</v>
      </c>
      <c r="M6264">
        <v>6.4921240000000005E-2</v>
      </c>
      <c r="N6264">
        <v>0</v>
      </c>
      <c r="O6264">
        <v>0.99756369999999905</v>
      </c>
      <c r="P6264">
        <v>0.17495379999999899</v>
      </c>
      <c r="Q6264">
        <v>-1.0890850000000001E-2</v>
      </c>
      <c r="R6264">
        <v>0.98451639999999996</v>
      </c>
      <c r="S6264">
        <v>0.94491579999999997</v>
      </c>
      <c r="T6264">
        <v>-0.28171550000000001</v>
      </c>
      <c r="U6264">
        <v>2.8788149999999999</v>
      </c>
      <c r="V6264">
        <v>0.1108891</v>
      </c>
      <c r="W6264">
        <v>1.25036E-2</v>
      </c>
      <c r="X6264">
        <v>0.99375409999999997</v>
      </c>
      <c r="Y6264">
        <v>0.24814499999999901</v>
      </c>
      <c r="Z6264">
        <v>-9.3143420000000005E-2</v>
      </c>
      <c r="AA6264">
        <v>0.96423459999999905</v>
      </c>
      <c r="AB6264">
        <v>49</v>
      </c>
      <c r="AC6264">
        <v>3.6478999999999902</v>
      </c>
      <c r="AD6264">
        <v>-1.0977370518789999</v>
      </c>
      <c r="AE6264">
        <v>10.707899999999899</v>
      </c>
      <c r="AF6264">
        <v>2.9173307117312501</v>
      </c>
      <c r="AG6264">
        <v>-1.0977370518789999</v>
      </c>
      <c r="AH6264">
        <v>10.8203070623406</v>
      </c>
      <c r="AI6264">
        <v>95.594488608339006</v>
      </c>
      <c r="AJ6264">
        <v>74.910919667847395</v>
      </c>
      <c r="AK6264">
        <v>11.2603237093796</v>
      </c>
    </row>
    <row r="6265" spans="1:37" x14ac:dyDescent="0.2">
      <c r="A6265" t="str">
        <f>"20200111153813969"</f>
        <v>20200111153813969</v>
      </c>
      <c r="B6265" t="str">
        <f>"1578728293959630"</f>
        <v>1578728293959630</v>
      </c>
      <c r="C6265" t="s">
        <v>37</v>
      </c>
      <c r="D6265">
        <v>5.9568940000000001</v>
      </c>
      <c r="E6265">
        <v>0.55643809999999905</v>
      </c>
      <c r="F6265" t="s">
        <v>39</v>
      </c>
      <c r="G6265">
        <v>-184.51390000000001</v>
      </c>
      <c r="H6265" s="1">
        <v>-4.3815679999999997E-6</v>
      </c>
      <c r="I6265">
        <v>117.5779</v>
      </c>
      <c r="J6265">
        <v>-188.30410000000001</v>
      </c>
      <c r="K6265">
        <v>1.097437</v>
      </c>
      <c r="L6265">
        <v>106.67149999999999</v>
      </c>
      <c r="M6265">
        <v>7.1617620000000007E-2</v>
      </c>
      <c r="N6265">
        <v>0</v>
      </c>
      <c r="O6265">
        <v>0.99710750000000004</v>
      </c>
      <c r="P6265">
        <v>0.18161469999999999</v>
      </c>
      <c r="Q6265">
        <v>-9.2121300000000007E-3</v>
      </c>
      <c r="R6265">
        <v>0.98332659999999905</v>
      </c>
      <c r="S6265">
        <v>0.96432499999999999</v>
      </c>
      <c r="T6265">
        <v>-0.27657290000000001</v>
      </c>
      <c r="U6265">
        <v>2.872757</v>
      </c>
      <c r="V6265">
        <v>0.1109821</v>
      </c>
      <c r="W6265">
        <v>1.4015039999999999E-2</v>
      </c>
      <c r="X6265">
        <v>0.99372359999999904</v>
      </c>
      <c r="Y6265">
        <v>0.248161299999999</v>
      </c>
      <c r="Z6265">
        <v>-9.1481770000000004E-2</v>
      </c>
      <c r="AA6265">
        <v>0.96438950000000001</v>
      </c>
      <c r="AB6265">
        <v>49</v>
      </c>
      <c r="AC6265">
        <v>3.7901999999999898</v>
      </c>
      <c r="AD6265">
        <v>-1.097441381568</v>
      </c>
      <c r="AE6265">
        <v>10.9064</v>
      </c>
      <c r="AF6265">
        <v>2.97226599666836</v>
      </c>
      <c r="AG6265">
        <v>-1.097441381568</v>
      </c>
      <c r="AH6265">
        <v>11.0500818618453</v>
      </c>
      <c r="AI6265">
        <v>95.478273640416504</v>
      </c>
      <c r="AJ6265">
        <v>74.944837202315298</v>
      </c>
      <c r="AK6265">
        <v>11.495349141909999</v>
      </c>
    </row>
    <row r="6266" spans="1:37" x14ac:dyDescent="0.2">
      <c r="A6266" t="str">
        <f>"20200111153813991"</f>
        <v>20200111153813991</v>
      </c>
      <c r="B6266" t="str">
        <f>"1578728293979147"</f>
        <v>1578728293979147</v>
      </c>
      <c r="C6266" t="s">
        <v>37</v>
      </c>
      <c r="D6266">
        <v>5.9717169999999999</v>
      </c>
      <c r="E6266">
        <v>0.5564173</v>
      </c>
      <c r="F6266" t="s">
        <v>39</v>
      </c>
      <c r="G6266">
        <v>-184.31809999999999</v>
      </c>
      <c r="H6266" s="1">
        <v>-4.7192819999999998E-6</v>
      </c>
      <c r="I6266">
        <v>118.2841</v>
      </c>
      <c r="J6266">
        <v>-188.26480000000001</v>
      </c>
      <c r="K6266">
        <v>1.097146</v>
      </c>
      <c r="L6266">
        <v>107.14960000000001</v>
      </c>
      <c r="M6266">
        <v>7.8339839999999994E-2</v>
      </c>
      <c r="N6266">
        <v>0</v>
      </c>
      <c r="O6266">
        <v>0.99660380000000004</v>
      </c>
      <c r="P6266">
        <v>0.18819569999999999</v>
      </c>
      <c r="Q6266">
        <v>-8.7817709999999903E-3</v>
      </c>
      <c r="R6266">
        <v>0.98209230000000003</v>
      </c>
      <c r="S6266">
        <v>0.98394780000000004</v>
      </c>
      <c r="T6266">
        <v>-0.27090409999999998</v>
      </c>
      <c r="U6266">
        <v>2.8665919999999998</v>
      </c>
      <c r="V6266">
        <v>0.1109521</v>
      </c>
      <c r="W6266">
        <v>1.4296349999999999E-2</v>
      </c>
      <c r="X6266">
        <v>0.99372289999999996</v>
      </c>
      <c r="Y6266">
        <v>0.24822900000000001</v>
      </c>
      <c r="Z6266">
        <v>-8.9638809999999999E-2</v>
      </c>
      <c r="AA6266">
        <v>0.96454509999999904</v>
      </c>
      <c r="AB6266">
        <v>49</v>
      </c>
      <c r="AC6266">
        <v>3.9467000000000199</v>
      </c>
      <c r="AD6266">
        <v>-1.097150719282</v>
      </c>
      <c r="AE6266">
        <v>11.1344999999999</v>
      </c>
      <c r="AF6266">
        <v>3.03582106334945</v>
      </c>
      <c r="AG6266">
        <v>-1.097150719282</v>
      </c>
      <c r="AH6266">
        <v>11.3119687454267</v>
      </c>
      <c r="AI6266">
        <v>95.351592013897204</v>
      </c>
      <c r="AJ6266">
        <v>74.977374620805193</v>
      </c>
      <c r="AK6266">
        <v>11.7635277925888</v>
      </c>
    </row>
    <row r="6267" spans="1:37" x14ac:dyDescent="0.2">
      <c r="A6267" t="str">
        <f>"20200111153814013"</f>
        <v>20200111153814013</v>
      </c>
      <c r="B6267" t="str">
        <f>"1578728294009400"</f>
        <v>1578728294009400</v>
      </c>
      <c r="C6267" t="s">
        <v>37</v>
      </c>
      <c r="D6267">
        <v>5.9770690000000002</v>
      </c>
      <c r="E6267">
        <v>0.55633279999999996</v>
      </c>
      <c r="F6267" t="s">
        <v>39</v>
      </c>
      <c r="G6267">
        <v>-184.1617</v>
      </c>
      <c r="H6267" s="1">
        <v>-4.9893809999999997E-6</v>
      </c>
      <c r="I6267">
        <v>118.84910000000001</v>
      </c>
      <c r="J6267">
        <v>-188.22130000000001</v>
      </c>
      <c r="K6267">
        <v>1.096854</v>
      </c>
      <c r="L6267">
        <v>107.63720000000001</v>
      </c>
      <c r="M6267">
        <v>8.5454390000000005E-2</v>
      </c>
      <c r="N6267">
        <v>0</v>
      </c>
      <c r="O6267">
        <v>0.99602060000000003</v>
      </c>
      <c r="P6267">
        <v>0.19451769999999999</v>
      </c>
      <c r="Q6267">
        <v>-8.6780380000000008E-3</v>
      </c>
      <c r="R6267">
        <v>0.98086059999999997</v>
      </c>
      <c r="S6267">
        <v>1.0030520000000001</v>
      </c>
      <c r="T6267">
        <v>-0.26821349999999999</v>
      </c>
      <c r="U6267">
        <v>2.8600919999999999</v>
      </c>
      <c r="V6267">
        <v>0.1102678</v>
      </c>
      <c r="W6267">
        <v>1.4272979999999999E-2</v>
      </c>
      <c r="X6267">
        <v>0.9937994</v>
      </c>
      <c r="Y6267">
        <v>0.24776139999999999</v>
      </c>
      <c r="Z6267">
        <v>-8.8777969999999998E-2</v>
      </c>
      <c r="AA6267">
        <v>0.96474490000000002</v>
      </c>
      <c r="AB6267">
        <v>49</v>
      </c>
      <c r="AC6267">
        <v>4.0596000000000103</v>
      </c>
      <c r="AD6267">
        <v>-1.0968589893809999</v>
      </c>
      <c r="AE6267">
        <v>11.2119</v>
      </c>
      <c r="AF6267">
        <v>3.0604322247493099</v>
      </c>
      <c r="AG6267">
        <v>-1.0968589893809999</v>
      </c>
      <c r="AH6267">
        <v>11.4212437072296</v>
      </c>
      <c r="AI6267">
        <v>95.299825503462898</v>
      </c>
      <c r="AJ6267">
        <v>74.9994420948223</v>
      </c>
      <c r="AK6267">
        <v>11.8749380151983</v>
      </c>
    </row>
    <row r="6268" spans="1:37" x14ac:dyDescent="0.2">
      <c r="A6268" t="str">
        <f>"20200111153814035"</f>
        <v>20200111153814035</v>
      </c>
      <c r="B6268" t="str">
        <f>"1578728294029898"</f>
        <v>1578728294029898</v>
      </c>
      <c r="C6268" t="s">
        <v>37</v>
      </c>
      <c r="D6268">
        <v>6.0031650000000001</v>
      </c>
      <c r="E6268">
        <v>0.55630489999999999</v>
      </c>
      <c r="F6268" t="s">
        <v>39</v>
      </c>
      <c r="G6268">
        <v>-184.01830000000001</v>
      </c>
      <c r="H6268" s="1">
        <v>-5.2434009999999999E-6</v>
      </c>
      <c r="I6268">
        <v>119.3819</v>
      </c>
      <c r="J6268">
        <v>-188.1763</v>
      </c>
      <c r="K6268">
        <v>1.0965849999999999</v>
      </c>
      <c r="L6268">
        <v>108.1035</v>
      </c>
      <c r="M6268">
        <v>9.2503509999999997E-2</v>
      </c>
      <c r="N6268">
        <v>0</v>
      </c>
      <c r="O6268">
        <v>0.99539230000000001</v>
      </c>
      <c r="P6268">
        <v>0.20162160000000001</v>
      </c>
      <c r="Q6268">
        <v>-7.77613099999999E-3</v>
      </c>
      <c r="R6268">
        <v>0.97943259999999899</v>
      </c>
      <c r="S6268">
        <v>1.02121</v>
      </c>
      <c r="T6268">
        <v>-0.26650770000000001</v>
      </c>
      <c r="U6268">
        <v>2.8536679999999999</v>
      </c>
      <c r="V6268">
        <v>0.1104612</v>
      </c>
      <c r="W6268">
        <v>1.50387E-2</v>
      </c>
      <c r="X6268">
        <v>0.993766699999999</v>
      </c>
      <c r="Y6268">
        <v>0.24705160000000001</v>
      </c>
      <c r="Z6268">
        <v>-8.8237330000000003E-2</v>
      </c>
      <c r="AA6268">
        <v>0.96497649999999902</v>
      </c>
      <c r="AB6268">
        <v>49</v>
      </c>
      <c r="AC6268">
        <v>4.1579999999999799</v>
      </c>
      <c r="AD6268">
        <v>-1.096590243401</v>
      </c>
      <c r="AE6268">
        <v>11.2784</v>
      </c>
      <c r="AF6268">
        <v>3.0709785904778699</v>
      </c>
      <c r="AG6268">
        <v>-1.096590243401</v>
      </c>
      <c r="AH6268">
        <v>11.5188990022548</v>
      </c>
      <c r="AI6268">
        <v>95.255634475932496</v>
      </c>
      <c r="AJ6268">
        <v>75.071962707929302</v>
      </c>
      <c r="AK6268">
        <v>11.9715685642794</v>
      </c>
    </row>
    <row r="6269" spans="1:37" x14ac:dyDescent="0.2">
      <c r="A6269" t="str">
        <f>"20200111153814058"</f>
        <v>20200111153814058</v>
      </c>
      <c r="B6269" t="str">
        <f>"1578728294049416"</f>
        <v>1578728294049416</v>
      </c>
      <c r="C6269" t="s">
        <v>37</v>
      </c>
      <c r="D6269">
        <v>6.0599829999999999</v>
      </c>
      <c r="E6269">
        <v>0.55623919999999905</v>
      </c>
      <c r="F6269" t="s">
        <v>51</v>
      </c>
      <c r="G6269">
        <v>-183.84889999999999</v>
      </c>
      <c r="H6269" s="1">
        <v>-1.7172639999999999E-6</v>
      </c>
      <c r="I6269">
        <v>119.9281</v>
      </c>
      <c r="J6269">
        <v>-188.12520000000001</v>
      </c>
      <c r="K6269">
        <v>1.0963049999999901</v>
      </c>
      <c r="L6269">
        <v>108.59480000000001</v>
      </c>
      <c r="M6269">
        <v>0.10017519999999901</v>
      </c>
      <c r="N6269">
        <v>0</v>
      </c>
      <c r="O6269">
        <v>0.99465110000000001</v>
      </c>
      <c r="P6269">
        <v>0.209539799999999</v>
      </c>
      <c r="Q6269">
        <v>-6.4943209999999999E-3</v>
      </c>
      <c r="R6269">
        <v>0.97777860000000005</v>
      </c>
      <c r="S6269">
        <v>1.0417019999999999</v>
      </c>
      <c r="T6269">
        <v>-0.26397229999999999</v>
      </c>
      <c r="U6269">
        <v>2.8464509999999899</v>
      </c>
      <c r="V6269">
        <v>0.11087519999999999</v>
      </c>
      <c r="W6269">
        <v>1.6173440000000001E-2</v>
      </c>
      <c r="X6269">
        <v>0.99370270000000005</v>
      </c>
      <c r="Y6269">
        <v>0.2465244</v>
      </c>
      <c r="Z6269">
        <v>-8.7415880000000001E-2</v>
      </c>
      <c r="AA6269">
        <v>0.96518609999999905</v>
      </c>
      <c r="AB6269">
        <v>48</v>
      </c>
      <c r="AC6269">
        <v>4.2763000000000204</v>
      </c>
      <c r="AD6269">
        <v>-1.09630671726399</v>
      </c>
      <c r="AE6269">
        <v>11.3332999999999</v>
      </c>
      <c r="AF6269">
        <v>3.0937586140727502</v>
      </c>
      <c r="AG6269">
        <v>-1.09630671726399</v>
      </c>
      <c r="AH6269">
        <v>11.6096738357682</v>
      </c>
      <c r="AI6269">
        <v>95.213585714867307</v>
      </c>
      <c r="AJ6269">
        <v>75.078509781677198</v>
      </c>
      <c r="AK6269">
        <v>12.0647319635949</v>
      </c>
    </row>
    <row r="6270" spans="1:37" x14ac:dyDescent="0.2">
      <c r="A6270" t="str">
        <f>"20200111153814080"</f>
        <v>20200111153814080</v>
      </c>
      <c r="B6270" t="str">
        <f>"1578728294069915"</f>
        <v>1578728294069915</v>
      </c>
      <c r="C6270" t="s">
        <v>37</v>
      </c>
      <c r="D6270">
        <v>5.9467869999999996</v>
      </c>
      <c r="E6270">
        <v>0.55616889999999997</v>
      </c>
      <c r="F6270" t="s">
        <v>51</v>
      </c>
      <c r="G6270">
        <v>-183.65199999999999</v>
      </c>
      <c r="H6270" s="1">
        <v>-1.9446060000000001E-6</v>
      </c>
      <c r="I6270">
        <v>120.5222</v>
      </c>
      <c r="J6270">
        <v>-188.072</v>
      </c>
      <c r="K6270">
        <v>1.0960459999999901</v>
      </c>
      <c r="L6270">
        <v>109.06959999999999</v>
      </c>
      <c r="M6270">
        <v>0.10782609999999999</v>
      </c>
      <c r="N6270">
        <v>0</v>
      </c>
      <c r="O6270">
        <v>0.99385230000000002</v>
      </c>
      <c r="P6270">
        <v>0.21682460000000001</v>
      </c>
      <c r="Q6270">
        <v>-6.940898E-3</v>
      </c>
      <c r="R6270">
        <v>0.97618590000000005</v>
      </c>
      <c r="S6270">
        <v>1.064468</v>
      </c>
      <c r="T6270">
        <v>-0.26088600000000001</v>
      </c>
      <c r="U6270">
        <v>2.838333</v>
      </c>
      <c r="V6270">
        <v>0.11063729999999999</v>
      </c>
      <c r="W6270">
        <v>1.560512E-2</v>
      </c>
      <c r="X6270">
        <v>0.99373840000000002</v>
      </c>
      <c r="Y6270">
        <v>0.246795399999999</v>
      </c>
      <c r="Z6270">
        <v>-8.6408150000000003E-2</v>
      </c>
      <c r="AA6270">
        <v>0.96520759999999906</v>
      </c>
      <c r="AB6270">
        <v>48</v>
      </c>
      <c r="AC6270">
        <v>4.4199999999999804</v>
      </c>
      <c r="AD6270">
        <v>-1.0960479446060001</v>
      </c>
      <c r="AE6270">
        <v>11.4526</v>
      </c>
      <c r="AF6270">
        <v>3.1339521019607601</v>
      </c>
      <c r="AG6270">
        <v>-1.0960479446060001</v>
      </c>
      <c r="AH6270">
        <v>11.7687117438897</v>
      </c>
      <c r="AI6270">
        <v>95.142540642935401</v>
      </c>
      <c r="AJ6270">
        <v>75.088452145630498</v>
      </c>
      <c r="AK6270">
        <v>12.2280641552547</v>
      </c>
    </row>
    <row r="6271" spans="1:37" x14ac:dyDescent="0.2">
      <c r="A6271" t="str">
        <f>"20200111153814101"</f>
        <v>20200111153814101</v>
      </c>
      <c r="B6271" t="str">
        <f>"1578728294089432"</f>
        <v>1578728294089432</v>
      </c>
      <c r="C6271" t="s">
        <v>37</v>
      </c>
      <c r="D6271">
        <v>6.02346</v>
      </c>
      <c r="E6271">
        <v>0.55613979999999996</v>
      </c>
      <c r="F6271" t="s">
        <v>51</v>
      </c>
      <c r="G6271">
        <v>-183.54820000000001</v>
      </c>
      <c r="H6271" s="1">
        <v>-2.0733979999999999E-6</v>
      </c>
      <c r="I6271">
        <v>120.8657</v>
      </c>
      <c r="J6271">
        <v>-188.0187</v>
      </c>
      <c r="K6271">
        <v>1.0958110000000001</v>
      </c>
      <c r="L6271">
        <v>109.51260000000001</v>
      </c>
      <c r="M6271">
        <v>0.11516749999999901</v>
      </c>
      <c r="N6271">
        <v>0</v>
      </c>
      <c r="O6271">
        <v>0.99302979999999996</v>
      </c>
      <c r="P6271">
        <v>0.22268550000000001</v>
      </c>
      <c r="Q6271">
        <v>-7.6566319999999896E-3</v>
      </c>
      <c r="R6271">
        <v>0.97486030000000001</v>
      </c>
      <c r="S6271">
        <v>1.0853729999999999</v>
      </c>
      <c r="T6271">
        <v>-0.262974599999999</v>
      </c>
      <c r="U6271">
        <v>2.8302459999999998</v>
      </c>
      <c r="V6271">
        <v>0.10925609999999999</v>
      </c>
      <c r="W6271">
        <v>1.4805560000000001E-2</v>
      </c>
      <c r="X6271">
        <v>0.99390330000000005</v>
      </c>
      <c r="Y6271">
        <v>0.24675129999999901</v>
      </c>
      <c r="Z6271">
        <v>-8.7107610000000002E-2</v>
      </c>
      <c r="AA6271">
        <v>0.96515599999999901</v>
      </c>
      <c r="AB6271">
        <v>48</v>
      </c>
      <c r="AC6271">
        <v>4.4704999999999799</v>
      </c>
      <c r="AD6271">
        <v>-1.095813073398</v>
      </c>
      <c r="AE6271">
        <v>11.3530999999999</v>
      </c>
      <c r="AF6271">
        <v>3.1077496921623999</v>
      </c>
      <c r="AG6271">
        <v>-1.095813073398</v>
      </c>
      <c r="AH6271">
        <v>11.6981740360269</v>
      </c>
      <c r="AI6271">
        <v>95.173089241007901</v>
      </c>
      <c r="AJ6271">
        <v>75.122386370400804</v>
      </c>
      <c r="AK6271">
        <v>12.1534435539126</v>
      </c>
    </row>
    <row r="6272" spans="1:37" x14ac:dyDescent="0.2">
      <c r="A6272" t="str">
        <f>"20200111153814125"</f>
        <v>20200111153814125</v>
      </c>
      <c r="B6272" t="str">
        <f>"1578728294119688"</f>
        <v>1578728294119688</v>
      </c>
      <c r="C6272" t="s">
        <v>37</v>
      </c>
      <c r="D6272">
        <v>6.0077780000000001</v>
      </c>
      <c r="E6272">
        <v>0.55610950000000003</v>
      </c>
      <c r="F6272" t="s">
        <v>51</v>
      </c>
      <c r="G6272">
        <v>-183.46199999999999</v>
      </c>
      <c r="H6272" s="1">
        <v>-2.189594E-6</v>
      </c>
      <c r="I6272">
        <v>121.1823</v>
      </c>
      <c r="J6272">
        <v>-187.95419999999999</v>
      </c>
      <c r="K6272">
        <v>1.0955709999999901</v>
      </c>
      <c r="L6272">
        <v>110.014</v>
      </c>
      <c r="M6272">
        <v>0.1236894</v>
      </c>
      <c r="N6272">
        <v>0</v>
      </c>
      <c r="O6272">
        <v>0.99200639999999995</v>
      </c>
      <c r="P6272">
        <v>0.23043530000000001</v>
      </c>
      <c r="Q6272">
        <v>-7.4963929999999996E-3</v>
      </c>
      <c r="R6272">
        <v>0.9730588</v>
      </c>
      <c r="S6272">
        <v>1.1024780000000001</v>
      </c>
      <c r="T6272">
        <v>-0.26512729999999901</v>
      </c>
      <c r="U6272">
        <v>2.8234409999999999</v>
      </c>
      <c r="V6272">
        <v>0.1086411</v>
      </c>
      <c r="W6272">
        <v>1.484418E-2</v>
      </c>
      <c r="X6272">
        <v>0.99397019999999903</v>
      </c>
      <c r="Y6272">
        <v>0.24427099999999999</v>
      </c>
      <c r="Z6272">
        <v>-8.7810529999999998E-2</v>
      </c>
      <c r="AA6272">
        <v>0.965723</v>
      </c>
      <c r="AB6272">
        <v>48</v>
      </c>
      <c r="AC6272">
        <v>4.4921999999999596</v>
      </c>
      <c r="AD6272">
        <v>-1.09557318959399</v>
      </c>
      <c r="AE6272">
        <v>11.1683</v>
      </c>
      <c r="AF6272">
        <v>3.0505833432448899</v>
      </c>
      <c r="AG6272">
        <v>-1.09557318959399</v>
      </c>
      <c r="AH6272">
        <v>11.5426888179272</v>
      </c>
      <c r="AI6272">
        <v>95.243019578955398</v>
      </c>
      <c r="AJ6272">
        <v>75.195947536960205</v>
      </c>
      <c r="AK6272">
        <v>11.989161959676</v>
      </c>
    </row>
    <row r="6273" spans="1:37" x14ac:dyDescent="0.2">
      <c r="A6273" t="str">
        <f>"20200111153814147"</f>
        <v>20200111153814147</v>
      </c>
      <c r="B6273" t="str">
        <f>"1578728294139212"</f>
        <v>1578728294139212</v>
      </c>
      <c r="C6273" t="s">
        <v>37</v>
      </c>
      <c r="D6273">
        <v>6.0294230000000004</v>
      </c>
      <c r="E6273">
        <v>0.55609919999999902</v>
      </c>
      <c r="F6273" t="s">
        <v>51</v>
      </c>
      <c r="G6273">
        <v>-183.3158</v>
      </c>
      <c r="H6273" s="1">
        <v>-2.357099E-6</v>
      </c>
      <c r="I6273">
        <v>121.6189</v>
      </c>
      <c r="J6273">
        <v>-187.88749999999999</v>
      </c>
      <c r="K6273">
        <v>1.095364</v>
      </c>
      <c r="L6273">
        <v>110.5001</v>
      </c>
      <c r="M6273">
        <v>0.13212929999999901</v>
      </c>
      <c r="N6273">
        <v>0</v>
      </c>
      <c r="O6273">
        <v>0.99091960000000001</v>
      </c>
      <c r="P6273">
        <v>0.239194299999999</v>
      </c>
      <c r="Q6273">
        <v>-6.8391169999999996E-3</v>
      </c>
      <c r="R6273">
        <v>0.97094760000000002</v>
      </c>
      <c r="S6273">
        <v>1.1249849999999999</v>
      </c>
      <c r="T6273">
        <v>-0.26571539999999999</v>
      </c>
      <c r="U6273">
        <v>2.8146209999999998</v>
      </c>
      <c r="V6273">
        <v>0.1091569</v>
      </c>
      <c r="W6273">
        <v>1.5355290000000001E-2</v>
      </c>
      <c r="X6273">
        <v>0.99390590000000001</v>
      </c>
      <c r="Y6273">
        <v>0.24371409999999999</v>
      </c>
      <c r="Z6273">
        <v>-8.7995409999999996E-2</v>
      </c>
      <c r="AA6273">
        <v>0.96584689999999995</v>
      </c>
      <c r="AB6273">
        <v>47</v>
      </c>
      <c r="AC6273">
        <v>4.5716999999999901</v>
      </c>
      <c r="AD6273">
        <v>-1.095366357099</v>
      </c>
      <c r="AE6273">
        <v>11.118799999999901</v>
      </c>
      <c r="AF6273">
        <v>3.03680692518674</v>
      </c>
      <c r="AG6273">
        <v>-1.095366357099</v>
      </c>
      <c r="AH6273">
        <v>11.5297813305856</v>
      </c>
      <c r="AI6273">
        <v>95.249028279371998</v>
      </c>
      <c r="AJ6273">
        <v>75.244103601707096</v>
      </c>
      <c r="AK6273">
        <v>11.973215160859899</v>
      </c>
    </row>
    <row r="6274" spans="1:37" x14ac:dyDescent="0.2">
      <c r="A6274" t="str">
        <f>"20200111153814169"</f>
        <v>20200111153814169</v>
      </c>
      <c r="B6274" t="str">
        <f>"1578728294159707"</f>
        <v>1578728294159707</v>
      </c>
      <c r="C6274" t="s">
        <v>37</v>
      </c>
      <c r="D6274">
        <v>6.0259339999999897</v>
      </c>
      <c r="E6274">
        <v>0.55612799999999996</v>
      </c>
      <c r="F6274" t="s">
        <v>51</v>
      </c>
      <c r="G6274">
        <v>-183.13720000000001</v>
      </c>
      <c r="H6274" s="1">
        <v>-2.5419199999999999E-6</v>
      </c>
      <c r="I6274">
        <v>122.0851</v>
      </c>
      <c r="J6274">
        <v>-187.82169999999999</v>
      </c>
      <c r="K6274">
        <v>1.0951959999999901</v>
      </c>
      <c r="L6274">
        <v>110.9516</v>
      </c>
      <c r="M6274">
        <v>0.14010610000000001</v>
      </c>
      <c r="N6274">
        <v>0</v>
      </c>
      <c r="O6274">
        <v>0.98982519999999996</v>
      </c>
      <c r="P6274">
        <v>0.2472742</v>
      </c>
      <c r="Q6274">
        <v>-7.047177E-3</v>
      </c>
      <c r="R6274">
        <v>0.96891989999999995</v>
      </c>
      <c r="S6274">
        <v>1.149994</v>
      </c>
      <c r="T6274">
        <v>-0.26517499999999999</v>
      </c>
      <c r="U6274">
        <v>2.8045960000000001</v>
      </c>
      <c r="V6274">
        <v>0.10943070000000001</v>
      </c>
      <c r="W6274">
        <v>1.5019630000000001E-2</v>
      </c>
      <c r="X6274">
        <v>0.99388089999999996</v>
      </c>
      <c r="Y6274">
        <v>0.2444962</v>
      </c>
      <c r="Z6274">
        <v>-8.7811150000000004E-2</v>
      </c>
      <c r="AA6274">
        <v>0.96566600000000002</v>
      </c>
      <c r="AB6274">
        <v>47</v>
      </c>
      <c r="AC6274">
        <v>4.6844999999999803</v>
      </c>
      <c r="AD6274">
        <v>-1.0951985419200001</v>
      </c>
      <c r="AE6274">
        <v>11.1334999999999</v>
      </c>
      <c r="AF6274">
        <v>3.05281593062755</v>
      </c>
      <c r="AG6274">
        <v>-1.0951985419200001</v>
      </c>
      <c r="AH6274">
        <v>11.5849048131233</v>
      </c>
      <c r="AI6274">
        <v>95.223230250715602</v>
      </c>
      <c r="AJ6274">
        <v>75.237212107536607</v>
      </c>
      <c r="AK6274">
        <v>12.0303434897614</v>
      </c>
    </row>
    <row r="6275" spans="1:37" x14ac:dyDescent="0.2">
      <c r="A6275" t="str">
        <f>"20200111153814190"</f>
        <v>20200111153814190</v>
      </c>
      <c r="B6275" t="str">
        <f>"1578728294179223"</f>
        <v>1578728294179223</v>
      </c>
      <c r="C6275" t="s">
        <v>37</v>
      </c>
      <c r="D6275">
        <v>5.9995050000000001</v>
      </c>
      <c r="E6275">
        <v>0.55612469999999903</v>
      </c>
      <c r="F6275" t="s">
        <v>51</v>
      </c>
      <c r="G6275">
        <v>-183.018</v>
      </c>
      <c r="H6275" s="1">
        <v>-2.6645159999999899E-6</v>
      </c>
      <c r="I6275">
        <v>122.3937</v>
      </c>
      <c r="J6275">
        <v>-187.75399999999999</v>
      </c>
      <c r="K6275">
        <v>1.0950580000000001</v>
      </c>
      <c r="L6275">
        <v>111.3925</v>
      </c>
      <c r="M6275">
        <v>0.14800929999999901</v>
      </c>
      <c r="N6275">
        <v>0</v>
      </c>
      <c r="O6275">
        <v>0.98867649999999996</v>
      </c>
      <c r="P6275">
        <v>0.2547335</v>
      </c>
      <c r="Q6275">
        <v>-7.2600090000000004E-3</v>
      </c>
      <c r="R6275">
        <v>0.96698399999999995</v>
      </c>
      <c r="S6275">
        <v>1.17337</v>
      </c>
      <c r="T6275">
        <v>-0.26751419999999998</v>
      </c>
      <c r="U6275">
        <v>2.7948459999999899</v>
      </c>
      <c r="V6275">
        <v>0.1091478</v>
      </c>
      <c r="W6275">
        <v>1.469494E-2</v>
      </c>
      <c r="X6275">
        <v>0.99391689999999999</v>
      </c>
      <c r="Y6275">
        <v>0.2447947</v>
      </c>
      <c r="Z6275">
        <v>-8.8568930000000004E-2</v>
      </c>
      <c r="AA6275">
        <v>0.96552119999999997</v>
      </c>
      <c r="AB6275">
        <v>47</v>
      </c>
      <c r="AC6275">
        <v>4.7360000000000104</v>
      </c>
      <c r="AD6275">
        <v>-1.0950606645159999</v>
      </c>
      <c r="AE6275">
        <v>11.0011999999999</v>
      </c>
      <c r="AF6275">
        <v>3.0297015615856799</v>
      </c>
      <c r="AG6275">
        <v>-1.0950606645159999</v>
      </c>
      <c r="AH6275">
        <v>11.4851395276104</v>
      </c>
      <c r="AI6275">
        <v>95.267330932588493</v>
      </c>
      <c r="AJ6275">
        <v>75.2224003972361</v>
      </c>
      <c r="AK6275">
        <v>11.9283980223634</v>
      </c>
    </row>
    <row r="6276" spans="1:37" x14ac:dyDescent="0.2">
      <c r="A6276" t="str">
        <f>"20200111153814213"</f>
        <v>20200111153814213</v>
      </c>
      <c r="B6276" t="str">
        <f>"1578728294209480"</f>
        <v>1578728294209480</v>
      </c>
      <c r="C6276" t="s">
        <v>37</v>
      </c>
      <c r="D6276">
        <v>6.058039</v>
      </c>
      <c r="E6276">
        <v>0.55610769999999998</v>
      </c>
      <c r="F6276" t="s">
        <v>51</v>
      </c>
      <c r="G6276">
        <v>-182.89340000000001</v>
      </c>
      <c r="H6276" s="1">
        <v>-2.7943679999999998E-6</v>
      </c>
      <c r="I6276">
        <v>122.72199999999999</v>
      </c>
      <c r="J6276">
        <v>-187.6799</v>
      </c>
      <c r="K6276">
        <v>1.094932</v>
      </c>
      <c r="L6276">
        <v>111.8493</v>
      </c>
      <c r="M6276">
        <v>0.1563002</v>
      </c>
      <c r="N6276">
        <v>0</v>
      </c>
      <c r="O6276">
        <v>0.98740229999999996</v>
      </c>
      <c r="P6276">
        <v>0.2627833</v>
      </c>
      <c r="Q6276">
        <v>-6.1968569999999897E-3</v>
      </c>
      <c r="R6276">
        <v>0.964835</v>
      </c>
      <c r="S6276">
        <v>1.195068</v>
      </c>
      <c r="T6276">
        <v>-0.2692427</v>
      </c>
      <c r="U6276">
        <v>2.7855829999999999</v>
      </c>
      <c r="V6276">
        <v>0.1091178</v>
      </c>
      <c r="W6276">
        <v>1.562562E-2</v>
      </c>
      <c r="X6276">
        <v>0.99390599999999996</v>
      </c>
      <c r="Y6276">
        <v>0.2441565</v>
      </c>
      <c r="Z6276">
        <v>-8.9112490000000003E-2</v>
      </c>
      <c r="AA6276">
        <v>0.96563269999999901</v>
      </c>
      <c r="AB6276">
        <v>47</v>
      </c>
      <c r="AC6276">
        <v>4.7864999999999798</v>
      </c>
      <c r="AD6276">
        <v>-1.0949347943679999</v>
      </c>
      <c r="AE6276">
        <v>10.8727</v>
      </c>
      <c r="AF6276">
        <v>3.0022107878744699</v>
      </c>
      <c r="AG6276">
        <v>-1.0949347943679999</v>
      </c>
      <c r="AH6276">
        <v>11.3905822932074</v>
      </c>
      <c r="AI6276">
        <v>95.310492045288797</v>
      </c>
      <c r="AJ6276">
        <v>75.234380235822798</v>
      </c>
      <c r="AK6276">
        <v>11.8303641870011</v>
      </c>
    </row>
    <row r="6277" spans="1:37" x14ac:dyDescent="0.2">
      <c r="A6277" t="str">
        <f>"20200111153814235"</f>
        <v>20200111153814235</v>
      </c>
      <c r="B6277" t="str">
        <f>"1578728294229977"</f>
        <v>1578728294229977</v>
      </c>
      <c r="C6277" t="s">
        <v>37</v>
      </c>
      <c r="D6277">
        <v>6.076848</v>
      </c>
      <c r="E6277">
        <v>0.55615879999999995</v>
      </c>
      <c r="F6277" t="s">
        <v>51</v>
      </c>
      <c r="G6277">
        <v>-182.71080000000001</v>
      </c>
      <c r="H6277" s="1">
        <v>-2.975478E-6</v>
      </c>
      <c r="I6277">
        <v>123.172</v>
      </c>
      <c r="J6277">
        <v>-187.60059999999999</v>
      </c>
      <c r="K6277">
        <v>1.094824</v>
      </c>
      <c r="L6277">
        <v>112.3139</v>
      </c>
      <c r="M6277">
        <v>0.16482629999999901</v>
      </c>
      <c r="N6277">
        <v>0</v>
      </c>
      <c r="O6277">
        <v>0.9860179</v>
      </c>
      <c r="P6277">
        <v>0.27198139999999998</v>
      </c>
      <c r="Q6277">
        <v>-4.300781E-3</v>
      </c>
      <c r="R6277">
        <v>0.96229290000000001</v>
      </c>
      <c r="S6277">
        <v>1.2182010000000001</v>
      </c>
      <c r="T6277">
        <v>-0.26842899999999997</v>
      </c>
      <c r="U6277">
        <v>2.775833</v>
      </c>
      <c r="V6277">
        <v>0.1100636</v>
      </c>
      <c r="W6277">
        <v>1.7349150000000001E-2</v>
      </c>
      <c r="X6277">
        <v>0.99377309999999996</v>
      </c>
      <c r="Y6277">
        <v>0.2437868</v>
      </c>
      <c r="Z6277">
        <v>-8.8806259999999998E-2</v>
      </c>
      <c r="AA6277">
        <v>0.96575429999999995</v>
      </c>
      <c r="AB6277">
        <v>47</v>
      </c>
      <c r="AC6277">
        <v>4.8897999999999797</v>
      </c>
      <c r="AD6277">
        <v>-1.094826975478</v>
      </c>
      <c r="AE6277">
        <v>10.8581</v>
      </c>
      <c r="AF6277">
        <v>3.0072225532410699</v>
      </c>
      <c r="AG6277">
        <v>-1.094826975478</v>
      </c>
      <c r="AH6277">
        <v>11.4191880579434</v>
      </c>
      <c r="AI6277">
        <v>95.297033281572496</v>
      </c>
      <c r="AJ6277">
        <v>75.246240465952496</v>
      </c>
      <c r="AK6277">
        <v>11.8591690051889</v>
      </c>
    </row>
    <row r="6278" spans="1:37" x14ac:dyDescent="0.2">
      <c r="A6278" t="str">
        <f>"20200111153814259"</f>
        <v>20200111153814259</v>
      </c>
      <c r="B6278" t="str">
        <f>"1578728294249496"</f>
        <v>1578728294249496</v>
      </c>
      <c r="C6278" t="s">
        <v>37</v>
      </c>
      <c r="D6278">
        <v>6.1520089999999996</v>
      </c>
      <c r="E6278">
        <v>0.55615009999999998</v>
      </c>
      <c r="F6278" t="s">
        <v>51</v>
      </c>
      <c r="G6278">
        <v>-182.45509999999999</v>
      </c>
      <c r="H6278" s="1">
        <v>-3.304973E-6</v>
      </c>
      <c r="I6278">
        <v>123.73950000000001</v>
      </c>
      <c r="J6278">
        <v>-187.5136</v>
      </c>
      <c r="K6278">
        <v>1.0947180000000001</v>
      </c>
      <c r="L6278">
        <v>112.79799999999901</v>
      </c>
      <c r="M6278">
        <v>0.17379220000000001</v>
      </c>
      <c r="N6278">
        <v>0</v>
      </c>
      <c r="O6278">
        <v>0.98448069999999899</v>
      </c>
      <c r="P6278">
        <v>0.28205580000000002</v>
      </c>
      <c r="Q6278">
        <v>-3.0971950000000001E-3</v>
      </c>
      <c r="R6278">
        <v>0.95939300000000005</v>
      </c>
      <c r="S6278">
        <v>1.2449950000000001</v>
      </c>
      <c r="T6278">
        <v>-0.26490150000000001</v>
      </c>
      <c r="U6278">
        <v>2.7644959999999998</v>
      </c>
      <c r="V6278">
        <v>0.1114695</v>
      </c>
      <c r="W6278">
        <v>1.8346540000000001E-2</v>
      </c>
      <c r="X6278">
        <v>0.99359850000000005</v>
      </c>
      <c r="Y6278">
        <v>0.24427460000000001</v>
      </c>
      <c r="Z6278">
        <v>-8.7599880000000005E-2</v>
      </c>
      <c r="AA6278">
        <v>0.96574130000000002</v>
      </c>
      <c r="AB6278">
        <v>46</v>
      </c>
      <c r="AC6278">
        <v>5.0585000000000004</v>
      </c>
      <c r="AD6278">
        <v>-1.094721304973</v>
      </c>
      <c r="AE6278">
        <v>10.9415</v>
      </c>
      <c r="AF6278">
        <v>3.0541734367324</v>
      </c>
      <c r="AG6278">
        <v>-1.094721304973</v>
      </c>
      <c r="AH6278">
        <v>11.558951898731401</v>
      </c>
      <c r="AI6278">
        <v>95.231714047546802</v>
      </c>
      <c r="AJ6278">
        <v>75.199228032753993</v>
      </c>
      <c r="AK6278">
        <v>12.0056552971669</v>
      </c>
    </row>
    <row r="6279" spans="1:37" x14ac:dyDescent="0.2">
      <c r="A6279" t="str">
        <f>"20200111153814291"</f>
        <v>20200111153814291</v>
      </c>
      <c r="B6279" t="str">
        <f>"1578728294279755"</f>
        <v>1578728294279755</v>
      </c>
      <c r="C6279" t="s">
        <v>37</v>
      </c>
      <c r="D6279">
        <v>6.1286129999999996</v>
      </c>
      <c r="E6279">
        <v>0.55618080000000003</v>
      </c>
      <c r="F6279" t="s">
        <v>51</v>
      </c>
      <c r="G6279">
        <v>-182.2354</v>
      </c>
      <c r="H6279" s="1">
        <v>-3.589751E-6</v>
      </c>
      <c r="I6279">
        <v>124.20310000000001</v>
      </c>
      <c r="J6279">
        <v>-187.38890000000001</v>
      </c>
      <c r="K6279">
        <v>1.094584</v>
      </c>
      <c r="L6279">
        <v>113.44889999999999</v>
      </c>
      <c r="M6279">
        <v>0.18596299999999999</v>
      </c>
      <c r="N6279">
        <v>0</v>
      </c>
      <c r="O6279">
        <v>0.98225949999999995</v>
      </c>
      <c r="P6279">
        <v>0.29522540000000003</v>
      </c>
      <c r="Q6279">
        <v>-5.6720969999999897E-3</v>
      </c>
      <c r="R6279">
        <v>0.9554108</v>
      </c>
      <c r="S6279">
        <v>1.2734989999999999</v>
      </c>
      <c r="T6279">
        <v>-0.26412649999999999</v>
      </c>
      <c r="U6279">
        <v>2.7517399999999999</v>
      </c>
      <c r="V6279">
        <v>0.11277619999999999</v>
      </c>
      <c r="W6279">
        <v>1.5505E-2</v>
      </c>
      <c r="X6279">
        <v>0.99349949999999998</v>
      </c>
      <c r="Y6279">
        <v>0.24223429999999899</v>
      </c>
      <c r="Z6279">
        <v>-8.7260290000000004E-2</v>
      </c>
      <c r="AA6279">
        <v>0.96628579999999997</v>
      </c>
      <c r="AB6279">
        <v>46</v>
      </c>
      <c r="AC6279">
        <v>5.1535000000000002</v>
      </c>
      <c r="AD6279">
        <v>-1.094587589751</v>
      </c>
      <c r="AE6279">
        <v>10.754200000000001</v>
      </c>
      <c r="AF6279">
        <v>3.0374949422751798</v>
      </c>
      <c r="AG6279">
        <v>-1.094587589751</v>
      </c>
      <c r="AH6279">
        <v>11.428854101306101</v>
      </c>
      <c r="AI6279">
        <v>95.288272947810697</v>
      </c>
      <c r="AJ6279">
        <v>75.116331357229697</v>
      </c>
      <c r="AK6279">
        <v>11.876161146806901</v>
      </c>
    </row>
    <row r="6280" spans="1:37" x14ac:dyDescent="0.2">
      <c r="A6280" t="str">
        <f>"20200111153814313"</f>
        <v>20200111153814313</v>
      </c>
      <c r="B6280" t="str">
        <f>"1578728294309032"</f>
        <v>1578728294309032</v>
      </c>
      <c r="C6280" t="s">
        <v>37</v>
      </c>
      <c r="D6280">
        <v>6.0455030000000001</v>
      </c>
      <c r="E6280">
        <v>0.55626229999999999</v>
      </c>
      <c r="F6280" t="s">
        <v>51</v>
      </c>
      <c r="G6280">
        <v>-182.17060000000001</v>
      </c>
      <c r="H6280" s="1">
        <v>-3.6661739999999999E-6</v>
      </c>
      <c r="I6280">
        <v>124.3261</v>
      </c>
      <c r="J6280">
        <v>-187.29769999999999</v>
      </c>
      <c r="K6280">
        <v>1.0945069999999999</v>
      </c>
      <c r="L6280">
        <v>113.8999</v>
      </c>
      <c r="M6280">
        <v>0.19445509999999999</v>
      </c>
      <c r="N6280">
        <v>0</v>
      </c>
      <c r="O6280">
        <v>0.98061719999999897</v>
      </c>
      <c r="P6280">
        <v>0.30392959999999902</v>
      </c>
      <c r="Q6280">
        <v>-7.6867039999999999E-3</v>
      </c>
      <c r="R6280">
        <v>0.9526635</v>
      </c>
      <c r="S6280">
        <v>1.311234</v>
      </c>
      <c r="T6280">
        <v>-0.27504499999999998</v>
      </c>
      <c r="U6280">
        <v>2.7332000000000001</v>
      </c>
      <c r="V6280">
        <v>0.113194499999999</v>
      </c>
      <c r="W6280">
        <v>1.3322260000000001E-2</v>
      </c>
      <c r="X6280">
        <v>0.99348349999999996</v>
      </c>
      <c r="Y6280">
        <v>0.24709619999999999</v>
      </c>
      <c r="Z6280">
        <v>-9.0851119999999994E-2</v>
      </c>
      <c r="AA6280">
        <v>0.96472250000000004</v>
      </c>
      <c r="AB6280">
        <v>46</v>
      </c>
      <c r="AC6280">
        <v>5.12709999999998</v>
      </c>
      <c r="AD6280">
        <v>-1.0945106661739901</v>
      </c>
      <c r="AE6280">
        <v>10.4261999999999</v>
      </c>
      <c r="AF6280">
        <v>2.97476217895787</v>
      </c>
      <c r="AG6280">
        <v>-1.0945106661739901</v>
      </c>
      <c r="AH6280">
        <v>11.1256102333146</v>
      </c>
      <c r="AI6280">
        <v>95.429025219598699</v>
      </c>
      <c r="AJ6280">
        <v>75.0304487911243</v>
      </c>
      <c r="AK6280">
        <v>11.568334654709901</v>
      </c>
    </row>
    <row r="6281" spans="1:37" x14ac:dyDescent="0.2">
      <c r="A6281" t="str">
        <f>"20200111153814336"</f>
        <v>20200111153814336</v>
      </c>
      <c r="B6281" t="str">
        <f>"1578728294329528"</f>
        <v>1578728294329528</v>
      </c>
      <c r="C6281" t="s">
        <v>37</v>
      </c>
      <c r="D6281">
        <v>6.0502269999999996</v>
      </c>
      <c r="E6281">
        <v>0.55866090000000002</v>
      </c>
      <c r="F6281" t="s">
        <v>51</v>
      </c>
      <c r="G6281">
        <v>-182.14359999999999</v>
      </c>
      <c r="H6281" s="1">
        <v>-3.7038369999999898E-6</v>
      </c>
      <c r="I6281">
        <v>124.3879</v>
      </c>
      <c r="J6281">
        <v>-187.1995</v>
      </c>
      <c r="K6281">
        <v>1.0944449999999999</v>
      </c>
      <c r="L6281">
        <v>114.3655</v>
      </c>
      <c r="M6281">
        <v>0.20326939999999999</v>
      </c>
      <c r="N6281">
        <v>0</v>
      </c>
      <c r="O6281">
        <v>0.97883169999999897</v>
      </c>
      <c r="P6281">
        <v>0.313195</v>
      </c>
      <c r="Q6281">
        <v>-8.5960469999999903E-3</v>
      </c>
      <c r="R6281">
        <v>0.94964989999999905</v>
      </c>
      <c r="S6281">
        <v>1.3368229999999901</v>
      </c>
      <c r="T6281">
        <v>-0.28388289999999999</v>
      </c>
      <c r="U6281">
        <v>2.7202759999999899</v>
      </c>
      <c r="V6281">
        <v>0.1139106</v>
      </c>
      <c r="W6281">
        <v>1.223468E-2</v>
      </c>
      <c r="X6281">
        <v>0.99341569999999901</v>
      </c>
      <c r="Y6281">
        <v>0.2473853</v>
      </c>
      <c r="Z6281">
        <v>-9.3700110000000003E-2</v>
      </c>
      <c r="AA6281">
        <v>0.96437589999999995</v>
      </c>
      <c r="AB6281">
        <v>46</v>
      </c>
      <c r="AC6281">
        <v>5.0559000000000003</v>
      </c>
      <c r="AD6281">
        <v>-1.0944487038370001</v>
      </c>
      <c r="AE6281">
        <v>10.022399999999999</v>
      </c>
      <c r="AF6281">
        <v>2.8850339663682298</v>
      </c>
      <c r="AG6281">
        <v>-1.0944487038370001</v>
      </c>
      <c r="AH6281">
        <v>10.738961777891699</v>
      </c>
      <c r="AI6281">
        <v>95.621169824858001</v>
      </c>
      <c r="AJ6281">
        <v>74.9624838735661</v>
      </c>
      <c r="AK6281">
        <v>11.1734747961164</v>
      </c>
    </row>
    <row r="6282" spans="1:37" x14ac:dyDescent="0.2">
      <c r="A6282" t="str">
        <f>"20200111153814358"</f>
        <v>20200111153814358</v>
      </c>
      <c r="B6282" t="str">
        <f>"1578728294350024"</f>
        <v>1578728294350024</v>
      </c>
      <c r="C6282" t="s">
        <v>37</v>
      </c>
      <c r="D6282">
        <v>6.0103059999999999</v>
      </c>
      <c r="E6282">
        <v>0.55803619999999898</v>
      </c>
      <c r="F6282" t="s">
        <v>51</v>
      </c>
      <c r="G6282">
        <v>-183.39689999999999</v>
      </c>
      <c r="H6282" s="1">
        <v>-2.3901039999999999E-6</v>
      </c>
      <c r="I6282">
        <v>121.8043</v>
      </c>
      <c r="J6282">
        <v>-187.10230000000001</v>
      </c>
      <c r="K6282">
        <v>1.094398</v>
      </c>
      <c r="L6282">
        <v>114.8065</v>
      </c>
      <c r="M6282">
        <v>0.21166269999999901</v>
      </c>
      <c r="N6282">
        <v>0</v>
      </c>
      <c r="O6282">
        <v>0.9770546</v>
      </c>
      <c r="P6282">
        <v>0.32215690000000002</v>
      </c>
      <c r="Q6282">
        <v>-9.0055629999999994E-3</v>
      </c>
      <c r="R6282">
        <v>0.94664349999999997</v>
      </c>
      <c r="S6282">
        <v>1.3803099999999999</v>
      </c>
      <c r="T6282">
        <v>-0.39727709999999999</v>
      </c>
      <c r="U6282">
        <v>2.7002259999999998</v>
      </c>
      <c r="V6282">
        <v>0.1147623</v>
      </c>
      <c r="W6282">
        <v>1.1651079999999999E-2</v>
      </c>
      <c r="X6282">
        <v>0.993324599999999</v>
      </c>
      <c r="Y6282">
        <v>0.25236959999999897</v>
      </c>
      <c r="Z6282">
        <v>-0.13051789999999999</v>
      </c>
      <c r="AA6282">
        <v>0.95878809999999903</v>
      </c>
      <c r="AB6282">
        <v>46</v>
      </c>
      <c r="AC6282">
        <v>3.70540000000002</v>
      </c>
      <c r="AD6282">
        <v>-1.094400390104</v>
      </c>
      <c r="AE6282">
        <v>6.99779999999999</v>
      </c>
      <c r="AF6282">
        <v>2.0996980278092598</v>
      </c>
      <c r="AG6282">
        <v>-1.094400390104</v>
      </c>
      <c r="AH6282">
        <v>7.4807732424284099</v>
      </c>
      <c r="AI6282">
        <v>98.017484480640107</v>
      </c>
      <c r="AJ6282">
        <v>74.321669661240307</v>
      </c>
      <c r="AK6282">
        <v>7.8465541689635199</v>
      </c>
    </row>
    <row r="6283" spans="1:37" x14ac:dyDescent="0.2">
      <c r="A6283" t="str">
        <f>"20200111153814380"</f>
        <v>20200111153814380</v>
      </c>
      <c r="B6283" t="str">
        <f>"1578728294369544"</f>
        <v>1578728294369544</v>
      </c>
      <c r="C6283" t="s">
        <v>37</v>
      </c>
      <c r="D6283">
        <v>6.0058949999999998</v>
      </c>
      <c r="E6283">
        <v>0.55775839999999999</v>
      </c>
      <c r="F6283" t="s">
        <v>51</v>
      </c>
      <c r="G6283">
        <v>-183.2148</v>
      </c>
      <c r="H6283" s="1">
        <v>-2.5752389999999999E-6</v>
      </c>
      <c r="I6283">
        <v>122.2683</v>
      </c>
      <c r="J6283">
        <v>-187.00460000000001</v>
      </c>
      <c r="K6283">
        <v>1.0943620000000001</v>
      </c>
      <c r="L6283">
        <v>115.2319</v>
      </c>
      <c r="M6283">
        <v>0.21979470000000001</v>
      </c>
      <c r="N6283">
        <v>0</v>
      </c>
      <c r="O6283">
        <v>0.97526069999999998</v>
      </c>
      <c r="P6283">
        <v>0.33027800000000002</v>
      </c>
      <c r="Q6283">
        <v>-8.6439129999999996E-3</v>
      </c>
      <c r="R6283">
        <v>0.94384409999999896</v>
      </c>
      <c r="S6283">
        <v>1.400757</v>
      </c>
      <c r="T6283">
        <v>-0.39433559999999901</v>
      </c>
      <c r="U6283">
        <v>2.688644</v>
      </c>
      <c r="V6283">
        <v>0.1150279</v>
      </c>
      <c r="W6283">
        <v>1.186278E-2</v>
      </c>
      <c r="X6283">
        <v>0.99329140000000005</v>
      </c>
      <c r="Y6283">
        <v>0.25179950000000001</v>
      </c>
      <c r="Z6283">
        <v>-0.12950219999999901</v>
      </c>
      <c r="AA6283">
        <v>0.95907569999999998</v>
      </c>
      <c r="AB6283">
        <v>45</v>
      </c>
      <c r="AC6283">
        <v>3.7898000000000098</v>
      </c>
      <c r="AD6283">
        <v>-1.0943645752390001</v>
      </c>
      <c r="AE6283">
        <v>7.0364000000000004</v>
      </c>
      <c r="AF6283">
        <v>2.1105061274922501</v>
      </c>
      <c r="AG6283">
        <v>-1.0943645752390001</v>
      </c>
      <c r="AH6283">
        <v>7.55577440560916</v>
      </c>
      <c r="AI6283">
        <v>97.941422638896</v>
      </c>
      <c r="AJ6283">
        <v>74.393697086894804</v>
      </c>
      <c r="AK6283">
        <v>7.9209593362280799</v>
      </c>
    </row>
    <row r="6284" spans="1:37" x14ac:dyDescent="0.2">
      <c r="A6284" t="str">
        <f>"20200111153814402"</f>
        <v>20200111153814402</v>
      </c>
      <c r="B6284" t="str">
        <f>"1578728294389064"</f>
        <v>1578728294389064</v>
      </c>
      <c r="C6284" t="s">
        <v>37</v>
      </c>
      <c r="D6284">
        <v>5.9935039999999997</v>
      </c>
      <c r="E6284">
        <v>0.5576837</v>
      </c>
      <c r="F6284" t="s">
        <v>51</v>
      </c>
      <c r="G6284">
        <v>-183.03020000000001</v>
      </c>
      <c r="H6284" s="1">
        <v>-2.7566999999999998E-6</v>
      </c>
      <c r="I6284">
        <v>122.71769999999999</v>
      </c>
      <c r="J6284">
        <v>-186.89940000000001</v>
      </c>
      <c r="K6284">
        <v>1.09433799999999</v>
      </c>
      <c r="L6284">
        <v>115.6721</v>
      </c>
      <c r="M6284">
        <v>0.22824339999999901</v>
      </c>
      <c r="N6284">
        <v>0</v>
      </c>
      <c r="O6284">
        <v>0.9733214</v>
      </c>
      <c r="P6284">
        <v>0.33887230000000002</v>
      </c>
      <c r="Q6284">
        <v>-8.2360230000000003E-3</v>
      </c>
      <c r="R6284">
        <v>0.94079629999999903</v>
      </c>
      <c r="S6284">
        <v>1.4215549999999999</v>
      </c>
      <c r="T6284">
        <v>-0.391426</v>
      </c>
      <c r="U6284">
        <v>2.67746</v>
      </c>
      <c r="V6284">
        <v>0.11548079999999999</v>
      </c>
      <c r="W6284">
        <v>1.2117869999999999E-2</v>
      </c>
      <c r="X6284">
        <v>0.9932358</v>
      </c>
      <c r="Y6284">
        <v>0.250946</v>
      </c>
      <c r="Z6284">
        <v>-0.12845000000000001</v>
      </c>
      <c r="AA6284">
        <v>0.95944079999999998</v>
      </c>
      <c r="AB6284">
        <v>45</v>
      </c>
      <c r="AC6284">
        <v>3.8692000000000002</v>
      </c>
      <c r="AD6284">
        <v>-1.0943407567000001</v>
      </c>
      <c r="AE6284">
        <v>7.0455999999999896</v>
      </c>
      <c r="AF6284">
        <v>2.11917815002223</v>
      </c>
      <c r="AG6284">
        <v>-1.0943407567000001</v>
      </c>
      <c r="AH6284">
        <v>7.6019795067009399</v>
      </c>
      <c r="AI6284">
        <v>97.8947189957793</v>
      </c>
      <c r="AJ6284">
        <v>74.423304305499499</v>
      </c>
      <c r="AK6284">
        <v>7.9673452381334302</v>
      </c>
    </row>
    <row r="6285" spans="1:37" x14ac:dyDescent="0.2">
      <c r="A6285" t="str">
        <f>"20200111153814425"</f>
        <v>20200111153814425</v>
      </c>
      <c r="B6285" t="str">
        <f>"1578728294419321"</f>
        <v>1578728294419321</v>
      </c>
      <c r="C6285" t="s">
        <v>37</v>
      </c>
      <c r="D6285">
        <v>5.9834019999999999</v>
      </c>
      <c r="E6285">
        <v>0.55748549999999997</v>
      </c>
      <c r="F6285" t="s">
        <v>51</v>
      </c>
      <c r="G6285">
        <v>-182.8312</v>
      </c>
      <c r="H6285" s="1">
        <v>-2.9438279999999899E-6</v>
      </c>
      <c r="I6285">
        <v>123.1733</v>
      </c>
      <c r="J6285">
        <v>-186.7894</v>
      </c>
      <c r="K6285">
        <v>1.094322</v>
      </c>
      <c r="L6285">
        <v>116.1147</v>
      </c>
      <c r="M6285">
        <v>0.23677139999999999</v>
      </c>
      <c r="N6285">
        <v>0</v>
      </c>
      <c r="O6285">
        <v>0.97128539999999997</v>
      </c>
      <c r="P6285">
        <v>0.34784989999999999</v>
      </c>
      <c r="Q6285">
        <v>-7.7446969999999896E-3</v>
      </c>
      <c r="R6285">
        <v>0.93751819999999897</v>
      </c>
      <c r="S6285">
        <v>1.445236</v>
      </c>
      <c r="T6285">
        <v>-0.38877119999999998</v>
      </c>
      <c r="U6285">
        <v>2.664825</v>
      </c>
      <c r="V6285">
        <v>0.116272499999999</v>
      </c>
      <c r="W6285">
        <v>1.244877E-2</v>
      </c>
      <c r="X6285">
        <v>0.99313929999999995</v>
      </c>
      <c r="Y6285">
        <v>0.25101509999999999</v>
      </c>
      <c r="Z6285">
        <v>-0.12747229999999901</v>
      </c>
      <c r="AA6285">
        <v>0.95955309999999905</v>
      </c>
      <c r="AB6285">
        <v>45</v>
      </c>
      <c r="AC6285">
        <v>3.9582000000000002</v>
      </c>
      <c r="AD6285">
        <v>-1.0943249438280001</v>
      </c>
      <c r="AE6285">
        <v>7.0585999999999904</v>
      </c>
      <c r="AF6285">
        <v>2.1348220575977201</v>
      </c>
      <c r="AG6285">
        <v>-1.0943249438280001</v>
      </c>
      <c r="AH6285">
        <v>7.6552432788549298</v>
      </c>
      <c r="AI6285">
        <v>97.840154413484598</v>
      </c>
      <c r="AJ6285">
        <v>74.417778138289194</v>
      </c>
      <c r="AK6285">
        <v>8.0223289610152193</v>
      </c>
    </row>
    <row r="6286" spans="1:37" x14ac:dyDescent="0.2">
      <c r="A6286" t="str">
        <f>"20200111153814448"</f>
        <v>20200111153814448</v>
      </c>
      <c r="B6286" t="str">
        <f>"1578728294439819"</f>
        <v>1578728294439819</v>
      </c>
      <c r="C6286" t="s">
        <v>37</v>
      </c>
      <c r="D6286">
        <v>6.0035429999999996</v>
      </c>
      <c r="E6286">
        <v>0.5573863</v>
      </c>
      <c r="F6286" t="s">
        <v>51</v>
      </c>
      <c r="G6286">
        <v>-182.68520000000001</v>
      </c>
      <c r="H6286" s="1">
        <v>-3.155089E-6</v>
      </c>
      <c r="I6286">
        <v>123.5245</v>
      </c>
      <c r="J6286">
        <v>-186.67349999999999</v>
      </c>
      <c r="K6286">
        <v>1.094317</v>
      </c>
      <c r="L6286">
        <v>116.5643</v>
      </c>
      <c r="M6286">
        <v>0.245467299999999</v>
      </c>
      <c r="N6286">
        <v>0</v>
      </c>
      <c r="O6286">
        <v>0.96912759999999998</v>
      </c>
      <c r="P6286">
        <v>0.35688379999999997</v>
      </c>
      <c r="Q6286">
        <v>-7.8522650000000006E-3</v>
      </c>
      <c r="R6286">
        <v>0.93411580000000005</v>
      </c>
      <c r="S6286">
        <v>1.468796</v>
      </c>
      <c r="T6286">
        <v>-0.39162759999999902</v>
      </c>
      <c r="U6286">
        <v>2.6517330000000001</v>
      </c>
      <c r="V6286">
        <v>0.1169528</v>
      </c>
      <c r="W6286">
        <v>1.218414E-2</v>
      </c>
      <c r="X6286">
        <v>0.99306269999999996</v>
      </c>
      <c r="Y6286">
        <v>0.2508223</v>
      </c>
      <c r="Z6286">
        <v>-0.12826569999999901</v>
      </c>
      <c r="AA6286">
        <v>0.95949779999999996</v>
      </c>
      <c r="AB6286">
        <v>45</v>
      </c>
      <c r="AC6286">
        <v>3.9882999999999802</v>
      </c>
      <c r="AD6286">
        <v>-1.094320155089</v>
      </c>
      <c r="AE6286">
        <v>6.9602000000000004</v>
      </c>
      <c r="AF6286">
        <v>2.11783809716681</v>
      </c>
      <c r="AG6286">
        <v>-1.094320155089</v>
      </c>
      <c r="AH6286">
        <v>7.5852386216234802</v>
      </c>
      <c r="AI6286">
        <v>97.910888695065594</v>
      </c>
      <c r="AJ6286">
        <v>74.399990045319399</v>
      </c>
      <c r="AK6286">
        <v>7.95101375640954</v>
      </c>
    </row>
    <row r="6287" spans="1:37" x14ac:dyDescent="0.2">
      <c r="A6287" t="str">
        <f>"20200111153814471"</f>
        <v>20200111153814471</v>
      </c>
      <c r="B6287" t="str">
        <f>"1578728294459336"</f>
        <v>1578728294459336</v>
      </c>
      <c r="C6287" t="s">
        <v>37</v>
      </c>
      <c r="D6287">
        <v>5.9759390000000003</v>
      </c>
      <c r="E6287">
        <v>0.55713809999999997</v>
      </c>
      <c r="F6287" t="s">
        <v>51</v>
      </c>
      <c r="G6287">
        <v>-182.5506</v>
      </c>
      <c r="H6287" s="1">
        <v>-3.3509989999999999E-6</v>
      </c>
      <c r="I6287">
        <v>123.8477</v>
      </c>
      <c r="J6287">
        <v>-186.55719999999999</v>
      </c>
      <c r="K6287">
        <v>1.09432</v>
      </c>
      <c r="L6287">
        <v>116.9995</v>
      </c>
      <c r="M6287">
        <v>0.25391900000000001</v>
      </c>
      <c r="N6287">
        <v>0</v>
      </c>
      <c r="O6287">
        <v>0.96695089999999995</v>
      </c>
      <c r="P6287">
        <v>0.36583490000000002</v>
      </c>
      <c r="Q6287">
        <v>-7.2910819999999999E-3</v>
      </c>
      <c r="R6287">
        <v>0.93065119999999901</v>
      </c>
      <c r="S6287">
        <v>1.493179</v>
      </c>
      <c r="T6287">
        <v>-0.39632659999999997</v>
      </c>
      <c r="U6287">
        <v>2.6378020000000002</v>
      </c>
      <c r="V6287">
        <v>0.117826399999999</v>
      </c>
      <c r="W6287">
        <v>1.2584659999999999E-2</v>
      </c>
      <c r="X6287">
        <v>0.99295449999999996</v>
      </c>
      <c r="Y6287">
        <v>0.25117060000000002</v>
      </c>
      <c r="Z6287">
        <v>-0.1296563</v>
      </c>
      <c r="AA6287">
        <v>0.95921979999999996</v>
      </c>
      <c r="AB6287">
        <v>45</v>
      </c>
      <c r="AC6287">
        <v>4.0065999999999899</v>
      </c>
      <c r="AD6287">
        <v>-1.094323350999</v>
      </c>
      <c r="AE6287">
        <v>6.8482000000000003</v>
      </c>
      <c r="AF6287">
        <v>2.0959914982136398</v>
      </c>
      <c r="AG6287">
        <v>-1.094323350999</v>
      </c>
      <c r="AH6287">
        <v>7.4986045696614498</v>
      </c>
      <c r="AI6287">
        <v>98.000492919479498</v>
      </c>
      <c r="AJ6287">
        <v>74.383390057785107</v>
      </c>
      <c r="AK6287">
        <v>7.8625564830577304</v>
      </c>
    </row>
    <row r="6288" spans="1:37" x14ac:dyDescent="0.2">
      <c r="A6288" t="str">
        <f>"20200111153814491"</f>
        <v>20200111153814491</v>
      </c>
      <c r="B6288" t="str">
        <f>"1578728294479832"</f>
        <v>1578728294479832</v>
      </c>
      <c r="C6288" t="s">
        <v>37</v>
      </c>
      <c r="D6288">
        <v>5.930733</v>
      </c>
      <c r="E6288">
        <v>0.55706089999999997</v>
      </c>
      <c r="F6288" t="s">
        <v>51</v>
      </c>
      <c r="G6288">
        <v>-182.38630000000001</v>
      </c>
      <c r="H6288" s="1">
        <v>-3.576831E-6</v>
      </c>
      <c r="I6288">
        <v>124.2179</v>
      </c>
      <c r="J6288">
        <v>-186.4453</v>
      </c>
      <c r="K6288">
        <v>1.094322</v>
      </c>
      <c r="L6288">
        <v>117.4041</v>
      </c>
      <c r="M6288">
        <v>0.26180569999999997</v>
      </c>
      <c r="N6288">
        <v>0</v>
      </c>
      <c r="O6288">
        <v>0.96484859999999995</v>
      </c>
      <c r="P6288">
        <v>0.37440040000000002</v>
      </c>
      <c r="Q6288">
        <v>-5.7236379999999996E-3</v>
      </c>
      <c r="R6288">
        <v>0.92724949999999995</v>
      </c>
      <c r="S6288">
        <v>1.516357</v>
      </c>
      <c r="T6288">
        <v>-0.39785349999999903</v>
      </c>
      <c r="U6288">
        <v>2.6243439999999998</v>
      </c>
      <c r="V6288">
        <v>0.11890829999999999</v>
      </c>
      <c r="W6288">
        <v>1.3991679999999999E-2</v>
      </c>
      <c r="X6288">
        <v>0.99280669999999904</v>
      </c>
      <c r="Y6288">
        <v>0.25172620000000001</v>
      </c>
      <c r="Z6288">
        <v>-0.130025</v>
      </c>
      <c r="AA6288">
        <v>0.95902419999999999</v>
      </c>
      <c r="AB6288">
        <v>45</v>
      </c>
      <c r="AC6288">
        <v>4.0589999999999904</v>
      </c>
      <c r="AD6288">
        <v>-1.0943255768310001</v>
      </c>
      <c r="AE6288">
        <v>6.8137999999999996</v>
      </c>
      <c r="AF6288">
        <v>2.0931397136413299</v>
      </c>
      <c r="AG6288">
        <v>-1.0943255768310001</v>
      </c>
      <c r="AH6288">
        <v>7.4962471500715697</v>
      </c>
      <c r="AI6288">
        <v>98.003591230858504</v>
      </c>
      <c r="AJ6288">
        <v>74.398937119992894</v>
      </c>
      <c r="AK6288">
        <v>7.8595485661636504</v>
      </c>
    </row>
    <row r="6289" spans="1:37" x14ac:dyDescent="0.2">
      <c r="A6289" t="str">
        <f>"20200111153814514"</f>
        <v>20200111153814514</v>
      </c>
      <c r="B6289" t="str">
        <f>"1578728294509113"</f>
        <v>1578728294509113</v>
      </c>
      <c r="C6289" t="s">
        <v>37</v>
      </c>
      <c r="D6289">
        <v>5.9044059999999998</v>
      </c>
      <c r="E6289">
        <v>0.55709339999999996</v>
      </c>
      <c r="F6289" t="s">
        <v>51</v>
      </c>
      <c r="G6289">
        <v>-182.16319999999999</v>
      </c>
      <c r="H6289" s="1">
        <v>-3.8383199999999999E-6</v>
      </c>
      <c r="I6289">
        <v>124.6626</v>
      </c>
      <c r="J6289">
        <v>-186.31950000000001</v>
      </c>
      <c r="K6289">
        <v>1.094328</v>
      </c>
      <c r="L6289">
        <v>117.8443</v>
      </c>
      <c r="M6289">
        <v>0.27041850000000001</v>
      </c>
      <c r="N6289">
        <v>0</v>
      </c>
      <c r="O6289">
        <v>0.96247369999999899</v>
      </c>
      <c r="P6289">
        <v>0.38324629999999998</v>
      </c>
      <c r="Q6289">
        <v>-5.2657160000000001E-3</v>
      </c>
      <c r="R6289">
        <v>0.92363119999999999</v>
      </c>
      <c r="S6289">
        <v>1.5403290000000001</v>
      </c>
      <c r="T6289">
        <v>-0.39364519999999997</v>
      </c>
      <c r="U6289">
        <v>2.610992</v>
      </c>
      <c r="V6289">
        <v>0.11953219999999901</v>
      </c>
      <c r="W6289">
        <v>1.428919E-2</v>
      </c>
      <c r="X6289">
        <v>0.99272749999999998</v>
      </c>
      <c r="Y6289">
        <v>0.25186249999999999</v>
      </c>
      <c r="Z6289">
        <v>-0.1284894</v>
      </c>
      <c r="AA6289">
        <v>0.95919539999999903</v>
      </c>
      <c r="AB6289">
        <v>44</v>
      </c>
      <c r="AC6289">
        <v>4.1563000000000097</v>
      </c>
      <c r="AD6289">
        <v>-1.09433183832</v>
      </c>
      <c r="AE6289">
        <v>6.81829999999999</v>
      </c>
      <c r="AF6289">
        <v>2.11732810912868</v>
      </c>
      <c r="AG6289">
        <v>-1.09433183832</v>
      </c>
      <c r="AH6289">
        <v>7.5466327473373402</v>
      </c>
      <c r="AI6289">
        <v>97.948153773883803</v>
      </c>
      <c r="AJ6289">
        <v>74.327689377997402</v>
      </c>
      <c r="AK6289">
        <v>7.9140575128849999</v>
      </c>
    </row>
    <row r="6290" spans="1:37" x14ac:dyDescent="0.2">
      <c r="A6290" t="str">
        <f>"20200111153814538"</f>
        <v>20200111153814538</v>
      </c>
      <c r="B6290" t="str">
        <f>"1578728294529609"</f>
        <v>1578728294529609</v>
      </c>
      <c r="C6290" t="s">
        <v>37</v>
      </c>
      <c r="D6290">
        <v>6.0735519999999896</v>
      </c>
      <c r="E6290">
        <v>0.55706080000000002</v>
      </c>
      <c r="F6290" t="s">
        <v>51</v>
      </c>
      <c r="G6290">
        <v>-181.99270000000001</v>
      </c>
      <c r="H6290" s="1">
        <v>-3.9545230000000004E-6</v>
      </c>
      <c r="I6290">
        <v>125.0185</v>
      </c>
      <c r="J6290">
        <v>-186.18879999999999</v>
      </c>
      <c r="K6290">
        <v>1.0943309999999999</v>
      </c>
      <c r="L6290">
        <v>118.2867</v>
      </c>
      <c r="M6290">
        <v>0.27911219999999998</v>
      </c>
      <c r="N6290">
        <v>0</v>
      </c>
      <c r="O6290">
        <v>0.95999230000000002</v>
      </c>
      <c r="P6290">
        <v>0.39201819999999998</v>
      </c>
      <c r="Q6290">
        <v>-5.8926680000000002E-3</v>
      </c>
      <c r="R6290">
        <v>0.91993860000000005</v>
      </c>
      <c r="S6290">
        <v>1.5657350000000001</v>
      </c>
      <c r="T6290">
        <v>-0.39600239999999998</v>
      </c>
      <c r="U6290">
        <v>2.5961150000000002</v>
      </c>
      <c r="V6290">
        <v>0.1199819</v>
      </c>
      <c r="W6290">
        <v>1.349915E-2</v>
      </c>
      <c r="X6290">
        <v>0.99268429999999996</v>
      </c>
      <c r="Y6290">
        <v>0.2523859</v>
      </c>
      <c r="Z6290">
        <v>-0.12907199999999999</v>
      </c>
      <c r="AA6290">
        <v>0.95897949999999998</v>
      </c>
      <c r="AB6290">
        <v>44</v>
      </c>
      <c r="AC6290">
        <v>4.1960999999999702</v>
      </c>
      <c r="AD6290">
        <v>-1.0943349545229999</v>
      </c>
      <c r="AE6290">
        <v>6.7317999999999998</v>
      </c>
      <c r="AF6290">
        <v>2.1096942782806698</v>
      </c>
      <c r="AG6290">
        <v>-1.0943349545229999</v>
      </c>
      <c r="AH6290">
        <v>7.4930047192135101</v>
      </c>
      <c r="AI6290">
        <v>98.002291574501001</v>
      </c>
      <c r="AJ6290">
        <v>74.275159779064296</v>
      </c>
      <c r="AK6290">
        <v>7.8608840891248999</v>
      </c>
    </row>
    <row r="6291" spans="1:37" x14ac:dyDescent="0.2">
      <c r="A6291" t="str">
        <f>"20200111153814559"</f>
        <v>20200111153814559</v>
      </c>
      <c r="B6291" t="str">
        <f>"1578728294549128"</f>
        <v>1578728294549128</v>
      </c>
      <c r="C6291" t="s">
        <v>37</v>
      </c>
      <c r="D6291">
        <v>5.8354839999999903</v>
      </c>
      <c r="E6291">
        <v>0.5864393</v>
      </c>
      <c r="F6291" t="s">
        <v>51</v>
      </c>
      <c r="G6291">
        <v>-181.8314</v>
      </c>
      <c r="H6291" s="1">
        <v>-4.0651429999999902E-6</v>
      </c>
      <c r="I6291">
        <v>125.357999999999</v>
      </c>
      <c r="J6291">
        <v>-186.0634</v>
      </c>
      <c r="K6291">
        <v>1.0943369999999999</v>
      </c>
      <c r="L6291">
        <v>118.6974</v>
      </c>
      <c r="M6291">
        <v>0.28722399999999998</v>
      </c>
      <c r="N6291">
        <v>0</v>
      </c>
      <c r="O6291">
        <v>0.95760009999999995</v>
      </c>
      <c r="P6291">
        <v>0.40056379999999903</v>
      </c>
      <c r="Q6291">
        <v>-5.827909E-3</v>
      </c>
      <c r="R6291">
        <v>0.91625029999999996</v>
      </c>
      <c r="S6291">
        <v>1.5903320000000001</v>
      </c>
      <c r="T6291">
        <v>-0.3993987</v>
      </c>
      <c r="U6291">
        <v>2.5808259999999899</v>
      </c>
      <c r="V6291">
        <v>0.1208211</v>
      </c>
      <c r="W6291">
        <v>1.339855E-2</v>
      </c>
      <c r="X6291">
        <v>0.99258389999999996</v>
      </c>
      <c r="Y6291">
        <v>0.25329489999999999</v>
      </c>
      <c r="Z6291">
        <v>-0.1300161</v>
      </c>
      <c r="AA6291">
        <v>0.95861229999999997</v>
      </c>
      <c r="AB6291">
        <v>44</v>
      </c>
      <c r="AC6291">
        <v>4.2319999999999904</v>
      </c>
      <c r="AD6291">
        <v>-1.0943410651429999</v>
      </c>
      <c r="AE6291">
        <v>6.6605999999999801</v>
      </c>
      <c r="AF6291">
        <v>2.0996409804655398</v>
      </c>
      <c r="AG6291">
        <v>-1.0943410651429999</v>
      </c>
      <c r="AH6291">
        <v>7.4523232375533199</v>
      </c>
      <c r="AI6291">
        <v>98.0450597245339</v>
      </c>
      <c r="AJ6291">
        <v>74.265181643945994</v>
      </c>
      <c r="AK6291">
        <v>7.81941150283612</v>
      </c>
    </row>
    <row r="6292" spans="1:37" x14ac:dyDescent="0.2">
      <c r="A6292" t="str">
        <f>"20200111153814582"</f>
        <v>20200111153814582</v>
      </c>
      <c r="B6292" t="str">
        <f>"1578728294569624"</f>
        <v>1578728294569624</v>
      </c>
      <c r="C6292" t="s">
        <v>37</v>
      </c>
      <c r="D6292">
        <v>5.7749069999999998</v>
      </c>
      <c r="E6292">
        <v>0.58746489999999996</v>
      </c>
      <c r="F6292" t="s">
        <v>51</v>
      </c>
      <c r="G6292">
        <v>-180.2433</v>
      </c>
      <c r="H6292" s="1">
        <v>-4.5984139999999998E-6</v>
      </c>
      <c r="I6292">
        <v>126.5599</v>
      </c>
      <c r="J6292">
        <v>-185.93340000000001</v>
      </c>
      <c r="K6292">
        <v>1.0943369999999999</v>
      </c>
      <c r="L6292">
        <v>119.1096</v>
      </c>
      <c r="M6292">
        <v>0.29541279999999998</v>
      </c>
      <c r="N6292">
        <v>0</v>
      </c>
      <c r="O6292">
        <v>0.95510910000000004</v>
      </c>
      <c r="P6292">
        <v>0.40982970000000002</v>
      </c>
      <c r="Q6292">
        <v>-4.9093829999999998E-3</v>
      </c>
      <c r="R6292">
        <v>0.91214879999999998</v>
      </c>
      <c r="S6292">
        <v>1.829895</v>
      </c>
      <c r="T6292">
        <v>-0.3440724</v>
      </c>
      <c r="U6292">
        <v>2.47204599999999</v>
      </c>
      <c r="V6292">
        <v>0.12240039999999899</v>
      </c>
      <c r="W6292">
        <v>1.413472E-2</v>
      </c>
      <c r="X6292">
        <v>0.99238009999999999</v>
      </c>
      <c r="Y6292">
        <v>0.32704850000000002</v>
      </c>
      <c r="Z6292">
        <v>-0.11178730000000001</v>
      </c>
      <c r="AA6292">
        <v>0.93837250000000005</v>
      </c>
      <c r="AB6292">
        <v>44</v>
      </c>
      <c r="AC6292">
        <v>5.6901000000000002</v>
      </c>
      <c r="AD6292">
        <v>-1.0943415984139999</v>
      </c>
      <c r="AE6292">
        <v>7.4502999999999897</v>
      </c>
      <c r="AF6292">
        <v>3.1910733965399198</v>
      </c>
      <c r="AG6292">
        <v>-1.0943415984139999</v>
      </c>
      <c r="AH6292">
        <v>8.6806782462209409</v>
      </c>
      <c r="AI6292">
        <v>96.748132393022601</v>
      </c>
      <c r="AJ6292">
        <v>69.816246207368195</v>
      </c>
      <c r="AK6292">
        <v>9.3131470390270206</v>
      </c>
    </row>
    <row r="6293" spans="1:37" x14ac:dyDescent="0.2">
      <c r="A6293" t="str">
        <f>"20200111153814603"</f>
        <v>20200111153814603</v>
      </c>
      <c r="B6293" t="str">
        <f>"1578728294599880"</f>
        <v>1578728294599880</v>
      </c>
      <c r="C6293" t="s">
        <v>37</v>
      </c>
      <c r="D6293">
        <v>5.977913</v>
      </c>
      <c r="E6293">
        <v>0.58804559999999995</v>
      </c>
      <c r="F6293" t="s">
        <v>51</v>
      </c>
      <c r="G6293">
        <v>-179.78270000000001</v>
      </c>
      <c r="H6293">
        <v>2.0118429999999902E-3</v>
      </c>
      <c r="I6293">
        <v>127.20099999999999</v>
      </c>
      <c r="J6293">
        <v>-185.79949999999999</v>
      </c>
      <c r="K6293">
        <v>1.0943449999999999</v>
      </c>
      <c r="L6293">
        <v>119.5215</v>
      </c>
      <c r="M6293">
        <v>0.30364759999999902</v>
      </c>
      <c r="N6293">
        <v>0</v>
      </c>
      <c r="O6293">
        <v>0.95252649999999905</v>
      </c>
      <c r="P6293">
        <v>0.41843419999999998</v>
      </c>
      <c r="Q6293">
        <v>-4.9580190000000001E-3</v>
      </c>
      <c r="R6293">
        <v>0.90823359999999997</v>
      </c>
      <c r="S6293">
        <v>1.862595</v>
      </c>
      <c r="T6293">
        <v>-0.33078229999999997</v>
      </c>
      <c r="U6293">
        <v>2.4502869999999999</v>
      </c>
      <c r="V6293">
        <v>0.1232096</v>
      </c>
      <c r="W6293">
        <v>1.392588E-2</v>
      </c>
      <c r="X6293">
        <v>0.99228289999999997</v>
      </c>
      <c r="Y6293">
        <v>0.33115650000000002</v>
      </c>
      <c r="Z6293">
        <v>-0.1073861</v>
      </c>
      <c r="AA6293">
        <v>0.93744530000000004</v>
      </c>
      <c r="AB6293">
        <v>44</v>
      </c>
      <c r="AC6293">
        <v>6.0167999999999804</v>
      </c>
      <c r="AD6293">
        <v>-1.0923331570000001</v>
      </c>
      <c r="AE6293">
        <v>7.6795</v>
      </c>
      <c r="AF6293">
        <v>3.35803682964699</v>
      </c>
      <c r="AG6293">
        <v>-1.0923331570000001</v>
      </c>
      <c r="AH6293">
        <v>9.0309437424924894</v>
      </c>
      <c r="AI6293">
        <v>96.468044759759294</v>
      </c>
      <c r="AJ6293">
        <v>69.603015571728704</v>
      </c>
      <c r="AK6293">
        <v>9.6967802880755993</v>
      </c>
    </row>
    <row r="6294" spans="1:37" x14ac:dyDescent="0.2">
      <c r="A6294" t="str">
        <f>"20200111153814626"</f>
        <v>20200111153814626</v>
      </c>
      <c r="B6294" t="str">
        <f>"1578728294619400"</f>
        <v>1578728294619400</v>
      </c>
      <c r="C6294" t="s">
        <v>37</v>
      </c>
      <c r="D6294">
        <v>5.8202290000000003</v>
      </c>
      <c r="E6294">
        <v>0.58894209999999902</v>
      </c>
      <c r="F6294" t="s">
        <v>51</v>
      </c>
      <c r="G6294">
        <v>-179.64769999999999</v>
      </c>
      <c r="H6294">
        <v>7.9987909999999995E-2</v>
      </c>
      <c r="I6294">
        <v>127.43089999999999</v>
      </c>
      <c r="J6294">
        <v>-185.65809999999999</v>
      </c>
      <c r="K6294">
        <v>1.094352</v>
      </c>
      <c r="L6294">
        <v>119.944</v>
      </c>
      <c r="M6294">
        <v>0.31215879999999901</v>
      </c>
      <c r="N6294">
        <v>0</v>
      </c>
      <c r="O6294">
        <v>0.94977459999999903</v>
      </c>
      <c r="P6294">
        <v>0.42697349999999901</v>
      </c>
      <c r="Q6294">
        <v>-4.9909189999999999E-3</v>
      </c>
      <c r="R6294">
        <v>0.90425040000000001</v>
      </c>
      <c r="S6294">
        <v>1.890396</v>
      </c>
      <c r="T6294">
        <v>-0.31170229999999999</v>
      </c>
      <c r="U6294">
        <v>2.4304809999999999</v>
      </c>
      <c r="V6294">
        <v>0.12367649999999999</v>
      </c>
      <c r="W6294">
        <v>1.373803E-2</v>
      </c>
      <c r="X6294">
        <v>0.99222749999999904</v>
      </c>
      <c r="Y6294">
        <v>0.33352290000000001</v>
      </c>
      <c r="Z6294">
        <v>-0.1011222</v>
      </c>
      <c r="AA6294">
        <v>0.93730290000000005</v>
      </c>
      <c r="AB6294">
        <v>44</v>
      </c>
      <c r="AC6294">
        <v>6.0103999999999997</v>
      </c>
      <c r="AD6294">
        <v>-1.0143640899999999</v>
      </c>
      <c r="AE6294">
        <v>7.4868999999999897</v>
      </c>
      <c r="AF6294">
        <v>3.3350147794977598</v>
      </c>
      <c r="AG6294">
        <v>-1.0143640899999999</v>
      </c>
      <c r="AH6294">
        <v>8.8900133613982195</v>
      </c>
      <c r="AI6294">
        <v>96.0978722316204</v>
      </c>
      <c r="AJ6294">
        <v>69.436836943950397</v>
      </c>
      <c r="AK6294">
        <v>9.5490101922863602</v>
      </c>
    </row>
    <row r="6295" spans="1:37" x14ac:dyDescent="0.2">
      <c r="A6295" t="str">
        <f>"20200111153814648"</f>
        <v>20200111153814648</v>
      </c>
      <c r="B6295" t="str">
        <f>"1578728294639899"</f>
        <v>1578728294639899</v>
      </c>
      <c r="C6295" t="s">
        <v>37</v>
      </c>
      <c r="D6295">
        <v>5.7949209999999898</v>
      </c>
      <c r="E6295">
        <v>0.58949180000000001</v>
      </c>
      <c r="F6295" t="s">
        <v>51</v>
      </c>
      <c r="G6295">
        <v>-179.28229999999999</v>
      </c>
      <c r="H6295">
        <v>7.9987810000000006E-2</v>
      </c>
      <c r="I6295">
        <v>127.9455</v>
      </c>
      <c r="J6295">
        <v>-185.518</v>
      </c>
      <c r="K6295">
        <v>1.0943449999999999</v>
      </c>
      <c r="L6295">
        <v>120.35039999999999</v>
      </c>
      <c r="M6295">
        <v>0.32042880000000001</v>
      </c>
      <c r="N6295">
        <v>0</v>
      </c>
      <c r="O6295">
        <v>0.94701979999999997</v>
      </c>
      <c r="P6295">
        <v>0.43530249999999998</v>
      </c>
      <c r="Q6295">
        <v>-3.6218940000000001E-3</v>
      </c>
      <c r="R6295">
        <v>0.90027699999999999</v>
      </c>
      <c r="S6295">
        <v>1.919907</v>
      </c>
      <c r="T6295">
        <v>-0.3054501</v>
      </c>
      <c r="U6295">
        <v>2.4094389999999999</v>
      </c>
      <c r="V6295">
        <v>0.124214</v>
      </c>
      <c r="W6295">
        <v>1.4948110000000001E-2</v>
      </c>
      <c r="X6295">
        <v>0.99214290000000005</v>
      </c>
      <c r="Y6295">
        <v>0.33646209999999999</v>
      </c>
      <c r="Z6295">
        <v>-9.8977930000000006E-2</v>
      </c>
      <c r="AA6295">
        <v>0.93648099999999901</v>
      </c>
      <c r="AB6295">
        <v>43</v>
      </c>
      <c r="AC6295">
        <v>6.2356999999999996</v>
      </c>
      <c r="AD6295">
        <v>-1.0143571899999999</v>
      </c>
      <c r="AE6295">
        <v>7.5951000000000004</v>
      </c>
      <c r="AF6295">
        <v>3.4358659676200398</v>
      </c>
      <c r="AG6295">
        <v>-1.0143571899999999</v>
      </c>
      <c r="AH6295">
        <v>9.0960931184530907</v>
      </c>
      <c r="AI6295">
        <v>95.955637724183802</v>
      </c>
      <c r="AJ6295">
        <v>69.306951970477201</v>
      </c>
      <c r="AK6295">
        <v>9.7761447143505293</v>
      </c>
    </row>
    <row r="6296" spans="1:37" x14ac:dyDescent="0.2">
      <c r="A6296" t="str">
        <f>"20200111153814671"</f>
        <v>20200111153814671</v>
      </c>
      <c r="B6296" t="str">
        <f>"1578728294659417"</f>
        <v>1578728294659417</v>
      </c>
      <c r="C6296" t="s">
        <v>37</v>
      </c>
      <c r="D6296">
        <v>5.8358860000000004</v>
      </c>
      <c r="E6296">
        <v>0.589812</v>
      </c>
      <c r="F6296" t="s">
        <v>51</v>
      </c>
      <c r="G6296">
        <v>-178.86490000000001</v>
      </c>
      <c r="H6296">
        <v>7.9987699999999995E-2</v>
      </c>
      <c r="I6296">
        <v>128.52090000000001</v>
      </c>
      <c r="J6296">
        <v>-185.374</v>
      </c>
      <c r="K6296">
        <v>1.0943160000000001</v>
      </c>
      <c r="L6296">
        <v>120.7561</v>
      </c>
      <c r="M6296">
        <v>0.32879530000000001</v>
      </c>
      <c r="N6296">
        <v>0</v>
      </c>
      <c r="O6296">
        <v>0.94415119999999897</v>
      </c>
      <c r="P6296">
        <v>0.44301019999999902</v>
      </c>
      <c r="Q6296">
        <v>-2.656472E-3</v>
      </c>
      <c r="R6296">
        <v>0.89651259999999999</v>
      </c>
      <c r="S6296">
        <v>1.9461820000000001</v>
      </c>
      <c r="T6296">
        <v>-0.29672359999999998</v>
      </c>
      <c r="U6296">
        <v>2.390091</v>
      </c>
      <c r="V6296">
        <v>0.1239693</v>
      </c>
      <c r="W6296">
        <v>1.5764839999999999E-2</v>
      </c>
      <c r="X6296">
        <v>0.99216079999999995</v>
      </c>
      <c r="Y6296">
        <v>0.3382308</v>
      </c>
      <c r="Z6296">
        <v>-9.6026440000000005E-2</v>
      </c>
      <c r="AA6296">
        <v>0.93615110000000001</v>
      </c>
      <c r="AB6296">
        <v>43</v>
      </c>
      <c r="AC6296">
        <v>6.5091000000000099</v>
      </c>
      <c r="AD6296">
        <v>-1.0143283000000001</v>
      </c>
      <c r="AE6296">
        <v>7.7648000000000001</v>
      </c>
      <c r="AF6296">
        <v>3.5577376731400099</v>
      </c>
      <c r="AG6296">
        <v>-1.0143283000000001</v>
      </c>
      <c r="AH6296">
        <v>9.3795418956147198</v>
      </c>
      <c r="AI6296">
        <v>95.773733971668307</v>
      </c>
      <c r="AJ6296">
        <v>69.227849974247405</v>
      </c>
      <c r="AK6296">
        <v>10.082765762559999</v>
      </c>
    </row>
    <row r="6297" spans="1:37" x14ac:dyDescent="0.2">
      <c r="A6297" t="str">
        <f>"20200111153814693"</f>
        <v>20200111153814693</v>
      </c>
      <c r="B6297" t="str">
        <f>"1578728294689672"</f>
        <v>1578728294689672</v>
      </c>
      <c r="C6297" t="s">
        <v>37</v>
      </c>
      <c r="D6297">
        <v>5.7955329999999998</v>
      </c>
      <c r="E6297">
        <v>0.59007279999999995</v>
      </c>
      <c r="F6297" t="s">
        <v>51</v>
      </c>
      <c r="G6297">
        <v>-178.55670000000001</v>
      </c>
      <c r="H6297">
        <v>7.9987600000000006E-2</v>
      </c>
      <c r="I6297">
        <v>128.96860000000001</v>
      </c>
      <c r="J6297">
        <v>-185.22659999999999</v>
      </c>
      <c r="K6297">
        <v>1.094258</v>
      </c>
      <c r="L6297">
        <v>121.15989999999999</v>
      </c>
      <c r="M6297">
        <v>0.33725959999999899</v>
      </c>
      <c r="N6297">
        <v>0</v>
      </c>
      <c r="O6297">
        <v>0.94116440000000001</v>
      </c>
      <c r="P6297">
        <v>0.44973819999999998</v>
      </c>
      <c r="Q6297">
        <v>-1.80181E-3</v>
      </c>
      <c r="R6297">
        <v>0.89315859999999903</v>
      </c>
      <c r="S6297">
        <v>1.969284</v>
      </c>
      <c r="T6297">
        <v>-0.29300549999999997</v>
      </c>
      <c r="U6297">
        <v>2.3723139999999998</v>
      </c>
      <c r="V6297">
        <v>0.122540699999999</v>
      </c>
      <c r="W6297">
        <v>1.6490020000000001E-2</v>
      </c>
      <c r="X6297">
        <v>0.992326499999999</v>
      </c>
      <c r="Y6297">
        <v>0.33871809999999902</v>
      </c>
      <c r="Z6297">
        <v>-9.4671080000000005E-2</v>
      </c>
      <c r="AA6297">
        <v>0.93611290000000003</v>
      </c>
      <c r="AB6297">
        <v>43</v>
      </c>
      <c r="AC6297">
        <v>6.6698999999999797</v>
      </c>
      <c r="AD6297">
        <v>-1.0142704</v>
      </c>
      <c r="AE6297">
        <v>7.8087000000000097</v>
      </c>
      <c r="AF6297">
        <v>3.60955242239773</v>
      </c>
      <c r="AG6297">
        <v>-1.0142704</v>
      </c>
      <c r="AH6297">
        <v>9.5082449495884607</v>
      </c>
      <c r="AI6297">
        <v>95.695183967597202</v>
      </c>
      <c r="AJ6297">
        <v>69.212065510168799</v>
      </c>
      <c r="AK6297">
        <v>10.220779576711699</v>
      </c>
    </row>
    <row r="6298" spans="1:37" x14ac:dyDescent="0.2">
      <c r="A6298" t="str">
        <f>"20200111153814716"</f>
        <v>20200111153814716</v>
      </c>
      <c r="B6298" t="str">
        <f>"1578728294709192"</f>
        <v>1578728294709192</v>
      </c>
      <c r="C6298" t="s">
        <v>37</v>
      </c>
      <c r="D6298">
        <v>5.801946</v>
      </c>
      <c r="E6298">
        <v>0.59012339999999996</v>
      </c>
      <c r="F6298" t="s">
        <v>51</v>
      </c>
      <c r="G6298">
        <v>-177.71019999999999</v>
      </c>
      <c r="H6298" s="1">
        <v>-4.0684379999999997E-6</v>
      </c>
      <c r="I6298">
        <v>130.06319999999999</v>
      </c>
      <c r="J6298">
        <v>-185.07060000000001</v>
      </c>
      <c r="K6298">
        <v>1.0941749999999999</v>
      </c>
      <c r="L6298">
        <v>121.575</v>
      </c>
      <c r="M6298">
        <v>0.34613090000000002</v>
      </c>
      <c r="N6298">
        <v>0</v>
      </c>
      <c r="O6298">
        <v>0.93794179999999905</v>
      </c>
      <c r="P6298">
        <v>0.45688959999999901</v>
      </c>
      <c r="Q6298">
        <v>-1.0660120000000001E-3</v>
      </c>
      <c r="R6298">
        <v>0.88952279999999995</v>
      </c>
      <c r="S6298">
        <v>1.9894259999999999</v>
      </c>
      <c r="T6298">
        <v>-0.28962769999999999</v>
      </c>
      <c r="U6298">
        <v>2.3565369999999999</v>
      </c>
      <c r="V6298">
        <v>0.1211515</v>
      </c>
      <c r="W6298">
        <v>1.7081209999999999E-2</v>
      </c>
      <c r="X6298">
        <v>0.99248709999999996</v>
      </c>
      <c r="Y6298">
        <v>0.33768140000000002</v>
      </c>
      <c r="Z6298">
        <v>-9.3389600000000003E-2</v>
      </c>
      <c r="AA6298">
        <v>0.93661609999999995</v>
      </c>
      <c r="AB6298">
        <v>43</v>
      </c>
      <c r="AC6298">
        <v>7.3604000000000198</v>
      </c>
      <c r="AD6298">
        <v>-1.0941790684379999</v>
      </c>
      <c r="AE6298">
        <v>8.4881999999999902</v>
      </c>
      <c r="AF6298">
        <v>3.9292397799358199</v>
      </c>
      <c r="AG6298">
        <v>-1.0941790684379999</v>
      </c>
      <c r="AH6298">
        <v>10.412746388826401</v>
      </c>
      <c r="AI6298">
        <v>95.614934470578902</v>
      </c>
      <c r="AJ6298">
        <v>69.326049578039502</v>
      </c>
      <c r="AK6298">
        <v>11.183087249952701</v>
      </c>
    </row>
    <row r="6299" spans="1:37" x14ac:dyDescent="0.2">
      <c r="A6299" t="str">
        <f>"20200111153814737"</f>
        <v>20200111153814737</v>
      </c>
      <c r="B6299" t="str">
        <f>"1578728294729688"</f>
        <v>1578728294729688</v>
      </c>
      <c r="C6299" t="s">
        <v>37</v>
      </c>
      <c r="D6299">
        <v>6.0790220000000001</v>
      </c>
      <c r="E6299">
        <v>0.58941739999999998</v>
      </c>
      <c r="F6299" t="s">
        <v>51</v>
      </c>
      <c r="G6299">
        <v>-177.42939999999999</v>
      </c>
      <c r="H6299" s="1">
        <v>-4.0334039999999902E-6</v>
      </c>
      <c r="I6299">
        <v>130.47579999999999</v>
      </c>
      <c r="J6299">
        <v>-184.91800000000001</v>
      </c>
      <c r="K6299">
        <v>1.0940650000000001</v>
      </c>
      <c r="L6299">
        <v>121.9697</v>
      </c>
      <c r="M6299">
        <v>0.35475630000000002</v>
      </c>
      <c r="N6299">
        <v>0</v>
      </c>
      <c r="O6299">
        <v>0.93471689999999996</v>
      </c>
      <c r="P6299">
        <v>0.46376260000000002</v>
      </c>
      <c r="Q6299">
        <v>-1.5750160000000001E-4</v>
      </c>
      <c r="R6299">
        <v>0.88595949999999901</v>
      </c>
      <c r="S6299">
        <v>2.0091399999999999</v>
      </c>
      <c r="T6299">
        <v>-0.28769620000000001</v>
      </c>
      <c r="U6299">
        <v>2.3403019999999999</v>
      </c>
      <c r="V6299">
        <v>0.11971759999999999</v>
      </c>
      <c r="W6299">
        <v>1.785643E-2</v>
      </c>
      <c r="X6299">
        <v>0.99264739999999996</v>
      </c>
      <c r="Y6299">
        <v>0.33681869999999903</v>
      </c>
      <c r="Z6299">
        <v>-9.2584650000000004E-2</v>
      </c>
      <c r="AA6299">
        <v>0.93700649999999996</v>
      </c>
      <c r="AB6299">
        <v>43</v>
      </c>
      <c r="AC6299">
        <v>7.4886000000000097</v>
      </c>
      <c r="AD6299">
        <v>-1.094069033404</v>
      </c>
      <c r="AE6299">
        <v>8.5060999999999893</v>
      </c>
      <c r="AF6299">
        <v>3.9462504164696202</v>
      </c>
      <c r="AG6299">
        <v>-1.094069033404</v>
      </c>
      <c r="AH6299">
        <v>10.511853175307801</v>
      </c>
      <c r="AI6299">
        <v>95.565308969822496</v>
      </c>
      <c r="AJ6299">
        <v>69.423383415429498</v>
      </c>
      <c r="AK6299">
        <v>11.281353490542299</v>
      </c>
    </row>
    <row r="6300" spans="1:37" x14ac:dyDescent="0.2">
      <c r="A6300" t="str">
        <f>"20200111153814759"</f>
        <v>20200111153814759</v>
      </c>
      <c r="B6300" t="str">
        <f>"1578728294749208"</f>
        <v>1578728294749208</v>
      </c>
      <c r="C6300" t="s">
        <v>37</v>
      </c>
      <c r="D6300">
        <v>6.0936500000000002</v>
      </c>
      <c r="E6300">
        <v>0.58806239999999999</v>
      </c>
      <c r="F6300" t="s">
        <v>51</v>
      </c>
      <c r="G6300">
        <v>-177.31630000000001</v>
      </c>
      <c r="H6300" s="1">
        <v>-4.0489069999999901E-6</v>
      </c>
      <c r="I6300">
        <v>130.71979999999999</v>
      </c>
      <c r="J6300">
        <v>-184.76499999999999</v>
      </c>
      <c r="K6300">
        <v>1.0939270000000001</v>
      </c>
      <c r="L6300">
        <v>122.35429999999999</v>
      </c>
      <c r="M6300">
        <v>0.36337989999999998</v>
      </c>
      <c r="N6300">
        <v>0</v>
      </c>
      <c r="O6300">
        <v>0.93140149999999999</v>
      </c>
      <c r="P6300">
        <v>0.47022920000000001</v>
      </c>
      <c r="Q6300">
        <v>-6.798396E-4</v>
      </c>
      <c r="R6300">
        <v>0.88254409999999905</v>
      </c>
      <c r="S6300">
        <v>2.022125</v>
      </c>
      <c r="T6300">
        <v>-0.29103289999999998</v>
      </c>
      <c r="U6300">
        <v>2.3276209999999899</v>
      </c>
      <c r="V6300">
        <v>0.11779189999999901</v>
      </c>
      <c r="W6300">
        <v>1.721804E-2</v>
      </c>
      <c r="X6300">
        <v>0.99288899999999902</v>
      </c>
      <c r="Y6300">
        <v>0.33356350000000001</v>
      </c>
      <c r="Z6300">
        <v>-9.3452679999999996E-2</v>
      </c>
      <c r="AA6300">
        <v>0.93808419999999904</v>
      </c>
      <c r="AB6300">
        <v>43</v>
      </c>
      <c r="AC6300">
        <v>7.4486999999999703</v>
      </c>
      <c r="AD6300">
        <v>-1.093931048907</v>
      </c>
      <c r="AE6300">
        <v>8.3654999999999902</v>
      </c>
      <c r="AF6300">
        <v>3.86191090338207</v>
      </c>
      <c r="AG6300">
        <v>-1.093931048907</v>
      </c>
      <c r="AH6300">
        <v>10.4014810254767</v>
      </c>
      <c r="AI6300">
        <v>95.630838930661795</v>
      </c>
      <c r="AJ6300">
        <v>69.630808309941898</v>
      </c>
      <c r="AK6300">
        <v>11.1490738848021</v>
      </c>
    </row>
    <row r="6301" spans="1:37" x14ac:dyDescent="0.2">
      <c r="A6301" t="str">
        <f>"20200111153814782"</f>
        <v>20200111153814782</v>
      </c>
      <c r="B6301" t="str">
        <f>"1578728294779464"</f>
        <v>1578728294779464</v>
      </c>
      <c r="C6301" t="s">
        <v>37</v>
      </c>
      <c r="D6301">
        <v>6.1344849999999997</v>
      </c>
      <c r="E6301">
        <v>0.58647399999999905</v>
      </c>
      <c r="F6301" t="s">
        <v>51</v>
      </c>
      <c r="G6301">
        <v>-177.40119999999999</v>
      </c>
      <c r="H6301" s="1">
        <v>-4.1219560000000001E-6</v>
      </c>
      <c r="I6301">
        <v>130.75980000000001</v>
      </c>
      <c r="J6301">
        <v>-184.60120000000001</v>
      </c>
      <c r="K6301">
        <v>1.0937600000000001</v>
      </c>
      <c r="L6301">
        <v>122.75369999999999</v>
      </c>
      <c r="M6301">
        <v>0.37261479999999902</v>
      </c>
      <c r="N6301">
        <v>0</v>
      </c>
      <c r="O6301">
        <v>0.92774859999999904</v>
      </c>
      <c r="P6301">
        <v>0.47777939999999902</v>
      </c>
      <c r="Q6301">
        <v>-1.2374489999999901E-3</v>
      </c>
      <c r="R6301">
        <v>0.87847889999999995</v>
      </c>
      <c r="S6301">
        <v>2.0301669999999898</v>
      </c>
      <c r="T6301">
        <v>-0.30158859999999998</v>
      </c>
      <c r="U6301">
        <v>2.3173219999999999</v>
      </c>
      <c r="V6301">
        <v>0.11643139999999901</v>
      </c>
      <c r="W6301">
        <v>1.6521000000000001E-2</v>
      </c>
      <c r="X6301">
        <v>0.99306130000000004</v>
      </c>
      <c r="Y6301">
        <v>0.32788869999999998</v>
      </c>
      <c r="Z6301">
        <v>-9.6578430000000007E-2</v>
      </c>
      <c r="AA6301">
        <v>0.93976680000000001</v>
      </c>
      <c r="AB6301">
        <v>43</v>
      </c>
      <c r="AC6301">
        <v>7.2000000000000099</v>
      </c>
      <c r="AD6301">
        <v>-1.0937641219559999</v>
      </c>
      <c r="AE6301">
        <v>8.0061000000000107</v>
      </c>
      <c r="AF6301">
        <v>3.6596508120889699</v>
      </c>
      <c r="AG6301">
        <v>-1.0937641219559999</v>
      </c>
      <c r="AH6301">
        <v>10.009419735324901</v>
      </c>
      <c r="AI6301">
        <v>95.859689500107095</v>
      </c>
      <c r="AJ6301">
        <v>69.916542782100805</v>
      </c>
      <c r="AK6301">
        <v>10.713442372030199</v>
      </c>
    </row>
    <row r="6302" spans="1:37" x14ac:dyDescent="0.2">
      <c r="A6302" t="str">
        <f>"20200111153814804"</f>
        <v>20200111153814804</v>
      </c>
      <c r="B6302" t="str">
        <f>"1578728294799960"</f>
        <v>1578728294799960</v>
      </c>
      <c r="C6302" t="s">
        <v>37</v>
      </c>
      <c r="D6302">
        <v>5.7767249999999999</v>
      </c>
      <c r="E6302">
        <v>0.58613009999999999</v>
      </c>
      <c r="F6302" t="s">
        <v>51</v>
      </c>
      <c r="G6302">
        <v>-177.4735</v>
      </c>
      <c r="H6302" s="1">
        <v>-4.1915420000000003E-6</v>
      </c>
      <c r="I6302">
        <v>130.81309999999999</v>
      </c>
      <c r="J6302">
        <v>-184.43639999999999</v>
      </c>
      <c r="K6302">
        <v>1.0935729999999999</v>
      </c>
      <c r="L6302">
        <v>123.1442</v>
      </c>
      <c r="M6302">
        <v>0.38192429999999999</v>
      </c>
      <c r="N6302">
        <v>0</v>
      </c>
      <c r="O6302">
        <v>0.9239581</v>
      </c>
      <c r="P6302">
        <v>0.485958</v>
      </c>
      <c r="Q6302">
        <v>-1.136125E-3</v>
      </c>
      <c r="R6302">
        <v>0.87398140000000002</v>
      </c>
      <c r="S6302">
        <v>2.0390320000000002</v>
      </c>
      <c r="T6302">
        <v>-0.31289299999999998</v>
      </c>
      <c r="U6302">
        <v>2.3055729999999999</v>
      </c>
      <c r="V6302">
        <v>0.1157229</v>
      </c>
      <c r="W6302">
        <v>1.646713E-2</v>
      </c>
      <c r="X6302">
        <v>0.99314499999999994</v>
      </c>
      <c r="Y6302">
        <v>0.32255050000000002</v>
      </c>
      <c r="Z6302">
        <v>-9.9926210000000001E-2</v>
      </c>
      <c r="AA6302">
        <v>0.94126290000000001</v>
      </c>
      <c r="AB6302">
        <v>42</v>
      </c>
      <c r="AC6302">
        <v>6.9628999999999897</v>
      </c>
      <c r="AD6302">
        <v>-1.0935771915419901</v>
      </c>
      <c r="AE6302">
        <v>7.6688999999999901</v>
      </c>
      <c r="AF6302">
        <v>3.4666122669508401</v>
      </c>
      <c r="AG6302">
        <v>-1.0935771915419901</v>
      </c>
      <c r="AH6302">
        <v>9.63971908372468</v>
      </c>
      <c r="AI6302">
        <v>96.0933569797578</v>
      </c>
      <c r="AJ6302">
        <v>70.220524143758396</v>
      </c>
      <c r="AK6302">
        <v>10.302305358334101</v>
      </c>
    </row>
    <row r="6303" spans="1:37" x14ac:dyDescent="0.2">
      <c r="A6303" t="str">
        <f>"20200111153814817"</f>
        <v>20200111153814817</v>
      </c>
      <c r="B6303" t="str">
        <f>"1578728294809720"</f>
        <v>1578728294809720</v>
      </c>
      <c r="C6303" t="s">
        <v>37</v>
      </c>
      <c r="D6303">
        <v>5.800192</v>
      </c>
      <c r="E6303">
        <v>0.58628380000000002</v>
      </c>
      <c r="F6303" t="s">
        <v>51</v>
      </c>
      <c r="G6303">
        <v>-177.32079999999999</v>
      </c>
      <c r="H6303" s="1">
        <v>-4.1783219999999996E-6</v>
      </c>
      <c r="I6303">
        <v>131.05289999999999</v>
      </c>
      <c r="J6303">
        <v>-184.3312</v>
      </c>
      <c r="K6303">
        <v>1.0934539999999999</v>
      </c>
      <c r="L6303">
        <v>123.3883</v>
      </c>
      <c r="M6303">
        <v>0.38785649999999999</v>
      </c>
      <c r="N6303">
        <v>0</v>
      </c>
      <c r="O6303">
        <v>0.92148519999999901</v>
      </c>
      <c r="P6303">
        <v>0.49142370000000002</v>
      </c>
      <c r="Q6303">
        <v>-5.4337999999999999E-4</v>
      </c>
      <c r="R6303">
        <v>0.87092039999999904</v>
      </c>
      <c r="S6303">
        <v>2.0583040000000001</v>
      </c>
      <c r="T6303">
        <v>-0.31633259999999902</v>
      </c>
      <c r="U6303">
        <v>2.2876889999999999</v>
      </c>
      <c r="V6303">
        <v>0.115579</v>
      </c>
      <c r="W6303">
        <v>1.6956769999999999E-2</v>
      </c>
      <c r="X6303">
        <v>0.99315359999999997</v>
      </c>
      <c r="Y6303">
        <v>0.32443280000000002</v>
      </c>
      <c r="Z6303">
        <v>-0.100921</v>
      </c>
      <c r="AA6303">
        <v>0.94050959999999995</v>
      </c>
      <c r="AB6303">
        <v>42</v>
      </c>
      <c r="AC6303">
        <v>7.0103999999999997</v>
      </c>
      <c r="AD6303">
        <v>-1.0934581783220001</v>
      </c>
      <c r="AE6303">
        <v>7.6645999999999903</v>
      </c>
      <c r="AF6303">
        <v>3.4497392164045602</v>
      </c>
      <c r="AG6303">
        <v>-1.0934581783220001</v>
      </c>
      <c r="AH6303">
        <v>9.6767231109132794</v>
      </c>
      <c r="AI6303">
        <v>96.075540330424303</v>
      </c>
      <c r="AJ6303">
        <v>70.378915011572701</v>
      </c>
      <c r="AK6303">
        <v>10.3312787985912</v>
      </c>
    </row>
    <row r="6304" spans="1:37" x14ac:dyDescent="0.2">
      <c r="A6304" t="str">
        <f>"20200111153814830"</f>
        <v>20200111153814830</v>
      </c>
      <c r="B6304" t="str">
        <f>"1578728294819480"</f>
        <v>1578728294819480</v>
      </c>
      <c r="C6304" t="s">
        <v>37</v>
      </c>
      <c r="D6304">
        <v>5.7767099999999996</v>
      </c>
      <c r="E6304">
        <v>0.58637059999999996</v>
      </c>
      <c r="F6304" t="s">
        <v>51</v>
      </c>
      <c r="G6304">
        <v>-177.12219999999999</v>
      </c>
      <c r="H6304" s="1">
        <v>-4.1339810000000003E-6</v>
      </c>
      <c r="I6304">
        <v>131.2929</v>
      </c>
      <c r="J6304">
        <v>-184.2405</v>
      </c>
      <c r="K6304">
        <v>1.093351</v>
      </c>
      <c r="L6304">
        <v>123.5941</v>
      </c>
      <c r="M6304">
        <v>0.39297259999999901</v>
      </c>
      <c r="N6304">
        <v>0</v>
      </c>
      <c r="O6304">
        <v>0.91931649999999998</v>
      </c>
      <c r="P6304">
        <v>0.4967085</v>
      </c>
      <c r="Q6304" s="1">
        <v>5.8558769999999997E-5</v>
      </c>
      <c r="R6304">
        <v>0.86791749999999901</v>
      </c>
      <c r="S6304">
        <v>2.0740050000000001</v>
      </c>
      <c r="T6304">
        <v>-0.31458429999999998</v>
      </c>
      <c r="U6304">
        <v>2.274124</v>
      </c>
      <c r="V6304">
        <v>0.116114699999999</v>
      </c>
      <c r="W6304">
        <v>1.7455470000000001E-2</v>
      </c>
      <c r="X6304">
        <v>0.99308240000000003</v>
      </c>
      <c r="Y6304">
        <v>0.32556370000000001</v>
      </c>
      <c r="Z6304">
        <v>-0.1002446</v>
      </c>
      <c r="AA6304">
        <v>0.94019109999999995</v>
      </c>
      <c r="AB6304">
        <v>42</v>
      </c>
      <c r="AC6304">
        <v>7.1182999999999996</v>
      </c>
      <c r="AD6304">
        <v>-1.0933551339809999</v>
      </c>
      <c r="AE6304">
        <v>7.6988000000000003</v>
      </c>
      <c r="AF6304">
        <v>3.4814546290547299</v>
      </c>
      <c r="AG6304">
        <v>-1.0933551339809999</v>
      </c>
      <c r="AH6304">
        <v>9.7708124475994609</v>
      </c>
      <c r="AI6304">
        <v>96.0172567771545</v>
      </c>
      <c r="AJ6304">
        <v>70.388422627503203</v>
      </c>
      <c r="AK6304">
        <v>10.429991738699201</v>
      </c>
    </row>
    <row r="6305" spans="1:37" x14ac:dyDescent="0.2">
      <c r="A6305" t="str">
        <f>"20200111153814842"</f>
        <v>20200111153814842</v>
      </c>
      <c r="B6305" t="str">
        <f>"1578728294839976"</f>
        <v>1578728294839976</v>
      </c>
      <c r="C6305" t="s">
        <v>37</v>
      </c>
      <c r="D6305">
        <v>5.7420289999999996</v>
      </c>
      <c r="E6305">
        <v>0.58664550000000004</v>
      </c>
      <c r="F6305" t="s">
        <v>51</v>
      </c>
      <c r="G6305">
        <v>-176.95259999999999</v>
      </c>
      <c r="H6305" s="1">
        <v>-4.0908370000000003E-6</v>
      </c>
      <c r="I6305">
        <v>131.48410000000001</v>
      </c>
      <c r="J6305">
        <v>-184.14089999999999</v>
      </c>
      <c r="K6305">
        <v>1.0932360000000001</v>
      </c>
      <c r="L6305">
        <v>123.81780000000001</v>
      </c>
      <c r="M6305">
        <v>0.39858899999999903</v>
      </c>
      <c r="N6305">
        <v>0</v>
      </c>
      <c r="O6305">
        <v>0.91689679999999996</v>
      </c>
      <c r="P6305">
        <v>0.50231389999999998</v>
      </c>
      <c r="Q6305">
        <v>3.2657569999999998E-4</v>
      </c>
      <c r="R6305">
        <v>0.86468529999999999</v>
      </c>
      <c r="S6305">
        <v>2.088654</v>
      </c>
      <c r="T6305">
        <v>-0.31334659999999998</v>
      </c>
      <c r="U6305">
        <v>2.2612299999999999</v>
      </c>
      <c r="V6305">
        <v>0.11647639999999999</v>
      </c>
      <c r="W6305">
        <v>1.761805E-2</v>
      </c>
      <c r="X6305">
        <v>0.99303719999999995</v>
      </c>
      <c r="Y6305">
        <v>0.32577909999999999</v>
      </c>
      <c r="Z6305">
        <v>-9.9696759999999995E-2</v>
      </c>
      <c r="AA6305">
        <v>0.94017479999999998</v>
      </c>
      <c r="AB6305">
        <v>42</v>
      </c>
      <c r="AC6305">
        <v>7.1882999999999901</v>
      </c>
      <c r="AD6305">
        <v>-1.0932400908369999</v>
      </c>
      <c r="AE6305">
        <v>7.6662999999999997</v>
      </c>
      <c r="AF6305">
        <v>3.4981263780024201</v>
      </c>
      <c r="AG6305">
        <v>-1.0932400908369999</v>
      </c>
      <c r="AH6305">
        <v>9.7905477467845099</v>
      </c>
      <c r="AI6305">
        <v>96.002731661132401</v>
      </c>
      <c r="AJ6305">
        <v>70.338379775642693</v>
      </c>
      <c r="AK6305">
        <v>10.454036887000001</v>
      </c>
    </row>
    <row r="6306" spans="1:37" x14ac:dyDescent="0.2">
      <c r="A6306" t="str">
        <f>"20200111153814856"</f>
        <v>20200111153814856</v>
      </c>
      <c r="B6306" t="str">
        <f>"1578728294849738"</f>
        <v>1578728294849738</v>
      </c>
      <c r="C6306" t="s">
        <v>37</v>
      </c>
      <c r="D6306">
        <v>5.7673779999999999</v>
      </c>
      <c r="E6306">
        <v>0.58675119999999903</v>
      </c>
      <c r="F6306" t="s">
        <v>51</v>
      </c>
      <c r="G6306">
        <v>-176.7801</v>
      </c>
      <c r="H6306" s="1">
        <v>-4.0451179999999997E-6</v>
      </c>
      <c r="I6306">
        <v>131.6737</v>
      </c>
      <c r="J6306">
        <v>-184.0266</v>
      </c>
      <c r="K6306">
        <v>1.0930949999999999</v>
      </c>
      <c r="L6306">
        <v>124.0693</v>
      </c>
      <c r="M6306">
        <v>0.40504009999999901</v>
      </c>
      <c r="N6306">
        <v>0</v>
      </c>
      <c r="O6306">
        <v>0.91406679999999996</v>
      </c>
      <c r="P6306">
        <v>0.50879909999999995</v>
      </c>
      <c r="Q6306">
        <v>9.3395279999999999E-4</v>
      </c>
      <c r="R6306">
        <v>0.86088480000000001</v>
      </c>
      <c r="S6306">
        <v>2.1050869999999899</v>
      </c>
      <c r="T6306">
        <v>-0.31265320000000002</v>
      </c>
      <c r="U6306">
        <v>2.2467039999999998</v>
      </c>
      <c r="V6306">
        <v>0.11696479999999999</v>
      </c>
      <c r="W6306">
        <v>1.8105300000000001E-2</v>
      </c>
      <c r="X6306">
        <v>0.99297099999999905</v>
      </c>
      <c r="Y6306">
        <v>0.32584279999999999</v>
      </c>
      <c r="Z6306">
        <v>-9.9286299999999994E-2</v>
      </c>
      <c r="AA6306">
        <v>0.94019609999999998</v>
      </c>
      <c r="AB6306">
        <v>42</v>
      </c>
      <c r="AC6306">
        <v>7.2464999999999904</v>
      </c>
      <c r="AD6306">
        <v>-1.093099045118</v>
      </c>
      <c r="AE6306">
        <v>7.6043999999999903</v>
      </c>
      <c r="AF6306">
        <v>3.5064784322954901</v>
      </c>
      <c r="AG6306">
        <v>-1.093099045118</v>
      </c>
      <c r="AH6306">
        <v>9.7822187890933492</v>
      </c>
      <c r="AI6306">
        <v>96.004845519410907</v>
      </c>
      <c r="AJ6306">
        <v>70.279563289834101</v>
      </c>
      <c r="AK6306">
        <v>10.449022009560601</v>
      </c>
    </row>
    <row r="6307" spans="1:37" x14ac:dyDescent="0.2">
      <c r="A6307" t="str">
        <f>"20200111153814880"</f>
        <v>20200111153814880</v>
      </c>
      <c r="B6307" t="str">
        <f>"1578728294869255"</f>
        <v>1578728294869255</v>
      </c>
      <c r="C6307" t="s">
        <v>37</v>
      </c>
      <c r="D6307">
        <v>5.7563680000000002</v>
      </c>
      <c r="E6307">
        <v>0.58687330000000004</v>
      </c>
      <c r="F6307" t="s">
        <v>51</v>
      </c>
      <c r="G6307">
        <v>-176.56890000000001</v>
      </c>
      <c r="H6307" s="1">
        <v>-3.9886490000000001E-6</v>
      </c>
      <c r="I6307">
        <v>131.90450000000001</v>
      </c>
      <c r="J6307">
        <v>-183.8398</v>
      </c>
      <c r="K6307">
        <v>1.0928629999999999</v>
      </c>
      <c r="L6307">
        <v>124.47020000000001</v>
      </c>
      <c r="M6307">
        <v>0.41560639999999999</v>
      </c>
      <c r="N6307">
        <v>0</v>
      </c>
      <c r="O6307">
        <v>0.9093135</v>
      </c>
      <c r="P6307">
        <v>0.52005519999999905</v>
      </c>
      <c r="Q6307">
        <v>1.9539229999999898E-3</v>
      </c>
      <c r="R6307">
        <v>0.85413050000000001</v>
      </c>
      <c r="S6307">
        <v>2.1229399999999998</v>
      </c>
      <c r="T6307">
        <v>-0.31116650000000001</v>
      </c>
      <c r="U6307">
        <v>2.2304080000000002</v>
      </c>
      <c r="V6307">
        <v>0.11852849999999999</v>
      </c>
      <c r="W6307">
        <v>1.891149E-2</v>
      </c>
      <c r="X6307">
        <v>0.99277059999999995</v>
      </c>
      <c r="Y6307">
        <v>0.32232430000000001</v>
      </c>
      <c r="Z6307">
        <v>-9.842737E-2</v>
      </c>
      <c r="AA6307">
        <v>0.94149830000000001</v>
      </c>
      <c r="AB6307">
        <v>42</v>
      </c>
      <c r="AC6307">
        <v>7.2708999999999797</v>
      </c>
      <c r="AD6307">
        <v>-1.0928669886489999</v>
      </c>
      <c r="AE6307">
        <v>7.4343000000000004</v>
      </c>
      <c r="AF6307">
        <v>3.4840436041549001</v>
      </c>
      <c r="AG6307">
        <v>-1.0928669886489999</v>
      </c>
      <c r="AH6307">
        <v>9.6771135907719508</v>
      </c>
      <c r="AI6307">
        <v>96.065284845449995</v>
      </c>
      <c r="AJ6307">
        <v>70.199641838939996</v>
      </c>
      <c r="AK6307">
        <v>10.3430868477082</v>
      </c>
    </row>
    <row r="6308" spans="1:37" x14ac:dyDescent="0.2">
      <c r="A6308" t="str">
        <f>"20200111153814893"</f>
        <v>20200111153814893</v>
      </c>
      <c r="B6308" t="str">
        <f>"1578728294889752"</f>
        <v>1578728294889752</v>
      </c>
      <c r="C6308" t="s">
        <v>37</v>
      </c>
      <c r="D6308">
        <v>5.7813150000000002</v>
      </c>
      <c r="E6308">
        <v>0.58696230000000005</v>
      </c>
      <c r="F6308" t="s">
        <v>51</v>
      </c>
      <c r="G6308">
        <v>-176.2022</v>
      </c>
      <c r="H6308" s="1">
        <v>-3.8807010000000002E-6</v>
      </c>
      <c r="I6308">
        <v>132.2792</v>
      </c>
      <c r="J6308">
        <v>-183.7319</v>
      </c>
      <c r="K6308">
        <v>1.092719</v>
      </c>
      <c r="L6308">
        <v>124.6955</v>
      </c>
      <c r="M6308">
        <v>0.42172460000000001</v>
      </c>
      <c r="N6308">
        <v>0</v>
      </c>
      <c r="O6308">
        <v>0.9064934</v>
      </c>
      <c r="P6308">
        <v>0.52756899999999995</v>
      </c>
      <c r="Q6308">
        <v>3.0020279999999999E-3</v>
      </c>
      <c r="R6308">
        <v>0.84950689999999995</v>
      </c>
      <c r="S6308">
        <v>2.15350299999999</v>
      </c>
      <c r="T6308">
        <v>-0.30814550000000002</v>
      </c>
      <c r="U6308">
        <v>2.201813</v>
      </c>
      <c r="V6308">
        <v>0.12063219999999999</v>
      </c>
      <c r="W6308">
        <v>1.980206E-2</v>
      </c>
      <c r="X6308">
        <v>0.99249979999999904</v>
      </c>
      <c r="Y6308">
        <v>0.32880799999999999</v>
      </c>
      <c r="Z6308">
        <v>-9.7429989999999994E-2</v>
      </c>
      <c r="AA6308">
        <v>0.93935759999999902</v>
      </c>
      <c r="AB6308">
        <v>42</v>
      </c>
      <c r="AC6308">
        <v>7.5296999999999903</v>
      </c>
      <c r="AD6308">
        <v>-1.0927228807010001</v>
      </c>
      <c r="AE6308">
        <v>7.5837000000000003</v>
      </c>
      <c r="AF6308">
        <v>3.5906095195979901</v>
      </c>
      <c r="AG6308">
        <v>-1.0927228807010001</v>
      </c>
      <c r="AH6308">
        <v>9.9481284663195506</v>
      </c>
      <c r="AI6308">
        <v>95.898769715837801</v>
      </c>
      <c r="AJ6308">
        <v>70.153805426623506</v>
      </c>
      <c r="AK6308">
        <v>10.6325810600546</v>
      </c>
    </row>
    <row r="6309" spans="1:37" x14ac:dyDescent="0.2">
      <c r="A6309" t="str">
        <f>"20200111153814916"</f>
        <v>20200111153814916</v>
      </c>
      <c r="B6309" t="str">
        <f>"1578728294909274"</f>
        <v>1578728294909274</v>
      </c>
      <c r="C6309" t="s">
        <v>37</v>
      </c>
      <c r="D6309">
        <v>5.8804949999999998</v>
      </c>
      <c r="E6309">
        <v>0.58651880000000001</v>
      </c>
      <c r="F6309" t="s">
        <v>51</v>
      </c>
      <c r="G6309">
        <v>-175.95230000000001</v>
      </c>
      <c r="H6309" s="1">
        <v>-3.7961809999999999E-6</v>
      </c>
      <c r="I6309">
        <v>132.50579999999999</v>
      </c>
      <c r="J6309">
        <v>-183.54810000000001</v>
      </c>
      <c r="K6309">
        <v>1.0924700000000001</v>
      </c>
      <c r="L6309">
        <v>125.0718</v>
      </c>
      <c r="M6309">
        <v>0.43213190000000001</v>
      </c>
      <c r="N6309">
        <v>0</v>
      </c>
      <c r="O6309">
        <v>0.9015803</v>
      </c>
      <c r="P6309">
        <v>0.53970929999999995</v>
      </c>
      <c r="Q6309">
        <v>4.1482100000000003E-3</v>
      </c>
      <c r="R6309">
        <v>0.84184130000000001</v>
      </c>
      <c r="S6309">
        <v>2.1739199999999999</v>
      </c>
      <c r="T6309">
        <v>-0.30534620000000001</v>
      </c>
      <c r="U6309">
        <v>2.1824650000000001</v>
      </c>
      <c r="V6309">
        <v>0.1234994</v>
      </c>
      <c r="W6309">
        <v>2.0708810000000001E-2</v>
      </c>
      <c r="X6309">
        <v>0.99212860000000003</v>
      </c>
      <c r="Y6309">
        <v>0.32660250000000002</v>
      </c>
      <c r="Z6309">
        <v>-9.6174350000000006E-2</v>
      </c>
      <c r="AA6309">
        <v>0.94025599999999998</v>
      </c>
      <c r="AB6309">
        <v>42</v>
      </c>
      <c r="AC6309">
        <v>7.5957999999999899</v>
      </c>
      <c r="AD6309">
        <v>-1.092473796181</v>
      </c>
      <c r="AE6309">
        <v>7.4339999999999904</v>
      </c>
      <c r="AF6309">
        <v>3.5984894213160801</v>
      </c>
      <c r="AG6309">
        <v>-1.092473796181</v>
      </c>
      <c r="AH6309">
        <v>9.8823941305229202</v>
      </c>
      <c r="AI6309">
        <v>95.930346223452304</v>
      </c>
      <c r="AJ6309">
        <v>69.991849506449199</v>
      </c>
      <c r="AK6309">
        <v>10.573757083537499</v>
      </c>
    </row>
    <row r="6310" spans="1:37" x14ac:dyDescent="0.2">
      <c r="A6310" t="str">
        <f>"20200111153814928"</f>
        <v>20200111153814928</v>
      </c>
      <c r="B6310" t="str">
        <f>"1578728294920008"</f>
        <v>1578728294920008</v>
      </c>
      <c r="C6310" t="s">
        <v>37</v>
      </c>
      <c r="D6310">
        <v>5.7608040000000003</v>
      </c>
      <c r="E6310">
        <v>0.58655469999999998</v>
      </c>
      <c r="F6310" t="s">
        <v>51</v>
      </c>
      <c r="G6310">
        <v>-175.71170000000001</v>
      </c>
      <c r="H6310" s="1">
        <v>-3.718882E-6</v>
      </c>
      <c r="I6310">
        <v>132.7346</v>
      </c>
      <c r="J6310">
        <v>-183.44569999999999</v>
      </c>
      <c r="K6310">
        <v>1.0923290000000001</v>
      </c>
      <c r="L6310">
        <v>125.27589999999999</v>
      </c>
      <c r="M6310">
        <v>0.4379265</v>
      </c>
      <c r="N6310">
        <v>0</v>
      </c>
      <c r="O6310">
        <v>0.89878080000000005</v>
      </c>
      <c r="P6310">
        <v>0.54634050000000001</v>
      </c>
      <c r="Q6310">
        <v>4.3004920000000004E-3</v>
      </c>
      <c r="R6310">
        <v>0.83755219999999897</v>
      </c>
      <c r="S6310">
        <v>2.202118</v>
      </c>
      <c r="T6310">
        <v>-0.3069963</v>
      </c>
      <c r="U6310">
        <v>2.1533359999999999</v>
      </c>
      <c r="V6310">
        <v>0.12495819999999901</v>
      </c>
      <c r="W6310">
        <v>2.073647E-2</v>
      </c>
      <c r="X6310">
        <v>0.99194530000000003</v>
      </c>
      <c r="Y6310">
        <v>0.33284899999999901</v>
      </c>
      <c r="Z6310">
        <v>-9.6672980000000006E-2</v>
      </c>
      <c r="AA6310">
        <v>0.93801159999999995</v>
      </c>
      <c r="AB6310">
        <v>42</v>
      </c>
      <c r="AC6310">
        <v>7.7339999999999796</v>
      </c>
      <c r="AD6310">
        <v>-1.092332718882</v>
      </c>
      <c r="AE6310">
        <v>7.4587000000000003</v>
      </c>
      <c r="AF6310">
        <v>3.6478681237694599</v>
      </c>
      <c r="AG6310">
        <v>-1.092332718882</v>
      </c>
      <c r="AH6310">
        <v>9.9895010536048297</v>
      </c>
      <c r="AI6310">
        <v>95.864507406703098</v>
      </c>
      <c r="AJ6310">
        <v>69.939312892958498</v>
      </c>
      <c r="AK6310">
        <v>10.6906624639039</v>
      </c>
    </row>
    <row r="6311" spans="1:37" x14ac:dyDescent="0.2">
      <c r="A6311" t="str">
        <f>"20200111153814942"</f>
        <v>20200111153814942</v>
      </c>
      <c r="B6311" t="str">
        <f>"1578728294939528"</f>
        <v>1578728294939528</v>
      </c>
      <c r="C6311" t="s">
        <v>37</v>
      </c>
      <c r="D6311">
        <v>5.7947319999999998</v>
      </c>
      <c r="E6311">
        <v>0.58677729999999995</v>
      </c>
      <c r="F6311" t="s">
        <v>51</v>
      </c>
      <c r="G6311">
        <v>-175.55889999999999</v>
      </c>
      <c r="H6311" s="1">
        <v>-3.664085E-6</v>
      </c>
      <c r="I6311">
        <v>132.8648</v>
      </c>
      <c r="J6311">
        <v>-183.32579999999999</v>
      </c>
      <c r="K6311">
        <v>1.0921620000000001</v>
      </c>
      <c r="L6311">
        <v>125.51179999999999</v>
      </c>
      <c r="M6311">
        <v>0.44470140000000002</v>
      </c>
      <c r="N6311">
        <v>0</v>
      </c>
      <c r="O6311">
        <v>0.89544889999999999</v>
      </c>
      <c r="P6311">
        <v>0.55356780000000005</v>
      </c>
      <c r="Q6311">
        <v>4.1754640000000003E-3</v>
      </c>
      <c r="R6311">
        <v>0.83279369999999997</v>
      </c>
      <c r="S6311">
        <v>2.21949799999999</v>
      </c>
      <c r="T6311">
        <v>-0.30740440000000002</v>
      </c>
      <c r="U6311">
        <v>2.1356660000000001</v>
      </c>
      <c r="V6311">
        <v>0.1260539</v>
      </c>
      <c r="W6311">
        <v>2.048761E-2</v>
      </c>
      <c r="X6311">
        <v>0.99181180000000002</v>
      </c>
      <c r="Y6311">
        <v>0.33328009999999902</v>
      </c>
      <c r="Z6311">
        <v>-9.6591339999999998E-2</v>
      </c>
      <c r="AA6311">
        <v>0.93786700000000001</v>
      </c>
      <c r="AB6311">
        <v>42</v>
      </c>
      <c r="AC6311">
        <v>7.7668999999999899</v>
      </c>
      <c r="AD6311">
        <v>-1.0921656640849999</v>
      </c>
      <c r="AE6311">
        <v>7.3529999999999998</v>
      </c>
      <c r="AF6311">
        <v>3.6476952177673598</v>
      </c>
      <c r="AG6311">
        <v>-1.0921656640849999</v>
      </c>
      <c r="AH6311">
        <v>9.9366400405599808</v>
      </c>
      <c r="AI6311">
        <v>95.890954037631403</v>
      </c>
      <c r="AJ6311">
        <v>69.842044278418697</v>
      </c>
      <c r="AK6311">
        <v>10.641208650110601</v>
      </c>
    </row>
    <row r="6312" spans="1:37" x14ac:dyDescent="0.2">
      <c r="A6312" t="str">
        <f>"20200111153814956"</f>
        <v>20200111153814956</v>
      </c>
      <c r="B6312" t="str">
        <f>"1578728294949288"</f>
        <v>1578728294949288</v>
      </c>
      <c r="C6312" t="s">
        <v>37</v>
      </c>
      <c r="D6312">
        <v>6.1459409999999997</v>
      </c>
      <c r="E6312">
        <v>0.58677729999999995</v>
      </c>
      <c r="F6312" t="s">
        <v>51</v>
      </c>
      <c r="G6312">
        <v>-175.4128</v>
      </c>
      <c r="H6312" s="1">
        <v>-3.6099380000000001E-6</v>
      </c>
      <c r="I6312">
        <v>132.98480000000001</v>
      </c>
      <c r="J6312">
        <v>-183.20079999999999</v>
      </c>
      <c r="K6312">
        <v>1.091985</v>
      </c>
      <c r="L6312">
        <v>125.7525</v>
      </c>
      <c r="M6312">
        <v>0.45176129999999998</v>
      </c>
      <c r="N6312">
        <v>0</v>
      </c>
      <c r="O6312">
        <v>0.89190879999999995</v>
      </c>
      <c r="P6312">
        <v>0.56139550000000005</v>
      </c>
      <c r="Q6312">
        <v>4.1189520000000004E-3</v>
      </c>
      <c r="R6312">
        <v>0.82753739999999998</v>
      </c>
      <c r="S6312">
        <v>2.2397</v>
      </c>
      <c r="T6312">
        <v>-0.30912800000000001</v>
      </c>
      <c r="U6312">
        <v>2.1151430000000002</v>
      </c>
      <c r="V6312">
        <v>0.12757579999999999</v>
      </c>
      <c r="W6312">
        <v>2.029357E-2</v>
      </c>
      <c r="X6312">
        <v>0.99162119999999998</v>
      </c>
      <c r="Y6312">
        <v>0.33457170000000003</v>
      </c>
      <c r="Z6312">
        <v>-9.6914910000000007E-2</v>
      </c>
      <c r="AA6312">
        <v>0.93737359999999903</v>
      </c>
      <c r="AB6312">
        <v>42</v>
      </c>
      <c r="AC6312">
        <v>7.7879999999999798</v>
      </c>
      <c r="AD6312">
        <v>-1.0919886099380001</v>
      </c>
      <c r="AE6312">
        <v>7.2323000000000004</v>
      </c>
      <c r="AF6312">
        <v>3.6412294695279201</v>
      </c>
      <c r="AG6312">
        <v>-1.0919886099380001</v>
      </c>
      <c r="AH6312">
        <v>9.8667581254946501</v>
      </c>
      <c r="AI6312">
        <v>95.927714503388003</v>
      </c>
      <c r="AJ6312">
        <v>69.743916666601095</v>
      </c>
      <c r="AK6312">
        <v>10.573736665957099</v>
      </c>
    </row>
    <row r="6313" spans="1:37" x14ac:dyDescent="0.2">
      <c r="A6313" t="str">
        <f>"20200111153814971"</f>
        <v>20200111153814971</v>
      </c>
      <c r="B6313" t="str">
        <f>"1578728294960025"</f>
        <v>1578728294960025</v>
      </c>
      <c r="C6313" t="s">
        <v>37</v>
      </c>
      <c r="D6313">
        <v>6.065353</v>
      </c>
      <c r="E6313">
        <v>0.58706329999999995</v>
      </c>
      <c r="F6313" t="s">
        <v>51</v>
      </c>
      <c r="G6313">
        <v>-175.1936</v>
      </c>
      <c r="H6313" s="1">
        <v>-3.53082299999999E-6</v>
      </c>
      <c r="I6313">
        <v>133.1703</v>
      </c>
      <c r="J6313">
        <v>-183.0719</v>
      </c>
      <c r="K6313">
        <v>1.0918049999999999</v>
      </c>
      <c r="L6313">
        <v>125.9954</v>
      </c>
      <c r="M6313">
        <v>0.45903529999999998</v>
      </c>
      <c r="N6313">
        <v>0</v>
      </c>
      <c r="O6313">
        <v>0.88818759999999997</v>
      </c>
      <c r="P6313">
        <v>0.57125939999999997</v>
      </c>
      <c r="Q6313">
        <v>3.9719999999999998E-3</v>
      </c>
      <c r="R6313">
        <v>0.82076000000000005</v>
      </c>
      <c r="S6313">
        <v>2.2599640000000001</v>
      </c>
      <c r="T6313">
        <v>-0.30820389999999998</v>
      </c>
      <c r="U6313">
        <v>2.0935969999999999</v>
      </c>
      <c r="V6313">
        <v>0.13134079999999901</v>
      </c>
      <c r="W6313">
        <v>1.9937449999999999E-2</v>
      </c>
      <c r="X6313">
        <v>0.99113680000000004</v>
      </c>
      <c r="Y6313">
        <v>0.3359067</v>
      </c>
      <c r="Z6313">
        <v>-9.6414620000000006E-2</v>
      </c>
      <c r="AA6313">
        <v>0.93694759999999999</v>
      </c>
      <c r="AB6313">
        <v>42</v>
      </c>
      <c r="AC6313">
        <v>7.8782999999999896</v>
      </c>
      <c r="AD6313">
        <v>-1.0918085308229999</v>
      </c>
      <c r="AE6313">
        <v>7.1748999999999903</v>
      </c>
      <c r="AF6313">
        <v>3.66614615431391</v>
      </c>
      <c r="AG6313">
        <v>-1.0918085308229999</v>
      </c>
      <c r="AH6313">
        <v>9.8873204720103107</v>
      </c>
      <c r="AI6313">
        <v>95.911157686843097</v>
      </c>
      <c r="AJ6313">
        <v>69.655587801124398</v>
      </c>
      <c r="AK6313">
        <v>10.6014989321794</v>
      </c>
    </row>
    <row r="6314" spans="1:37" x14ac:dyDescent="0.2">
      <c r="A6314" t="str">
        <f>"20200111153814985"</f>
        <v>20200111153814985</v>
      </c>
      <c r="B6314" t="str">
        <f>"1578728294979544"</f>
        <v>1578728294979544</v>
      </c>
      <c r="C6314" t="s">
        <v>37</v>
      </c>
      <c r="D6314">
        <v>6.108994</v>
      </c>
      <c r="E6314">
        <v>0.58931269999999902</v>
      </c>
      <c r="F6314" t="s">
        <v>51</v>
      </c>
      <c r="G6314">
        <v>-175.27799999999999</v>
      </c>
      <c r="H6314" s="1">
        <v>-3.5356920000000001E-6</v>
      </c>
      <c r="I6314">
        <v>133.03129999999999</v>
      </c>
      <c r="J6314">
        <v>-182.95310000000001</v>
      </c>
      <c r="K6314">
        <v>1.0916429999999999</v>
      </c>
      <c r="L6314">
        <v>126.21550000000001</v>
      </c>
      <c r="M6314">
        <v>0.465721099999999</v>
      </c>
      <c r="N6314">
        <v>0</v>
      </c>
      <c r="O6314">
        <v>0.88470079999999995</v>
      </c>
      <c r="P6314">
        <v>0.57928950000000001</v>
      </c>
      <c r="Q6314">
        <v>4.228852E-3</v>
      </c>
      <c r="R6314">
        <v>0.81511089999999997</v>
      </c>
      <c r="S6314">
        <v>2.287201</v>
      </c>
      <c r="T6314">
        <v>-0.32040489999999999</v>
      </c>
      <c r="U6314">
        <v>2.06478899999999</v>
      </c>
      <c r="V6314">
        <v>0.1336106</v>
      </c>
      <c r="W6314">
        <v>2.0043760000000001E-2</v>
      </c>
      <c r="X6314">
        <v>0.99083120000000002</v>
      </c>
      <c r="Y6314">
        <v>0.34055609999999997</v>
      </c>
      <c r="Z6314">
        <v>-0.1000603</v>
      </c>
      <c r="AA6314">
        <v>0.93488479999999996</v>
      </c>
      <c r="AB6314">
        <v>41</v>
      </c>
      <c r="AC6314">
        <v>7.6751000000000102</v>
      </c>
      <c r="AD6314">
        <v>-1.091646535692</v>
      </c>
      <c r="AE6314">
        <v>6.8157999999999799</v>
      </c>
      <c r="AF6314">
        <v>3.5761954564806802</v>
      </c>
      <c r="AG6314">
        <v>-1.091646535692</v>
      </c>
      <c r="AH6314">
        <v>9.4989244513946396</v>
      </c>
      <c r="AI6314">
        <v>96.1387548882457</v>
      </c>
      <c r="AJ6314">
        <v>69.3694344191982</v>
      </c>
      <c r="AK6314">
        <v>10.2083510830664</v>
      </c>
    </row>
    <row r="6315" spans="1:37" x14ac:dyDescent="0.2">
      <c r="A6315" t="str">
        <f>"20200111153814997"</f>
        <v>20200111153814997</v>
      </c>
      <c r="B6315" t="str">
        <f>"1578728294989304"</f>
        <v>1578728294989304</v>
      </c>
      <c r="C6315" t="s">
        <v>37</v>
      </c>
      <c r="D6315">
        <v>6.050694</v>
      </c>
      <c r="E6315">
        <v>0.59030260000000001</v>
      </c>
      <c r="F6315" t="s">
        <v>51</v>
      </c>
      <c r="G6315">
        <v>-175.125</v>
      </c>
      <c r="H6315" s="1">
        <v>-3.4437379999999999E-6</v>
      </c>
      <c r="I6315">
        <v>133.06399999999999</v>
      </c>
      <c r="J6315">
        <v>-182.83699999999999</v>
      </c>
      <c r="K6315">
        <v>1.0914820000000001</v>
      </c>
      <c r="L6315">
        <v>126.4273</v>
      </c>
      <c r="M6315">
        <v>0.47224549999999998</v>
      </c>
      <c r="N6315">
        <v>0</v>
      </c>
      <c r="O6315">
        <v>0.88123589999999996</v>
      </c>
      <c r="P6315">
        <v>0.58737410000000001</v>
      </c>
      <c r="Q6315">
        <v>4.5610939999999999E-3</v>
      </c>
      <c r="R6315">
        <v>0.80930269999999904</v>
      </c>
      <c r="S6315">
        <v>2.322311</v>
      </c>
      <c r="T6315">
        <v>-0.32385320000000001</v>
      </c>
      <c r="U6315">
        <v>2.0317229999999999</v>
      </c>
      <c r="V6315">
        <v>0.13616889999999901</v>
      </c>
      <c r="W6315">
        <v>2.02192E-2</v>
      </c>
      <c r="X6315">
        <v>0.99047929999999995</v>
      </c>
      <c r="Y6315">
        <v>0.3480876</v>
      </c>
      <c r="Z6315">
        <v>-0.1009531</v>
      </c>
      <c r="AA6315">
        <v>0.93201049999999996</v>
      </c>
      <c r="AB6315">
        <v>41</v>
      </c>
      <c r="AC6315">
        <v>7.7120000000000104</v>
      </c>
      <c r="AD6315">
        <v>-1.0914854437379999</v>
      </c>
      <c r="AE6315">
        <v>6.6366999999999896</v>
      </c>
      <c r="AF6315">
        <v>3.6210143861449899</v>
      </c>
      <c r="AG6315">
        <v>-1.0914854437379999</v>
      </c>
      <c r="AH6315">
        <v>9.3843920024094807</v>
      </c>
      <c r="AI6315">
        <v>96.192990575150802</v>
      </c>
      <c r="AJ6315">
        <v>68.900643636576504</v>
      </c>
      <c r="AK6315">
        <v>10.1178010908224</v>
      </c>
    </row>
    <row r="6316" spans="1:37" x14ac:dyDescent="0.2">
      <c r="A6316" t="str">
        <f>"20200111153815009"</f>
        <v>20200111153815009</v>
      </c>
      <c r="B6316" t="str">
        <f>"1578728295000041"</f>
        <v>1578728295000041</v>
      </c>
      <c r="C6316" t="s">
        <v>37</v>
      </c>
      <c r="D6316">
        <v>6.0299069999999997</v>
      </c>
      <c r="E6316">
        <v>0.59124270000000001</v>
      </c>
      <c r="F6316" t="s">
        <v>51</v>
      </c>
      <c r="G6316">
        <v>-174.95599999999999</v>
      </c>
      <c r="H6316" s="1">
        <v>-3.361311E-6</v>
      </c>
      <c r="I6316">
        <v>133.14949999999999</v>
      </c>
      <c r="J6316">
        <v>-182.7294</v>
      </c>
      <c r="K6316">
        <v>1.0913379999999999</v>
      </c>
      <c r="L6316">
        <v>126.619</v>
      </c>
      <c r="M6316">
        <v>0.47828579999999998</v>
      </c>
      <c r="N6316">
        <v>0</v>
      </c>
      <c r="O6316">
        <v>0.87797250000000004</v>
      </c>
      <c r="P6316">
        <v>0.59464439999999996</v>
      </c>
      <c r="Q6316">
        <v>4.8265909999999999E-3</v>
      </c>
      <c r="R6316">
        <v>0.80397439999999998</v>
      </c>
      <c r="S6316">
        <v>2.3491360000000001</v>
      </c>
      <c r="T6316">
        <v>-0.32534679999999999</v>
      </c>
      <c r="U6316">
        <v>2.0037539999999998</v>
      </c>
      <c r="V6316">
        <v>0.1383094</v>
      </c>
      <c r="W6316">
        <v>2.035174E-2</v>
      </c>
      <c r="X6316">
        <v>0.99017999999999995</v>
      </c>
      <c r="Y6316">
        <v>0.35330299999999998</v>
      </c>
      <c r="Z6316">
        <v>-0.1012673</v>
      </c>
      <c r="AA6316">
        <v>0.9300117</v>
      </c>
      <c r="AB6316">
        <v>41</v>
      </c>
      <c r="AC6316">
        <v>7.7733999999999996</v>
      </c>
      <c r="AD6316">
        <v>-1.0913413613109999</v>
      </c>
      <c r="AE6316">
        <v>6.5304999999999804</v>
      </c>
      <c r="AF6316">
        <v>3.65984933890658</v>
      </c>
      <c r="AG6316">
        <v>-1.0913413613109999</v>
      </c>
      <c r="AH6316">
        <v>9.3454421561330605</v>
      </c>
      <c r="AI6316">
        <v>96.205789291668097</v>
      </c>
      <c r="AJ6316">
        <v>68.613763001490497</v>
      </c>
      <c r="AK6316">
        <v>10.0956828517952</v>
      </c>
    </row>
    <row r="6317" spans="1:37" x14ac:dyDescent="0.2">
      <c r="A6317" t="str">
        <f>"20200111153815028"</f>
        <v>20200111153815028</v>
      </c>
      <c r="B6317" t="str">
        <f>"1578728295019560"</f>
        <v>1578728295019560</v>
      </c>
      <c r="C6317" t="s">
        <v>37</v>
      </c>
      <c r="D6317">
        <v>6.0797800000000004</v>
      </c>
      <c r="E6317">
        <v>0.59301809999999999</v>
      </c>
      <c r="F6317" t="s">
        <v>51</v>
      </c>
      <c r="G6317">
        <v>-174.80439999999999</v>
      </c>
      <c r="H6317" s="1">
        <v>-3.3219170000000002E-6</v>
      </c>
      <c r="I6317">
        <v>133.22290000000001</v>
      </c>
      <c r="J6317">
        <v>-182.56209999999999</v>
      </c>
      <c r="K6317">
        <v>1.0911120000000001</v>
      </c>
      <c r="L6317">
        <v>126.91200000000001</v>
      </c>
      <c r="M6317">
        <v>0.48763840000000003</v>
      </c>
      <c r="N6317">
        <v>0</v>
      </c>
      <c r="O6317">
        <v>0.8728129</v>
      </c>
      <c r="P6317">
        <v>0.60636219999999996</v>
      </c>
      <c r="Q6317">
        <v>5.5501250000000004E-3</v>
      </c>
      <c r="R6317">
        <v>0.79516919999999902</v>
      </c>
      <c r="S6317">
        <v>2.3735200000000001</v>
      </c>
      <c r="T6317">
        <v>-0.32685559999999902</v>
      </c>
      <c r="U6317">
        <v>1.977875</v>
      </c>
      <c r="V6317">
        <v>0.1422755</v>
      </c>
      <c r="W6317">
        <v>2.0847540000000001E-2</v>
      </c>
      <c r="X6317">
        <v>0.98960749999999997</v>
      </c>
      <c r="Y6317">
        <v>0.35398849999999998</v>
      </c>
      <c r="Z6317">
        <v>-0.1013276</v>
      </c>
      <c r="AA6317">
        <v>0.92974449999999997</v>
      </c>
      <c r="AB6317">
        <v>41</v>
      </c>
      <c r="AC6317">
        <v>7.7576999999999998</v>
      </c>
      <c r="AD6317">
        <v>-1.091115321917</v>
      </c>
      <c r="AE6317">
        <v>6.3109000000000002</v>
      </c>
      <c r="AF6317">
        <v>3.6508735111577999</v>
      </c>
      <c r="AG6317">
        <v>-1.091115321917</v>
      </c>
      <c r="AH6317">
        <v>9.1837507331219292</v>
      </c>
      <c r="AI6317">
        <v>96.300238864669595</v>
      </c>
      <c r="AJ6317">
        <v>68.3203872976176</v>
      </c>
      <c r="AK6317">
        <v>9.9428711933884202</v>
      </c>
    </row>
    <row r="6318" spans="1:37" x14ac:dyDescent="0.2">
      <c r="A6318" t="str">
        <f>"20200111153815041"</f>
        <v>20200111153815041</v>
      </c>
      <c r="B6318" t="str">
        <f>"1578728295029322"</f>
        <v>1578728295029322</v>
      </c>
      <c r="C6318" t="s">
        <v>37</v>
      </c>
      <c r="D6318">
        <v>6.0381029999999898</v>
      </c>
      <c r="E6318">
        <v>0.59367510000000001</v>
      </c>
      <c r="F6318" t="s">
        <v>51</v>
      </c>
      <c r="G6318">
        <v>-174.42859999999999</v>
      </c>
      <c r="H6318" s="1">
        <v>-3.23303499999999E-6</v>
      </c>
      <c r="I6318">
        <v>133.42779999999999</v>
      </c>
      <c r="J6318">
        <v>-182.4393</v>
      </c>
      <c r="K6318">
        <v>1.090951</v>
      </c>
      <c r="L6318">
        <v>127.1232</v>
      </c>
      <c r="M6318">
        <v>0.49448189999999997</v>
      </c>
      <c r="N6318">
        <v>0</v>
      </c>
      <c r="O6318">
        <v>0.86895419999999901</v>
      </c>
      <c r="P6318">
        <v>0.61417100000000002</v>
      </c>
      <c r="Q6318">
        <v>6.1659069999999896E-3</v>
      </c>
      <c r="R6318">
        <v>0.78914890000000004</v>
      </c>
      <c r="S6318">
        <v>2.414215</v>
      </c>
      <c r="T6318">
        <v>-0.3238683</v>
      </c>
      <c r="U6318">
        <v>1.93406699999999</v>
      </c>
      <c r="V6318">
        <v>0.14428369999999999</v>
      </c>
      <c r="W6318">
        <v>2.1329520000000001E-2</v>
      </c>
      <c r="X6318">
        <v>0.98930640000000003</v>
      </c>
      <c r="Y6318">
        <v>0.36465359999999902</v>
      </c>
      <c r="Z6318">
        <v>-0.1003245</v>
      </c>
      <c r="AA6318">
        <v>0.92572279999999996</v>
      </c>
      <c r="AB6318">
        <v>41</v>
      </c>
      <c r="AC6318">
        <v>8.0107000000000106</v>
      </c>
      <c r="AD6318">
        <v>-1.0909542330349999</v>
      </c>
      <c r="AE6318">
        <v>6.30459999999999</v>
      </c>
      <c r="AF6318">
        <v>3.8006728869847501</v>
      </c>
      <c r="AG6318">
        <v>-1.0909542330349999</v>
      </c>
      <c r="AH6318">
        <v>9.3345646145429999</v>
      </c>
      <c r="AI6318">
        <v>96.177875044028397</v>
      </c>
      <c r="AJ6318">
        <v>67.845751861586507</v>
      </c>
      <c r="AK6318">
        <v>10.1375239617727</v>
      </c>
    </row>
    <row r="6319" spans="1:37" x14ac:dyDescent="0.2">
      <c r="A6319" t="str">
        <f>"20200111153815056"</f>
        <v>20200111153815056</v>
      </c>
      <c r="B6319" t="str">
        <f>"1578728295049817"</f>
        <v>1578728295049817</v>
      </c>
      <c r="C6319" t="s">
        <v>37</v>
      </c>
      <c r="D6319">
        <v>6.0269899999999996</v>
      </c>
      <c r="E6319">
        <v>0.59496099999999996</v>
      </c>
      <c r="F6319" t="s">
        <v>51</v>
      </c>
      <c r="G6319">
        <v>-174.2655</v>
      </c>
      <c r="H6319" s="1">
        <v>-3.1955739999999899E-6</v>
      </c>
      <c r="I6319">
        <v>133.5197</v>
      </c>
      <c r="J6319">
        <v>-182.2878</v>
      </c>
      <c r="K6319">
        <v>1.090759</v>
      </c>
      <c r="L6319">
        <v>127.3775</v>
      </c>
      <c r="M6319">
        <v>0.50289309999999998</v>
      </c>
      <c r="N6319">
        <v>0</v>
      </c>
      <c r="O6319">
        <v>0.86411369999999899</v>
      </c>
      <c r="P6319">
        <v>0.62337569999999998</v>
      </c>
      <c r="Q6319">
        <v>6.5623900000000004E-3</v>
      </c>
      <c r="R6319">
        <v>0.78189489999999995</v>
      </c>
      <c r="S6319">
        <v>2.4372099999999999</v>
      </c>
      <c r="T6319">
        <v>-0.32529469999999999</v>
      </c>
      <c r="U6319">
        <v>1.9072720000000001</v>
      </c>
      <c r="V6319">
        <v>0.14629710000000001</v>
      </c>
      <c r="W6319">
        <v>2.158361E-2</v>
      </c>
      <c r="X6319">
        <v>0.98900519999999903</v>
      </c>
      <c r="Y6319">
        <v>0.36615749999999903</v>
      </c>
      <c r="Z6319">
        <v>-0.1004241</v>
      </c>
      <c r="AA6319">
        <v>0.925118199999999</v>
      </c>
      <c r="AB6319">
        <v>41</v>
      </c>
      <c r="AC6319">
        <v>8.0222999999999995</v>
      </c>
      <c r="AD6319">
        <v>-1.0907621955739999</v>
      </c>
      <c r="AE6319">
        <v>6.1421999999999999</v>
      </c>
      <c r="AF6319">
        <v>3.7998040969247402</v>
      </c>
      <c r="AG6319">
        <v>-1.0907621955739999</v>
      </c>
      <c r="AH6319">
        <v>9.2361704510201807</v>
      </c>
      <c r="AI6319">
        <v>96.2328758190217</v>
      </c>
      <c r="AJ6319">
        <v>67.637502855743705</v>
      </c>
      <c r="AK6319">
        <v>10.0466470995351</v>
      </c>
    </row>
    <row r="6320" spans="1:37" x14ac:dyDescent="0.2">
      <c r="A6320" t="str">
        <f>"20200111153815072"</f>
        <v>20200111153815072</v>
      </c>
      <c r="B6320" t="str">
        <f>"1578728295069337"</f>
        <v>1578728295069337</v>
      </c>
      <c r="C6320" t="s">
        <v>37</v>
      </c>
      <c r="D6320">
        <v>6.038373</v>
      </c>
      <c r="E6320">
        <v>0.59619509999999998</v>
      </c>
      <c r="F6320" t="s">
        <v>51</v>
      </c>
      <c r="G6320">
        <v>-174.0478</v>
      </c>
      <c r="H6320" s="1">
        <v>-3.1406250000000001E-6</v>
      </c>
      <c r="I6320">
        <v>133.6294</v>
      </c>
      <c r="J6320">
        <v>-182.14599999999999</v>
      </c>
      <c r="K6320">
        <v>1.090589</v>
      </c>
      <c r="L6320">
        <v>127.6101</v>
      </c>
      <c r="M6320">
        <v>0.51072959999999901</v>
      </c>
      <c r="N6320">
        <v>0</v>
      </c>
      <c r="O6320">
        <v>0.85950519999999997</v>
      </c>
      <c r="P6320">
        <v>0.63277159999999999</v>
      </c>
      <c r="Q6320">
        <v>7.444188E-3</v>
      </c>
      <c r="R6320">
        <v>0.77430269999999901</v>
      </c>
      <c r="S6320">
        <v>2.4676360000000002</v>
      </c>
      <c r="T6320">
        <v>-0.3266482</v>
      </c>
      <c r="U6320">
        <v>1.8722380000000001</v>
      </c>
      <c r="V6320">
        <v>0.14928810000000001</v>
      </c>
      <c r="W6320">
        <v>2.2297270000000001E-2</v>
      </c>
      <c r="X6320">
        <v>0.98854229999999998</v>
      </c>
      <c r="Y6320">
        <v>0.37151409999999901</v>
      </c>
      <c r="Z6320">
        <v>-0.10058639999999899</v>
      </c>
      <c r="AA6320">
        <v>0.92296239999999996</v>
      </c>
      <c r="AB6320">
        <v>41</v>
      </c>
      <c r="AC6320">
        <v>8.0981999999999896</v>
      </c>
      <c r="AD6320">
        <v>-1.0905921406250001</v>
      </c>
      <c r="AE6320">
        <v>6.0193000000000003</v>
      </c>
      <c r="AF6320">
        <v>3.8421155210267699</v>
      </c>
      <c r="AG6320">
        <v>-1.0905921406250001</v>
      </c>
      <c r="AH6320">
        <v>9.2039787909753201</v>
      </c>
      <c r="AI6320">
        <v>96.240305484718604</v>
      </c>
      <c r="AJ6320">
        <v>67.342356165131505</v>
      </c>
      <c r="AK6320">
        <v>10.033168416748</v>
      </c>
    </row>
    <row r="6321" spans="1:37" x14ac:dyDescent="0.2">
      <c r="A6321" t="str">
        <f>"20200111153815086"</f>
        <v>20200111153815086</v>
      </c>
      <c r="B6321" t="str">
        <f>"1578728295080073"</f>
        <v>1578728295080073</v>
      </c>
      <c r="C6321" t="s">
        <v>37</v>
      </c>
      <c r="D6321">
        <v>6.0562680000000002</v>
      </c>
      <c r="E6321">
        <v>0.59671680000000005</v>
      </c>
      <c r="F6321" t="s">
        <v>51</v>
      </c>
      <c r="G6321">
        <v>-173.77199999999999</v>
      </c>
      <c r="H6321" s="1">
        <v>-3.070192E-6</v>
      </c>
      <c r="I6321">
        <v>133.76609999999999</v>
      </c>
      <c r="J6321">
        <v>-182.00710000000001</v>
      </c>
      <c r="K6321">
        <v>1.0904209999999901</v>
      </c>
      <c r="L6321">
        <v>127.83410000000001</v>
      </c>
      <c r="M6321">
        <v>0.51837339999999998</v>
      </c>
      <c r="N6321">
        <v>0</v>
      </c>
      <c r="O6321">
        <v>0.85491679999999903</v>
      </c>
      <c r="P6321">
        <v>0.64091560000000003</v>
      </c>
      <c r="Q6321">
        <v>7.9391010000000005E-3</v>
      </c>
      <c r="R6321">
        <v>0.76757030000000004</v>
      </c>
      <c r="S6321">
        <v>2.4978639999999999</v>
      </c>
      <c r="T6321">
        <v>-0.32530740000000002</v>
      </c>
      <c r="U6321">
        <v>1.8362430000000001</v>
      </c>
      <c r="V6321">
        <v>0.15094379999999999</v>
      </c>
      <c r="W6321">
        <v>2.2675299999999999E-2</v>
      </c>
      <c r="X6321">
        <v>0.98828229999999995</v>
      </c>
      <c r="Y6321">
        <v>0.37726309999999902</v>
      </c>
      <c r="Z6321">
        <v>-9.9943480000000001E-2</v>
      </c>
      <c r="AA6321">
        <v>0.92069749999999995</v>
      </c>
      <c r="AB6321">
        <v>41</v>
      </c>
      <c r="AC6321">
        <v>8.2350999999999797</v>
      </c>
      <c r="AD6321">
        <v>-1.0904240701919901</v>
      </c>
      <c r="AE6321">
        <v>5.93199999999998</v>
      </c>
      <c r="AF6321">
        <v>3.92088015508841</v>
      </c>
      <c r="AG6321">
        <v>-1.0904240701919901</v>
      </c>
      <c r="AH6321">
        <v>9.2355127980173499</v>
      </c>
      <c r="AI6321">
        <v>96.202562763395306</v>
      </c>
      <c r="AJ6321">
        <v>66.9966486298907</v>
      </c>
      <c r="AK6321">
        <v>10.0924240143665</v>
      </c>
    </row>
    <row r="6322" spans="1:37" x14ac:dyDescent="0.2">
      <c r="A6322" t="str">
        <f>"20200111153815099"</f>
        <v>20200111153815099</v>
      </c>
      <c r="B6322" t="str">
        <f>"1578728295089832"</f>
        <v>1578728295089832</v>
      </c>
      <c r="C6322" t="s">
        <v>37</v>
      </c>
      <c r="D6322">
        <v>6.0878969999999999</v>
      </c>
      <c r="E6322">
        <v>0.59721820000000003</v>
      </c>
      <c r="F6322" t="s">
        <v>51</v>
      </c>
      <c r="G6322">
        <v>-173.5419</v>
      </c>
      <c r="H6322" s="1">
        <v>-3.0203140000000001E-6</v>
      </c>
      <c r="I6322">
        <v>133.90350000000001</v>
      </c>
      <c r="J6322">
        <v>-181.87190000000001</v>
      </c>
      <c r="K6322">
        <v>1.0902609999999999</v>
      </c>
      <c r="L6322">
        <v>128.04859999999999</v>
      </c>
      <c r="M6322">
        <v>0.52577369999999901</v>
      </c>
      <c r="N6322">
        <v>0</v>
      </c>
      <c r="O6322">
        <v>0.85038539999999996</v>
      </c>
      <c r="P6322">
        <v>0.64875539999999998</v>
      </c>
      <c r="Q6322">
        <v>8.3172939999999994E-3</v>
      </c>
      <c r="R6322">
        <v>0.76095159999999995</v>
      </c>
      <c r="S6322">
        <v>2.520508</v>
      </c>
      <c r="T6322">
        <v>-0.32467420000000002</v>
      </c>
      <c r="U6322">
        <v>1.807175</v>
      </c>
      <c r="V6322">
        <v>0.1525273</v>
      </c>
      <c r="W6322">
        <v>2.294179E-2</v>
      </c>
      <c r="X6322">
        <v>0.98803289999999999</v>
      </c>
      <c r="Y6322">
        <v>0.38019740000000002</v>
      </c>
      <c r="Z6322">
        <v>-9.9482929999999997E-2</v>
      </c>
      <c r="AA6322">
        <v>0.91953960000000001</v>
      </c>
      <c r="AB6322">
        <v>41</v>
      </c>
      <c r="AC6322">
        <v>8.3300000000000107</v>
      </c>
      <c r="AD6322">
        <v>-1.0902640203139999</v>
      </c>
      <c r="AE6322">
        <v>5.8549000000000104</v>
      </c>
      <c r="AF6322">
        <v>3.96075823505514</v>
      </c>
      <c r="AG6322">
        <v>-1.0902640203139999</v>
      </c>
      <c r="AH6322">
        <v>9.2544080888211404</v>
      </c>
      <c r="AI6322">
        <v>96.181474793618804</v>
      </c>
      <c r="AJ6322">
        <v>66.829747256364399</v>
      </c>
      <c r="AK6322">
        <v>10.1252333555818</v>
      </c>
    </row>
    <row r="6323" spans="1:37" x14ac:dyDescent="0.2">
      <c r="A6323" t="str">
        <f>"20200111153815112"</f>
        <v>20200111153815112</v>
      </c>
      <c r="B6323" t="str">
        <f>"1578728295099592"</f>
        <v>1578728295099592</v>
      </c>
      <c r="C6323" t="s">
        <v>37</v>
      </c>
      <c r="D6323">
        <v>6.0639959999999897</v>
      </c>
      <c r="E6323">
        <v>0.59766019999999997</v>
      </c>
      <c r="F6323" t="s">
        <v>51</v>
      </c>
      <c r="G6323">
        <v>-173.33850000000001</v>
      </c>
      <c r="H6323" s="1">
        <v>-2.9743059999999998E-6</v>
      </c>
      <c r="I6323">
        <v>134.01990000000001</v>
      </c>
      <c r="J6323">
        <v>-181.7466</v>
      </c>
      <c r="K6323">
        <v>1.0901160000000001</v>
      </c>
      <c r="L6323">
        <v>128.24189999999999</v>
      </c>
      <c r="M6323">
        <v>0.53259499999999904</v>
      </c>
      <c r="N6323">
        <v>0</v>
      </c>
      <c r="O6323">
        <v>0.84612969999999899</v>
      </c>
      <c r="P6323">
        <v>0.65630909999999998</v>
      </c>
      <c r="Q6323">
        <v>9.5131880000000005E-3</v>
      </c>
      <c r="R6323">
        <v>0.75443209999999905</v>
      </c>
      <c r="S6323">
        <v>2.541992</v>
      </c>
      <c r="T6323">
        <v>-0.32477899999999998</v>
      </c>
      <c r="U6323">
        <v>1.7788090000000001</v>
      </c>
      <c r="V6323">
        <v>0.1544886</v>
      </c>
      <c r="W6323">
        <v>2.4021049999999999E-2</v>
      </c>
      <c r="X6323">
        <v>0.98770249999999904</v>
      </c>
      <c r="Y6323">
        <v>0.38331690000000002</v>
      </c>
      <c r="Z6323">
        <v>-9.9275740000000001E-2</v>
      </c>
      <c r="AA6323">
        <v>0.91826600000000003</v>
      </c>
      <c r="AB6323">
        <v>41</v>
      </c>
      <c r="AC6323">
        <v>8.4080999999999904</v>
      </c>
      <c r="AD6323">
        <v>-1.090118974306</v>
      </c>
      <c r="AE6323">
        <v>5.7780000000000102</v>
      </c>
      <c r="AF6323">
        <v>3.9922493212356902</v>
      </c>
      <c r="AG6323">
        <v>-1.090118974306</v>
      </c>
      <c r="AH6323">
        <v>9.2631932874429097</v>
      </c>
      <c r="AI6323">
        <v>96.168194824075002</v>
      </c>
      <c r="AJ6323">
        <v>66.6849331789915</v>
      </c>
      <c r="AK6323">
        <v>10.1455982525219</v>
      </c>
    </row>
    <row r="6324" spans="1:37" x14ac:dyDescent="0.2">
      <c r="A6324" t="str">
        <f>"20200111153815129"</f>
        <v>20200111153815129</v>
      </c>
      <c r="B6324" t="str">
        <f>"1578728295119113"</f>
        <v>1578728295119113</v>
      </c>
      <c r="C6324" t="s">
        <v>37</v>
      </c>
      <c r="D6324">
        <v>6.0823339999999897</v>
      </c>
      <c r="E6324">
        <v>0.59839639999999905</v>
      </c>
      <c r="F6324" t="s">
        <v>51</v>
      </c>
      <c r="G6324">
        <v>-173.09520000000001</v>
      </c>
      <c r="H6324" s="1">
        <v>-2.918358E-6</v>
      </c>
      <c r="I6324">
        <v>134.1568</v>
      </c>
      <c r="J6324">
        <v>-181.57939999999999</v>
      </c>
      <c r="K6324">
        <v>1.0899399999999999</v>
      </c>
      <c r="L6324">
        <v>128.49590000000001</v>
      </c>
      <c r="M6324">
        <v>0.54164419999999902</v>
      </c>
      <c r="N6324">
        <v>0</v>
      </c>
      <c r="O6324">
        <v>0.84036540000000004</v>
      </c>
      <c r="P6324">
        <v>0.66742419999999902</v>
      </c>
      <c r="Q6324">
        <v>1.08237E-2</v>
      </c>
      <c r="R6324">
        <v>0.74459909999999996</v>
      </c>
      <c r="S6324">
        <v>2.5621339999999999</v>
      </c>
      <c r="T6324">
        <v>-0.32284209999999902</v>
      </c>
      <c r="U6324">
        <v>1.751709</v>
      </c>
      <c r="V6324">
        <v>0.15860089999999999</v>
      </c>
      <c r="W6324">
        <v>2.5118870000000001E-2</v>
      </c>
      <c r="X6324">
        <v>0.98702319999999999</v>
      </c>
      <c r="Y6324">
        <v>0.38348109999999902</v>
      </c>
      <c r="Z6324">
        <v>-9.8250550000000006E-2</v>
      </c>
      <c r="AA6324">
        <v>0.91830769999999995</v>
      </c>
      <c r="AB6324">
        <v>41</v>
      </c>
      <c r="AC6324">
        <v>8.48419999999998</v>
      </c>
      <c r="AD6324">
        <v>-1.0899429183579901</v>
      </c>
      <c r="AE6324">
        <v>5.6608999999999901</v>
      </c>
      <c r="AF6324">
        <v>4.0185714069991398</v>
      </c>
      <c r="AG6324">
        <v>-1.0899429183579901</v>
      </c>
      <c r="AH6324">
        <v>9.2489274847998697</v>
      </c>
      <c r="AI6324">
        <v>96.168807735954204</v>
      </c>
      <c r="AJ6324">
        <v>66.515510139471502</v>
      </c>
      <c r="AK6324">
        <v>10.142955749559199</v>
      </c>
    </row>
    <row r="6325" spans="1:37" x14ac:dyDescent="0.2">
      <c r="A6325" t="str">
        <f>"20200111153815145"</f>
        <v>20200111153815145</v>
      </c>
      <c r="B6325" t="str">
        <f>"1578728295139608"</f>
        <v>1578728295139608</v>
      </c>
      <c r="C6325" t="s">
        <v>37</v>
      </c>
      <c r="D6325">
        <v>6.042109</v>
      </c>
      <c r="E6325">
        <v>0.59908249999999996</v>
      </c>
      <c r="F6325" t="s">
        <v>51</v>
      </c>
      <c r="G6325">
        <v>-172.81700000000001</v>
      </c>
      <c r="H6325" s="1">
        <v>-2.8407869999999998E-6</v>
      </c>
      <c r="I6325">
        <v>134.2775</v>
      </c>
      <c r="J6325">
        <v>-181.4238</v>
      </c>
      <c r="K6325">
        <v>1.0897709999999901</v>
      </c>
      <c r="L6325">
        <v>128.72730000000001</v>
      </c>
      <c r="M6325">
        <v>0.55000269999999996</v>
      </c>
      <c r="N6325">
        <v>0</v>
      </c>
      <c r="O6325">
        <v>0.83491839999999995</v>
      </c>
      <c r="P6325">
        <v>0.67627559999999998</v>
      </c>
      <c r="Q6325">
        <v>1.135709E-2</v>
      </c>
      <c r="R6325">
        <v>0.73656109999999997</v>
      </c>
      <c r="S6325">
        <v>2.5920559999999999</v>
      </c>
      <c r="T6325">
        <v>-0.3224245</v>
      </c>
      <c r="U6325">
        <v>1.710297</v>
      </c>
      <c r="V6325">
        <v>0.16058159999999999</v>
      </c>
      <c r="W6325">
        <v>2.5528349999999998E-2</v>
      </c>
      <c r="X6325">
        <v>0.98669240000000002</v>
      </c>
      <c r="Y6325">
        <v>0.38939390000000002</v>
      </c>
      <c r="Z6325">
        <v>-9.7872349999999997E-2</v>
      </c>
      <c r="AA6325">
        <v>0.91585669999999897</v>
      </c>
      <c r="AB6325">
        <v>40</v>
      </c>
      <c r="AC6325">
        <v>8.6067999999999891</v>
      </c>
      <c r="AD6325">
        <v>-1.0897738407869999</v>
      </c>
      <c r="AE6325">
        <v>5.5501999999999896</v>
      </c>
      <c r="AF6325">
        <v>4.0879061926258702</v>
      </c>
      <c r="AG6325">
        <v>-1.0897738407869999</v>
      </c>
      <c r="AH6325">
        <v>9.2647329964639198</v>
      </c>
      <c r="AI6325">
        <v>96.142298473865793</v>
      </c>
      <c r="AJ6325">
        <v>66.191344002434306</v>
      </c>
      <c r="AK6325">
        <v>10.1849821580373</v>
      </c>
    </row>
    <row r="6326" spans="1:37" x14ac:dyDescent="0.2">
      <c r="A6326" t="str">
        <f>"20200111153815158"</f>
        <v>20200111153815158</v>
      </c>
      <c r="B6326" t="str">
        <f>"1578728295149367"</f>
        <v>1578728295149367</v>
      </c>
      <c r="C6326" t="s">
        <v>37</v>
      </c>
      <c r="D6326">
        <v>5.9154809999999998</v>
      </c>
      <c r="E6326">
        <v>0.59930709999999998</v>
      </c>
      <c r="F6326" t="s">
        <v>51</v>
      </c>
      <c r="G6326">
        <v>-172.59049999999999</v>
      </c>
      <c r="H6326" s="1">
        <v>-2.7810670000000001E-6</v>
      </c>
      <c r="I6326">
        <v>134.38480000000001</v>
      </c>
      <c r="J6326">
        <v>-181.27459999999999</v>
      </c>
      <c r="K6326">
        <v>1.089615</v>
      </c>
      <c r="L6326">
        <v>128.94489999999999</v>
      </c>
      <c r="M6326">
        <v>0.55795899999999998</v>
      </c>
      <c r="N6326">
        <v>0</v>
      </c>
      <c r="O6326">
        <v>0.82962209999999903</v>
      </c>
      <c r="P6326">
        <v>0.68491469999999999</v>
      </c>
      <c r="Q6326">
        <v>1.130433E-2</v>
      </c>
      <c r="R6326">
        <v>0.7285355</v>
      </c>
      <c r="S6326">
        <v>2.6163639999999999</v>
      </c>
      <c r="T6326">
        <v>-0.32278559999999901</v>
      </c>
      <c r="U6326">
        <v>1.6757200000000001</v>
      </c>
      <c r="V6326">
        <v>0.16279160000000001</v>
      </c>
      <c r="W6326">
        <v>2.5345300000000001E-2</v>
      </c>
      <c r="X6326">
        <v>0.98633490000000001</v>
      </c>
      <c r="Y6326">
        <v>0.3930535</v>
      </c>
      <c r="Z6326">
        <v>-9.7674940000000002E-2</v>
      </c>
      <c r="AA6326">
        <v>0.91431309999999999</v>
      </c>
      <c r="AB6326">
        <v>40</v>
      </c>
      <c r="AC6326">
        <v>8.6841000000000008</v>
      </c>
      <c r="AD6326">
        <v>-1.089617781067</v>
      </c>
      <c r="AE6326">
        <v>5.4399000000000202</v>
      </c>
      <c r="AF6326">
        <v>4.12350977117213</v>
      </c>
      <c r="AG6326">
        <v>-1.089617781067</v>
      </c>
      <c r="AH6326">
        <v>9.2556961669499298</v>
      </c>
      <c r="AI6326">
        <v>96.137714785898197</v>
      </c>
      <c r="AJ6326">
        <v>65.986526147790897</v>
      </c>
      <c r="AK6326">
        <v>10.1910996107712</v>
      </c>
    </row>
    <row r="6327" spans="1:37" x14ac:dyDescent="0.2">
      <c r="A6327" t="str">
        <f>"20200111153815172"</f>
        <v>20200111153815172</v>
      </c>
      <c r="B6327" t="str">
        <f>"1578728295169864"</f>
        <v>1578728295169864</v>
      </c>
      <c r="C6327" t="s">
        <v>37</v>
      </c>
      <c r="D6327">
        <v>5.9690909999999997</v>
      </c>
      <c r="E6327">
        <v>0.59971680000000005</v>
      </c>
      <c r="F6327" t="s">
        <v>51</v>
      </c>
      <c r="G6327">
        <v>-172.43539999999999</v>
      </c>
      <c r="H6327" s="1">
        <v>-2.7254330000000001E-6</v>
      </c>
      <c r="I6327">
        <v>134.45400000000001</v>
      </c>
      <c r="J6327">
        <v>-181.1326</v>
      </c>
      <c r="K6327">
        <v>1.0894699999999999</v>
      </c>
      <c r="L6327">
        <v>129.14670000000001</v>
      </c>
      <c r="M6327">
        <v>0.56547709999999995</v>
      </c>
      <c r="N6327">
        <v>0</v>
      </c>
      <c r="O6327">
        <v>0.82451559999999902</v>
      </c>
      <c r="P6327">
        <v>0.69441489999999995</v>
      </c>
      <c r="Q6327">
        <v>1.1359950000000001E-2</v>
      </c>
      <c r="R6327">
        <v>0.71948529999999999</v>
      </c>
      <c r="S6327">
        <v>2.6371609999999999</v>
      </c>
      <c r="T6327">
        <v>-0.32508559999999997</v>
      </c>
      <c r="U6327">
        <v>1.6436310000000001</v>
      </c>
      <c r="V6327">
        <v>0.16677649999999999</v>
      </c>
      <c r="W6327">
        <v>2.520563E-2</v>
      </c>
      <c r="X6327">
        <v>0.98567249999999995</v>
      </c>
      <c r="Y6327">
        <v>0.39589959999999902</v>
      </c>
      <c r="Z6327">
        <v>-9.8077979999999995E-2</v>
      </c>
      <c r="AA6327">
        <v>0.9130412</v>
      </c>
      <c r="AB6327">
        <v>40</v>
      </c>
      <c r="AC6327">
        <v>8.6972000000000094</v>
      </c>
      <c r="AD6327">
        <v>-1.0894727254330001</v>
      </c>
      <c r="AE6327">
        <v>5.3072999999999899</v>
      </c>
      <c r="AF6327">
        <v>4.1235263848203001</v>
      </c>
      <c r="AG6327">
        <v>-1.0894727254330001</v>
      </c>
      <c r="AH6327">
        <v>9.1908352469161603</v>
      </c>
      <c r="AI6327">
        <v>96.172695311298796</v>
      </c>
      <c r="AJ6327">
        <v>65.836309139520907</v>
      </c>
      <c r="AK6327">
        <v>10.1322195594908</v>
      </c>
    </row>
    <row r="6328" spans="1:37" x14ac:dyDescent="0.2">
      <c r="A6328" t="str">
        <f>"20200111153815187"</f>
        <v>20200111153815187</v>
      </c>
      <c r="B6328" t="str">
        <f>"1578728295179624"</f>
        <v>1578728295179624</v>
      </c>
      <c r="C6328" t="s">
        <v>37</v>
      </c>
      <c r="D6328">
        <v>5.8837019999999898</v>
      </c>
      <c r="E6328">
        <v>0.59988859999999999</v>
      </c>
      <c r="F6328" t="s">
        <v>51</v>
      </c>
      <c r="G6328">
        <v>-172.34039999999999</v>
      </c>
      <c r="H6328" s="1">
        <v>-2.672736E-6</v>
      </c>
      <c r="I6328">
        <v>134.4573</v>
      </c>
      <c r="J6328">
        <v>-180.9777</v>
      </c>
      <c r="K6328">
        <v>1.0893120000000001</v>
      </c>
      <c r="L6328">
        <v>129.3631</v>
      </c>
      <c r="M6328">
        <v>0.57361200000000001</v>
      </c>
      <c r="N6328">
        <v>0</v>
      </c>
      <c r="O6328">
        <v>0.81887650000000001</v>
      </c>
      <c r="P6328">
        <v>0.70302200000000004</v>
      </c>
      <c r="Q6328">
        <v>1.13718999999999E-2</v>
      </c>
      <c r="R6328">
        <v>0.71107719999999996</v>
      </c>
      <c r="S6328">
        <v>2.6604770000000002</v>
      </c>
      <c r="T6328">
        <v>-0.32967020000000002</v>
      </c>
      <c r="U6328">
        <v>1.606995</v>
      </c>
      <c r="V6328">
        <v>0.1688878</v>
      </c>
      <c r="W6328">
        <v>2.5093609999999999E-2</v>
      </c>
      <c r="X6328">
        <v>0.98531579999999996</v>
      </c>
      <c r="Y6328">
        <v>0.39944940000000001</v>
      </c>
      <c r="Z6328">
        <v>-9.9134620000000007E-2</v>
      </c>
      <c r="AA6328">
        <v>0.91137950000000001</v>
      </c>
      <c r="AB6328">
        <v>40</v>
      </c>
      <c r="AC6328">
        <v>8.6373000000000104</v>
      </c>
      <c r="AD6328">
        <v>-1.0893146727359999</v>
      </c>
      <c r="AE6328">
        <v>5.0941999999999998</v>
      </c>
      <c r="AF6328">
        <v>4.10321916442886</v>
      </c>
      <c r="AG6328">
        <v>-1.0893146727359999</v>
      </c>
      <c r="AH6328">
        <v>9.0213946561290399</v>
      </c>
      <c r="AI6328">
        <v>96.272372926167407</v>
      </c>
      <c r="AJ6328">
        <v>65.542439117243603</v>
      </c>
      <c r="AK6328">
        <v>9.9703849228205801</v>
      </c>
    </row>
    <row r="6329" spans="1:37" x14ac:dyDescent="0.2">
      <c r="A6329" t="str">
        <f>"20200111153815198"</f>
        <v>20200111153815198</v>
      </c>
      <c r="B6329" t="str">
        <f>"1578728295189384"</f>
        <v>1578728295189384</v>
      </c>
      <c r="C6329" t="s">
        <v>37</v>
      </c>
      <c r="D6329">
        <v>5.887321</v>
      </c>
      <c r="E6329">
        <v>0.60000010000000004</v>
      </c>
      <c r="F6329" t="s">
        <v>51</v>
      </c>
      <c r="G6329">
        <v>-172.1865</v>
      </c>
      <c r="H6329" s="1">
        <v>-2.615706E-6</v>
      </c>
      <c r="I6329">
        <v>134.5266</v>
      </c>
      <c r="J6329">
        <v>-180.84599999999901</v>
      </c>
      <c r="K6329">
        <v>1.0891789999999999</v>
      </c>
      <c r="L6329">
        <v>129.5445</v>
      </c>
      <c r="M6329">
        <v>0.58047839999999995</v>
      </c>
      <c r="N6329">
        <v>0</v>
      </c>
      <c r="O6329">
        <v>0.8140231</v>
      </c>
      <c r="P6329">
        <v>0.71068540000000002</v>
      </c>
      <c r="Q6329">
        <v>1.113483E-2</v>
      </c>
      <c r="R6329">
        <v>0.70342190000000004</v>
      </c>
      <c r="S6329">
        <v>2.6803129999999999</v>
      </c>
      <c r="T6329">
        <v>-0.33211889999999999</v>
      </c>
      <c r="U6329">
        <v>1.5743100000000001</v>
      </c>
      <c r="V6329">
        <v>0.17127290000000001</v>
      </c>
      <c r="W6329">
        <v>2.4726560000000002E-2</v>
      </c>
      <c r="X6329">
        <v>0.98491329999999999</v>
      </c>
      <c r="Y6329">
        <v>0.40289190000000003</v>
      </c>
      <c r="Z6329">
        <v>-9.9615079999999995E-2</v>
      </c>
      <c r="AA6329">
        <v>0.90981039999999902</v>
      </c>
      <c r="AB6329">
        <v>40</v>
      </c>
      <c r="AC6329">
        <v>8.65949999999998</v>
      </c>
      <c r="AD6329">
        <v>-1.0891816157059999</v>
      </c>
      <c r="AE6329">
        <v>4.9821</v>
      </c>
      <c r="AF6329">
        <v>4.1090466408950101</v>
      </c>
      <c r="AG6329">
        <v>-1.0891816157059999</v>
      </c>
      <c r="AH6329">
        <v>8.9773606437244897</v>
      </c>
      <c r="AI6329">
        <v>96.295332411140095</v>
      </c>
      <c r="AJ6329">
        <v>65.4058567604215</v>
      </c>
      <c r="AK6329">
        <v>9.9329544958454292</v>
      </c>
    </row>
    <row r="6330" spans="1:37" x14ac:dyDescent="0.2">
      <c r="A6330" t="str">
        <f>"20200111153815210"</f>
        <v>20200111153815210</v>
      </c>
      <c r="B6330" t="str">
        <f>"1578728295199145"</f>
        <v>1578728295199145</v>
      </c>
      <c r="C6330" t="s">
        <v>37</v>
      </c>
      <c r="D6330">
        <v>5.902933</v>
      </c>
      <c r="E6330">
        <v>0.60007319999999997</v>
      </c>
      <c r="F6330" t="s">
        <v>51</v>
      </c>
      <c r="G6330">
        <v>-172.09059999999999</v>
      </c>
      <c r="H6330" s="1">
        <v>-2.5754509999999999E-6</v>
      </c>
      <c r="I6330">
        <v>134.5592</v>
      </c>
      <c r="J6330">
        <v>-180.71960000000001</v>
      </c>
      <c r="K6330">
        <v>1.0890599999999999</v>
      </c>
      <c r="L6330">
        <v>129.7139</v>
      </c>
      <c r="M6330">
        <v>0.58701959999999997</v>
      </c>
      <c r="N6330">
        <v>0</v>
      </c>
      <c r="O6330">
        <v>0.80931819999999999</v>
      </c>
      <c r="P6330">
        <v>0.71786219999999901</v>
      </c>
      <c r="Q6330">
        <v>1.0709079999999999E-2</v>
      </c>
      <c r="R6330">
        <v>0.69610289999999997</v>
      </c>
      <c r="S6330">
        <v>2.6973720000000001</v>
      </c>
      <c r="T6330">
        <v>-0.33555559999999901</v>
      </c>
      <c r="U6330">
        <v>1.544937</v>
      </c>
      <c r="V6330">
        <v>0.17342279999999999</v>
      </c>
      <c r="W6330">
        <v>2.4185990000000001E-2</v>
      </c>
      <c r="X6330">
        <v>0.98455040000000005</v>
      </c>
      <c r="Y6330">
        <v>0.40537139999999999</v>
      </c>
      <c r="Z6330">
        <v>-0.1003711</v>
      </c>
      <c r="AA6330">
        <v>0.90862520000000002</v>
      </c>
      <c r="AB6330">
        <v>40</v>
      </c>
      <c r="AC6330">
        <v>8.6290000000000102</v>
      </c>
      <c r="AD6330">
        <v>-1.0890625754509999</v>
      </c>
      <c r="AE6330">
        <v>4.8452999999999999</v>
      </c>
      <c r="AF6330">
        <v>4.0906342503861799</v>
      </c>
      <c r="AG6330">
        <v>-1.0890625754509999</v>
      </c>
      <c r="AH6330">
        <v>8.8810796427857408</v>
      </c>
      <c r="AI6330">
        <v>96.355425342632898</v>
      </c>
      <c r="AJ6330">
        <v>65.269154900364498</v>
      </c>
      <c r="AK6330">
        <v>9.8383393662337006</v>
      </c>
    </row>
    <row r="6331" spans="1:37" x14ac:dyDescent="0.2">
      <c r="A6331" t="str">
        <f>"20200111153815223"</f>
        <v>20200111153815223</v>
      </c>
      <c r="B6331" t="str">
        <f>"1578728295219641"</f>
        <v>1578728295219641</v>
      </c>
      <c r="C6331" t="s">
        <v>37</v>
      </c>
      <c r="D6331">
        <v>5.887537</v>
      </c>
      <c r="E6331">
        <v>0.60019029999999995</v>
      </c>
      <c r="F6331" t="s">
        <v>51</v>
      </c>
      <c r="G6331">
        <v>-172.0025</v>
      </c>
      <c r="H6331" s="1">
        <v>-2.53775E-6</v>
      </c>
      <c r="I6331">
        <v>134.58750000000001</v>
      </c>
      <c r="J6331">
        <v>-180.58260000000001</v>
      </c>
      <c r="K6331">
        <v>1.088935</v>
      </c>
      <c r="L6331">
        <v>129.8956</v>
      </c>
      <c r="M6331">
        <v>0.59405330000000001</v>
      </c>
      <c r="N6331">
        <v>0</v>
      </c>
      <c r="O6331">
        <v>0.80416889999999996</v>
      </c>
      <c r="P6331">
        <v>0.72553000000000001</v>
      </c>
      <c r="Q6331">
        <v>1.0079080000000001E-2</v>
      </c>
      <c r="R6331">
        <v>0.68811679999999997</v>
      </c>
      <c r="S6331">
        <v>2.7131959999999999</v>
      </c>
      <c r="T6331">
        <v>-0.33897280000000002</v>
      </c>
      <c r="U6331">
        <v>1.516907</v>
      </c>
      <c r="V6331">
        <v>0.17572289999999999</v>
      </c>
      <c r="W6331">
        <v>2.343137E-2</v>
      </c>
      <c r="X6331">
        <v>0.98416079999999995</v>
      </c>
      <c r="Y6331">
        <v>0.40673009999999998</v>
      </c>
      <c r="Z6331">
        <v>-0.10104149999999899</v>
      </c>
      <c r="AA6331">
        <v>0.90794339999999996</v>
      </c>
      <c r="AB6331">
        <v>40</v>
      </c>
      <c r="AC6331">
        <v>8.5801000000000105</v>
      </c>
      <c r="AD6331">
        <v>-1.0889375377499999</v>
      </c>
      <c r="AE6331">
        <v>4.6919000000000004</v>
      </c>
      <c r="AF6331">
        <v>4.0630805606977596</v>
      </c>
      <c r="AG6331">
        <v>-1.0889375377499999</v>
      </c>
      <c r="AH6331">
        <v>8.7632892913700999</v>
      </c>
      <c r="AI6331">
        <v>96.432000187901707</v>
      </c>
      <c r="AJ6331">
        <v>65.125302675288296</v>
      </c>
      <c r="AK6331">
        <v>9.72057857373124</v>
      </c>
    </row>
    <row r="6332" spans="1:37" x14ac:dyDescent="0.2">
      <c r="A6332" t="str">
        <f>"20200111153815240"</f>
        <v>20200111153815240</v>
      </c>
      <c r="B6332" t="str">
        <f>"1578728295229400"</f>
        <v>1578728295229400</v>
      </c>
      <c r="C6332" t="s">
        <v>37</v>
      </c>
      <c r="D6332">
        <v>5.9577999999999998</v>
      </c>
      <c r="E6332">
        <v>0.60027180000000002</v>
      </c>
      <c r="F6332" t="s">
        <v>51</v>
      </c>
      <c r="G6332">
        <v>-171.97790000000001</v>
      </c>
      <c r="H6332" s="1">
        <v>-2.5202520000000002E-6</v>
      </c>
      <c r="I6332">
        <v>134.5797</v>
      </c>
      <c r="J6332">
        <v>-180.4032</v>
      </c>
      <c r="K6332">
        <v>1.088765</v>
      </c>
      <c r="L6332">
        <v>130.12889999999999</v>
      </c>
      <c r="M6332">
        <v>0.60318519999999998</v>
      </c>
      <c r="N6332">
        <v>0</v>
      </c>
      <c r="O6332">
        <v>0.79734150000000004</v>
      </c>
      <c r="P6332">
        <v>0.73665879999999995</v>
      </c>
      <c r="Q6332">
        <v>9.2516909999999994E-3</v>
      </c>
      <c r="R6332">
        <v>0.67620150000000001</v>
      </c>
      <c r="S6332">
        <v>2.7301790000000001</v>
      </c>
      <c r="T6332">
        <v>-0.34550690000000001</v>
      </c>
      <c r="U6332">
        <v>1.4862059999999999</v>
      </c>
      <c r="V6332">
        <v>0.18052070000000001</v>
      </c>
      <c r="W6332">
        <v>2.2367350000000001E-2</v>
      </c>
      <c r="X6332">
        <v>0.98331679999999999</v>
      </c>
      <c r="Y6332">
        <v>0.40639599999999998</v>
      </c>
      <c r="Z6332">
        <v>-0.1024212</v>
      </c>
      <c r="AA6332">
        <v>0.90793840000000003</v>
      </c>
      <c r="AB6332">
        <v>40</v>
      </c>
      <c r="AC6332">
        <v>8.4252999999999894</v>
      </c>
      <c r="AD6332">
        <v>-1.088767520252</v>
      </c>
      <c r="AE6332">
        <v>4.4508000000000099</v>
      </c>
      <c r="AF6332">
        <v>3.9820310621730099</v>
      </c>
      <c r="AG6332">
        <v>-1.088767520252</v>
      </c>
      <c r="AH6332">
        <v>8.5213575587921095</v>
      </c>
      <c r="AI6332">
        <v>96.602843076600294</v>
      </c>
      <c r="AJ6332">
        <v>64.953312042475304</v>
      </c>
      <c r="AK6332">
        <v>9.46865992303292</v>
      </c>
    </row>
    <row r="6333" spans="1:37" x14ac:dyDescent="0.2">
      <c r="A6333" t="str">
        <f>"20200111153815253"</f>
        <v>20200111153815253</v>
      </c>
      <c r="B6333" t="str">
        <f>"1578728295249897"</f>
        <v>1578728295249897</v>
      </c>
      <c r="C6333" t="s">
        <v>37</v>
      </c>
      <c r="D6333">
        <v>5.9315470000000001</v>
      </c>
      <c r="E6333">
        <v>0.60033230000000004</v>
      </c>
      <c r="F6333" t="s">
        <v>51</v>
      </c>
      <c r="G6333">
        <v>-171.89099999999999</v>
      </c>
      <c r="H6333" s="1">
        <v>-2.4731819999999998E-6</v>
      </c>
      <c r="I6333">
        <v>134.58519999999999</v>
      </c>
      <c r="J6333">
        <v>-180.2396</v>
      </c>
      <c r="K6333">
        <v>1.0886279999999999</v>
      </c>
      <c r="L6333">
        <v>130.3356</v>
      </c>
      <c r="M6333">
        <v>0.61141219999999996</v>
      </c>
      <c r="N6333">
        <v>0</v>
      </c>
      <c r="O6333">
        <v>0.79104980000000003</v>
      </c>
      <c r="P6333">
        <v>0.74540869999999904</v>
      </c>
      <c r="Q6333">
        <v>8.7493540000000009E-3</v>
      </c>
      <c r="R6333">
        <v>0.66655030000000004</v>
      </c>
      <c r="S6333">
        <v>2.75360099999999</v>
      </c>
      <c r="T6333">
        <v>-0.3522053</v>
      </c>
      <c r="U6333">
        <v>1.4415739999999999</v>
      </c>
      <c r="V6333">
        <v>0.1831323</v>
      </c>
      <c r="W6333">
        <v>2.172663E-2</v>
      </c>
      <c r="X6333">
        <v>0.98284819999999995</v>
      </c>
      <c r="Y6333">
        <v>0.4114507</v>
      </c>
      <c r="Z6333">
        <v>-0.104092899999999</v>
      </c>
      <c r="AA6333">
        <v>0.90546839999999995</v>
      </c>
      <c r="AB6333">
        <v>40</v>
      </c>
      <c r="AC6333">
        <v>8.3485999999999994</v>
      </c>
      <c r="AD6333">
        <v>-1.088630473182</v>
      </c>
      <c r="AE6333">
        <v>4.2495999999999796</v>
      </c>
      <c r="AF6333">
        <v>3.9533459288363502</v>
      </c>
      <c r="AG6333">
        <v>-1.088630473182</v>
      </c>
      <c r="AH6333">
        <v>8.3550109483103991</v>
      </c>
      <c r="AI6333">
        <v>96.717206207753506</v>
      </c>
      <c r="AJ6333">
        <v>64.677861527454795</v>
      </c>
      <c r="AK6333">
        <v>9.3070010361326396</v>
      </c>
    </row>
    <row r="6334" spans="1:37" x14ac:dyDescent="0.2">
      <c r="A6334" t="str">
        <f>"20200111153815267"</f>
        <v>20200111153815267</v>
      </c>
      <c r="B6334" t="str">
        <f>"1578728295259656"</f>
        <v>1578728295259656</v>
      </c>
      <c r="C6334" t="s">
        <v>37</v>
      </c>
      <c r="D6334">
        <v>5.9855519999999904</v>
      </c>
      <c r="E6334">
        <v>0.60033130000000001</v>
      </c>
      <c r="F6334" t="s">
        <v>51</v>
      </c>
      <c r="G6334">
        <v>-171.84630000000001</v>
      </c>
      <c r="H6334" s="1">
        <v>-2.4509589999999998E-6</v>
      </c>
      <c r="I6334">
        <v>134.5926</v>
      </c>
      <c r="J6334">
        <v>-180.0882</v>
      </c>
      <c r="K6334">
        <v>1.088508</v>
      </c>
      <c r="L6334">
        <v>130.52359999999999</v>
      </c>
      <c r="M6334">
        <v>0.61895230000000001</v>
      </c>
      <c r="N6334">
        <v>0</v>
      </c>
      <c r="O6334">
        <v>0.78516350000000001</v>
      </c>
      <c r="P6334">
        <v>0.75354869999999996</v>
      </c>
      <c r="Q6334">
        <v>7.9803110000000003E-3</v>
      </c>
      <c r="R6334">
        <v>0.65734359999999903</v>
      </c>
      <c r="S6334">
        <v>2.7717740000000002</v>
      </c>
      <c r="T6334">
        <v>-0.35950539999999997</v>
      </c>
      <c r="U6334">
        <v>1.4057919999999999</v>
      </c>
      <c r="V6334">
        <v>0.1857837</v>
      </c>
      <c r="W6334">
        <v>2.0820370000000001E-2</v>
      </c>
      <c r="X6334">
        <v>0.98237009999999902</v>
      </c>
      <c r="Y6334">
        <v>0.41420459999999898</v>
      </c>
      <c r="Z6334">
        <v>-0.105864599999999</v>
      </c>
      <c r="AA6334">
        <v>0.90400619999999998</v>
      </c>
      <c r="AB6334">
        <v>40</v>
      </c>
      <c r="AC6334">
        <v>8.2418999999999798</v>
      </c>
      <c r="AD6334">
        <v>-1.088510450959</v>
      </c>
      <c r="AE6334">
        <v>4.0690000000000097</v>
      </c>
      <c r="AF6334">
        <v>3.8988662283041702</v>
      </c>
      <c r="AG6334">
        <v>-1.088510450959</v>
      </c>
      <c r="AH6334">
        <v>8.1831377261518394</v>
      </c>
      <c r="AI6334">
        <v>96.8475848785191</v>
      </c>
      <c r="AJ6334">
        <v>64.524476544195196</v>
      </c>
      <c r="AK6334">
        <v>9.1296087491867493</v>
      </c>
    </row>
    <row r="6335" spans="1:37" x14ac:dyDescent="0.2">
      <c r="A6335" t="str">
        <f>"20200111153815285"</f>
        <v>20200111153815285</v>
      </c>
      <c r="B6335" t="str">
        <f>"1578728295279176"</f>
        <v>1578728295279176</v>
      </c>
      <c r="C6335" t="s">
        <v>37</v>
      </c>
      <c r="D6335">
        <v>5.9833569999999998</v>
      </c>
      <c r="E6335">
        <v>0.60026259999999998</v>
      </c>
      <c r="F6335" t="s">
        <v>51</v>
      </c>
      <c r="G6335">
        <v>-171.76580000000001</v>
      </c>
      <c r="H6335" s="1">
        <v>-2.4167429999999998E-6</v>
      </c>
      <c r="I6335">
        <v>134.619</v>
      </c>
      <c r="J6335">
        <v>-179.90170000000001</v>
      </c>
      <c r="K6335">
        <v>1.0883609999999999</v>
      </c>
      <c r="L6335">
        <v>130.75069999999999</v>
      </c>
      <c r="M6335">
        <v>0.62813619999999903</v>
      </c>
      <c r="N6335">
        <v>0</v>
      </c>
      <c r="O6335">
        <v>0.77783500000000005</v>
      </c>
      <c r="P6335">
        <v>0.76475789999999999</v>
      </c>
      <c r="Q6335">
        <v>6.5632260000000001E-3</v>
      </c>
      <c r="R6335">
        <v>0.64428419999999997</v>
      </c>
      <c r="S6335">
        <v>2.7881770000000001</v>
      </c>
      <c r="T6335">
        <v>-0.36467270000000002</v>
      </c>
      <c r="U6335">
        <v>1.3720399999999999</v>
      </c>
      <c r="V6335">
        <v>0.19109470000000001</v>
      </c>
      <c r="W6335">
        <v>1.9145579999999999E-2</v>
      </c>
      <c r="X6335">
        <v>0.9813849</v>
      </c>
      <c r="Y6335">
        <v>0.41429859999999902</v>
      </c>
      <c r="Z6335">
        <v>-0.1067713</v>
      </c>
      <c r="AA6335">
        <v>0.90385649999999995</v>
      </c>
      <c r="AB6335">
        <v>40</v>
      </c>
      <c r="AC6335">
        <v>8.1358999999999906</v>
      </c>
      <c r="AD6335">
        <v>-1.0883634167430001</v>
      </c>
      <c r="AE6335">
        <v>3.8683000000000001</v>
      </c>
      <c r="AF6335">
        <v>3.8432874975226499</v>
      </c>
      <c r="AG6335">
        <v>-1.0883634167430001</v>
      </c>
      <c r="AH6335">
        <v>8.0042214491191501</v>
      </c>
      <c r="AI6335">
        <v>96.9882201123784</v>
      </c>
      <c r="AJ6335">
        <v>64.351657232630004</v>
      </c>
      <c r="AK6335">
        <v>8.9455550259364802</v>
      </c>
    </row>
    <row r="6336" spans="1:37" x14ac:dyDescent="0.2">
      <c r="A6336" t="str">
        <f>"20200111153815297"</f>
        <v>20200111153815297</v>
      </c>
      <c r="B6336" t="str">
        <f>"1578728295289912"</f>
        <v>1578728295289912</v>
      </c>
      <c r="C6336" t="s">
        <v>37</v>
      </c>
      <c r="D6336">
        <v>6.0592769999999998</v>
      </c>
      <c r="E6336">
        <v>0.60048900000000005</v>
      </c>
      <c r="F6336" t="s">
        <v>51</v>
      </c>
      <c r="G6336">
        <v>-171.69489999999999</v>
      </c>
      <c r="H6336" s="1">
        <v>-2.3762490000000001E-6</v>
      </c>
      <c r="I6336">
        <v>134.61869999999999</v>
      </c>
      <c r="J6336">
        <v>-179.7371</v>
      </c>
      <c r="K6336">
        <v>1.088241</v>
      </c>
      <c r="L6336">
        <v>130.947</v>
      </c>
      <c r="M6336">
        <v>0.6361443</v>
      </c>
      <c r="N6336">
        <v>0</v>
      </c>
      <c r="O6336">
        <v>0.77129859999999995</v>
      </c>
      <c r="P6336">
        <v>0.77298089999999997</v>
      </c>
      <c r="Q6336">
        <v>5.6952879999999997E-3</v>
      </c>
      <c r="R6336">
        <v>0.63440369999999902</v>
      </c>
      <c r="S6336">
        <v>2.8101500000000001</v>
      </c>
      <c r="T6336">
        <v>-0.37267790000000001</v>
      </c>
      <c r="U6336">
        <v>1.3244929999999999</v>
      </c>
      <c r="V6336">
        <v>0.1935344</v>
      </c>
      <c r="W6336">
        <v>1.8146780000000001E-2</v>
      </c>
      <c r="X6336">
        <v>0.98092559999999995</v>
      </c>
      <c r="Y6336">
        <v>0.41985600000000001</v>
      </c>
      <c r="Z6336">
        <v>-0.10879759999999999</v>
      </c>
      <c r="AA6336">
        <v>0.90104609999999996</v>
      </c>
      <c r="AB6336">
        <v>39</v>
      </c>
      <c r="AC6336">
        <v>8.0421999999999993</v>
      </c>
      <c r="AD6336">
        <v>-1.088243376249</v>
      </c>
      <c r="AE6336">
        <v>3.67169999999998</v>
      </c>
      <c r="AF6336">
        <v>3.8102825284258701</v>
      </c>
      <c r="AG6336">
        <v>-1.088243376249</v>
      </c>
      <c r="AH6336">
        <v>7.8309850785541197</v>
      </c>
      <c r="AI6336">
        <v>97.122734865762794</v>
      </c>
      <c r="AJ6336">
        <v>64.054071331149203</v>
      </c>
      <c r="AK6336">
        <v>8.7764943965637396</v>
      </c>
    </row>
    <row r="6337" spans="1:37" x14ac:dyDescent="0.2">
      <c r="A6337" t="str">
        <f>"20200111153815310"</f>
        <v>20200111153815310</v>
      </c>
      <c r="B6337" t="str">
        <f>"1578728295299675"</f>
        <v>1578728295299675</v>
      </c>
      <c r="C6337" t="s">
        <v>37</v>
      </c>
      <c r="D6337">
        <v>5.9349509999999999</v>
      </c>
      <c r="E6337">
        <v>0.60099259999999999</v>
      </c>
      <c r="F6337" t="s">
        <v>51</v>
      </c>
      <c r="G6337">
        <v>-171.5564</v>
      </c>
      <c r="H6337" s="1">
        <v>-2.3197349999999999E-6</v>
      </c>
      <c r="I6337">
        <v>134.6695</v>
      </c>
      <c r="J6337">
        <v>-179.60339999999999</v>
      </c>
      <c r="K6337">
        <v>1.0881479999999999</v>
      </c>
      <c r="L6337">
        <v>131.10220000000001</v>
      </c>
      <c r="M6337">
        <v>0.64257350000000002</v>
      </c>
      <c r="N6337">
        <v>0</v>
      </c>
      <c r="O6337">
        <v>0.76595019999999903</v>
      </c>
      <c r="P6337">
        <v>0.77969259999999996</v>
      </c>
      <c r="Q6337">
        <v>5.4461580000000004E-3</v>
      </c>
      <c r="R6337">
        <v>0.6261388</v>
      </c>
      <c r="S6337">
        <v>2.8277890000000001</v>
      </c>
      <c r="T6337">
        <v>-0.37616880000000003</v>
      </c>
      <c r="U6337">
        <v>1.286743</v>
      </c>
      <c r="V6337">
        <v>0.195766299999999</v>
      </c>
      <c r="W6337">
        <v>1.7782530000000001E-2</v>
      </c>
      <c r="X6337">
        <v>0.98048939999999996</v>
      </c>
      <c r="Y6337">
        <v>0.42424259999999903</v>
      </c>
      <c r="Z6337">
        <v>-0.1095295</v>
      </c>
      <c r="AA6337">
        <v>0.89890020000000004</v>
      </c>
      <c r="AB6337">
        <v>39</v>
      </c>
      <c r="AC6337">
        <v>8.0469999999999899</v>
      </c>
      <c r="AD6337">
        <v>-1.088150319735</v>
      </c>
      <c r="AE6337">
        <v>3.5672999999999799</v>
      </c>
      <c r="AF6337">
        <v>3.81387640283319</v>
      </c>
      <c r="AG6337">
        <v>-1.088150319735</v>
      </c>
      <c r="AH6337">
        <v>7.7858360801984698</v>
      </c>
      <c r="AI6337">
        <v>97.153835263178806</v>
      </c>
      <c r="AJ6337">
        <v>63.902168187328897</v>
      </c>
      <c r="AK6337">
        <v>8.7377896405296607</v>
      </c>
    </row>
    <row r="6338" spans="1:37" x14ac:dyDescent="0.2">
      <c r="A6338" t="str">
        <f>"20200111153815323"</f>
        <v>20200111153815323</v>
      </c>
      <c r="B6338" t="str">
        <f>"1578728295319192"</f>
        <v>1578728295319192</v>
      </c>
      <c r="C6338" t="s">
        <v>37</v>
      </c>
      <c r="D6338">
        <v>5.9499930000000001</v>
      </c>
      <c r="E6338">
        <v>0.60203459999999998</v>
      </c>
      <c r="F6338" t="s">
        <v>51</v>
      </c>
      <c r="G6338">
        <v>-171.38130000000001</v>
      </c>
      <c r="H6338" s="1">
        <v>-2.2450169999999999E-6</v>
      </c>
      <c r="I6338">
        <v>134.7261</v>
      </c>
      <c r="J6338">
        <v>-179.4529</v>
      </c>
      <c r="K6338">
        <v>1.0880510000000001</v>
      </c>
      <c r="L6338">
        <v>131.27520000000001</v>
      </c>
      <c r="M6338">
        <v>0.64974430000000005</v>
      </c>
      <c r="N6338">
        <v>0</v>
      </c>
      <c r="O6338">
        <v>0.75987609999999906</v>
      </c>
      <c r="P6338">
        <v>0.78694839999999999</v>
      </c>
      <c r="Q6338">
        <v>4.1803789999999997E-3</v>
      </c>
      <c r="R6338">
        <v>0.61700459999999901</v>
      </c>
      <c r="S6338">
        <v>2.8437809999999999</v>
      </c>
      <c r="T6338">
        <v>-0.37636209999999998</v>
      </c>
      <c r="U6338">
        <v>1.253403</v>
      </c>
      <c r="V6338">
        <v>0.1979416</v>
      </c>
      <c r="W6338">
        <v>1.640086E-2</v>
      </c>
      <c r="X6338">
        <v>0.98007659999999996</v>
      </c>
      <c r="Y6338">
        <v>0.42646079999999997</v>
      </c>
      <c r="Z6338">
        <v>-0.1091178</v>
      </c>
      <c r="AA6338">
        <v>0.89790000000000003</v>
      </c>
      <c r="AB6338">
        <v>39</v>
      </c>
      <c r="AC6338">
        <v>8.0715999999999894</v>
      </c>
      <c r="AD6338">
        <v>-1.088053245017</v>
      </c>
      <c r="AE6338">
        <v>3.4508999999999901</v>
      </c>
      <c r="AF6338">
        <v>3.8331436425072898</v>
      </c>
      <c r="AG6338">
        <v>-1.088053245017</v>
      </c>
      <c r="AH6338">
        <v>7.7493350420537599</v>
      </c>
      <c r="AI6338">
        <v>97.173050460749096</v>
      </c>
      <c r="AJ6338">
        <v>63.681084895451399</v>
      </c>
      <c r="AK6338">
        <v>8.7137273105192197</v>
      </c>
    </row>
    <row r="6339" spans="1:37" x14ac:dyDescent="0.2">
      <c r="A6339" t="str">
        <f>"20200111153815339"</f>
        <v>20200111153815339</v>
      </c>
      <c r="B6339" t="str">
        <f>"1578728295329929"</f>
        <v>1578728295329929</v>
      </c>
      <c r="C6339" t="s">
        <v>37</v>
      </c>
      <c r="D6339">
        <v>5.9381649999999997</v>
      </c>
      <c r="E6339">
        <v>0.60255150000000002</v>
      </c>
      <c r="F6339" t="s">
        <v>51</v>
      </c>
      <c r="G6339">
        <v>-171.28049999999999</v>
      </c>
      <c r="H6339" s="1">
        <v>-2.1931260000000001E-6</v>
      </c>
      <c r="I6339">
        <v>134.73869999999999</v>
      </c>
      <c r="J6339">
        <v>-179.2561</v>
      </c>
      <c r="K6339">
        <v>1.087928</v>
      </c>
      <c r="L6339">
        <v>131.4965</v>
      </c>
      <c r="M6339">
        <v>0.65900159999999997</v>
      </c>
      <c r="N6339">
        <v>0</v>
      </c>
      <c r="O6339">
        <v>0.751861</v>
      </c>
      <c r="P6339">
        <v>0.79711279999999995</v>
      </c>
      <c r="Q6339">
        <v>3.360348E-3</v>
      </c>
      <c r="R6339">
        <v>0.603821099999999</v>
      </c>
      <c r="S6339">
        <v>2.8628999999999998</v>
      </c>
      <c r="T6339">
        <v>-0.381162</v>
      </c>
      <c r="U6339">
        <v>1.213333</v>
      </c>
      <c r="V6339">
        <v>0.20222209999999999</v>
      </c>
      <c r="W6339">
        <v>1.5365780000000001E-2</v>
      </c>
      <c r="X6339">
        <v>0.97921909999999901</v>
      </c>
      <c r="Y6339">
        <v>0.42808760000000001</v>
      </c>
      <c r="Z6339">
        <v>-0.109795</v>
      </c>
      <c r="AA6339">
        <v>0.89704300000000003</v>
      </c>
      <c r="AB6339">
        <v>39</v>
      </c>
      <c r="AC6339">
        <v>7.9756000000000098</v>
      </c>
      <c r="AD6339">
        <v>-1.0879301931259999</v>
      </c>
      <c r="AE6339">
        <v>3.2421999999999902</v>
      </c>
      <c r="AF6339">
        <v>3.8000622044313102</v>
      </c>
      <c r="AG6339">
        <v>-1.0879301931259999</v>
      </c>
      <c r="AH6339">
        <v>7.5742930379752504</v>
      </c>
      <c r="AI6339">
        <v>97.315783710049203</v>
      </c>
      <c r="AJ6339">
        <v>63.356841530403898</v>
      </c>
      <c r="AK6339">
        <v>8.5436514376338497</v>
      </c>
    </row>
    <row r="6340" spans="1:37" x14ac:dyDescent="0.2">
      <c r="A6340" t="str">
        <f>"20200111153815354"</f>
        <v>20200111153815354</v>
      </c>
      <c r="B6340" t="str">
        <f>"1578728295349450"</f>
        <v>1578728295349450</v>
      </c>
      <c r="C6340" t="s">
        <v>37</v>
      </c>
      <c r="D6340">
        <v>5.9335879999999896</v>
      </c>
      <c r="E6340">
        <v>0.60344299999999995</v>
      </c>
      <c r="F6340" t="s">
        <v>51</v>
      </c>
      <c r="G6340">
        <v>-171.06290000000001</v>
      </c>
      <c r="H6340" s="1">
        <v>-2.0951180000000001E-6</v>
      </c>
      <c r="I6340">
        <v>134.79759999999999</v>
      </c>
      <c r="J6340">
        <v>-179.08070000000001</v>
      </c>
      <c r="K6340">
        <v>1.0878270000000001</v>
      </c>
      <c r="L6340">
        <v>131.68799999999999</v>
      </c>
      <c r="M6340">
        <v>0.66713080000000002</v>
      </c>
      <c r="N6340">
        <v>0</v>
      </c>
      <c r="O6340">
        <v>0.74465669999999995</v>
      </c>
      <c r="P6340">
        <v>0.80472929999999998</v>
      </c>
      <c r="Q6340">
        <v>3.0624709999999898E-3</v>
      </c>
      <c r="R6340">
        <v>0.59363409999999905</v>
      </c>
      <c r="S6340">
        <v>2.8847499999999999</v>
      </c>
      <c r="T6340">
        <v>-0.38305240000000002</v>
      </c>
      <c r="U6340">
        <v>1.1622920000000001</v>
      </c>
      <c r="V6340">
        <v>0.20402960000000001</v>
      </c>
      <c r="W6340">
        <v>1.4963850000000001E-2</v>
      </c>
      <c r="X6340">
        <v>0.97885040000000001</v>
      </c>
      <c r="Y6340">
        <v>0.43423840000000002</v>
      </c>
      <c r="Z6340">
        <v>-0.1099511</v>
      </c>
      <c r="AA6340">
        <v>0.89406249999999998</v>
      </c>
      <c r="AB6340">
        <v>39</v>
      </c>
      <c r="AC6340">
        <v>8.0177999999999905</v>
      </c>
      <c r="AD6340">
        <v>-1.0878290951180001</v>
      </c>
      <c r="AE6340">
        <v>3.1095999999999999</v>
      </c>
      <c r="AF6340">
        <v>3.8354504038697099</v>
      </c>
      <c r="AG6340">
        <v>-1.0878290951180001</v>
      </c>
      <c r="AH6340">
        <v>7.5453908597779202</v>
      </c>
      <c r="AI6340">
        <v>97.323528668743194</v>
      </c>
      <c r="AJ6340">
        <v>63.054995494401503</v>
      </c>
      <c r="AK6340">
        <v>8.5338722258743491</v>
      </c>
    </row>
    <row r="6341" spans="1:37" x14ac:dyDescent="0.2">
      <c r="A6341" t="str">
        <f>"20200111153815367"</f>
        <v>20200111153815367</v>
      </c>
      <c r="B6341" t="str">
        <f>"1578728295359209"</f>
        <v>1578728295359209</v>
      </c>
      <c r="C6341" t="s">
        <v>37</v>
      </c>
      <c r="D6341">
        <v>5.974037</v>
      </c>
      <c r="E6341">
        <v>0.60380389999999995</v>
      </c>
      <c r="F6341" t="s">
        <v>51</v>
      </c>
      <c r="G6341">
        <v>-170.8015</v>
      </c>
      <c r="H6341" s="1">
        <v>-1.9830380000000001E-6</v>
      </c>
      <c r="I6341">
        <v>134.881</v>
      </c>
      <c r="J6341">
        <v>-178.91669999999999</v>
      </c>
      <c r="K6341">
        <v>1.0877319999999999</v>
      </c>
      <c r="L6341">
        <v>131.8639</v>
      </c>
      <c r="M6341">
        <v>0.67463629999999997</v>
      </c>
      <c r="N6341">
        <v>0</v>
      </c>
      <c r="O6341">
        <v>0.7378633</v>
      </c>
      <c r="P6341">
        <v>0.81197659999999905</v>
      </c>
      <c r="Q6341">
        <v>2.9918709999999901E-3</v>
      </c>
      <c r="R6341">
        <v>0.58368240000000005</v>
      </c>
      <c r="S6341">
        <v>2.903397</v>
      </c>
      <c r="T6341">
        <v>-0.38148549999999998</v>
      </c>
      <c r="U6341">
        <v>1.1197360000000001</v>
      </c>
      <c r="V6341">
        <v>0.20616799999999999</v>
      </c>
      <c r="W6341">
        <v>1.477409E-2</v>
      </c>
      <c r="X6341">
        <v>0.97840509999999903</v>
      </c>
      <c r="Y6341">
        <v>0.4385616</v>
      </c>
      <c r="Z6341">
        <v>-0.1090404</v>
      </c>
      <c r="AA6341">
        <v>0.89206169999999996</v>
      </c>
      <c r="AB6341">
        <v>39</v>
      </c>
      <c r="AC6341">
        <v>8.1151999999999802</v>
      </c>
      <c r="AD6341">
        <v>-1.087733983038</v>
      </c>
      <c r="AE6341">
        <v>3.0170999999999899</v>
      </c>
      <c r="AF6341">
        <v>3.8918708616747302</v>
      </c>
      <c r="AG6341">
        <v>-1.087733983038</v>
      </c>
      <c r="AH6341">
        <v>7.5829574383075196</v>
      </c>
      <c r="AI6341">
        <v>97.272648237119697</v>
      </c>
      <c r="AJ6341">
        <v>62.831328514213602</v>
      </c>
      <c r="AK6341">
        <v>8.5925006565604605</v>
      </c>
    </row>
    <row r="6342" spans="1:37" x14ac:dyDescent="0.2">
      <c r="A6342" t="str">
        <f>"20200111153815380"</f>
        <v>20200111153815380</v>
      </c>
      <c r="B6342" t="str">
        <f>"1578728295369944"</f>
        <v>1578728295369944</v>
      </c>
      <c r="C6342" t="s">
        <v>37</v>
      </c>
      <c r="D6342">
        <v>5.9521550000000003</v>
      </c>
      <c r="E6342">
        <v>0.60411530000000002</v>
      </c>
      <c r="F6342" t="s">
        <v>51</v>
      </c>
      <c r="G6342">
        <v>-170.58340000000001</v>
      </c>
      <c r="H6342" s="1">
        <v>-1.89047E-6</v>
      </c>
      <c r="I6342">
        <v>134.95269999999999</v>
      </c>
      <c r="J6342">
        <v>-178.76499999999999</v>
      </c>
      <c r="K6342">
        <v>1.0876520000000001</v>
      </c>
      <c r="L6342">
        <v>132.02430000000001</v>
      </c>
      <c r="M6342">
        <v>0.68150189999999999</v>
      </c>
      <c r="N6342">
        <v>0</v>
      </c>
      <c r="O6342">
        <v>0.73152640000000002</v>
      </c>
      <c r="P6342">
        <v>0.81841509999999995</v>
      </c>
      <c r="Q6342">
        <v>3.1348029999999998E-3</v>
      </c>
      <c r="R6342">
        <v>0.57461899999999999</v>
      </c>
      <c r="S6342">
        <v>2.918488</v>
      </c>
      <c r="T6342">
        <v>-0.38094659999999902</v>
      </c>
      <c r="U6342">
        <v>1.081772</v>
      </c>
      <c r="V6342">
        <v>0.2079097</v>
      </c>
      <c r="W6342">
        <v>1.481557E-2</v>
      </c>
      <c r="X6342">
        <v>0.97803580000000001</v>
      </c>
      <c r="Y6342">
        <v>0.44193109999999902</v>
      </c>
      <c r="Z6342">
        <v>-0.108455199999999</v>
      </c>
      <c r="AA6342">
        <v>0.8904687</v>
      </c>
      <c r="AB6342">
        <v>39</v>
      </c>
      <c r="AC6342">
        <v>8.1815999999999693</v>
      </c>
      <c r="AD6342">
        <v>-1.0876538904699999</v>
      </c>
      <c r="AE6342">
        <v>2.9283999999999799</v>
      </c>
      <c r="AF6342">
        <v>3.9286472993347301</v>
      </c>
      <c r="AG6342">
        <v>-1.0876538904699999</v>
      </c>
      <c r="AH6342">
        <v>7.6005468328220402</v>
      </c>
      <c r="AI6342">
        <v>97.244808330077404</v>
      </c>
      <c r="AJ6342">
        <v>62.666005834355303</v>
      </c>
      <c r="AK6342">
        <v>8.6247071107340094</v>
      </c>
    </row>
    <row r="6343" spans="1:37" x14ac:dyDescent="0.2">
      <c r="A6343" t="str">
        <f>"20200111153815396"</f>
        <v>20200111153815396</v>
      </c>
      <c r="B6343" t="str">
        <f>"1578728295389464"</f>
        <v>1578728295389464</v>
      </c>
      <c r="C6343" t="s">
        <v>37</v>
      </c>
      <c r="D6343">
        <v>5.9674870000000002</v>
      </c>
      <c r="E6343">
        <v>0.6046416</v>
      </c>
      <c r="F6343" t="s">
        <v>51</v>
      </c>
      <c r="G6343">
        <v>-170.37629999999999</v>
      </c>
      <c r="H6343" s="1">
        <v>-1.8029449999999999E-6</v>
      </c>
      <c r="I6343">
        <v>135.02170000000001</v>
      </c>
      <c r="J6343">
        <v>-178.56890000000001</v>
      </c>
      <c r="K6343">
        <v>1.0875589999999999</v>
      </c>
      <c r="L6343">
        <v>132.2261</v>
      </c>
      <c r="M6343">
        <v>0.69024649999999999</v>
      </c>
      <c r="N6343">
        <v>0</v>
      </c>
      <c r="O6343">
        <v>0.7232807</v>
      </c>
      <c r="P6343">
        <v>0.82667930000000001</v>
      </c>
      <c r="Q6343">
        <v>3.7869969999999998E-3</v>
      </c>
      <c r="R6343">
        <v>0.56266070000000001</v>
      </c>
      <c r="S6343">
        <v>2.9316249999999999</v>
      </c>
      <c r="T6343">
        <v>-0.38010429999999901</v>
      </c>
      <c r="U6343">
        <v>1.047501</v>
      </c>
      <c r="V6343">
        <v>0.2103969</v>
      </c>
      <c r="W6343">
        <v>1.532525E-2</v>
      </c>
      <c r="X6343">
        <v>0.97749589999999997</v>
      </c>
      <c r="Y6343">
        <v>0.44175399999999998</v>
      </c>
      <c r="Z6343">
        <v>-0.1074386</v>
      </c>
      <c r="AA6343">
        <v>0.89067969999999896</v>
      </c>
      <c r="AB6343">
        <v>39</v>
      </c>
      <c r="AC6343">
        <v>8.1926000000000201</v>
      </c>
      <c r="AD6343">
        <v>-1.0875608029449999</v>
      </c>
      <c r="AE6343">
        <v>2.7955999999999999</v>
      </c>
      <c r="AF6343">
        <v>3.9346394668242399</v>
      </c>
      <c r="AG6343">
        <v>-1.0875608029449999</v>
      </c>
      <c r="AH6343">
        <v>7.5592302674375302</v>
      </c>
      <c r="AI6343">
        <v>97.272718644656294</v>
      </c>
      <c r="AJ6343">
        <v>62.502664196491097</v>
      </c>
      <c r="AK6343">
        <v>8.5910499049963107</v>
      </c>
    </row>
    <row r="6344" spans="1:37" x14ac:dyDescent="0.2">
      <c r="A6344" t="str">
        <f>"20200111153815407"</f>
        <v>20200111153815407</v>
      </c>
      <c r="B6344" t="str">
        <f>"1578728295399813"</f>
        <v>1578728295399813</v>
      </c>
      <c r="C6344" t="s">
        <v>37</v>
      </c>
      <c r="D6344">
        <v>5.9667079999999997</v>
      </c>
      <c r="E6344">
        <v>0.60485409999999995</v>
      </c>
      <c r="F6344" t="s">
        <v>51</v>
      </c>
      <c r="G6344">
        <v>-170.07089999999999</v>
      </c>
      <c r="H6344" s="1">
        <v>-1.6697989999999899E-6</v>
      </c>
      <c r="I6344">
        <v>135.11420000000001</v>
      </c>
      <c r="J6344">
        <v>-178.4264</v>
      </c>
      <c r="K6344">
        <v>1.0874919999999999</v>
      </c>
      <c r="L6344">
        <v>132.36959999999999</v>
      </c>
      <c r="M6344">
        <v>0.69651490000000005</v>
      </c>
      <c r="N6344">
        <v>0</v>
      </c>
      <c r="O6344">
        <v>0.71724589999999999</v>
      </c>
      <c r="P6344">
        <v>0.83216789999999996</v>
      </c>
      <c r="Q6344">
        <v>3.9396479999999996E-3</v>
      </c>
      <c r="R6344">
        <v>0.55450969999999999</v>
      </c>
      <c r="S6344">
        <v>2.9486240000000001</v>
      </c>
      <c r="T6344">
        <v>-0.3773589</v>
      </c>
      <c r="U6344">
        <v>1.0021059999999999</v>
      </c>
      <c r="V6344">
        <v>0.2115032</v>
      </c>
      <c r="W6344">
        <v>1.54043999999999E-2</v>
      </c>
      <c r="X6344">
        <v>0.97725589999999996</v>
      </c>
      <c r="Y6344">
        <v>0.44792789999999999</v>
      </c>
      <c r="Z6344">
        <v>-0.10639220000000001</v>
      </c>
      <c r="AA6344">
        <v>0.88771690000000003</v>
      </c>
      <c r="AB6344">
        <v>39</v>
      </c>
      <c r="AC6344">
        <v>8.3554999999999993</v>
      </c>
      <c r="AD6344">
        <v>-1.0874936697990001</v>
      </c>
      <c r="AE6344">
        <v>2.7446000000000201</v>
      </c>
      <c r="AF6344">
        <v>4.0206850492979198</v>
      </c>
      <c r="AG6344">
        <v>-1.0874936697990001</v>
      </c>
      <c r="AH6344">
        <v>7.6726252988235304</v>
      </c>
      <c r="AI6344">
        <v>97.155680519500393</v>
      </c>
      <c r="AJ6344">
        <v>62.344117562138599</v>
      </c>
      <c r="AK6344">
        <v>8.7302766120923998</v>
      </c>
    </row>
    <row r="6345" spans="1:37" x14ac:dyDescent="0.2">
      <c r="A6345" t="str">
        <f>"20200111153815421"</f>
        <v>20200111153815421</v>
      </c>
      <c r="B6345" t="str">
        <f>"1578728295409573"</f>
        <v>1578728295409573</v>
      </c>
      <c r="C6345" t="s">
        <v>37</v>
      </c>
      <c r="D6345">
        <v>5.8811900000000001</v>
      </c>
      <c r="E6345">
        <v>0.60500869999999995</v>
      </c>
      <c r="F6345" t="s">
        <v>39</v>
      </c>
      <c r="G6345">
        <v>-169.86529999999999</v>
      </c>
      <c r="H6345" s="1">
        <v>-1.216111E-6</v>
      </c>
      <c r="I6345">
        <v>135.1808</v>
      </c>
      <c r="J6345">
        <v>-178.26339999999999</v>
      </c>
      <c r="K6345">
        <v>1.087413</v>
      </c>
      <c r="L6345">
        <v>132.5317</v>
      </c>
      <c r="M6345">
        <v>0.70360269999999903</v>
      </c>
      <c r="N6345">
        <v>0</v>
      </c>
      <c r="O6345">
        <v>0.71029409999999904</v>
      </c>
      <c r="P6345">
        <v>0.83794029999999997</v>
      </c>
      <c r="Q6345">
        <v>4.061683E-3</v>
      </c>
      <c r="R6345">
        <v>0.54574679999999998</v>
      </c>
      <c r="S6345">
        <v>2.9593050000000001</v>
      </c>
      <c r="T6345">
        <v>-0.37591390000000002</v>
      </c>
      <c r="U6345">
        <v>0.97174069999999901</v>
      </c>
      <c r="V6345">
        <v>0.21206120000000001</v>
      </c>
      <c r="W6345">
        <v>1.5472100000000001E-2</v>
      </c>
      <c r="X6345">
        <v>0.9771339</v>
      </c>
      <c r="Y6345">
        <v>0.4483393</v>
      </c>
      <c r="Z6345">
        <v>-0.105362699999999</v>
      </c>
      <c r="AA6345">
        <v>0.88763199999999998</v>
      </c>
      <c r="AB6345">
        <v>39</v>
      </c>
      <c r="AC6345">
        <v>8.3980999999999995</v>
      </c>
      <c r="AD6345">
        <v>-1.0874142161110001</v>
      </c>
      <c r="AE6345">
        <v>2.6490999999999998</v>
      </c>
      <c r="AF6345">
        <v>4.0404681243060399</v>
      </c>
      <c r="AG6345">
        <v>-1.0874142161110001</v>
      </c>
      <c r="AH6345">
        <v>7.6751877123230301</v>
      </c>
      <c r="AI6345">
        <v>97.145801153209206</v>
      </c>
      <c r="AJ6345">
        <v>62.236223943086699</v>
      </c>
      <c r="AK6345">
        <v>8.7416450831824495</v>
      </c>
    </row>
    <row r="6346" spans="1:37" x14ac:dyDescent="0.2">
      <c r="A6346" t="str">
        <f>"20200111153815434"</f>
        <v>20200111153815434</v>
      </c>
      <c r="B6346" t="str">
        <f>"1578728295429094"</f>
        <v>1578728295429094</v>
      </c>
      <c r="C6346" t="s">
        <v>37</v>
      </c>
      <c r="D6346">
        <v>5.8994549999999997</v>
      </c>
      <c r="E6346">
        <v>0.6052206</v>
      </c>
      <c r="F6346" t="s">
        <v>39</v>
      </c>
      <c r="G6346">
        <v>-169.6576</v>
      </c>
      <c r="H6346" s="1">
        <v>-1.276363E-6</v>
      </c>
      <c r="I6346">
        <v>135.2542</v>
      </c>
      <c r="J6346">
        <v>-178.08779999999999</v>
      </c>
      <c r="K6346">
        <v>1.087334</v>
      </c>
      <c r="L6346">
        <v>132.70179999999999</v>
      </c>
      <c r="M6346">
        <v>0.71112719999999996</v>
      </c>
      <c r="N6346">
        <v>0</v>
      </c>
      <c r="O6346">
        <v>0.70276050000000001</v>
      </c>
      <c r="P6346">
        <v>0.84425689999999998</v>
      </c>
      <c r="Q6346">
        <v>4.0103159999999999E-3</v>
      </c>
      <c r="R6346">
        <v>0.53592379999999995</v>
      </c>
      <c r="S6346">
        <v>2.970078</v>
      </c>
      <c r="T6346">
        <v>-0.37529059999999997</v>
      </c>
      <c r="U6346">
        <v>0.9395905</v>
      </c>
      <c r="V6346">
        <v>0.21306620000000001</v>
      </c>
      <c r="W6346">
        <v>1.5341459999999999E-2</v>
      </c>
      <c r="X6346">
        <v>0.97691729999999999</v>
      </c>
      <c r="Y6346">
        <v>0.44857140000000001</v>
      </c>
      <c r="Z6346">
        <v>-0.10450319999999901</v>
      </c>
      <c r="AA6346">
        <v>0.88761630000000002</v>
      </c>
      <c r="AB6346">
        <v>39</v>
      </c>
      <c r="AC6346">
        <v>8.4301999999999797</v>
      </c>
      <c r="AD6346">
        <v>-1.087335276363</v>
      </c>
      <c r="AE6346">
        <v>2.5524</v>
      </c>
      <c r="AF6346">
        <v>4.0485098431189597</v>
      </c>
      <c r="AG6346">
        <v>-1.087335276363</v>
      </c>
      <c r="AH6346">
        <v>7.6733932334850099</v>
      </c>
      <c r="AI6346">
        <v>97.143525752884401</v>
      </c>
      <c r="AJ6346">
        <v>62.183709923968998</v>
      </c>
      <c r="AK6346">
        <v>8.74378028479377</v>
      </c>
    </row>
    <row r="6347" spans="1:37" x14ac:dyDescent="0.2">
      <c r="A6347" t="str">
        <f>"20200111153815447"</f>
        <v>20200111153815447</v>
      </c>
      <c r="B6347" t="str">
        <f>"1578728295439829"</f>
        <v>1578728295439829</v>
      </c>
      <c r="C6347" t="s">
        <v>37</v>
      </c>
      <c r="D6347">
        <v>5.9117360000000003</v>
      </c>
      <c r="E6347">
        <v>0.60527679999999995</v>
      </c>
      <c r="F6347" t="s">
        <v>39</v>
      </c>
      <c r="G6347">
        <v>-169.45509999999999</v>
      </c>
      <c r="H6347" s="1">
        <v>-1.3373789999999999E-6</v>
      </c>
      <c r="I6347">
        <v>135.31700000000001</v>
      </c>
      <c r="J6347">
        <v>-177.92740000000001</v>
      </c>
      <c r="K6347">
        <v>1.087262</v>
      </c>
      <c r="L6347">
        <v>132.85419999999999</v>
      </c>
      <c r="M6347">
        <v>0.71790619999999905</v>
      </c>
      <c r="N6347">
        <v>0</v>
      </c>
      <c r="O6347">
        <v>0.69583399999999995</v>
      </c>
      <c r="P6347">
        <v>0.84965740000000001</v>
      </c>
      <c r="Q6347">
        <v>4.1061400000000003E-3</v>
      </c>
      <c r="R6347">
        <v>0.52731919999999899</v>
      </c>
      <c r="S6347">
        <v>2.9817960000000001</v>
      </c>
      <c r="T6347">
        <v>-0.3755732</v>
      </c>
      <c r="U6347">
        <v>0.90332029999999996</v>
      </c>
      <c r="V6347">
        <v>0.21352670000000001</v>
      </c>
      <c r="W6347">
        <v>1.53858E-2</v>
      </c>
      <c r="X6347">
        <v>0.97681609999999996</v>
      </c>
      <c r="Y6347">
        <v>0.45080569999999998</v>
      </c>
      <c r="Z6347">
        <v>-0.104046</v>
      </c>
      <c r="AA6347">
        <v>0.88653749999999998</v>
      </c>
      <c r="AB6347">
        <v>39</v>
      </c>
      <c r="AC6347">
        <v>8.4723000000000095</v>
      </c>
      <c r="AD6347">
        <v>-1.0872633373789999</v>
      </c>
      <c r="AE6347">
        <v>2.4628000000000099</v>
      </c>
      <c r="AF6347">
        <v>4.0663826139373196</v>
      </c>
      <c r="AG6347">
        <v>-1.0872633373789999</v>
      </c>
      <c r="AH6347">
        <v>7.6810341476412196</v>
      </c>
      <c r="AI6347">
        <v>97.130769865531605</v>
      </c>
      <c r="AJ6347">
        <v>62.103004143612097</v>
      </c>
      <c r="AK6347">
        <v>8.7587610256799806</v>
      </c>
    </row>
    <row r="6348" spans="1:37" x14ac:dyDescent="0.2">
      <c r="A6348" t="str">
        <f>"20200111153815463"</f>
        <v>20200111153815463</v>
      </c>
      <c r="B6348" t="str">
        <f>"1578728295459349"</f>
        <v>1578728295459349</v>
      </c>
      <c r="C6348" t="s">
        <v>37</v>
      </c>
      <c r="D6348">
        <v>5.8779029999999999</v>
      </c>
      <c r="E6348">
        <v>0.60539909999999997</v>
      </c>
      <c r="F6348" t="s">
        <v>39</v>
      </c>
      <c r="G6348">
        <v>-169.27690000000001</v>
      </c>
      <c r="H6348" s="1">
        <v>-1.3895579999999999E-6</v>
      </c>
      <c r="I6348">
        <v>135.37819999999999</v>
      </c>
      <c r="J6348">
        <v>-177.73670000000001</v>
      </c>
      <c r="K6348">
        <v>1.0871690000000001</v>
      </c>
      <c r="L6348">
        <v>133.03229999999999</v>
      </c>
      <c r="M6348">
        <v>0.72585279999999996</v>
      </c>
      <c r="N6348">
        <v>0</v>
      </c>
      <c r="O6348">
        <v>0.68754040000000005</v>
      </c>
      <c r="P6348">
        <v>0.85617140000000003</v>
      </c>
      <c r="Q6348">
        <v>3.4352009999999902E-3</v>
      </c>
      <c r="R6348">
        <v>0.51668069999999999</v>
      </c>
      <c r="S6348">
        <v>2.991028</v>
      </c>
      <c r="T6348">
        <v>-0.37593349999999998</v>
      </c>
      <c r="U6348">
        <v>0.87271119999999902</v>
      </c>
      <c r="V6348">
        <v>0.21446379999999901</v>
      </c>
      <c r="W6348">
        <v>1.4634869999999999E-2</v>
      </c>
      <c r="X6348">
        <v>0.97662229999999906</v>
      </c>
      <c r="Y6348">
        <v>0.4497139</v>
      </c>
      <c r="Z6348">
        <v>-0.1033201</v>
      </c>
      <c r="AA6348">
        <v>0.88717659999999998</v>
      </c>
      <c r="AB6348">
        <v>38</v>
      </c>
      <c r="AC6348">
        <v>8.4597999999999995</v>
      </c>
      <c r="AD6348">
        <v>-1.087170389558</v>
      </c>
      <c r="AE6348">
        <v>2.3458999999999999</v>
      </c>
      <c r="AF6348">
        <v>4.0524062979614799</v>
      </c>
      <c r="AG6348">
        <v>-1.087170389558</v>
      </c>
      <c r="AH6348">
        <v>7.6379888413915102</v>
      </c>
      <c r="AI6348">
        <v>97.166546587715501</v>
      </c>
      <c r="AJ6348">
        <v>62.051396428189499</v>
      </c>
      <c r="AK6348">
        <v>8.7145171869077593</v>
      </c>
    </row>
    <row r="6349" spans="1:37" x14ac:dyDescent="0.2">
      <c r="A6349" t="str">
        <f>"20200111153815476"</f>
        <v>20200111153815476</v>
      </c>
      <c r="B6349" t="str">
        <f>"1578728295469110"</f>
        <v>1578728295469110</v>
      </c>
      <c r="C6349" t="s">
        <v>37</v>
      </c>
      <c r="D6349">
        <v>5.8776640000000002</v>
      </c>
      <c r="E6349">
        <v>0.60536469999999998</v>
      </c>
      <c r="F6349" t="s">
        <v>39</v>
      </c>
      <c r="G6349">
        <v>-169.09469999999999</v>
      </c>
      <c r="H6349" s="1">
        <v>-1.4444249999999999E-6</v>
      </c>
      <c r="I6349">
        <v>135.435</v>
      </c>
      <c r="J6349">
        <v>-177.5471</v>
      </c>
      <c r="K6349">
        <v>1.087091</v>
      </c>
      <c r="L6349">
        <v>133.20500000000001</v>
      </c>
      <c r="M6349">
        <v>0.73361869999999996</v>
      </c>
      <c r="N6349">
        <v>0</v>
      </c>
      <c r="O6349">
        <v>0.67924779999999996</v>
      </c>
      <c r="P6349">
        <v>0.86199720000000002</v>
      </c>
      <c r="Q6349">
        <v>2.7168359999999998E-3</v>
      </c>
      <c r="R6349">
        <v>0.50690590000000002</v>
      </c>
      <c r="S6349">
        <v>3.001846</v>
      </c>
      <c r="T6349">
        <v>-0.37763429999999998</v>
      </c>
      <c r="U6349">
        <v>0.83457950000000003</v>
      </c>
      <c r="V6349">
        <v>0.214451899999999</v>
      </c>
      <c r="W6349">
        <v>1.388202E-2</v>
      </c>
      <c r="X6349">
        <v>0.9766359</v>
      </c>
      <c r="Y6349">
        <v>0.45085340000000002</v>
      </c>
      <c r="Z6349">
        <v>-0.103071699999999</v>
      </c>
      <c r="AA6349">
        <v>0.88662700000000005</v>
      </c>
      <c r="AB6349">
        <v>38</v>
      </c>
      <c r="AC6349">
        <v>8.4524000000000097</v>
      </c>
      <c r="AD6349">
        <v>-1.0870924444250001</v>
      </c>
      <c r="AE6349">
        <v>2.22999999999998</v>
      </c>
      <c r="AF6349">
        <v>4.0436443678021003</v>
      </c>
      <c r="AG6349">
        <v>-1.0870924444250001</v>
      </c>
      <c r="AH6349">
        <v>7.5996766383898002</v>
      </c>
      <c r="AI6349">
        <v>97.1972938591</v>
      </c>
      <c r="AJ6349">
        <v>61.9834006634673</v>
      </c>
      <c r="AK6349">
        <v>8.67686088191296</v>
      </c>
    </row>
    <row r="6350" spans="1:37" x14ac:dyDescent="0.2">
      <c r="A6350" t="str">
        <f>"20200111153815490"</f>
        <v>20200111153815490</v>
      </c>
      <c r="B6350" t="str">
        <f>"1578728295479845"</f>
        <v>1578728295479845</v>
      </c>
      <c r="C6350" t="s">
        <v>37</v>
      </c>
      <c r="D6350">
        <v>5.8830229999999997</v>
      </c>
      <c r="E6350">
        <v>0.60533609999999904</v>
      </c>
      <c r="F6350" t="s">
        <v>39</v>
      </c>
      <c r="G6350">
        <v>-168.93209999999999</v>
      </c>
      <c r="H6350" s="1">
        <v>-1.4909129999999999E-6</v>
      </c>
      <c r="I6350">
        <v>135.4949</v>
      </c>
      <c r="J6350">
        <v>-177.37889999999999</v>
      </c>
      <c r="K6350">
        <v>1.087027</v>
      </c>
      <c r="L6350">
        <v>133.35429999999999</v>
      </c>
      <c r="M6350">
        <v>0.74039670000000002</v>
      </c>
      <c r="N6350">
        <v>0</v>
      </c>
      <c r="O6350">
        <v>0.67185319999999904</v>
      </c>
      <c r="P6350">
        <v>0.86683429999999995</v>
      </c>
      <c r="Q6350">
        <v>1.897319E-3</v>
      </c>
      <c r="R6350">
        <v>0.49859290000000001</v>
      </c>
      <c r="S6350">
        <v>3.01086399999999</v>
      </c>
      <c r="T6350">
        <v>-0.37992949999999998</v>
      </c>
      <c r="U6350">
        <v>0.80030819999999903</v>
      </c>
      <c r="V6350">
        <v>0.21401439999999899</v>
      </c>
      <c r="W6350">
        <v>1.3055249999999999E-2</v>
      </c>
      <c r="X6350">
        <v>0.97674329999999998</v>
      </c>
      <c r="Y6350">
        <v>0.45195419999999997</v>
      </c>
      <c r="Z6350">
        <v>-0.1030638</v>
      </c>
      <c r="AA6350">
        <v>0.8860673</v>
      </c>
      <c r="AB6350">
        <v>38</v>
      </c>
      <c r="AC6350">
        <v>8.4467999999999908</v>
      </c>
      <c r="AD6350">
        <v>-1.0870284909129999</v>
      </c>
      <c r="AE6350">
        <v>2.1406000000000001</v>
      </c>
      <c r="AF6350">
        <v>4.0282995727195701</v>
      </c>
      <c r="AG6350">
        <v>-1.0870284909129999</v>
      </c>
      <c r="AH6350">
        <v>7.5758948023333996</v>
      </c>
      <c r="AI6350">
        <v>97.220280935863698</v>
      </c>
      <c r="AJ6350">
        <v>61.999263869659302</v>
      </c>
      <c r="AK6350">
        <v>8.6488733626786001</v>
      </c>
    </row>
    <row r="6351" spans="1:37" x14ac:dyDescent="0.2">
      <c r="A6351" t="str">
        <f>"20200111153815505"</f>
        <v>20200111153815505</v>
      </c>
      <c r="B6351" t="str">
        <f>"1578728295499982"</f>
        <v>1578728295499982</v>
      </c>
      <c r="C6351" t="s">
        <v>37</v>
      </c>
      <c r="D6351">
        <v>5.9034360000000001</v>
      </c>
      <c r="E6351">
        <v>0.60530109999999904</v>
      </c>
      <c r="F6351" t="s">
        <v>39</v>
      </c>
      <c r="G6351">
        <v>-168.791</v>
      </c>
      <c r="H6351" s="1">
        <v>-1.5309029999999999E-6</v>
      </c>
      <c r="I6351">
        <v>135.54820000000001</v>
      </c>
      <c r="J6351">
        <v>-177.1825</v>
      </c>
      <c r="K6351">
        <v>1.0869549999999999</v>
      </c>
      <c r="L6351">
        <v>133.5256</v>
      </c>
      <c r="M6351">
        <v>0.74818890000000005</v>
      </c>
      <c r="N6351">
        <v>0</v>
      </c>
      <c r="O6351">
        <v>0.6631648</v>
      </c>
      <c r="P6351">
        <v>0.87239310000000003</v>
      </c>
      <c r="Q6351">
        <v>1.690319E-3</v>
      </c>
      <c r="R6351">
        <v>0.48880230000000002</v>
      </c>
      <c r="S6351">
        <v>3.01821899999999</v>
      </c>
      <c r="T6351">
        <v>-0.38203880000000001</v>
      </c>
      <c r="U6351">
        <v>0.77104189999999995</v>
      </c>
      <c r="V6351">
        <v>0.21360290000000001</v>
      </c>
      <c r="W6351">
        <v>1.2835930000000001E-2</v>
      </c>
      <c r="X6351">
        <v>0.97683629999999999</v>
      </c>
      <c r="Y6351">
        <v>0.45013199999999998</v>
      </c>
      <c r="Z6351">
        <v>-0.1027117</v>
      </c>
      <c r="AA6351">
        <v>0.88703529999999997</v>
      </c>
      <c r="AB6351">
        <v>38</v>
      </c>
      <c r="AC6351">
        <v>8.3915000000000006</v>
      </c>
      <c r="AD6351">
        <v>-1.08695653090299</v>
      </c>
      <c r="AE6351">
        <v>2.0226000000000099</v>
      </c>
      <c r="AF6351">
        <v>3.9892657674096901</v>
      </c>
      <c r="AG6351">
        <v>-1.08695653090299</v>
      </c>
      <c r="AH6351">
        <v>7.5024017023100003</v>
      </c>
      <c r="AI6351">
        <v>97.289758000651105</v>
      </c>
      <c r="AJ6351">
        <v>61.9989996436084</v>
      </c>
      <c r="AK6351">
        <v>8.5663146781987596</v>
      </c>
    </row>
    <row r="6352" spans="1:37" x14ac:dyDescent="0.2">
      <c r="A6352" t="str">
        <f>"20200111153815517"</f>
        <v>20200111153815517</v>
      </c>
      <c r="B6352" t="str">
        <f>"1578728295509743"</f>
        <v>1578728295509743</v>
      </c>
      <c r="C6352" t="s">
        <v>37</v>
      </c>
      <c r="D6352">
        <v>5.8340690000000004</v>
      </c>
      <c r="E6352">
        <v>0.6052343</v>
      </c>
      <c r="F6352" t="s">
        <v>39</v>
      </c>
      <c r="G6352">
        <v>-168.559</v>
      </c>
      <c r="H6352" s="1">
        <v>-1.5994919999999899E-6</v>
      </c>
      <c r="I6352">
        <v>135.62530000000001</v>
      </c>
      <c r="J6352">
        <v>-177.0085</v>
      </c>
      <c r="K6352">
        <v>1.0868959999999901</v>
      </c>
      <c r="L6352">
        <v>133.6746</v>
      </c>
      <c r="M6352">
        <v>0.75498710000000002</v>
      </c>
      <c r="N6352">
        <v>0</v>
      </c>
      <c r="O6352">
        <v>0.65541479999999996</v>
      </c>
      <c r="P6352">
        <v>0.87674039999999998</v>
      </c>
      <c r="Q6352">
        <v>1.017385E-3</v>
      </c>
      <c r="R6352">
        <v>0.48096299999999997</v>
      </c>
      <c r="S6352">
        <v>3.0266570000000002</v>
      </c>
      <c r="T6352">
        <v>-0.38149479999999902</v>
      </c>
      <c r="U6352">
        <v>0.73693850000000005</v>
      </c>
      <c r="V6352">
        <v>0.21226109999999901</v>
      </c>
      <c r="W6352">
        <v>1.219988E-2</v>
      </c>
      <c r="X6352">
        <v>0.97713689999999997</v>
      </c>
      <c r="Y6352">
        <v>0.45101479999999999</v>
      </c>
      <c r="Z6352">
        <v>-0.101873899999999</v>
      </c>
      <c r="AA6352">
        <v>0.88668329999999995</v>
      </c>
      <c r="AB6352">
        <v>38</v>
      </c>
      <c r="AC6352">
        <v>8.4494999999999703</v>
      </c>
      <c r="AD6352">
        <v>-1.0868975994919901</v>
      </c>
      <c r="AE6352">
        <v>1.9507000000000101</v>
      </c>
      <c r="AF6352">
        <v>4.00315231377387</v>
      </c>
      <c r="AG6352">
        <v>-1.0868975994919901</v>
      </c>
      <c r="AH6352">
        <v>7.5409476226199397</v>
      </c>
      <c r="AI6352">
        <v>97.255111041857205</v>
      </c>
      <c r="AJ6352">
        <v>62.038163720916899</v>
      </c>
      <c r="AK6352">
        <v>8.60653623045601</v>
      </c>
    </row>
    <row r="6353" spans="1:37" x14ac:dyDescent="0.2">
      <c r="A6353" t="str">
        <f>"20200111153815536"</f>
        <v>20200111153815536</v>
      </c>
      <c r="B6353" t="str">
        <f>"1578728295529263"</f>
        <v>1578728295529263</v>
      </c>
      <c r="C6353" t="s">
        <v>37</v>
      </c>
      <c r="D6353">
        <v>5.856465</v>
      </c>
      <c r="E6353">
        <v>0.60510319999999995</v>
      </c>
      <c r="F6353" t="s">
        <v>39</v>
      </c>
      <c r="G6353">
        <v>-168.39279999999999</v>
      </c>
      <c r="H6353" s="1">
        <v>-1.6460349999999999E-6</v>
      </c>
      <c r="I6353">
        <v>135.6902</v>
      </c>
      <c r="J6353">
        <v>-176.76439999999999</v>
      </c>
      <c r="K6353">
        <v>1.086827</v>
      </c>
      <c r="L6353">
        <v>133.87719999999999</v>
      </c>
      <c r="M6353">
        <v>0.76433099999999998</v>
      </c>
      <c r="N6353">
        <v>0</v>
      </c>
      <c r="O6353">
        <v>0.64449369999999995</v>
      </c>
      <c r="P6353">
        <v>0.88316299999999903</v>
      </c>
      <c r="Q6353">
        <v>5.2484889999999897E-4</v>
      </c>
      <c r="R6353">
        <v>0.46906579999999898</v>
      </c>
      <c r="S6353">
        <v>3.032959</v>
      </c>
      <c r="T6353">
        <v>-0.38262020000000002</v>
      </c>
      <c r="U6353">
        <v>0.70956419999999998</v>
      </c>
      <c r="V6353">
        <v>0.2114067</v>
      </c>
      <c r="W6353">
        <v>1.1715919999999999E-2</v>
      </c>
      <c r="X6353">
        <v>0.97732790000000003</v>
      </c>
      <c r="Y6353">
        <v>0.44626009999999999</v>
      </c>
      <c r="Z6353">
        <v>-0.1008573</v>
      </c>
      <c r="AA6353">
        <v>0.88920169999999998</v>
      </c>
      <c r="AB6353">
        <v>38</v>
      </c>
      <c r="AC6353">
        <v>8.3716000000000008</v>
      </c>
      <c r="AD6353">
        <v>-1.0868286460349901</v>
      </c>
      <c r="AE6353">
        <v>1.8130000000000099</v>
      </c>
      <c r="AF6353">
        <v>3.9470224443231698</v>
      </c>
      <c r="AG6353">
        <v>-1.0868286460349901</v>
      </c>
      <c r="AH6353">
        <v>7.4488337572556897</v>
      </c>
      <c r="AI6353">
        <v>97.3463139806328</v>
      </c>
      <c r="AJ6353">
        <v>62.081571583269699</v>
      </c>
      <c r="AK6353">
        <v>8.4997239381679393</v>
      </c>
    </row>
    <row r="6354" spans="1:37" x14ac:dyDescent="0.2">
      <c r="A6354" t="str">
        <f>"20200111153815551"</f>
        <v>20200111153815551</v>
      </c>
      <c r="B6354" t="str">
        <f>"1578728295540000"</f>
        <v>1578728295540000</v>
      </c>
      <c r="C6354" t="s">
        <v>37</v>
      </c>
      <c r="D6354">
        <v>5.8647960000000001</v>
      </c>
      <c r="E6354">
        <v>0.60501870000000002</v>
      </c>
      <c r="F6354" t="s">
        <v>39</v>
      </c>
      <c r="G6354">
        <v>-168.15860000000001</v>
      </c>
      <c r="H6354" s="1">
        <v>-1.7146099999999999E-6</v>
      </c>
      <c r="I6354">
        <v>135.7706</v>
      </c>
      <c r="J6354">
        <v>-176.5633</v>
      </c>
      <c r="K6354">
        <v>1.0867690000000001</v>
      </c>
      <c r="L6354">
        <v>134.03960000000001</v>
      </c>
      <c r="M6354">
        <v>0.7718739</v>
      </c>
      <c r="N6354">
        <v>0</v>
      </c>
      <c r="O6354">
        <v>0.63544040000000002</v>
      </c>
      <c r="P6354">
        <v>0.88767980000000002</v>
      </c>
      <c r="Q6354" s="1">
        <v>2.656295E-5</v>
      </c>
      <c r="R6354">
        <v>0.46046140000000002</v>
      </c>
      <c r="S6354">
        <v>3.0417019999999999</v>
      </c>
      <c r="T6354">
        <v>-0.38413609999999998</v>
      </c>
      <c r="U6354">
        <v>0.66918949999999999</v>
      </c>
      <c r="V6354">
        <v>0.20936639999999901</v>
      </c>
      <c r="W6354">
        <v>1.129109E-2</v>
      </c>
      <c r="X6354">
        <v>0.97777209999999903</v>
      </c>
      <c r="Y6354">
        <v>0.44752209999999998</v>
      </c>
      <c r="Z6354">
        <v>-0.10044889999999999</v>
      </c>
      <c r="AA6354">
        <v>0.88861349999999995</v>
      </c>
      <c r="AB6354">
        <v>38</v>
      </c>
      <c r="AC6354">
        <v>8.4046999999999894</v>
      </c>
      <c r="AD6354">
        <v>-1.0867707146100001</v>
      </c>
      <c r="AE6354">
        <v>1.7309999999999901</v>
      </c>
      <c r="AF6354">
        <v>3.9421951652114</v>
      </c>
      <c r="AG6354">
        <v>-1.0867707146100001</v>
      </c>
      <c r="AH6354">
        <v>7.4691324056473096</v>
      </c>
      <c r="AI6354">
        <v>97.332430730024996</v>
      </c>
      <c r="AJ6354">
        <v>62.174985284562098</v>
      </c>
      <c r="AK6354">
        <v>8.5152752274862404</v>
      </c>
    </row>
    <row r="6355" spans="1:37" x14ac:dyDescent="0.2">
      <c r="A6355" t="str">
        <f>"20200111153815575"</f>
        <v>20200111153815575</v>
      </c>
      <c r="B6355" t="str">
        <f>"1578728295569279"</f>
        <v>1578728295569279</v>
      </c>
      <c r="C6355" t="s">
        <v>37</v>
      </c>
      <c r="D6355">
        <v>5.791709</v>
      </c>
      <c r="E6355">
        <v>0.60465769999999996</v>
      </c>
      <c r="F6355" t="s">
        <v>39</v>
      </c>
      <c r="G6355">
        <v>-167.95849999999999</v>
      </c>
      <c r="H6355" s="1">
        <v>-1.7715089999999999E-6</v>
      </c>
      <c r="I6355">
        <v>135.84549999999999</v>
      </c>
      <c r="J6355">
        <v>-176.24930000000001</v>
      </c>
      <c r="K6355">
        <v>1.086694</v>
      </c>
      <c r="L6355">
        <v>134.28620000000001</v>
      </c>
      <c r="M6355">
        <v>0.7833793</v>
      </c>
      <c r="N6355">
        <v>0</v>
      </c>
      <c r="O6355">
        <v>0.621201</v>
      </c>
      <c r="P6355">
        <v>0.89478530000000001</v>
      </c>
      <c r="Q6355">
        <v>-7.2263709999999997E-4</v>
      </c>
      <c r="R6355">
        <v>0.44649629999999901</v>
      </c>
      <c r="S6355">
        <v>3.0478209999999999</v>
      </c>
      <c r="T6355">
        <v>-0.38493499999999897</v>
      </c>
      <c r="U6355">
        <v>0.63963319999999901</v>
      </c>
      <c r="V6355">
        <v>0.20675489999999999</v>
      </c>
      <c r="W6355">
        <v>1.0634050000000001E-2</v>
      </c>
      <c r="X6355">
        <v>0.97833499999999995</v>
      </c>
      <c r="Y6355">
        <v>0.43989459999999903</v>
      </c>
      <c r="Z6355">
        <v>-9.8816810000000005E-2</v>
      </c>
      <c r="AA6355">
        <v>0.89259619999999995</v>
      </c>
      <c r="AB6355">
        <v>38</v>
      </c>
      <c r="AC6355">
        <v>8.2908000000000097</v>
      </c>
      <c r="AD6355">
        <v>-1.086695771509</v>
      </c>
      <c r="AE6355">
        <v>1.5592999999999699</v>
      </c>
      <c r="AF6355">
        <v>3.86542809668792</v>
      </c>
      <c r="AG6355">
        <v>-1.086695771509</v>
      </c>
      <c r="AH6355">
        <v>7.3432242143355104</v>
      </c>
      <c r="AI6355">
        <v>97.460514385053401</v>
      </c>
      <c r="AJ6355">
        <v>62.237956964895297</v>
      </c>
      <c r="AK6355">
        <v>8.3693120345989804</v>
      </c>
    </row>
    <row r="6356" spans="1:37" x14ac:dyDescent="0.2">
      <c r="A6356" t="str">
        <f>"20200111153815588"</f>
        <v>20200111153815588</v>
      </c>
      <c r="B6356" t="str">
        <f>"1578728295580016"</f>
        <v>1578728295580016</v>
      </c>
      <c r="C6356" t="s">
        <v>37</v>
      </c>
      <c r="D6356">
        <v>5.7974480000000002</v>
      </c>
      <c r="E6356">
        <v>0.60450899999999996</v>
      </c>
      <c r="F6356" t="s">
        <v>39</v>
      </c>
      <c r="G6356">
        <v>-167.66249999999999</v>
      </c>
      <c r="H6356" s="1">
        <v>-1.8562219999999899E-6</v>
      </c>
      <c r="I6356">
        <v>135.95429999999999</v>
      </c>
      <c r="J6356">
        <v>-176.05459999999999</v>
      </c>
      <c r="K6356">
        <v>1.086651</v>
      </c>
      <c r="L6356">
        <v>134.4341</v>
      </c>
      <c r="M6356">
        <v>0.79034040000000005</v>
      </c>
      <c r="N6356">
        <v>0</v>
      </c>
      <c r="O6356">
        <v>0.61231979999999997</v>
      </c>
      <c r="P6356">
        <v>0.89926450000000002</v>
      </c>
      <c r="Q6356">
        <v>-9.1346139999999999E-4</v>
      </c>
      <c r="R6356">
        <v>0.43740439999999903</v>
      </c>
      <c r="S6356">
        <v>3.05619799999999</v>
      </c>
      <c r="T6356">
        <v>-0.3867775</v>
      </c>
      <c r="U6356">
        <v>0.59368900000000002</v>
      </c>
      <c r="V6356">
        <v>0.20562240000000001</v>
      </c>
      <c r="W6356">
        <v>1.048147E-2</v>
      </c>
      <c r="X6356">
        <v>0.97857530000000004</v>
      </c>
      <c r="Y6356">
        <v>0.443129299999999</v>
      </c>
      <c r="Z6356">
        <v>-9.8606269999999996E-2</v>
      </c>
      <c r="AA6356">
        <v>0.89101810000000004</v>
      </c>
      <c r="AB6356">
        <v>38</v>
      </c>
      <c r="AC6356">
        <v>8.3920999999999992</v>
      </c>
      <c r="AD6356">
        <v>-1.0866528562219999</v>
      </c>
      <c r="AE6356">
        <v>1.52019999999998</v>
      </c>
      <c r="AF6356">
        <v>3.87510600922753</v>
      </c>
      <c r="AG6356">
        <v>-1.0866528562219999</v>
      </c>
      <c r="AH6356">
        <v>7.4442301211964601</v>
      </c>
      <c r="AI6356">
        <v>97.377611775256497</v>
      </c>
      <c r="AJ6356">
        <v>62.500695850494097</v>
      </c>
      <c r="AK6356">
        <v>8.4624950877395193</v>
      </c>
    </row>
    <row r="6357" spans="1:37" x14ac:dyDescent="0.2">
      <c r="A6357" t="str">
        <f>"20200111153815603"</f>
        <v>20200111153815603</v>
      </c>
      <c r="B6357" t="str">
        <f>"1578728295599162"</f>
        <v>1578728295599162</v>
      </c>
      <c r="C6357" t="s">
        <v>37</v>
      </c>
      <c r="D6357">
        <v>5.7963129999999996</v>
      </c>
      <c r="E6357">
        <v>0.60422140000000002</v>
      </c>
      <c r="F6357" t="s">
        <v>39</v>
      </c>
      <c r="G6357">
        <v>-167.46709999999999</v>
      </c>
      <c r="H6357" s="1">
        <v>-1.9151379999999999E-6</v>
      </c>
      <c r="I6357">
        <v>136.01490000000001</v>
      </c>
      <c r="J6357">
        <v>-175.87029999999999</v>
      </c>
      <c r="K6357">
        <v>1.0866119999999999</v>
      </c>
      <c r="L6357">
        <v>134.57149999999999</v>
      </c>
      <c r="M6357">
        <v>0.79681650000000004</v>
      </c>
      <c r="N6357">
        <v>0</v>
      </c>
      <c r="O6357">
        <v>0.60386819999999997</v>
      </c>
      <c r="P6357">
        <v>0.90349609999999902</v>
      </c>
      <c r="Q6357">
        <v>-7.4433970000000003E-4</v>
      </c>
      <c r="R6357">
        <v>0.42859579999999903</v>
      </c>
      <c r="S6357">
        <v>3.0615389999999998</v>
      </c>
      <c r="T6357">
        <v>-0.38740530000000001</v>
      </c>
      <c r="U6357">
        <v>0.56356809999999902</v>
      </c>
      <c r="V6357">
        <v>0.20477290000000001</v>
      </c>
      <c r="W6357">
        <v>1.0678389999999999E-2</v>
      </c>
      <c r="X6357">
        <v>0.97875119999999904</v>
      </c>
      <c r="Y6357">
        <v>0.44239689999999998</v>
      </c>
      <c r="Z6357">
        <v>-9.7877549999999994E-2</v>
      </c>
      <c r="AA6357">
        <v>0.89146229999999904</v>
      </c>
      <c r="AB6357">
        <v>38</v>
      </c>
      <c r="AC6357">
        <v>8.4031999999999893</v>
      </c>
      <c r="AD6357">
        <v>-1.0866139151380001</v>
      </c>
      <c r="AE6357">
        <v>1.44340000000002</v>
      </c>
      <c r="AF6357">
        <v>3.8624055155614698</v>
      </c>
      <c r="AG6357">
        <v>-1.0866139151380001</v>
      </c>
      <c r="AH6357">
        <v>7.4480768081214803</v>
      </c>
      <c r="AI6357">
        <v>97.379473975476699</v>
      </c>
      <c r="AJ6357">
        <v>62.589758485178699</v>
      </c>
      <c r="AK6357">
        <v>8.4600682211722305</v>
      </c>
    </row>
    <row r="6358" spans="1:37" x14ac:dyDescent="0.2">
      <c r="A6358" t="str">
        <f>"20200111153815618"</f>
        <v>20200111153815618</v>
      </c>
      <c r="B6358" t="str">
        <f>"1578728295609887"</f>
        <v>1578728295609887</v>
      </c>
      <c r="C6358" t="s">
        <v>37</v>
      </c>
      <c r="D6358">
        <v>5.7978879999999897</v>
      </c>
      <c r="E6358">
        <v>0.60406990000000005</v>
      </c>
      <c r="F6358" t="s">
        <v>39</v>
      </c>
      <c r="G6358">
        <v>-167.2723</v>
      </c>
      <c r="H6358" s="1">
        <v>-1.9742230000000001E-6</v>
      </c>
      <c r="I6358">
        <v>136.07399999999899</v>
      </c>
      <c r="J6358">
        <v>-175.6499</v>
      </c>
      <c r="K6358">
        <v>1.086573</v>
      </c>
      <c r="L6358">
        <v>134.73179999999999</v>
      </c>
      <c r="M6358">
        <v>0.80440639999999997</v>
      </c>
      <c r="N6358">
        <v>0</v>
      </c>
      <c r="O6358">
        <v>0.59371989999999997</v>
      </c>
      <c r="P6358">
        <v>0.90828349999999902</v>
      </c>
      <c r="Q6358">
        <v>-1.365949E-3</v>
      </c>
      <c r="R6358">
        <v>0.41835290000000003</v>
      </c>
      <c r="S6358">
        <v>3.065979</v>
      </c>
      <c r="T6358">
        <v>-0.38748059999999901</v>
      </c>
      <c r="U6358">
        <v>0.53575130000000004</v>
      </c>
      <c r="V6358">
        <v>0.20340849999999999</v>
      </c>
      <c r="W6358">
        <v>1.0112889999999999E-2</v>
      </c>
      <c r="X6358">
        <v>0.97904179999999996</v>
      </c>
      <c r="Y6358">
        <v>0.43920599999999999</v>
      </c>
      <c r="Z6358">
        <v>-9.6691369999999999E-2</v>
      </c>
      <c r="AA6358">
        <v>0.89316790000000001</v>
      </c>
      <c r="AB6358">
        <v>38</v>
      </c>
      <c r="AC6358">
        <v>8.3775999999999993</v>
      </c>
      <c r="AD6358">
        <v>-1.086574974223</v>
      </c>
      <c r="AE6358">
        <v>1.3421999999999901</v>
      </c>
      <c r="AF6358">
        <v>3.8322521121755</v>
      </c>
      <c r="AG6358">
        <v>-1.086574974223</v>
      </c>
      <c r="AH6358">
        <v>7.4158669662491601</v>
      </c>
      <c r="AI6358">
        <v>97.416335997542504</v>
      </c>
      <c r="AJ6358">
        <v>62.671712993274298</v>
      </c>
      <c r="AK6358">
        <v>8.4179501238120196</v>
      </c>
    </row>
    <row r="6359" spans="1:37" x14ac:dyDescent="0.2">
      <c r="A6359" t="str">
        <f>"20200111153815636"</f>
        <v>20200111153815636</v>
      </c>
      <c r="B6359" t="str">
        <f>"1578728295629401"</f>
        <v>1578728295629401</v>
      </c>
      <c r="C6359" t="s">
        <v>37</v>
      </c>
      <c r="D6359">
        <v>5.783353</v>
      </c>
      <c r="E6359">
        <v>0.60372169999999903</v>
      </c>
      <c r="F6359" t="s">
        <v>39</v>
      </c>
      <c r="G6359">
        <v>-167.0856</v>
      </c>
      <c r="H6359" s="1">
        <v>-2.0304160000000001E-6</v>
      </c>
      <c r="I6359">
        <v>136.13220000000001</v>
      </c>
      <c r="J6359">
        <v>-175.40110000000001</v>
      </c>
      <c r="K6359">
        <v>1.0865359999999999</v>
      </c>
      <c r="L6359">
        <v>134.9068</v>
      </c>
      <c r="M6359">
        <v>0.81276859999999995</v>
      </c>
      <c r="N6359">
        <v>0</v>
      </c>
      <c r="O6359">
        <v>0.5822193</v>
      </c>
      <c r="P6359">
        <v>0.91390260000000001</v>
      </c>
      <c r="Q6359">
        <v>-2.0497319999999999E-3</v>
      </c>
      <c r="R6359">
        <v>0.40592820000000002</v>
      </c>
      <c r="S6359">
        <v>3.0710299999999999</v>
      </c>
      <c r="T6359">
        <v>-0.38963239999999999</v>
      </c>
      <c r="U6359">
        <v>0.50218200000000002</v>
      </c>
      <c r="V6359">
        <v>0.20280689999999901</v>
      </c>
      <c r="W6359">
        <v>9.4558409999999996E-3</v>
      </c>
      <c r="X6359">
        <v>0.97917310000000002</v>
      </c>
      <c r="Y6359">
        <v>0.43621490000000002</v>
      </c>
      <c r="Z6359">
        <v>-9.5876840000000005E-2</v>
      </c>
      <c r="AA6359">
        <v>0.89472009999999902</v>
      </c>
      <c r="AB6359">
        <v>38</v>
      </c>
      <c r="AC6359">
        <v>8.3155000000000108</v>
      </c>
      <c r="AD6359">
        <v>-1.0865380304159999</v>
      </c>
      <c r="AE6359">
        <v>1.2254</v>
      </c>
      <c r="AF6359">
        <v>3.78308464015115</v>
      </c>
      <c r="AG6359">
        <v>-1.0865380304159999</v>
      </c>
      <c r="AH6359">
        <v>7.3507943264138103</v>
      </c>
      <c r="AI6359">
        <v>97.487369278918706</v>
      </c>
      <c r="AJ6359">
        <v>62.767394828464397</v>
      </c>
      <c r="AK6359">
        <v>8.33825350510077</v>
      </c>
    </row>
    <row r="6360" spans="1:37" x14ac:dyDescent="0.2">
      <c r="A6360" t="str">
        <f>"20200111153815648"</f>
        <v>20200111153815648</v>
      </c>
      <c r="B6360" t="str">
        <f>"1578728295639161"</f>
        <v>1578728295639161</v>
      </c>
      <c r="C6360" t="s">
        <v>37</v>
      </c>
      <c r="D6360">
        <v>5.773631</v>
      </c>
      <c r="E6360">
        <v>0.60353169999999901</v>
      </c>
      <c r="F6360" t="s">
        <v>39</v>
      </c>
      <c r="G6360">
        <v>-166.8587</v>
      </c>
      <c r="H6360" s="1">
        <v>-2.101926E-6</v>
      </c>
      <c r="I6360">
        <v>136.1909</v>
      </c>
      <c r="J6360">
        <v>-175.2216</v>
      </c>
      <c r="K6360">
        <v>1.086514</v>
      </c>
      <c r="L6360">
        <v>135.02969999999999</v>
      </c>
      <c r="M6360">
        <v>0.81867529999999999</v>
      </c>
      <c r="N6360">
        <v>0</v>
      </c>
      <c r="O6360">
        <v>0.5738837</v>
      </c>
      <c r="P6360">
        <v>0.91769469999999997</v>
      </c>
      <c r="Q6360">
        <v>-2.6423429999999901E-3</v>
      </c>
      <c r="R6360">
        <v>0.39727790000000002</v>
      </c>
      <c r="S6360">
        <v>3.076355</v>
      </c>
      <c r="T6360">
        <v>-0.39129520000000001</v>
      </c>
      <c r="U6360">
        <v>0.46243289999999998</v>
      </c>
      <c r="V6360">
        <v>0.20202529999999999</v>
      </c>
      <c r="W6360">
        <v>8.9027350000000002E-3</v>
      </c>
      <c r="X6360">
        <v>0.97933979999999998</v>
      </c>
      <c r="Y6360">
        <v>0.43854549999999998</v>
      </c>
      <c r="Z6360">
        <v>-9.5580659999999998E-2</v>
      </c>
      <c r="AA6360">
        <v>0.89361190000000001</v>
      </c>
      <c r="AB6360">
        <v>37</v>
      </c>
      <c r="AC6360">
        <v>8.3628999999999891</v>
      </c>
      <c r="AD6360">
        <v>-1.0865161019259999</v>
      </c>
      <c r="AE6360">
        <v>1.1612</v>
      </c>
      <c r="AF6360">
        <v>3.7868004929683101</v>
      </c>
      <c r="AG6360">
        <v>-1.0865161019259999</v>
      </c>
      <c r="AH6360">
        <v>7.3920883009682496</v>
      </c>
      <c r="AI6360">
        <v>97.452965225828606</v>
      </c>
      <c r="AJ6360">
        <v>62.874957844998697</v>
      </c>
      <c r="AK6360">
        <v>8.3763562879453293</v>
      </c>
    </row>
    <row r="6361" spans="1:37" x14ac:dyDescent="0.2">
      <c r="A6361" t="str">
        <f>"20200111153815663"</f>
        <v>20200111153815663</v>
      </c>
      <c r="B6361" t="str">
        <f>"1578728295659658"</f>
        <v>1578728295659658</v>
      </c>
      <c r="C6361" t="s">
        <v>37</v>
      </c>
      <c r="D6361">
        <v>5.7638369999999997</v>
      </c>
      <c r="E6361">
        <v>0.60315299999999905</v>
      </c>
      <c r="F6361" t="s">
        <v>39</v>
      </c>
      <c r="G6361">
        <v>-166.6934</v>
      </c>
      <c r="H6361" s="1">
        <v>-2.1544299999999899E-6</v>
      </c>
      <c r="I6361">
        <v>136.23220000000001</v>
      </c>
      <c r="J6361">
        <v>-175.02289999999999</v>
      </c>
      <c r="K6361">
        <v>1.0864830000000001</v>
      </c>
      <c r="L6361">
        <v>135.16319999999999</v>
      </c>
      <c r="M6361">
        <v>0.82509249999999901</v>
      </c>
      <c r="N6361">
        <v>0</v>
      </c>
      <c r="O6361">
        <v>0.56461799999999995</v>
      </c>
      <c r="P6361">
        <v>0.92168619999999901</v>
      </c>
      <c r="Q6361">
        <v>-3.1910929999999999E-3</v>
      </c>
      <c r="R6361">
        <v>0.38792309999999902</v>
      </c>
      <c r="S6361">
        <v>3.0799259999999999</v>
      </c>
      <c r="T6361">
        <v>-0.3923913</v>
      </c>
      <c r="U6361">
        <v>0.43429570000000001</v>
      </c>
      <c r="V6361">
        <v>0.20092360000000001</v>
      </c>
      <c r="W6361">
        <v>8.4106589999999991E-3</v>
      </c>
      <c r="X6361">
        <v>0.97957079999999996</v>
      </c>
      <c r="Y6361">
        <v>0.43662049999999902</v>
      </c>
      <c r="Z6361">
        <v>-9.4770750000000001E-2</v>
      </c>
      <c r="AA6361">
        <v>0.89464009999999905</v>
      </c>
      <c r="AB6361">
        <v>37</v>
      </c>
      <c r="AC6361">
        <v>8.3294999999999906</v>
      </c>
      <c r="AD6361">
        <v>-1.0864851544299901</v>
      </c>
      <c r="AE6361">
        <v>1.0690000000000099</v>
      </c>
      <c r="AF6361">
        <v>3.7588638921926498</v>
      </c>
      <c r="AG6361">
        <v>-1.0864851544299901</v>
      </c>
      <c r="AH6361">
        <v>7.3546824783931299</v>
      </c>
      <c r="AI6361">
        <v>97.493814028325602</v>
      </c>
      <c r="AJ6361">
        <v>62.929130680470301</v>
      </c>
      <c r="AK6361">
        <v>8.3307179827917199</v>
      </c>
    </row>
    <row r="6362" spans="1:37" x14ac:dyDescent="0.2">
      <c r="A6362" t="str">
        <f>"20200111153815686"</f>
        <v>20200111153815686</v>
      </c>
      <c r="B6362" t="str">
        <f>"1578728295679179"</f>
        <v>1578728295679179</v>
      </c>
      <c r="C6362" t="s">
        <v>37</v>
      </c>
      <c r="D6362">
        <v>5.7523400000000002</v>
      </c>
      <c r="E6362">
        <v>0.60273779999999999</v>
      </c>
      <c r="F6362" t="s">
        <v>39</v>
      </c>
      <c r="G6362">
        <v>-166.50530000000001</v>
      </c>
      <c r="H6362" s="1">
        <v>-2.223891E-6</v>
      </c>
      <c r="I6362">
        <v>136.28190000000001</v>
      </c>
      <c r="J6362">
        <v>-174.69829999999999</v>
      </c>
      <c r="K6362">
        <v>1.0864579999999999</v>
      </c>
      <c r="L6362">
        <v>135.37370000000001</v>
      </c>
      <c r="M6362">
        <v>0.83529629999999999</v>
      </c>
      <c r="N6362">
        <v>0</v>
      </c>
      <c r="O6362">
        <v>0.54940900000000004</v>
      </c>
      <c r="P6362">
        <v>0.92786279999999999</v>
      </c>
      <c r="Q6362">
        <v>-3.9927030000000002E-3</v>
      </c>
      <c r="R6362">
        <v>0.37290059999999903</v>
      </c>
      <c r="S6362">
        <v>3.0830989999999998</v>
      </c>
      <c r="T6362">
        <v>-0.39327469999999998</v>
      </c>
      <c r="U6362">
        <v>0.40492250000000002</v>
      </c>
      <c r="V6362">
        <v>0.19885799999999901</v>
      </c>
      <c r="W6362">
        <v>7.7187890000000002E-3</v>
      </c>
      <c r="X6362">
        <v>0.97999789999999998</v>
      </c>
      <c r="Y6362">
        <v>0.42878939999999999</v>
      </c>
      <c r="Z6362">
        <v>-9.2909720000000001E-2</v>
      </c>
      <c r="AA6362">
        <v>0.89861420000000003</v>
      </c>
      <c r="AB6362">
        <v>37</v>
      </c>
      <c r="AC6362">
        <v>8.1929999999999801</v>
      </c>
      <c r="AD6362">
        <v>-1.0864602238909999</v>
      </c>
      <c r="AE6362">
        <v>0.90819999999999301</v>
      </c>
      <c r="AF6362">
        <v>3.6795766559340399</v>
      </c>
      <c r="AG6362">
        <v>-1.0864602238909999</v>
      </c>
      <c r="AH6362">
        <v>7.2187340654404899</v>
      </c>
      <c r="AI6362">
        <v>97.637271129291904</v>
      </c>
      <c r="AJ6362">
        <v>62.990877001104899</v>
      </c>
      <c r="AK6362">
        <v>8.1749496446487697</v>
      </c>
    </row>
    <row r="6363" spans="1:37" x14ac:dyDescent="0.2">
      <c r="A6363" t="str">
        <f>"20200111153815703"</f>
        <v>20200111153815703</v>
      </c>
      <c r="B6363" t="str">
        <f>"1578728295699939"</f>
        <v>1578728295699939</v>
      </c>
      <c r="C6363" t="s">
        <v>37</v>
      </c>
      <c r="D6363">
        <v>5.7268530000000002</v>
      </c>
      <c r="E6363">
        <v>0.60231330000000005</v>
      </c>
      <c r="F6363" t="s">
        <v>39</v>
      </c>
      <c r="G6363">
        <v>-166.17959999999999</v>
      </c>
      <c r="H6363" s="1">
        <v>-2.364392E-6</v>
      </c>
      <c r="I6363">
        <v>136.3578</v>
      </c>
      <c r="J6363">
        <v>-174.45699999999999</v>
      </c>
      <c r="K6363">
        <v>1.086446</v>
      </c>
      <c r="L6363">
        <v>135.52510000000001</v>
      </c>
      <c r="M6363">
        <v>0.84266629999999998</v>
      </c>
      <c r="N6363">
        <v>0</v>
      </c>
      <c r="O6363">
        <v>0.53803610000000002</v>
      </c>
      <c r="P6363">
        <v>0.93237039999999904</v>
      </c>
      <c r="Q6363">
        <v>-3.7621920000000001E-3</v>
      </c>
      <c r="R6363">
        <v>0.3614848</v>
      </c>
      <c r="S6363">
        <v>3.0881810000000001</v>
      </c>
      <c r="T6363">
        <v>-0.39386149999999998</v>
      </c>
      <c r="U6363">
        <v>0.35671999999999998</v>
      </c>
      <c r="V6363">
        <v>0.1976146</v>
      </c>
      <c r="W6363">
        <v>8.0187109999999995E-3</v>
      </c>
      <c r="X6363">
        <v>0.98024699999999998</v>
      </c>
      <c r="Y6363">
        <v>0.4306217</v>
      </c>
      <c r="Z6363">
        <v>-9.1966039999999999E-2</v>
      </c>
      <c r="AA6363">
        <v>0.89783469999999999</v>
      </c>
      <c r="AB6363">
        <v>37</v>
      </c>
      <c r="AC6363">
        <v>8.2774000000000001</v>
      </c>
      <c r="AD6363">
        <v>-1.086448364392</v>
      </c>
      <c r="AE6363">
        <v>0.83269999999998801</v>
      </c>
      <c r="AF6363">
        <v>3.6897307796097598</v>
      </c>
      <c r="AG6363">
        <v>-1.086448364392</v>
      </c>
      <c r="AH6363">
        <v>7.3002011227754204</v>
      </c>
      <c r="AI6363">
        <v>97.565909928695703</v>
      </c>
      <c r="AJ6363">
        <v>63.186658662468098</v>
      </c>
      <c r="AK6363">
        <v>8.2515101470858792</v>
      </c>
    </row>
    <row r="6364" spans="1:37" x14ac:dyDescent="0.2">
      <c r="A6364" t="str">
        <f>"20200111153815718"</f>
        <v>20200111153815718</v>
      </c>
      <c r="B6364" t="str">
        <f>"1578728295709688"</f>
        <v>1578728295709688</v>
      </c>
      <c r="C6364" t="s">
        <v>37</v>
      </c>
      <c r="D6364">
        <v>5.7883399999999998</v>
      </c>
      <c r="E6364">
        <v>0.6021183</v>
      </c>
      <c r="F6364" t="s">
        <v>39</v>
      </c>
      <c r="G6364">
        <v>-165.8914</v>
      </c>
      <c r="H6364" s="1">
        <v>-2.4904380000000001E-6</v>
      </c>
      <c r="I6364">
        <v>136.41540000000001</v>
      </c>
      <c r="J6364">
        <v>-174.22839999999999</v>
      </c>
      <c r="K6364">
        <v>1.086441</v>
      </c>
      <c r="L6364">
        <v>135.66460000000001</v>
      </c>
      <c r="M6364">
        <v>0.84947909999999904</v>
      </c>
      <c r="N6364">
        <v>0</v>
      </c>
      <c r="O6364">
        <v>0.52721319999999905</v>
      </c>
      <c r="P6364">
        <v>0.93571349999999998</v>
      </c>
      <c r="Q6364">
        <v>-2.322565E-3</v>
      </c>
      <c r="R6364">
        <v>0.35275339999999999</v>
      </c>
      <c r="S6364">
        <v>3.0914459999999999</v>
      </c>
      <c r="T6364">
        <v>-0.39211390000000002</v>
      </c>
      <c r="U6364">
        <v>0.32131959999999998</v>
      </c>
      <c r="V6364">
        <v>0.19430710000000001</v>
      </c>
      <c r="W6364">
        <v>9.6270179999999993E-3</v>
      </c>
      <c r="X6364">
        <v>0.98089349999999997</v>
      </c>
      <c r="Y6364">
        <v>0.42951929999999999</v>
      </c>
      <c r="Z6364">
        <v>-9.0348390000000001E-2</v>
      </c>
      <c r="AA6364">
        <v>0.89852679999999996</v>
      </c>
      <c r="AB6364">
        <v>37</v>
      </c>
      <c r="AC6364">
        <v>8.3369999999999802</v>
      </c>
      <c r="AD6364">
        <v>-1.086443490438</v>
      </c>
      <c r="AE6364">
        <v>0.75079999999999802</v>
      </c>
      <c r="AF6364">
        <v>3.6961348633744402</v>
      </c>
      <c r="AG6364">
        <v>-1.086443490438</v>
      </c>
      <c r="AH6364">
        <v>7.3556425446173099</v>
      </c>
      <c r="AI6364">
        <v>97.518277001553798</v>
      </c>
      <c r="AJ6364">
        <v>63.320941526551898</v>
      </c>
      <c r="AK6364">
        <v>8.3034480567021909</v>
      </c>
    </row>
    <row r="6365" spans="1:37" x14ac:dyDescent="0.2">
      <c r="A6365" t="str">
        <f>"20200111153815741"</f>
        <v>20200111153815741</v>
      </c>
      <c r="B6365" t="str">
        <f>"1578728295729208"</f>
        <v>1578728295729208</v>
      </c>
      <c r="C6365" t="s">
        <v>37</v>
      </c>
      <c r="D6365">
        <v>5.6403319999999999</v>
      </c>
      <c r="E6365">
        <v>0.60178799999999999</v>
      </c>
      <c r="F6365" t="s">
        <v>39</v>
      </c>
      <c r="G6365">
        <v>-165.5258</v>
      </c>
      <c r="H6365" s="1">
        <v>-2.6501260000000001E-6</v>
      </c>
      <c r="I6365">
        <v>136.48939999999999</v>
      </c>
      <c r="J6365">
        <v>-173.90989999999999</v>
      </c>
      <c r="K6365">
        <v>1.086444</v>
      </c>
      <c r="L6365">
        <v>135.85130000000001</v>
      </c>
      <c r="M6365">
        <v>0.8586859</v>
      </c>
      <c r="N6365">
        <v>0</v>
      </c>
      <c r="O6365">
        <v>0.51208030000000004</v>
      </c>
      <c r="P6365">
        <v>0.94064619999999999</v>
      </c>
      <c r="Q6365">
        <v>-4.4256889999999999E-4</v>
      </c>
      <c r="R6365">
        <v>0.33938839999999998</v>
      </c>
      <c r="S6365">
        <v>3.094589</v>
      </c>
      <c r="T6365">
        <v>-0.3863337</v>
      </c>
      <c r="U6365">
        <v>0.29327389999999998</v>
      </c>
      <c r="V6365">
        <v>0.19098779999999899</v>
      </c>
      <c r="W6365">
        <v>1.1682069999999999E-2</v>
      </c>
      <c r="X6365">
        <v>0.98152289999999998</v>
      </c>
      <c r="Y6365">
        <v>0.42207119999999998</v>
      </c>
      <c r="Z6365">
        <v>-8.6943969999999995E-2</v>
      </c>
      <c r="AA6365">
        <v>0.90238390000000002</v>
      </c>
      <c r="AB6365">
        <v>37</v>
      </c>
      <c r="AC6365">
        <v>8.3840999999999894</v>
      </c>
      <c r="AD6365">
        <v>-1.0864466501259999</v>
      </c>
      <c r="AE6365">
        <v>0.63809999999998002</v>
      </c>
      <c r="AF6365">
        <v>3.6846974726105199</v>
      </c>
      <c r="AG6365">
        <v>-1.0864466501259999</v>
      </c>
      <c r="AH6365">
        <v>7.4040804346883098</v>
      </c>
      <c r="AI6365">
        <v>97.483959787508894</v>
      </c>
      <c r="AJ6365">
        <v>63.5424135419848</v>
      </c>
      <c r="AK6365">
        <v>8.3413289631548899</v>
      </c>
    </row>
    <row r="6366" spans="1:37" x14ac:dyDescent="0.2">
      <c r="A6366" t="str">
        <f>"20200111153815765"</f>
        <v>20200111153815765</v>
      </c>
      <c r="B6366" t="str">
        <f>"1578728295759465"</f>
        <v>1578728295759465</v>
      </c>
      <c r="C6366" t="s">
        <v>37</v>
      </c>
      <c r="D6366">
        <v>5.6448859999999996</v>
      </c>
      <c r="E6366">
        <v>0.6014273</v>
      </c>
      <c r="F6366" t="s">
        <v>39</v>
      </c>
      <c r="G6366">
        <v>-165.02709999999999</v>
      </c>
      <c r="H6366" s="1">
        <v>-2.8711619999999999E-6</v>
      </c>
      <c r="I6366">
        <v>136.57230000000001</v>
      </c>
      <c r="J6366">
        <v>-173.57550000000001</v>
      </c>
      <c r="K6366">
        <v>1.0864510000000001</v>
      </c>
      <c r="L6366">
        <v>136.03899999999999</v>
      </c>
      <c r="M6366">
        <v>0.8680118</v>
      </c>
      <c r="N6366">
        <v>0</v>
      </c>
      <c r="O6366">
        <v>0.49610670000000001</v>
      </c>
      <c r="P6366">
        <v>0.94590919999999901</v>
      </c>
      <c r="Q6366">
        <v>7.0215740000000005E-4</v>
      </c>
      <c r="R6366">
        <v>0.32443090000000002</v>
      </c>
      <c r="S6366">
        <v>3.0983890000000001</v>
      </c>
      <c r="T6366">
        <v>-0.37895970000000001</v>
      </c>
      <c r="U6366">
        <v>0.25148009999999998</v>
      </c>
      <c r="V6366">
        <v>0.1884451</v>
      </c>
      <c r="W6366">
        <v>1.2972289999999999E-2</v>
      </c>
      <c r="X6366">
        <v>0.98199799999999904</v>
      </c>
      <c r="Y6366">
        <v>0.41791070000000002</v>
      </c>
      <c r="Z6366">
        <v>-8.3354549999999999E-2</v>
      </c>
      <c r="AA6366">
        <v>0.90465609999999996</v>
      </c>
      <c r="AB6366">
        <v>37</v>
      </c>
      <c r="AC6366">
        <v>8.5484000000000098</v>
      </c>
      <c r="AD6366">
        <v>-1.086453871162</v>
      </c>
      <c r="AE6366">
        <v>0.53330000000002498</v>
      </c>
      <c r="AF6366">
        <v>3.7189874006588099</v>
      </c>
      <c r="AG6366">
        <v>-1.086453871162</v>
      </c>
      <c r="AH6366">
        <v>7.5646348350456796</v>
      </c>
      <c r="AI6366">
        <v>97.344296142374901</v>
      </c>
      <c r="AJ6366">
        <v>63.819969894223398</v>
      </c>
      <c r="AK6366">
        <v>8.4991146296545796</v>
      </c>
    </row>
    <row r="6367" spans="1:37" x14ac:dyDescent="0.2">
      <c r="A6367" t="str">
        <f>"20200111153815780"</f>
        <v>20200111153815780</v>
      </c>
      <c r="B6367" t="str">
        <f>"1578728295769225"</f>
        <v>1578728295769225</v>
      </c>
      <c r="C6367" t="s">
        <v>37</v>
      </c>
      <c r="D6367">
        <v>5.6337279999999996</v>
      </c>
      <c r="E6367">
        <v>0.60128409999999999</v>
      </c>
      <c r="F6367" t="s">
        <v>39</v>
      </c>
      <c r="G6367">
        <v>-164.5172</v>
      </c>
      <c r="H6367" s="1">
        <v>-3.100455E-6</v>
      </c>
      <c r="I6367">
        <v>136.63839999999999</v>
      </c>
      <c r="J6367">
        <v>-173.33410000000001</v>
      </c>
      <c r="K6367">
        <v>1.0864559999999901</v>
      </c>
      <c r="L6367">
        <v>136.16999999999999</v>
      </c>
      <c r="M6367">
        <v>0.87452929999999995</v>
      </c>
      <c r="N6367">
        <v>0</v>
      </c>
      <c r="O6367">
        <v>0.48452449999999903</v>
      </c>
      <c r="P6367">
        <v>0.94987269999999902</v>
      </c>
      <c r="Q6367">
        <v>9.6024429999999996E-4</v>
      </c>
      <c r="R6367">
        <v>0.31263559999999901</v>
      </c>
      <c r="S6367">
        <v>3.1014400000000002</v>
      </c>
      <c r="T6367">
        <v>-0.3719903</v>
      </c>
      <c r="U6367">
        <v>0.2052002</v>
      </c>
      <c r="V6367">
        <v>0.18762379999999901</v>
      </c>
      <c r="W6367">
        <v>1.3291270000000001E-2</v>
      </c>
      <c r="X6367">
        <v>0.982151</v>
      </c>
      <c r="Y6367">
        <v>0.41965439999999998</v>
      </c>
      <c r="Z6367">
        <v>-8.0739569999999997E-2</v>
      </c>
      <c r="AA6367">
        <v>0.9040859</v>
      </c>
      <c r="AB6367">
        <v>37</v>
      </c>
      <c r="AC6367">
        <v>8.8169000000000004</v>
      </c>
      <c r="AD6367">
        <v>-1.0864591004549999</v>
      </c>
      <c r="AE6367">
        <v>0.46840000000000198</v>
      </c>
      <c r="AF6367">
        <v>3.8055913049829</v>
      </c>
      <c r="AG6367">
        <v>-1.0864591004549999</v>
      </c>
      <c r="AH6367">
        <v>7.8208931004567503</v>
      </c>
      <c r="AI6367">
        <v>97.120180484678102</v>
      </c>
      <c r="AJ6367">
        <v>64.052773016320501</v>
      </c>
      <c r="AK6367">
        <v>8.7652317394519006</v>
      </c>
    </row>
    <row r="6368" spans="1:37" x14ac:dyDescent="0.2">
      <c r="A6368" t="str">
        <f>"20200111153815797"</f>
        <v>20200111153815797</v>
      </c>
      <c r="B6368" t="str">
        <f>"1578728295789721"</f>
        <v>1578728295789721</v>
      </c>
      <c r="C6368" t="s">
        <v>37</v>
      </c>
      <c r="D6368">
        <v>5.8455779999999997</v>
      </c>
      <c r="E6368">
        <v>0.60093229999999997</v>
      </c>
      <c r="F6368" t="s">
        <v>39</v>
      </c>
      <c r="G6368">
        <v>-164.23060000000001</v>
      </c>
      <c r="H6368" s="1">
        <v>-3.2317680000000001E-6</v>
      </c>
      <c r="I6368">
        <v>136.66200000000001</v>
      </c>
      <c r="J6368">
        <v>-173.08580000000001</v>
      </c>
      <c r="K6368">
        <v>1.086463</v>
      </c>
      <c r="L6368">
        <v>136.30000000000001</v>
      </c>
      <c r="M6368">
        <v>0.88104720000000003</v>
      </c>
      <c r="N6368">
        <v>0</v>
      </c>
      <c r="O6368">
        <v>0.47256769999999998</v>
      </c>
      <c r="P6368">
        <v>0.95332410000000001</v>
      </c>
      <c r="Q6368">
        <v>1.0654919999999999E-3</v>
      </c>
      <c r="R6368">
        <v>0.30194670000000001</v>
      </c>
      <c r="S6368">
        <v>3.1034999999999999</v>
      </c>
      <c r="T6368">
        <v>-0.37038690000000002</v>
      </c>
      <c r="U6368">
        <v>0.1677246</v>
      </c>
      <c r="V6368">
        <v>0.1852849</v>
      </c>
      <c r="W6368">
        <v>1.3532529999999999E-2</v>
      </c>
      <c r="X6368">
        <v>0.98259169999999996</v>
      </c>
      <c r="Y6368">
        <v>0.41837259999999998</v>
      </c>
      <c r="Z6368">
        <v>-7.9074489999999997E-2</v>
      </c>
      <c r="AA6368">
        <v>0.90482689999999999</v>
      </c>
      <c r="AB6368">
        <v>36</v>
      </c>
      <c r="AC6368">
        <v>8.8551999999999893</v>
      </c>
      <c r="AD6368">
        <v>-1.0864662317680001</v>
      </c>
      <c r="AE6368">
        <v>0.36199999999999399</v>
      </c>
      <c r="AF6368">
        <v>3.8093366998211802</v>
      </c>
      <c r="AG6368">
        <v>-1.0864662317680001</v>
      </c>
      <c r="AH6368">
        <v>7.8565844484477099</v>
      </c>
      <c r="AI6368">
        <v>97.092992624327394</v>
      </c>
      <c r="AJ6368">
        <v>64.133149378695194</v>
      </c>
      <c r="AK6368">
        <v>8.7987143470490707</v>
      </c>
    </row>
    <row r="6369" spans="1:37" x14ac:dyDescent="0.2">
      <c r="A6369" t="str">
        <f>"20200111153815822"</f>
        <v>20200111153815822</v>
      </c>
      <c r="B6369" t="str">
        <f>"1578728295819977"</f>
        <v>1578728295819977</v>
      </c>
      <c r="C6369" t="s">
        <v>37</v>
      </c>
      <c r="D6369">
        <v>5.8868080000000003</v>
      </c>
      <c r="E6369">
        <v>0.60055080000000005</v>
      </c>
      <c r="F6369" t="s">
        <v>39</v>
      </c>
      <c r="G6369">
        <v>-163.90809999999999</v>
      </c>
      <c r="H6369" s="1">
        <v>-3.3776459999999899E-6</v>
      </c>
      <c r="I6369">
        <v>136.69909999999999</v>
      </c>
      <c r="J6369">
        <v>-172.7535</v>
      </c>
      <c r="K6369">
        <v>1.086479</v>
      </c>
      <c r="L6369">
        <v>136.46719999999999</v>
      </c>
      <c r="M6369">
        <v>0.88948099999999997</v>
      </c>
      <c r="N6369">
        <v>0</v>
      </c>
      <c r="O6369">
        <v>0.45649380000000001</v>
      </c>
      <c r="P6369">
        <v>0.95775200000000005</v>
      </c>
      <c r="Q6369">
        <v>1.53908E-3</v>
      </c>
      <c r="R6369">
        <v>0.28759129999999999</v>
      </c>
      <c r="S6369">
        <v>3.1045229999999999</v>
      </c>
      <c r="T6369">
        <v>-0.36751459999999903</v>
      </c>
      <c r="U6369">
        <v>0.13500979999999899</v>
      </c>
      <c r="V6369">
        <v>0.18222939999999899</v>
      </c>
      <c r="W6369">
        <v>1.4186209999999999E-2</v>
      </c>
      <c r="X6369">
        <v>0.98315370000000002</v>
      </c>
      <c r="Y6369">
        <v>0.41167349999999903</v>
      </c>
      <c r="Z6369">
        <v>-7.6400759999999998E-2</v>
      </c>
      <c r="AA6369">
        <v>0.90812329999999997</v>
      </c>
      <c r="AB6369">
        <v>36</v>
      </c>
      <c r="AC6369">
        <v>8.8454000000000104</v>
      </c>
      <c r="AD6369">
        <v>-1.086482377646</v>
      </c>
      <c r="AE6369">
        <v>0.231899999999996</v>
      </c>
      <c r="AF6369">
        <v>3.7755139774229902</v>
      </c>
      <c r="AG6369">
        <v>-1.086482377646</v>
      </c>
      <c r="AH6369">
        <v>7.8569602208607296</v>
      </c>
      <c r="AI6369">
        <v>97.104666021042306</v>
      </c>
      <c r="AJ6369">
        <v>64.3342662568203</v>
      </c>
      <c r="AK6369">
        <v>8.7844620588195195</v>
      </c>
    </row>
    <row r="6370" spans="1:37" x14ac:dyDescent="0.2">
      <c r="A6370" t="str">
        <f>"20200111153815844"</f>
        <v>20200111153815844</v>
      </c>
      <c r="B6370" t="str">
        <f>"1578728295829737"</f>
        <v>1578728295829737</v>
      </c>
      <c r="C6370" t="s">
        <v>37</v>
      </c>
      <c r="D6370">
        <v>5.6806720000000004</v>
      </c>
      <c r="E6370">
        <v>0.57323769999999996</v>
      </c>
      <c r="F6370" t="s">
        <v>39</v>
      </c>
      <c r="G6370">
        <v>-163.4659</v>
      </c>
      <c r="H6370" s="1">
        <v>-3.5796480000000001E-6</v>
      </c>
      <c r="I6370">
        <v>136.73869999999999</v>
      </c>
      <c r="J6370">
        <v>-172.435</v>
      </c>
      <c r="K6370">
        <v>1.0865009999999999</v>
      </c>
      <c r="L6370">
        <v>136.62</v>
      </c>
      <c r="M6370">
        <v>0.89725639999999995</v>
      </c>
      <c r="N6370">
        <v>0</v>
      </c>
      <c r="O6370">
        <v>0.4410135</v>
      </c>
      <c r="P6370">
        <v>0.96180309999999902</v>
      </c>
      <c r="Q6370">
        <v>2.6023840000000001E-3</v>
      </c>
      <c r="R6370">
        <v>0.27372999999999997</v>
      </c>
      <c r="S6370">
        <v>3.10562099999999</v>
      </c>
      <c r="T6370">
        <v>-0.36329889999999998</v>
      </c>
      <c r="U6370">
        <v>9.0805049999999998E-2</v>
      </c>
      <c r="V6370">
        <v>0.17944060000000001</v>
      </c>
      <c r="W6370">
        <v>1.541584E-2</v>
      </c>
      <c r="X6370">
        <v>0.98364799999999997</v>
      </c>
      <c r="Y6370">
        <v>0.40908129999999998</v>
      </c>
      <c r="Z6370">
        <v>-7.3780499999999999E-2</v>
      </c>
      <c r="AA6370">
        <v>0.90951029999999999</v>
      </c>
      <c r="AB6370">
        <v>36</v>
      </c>
      <c r="AC6370">
        <v>8.9690999999999903</v>
      </c>
      <c r="AD6370">
        <v>-1.086504579648</v>
      </c>
      <c r="AE6370">
        <v>0.11869999999998899</v>
      </c>
      <c r="AF6370">
        <v>3.7941651488092001</v>
      </c>
      <c r="AG6370">
        <v>-1.086504579648</v>
      </c>
      <c r="AH6370">
        <v>7.9845559237475996</v>
      </c>
      <c r="AI6370">
        <v>97.006810695136295</v>
      </c>
      <c r="AJ6370">
        <v>64.583493934462695</v>
      </c>
      <c r="AK6370">
        <v>8.9067005494451905</v>
      </c>
    </row>
    <row r="6371" spans="1:37" x14ac:dyDescent="0.2">
      <c r="A6371" t="str">
        <f>"20200111153815858"</f>
        <v>20200111153815858</v>
      </c>
      <c r="B6371" t="str">
        <f>"1578728295849257"</f>
        <v>1578728295849257</v>
      </c>
      <c r="C6371" t="s">
        <v>37</v>
      </c>
      <c r="D6371">
        <v>5.7190589999999997</v>
      </c>
      <c r="E6371">
        <v>0.57471749999999999</v>
      </c>
      <c r="F6371" t="s">
        <v>39</v>
      </c>
      <c r="G6371">
        <v>-162.47890000000001</v>
      </c>
      <c r="H6371" s="1">
        <v>-3.9189769999999997E-6</v>
      </c>
      <c r="I6371">
        <v>137.45599999999999</v>
      </c>
      <c r="J6371">
        <v>-172.18620000000001</v>
      </c>
      <c r="K6371">
        <v>1.086517</v>
      </c>
      <c r="L6371">
        <v>136.73490000000001</v>
      </c>
      <c r="M6371">
        <v>0.90312320000000001</v>
      </c>
      <c r="N6371">
        <v>0</v>
      </c>
      <c r="O6371">
        <v>0.42887019999999998</v>
      </c>
      <c r="P6371">
        <v>0.96503499999999998</v>
      </c>
      <c r="Q6371">
        <v>2.7327269999999999E-3</v>
      </c>
      <c r="R6371">
        <v>0.26210709999999998</v>
      </c>
      <c r="S6371">
        <v>3.0472109999999999</v>
      </c>
      <c r="T6371">
        <v>-0.33253969999999999</v>
      </c>
      <c r="U6371">
        <v>0.25587460000000001</v>
      </c>
      <c r="V6371">
        <v>0.1780455</v>
      </c>
      <c r="W6371">
        <v>1.5637539999999998E-2</v>
      </c>
      <c r="X6371">
        <v>0.98389799999999905</v>
      </c>
      <c r="Y6371">
        <v>0.34746579999999999</v>
      </c>
      <c r="Z6371">
        <v>-6.4070169999999996E-2</v>
      </c>
      <c r="AA6371">
        <v>0.93550119999999903</v>
      </c>
      <c r="AB6371">
        <v>36</v>
      </c>
      <c r="AC6371">
        <v>9.7073</v>
      </c>
      <c r="AD6371">
        <v>-1.086520918977</v>
      </c>
      <c r="AE6371">
        <v>0.72110000000000696</v>
      </c>
      <c r="AF6371">
        <v>3.4694736027145199</v>
      </c>
      <c r="AG6371">
        <v>-1.086520918977</v>
      </c>
      <c r="AH6371">
        <v>8.96642400550442</v>
      </c>
      <c r="AI6371">
        <v>96.447719178099106</v>
      </c>
      <c r="AJ6371">
        <v>68.846521967549904</v>
      </c>
      <c r="AK6371">
        <v>9.6754604145639291</v>
      </c>
    </row>
    <row r="6372" spans="1:37" x14ac:dyDescent="0.2">
      <c r="A6372" t="str">
        <f>"20200111153815872"</f>
        <v>20200111153815872</v>
      </c>
      <c r="B6372" t="str">
        <f>"1578728295859993"</f>
        <v>1578728295859993</v>
      </c>
      <c r="C6372" t="s">
        <v>37</v>
      </c>
      <c r="D6372">
        <v>5.7201709999999997</v>
      </c>
      <c r="E6372">
        <v>0.57442689999999996</v>
      </c>
      <c r="F6372" t="s">
        <v>39</v>
      </c>
      <c r="G6372">
        <v>-161.84729999999999</v>
      </c>
      <c r="H6372" s="1">
        <v>-4.2205219999999998E-6</v>
      </c>
      <c r="I6372">
        <v>137.43899999999999</v>
      </c>
      <c r="J6372">
        <v>-171.98169999999999</v>
      </c>
      <c r="K6372">
        <v>1.086522</v>
      </c>
      <c r="L6372">
        <v>136.82550000000001</v>
      </c>
      <c r="M6372">
        <v>0.90780830000000001</v>
      </c>
      <c r="N6372">
        <v>0</v>
      </c>
      <c r="O6372">
        <v>0.41886089999999998</v>
      </c>
      <c r="P6372">
        <v>0.96749030000000003</v>
      </c>
      <c r="Q6372">
        <v>2.7250439999999998E-3</v>
      </c>
      <c r="R6372">
        <v>0.25289349999999999</v>
      </c>
      <c r="S6372">
        <v>3.0531160000000002</v>
      </c>
      <c r="T6372">
        <v>-0.3208551</v>
      </c>
      <c r="U6372">
        <v>0.2079163</v>
      </c>
      <c r="V6372">
        <v>0.1765523</v>
      </c>
      <c r="W6372">
        <v>1.5720020000000001E-2</v>
      </c>
      <c r="X6372">
        <v>0.98416569999999903</v>
      </c>
      <c r="Y6372">
        <v>0.35220630000000003</v>
      </c>
      <c r="Z6372">
        <v>-6.1077569999999998E-2</v>
      </c>
      <c r="AA6372">
        <v>0.93392739999999996</v>
      </c>
      <c r="AB6372">
        <v>36</v>
      </c>
      <c r="AC6372">
        <v>10.134399999999999</v>
      </c>
      <c r="AD6372">
        <v>-1.0865262205220001</v>
      </c>
      <c r="AE6372">
        <v>0.61349999999998694</v>
      </c>
      <c r="AF6372">
        <v>3.6470075503225798</v>
      </c>
      <c r="AG6372">
        <v>-1.0865262205220001</v>
      </c>
      <c r="AH6372">
        <v>9.3520400144546905</v>
      </c>
      <c r="AI6372">
        <v>96.177722327702696</v>
      </c>
      <c r="AJ6372">
        <v>68.695748197884299</v>
      </c>
      <c r="AK6372">
        <v>10.096625957811501</v>
      </c>
    </row>
    <row r="6373" spans="1:37" x14ac:dyDescent="0.2">
      <c r="A6373" t="str">
        <f>"20200111153815887"</f>
        <v>20200111153815887</v>
      </c>
      <c r="B6373" t="str">
        <f>"1578728295879513"</f>
        <v>1578728295879513</v>
      </c>
      <c r="C6373" t="s">
        <v>37</v>
      </c>
      <c r="D6373">
        <v>5.753374</v>
      </c>
      <c r="E6373">
        <v>0.5736502</v>
      </c>
      <c r="F6373" t="s">
        <v>39</v>
      </c>
      <c r="G6373">
        <v>-161.6661</v>
      </c>
      <c r="H6373" s="1">
        <v>-4.3065420000000001E-6</v>
      </c>
      <c r="I6373">
        <v>137.43709999999999</v>
      </c>
      <c r="J6373">
        <v>-171.75630000000001</v>
      </c>
      <c r="K6373">
        <v>1.086533</v>
      </c>
      <c r="L6373">
        <v>136.92269999999999</v>
      </c>
      <c r="M6373">
        <v>0.91283269999999905</v>
      </c>
      <c r="N6373">
        <v>0</v>
      </c>
      <c r="O6373">
        <v>0.4077945</v>
      </c>
      <c r="P6373">
        <v>0.969059</v>
      </c>
      <c r="Q6373">
        <v>1.4557400000000001E-3</v>
      </c>
      <c r="R6373">
        <v>0.24682519999999999</v>
      </c>
      <c r="S6373">
        <v>3.0543819999999999</v>
      </c>
      <c r="T6373">
        <v>-0.32171379999999999</v>
      </c>
      <c r="U6373">
        <v>0.18107599999999999</v>
      </c>
      <c r="V6373">
        <v>0.1707042</v>
      </c>
      <c r="W6373">
        <v>1.474643E-2</v>
      </c>
      <c r="X6373">
        <v>0.98521199999999998</v>
      </c>
      <c r="Y6373">
        <v>0.34909059999999997</v>
      </c>
      <c r="Z6373">
        <v>-6.0020730000000001E-2</v>
      </c>
      <c r="AA6373">
        <v>0.93516480000000002</v>
      </c>
      <c r="AB6373">
        <v>36</v>
      </c>
      <c r="AC6373">
        <v>10.090199999999999</v>
      </c>
      <c r="AD6373">
        <v>-1.0865373065420001</v>
      </c>
      <c r="AE6373">
        <v>0.51439999999999397</v>
      </c>
      <c r="AF6373">
        <v>3.6042841578874598</v>
      </c>
      <c r="AG6373">
        <v>-1.0865373065420001</v>
      </c>
      <c r="AH6373">
        <v>9.3147781006745305</v>
      </c>
      <c r="AI6373">
        <v>96.208595418207693</v>
      </c>
      <c r="AJ6373">
        <v>68.846424554201704</v>
      </c>
      <c r="AK6373">
        <v>10.046716810685499</v>
      </c>
    </row>
    <row r="6374" spans="1:37" x14ac:dyDescent="0.2">
      <c r="A6374" t="str">
        <f>"20200111153815920"</f>
        <v>20200111153815920</v>
      </c>
      <c r="B6374" t="str">
        <f>"1578728295909769"</f>
        <v>1578728295909769</v>
      </c>
      <c r="C6374" t="s">
        <v>37</v>
      </c>
      <c r="D6374">
        <v>5.7804149999999996</v>
      </c>
      <c r="E6374">
        <v>0.57214750000000003</v>
      </c>
      <c r="F6374" t="s">
        <v>39</v>
      </c>
      <c r="G6374">
        <v>-161.64619999999999</v>
      </c>
      <c r="H6374" s="1">
        <v>-4.3088259999999996E-6</v>
      </c>
      <c r="I6374">
        <v>137.47710000000001</v>
      </c>
      <c r="J6374">
        <v>-171.26589999999999</v>
      </c>
      <c r="K6374">
        <v>1.086576</v>
      </c>
      <c r="L6374">
        <v>137.12360000000001</v>
      </c>
      <c r="M6374">
        <v>0.92325900000000005</v>
      </c>
      <c r="N6374">
        <v>0</v>
      </c>
      <c r="O6374">
        <v>0.38360309999999997</v>
      </c>
      <c r="P6374">
        <v>0.97354509999999905</v>
      </c>
      <c r="Q6374">
        <v>7.8599529999999896E-4</v>
      </c>
      <c r="R6374">
        <v>0.2284938</v>
      </c>
      <c r="S6374">
        <v>3.0536500000000002</v>
      </c>
      <c r="T6374">
        <v>-0.32817829999999998</v>
      </c>
      <c r="U6374">
        <v>0.16744999999999999</v>
      </c>
      <c r="V6374">
        <v>0.16331089999999901</v>
      </c>
      <c r="W6374">
        <v>1.4467519999999999E-2</v>
      </c>
      <c r="X6374">
        <v>0.98646859999999903</v>
      </c>
      <c r="Y6374">
        <v>0.32856920000000001</v>
      </c>
      <c r="Z6374">
        <v>-5.7751719999999999E-2</v>
      </c>
      <c r="AA6374">
        <v>0.94271260000000001</v>
      </c>
      <c r="AB6374">
        <v>36</v>
      </c>
      <c r="AC6374">
        <v>9.6196999999999893</v>
      </c>
      <c r="AD6374">
        <v>-1.086580308826</v>
      </c>
      <c r="AE6374">
        <v>0.35349999999999598</v>
      </c>
      <c r="AF6374">
        <v>3.3221883748104899</v>
      </c>
      <c r="AG6374">
        <v>-1.086580308826</v>
      </c>
      <c r="AH6374">
        <v>8.9056002574379693</v>
      </c>
      <c r="AI6374">
        <v>96.521496455617296</v>
      </c>
      <c r="AJ6374">
        <v>69.542228431054994</v>
      </c>
      <c r="AK6374">
        <v>9.5669905566240399</v>
      </c>
    </row>
    <row r="6375" spans="1:37" x14ac:dyDescent="0.2">
      <c r="A6375" t="str">
        <f>"20200111153815942"</f>
        <v>20200111153815942</v>
      </c>
      <c r="B6375" t="str">
        <f>"1578728295929289"</f>
        <v>1578728295929289</v>
      </c>
      <c r="C6375" t="s">
        <v>37</v>
      </c>
      <c r="D6375">
        <v>5.8579239999999997</v>
      </c>
      <c r="E6375">
        <v>0.57111630000000002</v>
      </c>
      <c r="F6375" t="s">
        <v>39</v>
      </c>
      <c r="G6375">
        <v>-161.36529999999999</v>
      </c>
      <c r="H6375" s="1">
        <v>-4.4348699999999899E-6</v>
      </c>
      <c r="I6375">
        <v>137.51519999999999</v>
      </c>
      <c r="J6375">
        <v>-170.9298</v>
      </c>
      <c r="K6375">
        <v>1.0866149999999899</v>
      </c>
      <c r="L6375">
        <v>137.2516</v>
      </c>
      <c r="M6375">
        <v>0.93000249999999995</v>
      </c>
      <c r="N6375">
        <v>0</v>
      </c>
      <c r="O6375">
        <v>0.36695129999999998</v>
      </c>
      <c r="P6375">
        <v>0.97665109999999999</v>
      </c>
      <c r="Q6375">
        <v>1.77208799999999E-3</v>
      </c>
      <c r="R6375">
        <v>0.21482470000000001</v>
      </c>
      <c r="S6375">
        <v>3.0534520000000001</v>
      </c>
      <c r="T6375">
        <v>-0.33511360000000001</v>
      </c>
      <c r="U6375">
        <v>0.1207733</v>
      </c>
      <c r="V6375">
        <v>0.15945599999999999</v>
      </c>
      <c r="W6375">
        <v>1.5661850000000001E-2</v>
      </c>
      <c r="X6375">
        <v>0.98708079999999998</v>
      </c>
      <c r="Y6375">
        <v>0.3259223</v>
      </c>
      <c r="Z6375">
        <v>-5.716968E-2</v>
      </c>
      <c r="AA6375">
        <v>0.94366640000000002</v>
      </c>
      <c r="AB6375">
        <v>35</v>
      </c>
      <c r="AC6375">
        <v>9.5645000000000095</v>
      </c>
      <c r="AD6375">
        <v>-1.08661943486999</v>
      </c>
      <c r="AE6375">
        <v>0.263599999999996</v>
      </c>
      <c r="AF6375">
        <v>3.22370168479969</v>
      </c>
      <c r="AG6375">
        <v>-1.08661943486999</v>
      </c>
      <c r="AH6375">
        <v>8.8792072420900698</v>
      </c>
      <c r="AI6375">
        <v>96.561962309247505</v>
      </c>
      <c r="AJ6375">
        <v>70.045970123326995</v>
      </c>
      <c r="AK6375">
        <v>9.5085916726296702</v>
      </c>
    </row>
    <row r="6376" spans="1:37" x14ac:dyDescent="0.2">
      <c r="A6376" t="str">
        <f>"20200111153815965"</f>
        <v>20200111153815965</v>
      </c>
      <c r="B6376" t="str">
        <f>"1578728295959545"</f>
        <v>1578728295959545</v>
      </c>
      <c r="C6376" t="s">
        <v>37</v>
      </c>
      <c r="D6376">
        <v>5.9220259999999998</v>
      </c>
      <c r="E6376">
        <v>0.57040829999999998</v>
      </c>
      <c r="F6376" t="s">
        <v>39</v>
      </c>
      <c r="G6376">
        <v>-161.06010000000001</v>
      </c>
      <c r="H6376" s="1">
        <v>-4.5763090000000002E-6</v>
      </c>
      <c r="I6376">
        <v>137.53120000000001</v>
      </c>
      <c r="J6376">
        <v>-170.57810000000001</v>
      </c>
      <c r="K6376">
        <v>1.08666</v>
      </c>
      <c r="L6376">
        <v>137.37799999999999</v>
      </c>
      <c r="M6376">
        <v>0.93671510000000002</v>
      </c>
      <c r="N6376">
        <v>0</v>
      </c>
      <c r="O6376">
        <v>0.34945929999999997</v>
      </c>
      <c r="P6376">
        <v>0.97933619999999899</v>
      </c>
      <c r="Q6376">
        <v>2.089488E-3</v>
      </c>
      <c r="R6376">
        <v>0.20222770000000001</v>
      </c>
      <c r="S6376">
        <v>3.053299</v>
      </c>
      <c r="T6376">
        <v>-0.33615479999999998</v>
      </c>
      <c r="U6376">
        <v>8.6502079999999995E-2</v>
      </c>
      <c r="V6376">
        <v>0.15368660000000001</v>
      </c>
      <c r="W6376">
        <v>1.628309E-2</v>
      </c>
      <c r="X6376">
        <v>0.98798549999999996</v>
      </c>
      <c r="Y6376">
        <v>0.31890669999999999</v>
      </c>
      <c r="Z6376">
        <v>-5.5184129999999998E-2</v>
      </c>
      <c r="AA6376">
        <v>0.94617819999999997</v>
      </c>
      <c r="AB6376">
        <v>35</v>
      </c>
      <c r="AC6376">
        <v>9.5180000000000007</v>
      </c>
      <c r="AD6376">
        <v>-1.0866645763089999</v>
      </c>
      <c r="AE6376">
        <v>0.15320000000002601</v>
      </c>
      <c r="AF6376">
        <v>3.1424045282447199</v>
      </c>
      <c r="AG6376">
        <v>-1.0866645763089999</v>
      </c>
      <c r="AH6376">
        <v>8.8557767902579094</v>
      </c>
      <c r="AI6376">
        <v>96.596509887695206</v>
      </c>
      <c r="AJ6376">
        <v>70.463160496215707</v>
      </c>
      <c r="AK6376">
        <v>9.4594042454801794</v>
      </c>
    </row>
    <row r="6377" spans="1:37" x14ac:dyDescent="0.2">
      <c r="A6377" t="str">
        <f>"20200111153815987"</f>
        <v>20200111153815987</v>
      </c>
      <c r="B6377" t="str">
        <f>"1578728295979072"</f>
        <v>1578728295979072</v>
      </c>
      <c r="C6377" t="s">
        <v>37</v>
      </c>
      <c r="D6377">
        <v>5.7896339999999897</v>
      </c>
      <c r="E6377">
        <v>0.57015309999999997</v>
      </c>
      <c r="F6377" t="s">
        <v>39</v>
      </c>
      <c r="G6377">
        <v>-160.78790000000001</v>
      </c>
      <c r="H6377" s="1">
        <v>-4.7021530000000002E-6</v>
      </c>
      <c r="I6377">
        <v>137.5471</v>
      </c>
      <c r="J6377">
        <v>-170.24700000000001</v>
      </c>
      <c r="K6377">
        <v>1.0867149999999901</v>
      </c>
      <c r="L6377">
        <v>137.49029999999999</v>
      </c>
      <c r="M6377">
        <v>0.94271299999999902</v>
      </c>
      <c r="N6377">
        <v>0</v>
      </c>
      <c r="O6377">
        <v>0.33293909999999999</v>
      </c>
      <c r="P6377">
        <v>0.98158040000000002</v>
      </c>
      <c r="Q6377">
        <v>1.371988E-3</v>
      </c>
      <c r="R6377">
        <v>0.19104489999999999</v>
      </c>
      <c r="S6377">
        <v>3.0531160000000002</v>
      </c>
      <c r="T6377">
        <v>-0.33888109999999999</v>
      </c>
      <c r="U6377">
        <v>5.2719120000000001E-2</v>
      </c>
      <c r="V6377">
        <v>0.14755750000000001</v>
      </c>
      <c r="W6377">
        <v>1.5886890000000001E-2</v>
      </c>
      <c r="X6377">
        <v>0.98892590000000002</v>
      </c>
      <c r="Y6377">
        <v>0.31278529999999999</v>
      </c>
      <c r="Z6377">
        <v>-5.3582200000000003E-2</v>
      </c>
      <c r="AA6377">
        <v>0.94831129999999997</v>
      </c>
      <c r="AB6377">
        <v>35</v>
      </c>
      <c r="AC6377">
        <v>9.4590999999999994</v>
      </c>
      <c r="AD6377">
        <v>-1.086719702153</v>
      </c>
      <c r="AE6377">
        <v>5.6800000000009697E-2</v>
      </c>
      <c r="AF6377">
        <v>3.0561096323800498</v>
      </c>
      <c r="AG6377">
        <v>-1.086719702153</v>
      </c>
      <c r="AH6377">
        <v>8.8216792168518605</v>
      </c>
      <c r="AI6377">
        <v>96.639371937517097</v>
      </c>
      <c r="AJ6377">
        <v>70.8922910479195</v>
      </c>
      <c r="AK6377">
        <v>9.39908452995342</v>
      </c>
    </row>
    <row r="6378" spans="1:37" x14ac:dyDescent="0.2">
      <c r="A6378" t="str">
        <f>"20200111153816009"</f>
        <v>20200111153816009</v>
      </c>
      <c r="B6378" t="str">
        <f>"1578728295999560"</f>
        <v>1578728295999560</v>
      </c>
      <c r="C6378" t="s">
        <v>37</v>
      </c>
      <c r="D6378">
        <v>5.7091269999999996</v>
      </c>
      <c r="E6378">
        <v>0.56989339999999999</v>
      </c>
      <c r="F6378" t="s">
        <v>39</v>
      </c>
      <c r="G6378">
        <v>-160.4966</v>
      </c>
      <c r="H6378" s="1">
        <v>-4.8388339999999998E-6</v>
      </c>
      <c r="I6378">
        <v>137.55269999999999</v>
      </c>
      <c r="J6378">
        <v>-169.91540000000001</v>
      </c>
      <c r="K6378">
        <v>1.0867879999999901</v>
      </c>
      <c r="L6378">
        <v>137.596</v>
      </c>
      <c r="M6378">
        <v>0.94841149999999996</v>
      </c>
      <c r="N6378">
        <v>0</v>
      </c>
      <c r="O6378">
        <v>0.31634000000000001</v>
      </c>
      <c r="P6378">
        <v>0.98369859999999898</v>
      </c>
      <c r="Q6378">
        <v>2.180834E-3</v>
      </c>
      <c r="R6378">
        <v>0.1798129</v>
      </c>
      <c r="S6378">
        <v>3.0529329999999999</v>
      </c>
      <c r="T6378">
        <v>-0.34026119999999999</v>
      </c>
      <c r="U6378">
        <v>1.9561769999999999E-2</v>
      </c>
      <c r="V6378">
        <v>0.14153650000000001</v>
      </c>
      <c r="W6378">
        <v>1.7013029999999998E-2</v>
      </c>
      <c r="X6378">
        <v>0.98978690000000003</v>
      </c>
      <c r="Y6378">
        <v>0.30652249999999998</v>
      </c>
      <c r="Z6378">
        <v>-5.1710909999999999E-2</v>
      </c>
      <c r="AA6378">
        <v>0.95045780000000002</v>
      </c>
      <c r="AB6378">
        <v>35</v>
      </c>
      <c r="AC6378">
        <v>9.4187999999999992</v>
      </c>
      <c r="AD6378">
        <v>-1.08679283883399</v>
      </c>
      <c r="AE6378">
        <v>-4.3300000000016298E-2</v>
      </c>
      <c r="AF6378">
        <v>2.9815857325175599</v>
      </c>
      <c r="AG6378">
        <v>-1.08679283883399</v>
      </c>
      <c r="AH6378">
        <v>8.8039723068197802</v>
      </c>
      <c r="AI6378">
        <v>96.668769579217198</v>
      </c>
      <c r="AJ6378">
        <v>71.290625958991598</v>
      </c>
      <c r="AK6378">
        <v>9.3584667833007096</v>
      </c>
    </row>
    <row r="6379" spans="1:37" x14ac:dyDescent="0.2">
      <c r="A6379" t="str">
        <f>"20200111153816031"</f>
        <v>20200111153816031</v>
      </c>
      <c r="B6379" t="str">
        <f>"1578728296029816"</f>
        <v>1578728296029816</v>
      </c>
      <c r="C6379" t="s">
        <v>37</v>
      </c>
      <c r="D6379">
        <v>5.7489889999999999</v>
      </c>
      <c r="E6379">
        <v>0.55740310000000004</v>
      </c>
      <c r="F6379" t="s">
        <v>39</v>
      </c>
      <c r="G6379">
        <v>-159.93879999999999</v>
      </c>
      <c r="H6379" s="1">
        <v>-5.5635580000000005E-7</v>
      </c>
      <c r="I6379">
        <v>137.55109999999999</v>
      </c>
      <c r="J6379">
        <v>-169.57419999999999</v>
      </c>
      <c r="K6379">
        <v>1.0868739999999999</v>
      </c>
      <c r="L6379">
        <v>137.69799999999901</v>
      </c>
      <c r="M6379">
        <v>0.9539514</v>
      </c>
      <c r="N6379">
        <v>0</v>
      </c>
      <c r="O6379">
        <v>0.29921759999999997</v>
      </c>
      <c r="P6379">
        <v>0.98605959999999904</v>
      </c>
      <c r="Q6379">
        <v>3.8615670000000002E-3</v>
      </c>
      <c r="R6379">
        <v>0.16634849999999901</v>
      </c>
      <c r="S6379">
        <v>3.0529630000000001</v>
      </c>
      <c r="T6379">
        <v>-0.33256959999999902</v>
      </c>
      <c r="U6379">
        <v>-1.3732909999999999E-2</v>
      </c>
      <c r="V6379">
        <v>0.13732139999999901</v>
      </c>
      <c r="W6379">
        <v>1.892723E-2</v>
      </c>
      <c r="X6379">
        <v>0.9903457</v>
      </c>
      <c r="Y6379">
        <v>0.30006820000000001</v>
      </c>
      <c r="Z6379">
        <v>-4.8424309999999998E-2</v>
      </c>
      <c r="AA6379">
        <v>0.95268790000000003</v>
      </c>
      <c r="AB6379">
        <v>35</v>
      </c>
      <c r="AC6379">
        <v>9.6354000000000006</v>
      </c>
      <c r="AD6379">
        <v>-1.0868745563558</v>
      </c>
      <c r="AE6379">
        <v>-0.14689999999998801</v>
      </c>
      <c r="AF6379">
        <v>2.9859069781127601</v>
      </c>
      <c r="AG6379">
        <v>-1.0868745563558</v>
      </c>
      <c r="AH6379">
        <v>9.0348552030259093</v>
      </c>
      <c r="AI6379">
        <v>96.516186722950906</v>
      </c>
      <c r="AJ6379">
        <v>71.711923525414605</v>
      </c>
      <c r="AK6379">
        <v>9.5773454215059193</v>
      </c>
    </row>
    <row r="6380" spans="1:37" x14ac:dyDescent="0.2">
      <c r="A6380" t="str">
        <f>"20200111153816055"</f>
        <v>20200111153816055</v>
      </c>
      <c r="B6380" t="str">
        <f>"1578728296049336"</f>
        <v>1578728296049336</v>
      </c>
      <c r="C6380" t="s">
        <v>37</v>
      </c>
      <c r="D6380">
        <v>5.684393</v>
      </c>
      <c r="E6380">
        <v>0.55996689999999905</v>
      </c>
      <c r="F6380" t="s">
        <v>64</v>
      </c>
      <c r="G6380">
        <v>10.192349999999999</v>
      </c>
      <c r="H6380">
        <v>-0.1</v>
      </c>
      <c r="I6380">
        <v>140.49119999999999</v>
      </c>
      <c r="J6380">
        <v>-169.2242</v>
      </c>
      <c r="K6380">
        <v>1.0869599999999999</v>
      </c>
      <c r="L6380">
        <v>137.79560000000001</v>
      </c>
      <c r="M6380">
        <v>0.95929589999999998</v>
      </c>
      <c r="N6380">
        <v>0</v>
      </c>
      <c r="O6380">
        <v>0.28161190000000003</v>
      </c>
      <c r="P6380">
        <v>0.98833519999999897</v>
      </c>
      <c r="Q6380">
        <v>5.73231E-3</v>
      </c>
      <c r="R6380">
        <v>0.15218679999999901</v>
      </c>
      <c r="S6380">
        <v>3.0345309999999999</v>
      </c>
      <c r="T6380">
        <v>-2.003491E-2</v>
      </c>
      <c r="U6380">
        <v>4.7149660000000003E-2</v>
      </c>
      <c r="V6380">
        <v>0.1333781</v>
      </c>
      <c r="W6380">
        <v>2.1016779999999999E-2</v>
      </c>
      <c r="X6380">
        <v>0.99084229999999995</v>
      </c>
      <c r="Y6380">
        <v>0.26672209999999902</v>
      </c>
      <c r="Z6380">
        <v>-2.7197709999999902E-3</v>
      </c>
      <c r="AA6380">
        <v>0.9637696</v>
      </c>
      <c r="AB6380">
        <v>35</v>
      </c>
      <c r="AC6380">
        <v>179.41655</v>
      </c>
      <c r="AD6380">
        <v>-1.18696</v>
      </c>
      <c r="AE6380">
        <v>2.6955999999999798</v>
      </c>
      <c r="AF6380">
        <v>47.948556338963002</v>
      </c>
      <c r="AG6380">
        <v>-1.18696</v>
      </c>
      <c r="AH6380">
        <v>172.90368143889401</v>
      </c>
      <c r="AI6380">
        <v>90.379018031877393</v>
      </c>
      <c r="AJ6380">
        <v>74.500577964969096</v>
      </c>
      <c r="AK6380">
        <v>179.43287319818199</v>
      </c>
    </row>
    <row r="6381" spans="1:37" x14ac:dyDescent="0.2">
      <c r="A6381" t="str">
        <f>"20200111153816077"</f>
        <v>20200111153816077</v>
      </c>
      <c r="B6381" t="str">
        <f>"1578728296069835"</f>
        <v>1578728296069835</v>
      </c>
      <c r="C6381" t="s">
        <v>37</v>
      </c>
      <c r="D6381">
        <v>5.785094</v>
      </c>
      <c r="E6381">
        <v>0.55648549999999997</v>
      </c>
      <c r="F6381" t="s">
        <v>39</v>
      </c>
      <c r="G6381">
        <v>-157.88399999999999</v>
      </c>
      <c r="H6381" s="1">
        <v>-1.226168E-6</v>
      </c>
      <c r="I6381">
        <v>137.72130000000001</v>
      </c>
      <c r="J6381">
        <v>-168.88030000000001</v>
      </c>
      <c r="K6381">
        <v>1.0870549999999899</v>
      </c>
      <c r="L6381">
        <v>137.88470000000001</v>
      </c>
      <c r="M6381">
        <v>0.96421319999999999</v>
      </c>
      <c r="N6381">
        <v>0</v>
      </c>
      <c r="O6381">
        <v>0.26428459999999998</v>
      </c>
      <c r="P6381">
        <v>0.99015520000000001</v>
      </c>
      <c r="Q6381">
        <v>4.4085519999999996E-3</v>
      </c>
      <c r="R6381">
        <v>0.139903799999999</v>
      </c>
      <c r="S6381">
        <v>3.04017599999999</v>
      </c>
      <c r="T6381">
        <v>-0.29140149999999998</v>
      </c>
      <c r="U6381">
        <v>-1.9912719999999998E-2</v>
      </c>
      <c r="V6381">
        <v>0.12777359999999999</v>
      </c>
      <c r="W6381">
        <v>1.997941E-2</v>
      </c>
      <c r="X6381">
        <v>0.99160210000000004</v>
      </c>
      <c r="Y6381">
        <v>0.2682348</v>
      </c>
      <c r="Z6381">
        <v>-3.7880919999999998E-2</v>
      </c>
      <c r="AA6381">
        <v>0.96260849999999898</v>
      </c>
      <c r="AB6381">
        <v>35</v>
      </c>
      <c r="AC6381">
        <v>10.9963</v>
      </c>
      <c r="AD6381">
        <v>-1.0870562261679999</v>
      </c>
      <c r="AE6381">
        <v>-0.16339999999999499</v>
      </c>
      <c r="AF6381">
        <v>3.0347386795012801</v>
      </c>
      <c r="AG6381">
        <v>-1.0870562261679999</v>
      </c>
      <c r="AH6381">
        <v>10.4597554052857</v>
      </c>
      <c r="AI6381">
        <v>95.699893943493095</v>
      </c>
      <c r="AJ6381">
        <v>73.8207187593855</v>
      </c>
      <c r="AK6381">
        <v>10.9452187383403</v>
      </c>
    </row>
    <row r="6382" spans="1:37" x14ac:dyDescent="0.2">
      <c r="A6382" t="str">
        <f>"20200111153816099"</f>
        <v>20200111153816099</v>
      </c>
      <c r="B6382" t="str">
        <f>"1578728296089353"</f>
        <v>1578728296089353</v>
      </c>
      <c r="C6382" t="s">
        <v>37</v>
      </c>
      <c r="D6382">
        <v>5.7862419999999997</v>
      </c>
      <c r="E6382">
        <v>0.55508599999999997</v>
      </c>
      <c r="F6382" t="s">
        <v>39</v>
      </c>
      <c r="G6382">
        <v>-158.3228</v>
      </c>
      <c r="H6382" s="1">
        <v>-1.0463700000000001E-6</v>
      </c>
      <c r="I6382">
        <v>137.77619999999999</v>
      </c>
      <c r="J6382">
        <v>-168.54990000000001</v>
      </c>
      <c r="K6382">
        <v>1.087156</v>
      </c>
      <c r="L6382">
        <v>137.96379999999999</v>
      </c>
      <c r="M6382">
        <v>0.96862269999999995</v>
      </c>
      <c r="N6382">
        <v>0</v>
      </c>
      <c r="O6382">
        <v>0.247636299999999</v>
      </c>
      <c r="P6382">
        <v>0.99169459999999998</v>
      </c>
      <c r="Q6382">
        <v>4.3487809999999899E-3</v>
      </c>
      <c r="R6382">
        <v>0.12854209999999999</v>
      </c>
      <c r="S6382">
        <v>3.0356290000000001</v>
      </c>
      <c r="T6382">
        <v>-0.31256509999999998</v>
      </c>
      <c r="U6382">
        <v>-3.117371E-2</v>
      </c>
      <c r="V6382">
        <v>0.12205630000000001</v>
      </c>
      <c r="W6382">
        <v>2.0204420000000001E-2</v>
      </c>
      <c r="X6382">
        <v>0.99231749999999996</v>
      </c>
      <c r="Y6382">
        <v>0.25498899999999902</v>
      </c>
      <c r="Z6382">
        <v>-3.833462E-2</v>
      </c>
      <c r="AA6382">
        <v>0.96618379999999904</v>
      </c>
      <c r="AB6382">
        <v>35</v>
      </c>
      <c r="AC6382">
        <v>10.2271</v>
      </c>
      <c r="AD6382">
        <v>-1.08715704637</v>
      </c>
      <c r="AE6382">
        <v>-0.18760000000000299</v>
      </c>
      <c r="AF6382">
        <v>2.68459496500282</v>
      </c>
      <c r="AG6382">
        <v>-1.08715704637</v>
      </c>
      <c r="AH6382">
        <v>9.7517873070514103</v>
      </c>
      <c r="AI6382">
        <v>96.1348452489745</v>
      </c>
      <c r="AJ6382">
        <v>74.608163416268894</v>
      </c>
      <c r="AK6382">
        <v>10.172822432912</v>
      </c>
    </row>
    <row r="6383" spans="1:37" x14ac:dyDescent="0.2">
      <c r="A6383" t="str">
        <f>"20200111153816121"</f>
        <v>20200111153816121</v>
      </c>
      <c r="B6383" t="str">
        <f>"1578728296109848"</f>
        <v>1578728296109848</v>
      </c>
      <c r="C6383" t="s">
        <v>37</v>
      </c>
      <c r="D6383">
        <v>5.8205910000000003</v>
      </c>
      <c r="E6383">
        <v>0.55476359999999902</v>
      </c>
      <c r="F6383" t="s">
        <v>39</v>
      </c>
      <c r="G6383">
        <v>-158.529</v>
      </c>
      <c r="H6383" s="1">
        <v>-9.7529209999999994E-7</v>
      </c>
      <c r="I6383">
        <v>137.77969999999999</v>
      </c>
      <c r="J6383">
        <v>-168.2073</v>
      </c>
      <c r="K6383">
        <v>1.0872729999999999</v>
      </c>
      <c r="L6383">
        <v>138.03899999999999</v>
      </c>
      <c r="M6383">
        <v>0.9728696</v>
      </c>
      <c r="N6383">
        <v>0</v>
      </c>
      <c r="O6383">
        <v>0.2303877</v>
      </c>
      <c r="P6383">
        <v>0.99341059999999903</v>
      </c>
      <c r="Q6383">
        <v>6.0722730000000004E-3</v>
      </c>
      <c r="R6383">
        <v>0.1144497</v>
      </c>
      <c r="S6383">
        <v>3.0338129999999999</v>
      </c>
      <c r="T6383">
        <v>-0.32913170000000003</v>
      </c>
      <c r="U6383">
        <v>-5.5709839999999997E-2</v>
      </c>
      <c r="V6383">
        <v>0.118579399999999</v>
      </c>
      <c r="W6383">
        <v>2.2109440000000001E-2</v>
      </c>
      <c r="X6383">
        <v>0.99269839999999998</v>
      </c>
      <c r="Y6383">
        <v>0.24549000000000001</v>
      </c>
      <c r="Z6383">
        <v>-3.8043569999999999E-2</v>
      </c>
      <c r="AA6383">
        <v>0.96865239999999997</v>
      </c>
      <c r="AB6383">
        <v>34</v>
      </c>
      <c r="AC6383">
        <v>9.6783000000000001</v>
      </c>
      <c r="AD6383">
        <v>-1.0872739752920999</v>
      </c>
      <c r="AE6383">
        <v>-0.25929999999999598</v>
      </c>
      <c r="AF6383">
        <v>2.4516611227826002</v>
      </c>
      <c r="AG6383">
        <v>-1.0872739752920999</v>
      </c>
      <c r="AH6383">
        <v>9.24152271360472</v>
      </c>
      <c r="AI6383">
        <v>96.487658260907196</v>
      </c>
      <c r="AJ6383">
        <v>75.142378523625297</v>
      </c>
      <c r="AK6383">
        <v>9.6228139867911402</v>
      </c>
    </row>
    <row r="6384" spans="1:37" x14ac:dyDescent="0.2">
      <c r="A6384" t="str">
        <f>"20200111153816144"</f>
        <v>20200111153816144</v>
      </c>
      <c r="B6384" t="str">
        <f>"1578728296139128"</f>
        <v>1578728296139128</v>
      </c>
      <c r="C6384" t="s">
        <v>37</v>
      </c>
      <c r="D6384">
        <v>5.8226440000000004</v>
      </c>
      <c r="E6384">
        <v>0.55461199999999999</v>
      </c>
      <c r="F6384" t="s">
        <v>39</v>
      </c>
      <c r="G6384">
        <v>-158.35399999999899</v>
      </c>
      <c r="H6384" s="1">
        <v>-1.048655E-6</v>
      </c>
      <c r="I6384">
        <v>137.7277</v>
      </c>
      <c r="J6384">
        <v>-167.86760000000001</v>
      </c>
      <c r="K6384">
        <v>1.0873969999999999</v>
      </c>
      <c r="L6384">
        <v>138.107</v>
      </c>
      <c r="M6384">
        <v>0.97675279999999998</v>
      </c>
      <c r="N6384">
        <v>0</v>
      </c>
      <c r="O6384">
        <v>0.21332709999999999</v>
      </c>
      <c r="P6384">
        <v>0.99490489999999998</v>
      </c>
      <c r="Q6384">
        <v>5.9356610000000001E-3</v>
      </c>
      <c r="R6384">
        <v>0.1006432</v>
      </c>
      <c r="S6384">
        <v>3.032959</v>
      </c>
      <c r="T6384">
        <v>-0.33467579999999902</v>
      </c>
      <c r="U6384">
        <v>-9.5809939999999996E-2</v>
      </c>
      <c r="V6384">
        <v>0.11498070000000001</v>
      </c>
      <c r="W6384">
        <v>2.2151870000000001E-2</v>
      </c>
      <c r="X6384">
        <v>0.99312069999999997</v>
      </c>
      <c r="Y6384">
        <v>0.241367999999999</v>
      </c>
      <c r="Z6384">
        <v>-3.6624160000000003E-2</v>
      </c>
      <c r="AA6384">
        <v>0.96974229999999995</v>
      </c>
      <c r="AB6384">
        <v>34</v>
      </c>
      <c r="AC6384">
        <v>9.5136000000000198</v>
      </c>
      <c r="AD6384">
        <v>-1.0873980486549999</v>
      </c>
      <c r="AE6384">
        <v>-0.37930000000000003</v>
      </c>
      <c r="AF6384">
        <v>2.3696174844434399</v>
      </c>
      <c r="AG6384">
        <v>-1.0873980486549999</v>
      </c>
      <c r="AH6384">
        <v>9.0949422885292392</v>
      </c>
      <c r="AI6384">
        <v>96.599679607533503</v>
      </c>
      <c r="AJ6384">
        <v>75.3966817984888</v>
      </c>
      <c r="AK6384">
        <v>9.4612629585312895</v>
      </c>
    </row>
    <row r="6385" spans="1:37" x14ac:dyDescent="0.2">
      <c r="A6385" t="str">
        <f>"20200111153816166"</f>
        <v>20200111153816166</v>
      </c>
      <c r="B6385" t="str">
        <f>"1578728296159624"</f>
        <v>1578728296159624</v>
      </c>
      <c r="C6385" t="s">
        <v>37</v>
      </c>
      <c r="D6385">
        <v>5.8383529999999997</v>
      </c>
      <c r="E6385">
        <v>0.55421589999999998</v>
      </c>
      <c r="F6385" t="s">
        <v>39</v>
      </c>
      <c r="G6385">
        <v>-158.3398</v>
      </c>
      <c r="H6385" s="1">
        <v>-1.0666699999999999E-6</v>
      </c>
      <c r="I6385">
        <v>137.6782</v>
      </c>
      <c r="J6385">
        <v>-167.5171</v>
      </c>
      <c r="K6385">
        <v>1.0875330000000001</v>
      </c>
      <c r="L6385">
        <v>138.17060000000001</v>
      </c>
      <c r="M6385">
        <v>0.98042359999999995</v>
      </c>
      <c r="N6385">
        <v>0</v>
      </c>
      <c r="O6385">
        <v>0.1957681</v>
      </c>
      <c r="P6385">
        <v>0.99617080000000002</v>
      </c>
      <c r="Q6385">
        <v>3.483173E-3</v>
      </c>
      <c r="R6385">
        <v>8.7360590000000002E-2</v>
      </c>
      <c r="S6385">
        <v>3.0312039999999998</v>
      </c>
      <c r="T6385">
        <v>-0.3459486</v>
      </c>
      <c r="U6385">
        <v>-0.13642879999999999</v>
      </c>
      <c r="V6385">
        <v>0.1103056</v>
      </c>
      <c r="W6385">
        <v>1.9916949999999999E-2</v>
      </c>
      <c r="X6385">
        <v>0.99369810000000003</v>
      </c>
      <c r="Y6385">
        <v>0.2369086</v>
      </c>
      <c r="Z6385">
        <v>-3.5648270000000003E-2</v>
      </c>
      <c r="AA6385">
        <v>0.97087769999999995</v>
      </c>
      <c r="AB6385">
        <v>34</v>
      </c>
      <c r="AC6385">
        <v>9.1773000000000007</v>
      </c>
      <c r="AD6385">
        <v>-1.08753406667</v>
      </c>
      <c r="AE6385">
        <v>-0.492400000000003</v>
      </c>
      <c r="AF6385">
        <v>2.2484063847212798</v>
      </c>
      <c r="AG6385">
        <v>-1.08753406667</v>
      </c>
      <c r="AH6385">
        <v>8.7802775134398203</v>
      </c>
      <c r="AI6385">
        <v>96.842173031803398</v>
      </c>
      <c r="AJ6385">
        <v>75.636650115330795</v>
      </c>
      <c r="AK6385">
        <v>9.1285998285629901</v>
      </c>
    </row>
    <row r="6386" spans="1:37" x14ac:dyDescent="0.2">
      <c r="A6386" t="str">
        <f>"20200111153816188"</f>
        <v>20200111153816188</v>
      </c>
      <c r="B6386" t="str">
        <f>"1578728296179144"</f>
        <v>1578728296179144</v>
      </c>
      <c r="C6386" t="s">
        <v>37</v>
      </c>
      <c r="D6386">
        <v>5.8170229999999998</v>
      </c>
      <c r="E6386">
        <v>0.55402419999999997</v>
      </c>
      <c r="F6386" t="s">
        <v>39</v>
      </c>
      <c r="G6386">
        <v>-158.16419999999999</v>
      </c>
      <c r="H6386" s="1">
        <v>-1.1388039999999999E-6</v>
      </c>
      <c r="I6386">
        <v>137.6317</v>
      </c>
      <c r="J6386">
        <v>-167.17939999999999</v>
      </c>
      <c r="K6386">
        <v>1.087693</v>
      </c>
      <c r="L6386">
        <v>138.22569999999999</v>
      </c>
      <c r="M6386">
        <v>0.98363659999999997</v>
      </c>
      <c r="N6386">
        <v>0</v>
      </c>
      <c r="O6386">
        <v>0.17892959999999999</v>
      </c>
      <c r="P6386">
        <v>0.99722420000000001</v>
      </c>
      <c r="Q6386">
        <v>2.8686290000000001E-3</v>
      </c>
      <c r="R6386">
        <v>7.4401679999999998E-2</v>
      </c>
      <c r="S6386">
        <v>3.0280610000000001</v>
      </c>
      <c r="T6386">
        <v>-0.35209849999999998</v>
      </c>
      <c r="U6386">
        <v>-0.17448429999999901</v>
      </c>
      <c r="V6386">
        <v>0.10615519999999901</v>
      </c>
      <c r="W6386">
        <v>1.949265E-2</v>
      </c>
      <c r="X6386">
        <v>0.99415849999999995</v>
      </c>
      <c r="Y6386">
        <v>0.23251039999999901</v>
      </c>
      <c r="Z6386">
        <v>-3.4126999999999998E-2</v>
      </c>
      <c r="AA6386">
        <v>0.97199500000000005</v>
      </c>
      <c r="AB6386">
        <v>34</v>
      </c>
      <c r="AC6386">
        <v>9.0151999999999894</v>
      </c>
      <c r="AD6386">
        <v>-1.087694138804</v>
      </c>
      <c r="AE6386">
        <v>-0.59399999999999398</v>
      </c>
      <c r="AF6386">
        <v>2.1664533228663401</v>
      </c>
      <c r="AG6386">
        <v>-1.087694138804</v>
      </c>
      <c r="AH6386">
        <v>8.6381395780860704</v>
      </c>
      <c r="AI6386">
        <v>96.963332875916706</v>
      </c>
      <c r="AJ6386">
        <v>75.920574904647495</v>
      </c>
      <c r="AK6386">
        <v>8.9718478537168806</v>
      </c>
    </row>
    <row r="6387" spans="1:37" x14ac:dyDescent="0.2">
      <c r="A6387" t="str">
        <f>"20200111153816210"</f>
        <v>20200111153816210</v>
      </c>
      <c r="B6387" t="str">
        <f>"1578728296199641"</f>
        <v>1578728296199641</v>
      </c>
      <c r="C6387" t="s">
        <v>37</v>
      </c>
      <c r="D6387">
        <v>5.8161940000000003</v>
      </c>
      <c r="E6387">
        <v>0.55397439999999998</v>
      </c>
      <c r="F6387" t="s">
        <v>39</v>
      </c>
      <c r="G6387">
        <v>-157.8578</v>
      </c>
      <c r="H6387" s="1">
        <v>-1.2639859999999999E-6</v>
      </c>
      <c r="I6387">
        <v>137.57149999999999</v>
      </c>
      <c r="J6387">
        <v>-166.84889999999999</v>
      </c>
      <c r="K6387">
        <v>1.0878760000000001</v>
      </c>
      <c r="L6387">
        <v>138.27379999999999</v>
      </c>
      <c r="M6387">
        <v>0.9864754</v>
      </c>
      <c r="N6387">
        <v>0</v>
      </c>
      <c r="O6387">
        <v>0.16255610000000001</v>
      </c>
      <c r="P6387">
        <v>0.99824199999999996</v>
      </c>
      <c r="Q6387">
        <v>3.9199409999999997E-3</v>
      </c>
      <c r="R6387">
        <v>5.913769E-2</v>
      </c>
      <c r="S6387">
        <v>3.0251919999999899</v>
      </c>
      <c r="T6387">
        <v>-0.352995</v>
      </c>
      <c r="U6387">
        <v>-0.21228029999999901</v>
      </c>
      <c r="V6387">
        <v>0.1048722</v>
      </c>
      <c r="W6387">
        <v>2.060536E-2</v>
      </c>
      <c r="X6387">
        <v>0.99427219999999905</v>
      </c>
      <c r="Y6387">
        <v>0.22861889999999899</v>
      </c>
      <c r="Z6387">
        <v>-3.2125340000000002E-2</v>
      </c>
      <c r="AA6387">
        <v>0.97298580000000001</v>
      </c>
      <c r="AB6387">
        <v>34</v>
      </c>
      <c r="AC6387">
        <v>8.9910999999999799</v>
      </c>
      <c r="AD6387">
        <v>-1.0878772639859999</v>
      </c>
      <c r="AE6387">
        <v>-0.70230000000000803</v>
      </c>
      <c r="AF6387">
        <v>2.12393059314872</v>
      </c>
      <c r="AG6387">
        <v>-1.0878772639859999</v>
      </c>
      <c r="AH6387">
        <v>8.6316711780991504</v>
      </c>
      <c r="AI6387">
        <v>96.977317092636298</v>
      </c>
      <c r="AJ6387">
        <v>76.1762838524524</v>
      </c>
      <c r="AK6387">
        <v>8.9554623237909006</v>
      </c>
    </row>
    <row r="6388" spans="1:37" x14ac:dyDescent="0.2">
      <c r="A6388" t="str">
        <f>"20200111153816233"</f>
        <v>20200111153816233</v>
      </c>
      <c r="B6388" t="str">
        <f>"1578728296229896"</f>
        <v>1578728296229896</v>
      </c>
      <c r="C6388" t="s">
        <v>37</v>
      </c>
      <c r="D6388">
        <v>5.8648210000000001</v>
      </c>
      <c r="E6388">
        <v>0.55344669999999996</v>
      </c>
      <c r="F6388" t="s">
        <v>39</v>
      </c>
      <c r="G6388">
        <v>-157.471</v>
      </c>
      <c r="H6388" s="1">
        <v>-1.4464499999999999E-6</v>
      </c>
      <c r="I6388">
        <v>137.47839999999999</v>
      </c>
      <c r="J6388">
        <v>-166.5008</v>
      </c>
      <c r="K6388">
        <v>1.0881000000000001</v>
      </c>
      <c r="L6388">
        <v>138.3184</v>
      </c>
      <c r="M6388">
        <v>0.98913949999999995</v>
      </c>
      <c r="N6388">
        <v>0</v>
      </c>
      <c r="O6388">
        <v>0.14547850000000001</v>
      </c>
      <c r="P6388">
        <v>0.99903600000000004</v>
      </c>
      <c r="Q6388">
        <v>3.029538E-3</v>
      </c>
      <c r="R6388">
        <v>4.3793699999999998E-2</v>
      </c>
      <c r="S6388">
        <v>3.0218349999999998</v>
      </c>
      <c r="T6388">
        <v>-0.35054639999999998</v>
      </c>
      <c r="U6388">
        <v>-0.25628659999999998</v>
      </c>
      <c r="V6388">
        <v>0.10291210000000001</v>
      </c>
      <c r="W6388">
        <v>1.979204E-2</v>
      </c>
      <c r="X6388">
        <v>0.99449349999999903</v>
      </c>
      <c r="Y6388">
        <v>0.22612179999999901</v>
      </c>
      <c r="Z6388">
        <v>-2.9822939999999999E-2</v>
      </c>
      <c r="AA6388">
        <v>0.97364240000000002</v>
      </c>
      <c r="AB6388">
        <v>34</v>
      </c>
      <c r="AC6388">
        <v>9.0297999999999892</v>
      </c>
      <c r="AD6388">
        <v>-1.0881014464500001</v>
      </c>
      <c r="AE6388">
        <v>-0.84000000000000297</v>
      </c>
      <c r="AF6388">
        <v>2.11454892870904</v>
      </c>
      <c r="AG6388">
        <v>-1.0881014464500001</v>
      </c>
      <c r="AH6388">
        <v>8.6864152641685592</v>
      </c>
      <c r="AI6388">
        <v>96.939361797731195</v>
      </c>
      <c r="AJ6388">
        <v>76.318498132854401</v>
      </c>
      <c r="AK6388">
        <v>9.0060586313465496</v>
      </c>
    </row>
    <row r="6389" spans="1:37" x14ac:dyDescent="0.2">
      <c r="A6389" t="str">
        <f>"20200111153816255"</f>
        <v>20200111153816255</v>
      </c>
      <c r="B6389" t="str">
        <f>"1578728296249416"</f>
        <v>1578728296249416</v>
      </c>
      <c r="C6389" t="s">
        <v>37</v>
      </c>
      <c r="D6389">
        <v>6.1842689999999996</v>
      </c>
      <c r="E6389">
        <v>0.55315179999999997</v>
      </c>
      <c r="F6389" t="s">
        <v>38</v>
      </c>
      <c r="G6389">
        <v>-165.67339999999999</v>
      </c>
      <c r="H6389">
        <v>0.99038269999999995</v>
      </c>
      <c r="I6389">
        <v>138.2364</v>
      </c>
      <c r="J6389">
        <v>-166.1651</v>
      </c>
      <c r="K6389">
        <v>1.088347</v>
      </c>
      <c r="L6389">
        <v>138.35550000000001</v>
      </c>
      <c r="M6389">
        <v>0.99139509999999897</v>
      </c>
      <c r="N6389">
        <v>0</v>
      </c>
      <c r="O6389">
        <v>0.12922980000000001</v>
      </c>
      <c r="P6389">
        <v>0.99950019999999995</v>
      </c>
      <c r="Q6389">
        <v>1.4793079999999999E-3</v>
      </c>
      <c r="R6389">
        <v>3.1579860000000001E-2</v>
      </c>
      <c r="S6389">
        <v>3.0170590000000002</v>
      </c>
      <c r="T6389">
        <v>-0.35598109999999999</v>
      </c>
      <c r="U6389">
        <v>-0.29833979999999999</v>
      </c>
      <c r="V6389">
        <v>9.8675369999999998E-2</v>
      </c>
      <c r="W6389">
        <v>1.8396119999999998E-2</v>
      </c>
      <c r="X6389">
        <v>0.99494959999999899</v>
      </c>
      <c r="Y6389">
        <v>0.22378009999999901</v>
      </c>
      <c r="Z6389">
        <v>-2.827843E-2</v>
      </c>
      <c r="AA6389">
        <v>0.97422929999999996</v>
      </c>
      <c r="AB6389">
        <v>34</v>
      </c>
      <c r="AC6389">
        <v>0.49170000000000802</v>
      </c>
      <c r="AD6389">
        <v>-9.7964300000000004E-2</v>
      </c>
      <c r="AE6389">
        <v>-0.119100000000003</v>
      </c>
      <c r="AF6389">
        <v>0.17509191627513801</v>
      </c>
      <c r="AG6389">
        <v>-9.7964300000000004E-2</v>
      </c>
      <c r="AH6389">
        <v>0.45511590327859103</v>
      </c>
      <c r="AI6389">
        <v>101.35933460363201</v>
      </c>
      <c r="AJ6389">
        <v>68.957297613934003</v>
      </c>
      <c r="AK6389">
        <v>0.49737779266517101</v>
      </c>
    </row>
    <row r="6390" spans="1:37" x14ac:dyDescent="0.2">
      <c r="A6390" t="str">
        <f>"20200111153816277"</f>
        <v>20200111153816277</v>
      </c>
      <c r="B6390" t="str">
        <f>"1578728296269915"</f>
        <v>1578728296269915</v>
      </c>
      <c r="C6390" t="s">
        <v>37</v>
      </c>
      <c r="D6390">
        <v>5.874657</v>
      </c>
      <c r="E6390">
        <v>0.54356819999999995</v>
      </c>
      <c r="F6390" t="s">
        <v>38</v>
      </c>
      <c r="G6390">
        <v>-165.37270000000001</v>
      </c>
      <c r="H6390">
        <v>0.99356900000000004</v>
      </c>
      <c r="I6390">
        <v>138.26759999999999</v>
      </c>
      <c r="J6390">
        <v>-165.8245</v>
      </c>
      <c r="K6390">
        <v>1.0886530000000001</v>
      </c>
      <c r="L6390">
        <v>138.38759999999999</v>
      </c>
      <c r="M6390">
        <v>0.99337389999999903</v>
      </c>
      <c r="N6390">
        <v>0</v>
      </c>
      <c r="O6390">
        <v>0.1130379</v>
      </c>
      <c r="P6390">
        <v>0.99983489999999997</v>
      </c>
      <c r="Q6390">
        <v>2.1707929999999999E-3</v>
      </c>
      <c r="R6390">
        <v>1.8044480000000002E-2</v>
      </c>
      <c r="S6390">
        <v>3.0125730000000002</v>
      </c>
      <c r="T6390">
        <v>-0.36003010000000002</v>
      </c>
      <c r="U6390">
        <v>-0.33406069999999999</v>
      </c>
      <c r="V6390">
        <v>9.5922430000000003E-2</v>
      </c>
      <c r="W6390">
        <v>1.915797E-2</v>
      </c>
      <c r="X6390">
        <v>0.99520439999999999</v>
      </c>
      <c r="Y6390">
        <v>0.21953719999999999</v>
      </c>
      <c r="Z6390">
        <v>-2.6454990000000001E-2</v>
      </c>
      <c r="AA6390">
        <v>0.97524539999999904</v>
      </c>
      <c r="AB6390">
        <v>34</v>
      </c>
      <c r="AC6390">
        <v>0.45179999999999099</v>
      </c>
      <c r="AD6390">
        <v>-9.5084000000000002E-2</v>
      </c>
      <c r="AE6390">
        <v>-0.12000000000000401</v>
      </c>
      <c r="AF6390">
        <v>0.163545694462298</v>
      </c>
      <c r="AG6390">
        <v>-9.5084000000000002E-2</v>
      </c>
      <c r="AH6390">
        <v>0.41803996844385999</v>
      </c>
      <c r="AI6390">
        <v>101.95956252076</v>
      </c>
      <c r="AJ6390">
        <v>68.633557246268694</v>
      </c>
      <c r="AK6390">
        <v>0.45885245607896502</v>
      </c>
    </row>
    <row r="6391" spans="1:37" x14ac:dyDescent="0.2">
      <c r="A6391" t="str">
        <f>"20200111153816300"</f>
        <v>20200111153816300</v>
      </c>
      <c r="B6391" t="str">
        <f>"1578728296289433"</f>
        <v>1578728296289433</v>
      </c>
      <c r="C6391" t="s">
        <v>37</v>
      </c>
      <c r="D6391">
        <v>5.8923249999999996</v>
      </c>
      <c r="E6391">
        <v>0.54398939999999996</v>
      </c>
      <c r="F6391" t="s">
        <v>38</v>
      </c>
      <c r="G6391">
        <v>-165.06720000000001</v>
      </c>
      <c r="H6391">
        <v>1.0105679999999999</v>
      </c>
      <c r="I6391">
        <v>138.3125</v>
      </c>
      <c r="J6391">
        <v>-165.49</v>
      </c>
      <c r="K6391">
        <v>1.0889959999999901</v>
      </c>
      <c r="L6391">
        <v>138.41380000000001</v>
      </c>
      <c r="M6391">
        <v>0.99502209999999902</v>
      </c>
      <c r="N6391">
        <v>0</v>
      </c>
      <c r="O6391">
        <v>9.7501699999999997E-2</v>
      </c>
      <c r="P6391">
        <v>0.99999009999999999</v>
      </c>
      <c r="Q6391">
        <v>3.573541E-3</v>
      </c>
      <c r="R6391">
        <v>2.734322E-3</v>
      </c>
      <c r="S6391">
        <v>3.0065309999999998</v>
      </c>
      <c r="T6391">
        <v>-0.30936910000000001</v>
      </c>
      <c r="U6391">
        <v>-0.29721069999999999</v>
      </c>
      <c r="V6391">
        <v>9.5638790000000001E-2</v>
      </c>
      <c r="W6391">
        <v>2.050811E-2</v>
      </c>
      <c r="X6391">
        <v>0.9952048</v>
      </c>
      <c r="Y6391">
        <v>0.19343199999999999</v>
      </c>
      <c r="Z6391">
        <v>-1.9886270000000001E-2</v>
      </c>
      <c r="AA6391">
        <v>0.98091209999999995</v>
      </c>
      <c r="AB6391">
        <v>33</v>
      </c>
      <c r="AC6391">
        <v>0.42279999999999501</v>
      </c>
      <c r="AD6391">
        <v>-7.8427999999999706E-2</v>
      </c>
      <c r="AE6391">
        <v>-0.10130000000000899</v>
      </c>
      <c r="AF6391">
        <v>0.13757284721794699</v>
      </c>
      <c r="AG6391">
        <v>-7.8427999999999706E-2</v>
      </c>
      <c r="AH6391">
        <v>0.39795575168071901</v>
      </c>
      <c r="AI6391">
        <v>100.551082351692</v>
      </c>
      <c r="AJ6391">
        <v>70.929790982019</v>
      </c>
      <c r="AK6391">
        <v>0.42830598848418899</v>
      </c>
    </row>
    <row r="6392" spans="1:37" x14ac:dyDescent="0.2">
      <c r="A6392" t="str">
        <f>"20200111153816322"</f>
        <v>20200111153816322</v>
      </c>
      <c r="B6392" t="str">
        <f>"1578728296309928"</f>
        <v>1578728296309928</v>
      </c>
      <c r="C6392" t="s">
        <v>37</v>
      </c>
      <c r="D6392">
        <v>5.9288339999999904</v>
      </c>
      <c r="E6392">
        <v>0.54312469999999902</v>
      </c>
      <c r="F6392" t="s">
        <v>38</v>
      </c>
      <c r="G6392">
        <v>-164.47880000000001</v>
      </c>
      <c r="H6392">
        <v>0.97698689999999999</v>
      </c>
      <c r="I6392">
        <v>138.29750000000001</v>
      </c>
      <c r="J6392">
        <v>-165.1523</v>
      </c>
      <c r="K6392">
        <v>1.0893979999999901</v>
      </c>
      <c r="L6392">
        <v>138.43459999999999</v>
      </c>
      <c r="M6392">
        <v>0.99639699999999998</v>
      </c>
      <c r="N6392">
        <v>0</v>
      </c>
      <c r="O6392">
        <v>8.2316230000000004E-2</v>
      </c>
      <c r="P6392">
        <v>0.99993519999999902</v>
      </c>
      <c r="Q6392">
        <v>1.4916809999999999E-3</v>
      </c>
      <c r="R6392">
        <v>-1.130774E-2</v>
      </c>
      <c r="S6392">
        <v>3.002167</v>
      </c>
      <c r="T6392">
        <v>-0.3323487</v>
      </c>
      <c r="U6392">
        <v>-0.34504699999999999</v>
      </c>
      <c r="V6392">
        <v>9.4332680000000002E-2</v>
      </c>
      <c r="W6392">
        <v>1.8387540000000001E-2</v>
      </c>
      <c r="X6392">
        <v>0.99537089999999995</v>
      </c>
      <c r="Y6392">
        <v>0.19391949999999999</v>
      </c>
      <c r="Z6392">
        <v>-1.972645E-2</v>
      </c>
      <c r="AA6392">
        <v>0.98081909999999894</v>
      </c>
      <c r="AB6392">
        <v>33</v>
      </c>
      <c r="AC6392">
        <v>0.67349999999999</v>
      </c>
      <c r="AD6392">
        <v>-0.112411099999999</v>
      </c>
      <c r="AE6392">
        <v>-0.13709999999997499</v>
      </c>
      <c r="AF6392">
        <v>0.187081793081426</v>
      </c>
      <c r="AG6392">
        <v>-0.112411099999999</v>
      </c>
      <c r="AH6392">
        <v>0.64273290285888096</v>
      </c>
      <c r="AI6392">
        <v>99.532539598095099</v>
      </c>
      <c r="AJ6392">
        <v>73.771181109241596</v>
      </c>
      <c r="AK6392">
        <v>0.67877937293584301</v>
      </c>
    </row>
    <row r="6393" spans="1:37" x14ac:dyDescent="0.2">
      <c r="A6393" t="str">
        <f>"20200111153816345"</f>
        <v>20200111153816345</v>
      </c>
      <c r="B6393" t="str">
        <f>"1578728296340184"</f>
        <v>1578728296340184</v>
      </c>
      <c r="C6393" t="s">
        <v>37</v>
      </c>
      <c r="D6393">
        <v>5.9177970000000002</v>
      </c>
      <c r="E6393">
        <v>0.5413559</v>
      </c>
      <c r="F6393" t="s">
        <v>38</v>
      </c>
      <c r="G6393">
        <v>-164.18190000000001</v>
      </c>
      <c r="H6393">
        <v>0.97391000000000005</v>
      </c>
      <c r="I6393">
        <v>138.31139999999999</v>
      </c>
      <c r="J6393">
        <v>-164.81399999999999</v>
      </c>
      <c r="K6393">
        <v>1.089823</v>
      </c>
      <c r="L6393">
        <v>138.45050000000001</v>
      </c>
      <c r="M6393">
        <v>0.99751000000000001</v>
      </c>
      <c r="N6393">
        <v>0</v>
      </c>
      <c r="O6393">
        <v>6.7568299999999998E-2</v>
      </c>
      <c r="P6393">
        <v>0.99976399999999999</v>
      </c>
      <c r="Q6393">
        <v>-1.3147529999999899E-3</v>
      </c>
      <c r="R6393">
        <v>-2.1689119999999999E-2</v>
      </c>
      <c r="S6393">
        <v>2.996445</v>
      </c>
      <c r="T6393">
        <v>-0.35646329999999998</v>
      </c>
      <c r="U6393">
        <v>-0.38023379999999901</v>
      </c>
      <c r="V6393">
        <v>8.9816850000000004E-2</v>
      </c>
      <c r="W6393">
        <v>1.5637539999999998E-2</v>
      </c>
      <c r="X6393">
        <v>0.99583549999999998</v>
      </c>
      <c r="Y6393">
        <v>0.1908454</v>
      </c>
      <c r="Z6393">
        <v>-1.925083E-2</v>
      </c>
      <c r="AA6393">
        <v>0.98143130000000001</v>
      </c>
      <c r="AB6393">
        <v>33</v>
      </c>
      <c r="AC6393">
        <v>0.63210000000000799</v>
      </c>
      <c r="AD6393">
        <v>-0.115912999999999</v>
      </c>
      <c r="AE6393">
        <v>-0.13910000000001299</v>
      </c>
      <c r="AF6393">
        <v>0.175860066066163</v>
      </c>
      <c r="AG6393">
        <v>-0.115912999999999</v>
      </c>
      <c r="AH6393">
        <v>0.601947242458305</v>
      </c>
      <c r="AI6393">
        <v>100.472172325803</v>
      </c>
      <c r="AJ6393">
        <v>73.714173363903498</v>
      </c>
      <c r="AK6393">
        <v>0.63773275681036901</v>
      </c>
    </row>
    <row r="6394" spans="1:37" x14ac:dyDescent="0.2">
      <c r="A6394" t="str">
        <f>"20200111153816367"</f>
        <v>20200111153816367</v>
      </c>
      <c r="B6394" t="str">
        <f>"1578728296359705"</f>
        <v>1578728296359705</v>
      </c>
      <c r="C6394" t="s">
        <v>37</v>
      </c>
      <c r="D6394">
        <v>5.9104650000000003</v>
      </c>
      <c r="E6394">
        <v>0.53988800000000003</v>
      </c>
      <c r="F6394" t="s">
        <v>38</v>
      </c>
      <c r="G6394">
        <v>-163.88560000000001</v>
      </c>
      <c r="H6394">
        <v>0.97185290000000002</v>
      </c>
      <c r="I6394">
        <v>138.32689999999999</v>
      </c>
      <c r="J6394">
        <v>-164.4761</v>
      </c>
      <c r="K6394">
        <v>1.0903049999999901</v>
      </c>
      <c r="L6394">
        <v>138.4616</v>
      </c>
      <c r="M6394">
        <v>0.99837450000000005</v>
      </c>
      <c r="N6394">
        <v>0</v>
      </c>
      <c r="O6394">
        <v>5.3374209999999998E-2</v>
      </c>
      <c r="P6394">
        <v>0.999480699999999</v>
      </c>
      <c r="Q6394">
        <v>-2.474731E-3</v>
      </c>
      <c r="R6394">
        <v>-3.2124260000000002E-2</v>
      </c>
      <c r="S6394">
        <v>2.9915919999999998</v>
      </c>
      <c r="T6394">
        <v>-0.379862799999999</v>
      </c>
      <c r="U6394">
        <v>-0.39790340000000002</v>
      </c>
      <c r="V6394">
        <v>8.5983279999999995E-2</v>
      </c>
      <c r="W6394">
        <v>1.4497080000000001E-2</v>
      </c>
      <c r="X6394">
        <v>0.9961911</v>
      </c>
      <c r="Y6394">
        <v>0.18271109999999999</v>
      </c>
      <c r="Z6394">
        <v>-1.82294E-2</v>
      </c>
      <c r="AA6394">
        <v>0.98299769999999898</v>
      </c>
      <c r="AB6394">
        <v>33</v>
      </c>
      <c r="AC6394">
        <v>0.59049999999999103</v>
      </c>
      <c r="AD6394">
        <v>-0.11845209999999901</v>
      </c>
      <c r="AE6394">
        <v>-0.13470000000000901</v>
      </c>
      <c r="AF6394">
        <v>0.15991515764654801</v>
      </c>
      <c r="AG6394">
        <v>-0.11845209999999901</v>
      </c>
      <c r="AH6394">
        <v>0.56100919420635798</v>
      </c>
      <c r="AI6394">
        <v>101.47802217362801</v>
      </c>
      <c r="AJ6394">
        <v>74.089846998063393</v>
      </c>
      <c r="AK6394">
        <v>0.59526050904087202</v>
      </c>
    </row>
    <row r="6395" spans="1:37" x14ac:dyDescent="0.2">
      <c r="A6395" t="str">
        <f>"20200111153816389"</f>
        <v>20200111153816389</v>
      </c>
      <c r="B6395" t="str">
        <f>"1578728296379225"</f>
        <v>1578728296379225</v>
      </c>
      <c r="C6395" t="s">
        <v>37</v>
      </c>
      <c r="D6395">
        <v>5.9118389999999996</v>
      </c>
      <c r="E6395">
        <v>0.53919969999999995</v>
      </c>
      <c r="F6395" t="s">
        <v>38</v>
      </c>
      <c r="G6395">
        <v>-163.58750000000001</v>
      </c>
      <c r="H6395">
        <v>0.97409679999999998</v>
      </c>
      <c r="I6395">
        <v>138.3374</v>
      </c>
      <c r="J6395">
        <v>-164.1386</v>
      </c>
      <c r="K6395">
        <v>1.0908450000000001</v>
      </c>
      <c r="L6395">
        <v>138.4683</v>
      </c>
      <c r="M6395">
        <v>0.99901180000000001</v>
      </c>
      <c r="N6395">
        <v>0</v>
      </c>
      <c r="O6395">
        <v>3.9821799999999997E-2</v>
      </c>
      <c r="P6395">
        <v>0.99903319999999995</v>
      </c>
      <c r="Q6395">
        <v>-3.2403949999999999E-4</v>
      </c>
      <c r="R6395">
        <v>-4.3962420000000002E-2</v>
      </c>
      <c r="S6395">
        <v>2.9871829999999999</v>
      </c>
      <c r="T6395">
        <v>-0.390582599999999</v>
      </c>
      <c r="U6395">
        <v>-0.41734309999999902</v>
      </c>
      <c r="V6395">
        <v>8.4311410000000003E-2</v>
      </c>
      <c r="W6395">
        <v>1.658155E-2</v>
      </c>
      <c r="X6395">
        <v>0.99630149999999995</v>
      </c>
      <c r="Y6395">
        <v>0.17590039999999901</v>
      </c>
      <c r="Z6395">
        <v>-1.6559899999999999E-2</v>
      </c>
      <c r="AA6395">
        <v>0.9842687</v>
      </c>
      <c r="AB6395">
        <v>33</v>
      </c>
      <c r="AC6395">
        <v>0.55109999999999004</v>
      </c>
      <c r="AD6395">
        <v>-0.116748199999999</v>
      </c>
      <c r="AE6395">
        <v>-0.13089999999999599</v>
      </c>
      <c r="AF6395">
        <v>0.14652168348925401</v>
      </c>
      <c r="AG6395">
        <v>-0.116748199999999</v>
      </c>
      <c r="AH6395">
        <v>0.52322157010052495</v>
      </c>
      <c r="AI6395">
        <v>102.126614206727</v>
      </c>
      <c r="AJ6395">
        <v>74.355758832930505</v>
      </c>
      <c r="AK6395">
        <v>0.55575134489646005</v>
      </c>
    </row>
    <row r="6396" spans="1:37" x14ac:dyDescent="0.2">
      <c r="A6396" t="str">
        <f>"20200111153816411"</f>
        <v>20200111153816411</v>
      </c>
      <c r="B6396" t="str">
        <f>"1578728296399721"</f>
        <v>1578728296399721</v>
      </c>
      <c r="C6396" t="s">
        <v>37</v>
      </c>
      <c r="D6396">
        <v>5.9214349999999998</v>
      </c>
      <c r="E6396">
        <v>0.53834209999999905</v>
      </c>
      <c r="F6396" t="s">
        <v>38</v>
      </c>
      <c r="G6396">
        <v>-163.28790000000001</v>
      </c>
      <c r="H6396">
        <v>0.98026080000000004</v>
      </c>
      <c r="I6396">
        <v>138.3409</v>
      </c>
      <c r="J6396">
        <v>-163.81700000000001</v>
      </c>
      <c r="K6396">
        <v>1.091426</v>
      </c>
      <c r="L6396">
        <v>138.47059999999999</v>
      </c>
      <c r="M6396">
        <v>0.99942980000000003</v>
      </c>
      <c r="N6396">
        <v>0</v>
      </c>
      <c r="O6396">
        <v>2.756049E-2</v>
      </c>
      <c r="P6396">
        <v>0.99846639999999998</v>
      </c>
      <c r="Q6396">
        <v>1.710568E-3</v>
      </c>
      <c r="R6396">
        <v>-5.5333540000000001E-2</v>
      </c>
      <c r="S6396">
        <v>2.983139</v>
      </c>
      <c r="T6396">
        <v>-0.38748070000000001</v>
      </c>
      <c r="U6396">
        <v>-0.44615169999999998</v>
      </c>
      <c r="V6396">
        <v>8.3463170000000003E-2</v>
      </c>
      <c r="W6396">
        <v>1.8522460000000001E-2</v>
      </c>
      <c r="X6396">
        <v>0.99633869999999902</v>
      </c>
      <c r="Y6396">
        <v>0.17346539999999999</v>
      </c>
      <c r="Z6396">
        <v>-1.470488E-2</v>
      </c>
      <c r="AA6396">
        <v>0.9847302</v>
      </c>
      <c r="AB6396">
        <v>33</v>
      </c>
      <c r="AC6396">
        <v>0.52909999999999902</v>
      </c>
      <c r="AD6396">
        <v>-0.11116519999999901</v>
      </c>
      <c r="AE6396">
        <v>-0.12969999999998499</v>
      </c>
      <c r="AF6396">
        <v>0.13846974885142399</v>
      </c>
      <c r="AG6396">
        <v>-0.11116519999999901</v>
      </c>
      <c r="AH6396">
        <v>0.50432322743512004</v>
      </c>
      <c r="AI6396">
        <v>102.000084154647</v>
      </c>
      <c r="AJ6396">
        <v>74.6468971026069</v>
      </c>
      <c r="AK6396">
        <v>0.53467138577690199</v>
      </c>
    </row>
    <row r="6397" spans="1:37" x14ac:dyDescent="0.2">
      <c r="A6397" t="str">
        <f>"20200111153816433"</f>
        <v>20200111153816433</v>
      </c>
      <c r="B6397" t="str">
        <f>"1578728296429979"</f>
        <v>1578728296429979</v>
      </c>
      <c r="C6397" t="s">
        <v>37</v>
      </c>
      <c r="D6397">
        <v>5.9141830000000004</v>
      </c>
      <c r="E6397">
        <v>0.53712280000000001</v>
      </c>
      <c r="F6397" t="s">
        <v>38</v>
      </c>
      <c r="G6397">
        <v>-162.98990000000001</v>
      </c>
      <c r="H6397">
        <v>0.9842398</v>
      </c>
      <c r="I6397">
        <v>138.33930000000001</v>
      </c>
      <c r="J6397">
        <v>-163.4821</v>
      </c>
      <c r="K6397">
        <v>1.0920969999999901</v>
      </c>
      <c r="L6397">
        <v>138.46940000000001</v>
      </c>
      <c r="M6397">
        <v>0.99969390000000002</v>
      </c>
      <c r="N6397">
        <v>0</v>
      </c>
      <c r="O6397">
        <v>1.555408E-2</v>
      </c>
      <c r="P6397">
        <v>0.99795829999999996</v>
      </c>
      <c r="Q6397">
        <v>2.5820579999999999E-3</v>
      </c>
      <c r="R6397">
        <v>-6.3817269999999995E-2</v>
      </c>
      <c r="S6397">
        <v>2.9790649999999999</v>
      </c>
      <c r="T6397">
        <v>-0.38597959999999998</v>
      </c>
      <c r="U6397">
        <v>-0.47291559999999999</v>
      </c>
      <c r="V6397">
        <v>7.995149E-2</v>
      </c>
      <c r="W6397">
        <v>1.9372980000000001E-2</v>
      </c>
      <c r="X6397">
        <v>0.99661049999999995</v>
      </c>
      <c r="Y6397">
        <v>0.17060980000000001</v>
      </c>
      <c r="Z6397">
        <v>-1.293425E-2</v>
      </c>
      <c r="AA6397">
        <v>0.98525379999999996</v>
      </c>
      <c r="AB6397">
        <v>33</v>
      </c>
      <c r="AC6397">
        <v>0.49219999999999597</v>
      </c>
      <c r="AD6397">
        <v>-0.107857199999999</v>
      </c>
      <c r="AE6397">
        <v>-0.130099999999998</v>
      </c>
      <c r="AF6397">
        <v>0.131824658235311</v>
      </c>
      <c r="AG6397">
        <v>-0.107857199999999</v>
      </c>
      <c r="AH6397">
        <v>0.46906333838529601</v>
      </c>
      <c r="AI6397">
        <v>102.48203750056599</v>
      </c>
      <c r="AJ6397">
        <v>74.302615059822998</v>
      </c>
      <c r="AK6397">
        <v>0.49903039138699301</v>
      </c>
    </row>
    <row r="6398" spans="1:37" x14ac:dyDescent="0.2">
      <c r="A6398" t="str">
        <f>"20200111153816456"</f>
        <v>20200111153816456</v>
      </c>
      <c r="B6398" t="str">
        <f>"1578728296449497"</f>
        <v>1578728296449497</v>
      </c>
      <c r="C6398" t="s">
        <v>37</v>
      </c>
      <c r="D6398">
        <v>6.1012889999999897</v>
      </c>
      <c r="E6398">
        <v>0.53635010000000005</v>
      </c>
      <c r="F6398" t="s">
        <v>38</v>
      </c>
      <c r="G6398">
        <v>-162.69239999999999</v>
      </c>
      <c r="H6398">
        <v>0.98894499999999996</v>
      </c>
      <c r="I6398">
        <v>138.33969999999999</v>
      </c>
      <c r="J6398">
        <v>-163.143</v>
      </c>
      <c r="K6398">
        <v>1.092854</v>
      </c>
      <c r="L6398">
        <v>138.46449999999999</v>
      </c>
      <c r="M6398">
        <v>0.99981139999999902</v>
      </c>
      <c r="N6398">
        <v>0</v>
      </c>
      <c r="O6398">
        <v>4.2657670000000002E-3</v>
      </c>
      <c r="P6398">
        <v>0.99741069999999998</v>
      </c>
      <c r="Q6398">
        <v>3.0358109999999998E-3</v>
      </c>
      <c r="R6398">
        <v>-7.1851860000000004E-2</v>
      </c>
      <c r="S6398">
        <v>2.9759060000000002</v>
      </c>
      <c r="T6398">
        <v>-0.38855299999999998</v>
      </c>
      <c r="U6398">
        <v>-0.48829650000000002</v>
      </c>
      <c r="V6398">
        <v>7.6693940000000002E-2</v>
      </c>
      <c r="W6398">
        <v>1.9779649999999999E-2</v>
      </c>
      <c r="X6398">
        <v>0.99685849999999898</v>
      </c>
      <c r="Y6398">
        <v>0.16472970000000001</v>
      </c>
      <c r="Z6398">
        <v>-1.11895E-2</v>
      </c>
      <c r="AA6398">
        <v>0.98627529999999997</v>
      </c>
      <c r="AB6398">
        <v>33</v>
      </c>
      <c r="AC6398">
        <v>0.45060000000000799</v>
      </c>
      <c r="AD6398">
        <v>-0.103908999999999</v>
      </c>
      <c r="AE6398">
        <v>-0.124799999999993</v>
      </c>
      <c r="AF6398">
        <v>0.12075734329447101</v>
      </c>
      <c r="AG6398">
        <v>-0.103908999999999</v>
      </c>
      <c r="AH6398">
        <v>0.428881627764994</v>
      </c>
      <c r="AI6398">
        <v>103.127376209826</v>
      </c>
      <c r="AJ6398">
        <v>74.274726521727501</v>
      </c>
      <c r="AK6398">
        <v>0.45751378872651499</v>
      </c>
    </row>
    <row r="6399" spans="1:37" x14ac:dyDescent="0.2">
      <c r="A6399" t="str">
        <f>"20200111153816478"</f>
        <v>20200111153816478</v>
      </c>
      <c r="B6399" t="str">
        <f>"1578728296469994"</f>
        <v>1578728296469994</v>
      </c>
      <c r="C6399" t="s">
        <v>37</v>
      </c>
      <c r="D6399">
        <v>5.9551220000000002</v>
      </c>
      <c r="E6399">
        <v>0.53539479999999995</v>
      </c>
      <c r="F6399" t="s">
        <v>38</v>
      </c>
      <c r="G6399">
        <v>-162.3947</v>
      </c>
      <c r="H6399">
        <v>0.99521139999999997</v>
      </c>
      <c r="I6399">
        <v>138.33699999999999</v>
      </c>
      <c r="J6399">
        <v>-162.8141</v>
      </c>
      <c r="K6399">
        <v>1.0936629999999901</v>
      </c>
      <c r="L6399">
        <v>138.45679999999999</v>
      </c>
      <c r="M6399">
        <v>0.99980930000000001</v>
      </c>
      <c r="N6399">
        <v>0</v>
      </c>
      <c r="O6399">
        <v>-5.7598369999999899E-3</v>
      </c>
      <c r="P6399">
        <v>0.99687000000000003</v>
      </c>
      <c r="Q6399">
        <v>3.288039E-3</v>
      </c>
      <c r="R6399">
        <v>-7.899051E-2</v>
      </c>
      <c r="S6399">
        <v>2.9725039999999998</v>
      </c>
      <c r="T6399">
        <v>-0.38782630000000001</v>
      </c>
      <c r="U6399">
        <v>-0.50636289999999995</v>
      </c>
      <c r="V6399">
        <v>7.3794719999999994E-2</v>
      </c>
      <c r="W6399">
        <v>1.9976069999999999E-2</v>
      </c>
      <c r="X6399">
        <v>0.9970734</v>
      </c>
      <c r="Y6399">
        <v>0.1609698</v>
      </c>
      <c r="Z6399">
        <v>-9.6397299999999991E-3</v>
      </c>
      <c r="AA6399">
        <v>0.98691229999999996</v>
      </c>
      <c r="AB6399">
        <v>33</v>
      </c>
      <c r="AC6399">
        <v>0.419399999999996</v>
      </c>
      <c r="AD6399">
        <v>-9.8451599999999806E-2</v>
      </c>
      <c r="AE6399">
        <v>-0.119799999999969</v>
      </c>
      <c r="AF6399">
        <v>0.11169149166209</v>
      </c>
      <c r="AG6399">
        <v>-9.8451599999999806E-2</v>
      </c>
      <c r="AH6399">
        <v>0.399718455089286</v>
      </c>
      <c r="AI6399">
        <v>103.344796392772</v>
      </c>
      <c r="AJ6399">
        <v>74.388286472414194</v>
      </c>
      <c r="AK6399">
        <v>0.42654724262527899</v>
      </c>
    </row>
    <row r="6400" spans="1:37" x14ac:dyDescent="0.2">
      <c r="A6400" t="str">
        <f>"20200111153816501"</f>
        <v>20200111153816501</v>
      </c>
      <c r="B6400" t="str">
        <f>"1578728296489513"</f>
        <v>1578728296489513</v>
      </c>
      <c r="C6400" t="s">
        <v>37</v>
      </c>
      <c r="D6400">
        <v>6.1008079999999998</v>
      </c>
      <c r="E6400">
        <v>0.53463190000000005</v>
      </c>
      <c r="F6400" t="s">
        <v>38</v>
      </c>
      <c r="G6400">
        <v>-162.09829999999999</v>
      </c>
      <c r="H6400">
        <v>1.0003</v>
      </c>
      <c r="I6400">
        <v>138.3313</v>
      </c>
      <c r="J6400">
        <v>-162.4922</v>
      </c>
      <c r="K6400">
        <v>1.094522</v>
      </c>
      <c r="L6400">
        <v>138.44659999999999</v>
      </c>
      <c r="M6400">
        <v>0.99972490000000003</v>
      </c>
      <c r="N6400">
        <v>0</v>
      </c>
      <c r="O6400">
        <v>-1.4571560000000001E-2</v>
      </c>
      <c r="P6400">
        <v>0.99644840000000001</v>
      </c>
      <c r="Q6400">
        <v>3.3039530000000001E-3</v>
      </c>
      <c r="R6400">
        <v>-8.4139969999999994E-2</v>
      </c>
      <c r="S6400">
        <v>2.96949799999999</v>
      </c>
      <c r="T6400">
        <v>-0.38707340000000001</v>
      </c>
      <c r="U6400">
        <v>-0.51992799999999995</v>
      </c>
      <c r="V6400">
        <v>7.0110049999999993E-2</v>
      </c>
      <c r="W6400">
        <v>1.9953180000000001E-2</v>
      </c>
      <c r="X6400">
        <v>0.99733969999999905</v>
      </c>
      <c r="Y6400">
        <v>0.15692410000000001</v>
      </c>
      <c r="Z6400">
        <v>-8.2315340000000004E-3</v>
      </c>
      <c r="AA6400">
        <v>0.98757640000000002</v>
      </c>
      <c r="AB6400">
        <v>33</v>
      </c>
      <c r="AC6400">
        <v>0.39390000000000203</v>
      </c>
      <c r="AD6400">
        <v>-9.4222E-2</v>
      </c>
      <c r="AE6400">
        <v>-0.11529999999998999</v>
      </c>
      <c r="AF6400">
        <v>0.10406269498784</v>
      </c>
      <c r="AG6400">
        <v>-9.4222E-2</v>
      </c>
      <c r="AH6400">
        <v>0.375736348167933</v>
      </c>
      <c r="AI6400">
        <v>103.58611140475401</v>
      </c>
      <c r="AJ6400">
        <v>74.519573177256902</v>
      </c>
      <c r="AK6400">
        <v>0.40110426712602598</v>
      </c>
    </row>
    <row r="6401" spans="1:37" x14ac:dyDescent="0.2">
      <c r="A6401" t="str">
        <f>"20200111153816523"</f>
        <v>20200111153816523</v>
      </c>
      <c r="B6401" t="str">
        <f>"1578728296519769"</f>
        <v>1578728296519769</v>
      </c>
      <c r="C6401" t="s">
        <v>37</v>
      </c>
      <c r="D6401">
        <v>5.883197</v>
      </c>
      <c r="E6401">
        <v>0.53361769999999997</v>
      </c>
      <c r="F6401" t="s">
        <v>38</v>
      </c>
      <c r="G6401">
        <v>-161.52809999999999</v>
      </c>
      <c r="H6401">
        <v>0.96920490000000004</v>
      </c>
      <c r="I6401">
        <v>138.27459999999999</v>
      </c>
      <c r="J6401">
        <v>-162.16229999999999</v>
      </c>
      <c r="K6401">
        <v>1.0954489999999999</v>
      </c>
      <c r="L6401">
        <v>138.43379999999999</v>
      </c>
      <c r="M6401">
        <v>0.99958159999999896</v>
      </c>
      <c r="N6401">
        <v>0</v>
      </c>
      <c r="O6401">
        <v>-2.2578379999999999E-2</v>
      </c>
      <c r="P6401">
        <v>0.99612060000000002</v>
      </c>
      <c r="Q6401">
        <v>3.103349E-3</v>
      </c>
      <c r="R6401">
        <v>-8.7944990000000001E-2</v>
      </c>
      <c r="S6401">
        <v>2.967285</v>
      </c>
      <c r="T6401">
        <v>-0.38569039999999999</v>
      </c>
      <c r="U6401">
        <v>-0.52920529999999999</v>
      </c>
      <c r="V6401">
        <v>6.5874379999999996E-2</v>
      </c>
      <c r="W6401">
        <v>1.9707659999999998E-2</v>
      </c>
      <c r="X6401">
        <v>0.99763329999999995</v>
      </c>
      <c r="Y6401">
        <v>0.15224389999999999</v>
      </c>
      <c r="Z6401">
        <v>-6.8780600000000001E-3</v>
      </c>
      <c r="AA6401">
        <v>0.98831899999999995</v>
      </c>
      <c r="AB6401">
        <v>33</v>
      </c>
      <c r="AC6401">
        <v>0.63419999999999199</v>
      </c>
      <c r="AD6401">
        <v>-0.126244099999999</v>
      </c>
      <c r="AE6401">
        <v>-0.15919999999999801</v>
      </c>
      <c r="AF6401">
        <v>0.13963287897337601</v>
      </c>
      <c r="AG6401">
        <v>-0.126244099999999</v>
      </c>
      <c r="AH6401">
        <v>0.61471898939940495</v>
      </c>
      <c r="AI6401">
        <v>101.32465291750501</v>
      </c>
      <c r="AJ6401">
        <v>77.202468310593801</v>
      </c>
      <c r="AK6401">
        <v>0.64289528665516704</v>
      </c>
    </row>
    <row r="6402" spans="1:37" x14ac:dyDescent="0.2">
      <c r="A6402" t="str">
        <f>"20200111153816546"</f>
        <v>20200111153816546</v>
      </c>
      <c r="B6402" t="str">
        <f>"1578728296539288"</f>
        <v>1578728296539288</v>
      </c>
      <c r="C6402" t="s">
        <v>37</v>
      </c>
      <c r="D6402">
        <v>6.220567</v>
      </c>
      <c r="E6402">
        <v>0.52661530000000001</v>
      </c>
      <c r="F6402" t="s">
        <v>38</v>
      </c>
      <c r="G6402">
        <v>-161.2338</v>
      </c>
      <c r="H6402">
        <v>0.97476839999999998</v>
      </c>
      <c r="I6402">
        <v>138.26689999999999</v>
      </c>
      <c r="J6402">
        <v>-161.82769999999999</v>
      </c>
      <c r="K6402">
        <v>1.0963459999999901</v>
      </c>
      <c r="L6402">
        <v>138.41890000000001</v>
      </c>
      <c r="M6402">
        <v>0.99939730000000004</v>
      </c>
      <c r="N6402">
        <v>0</v>
      </c>
      <c r="O6402">
        <v>-2.9812209999999999E-2</v>
      </c>
      <c r="P6402">
        <v>0.99589269999999996</v>
      </c>
      <c r="Q6402">
        <v>3.3693629999999998E-3</v>
      </c>
      <c r="R6402">
        <v>-9.0480179999999993E-2</v>
      </c>
      <c r="S6402">
        <v>2.965805</v>
      </c>
      <c r="T6402">
        <v>-0.38542700000000002</v>
      </c>
      <c r="U6402">
        <v>-0.53305049999999998</v>
      </c>
      <c r="V6402">
        <v>6.1149820000000001E-2</v>
      </c>
      <c r="W6402">
        <v>1.992362E-2</v>
      </c>
      <c r="X6402">
        <v>0.99792979999999998</v>
      </c>
      <c r="Y6402">
        <v>0.14652270000000001</v>
      </c>
      <c r="Z6402">
        <v>-5.5810900000000004E-3</v>
      </c>
      <c r="AA6402">
        <v>0.9891915</v>
      </c>
      <c r="AB6402">
        <v>33</v>
      </c>
      <c r="AC6402">
        <v>0.59389999999998999</v>
      </c>
      <c r="AD6402">
        <v>-0.12157759999999899</v>
      </c>
      <c r="AE6402">
        <v>-0.15200000000001501</v>
      </c>
      <c r="AF6402">
        <v>0.129144855830366</v>
      </c>
      <c r="AG6402">
        <v>-0.12157759999999899</v>
      </c>
      <c r="AH6402">
        <v>0.57553232551127598</v>
      </c>
      <c r="AI6402">
        <v>101.646599986255</v>
      </c>
      <c r="AJ6402">
        <v>77.352777478805606</v>
      </c>
      <c r="AK6402">
        <v>0.60224327668943101</v>
      </c>
    </row>
    <row r="6403" spans="1:37" x14ac:dyDescent="0.2">
      <c r="A6403" t="str">
        <f>"20200111153816568"</f>
        <v>20200111153816568</v>
      </c>
      <c r="B6403" t="str">
        <f>"1578728296559785"</f>
        <v>1578728296559785</v>
      </c>
      <c r="C6403" t="s">
        <v>37</v>
      </c>
      <c r="D6403">
        <v>8.5539830000000006</v>
      </c>
      <c r="E6403">
        <v>0.52262759999999997</v>
      </c>
      <c r="F6403" t="s">
        <v>38</v>
      </c>
      <c r="G6403">
        <v>-160.9239</v>
      </c>
      <c r="H6403">
        <v>1.012764</v>
      </c>
      <c r="I6403">
        <v>138.27119999999999</v>
      </c>
      <c r="J6403">
        <v>-161.5043</v>
      </c>
      <c r="K6403">
        <v>1.0971930000000001</v>
      </c>
      <c r="L6403">
        <v>138.40299999999999</v>
      </c>
      <c r="M6403">
        <v>0.99920069999999905</v>
      </c>
      <c r="N6403">
        <v>0</v>
      </c>
      <c r="O6403">
        <v>-3.592907E-2</v>
      </c>
      <c r="P6403">
        <v>0.99576260000000005</v>
      </c>
      <c r="Q6403">
        <v>5.5881139999999999E-3</v>
      </c>
      <c r="R6403">
        <v>-9.1790350000000007E-2</v>
      </c>
      <c r="S6403">
        <v>2.9692379999999998</v>
      </c>
      <c r="T6403">
        <v>-0.27455099999999999</v>
      </c>
      <c r="U6403">
        <v>-0.48477170000000003</v>
      </c>
      <c r="V6403">
        <v>5.6348559999999999E-2</v>
      </c>
      <c r="W6403">
        <v>2.2091800000000002E-2</v>
      </c>
      <c r="X6403">
        <v>0.99816669999999996</v>
      </c>
      <c r="Y6403">
        <v>0.12519179999999999</v>
      </c>
      <c r="Z6403">
        <v>-2.4468440000000001E-3</v>
      </c>
      <c r="AA6403">
        <v>0.99212959999999994</v>
      </c>
      <c r="AB6403">
        <v>32</v>
      </c>
      <c r="AC6403">
        <v>0.58039999999999703</v>
      </c>
      <c r="AD6403">
        <v>-8.4429000000000004E-2</v>
      </c>
      <c r="AE6403">
        <v>-0.131799999999998</v>
      </c>
      <c r="AF6403">
        <v>0.10867164903992101</v>
      </c>
      <c r="AG6403">
        <v>-8.4429000000000004E-2</v>
      </c>
      <c r="AH6403">
        <v>0.57322632758471703</v>
      </c>
      <c r="AI6403">
        <v>98.234106090851796</v>
      </c>
      <c r="AJ6403">
        <v>79.265318188308498</v>
      </c>
      <c r="AK6403">
        <v>0.58951353333262602</v>
      </c>
    </row>
    <row r="6404" spans="1:37" x14ac:dyDescent="0.2">
      <c r="A6404" t="str">
        <f>"20200111153816590"</f>
        <v>20200111153816590</v>
      </c>
      <c r="B6404" t="str">
        <f>"1578728296579306"</f>
        <v>1578728296579306</v>
      </c>
      <c r="C6404" t="s">
        <v>37</v>
      </c>
      <c r="D6404">
        <v>5.6199789999999998</v>
      </c>
      <c r="E6404">
        <v>0.51196660000000005</v>
      </c>
      <c r="F6404" t="s">
        <v>38</v>
      </c>
      <c r="G6404">
        <v>-160.67840000000001</v>
      </c>
      <c r="H6404">
        <v>0.92122819999999905</v>
      </c>
      <c r="I6404">
        <v>138.27520000000001</v>
      </c>
      <c r="J6404">
        <v>-161.18639999999999</v>
      </c>
      <c r="K6404">
        <v>1.098052</v>
      </c>
      <c r="L6404">
        <v>138.386</v>
      </c>
      <c r="M6404">
        <v>0.99900820000000001</v>
      </c>
      <c r="N6404">
        <v>0</v>
      </c>
      <c r="O6404">
        <v>-4.1040130000000001E-2</v>
      </c>
      <c r="P6404">
        <v>0.9957395</v>
      </c>
      <c r="Q6404">
        <v>8.4639840000000008E-3</v>
      </c>
      <c r="R6404">
        <v>-9.1823699999999994E-2</v>
      </c>
      <c r="S6404">
        <v>2.9739070000000001</v>
      </c>
      <c r="T6404">
        <v>-0.63356999999999997</v>
      </c>
      <c r="U6404">
        <v>-0.46008300000000002</v>
      </c>
      <c r="V6404">
        <v>5.1272039999999998E-2</v>
      </c>
      <c r="W6404">
        <v>2.4913419999999999E-2</v>
      </c>
      <c r="X6404">
        <v>0.99837389999999904</v>
      </c>
      <c r="Y6404">
        <v>0.110670899999999</v>
      </c>
      <c r="Z6404">
        <v>-3.0017429999999999E-3</v>
      </c>
      <c r="AA6404">
        <v>0.99385259999999997</v>
      </c>
      <c r="AB6404">
        <v>32</v>
      </c>
      <c r="AC6404">
        <v>0.50799999999998102</v>
      </c>
      <c r="AD6404">
        <v>-0.1768238</v>
      </c>
      <c r="AE6404">
        <v>-0.110799999999983</v>
      </c>
      <c r="AF6404">
        <v>8.0540135154848105E-2</v>
      </c>
      <c r="AG6404">
        <v>-0.1768238</v>
      </c>
      <c r="AH6404">
        <v>0.459029996878976</v>
      </c>
      <c r="AI6404">
        <v>110.77754296812</v>
      </c>
      <c r="AJ6404">
        <v>80.048337159140601</v>
      </c>
      <c r="AK6404">
        <v>0.49845953461832199</v>
      </c>
    </row>
    <row r="6405" spans="1:37" x14ac:dyDescent="0.2">
      <c r="A6405" t="str">
        <f>"20200111153816981"</f>
        <v>20200111153816981</v>
      </c>
      <c r="B6405" t="str">
        <f>"1578728296969706"</f>
        <v>1578728296969706</v>
      </c>
      <c r="C6405" t="s">
        <v>37</v>
      </c>
      <c r="D6405">
        <v>5.9538039999999999</v>
      </c>
      <c r="E6405">
        <v>0.57393479999999997</v>
      </c>
      <c r="F6405" t="s">
        <v>38</v>
      </c>
      <c r="G6405">
        <v>-155.30529999999999</v>
      </c>
      <c r="H6405">
        <v>0.83136180000000004</v>
      </c>
      <c r="I6405">
        <v>138.00890000000001</v>
      </c>
      <c r="J6405">
        <v>-155.62620000000001</v>
      </c>
      <c r="K6405">
        <v>1.1077129999999999</v>
      </c>
      <c r="L6405">
        <v>138.13800000000001</v>
      </c>
      <c r="M6405">
        <v>0.99951880000000004</v>
      </c>
      <c r="N6405">
        <v>0</v>
      </c>
      <c r="O6405">
        <v>-2.7118469999999999E-2</v>
      </c>
      <c r="P6405">
        <v>0.99598379999999997</v>
      </c>
      <c r="Q6405">
        <v>8.5077509999999995E-2</v>
      </c>
      <c r="R6405">
        <v>2.7894410000000001E-2</v>
      </c>
      <c r="S6405">
        <v>3.13812299999999</v>
      </c>
      <c r="T6405">
        <v>-1.3601540000000001</v>
      </c>
      <c r="U6405">
        <v>-0.66558839999999997</v>
      </c>
      <c r="V6405">
        <v>-5.5538450000000003E-2</v>
      </c>
      <c r="W6405">
        <v>9.9698880000000004E-2</v>
      </c>
      <c r="X6405">
        <v>0.99346639999999997</v>
      </c>
      <c r="Y6405">
        <v>0.1686925</v>
      </c>
      <c r="Z6405">
        <v>-2.3514730000000001E-2</v>
      </c>
      <c r="AA6405">
        <v>0.98538819999999905</v>
      </c>
      <c r="AB6405">
        <v>32</v>
      </c>
      <c r="AC6405">
        <v>0.320900000000023</v>
      </c>
      <c r="AD6405">
        <v>-0.27635119999999902</v>
      </c>
      <c r="AE6405">
        <v>-0.129099999999994</v>
      </c>
      <c r="AF6405">
        <v>7.3459261141326601E-2</v>
      </c>
      <c r="AG6405">
        <v>-0.27635119999999902</v>
      </c>
      <c r="AH6405">
        <v>0.197937450840866</v>
      </c>
      <c r="AI6405">
        <v>142.620593388972</v>
      </c>
      <c r="AJ6405">
        <v>69.638921040529297</v>
      </c>
      <c r="AK6405">
        <v>0.34777217144885197</v>
      </c>
    </row>
    <row r="6406" spans="1:37" x14ac:dyDescent="0.2">
      <c r="A6406" t="str">
        <f>"20200111153817003"</f>
        <v>20200111153817003</v>
      </c>
      <c r="B6406" t="str">
        <f>"1578728296999961"</f>
        <v>1578728296999961</v>
      </c>
      <c r="C6406" t="s">
        <v>37</v>
      </c>
      <c r="D6406">
        <v>8.7541159999999998</v>
      </c>
      <c r="E6406">
        <v>0.54573609999999995</v>
      </c>
      <c r="F6406" t="s">
        <v>38</v>
      </c>
      <c r="G6406">
        <v>-154.7612</v>
      </c>
      <c r="H6406">
        <v>0.79001690000000002</v>
      </c>
      <c r="I6406">
        <v>137.9873</v>
      </c>
      <c r="J6406">
        <v>-155.31450000000001</v>
      </c>
      <c r="K6406">
        <v>1.107764</v>
      </c>
      <c r="L6406">
        <v>138.13310000000001</v>
      </c>
      <c r="M6406">
        <v>0.99960469999999901</v>
      </c>
      <c r="N6406">
        <v>0</v>
      </c>
      <c r="O6406">
        <v>-2.3766320000000001E-2</v>
      </c>
      <c r="P6406">
        <v>0.99574560000000001</v>
      </c>
      <c r="Q6406">
        <v>8.6280999999999997E-2</v>
      </c>
      <c r="R6406">
        <v>3.2345099999999898E-2</v>
      </c>
      <c r="S6406">
        <v>3.125381</v>
      </c>
      <c r="T6406">
        <v>-1.147869</v>
      </c>
      <c r="U6406">
        <v>-0.54409790000000002</v>
      </c>
      <c r="V6406">
        <v>-5.6666389999999997E-2</v>
      </c>
      <c r="W6406">
        <v>0.10084509999999999</v>
      </c>
      <c r="X6406">
        <v>0.99328709999999898</v>
      </c>
      <c r="Y6406">
        <v>0.14063779999999901</v>
      </c>
      <c r="Z6406">
        <v>-1.644816E-2</v>
      </c>
      <c r="AA6406">
        <v>0.98992449999999999</v>
      </c>
      <c r="AB6406">
        <v>31</v>
      </c>
      <c r="AC6406">
        <v>0.55330000000000701</v>
      </c>
      <c r="AD6406">
        <v>-0.31774709999999901</v>
      </c>
      <c r="AE6406">
        <v>-0.14580000000000801</v>
      </c>
      <c r="AF6406">
        <v>0.101352360095528</v>
      </c>
      <c r="AG6406">
        <v>-0.31774709999999901</v>
      </c>
      <c r="AH6406">
        <v>0.42541854929666401</v>
      </c>
      <c r="AI6406">
        <v>126.00101323971199</v>
      </c>
      <c r="AJ6406">
        <v>76.599571034297696</v>
      </c>
      <c r="AK6406">
        <v>0.54057049729061402</v>
      </c>
    </row>
    <row r="6407" spans="1:37" x14ac:dyDescent="0.2">
      <c r="A6407" t="str">
        <f>"20200111153817026"</f>
        <v>20200111153817026</v>
      </c>
      <c r="B6407" t="str">
        <f>"1578728297019940"</f>
        <v>1578728297019940</v>
      </c>
      <c r="C6407" t="s">
        <v>37</v>
      </c>
      <c r="D6407">
        <v>5.8549489999999897</v>
      </c>
      <c r="E6407">
        <v>0.54667849999999996</v>
      </c>
      <c r="F6407" t="s">
        <v>38</v>
      </c>
      <c r="G6407">
        <v>-154.4221</v>
      </c>
      <c r="H6407">
        <v>0.93061689999999997</v>
      </c>
      <c r="I6407">
        <v>138.0479</v>
      </c>
      <c r="J6407">
        <v>-154.99250000000001</v>
      </c>
      <c r="K6407">
        <v>1.1078030000000001</v>
      </c>
      <c r="L6407">
        <v>138.12909999999999</v>
      </c>
      <c r="M6407">
        <v>0.99968179999999995</v>
      </c>
      <c r="N6407">
        <v>0</v>
      </c>
      <c r="O6407">
        <v>-2.0299299999999999E-2</v>
      </c>
      <c r="P6407">
        <v>0.99539230000000001</v>
      </c>
      <c r="Q6407">
        <v>8.8372419999999993E-2</v>
      </c>
      <c r="R6407">
        <v>3.721265E-2</v>
      </c>
      <c r="S6407">
        <v>3.0752410000000001</v>
      </c>
      <c r="T6407">
        <v>-0.610572</v>
      </c>
      <c r="U6407">
        <v>-0.29318240000000001</v>
      </c>
      <c r="V6407">
        <v>-5.8098339999999998E-2</v>
      </c>
      <c r="W6407">
        <v>0.10286969999999999</v>
      </c>
      <c r="X6407">
        <v>0.99299669999999896</v>
      </c>
      <c r="Y6407">
        <v>7.3645100000000005E-2</v>
      </c>
      <c r="Z6407">
        <v>-3.242464E-3</v>
      </c>
      <c r="AA6407">
        <v>0.99727919999999903</v>
      </c>
      <c r="AB6407">
        <v>31</v>
      </c>
      <c r="AC6407">
        <v>0.57040000000000601</v>
      </c>
      <c r="AD6407">
        <v>-0.17718610000000001</v>
      </c>
      <c r="AE6407">
        <v>-8.1199999999995498E-2</v>
      </c>
      <c r="AF6407">
        <v>6.3589152098785198E-2</v>
      </c>
      <c r="AG6407">
        <v>-0.17718610000000001</v>
      </c>
      <c r="AH6407">
        <v>0.52251303091951395</v>
      </c>
      <c r="AI6407">
        <v>108.60426694257001</v>
      </c>
      <c r="AJ6407">
        <v>83.061299731523306</v>
      </c>
      <c r="AK6407">
        <v>0.55539027879370495</v>
      </c>
    </row>
    <row r="6408" spans="1:37" x14ac:dyDescent="0.2">
      <c r="A6408" t="str">
        <f>"20200111153817049"</f>
        <v>20200111153817049</v>
      </c>
      <c r="B6408" t="str">
        <f>"1578728297039461"</f>
        <v>1578728297039461</v>
      </c>
      <c r="C6408" t="s">
        <v>37</v>
      </c>
      <c r="D6408">
        <v>5.9900699999999896</v>
      </c>
      <c r="E6408">
        <v>0.54685629999999996</v>
      </c>
      <c r="F6408" t="s">
        <v>38</v>
      </c>
      <c r="G6408">
        <v>-154.13319999999999</v>
      </c>
      <c r="H6408">
        <v>0.9497004</v>
      </c>
      <c r="I6408">
        <v>138.04849999999999</v>
      </c>
      <c r="J6408">
        <v>-154.68020000000001</v>
      </c>
      <c r="K6408">
        <v>1.107826</v>
      </c>
      <c r="L6408">
        <v>138.12629999999999</v>
      </c>
      <c r="M6408">
        <v>0.99974509999999905</v>
      </c>
      <c r="N6408">
        <v>0</v>
      </c>
      <c r="O6408">
        <v>-1.6944609999999999E-2</v>
      </c>
      <c r="P6408">
        <v>0.99503269999999899</v>
      </c>
      <c r="Q6408">
        <v>9.0088169999999995E-2</v>
      </c>
      <c r="R6408">
        <v>4.2361070000000001E-2</v>
      </c>
      <c r="S6408">
        <v>3.07490499999999</v>
      </c>
      <c r="T6408">
        <v>-0.56589750000000005</v>
      </c>
      <c r="U6408">
        <v>-0.287796</v>
      </c>
      <c r="V6408">
        <v>-5.9918899999999997E-2</v>
      </c>
      <c r="W6408">
        <v>0.1045201</v>
      </c>
      <c r="X6408">
        <v>0.99271609999999999</v>
      </c>
      <c r="Y6408">
        <v>7.5329999999999994E-2</v>
      </c>
      <c r="Z6408">
        <v>-3.7739039999999998E-3</v>
      </c>
      <c r="AA6408">
        <v>0.99715149999999997</v>
      </c>
      <c r="AB6408">
        <v>31</v>
      </c>
      <c r="AC6408">
        <v>0.54700000000002502</v>
      </c>
      <c r="AD6408">
        <v>-0.15812559999999901</v>
      </c>
      <c r="AE6408">
        <v>-7.7799999999996303E-2</v>
      </c>
      <c r="AF6408">
        <v>6.3331658639505503E-2</v>
      </c>
      <c r="AG6408">
        <v>-0.15812559999999901</v>
      </c>
      <c r="AH6408">
        <v>0.50673380562481596</v>
      </c>
      <c r="AI6408">
        <v>107.204602041708</v>
      </c>
      <c r="AJ6408">
        <v>82.8761044127058</v>
      </c>
      <c r="AK6408">
        <v>0.53459681454756103</v>
      </c>
    </row>
    <row r="6409" spans="1:37" x14ac:dyDescent="0.2">
      <c r="A6409" t="str">
        <f>"20200111153817070"</f>
        <v>20200111153817070</v>
      </c>
      <c r="B6409" t="str">
        <f>"1578728297059956"</f>
        <v>1578728297059956</v>
      </c>
      <c r="C6409" t="s">
        <v>37</v>
      </c>
      <c r="D6409">
        <v>5.9663110000000001</v>
      </c>
      <c r="E6409">
        <v>0.54462089999999996</v>
      </c>
      <c r="F6409" t="s">
        <v>38</v>
      </c>
      <c r="G6409">
        <v>-153.84909999999999</v>
      </c>
      <c r="H6409">
        <v>0.95959309999999998</v>
      </c>
      <c r="I6409">
        <v>138.05179999999999</v>
      </c>
      <c r="J6409">
        <v>-154.3766</v>
      </c>
      <c r="K6409">
        <v>1.1078509999999999</v>
      </c>
      <c r="L6409">
        <v>138.12450000000001</v>
      </c>
      <c r="M6409">
        <v>0.9997954</v>
      </c>
      <c r="N6409">
        <v>0</v>
      </c>
      <c r="O6409">
        <v>-1.3692910000000001E-2</v>
      </c>
      <c r="P6409">
        <v>0.99455569999999904</v>
      </c>
      <c r="Q6409">
        <v>9.2685160000000003E-2</v>
      </c>
      <c r="R6409">
        <v>4.7628490000000002E-2</v>
      </c>
      <c r="S6409">
        <v>3.0763849999999899</v>
      </c>
      <c r="T6409">
        <v>-0.54874719999999999</v>
      </c>
      <c r="U6409">
        <v>-0.27574159999999998</v>
      </c>
      <c r="V6409">
        <v>-6.1965819999999998E-2</v>
      </c>
      <c r="W6409">
        <v>0.107054</v>
      </c>
      <c r="X6409">
        <v>0.99232039999999999</v>
      </c>
      <c r="Y6409">
        <v>7.4671100000000004E-2</v>
      </c>
      <c r="Z6409">
        <v>-4.1761910000000001E-3</v>
      </c>
      <c r="AA6409">
        <v>0.99719950000000002</v>
      </c>
      <c r="AB6409">
        <v>31</v>
      </c>
      <c r="AC6409">
        <v>0.52750000000000297</v>
      </c>
      <c r="AD6409">
        <v>-0.148257899999999</v>
      </c>
      <c r="AE6409">
        <v>-7.2700000000025897E-2</v>
      </c>
      <c r="AF6409">
        <v>6.0759257625110898E-2</v>
      </c>
      <c r="AG6409">
        <v>-0.148257899999999</v>
      </c>
      <c r="AH6409">
        <v>0.49042770595016799</v>
      </c>
      <c r="AI6409">
        <v>106.699751094798</v>
      </c>
      <c r="AJ6409">
        <v>82.937592600777194</v>
      </c>
      <c r="AK6409">
        <v>0.51593742553056599</v>
      </c>
    </row>
    <row r="6410" spans="1:37" x14ac:dyDescent="0.2">
      <c r="A6410" t="str">
        <f>"20200111153817160"</f>
        <v>20200111153817160</v>
      </c>
      <c r="B6410" t="str">
        <f>"1578728297149748"</f>
        <v>1578728297149748</v>
      </c>
      <c r="C6410" t="s">
        <v>37</v>
      </c>
      <c r="D6410">
        <v>5.8620700000000001</v>
      </c>
      <c r="E6410">
        <v>0.59783169999999897</v>
      </c>
      <c r="F6410" t="s">
        <v>38</v>
      </c>
      <c r="G6410">
        <v>-152.80199999999999</v>
      </c>
      <c r="H6410">
        <v>0.80581950000000002</v>
      </c>
      <c r="I6410">
        <v>137.9898</v>
      </c>
      <c r="J6410">
        <v>-153.13720000000001</v>
      </c>
      <c r="K6410">
        <v>1.107893</v>
      </c>
      <c r="L6410">
        <v>138.1277</v>
      </c>
      <c r="M6410">
        <v>0.99989219999999901</v>
      </c>
      <c r="N6410">
        <v>0</v>
      </c>
      <c r="O6410">
        <v>-4.6587769999999998E-4</v>
      </c>
      <c r="P6410">
        <v>0.99222589999999999</v>
      </c>
      <c r="Q6410">
        <v>0.1071042</v>
      </c>
      <c r="R6410">
        <v>6.3377219999999998E-2</v>
      </c>
      <c r="S6410">
        <v>3.2325900000000001</v>
      </c>
      <c r="T6410">
        <v>-1.5838459999999901</v>
      </c>
      <c r="U6410">
        <v>-0.71084590000000003</v>
      </c>
      <c r="V6410">
        <v>-6.4658809999999997E-2</v>
      </c>
      <c r="W6410">
        <v>0.12122860000000001</v>
      </c>
      <c r="X6410">
        <v>0.99051650000000002</v>
      </c>
      <c r="Y6410">
        <v>0.19336539999999999</v>
      </c>
      <c r="Z6410">
        <v>-4.4159900000000002E-2</v>
      </c>
      <c r="AA6410">
        <v>0.98013249999999996</v>
      </c>
      <c r="AB6410">
        <v>31</v>
      </c>
      <c r="AC6410">
        <v>0.33519999999998601</v>
      </c>
      <c r="AD6410">
        <v>-0.30207349999999999</v>
      </c>
      <c r="AE6410">
        <v>-0.13790000000000099</v>
      </c>
      <c r="AF6410">
        <v>8.1285785631420401E-2</v>
      </c>
      <c r="AG6410">
        <v>-0.30207349999999999</v>
      </c>
      <c r="AH6410">
        <v>0.197847118545424</v>
      </c>
      <c r="AI6410">
        <v>144.69816185181099</v>
      </c>
      <c r="AJ6410">
        <v>67.664616854843999</v>
      </c>
      <c r="AK6410">
        <v>0.37013411172802502</v>
      </c>
    </row>
    <row r="6411" spans="1:37" x14ac:dyDescent="0.2">
      <c r="A6411" t="str">
        <f>"20200111153817181"</f>
        <v>20200111153817181</v>
      </c>
      <c r="B6411" t="str">
        <f>"1578728297180004"</f>
        <v>1578728297180004</v>
      </c>
      <c r="C6411" t="s">
        <v>37</v>
      </c>
      <c r="D6411">
        <v>6.1176550000000001</v>
      </c>
      <c r="E6411">
        <v>0.55400119999999997</v>
      </c>
      <c r="F6411" t="s">
        <v>39</v>
      </c>
      <c r="G6411">
        <v>-150.7105</v>
      </c>
      <c r="H6411" s="1">
        <v>-4.3195680000000001E-6</v>
      </c>
      <c r="I6411">
        <v>137.63130000000001</v>
      </c>
      <c r="J6411">
        <v>-152.82929999999999</v>
      </c>
      <c r="K6411">
        <v>1.1078889999999999</v>
      </c>
      <c r="L6411">
        <v>138.1311</v>
      </c>
      <c r="M6411">
        <v>0.99988889999999997</v>
      </c>
      <c r="N6411">
        <v>0</v>
      </c>
      <c r="O6411">
        <v>2.8167330000000001E-3</v>
      </c>
      <c r="P6411">
        <v>0.99192639999999999</v>
      </c>
      <c r="Q6411">
        <v>0.1082158</v>
      </c>
      <c r="R6411">
        <v>6.6116380000000002E-2</v>
      </c>
      <c r="S6411">
        <v>3.224548</v>
      </c>
      <c r="T6411">
        <v>-1.4721340000000001</v>
      </c>
      <c r="U6411">
        <v>-0.65957639999999995</v>
      </c>
      <c r="V6411">
        <v>-6.4146830000000002E-2</v>
      </c>
      <c r="W6411">
        <v>0.1222973</v>
      </c>
      <c r="X6411">
        <v>0.99041840000000003</v>
      </c>
      <c r="Y6411">
        <v>0.185204799999999</v>
      </c>
      <c r="Z6411">
        <v>-4.113282E-2</v>
      </c>
      <c r="AA6411">
        <v>0.98183869999999895</v>
      </c>
      <c r="AB6411">
        <v>31</v>
      </c>
      <c r="AC6411">
        <v>2.11879999999999</v>
      </c>
      <c r="AD6411">
        <v>-1.1078933195680001</v>
      </c>
      <c r="AE6411">
        <v>-0.49979999999999303</v>
      </c>
      <c r="AF6411">
        <v>0.40172119632039199</v>
      </c>
      <c r="AG6411">
        <v>-1.1078933195680001</v>
      </c>
      <c r="AH6411">
        <v>1.68179875045559</v>
      </c>
      <c r="AI6411">
        <v>122.64889693003499</v>
      </c>
      <c r="AJ6411">
        <v>76.565825055179005</v>
      </c>
      <c r="AK6411">
        <v>2.0535955210679799</v>
      </c>
    </row>
    <row r="6412" spans="1:37" x14ac:dyDescent="0.2">
      <c r="A6412" t="str">
        <f>"20200111153817226"</f>
        <v>20200111153817226</v>
      </c>
      <c r="B6412" t="str">
        <f>"1578728297220020"</f>
        <v>1578728297220020</v>
      </c>
      <c r="C6412" t="s">
        <v>37</v>
      </c>
      <c r="D6412">
        <v>5.9594649999999998</v>
      </c>
      <c r="E6412">
        <v>0.54902220000000002</v>
      </c>
      <c r="F6412" t="s">
        <v>38</v>
      </c>
      <c r="G6412">
        <v>-151.93369999999999</v>
      </c>
      <c r="H6412">
        <v>0.89762719999999896</v>
      </c>
      <c r="I6412">
        <v>138.05260000000001</v>
      </c>
      <c r="J6412">
        <v>-152.20500000000001</v>
      </c>
      <c r="K6412">
        <v>1.1078619999999999</v>
      </c>
      <c r="L6412">
        <v>138.14109999999999</v>
      </c>
      <c r="M6412">
        <v>0.99984959999999901</v>
      </c>
      <c r="N6412">
        <v>0</v>
      </c>
      <c r="O6412">
        <v>9.4815090000000008E-3</v>
      </c>
      <c r="P6412">
        <v>0.99186129999999995</v>
      </c>
      <c r="Q6412">
        <v>0.1064156</v>
      </c>
      <c r="R6412">
        <v>6.9909570000000004E-2</v>
      </c>
      <c r="S6412">
        <v>3.1226039999999999</v>
      </c>
      <c r="T6412">
        <v>-0.73320869999999905</v>
      </c>
      <c r="U6412">
        <v>-0.27297969999999999</v>
      </c>
      <c r="V6412">
        <v>-6.131114E-2</v>
      </c>
      <c r="W6412">
        <v>0.12041209999999999</v>
      </c>
      <c r="X6412">
        <v>0.99082890000000001</v>
      </c>
      <c r="Y6412">
        <v>9.374391E-2</v>
      </c>
      <c r="Z6412">
        <v>-1.303121E-2</v>
      </c>
      <c r="AA6412">
        <v>0.99551109999999898</v>
      </c>
      <c r="AB6412">
        <v>31</v>
      </c>
      <c r="AC6412">
        <v>0.27130000000002402</v>
      </c>
      <c r="AD6412">
        <v>-0.2102348</v>
      </c>
      <c r="AE6412">
        <v>-8.8499999999981996E-2</v>
      </c>
      <c r="AF6412">
        <v>5.9030382404824E-2</v>
      </c>
      <c r="AG6412">
        <v>-0.2102348</v>
      </c>
      <c r="AH6412">
        <v>0.17530388951096401</v>
      </c>
      <c r="AI6412">
        <v>138.65696027041699</v>
      </c>
      <c r="AJ6412">
        <v>71.389987673806502</v>
      </c>
      <c r="AK6412">
        <v>0.28002626815277898</v>
      </c>
    </row>
    <row r="6413" spans="1:37" x14ac:dyDescent="0.2">
      <c r="A6413" t="str">
        <f>"20200111153817249"</f>
        <v>20200111153817249</v>
      </c>
      <c r="B6413" t="str">
        <f>"1578728297239540"</f>
        <v>1578728297239540</v>
      </c>
      <c r="C6413" t="s">
        <v>37</v>
      </c>
      <c r="D6413">
        <v>5.9978419999999897</v>
      </c>
      <c r="E6413">
        <v>0.54666669999999995</v>
      </c>
      <c r="F6413" t="s">
        <v>38</v>
      </c>
      <c r="G6413">
        <v>-151.35890000000001</v>
      </c>
      <c r="H6413">
        <v>0.94490580000000002</v>
      </c>
      <c r="I6413">
        <v>138.08150000000001</v>
      </c>
      <c r="J6413">
        <v>-151.89959999999999</v>
      </c>
      <c r="K6413">
        <v>1.1078410000000001</v>
      </c>
      <c r="L6413">
        <v>138.1474</v>
      </c>
      <c r="M6413">
        <v>0.99981399999999998</v>
      </c>
      <c r="N6413">
        <v>0</v>
      </c>
      <c r="O6413">
        <v>1.274142E-2</v>
      </c>
      <c r="P6413">
        <v>0.99182630000000005</v>
      </c>
      <c r="Q6413">
        <v>0.10567169999999999</v>
      </c>
      <c r="R6413">
        <v>7.1513380000000001E-2</v>
      </c>
      <c r="S6413">
        <v>3.1041409999999998</v>
      </c>
      <c r="T6413">
        <v>-0.59791169999999905</v>
      </c>
      <c r="U6413">
        <v>-0.21817020000000001</v>
      </c>
      <c r="V6413">
        <v>-5.9671599999999998E-2</v>
      </c>
      <c r="W6413">
        <v>0.1196319</v>
      </c>
      <c r="X6413">
        <v>0.99102349999999995</v>
      </c>
      <c r="Y6413">
        <v>8.1099379999999999E-2</v>
      </c>
      <c r="Z6413">
        <v>-1.015959E-2</v>
      </c>
      <c r="AA6413">
        <v>0.99665419999999905</v>
      </c>
      <c r="AB6413">
        <v>31</v>
      </c>
      <c r="AC6413">
        <v>0.54069999999998597</v>
      </c>
      <c r="AD6413">
        <v>-0.162935199999999</v>
      </c>
      <c r="AE6413">
        <v>-6.5899999999999098E-2</v>
      </c>
      <c r="AF6413">
        <v>6.6806946143339596E-2</v>
      </c>
      <c r="AG6413">
        <v>-0.162935199999999</v>
      </c>
      <c r="AH6413">
        <v>0.49548192191006002</v>
      </c>
      <c r="AI6413">
        <v>108.050420628683</v>
      </c>
      <c r="AJ6413">
        <v>82.320991346025593</v>
      </c>
      <c r="AK6413">
        <v>0.52584539780407502</v>
      </c>
    </row>
    <row r="6414" spans="1:37" x14ac:dyDescent="0.2">
      <c r="A6414" t="str">
        <f>"20200111153817272"</f>
        <v>20200111153817272</v>
      </c>
      <c r="B6414" t="str">
        <f>"1578728297260036"</f>
        <v>1578728297260036</v>
      </c>
      <c r="C6414" t="s">
        <v>37</v>
      </c>
      <c r="D6414">
        <v>6.1812069999999997</v>
      </c>
      <c r="E6414">
        <v>0.54480859999999998</v>
      </c>
      <c r="F6414" t="s">
        <v>38</v>
      </c>
      <c r="G6414">
        <v>-151.07259999999999</v>
      </c>
      <c r="H6414">
        <v>0.96591759999999904</v>
      </c>
      <c r="I6414">
        <v>138.0958</v>
      </c>
      <c r="J6414">
        <v>-151.58619999999999</v>
      </c>
      <c r="K6414">
        <v>1.1078159999999999</v>
      </c>
      <c r="L6414">
        <v>138.155</v>
      </c>
      <c r="M6414">
        <v>0.99976669999999901</v>
      </c>
      <c r="N6414">
        <v>0</v>
      </c>
      <c r="O6414">
        <v>1.607482E-2</v>
      </c>
      <c r="P6414">
        <v>0.99150349999999998</v>
      </c>
      <c r="Q6414">
        <v>0.10695299999999899</v>
      </c>
      <c r="R6414">
        <v>7.4041129999999997E-2</v>
      </c>
      <c r="S6414">
        <v>3.0952449999999998</v>
      </c>
      <c r="T6414">
        <v>-0.53118520000000002</v>
      </c>
      <c r="U6414">
        <v>-0.19328310000000001</v>
      </c>
      <c r="V6414">
        <v>-5.8899510000000002E-2</v>
      </c>
      <c r="W6414">
        <v>0.1208693</v>
      </c>
      <c r="X6414">
        <v>0.99091949999999995</v>
      </c>
      <c r="Y6414">
        <v>7.7005149999999994E-2</v>
      </c>
      <c r="Z6414">
        <v>-9.2899260000000004E-3</v>
      </c>
      <c r="AA6414">
        <v>0.99698739999999997</v>
      </c>
      <c r="AB6414">
        <v>31</v>
      </c>
      <c r="AC6414">
        <v>0.51359999999999595</v>
      </c>
      <c r="AD6414">
        <v>-0.14189839999999901</v>
      </c>
      <c r="AE6414">
        <v>-5.9200000000004097E-2</v>
      </c>
      <c r="AF6414">
        <v>6.2724170381145097E-2</v>
      </c>
      <c r="AG6414">
        <v>-0.14189839999999901</v>
      </c>
      <c r="AH6414">
        <v>0.47667365889014002</v>
      </c>
      <c r="AI6414">
        <v>106.443456270838</v>
      </c>
      <c r="AJ6414">
        <v>82.503675405292697</v>
      </c>
      <c r="AK6414">
        <v>0.50128560178033899</v>
      </c>
    </row>
    <row r="6415" spans="1:37" x14ac:dyDescent="0.2">
      <c r="A6415" t="str">
        <f>"20200111153817294"</f>
        <v>20200111153817294</v>
      </c>
      <c r="B6415" t="str">
        <f>"1578728297289316"</f>
        <v>1578728297289316</v>
      </c>
      <c r="C6415" t="s">
        <v>37</v>
      </c>
      <c r="D6415">
        <v>5.9317589999999996</v>
      </c>
      <c r="E6415">
        <v>0.542678199999999</v>
      </c>
      <c r="F6415" t="s">
        <v>38</v>
      </c>
      <c r="G6415">
        <v>-150.7876</v>
      </c>
      <c r="H6415">
        <v>0.98486010000000002</v>
      </c>
      <c r="I6415">
        <v>138.11099999999999</v>
      </c>
      <c r="J6415">
        <v>-151.28489999999999</v>
      </c>
      <c r="K6415">
        <v>1.1077920000000001</v>
      </c>
      <c r="L6415">
        <v>138.16319999999999</v>
      </c>
      <c r="M6415">
        <v>0.99971129999999997</v>
      </c>
      <c r="N6415">
        <v>0</v>
      </c>
      <c r="O6415">
        <v>1.924853E-2</v>
      </c>
      <c r="P6415">
        <v>0.99093279999999995</v>
      </c>
      <c r="Q6415">
        <v>0.10935250000000001</v>
      </c>
      <c r="R6415">
        <v>7.8066490000000002E-2</v>
      </c>
      <c r="S6415">
        <v>3.0896910000000002</v>
      </c>
      <c r="T6415">
        <v>-0.47585129999999998</v>
      </c>
      <c r="U6415">
        <v>-0.16958619999999999</v>
      </c>
      <c r="V6415">
        <v>-5.9792610000000003E-2</v>
      </c>
      <c r="W6415">
        <v>0.1232172</v>
      </c>
      <c r="X6415">
        <v>0.99057680000000004</v>
      </c>
      <c r="Y6415">
        <v>7.2932789999999997E-2</v>
      </c>
      <c r="Z6415">
        <v>-8.5247599999999993E-3</v>
      </c>
      <c r="AA6415">
        <v>0.99730039999999998</v>
      </c>
      <c r="AB6415">
        <v>31</v>
      </c>
      <c r="AC6415">
        <v>0.49729999999999502</v>
      </c>
      <c r="AD6415">
        <v>-0.1229319</v>
      </c>
      <c r="AE6415">
        <v>-5.2199999999999101E-2</v>
      </c>
      <c r="AF6415">
        <v>5.8243312787726299E-2</v>
      </c>
      <c r="AG6415">
        <v>-0.1229319</v>
      </c>
      <c r="AH6415">
        <v>0.46792122948430398</v>
      </c>
      <c r="AI6415">
        <v>104.612172158967</v>
      </c>
      <c r="AJ6415">
        <v>82.904745628092101</v>
      </c>
      <c r="AK6415">
        <v>0.48729335366306997</v>
      </c>
    </row>
    <row r="6416" spans="1:37" x14ac:dyDescent="0.2">
      <c r="A6416" t="str">
        <f>"20200111153817317"</f>
        <v>20200111153817317</v>
      </c>
      <c r="B6416" t="str">
        <f>"1578728297309717"</f>
        <v>1578728297309717</v>
      </c>
      <c r="C6416" t="s">
        <v>37</v>
      </c>
      <c r="D6416">
        <v>6.233835</v>
      </c>
      <c r="E6416">
        <v>0.54202629999999996</v>
      </c>
      <c r="F6416" t="s">
        <v>38</v>
      </c>
      <c r="G6416">
        <v>-150.50360000000001</v>
      </c>
      <c r="H6416">
        <v>1.002548</v>
      </c>
      <c r="I6416">
        <v>138.12790000000001</v>
      </c>
      <c r="J6416">
        <v>-150.96289999999999</v>
      </c>
      <c r="K6416">
        <v>1.1077379999999999</v>
      </c>
      <c r="L6416">
        <v>138.173</v>
      </c>
      <c r="M6416">
        <v>0.99964240000000004</v>
      </c>
      <c r="N6416">
        <v>0</v>
      </c>
      <c r="O6416">
        <v>2.2577880000000002E-2</v>
      </c>
      <c r="P6416">
        <v>0.99034869999999997</v>
      </c>
      <c r="Q6416">
        <v>0.1108056</v>
      </c>
      <c r="R6416">
        <v>8.3257869999999998E-2</v>
      </c>
      <c r="S6416">
        <v>3.0842900000000002</v>
      </c>
      <c r="T6416">
        <v>-0.41564950000000001</v>
      </c>
      <c r="U6416">
        <v>-0.13917539999999901</v>
      </c>
      <c r="V6416">
        <v>-6.1686119999999997E-2</v>
      </c>
      <c r="W6416">
        <v>0.1246168</v>
      </c>
      <c r="X6416">
        <v>0.99028559999999999</v>
      </c>
      <c r="Y6416">
        <v>6.6817189999999999E-2</v>
      </c>
      <c r="Z6416">
        <v>-7.5077149999999999E-3</v>
      </c>
      <c r="AA6416">
        <v>0.99773699999999999</v>
      </c>
      <c r="AB6416">
        <v>31</v>
      </c>
      <c r="AC6416">
        <v>0.459299999999984</v>
      </c>
      <c r="AD6416">
        <v>-0.10518999999999901</v>
      </c>
      <c r="AE6416">
        <v>-4.50999999999908E-2</v>
      </c>
      <c r="AF6416">
        <v>5.2720724702864298E-2</v>
      </c>
      <c r="AG6416">
        <v>-0.10518999999999901</v>
      </c>
      <c r="AH6416">
        <v>0.43553815745691898</v>
      </c>
      <c r="AI6416">
        <v>103.483115202188</v>
      </c>
      <c r="AJ6416">
        <v>83.098079016525901</v>
      </c>
      <c r="AK6416">
        <v>0.45115174555149801</v>
      </c>
    </row>
    <row r="6417" spans="1:37" x14ac:dyDescent="0.2">
      <c r="A6417" t="str">
        <f>"20200111153817338"</f>
        <v>20200111153817338</v>
      </c>
      <c r="B6417" t="str">
        <f>"1578728297329237"</f>
        <v>1578728297329237</v>
      </c>
      <c r="C6417" t="s">
        <v>37</v>
      </c>
      <c r="D6417">
        <v>6.0235820000000002</v>
      </c>
      <c r="E6417">
        <v>0.54116189999999997</v>
      </c>
      <c r="F6417" t="s">
        <v>38</v>
      </c>
      <c r="G6417">
        <v>-150.22380000000001</v>
      </c>
      <c r="H6417">
        <v>1.012208</v>
      </c>
      <c r="I6417">
        <v>138.14439999999999</v>
      </c>
      <c r="J6417">
        <v>-150.66999999999999</v>
      </c>
      <c r="K6417">
        <v>1.1076790000000001</v>
      </c>
      <c r="L6417">
        <v>138.18270000000001</v>
      </c>
      <c r="M6417">
        <v>0.99957180000000001</v>
      </c>
      <c r="N6417">
        <v>0</v>
      </c>
      <c r="O6417">
        <v>2.552917E-2</v>
      </c>
      <c r="P6417">
        <v>0.99007679999999998</v>
      </c>
      <c r="Q6417">
        <v>0.110266</v>
      </c>
      <c r="R6417">
        <v>8.7116899999999997E-2</v>
      </c>
      <c r="S6417">
        <v>3.083847</v>
      </c>
      <c r="T6417">
        <v>-0.39887270000000002</v>
      </c>
      <c r="U6417">
        <v>-0.1186523</v>
      </c>
      <c r="V6417">
        <v>-6.259961E-2</v>
      </c>
      <c r="W6417">
        <v>0.124043899999999</v>
      </c>
      <c r="X6417">
        <v>0.99030019999999996</v>
      </c>
      <c r="Y6417">
        <v>6.3209070000000006E-2</v>
      </c>
      <c r="Z6417">
        <v>-7.3569509999999996E-3</v>
      </c>
      <c r="AA6417">
        <v>0.9979732</v>
      </c>
      <c r="AB6417">
        <v>31</v>
      </c>
      <c r="AC6417">
        <v>0.446199999999976</v>
      </c>
      <c r="AD6417">
        <v>-9.5471E-2</v>
      </c>
      <c r="AE6417">
        <v>-3.8300000000020797E-2</v>
      </c>
      <c r="AF6417">
        <v>4.7520192034098602E-2</v>
      </c>
      <c r="AG6417">
        <v>-9.5471E-2</v>
      </c>
      <c r="AH6417">
        <v>0.42572899319589902</v>
      </c>
      <c r="AI6417">
        <v>102.564111444666</v>
      </c>
      <c r="AJ6417">
        <v>83.6309654773749</v>
      </c>
      <c r="AK6417">
        <v>0.43888273620587098</v>
      </c>
    </row>
    <row r="6418" spans="1:37" x14ac:dyDescent="0.2">
      <c r="A6418" t="str">
        <f>"20200111153817361"</f>
        <v>20200111153817361</v>
      </c>
      <c r="B6418" t="str">
        <f>"1578728297349733"</f>
        <v>1578728297349733</v>
      </c>
      <c r="C6418" t="s">
        <v>37</v>
      </c>
      <c r="D6418">
        <v>6.0298249999999998</v>
      </c>
      <c r="E6418">
        <v>0.54055710000000001</v>
      </c>
      <c r="F6418" t="s">
        <v>38</v>
      </c>
      <c r="G6418">
        <v>-149.94540000000001</v>
      </c>
      <c r="H6418">
        <v>1.0197020000000001</v>
      </c>
      <c r="I6418">
        <v>138.15940000000001</v>
      </c>
      <c r="J6418">
        <v>-150.36770000000001</v>
      </c>
      <c r="K6418">
        <v>1.107593</v>
      </c>
      <c r="L6418">
        <v>138.1936</v>
      </c>
      <c r="M6418">
        <v>0.99949270000000001</v>
      </c>
      <c r="N6418">
        <v>0</v>
      </c>
      <c r="O6418">
        <v>2.8476999999999999E-2</v>
      </c>
      <c r="P6418">
        <v>0.99000560000000004</v>
      </c>
      <c r="Q6418">
        <v>0.108346699999999</v>
      </c>
      <c r="R6418">
        <v>9.0277490000000002E-2</v>
      </c>
      <c r="S6418">
        <v>3.08041399999999</v>
      </c>
      <c r="T6418">
        <v>-0.374137</v>
      </c>
      <c r="U6418">
        <v>-9.8785399999999995E-2</v>
      </c>
      <c r="V6418">
        <v>-6.2799480000000005E-2</v>
      </c>
      <c r="W6418">
        <v>0.1221028</v>
      </c>
      <c r="X6418">
        <v>0.99052870000000004</v>
      </c>
      <c r="Y6418">
        <v>5.9856050000000001E-2</v>
      </c>
      <c r="Z6418">
        <v>-7.0663089999999998E-3</v>
      </c>
      <c r="AA6418">
        <v>0.99818200000000001</v>
      </c>
      <c r="AB6418">
        <v>31</v>
      </c>
      <c r="AC6418">
        <v>0.422300000000007</v>
      </c>
      <c r="AD6418">
        <v>-8.78909999999999E-2</v>
      </c>
      <c r="AE6418">
        <v>-3.4199999999998398E-2</v>
      </c>
      <c r="AF6418">
        <v>4.4306518996900301E-2</v>
      </c>
      <c r="AG6418">
        <v>-8.78909999999999E-2</v>
      </c>
      <c r="AH6418">
        <v>0.40377864293611099</v>
      </c>
      <c r="AI6418">
        <v>102.209023707866</v>
      </c>
      <c r="AJ6418">
        <v>83.738002504053497</v>
      </c>
      <c r="AK6418">
        <v>0.41560207891437501</v>
      </c>
    </row>
    <row r="6419" spans="1:37" x14ac:dyDescent="0.2">
      <c r="A6419" t="str">
        <f>"20200111153817382"</f>
        <v>20200111153817382</v>
      </c>
      <c r="B6419" t="str">
        <f>"1578728297379989"</f>
        <v>1578728297379989</v>
      </c>
      <c r="C6419" t="s">
        <v>37</v>
      </c>
      <c r="D6419">
        <v>6.0000099999999996</v>
      </c>
      <c r="E6419">
        <v>0.53954029999999997</v>
      </c>
      <c r="F6419" t="s">
        <v>38</v>
      </c>
      <c r="G6419">
        <v>-149.40960000000001</v>
      </c>
      <c r="H6419">
        <v>0.99268459999999903</v>
      </c>
      <c r="I6419">
        <v>138.16759999999999</v>
      </c>
      <c r="J6419">
        <v>-150.06039999999999</v>
      </c>
      <c r="K6419">
        <v>1.1075059999999901</v>
      </c>
      <c r="L6419">
        <v>138.2055</v>
      </c>
      <c r="M6419">
        <v>0.99940680000000004</v>
      </c>
      <c r="N6419">
        <v>0</v>
      </c>
      <c r="O6419">
        <v>3.1368710000000001E-2</v>
      </c>
      <c r="P6419">
        <v>0.98994450000000001</v>
      </c>
      <c r="Q6419">
        <v>0.1067404</v>
      </c>
      <c r="R6419">
        <v>9.2824500000000004E-2</v>
      </c>
      <c r="S6419">
        <v>3.0783079999999998</v>
      </c>
      <c r="T6419">
        <v>-0.36931069999999999</v>
      </c>
      <c r="U6419">
        <v>-8.329773E-2</v>
      </c>
      <c r="V6419">
        <v>-6.2441730000000001E-2</v>
      </c>
      <c r="W6419">
        <v>0.120468899999999</v>
      </c>
      <c r="X6419">
        <v>0.99075139999999995</v>
      </c>
      <c r="Y6419">
        <v>5.7757999999999997E-2</v>
      </c>
      <c r="Z6419">
        <v>-7.2012209999999998E-3</v>
      </c>
      <c r="AA6419">
        <v>0.99830469999999905</v>
      </c>
      <c r="AB6419">
        <v>31</v>
      </c>
      <c r="AC6419">
        <v>0.65079999999997495</v>
      </c>
      <c r="AD6419">
        <v>-0.114821399999999</v>
      </c>
      <c r="AE6419">
        <v>-3.7900000000007601E-2</v>
      </c>
      <c r="AF6419">
        <v>5.6544013702243101E-2</v>
      </c>
      <c r="AG6419">
        <v>-0.114821399999999</v>
      </c>
      <c r="AH6419">
        <v>0.62975397409921596</v>
      </c>
      <c r="AI6419">
        <v>100.29257119537</v>
      </c>
      <c r="AJ6419">
        <v>84.869315113895894</v>
      </c>
      <c r="AK6419">
        <v>0.64262838972245495</v>
      </c>
    </row>
    <row r="6420" spans="1:37" x14ac:dyDescent="0.2">
      <c r="A6420" t="str">
        <f>"20200111153817406"</f>
        <v>20200111153817406</v>
      </c>
      <c r="B6420" t="str">
        <f>"1578728297399510"</f>
        <v>1578728297399510</v>
      </c>
      <c r="C6420" t="s">
        <v>37</v>
      </c>
      <c r="D6420">
        <v>8.7798619999999996</v>
      </c>
      <c r="E6420">
        <v>0.53917250000000005</v>
      </c>
      <c r="F6420" t="s">
        <v>38</v>
      </c>
      <c r="G6420">
        <v>-149.13550000000001</v>
      </c>
      <c r="H6420">
        <v>0.99293180000000003</v>
      </c>
      <c r="I6420">
        <v>138.18520000000001</v>
      </c>
      <c r="J6420">
        <v>-149.75049999999999</v>
      </c>
      <c r="K6420">
        <v>1.1074299999999999</v>
      </c>
      <c r="L6420">
        <v>138.2183</v>
      </c>
      <c r="M6420">
        <v>0.99931499999999995</v>
      </c>
      <c r="N6420">
        <v>0</v>
      </c>
      <c r="O6420">
        <v>3.4190390000000001E-2</v>
      </c>
      <c r="P6420">
        <v>0.98999969999999904</v>
      </c>
      <c r="Q6420">
        <v>0.10558869999999999</v>
      </c>
      <c r="R6420">
        <v>9.3551629999999997E-2</v>
      </c>
      <c r="S6420">
        <v>3.0779109999999998</v>
      </c>
      <c r="T6420">
        <v>-0.38141449999999999</v>
      </c>
      <c r="U6420">
        <v>-6.7123409999999994E-2</v>
      </c>
      <c r="V6420">
        <v>-6.0334659999999998E-2</v>
      </c>
      <c r="W6420">
        <v>0.11929769999999899</v>
      </c>
      <c r="X6420">
        <v>0.99102359999999901</v>
      </c>
      <c r="Y6420">
        <v>5.5291689999999998E-2</v>
      </c>
      <c r="Z6420">
        <v>-7.63284599999999E-3</v>
      </c>
      <c r="AA6420">
        <v>0.99844100000000002</v>
      </c>
      <c r="AB6420">
        <v>31</v>
      </c>
      <c r="AC6420">
        <v>0.61499999999998001</v>
      </c>
      <c r="AD6420">
        <v>-0.114498199999999</v>
      </c>
      <c r="AE6420">
        <v>-3.3099999999990297E-2</v>
      </c>
      <c r="AF6420">
        <v>5.2302206807402399E-2</v>
      </c>
      <c r="AG6420">
        <v>-0.114498199999999</v>
      </c>
      <c r="AH6420">
        <v>0.59301319987524304</v>
      </c>
      <c r="AI6420">
        <v>100.886873706388</v>
      </c>
      <c r="AJ6420">
        <v>84.959704832362604</v>
      </c>
      <c r="AK6420">
        <v>0.60622604189067897</v>
      </c>
    </row>
    <row r="6421" spans="1:37" x14ac:dyDescent="0.2">
      <c r="A6421" t="str">
        <f>"20200111153817428"</f>
        <v>20200111153817428</v>
      </c>
      <c r="B6421" t="str">
        <f>"1578728297420005"</f>
        <v>1578728297420005</v>
      </c>
      <c r="C6421" t="s">
        <v>37</v>
      </c>
      <c r="D6421">
        <v>6.0442589999999896</v>
      </c>
      <c r="E6421">
        <v>0.53880669999999897</v>
      </c>
      <c r="F6421" t="s">
        <v>38</v>
      </c>
      <c r="G6421">
        <v>-148.8605</v>
      </c>
      <c r="H6421">
        <v>0.9953864</v>
      </c>
      <c r="I6421">
        <v>138.20060000000001</v>
      </c>
      <c r="J6421">
        <v>-149.44130000000001</v>
      </c>
      <c r="K6421">
        <v>1.1073629999999901</v>
      </c>
      <c r="L6421">
        <v>138.23179999999999</v>
      </c>
      <c r="M6421">
        <v>0.99921890000000002</v>
      </c>
      <c r="N6421">
        <v>0</v>
      </c>
      <c r="O6421">
        <v>3.6909600000000001E-2</v>
      </c>
      <c r="P6421">
        <v>0.99008390000000002</v>
      </c>
      <c r="Q6421">
        <v>0.1049366</v>
      </c>
      <c r="R6421">
        <v>9.3392999999999907E-2</v>
      </c>
      <c r="S6421">
        <v>3.0774539999999999</v>
      </c>
      <c r="T6421">
        <v>-0.3874435</v>
      </c>
      <c r="U6421">
        <v>-6.1279300000000002E-2</v>
      </c>
      <c r="V6421">
        <v>-5.7446530000000003E-2</v>
      </c>
      <c r="W6421">
        <v>0.118629199999999</v>
      </c>
      <c r="X6421">
        <v>0.99127540000000003</v>
      </c>
      <c r="Y6421">
        <v>5.6067069999999997E-2</v>
      </c>
      <c r="Z6421">
        <v>-8.143328E-3</v>
      </c>
      <c r="AA6421">
        <v>0.9983938</v>
      </c>
      <c r="AB6421">
        <v>31</v>
      </c>
      <c r="AC6421">
        <v>0.58080000000000997</v>
      </c>
      <c r="AD6421">
        <v>-0.111976599999999</v>
      </c>
      <c r="AE6421">
        <v>-3.1199999999984102E-2</v>
      </c>
      <c r="AF6421">
        <v>5.0737445950448601E-2</v>
      </c>
      <c r="AG6421">
        <v>-0.111976599999999</v>
      </c>
      <c r="AH6421">
        <v>0.55855047438512695</v>
      </c>
      <c r="AI6421">
        <v>101.29093013313999</v>
      </c>
      <c r="AJ6421">
        <v>84.809627426358304</v>
      </c>
      <c r="AK6421">
        <v>0.57191929483536796</v>
      </c>
    </row>
    <row r="6422" spans="1:37" x14ac:dyDescent="0.2">
      <c r="A6422" t="str">
        <f>"20200111153817450"</f>
        <v>20200111153817450</v>
      </c>
      <c r="B6422" t="str">
        <f>"1578728297439525"</f>
        <v>1578728297439525</v>
      </c>
      <c r="C6422" t="s">
        <v>37</v>
      </c>
      <c r="D6422">
        <v>6.0321509999999998</v>
      </c>
      <c r="E6422">
        <v>0.53860010000000003</v>
      </c>
      <c r="F6422" t="s">
        <v>38</v>
      </c>
      <c r="G6422">
        <v>-148.5855</v>
      </c>
      <c r="H6422">
        <v>0.99814859999999905</v>
      </c>
      <c r="I6422">
        <v>138.21549999999999</v>
      </c>
      <c r="J6422">
        <v>-149.14449999999999</v>
      </c>
      <c r="K6422">
        <v>1.1072979999999999</v>
      </c>
      <c r="L6422">
        <v>138.24549999999999</v>
      </c>
      <c r="M6422">
        <v>0.99912339999999999</v>
      </c>
      <c r="N6422">
        <v>0</v>
      </c>
      <c r="O6422">
        <v>3.9424849999999997E-2</v>
      </c>
      <c r="P6422">
        <v>0.99003940000000001</v>
      </c>
      <c r="Q6422">
        <v>0.10568569999999999</v>
      </c>
      <c r="R6422">
        <v>9.3019850000000001E-2</v>
      </c>
      <c r="S6422">
        <v>3.0771790000000001</v>
      </c>
      <c r="T6422">
        <v>-0.39291300000000001</v>
      </c>
      <c r="U6422">
        <v>-5.8059689999999997E-2</v>
      </c>
      <c r="V6422">
        <v>-5.4559570000000002E-2</v>
      </c>
      <c r="W6422">
        <v>0.1193587</v>
      </c>
      <c r="X6422">
        <v>0.99135090000000003</v>
      </c>
      <c r="Y6422">
        <v>5.7484970000000003E-2</v>
      </c>
      <c r="Z6422">
        <v>-8.6680509999999995E-3</v>
      </c>
      <c r="AA6422">
        <v>0.99830869999999905</v>
      </c>
      <c r="AB6422">
        <v>31</v>
      </c>
      <c r="AC6422">
        <v>0.55899999999999705</v>
      </c>
      <c r="AD6422">
        <v>-0.10914939999999899</v>
      </c>
      <c r="AE6422">
        <v>-3.0000000000001099E-2</v>
      </c>
      <c r="AF6422">
        <v>5.0112262389809301E-2</v>
      </c>
      <c r="AG6422">
        <v>-0.10914939999999899</v>
      </c>
      <c r="AH6422">
        <v>0.53696887116011605</v>
      </c>
      <c r="AI6422">
        <v>101.44154575541199</v>
      </c>
      <c r="AJ6422">
        <v>84.668352278075304</v>
      </c>
      <c r="AK6422">
        <v>0.55023667540173604</v>
      </c>
    </row>
    <row r="6423" spans="1:37" x14ac:dyDescent="0.2">
      <c r="A6423" t="str">
        <f>"20200111153817473"</f>
        <v>20200111153817473</v>
      </c>
      <c r="B6423" t="str">
        <f>"1578728297469781"</f>
        <v>1578728297469781</v>
      </c>
      <c r="C6423" t="s">
        <v>37</v>
      </c>
      <c r="D6423">
        <v>6.0570440000000003</v>
      </c>
      <c r="E6423">
        <v>0.53804929999999995</v>
      </c>
      <c r="F6423" t="s">
        <v>38</v>
      </c>
      <c r="G6423">
        <v>-148.3108</v>
      </c>
      <c r="H6423">
        <v>1.0009110000000001</v>
      </c>
      <c r="I6423">
        <v>138.22989999999999</v>
      </c>
      <c r="J6423">
        <v>-148.83590000000001</v>
      </c>
      <c r="K6423">
        <v>1.1072109999999999</v>
      </c>
      <c r="L6423">
        <v>138.2604</v>
      </c>
      <c r="M6423">
        <v>0.99902219999999997</v>
      </c>
      <c r="N6423">
        <v>0</v>
      </c>
      <c r="O6423">
        <v>4.192825E-2</v>
      </c>
      <c r="P6423">
        <v>0.98980879999999904</v>
      </c>
      <c r="Q6423">
        <v>0.10735409999999999</v>
      </c>
      <c r="R6423">
        <v>9.3562039999999999E-2</v>
      </c>
      <c r="S6423">
        <v>3.077515</v>
      </c>
      <c r="T6423">
        <v>-0.39267350000000001</v>
      </c>
      <c r="U6423">
        <v>-5.755615E-2</v>
      </c>
      <c r="V6423">
        <v>-5.260608E-2</v>
      </c>
      <c r="W6423">
        <v>0.1210014</v>
      </c>
      <c r="X6423">
        <v>0.99125739999999996</v>
      </c>
      <c r="Y6423">
        <v>5.978311E-2</v>
      </c>
      <c r="Z6423">
        <v>-9.1258829999999996E-3</v>
      </c>
      <c r="AA6423">
        <v>0.99816970000000005</v>
      </c>
      <c r="AB6423">
        <v>31</v>
      </c>
      <c r="AC6423">
        <v>0.525100000000008</v>
      </c>
      <c r="AD6423">
        <v>-0.10630000000000001</v>
      </c>
      <c r="AE6423">
        <v>-3.05000000000177E-2</v>
      </c>
      <c r="AF6423">
        <v>5.0432056591479098E-2</v>
      </c>
      <c r="AG6423">
        <v>-0.10630000000000001</v>
      </c>
      <c r="AH6423">
        <v>0.50282233879785598</v>
      </c>
      <c r="AI6423">
        <v>101.879055147862</v>
      </c>
      <c r="AJ6423">
        <v>84.272504339972599</v>
      </c>
      <c r="AK6423">
        <v>0.51640428612298706</v>
      </c>
    </row>
    <row r="6424" spans="1:37" x14ac:dyDescent="0.2">
      <c r="A6424" t="str">
        <f>"20200111153817496"</f>
        <v>20200111153817496</v>
      </c>
      <c r="B6424" t="str">
        <f>"1578728297489301"</f>
        <v>1578728297489301</v>
      </c>
      <c r="C6424" t="s">
        <v>37</v>
      </c>
      <c r="D6424">
        <v>6.0257309999999897</v>
      </c>
      <c r="E6424">
        <v>0.53795590000000004</v>
      </c>
      <c r="F6424" t="s">
        <v>38</v>
      </c>
      <c r="G6424">
        <v>-148.03530000000001</v>
      </c>
      <c r="H6424">
        <v>1.0055479999999899</v>
      </c>
      <c r="I6424">
        <v>138.24690000000001</v>
      </c>
      <c r="J6424">
        <v>-148.52180000000001</v>
      </c>
      <c r="K6424">
        <v>1.1070959999999901</v>
      </c>
      <c r="L6424">
        <v>138.27629999999999</v>
      </c>
      <c r="M6424">
        <v>0.99891849999999904</v>
      </c>
      <c r="N6424">
        <v>0</v>
      </c>
      <c r="O6424">
        <v>4.4344550000000003E-2</v>
      </c>
      <c r="P6424">
        <v>0.98964169999999996</v>
      </c>
      <c r="Q6424">
        <v>0.1079537</v>
      </c>
      <c r="R6424">
        <v>9.463336E-2</v>
      </c>
      <c r="S6424">
        <v>3.0781559999999999</v>
      </c>
      <c r="T6424">
        <v>-0.39108490000000001</v>
      </c>
      <c r="U6424">
        <v>-5.1452640000000001E-2</v>
      </c>
      <c r="V6424">
        <v>-5.1252930000000002E-2</v>
      </c>
      <c r="W6424">
        <v>0.1215769</v>
      </c>
      <c r="X6424">
        <v>0.99125790000000003</v>
      </c>
      <c r="Y6424">
        <v>6.019915E-2</v>
      </c>
      <c r="Z6424">
        <v>-9.4194190000000001E-3</v>
      </c>
      <c r="AA6424">
        <v>0.99814190000000003</v>
      </c>
      <c r="AB6424">
        <v>31</v>
      </c>
      <c r="AC6424">
        <v>0.48650000000000598</v>
      </c>
      <c r="AD6424">
        <v>-0.101547999999999</v>
      </c>
      <c r="AE6424">
        <v>-2.9399999999981202E-2</v>
      </c>
      <c r="AF6424">
        <v>4.8827196271498098E-2</v>
      </c>
      <c r="AG6424">
        <v>-0.101547999999999</v>
      </c>
      <c r="AH6424">
        <v>0.46455112179142599</v>
      </c>
      <c r="AI6424">
        <v>102.265046324843</v>
      </c>
      <c r="AJ6424">
        <v>83.999889494109794</v>
      </c>
      <c r="AK6424">
        <v>0.47802074866830602</v>
      </c>
    </row>
    <row r="6425" spans="1:37" x14ac:dyDescent="0.2">
      <c r="A6425" t="str">
        <f>"20200111153817517"</f>
        <v>20200111153817517</v>
      </c>
      <c r="B6425" t="str">
        <f>"1578728297509797"</f>
        <v>1578728297509797</v>
      </c>
      <c r="C6425" t="s">
        <v>37</v>
      </c>
      <c r="D6425">
        <v>5.9961820000000001</v>
      </c>
      <c r="E6425">
        <v>0.53769089999999997</v>
      </c>
      <c r="F6425" t="s">
        <v>38</v>
      </c>
      <c r="G6425">
        <v>-147.76</v>
      </c>
      <c r="H6425">
        <v>1.010437</v>
      </c>
      <c r="I6425">
        <v>138.2647</v>
      </c>
      <c r="J6425">
        <v>-148.22280000000001</v>
      </c>
      <c r="K6425">
        <v>1.1069629999999999</v>
      </c>
      <c r="L6425">
        <v>138.2919</v>
      </c>
      <c r="M6425">
        <v>0.99882090000000001</v>
      </c>
      <c r="N6425">
        <v>0</v>
      </c>
      <c r="O6425">
        <v>4.6499329999999998E-2</v>
      </c>
      <c r="P6425">
        <v>0.98959809999999904</v>
      </c>
      <c r="Q6425">
        <v>0.10734870000000001</v>
      </c>
      <c r="R6425">
        <v>9.5768930000000002E-2</v>
      </c>
      <c r="S6425">
        <v>3.0784910000000001</v>
      </c>
      <c r="T6425">
        <v>-0.39063909999999902</v>
      </c>
      <c r="U6425">
        <v>-4.6859739999999997E-2</v>
      </c>
      <c r="V6425">
        <v>-5.0208820000000001E-2</v>
      </c>
      <c r="W6425">
        <v>0.1209578</v>
      </c>
      <c r="X6425">
        <v>0.99138709999999997</v>
      </c>
      <c r="Y6425">
        <v>6.0841369999999999E-2</v>
      </c>
      <c r="Z6425">
        <v>-9.7205739999999992E-3</v>
      </c>
      <c r="AA6425">
        <v>0.99810010000000005</v>
      </c>
      <c r="AB6425">
        <v>31</v>
      </c>
      <c r="AC6425">
        <v>0.46280000000001498</v>
      </c>
      <c r="AD6425">
        <v>-9.6525999999999806E-2</v>
      </c>
      <c r="AE6425">
        <v>-2.71999999999934E-2</v>
      </c>
      <c r="AF6425">
        <v>4.6669368781878197E-2</v>
      </c>
      <c r="AG6425">
        <v>-9.6525999999999806E-2</v>
      </c>
      <c r="AH6425">
        <v>0.44187829974966603</v>
      </c>
      <c r="AI6425">
        <v>102.256304962241</v>
      </c>
      <c r="AJ6425">
        <v>83.971006339863905</v>
      </c>
      <c r="AK6425">
        <v>0.45469960462722497</v>
      </c>
    </row>
    <row r="6426" spans="1:37" x14ac:dyDescent="0.2">
      <c r="A6426" t="str">
        <f>"20200111153817540"</f>
        <v>20200111153817540</v>
      </c>
      <c r="B6426" t="str">
        <f>"1578728297529317"</f>
        <v>1578728297529317</v>
      </c>
      <c r="C6426" t="s">
        <v>37</v>
      </c>
      <c r="D6426">
        <v>5.9768919999999897</v>
      </c>
      <c r="E6426">
        <v>0.53741309999999998</v>
      </c>
      <c r="F6426" t="s">
        <v>38</v>
      </c>
      <c r="G6426">
        <v>-147.4863</v>
      </c>
      <c r="H6426">
        <v>1.012548</v>
      </c>
      <c r="I6426">
        <v>138.2817</v>
      </c>
      <c r="J6426">
        <v>-147.92410000000001</v>
      </c>
      <c r="K6426">
        <v>1.1068199999999999</v>
      </c>
      <c r="L6426">
        <v>138.30799999999999</v>
      </c>
      <c r="M6426">
        <v>0.99872700000000003</v>
      </c>
      <c r="N6426">
        <v>0</v>
      </c>
      <c r="O6426">
        <v>4.848218E-2</v>
      </c>
      <c r="P6426">
        <v>0.98960729999999997</v>
      </c>
      <c r="Q6426">
        <v>0.1059773</v>
      </c>
      <c r="R6426">
        <v>9.7193360000000006E-2</v>
      </c>
      <c r="S6426">
        <v>3.0784150000000001</v>
      </c>
      <c r="T6426">
        <v>-0.39471220000000001</v>
      </c>
      <c r="U6426">
        <v>-4.2205810000000003E-2</v>
      </c>
      <c r="V6426">
        <v>-4.9612950000000003E-2</v>
      </c>
      <c r="W6426">
        <v>0.1195893</v>
      </c>
      <c r="X6426">
        <v>0.99158299999999999</v>
      </c>
      <c r="Y6426">
        <v>6.1276810000000001E-2</v>
      </c>
      <c r="Z6426">
        <v>-1.010224E-2</v>
      </c>
      <c r="AA6426">
        <v>0.99806969999999995</v>
      </c>
      <c r="AB6426">
        <v>31</v>
      </c>
      <c r="AC6426">
        <v>0.43780000000000902</v>
      </c>
      <c r="AD6426">
        <v>-9.4272000000000106E-2</v>
      </c>
      <c r="AE6426">
        <v>-2.6299999999992E-2</v>
      </c>
      <c r="AF6426">
        <v>4.5399145758751799E-2</v>
      </c>
      <c r="AG6426">
        <v>-9.4272000000000106E-2</v>
      </c>
      <c r="AH6426">
        <v>0.41675542983094699</v>
      </c>
      <c r="AI6426">
        <v>102.673527157705</v>
      </c>
      <c r="AJ6426">
        <v>83.783013494318695</v>
      </c>
      <c r="AK6426">
        <v>0.42968986573248602</v>
      </c>
    </row>
    <row r="6427" spans="1:37" x14ac:dyDescent="0.2">
      <c r="A6427" t="str">
        <f>"20200111153817584"</f>
        <v>20200111153817584</v>
      </c>
      <c r="B6427" t="str">
        <f>"1578728297580069"</f>
        <v>1578728297580069</v>
      </c>
      <c r="C6427" t="s">
        <v>37</v>
      </c>
      <c r="D6427">
        <v>5.9640040000000001</v>
      </c>
      <c r="E6427">
        <v>0.53658509999999904</v>
      </c>
      <c r="F6427" t="s">
        <v>38</v>
      </c>
      <c r="G6427">
        <v>-146.95660000000001</v>
      </c>
      <c r="H6427">
        <v>0.98052779999999995</v>
      </c>
      <c r="I6427">
        <v>138.29650000000001</v>
      </c>
      <c r="J6427">
        <v>-147.30950000000001</v>
      </c>
      <c r="K6427">
        <v>1.1065320000000001</v>
      </c>
      <c r="L6427">
        <v>138.3424</v>
      </c>
      <c r="M6427">
        <v>0.99855049999999901</v>
      </c>
      <c r="N6427">
        <v>0</v>
      </c>
      <c r="O6427">
        <v>5.1962210000000002E-2</v>
      </c>
      <c r="P6427">
        <v>0.99011499999999997</v>
      </c>
      <c r="Q6427">
        <v>9.9923659999999997E-2</v>
      </c>
      <c r="R6427">
        <v>9.8425029999999997E-2</v>
      </c>
      <c r="S6427">
        <v>3.0781099999999899</v>
      </c>
      <c r="T6427">
        <v>-0.40186830000000001</v>
      </c>
      <c r="U6427">
        <v>-3.6514280000000003E-2</v>
      </c>
      <c r="V6427">
        <v>-4.7244290000000001E-2</v>
      </c>
      <c r="W6427">
        <v>0.1136885</v>
      </c>
      <c r="X6427">
        <v>0.99239249999999901</v>
      </c>
      <c r="Y6427">
        <v>6.28354E-2</v>
      </c>
      <c r="Z6427">
        <v>-1.083834E-2</v>
      </c>
      <c r="AA6427">
        <v>0.99796499999999999</v>
      </c>
      <c r="AB6427">
        <v>31</v>
      </c>
      <c r="AC6427">
        <v>0.35290000000000499</v>
      </c>
      <c r="AD6427">
        <v>-0.12600419999999901</v>
      </c>
      <c r="AE6427">
        <v>-4.5899999999988901E-2</v>
      </c>
      <c r="AF6427">
        <v>5.7027868167470998E-2</v>
      </c>
      <c r="AG6427">
        <v>-0.12600419999999901</v>
      </c>
      <c r="AH6427">
        <v>0.311043450951</v>
      </c>
      <c r="AI6427">
        <v>111.725296913721</v>
      </c>
      <c r="AJ6427">
        <v>79.610565571993106</v>
      </c>
      <c r="AK6427">
        <v>0.34040749778004797</v>
      </c>
    </row>
    <row r="6428" spans="1:37" x14ac:dyDescent="0.2">
      <c r="A6428" t="str">
        <f>"20200111153817607"</f>
        <v>20200111153817607</v>
      </c>
      <c r="B6428" t="str">
        <f>"1578728297599589"</f>
        <v>1578728297599589</v>
      </c>
      <c r="C6428" t="s">
        <v>37</v>
      </c>
      <c r="D6428">
        <v>5.9085809999999999</v>
      </c>
      <c r="E6428">
        <v>0.536224699999999</v>
      </c>
      <c r="F6428" t="s">
        <v>38</v>
      </c>
      <c r="G6428">
        <v>-146.41149999999999</v>
      </c>
      <c r="H6428">
        <v>0.98473599999999994</v>
      </c>
      <c r="I6428">
        <v>138.3349</v>
      </c>
      <c r="J6428">
        <v>-147.0087</v>
      </c>
      <c r="K6428">
        <v>1.1064039999999999</v>
      </c>
      <c r="L6428">
        <v>138.3597</v>
      </c>
      <c r="M6428">
        <v>0.99847330000000001</v>
      </c>
      <c r="N6428">
        <v>0</v>
      </c>
      <c r="O6428">
        <v>5.3406790000000003E-2</v>
      </c>
      <c r="P6428">
        <v>0.990349699999999</v>
      </c>
      <c r="Q6428">
        <v>9.7023929999999994E-2</v>
      </c>
      <c r="R6428">
        <v>9.8966209999999999E-2</v>
      </c>
      <c r="S6428">
        <v>3.0745390000000001</v>
      </c>
      <c r="T6428">
        <v>-0.41710580000000003</v>
      </c>
      <c r="U6428">
        <v>-2.5131230000000001E-2</v>
      </c>
      <c r="V6428">
        <v>-4.6287040000000002E-2</v>
      </c>
      <c r="W6428">
        <v>0.11088679999999999</v>
      </c>
      <c r="X6428">
        <v>0.99275460000000004</v>
      </c>
      <c r="Y6428">
        <v>6.0528909999999998E-2</v>
      </c>
      <c r="Z6428">
        <v>-1.12978E-2</v>
      </c>
      <c r="AA6428">
        <v>0.9981025</v>
      </c>
      <c r="AB6428">
        <v>31</v>
      </c>
      <c r="AC6428">
        <v>0.59720000000001505</v>
      </c>
      <c r="AD6428">
        <v>-0.121668</v>
      </c>
      <c r="AE6428">
        <v>-2.4799999999999E-2</v>
      </c>
      <c r="AF6428">
        <v>5.4407925471458299E-2</v>
      </c>
      <c r="AG6428">
        <v>-0.121668</v>
      </c>
      <c r="AH6428">
        <v>0.57134919230151804</v>
      </c>
      <c r="AI6428">
        <v>101.968914410235</v>
      </c>
      <c r="AJ6428">
        <v>84.560292406764702</v>
      </c>
      <c r="AK6428">
        <v>0.58668835349076498</v>
      </c>
    </row>
    <row r="6429" spans="1:37" x14ac:dyDescent="0.2">
      <c r="A6429" t="str">
        <f>"20200111153817629"</f>
        <v>20200111153817629</v>
      </c>
      <c r="B6429" t="str">
        <f>"1578728297619711"</f>
        <v>1578728297619711</v>
      </c>
      <c r="C6429" t="s">
        <v>37</v>
      </c>
      <c r="D6429">
        <v>5.9087259999999997</v>
      </c>
      <c r="E6429">
        <v>0.53581009999999996</v>
      </c>
      <c r="F6429" t="s">
        <v>38</v>
      </c>
      <c r="G6429">
        <v>-146.14009999999999</v>
      </c>
      <c r="H6429">
        <v>0.98555820000000005</v>
      </c>
      <c r="I6429">
        <v>138.35390000000001</v>
      </c>
      <c r="J6429">
        <v>-146.70480000000001</v>
      </c>
      <c r="K6429">
        <v>1.106284</v>
      </c>
      <c r="L6429">
        <v>138.3775</v>
      </c>
      <c r="M6429">
        <v>0.99840339999999905</v>
      </c>
      <c r="N6429">
        <v>0</v>
      </c>
      <c r="O6429">
        <v>5.4673599999999899E-2</v>
      </c>
      <c r="P6429">
        <v>0.99048740000000002</v>
      </c>
      <c r="Q6429">
        <v>9.4772040000000002E-2</v>
      </c>
      <c r="R6429">
        <v>9.9767120000000001E-2</v>
      </c>
      <c r="S6429">
        <v>3.07313499999999</v>
      </c>
      <c r="T6429">
        <v>-0.42759380000000002</v>
      </c>
      <c r="U6429">
        <v>-2.0080569999999999E-2</v>
      </c>
      <c r="V6429">
        <v>-4.5773359999999999E-2</v>
      </c>
      <c r="W6429">
        <v>0.108756399999999</v>
      </c>
      <c r="X6429">
        <v>0.99301399999999995</v>
      </c>
      <c r="Y6429">
        <v>6.0096910000000003E-2</v>
      </c>
      <c r="Z6429">
        <v>-1.172979E-2</v>
      </c>
      <c r="AA6429">
        <v>0.998123599999999</v>
      </c>
      <c r="AB6429">
        <v>30</v>
      </c>
      <c r="AC6429">
        <v>0.56470000000001597</v>
      </c>
      <c r="AD6429">
        <v>-0.12072579999999999</v>
      </c>
      <c r="AE6429">
        <v>-2.35999999999876E-2</v>
      </c>
      <c r="AF6429">
        <v>5.2066433885330901E-2</v>
      </c>
      <c r="AG6429">
        <v>-0.12072579999999999</v>
      </c>
      <c r="AH6429">
        <v>0.53801750284722505</v>
      </c>
      <c r="AI6429">
        <v>102.59018779185701</v>
      </c>
      <c r="AJ6429">
        <v>84.472436222096405</v>
      </c>
      <c r="AK6429">
        <v>0.55384877511206898</v>
      </c>
    </row>
    <row r="6430" spans="1:37" x14ac:dyDescent="0.2">
      <c r="A6430" t="str">
        <f>"20200111153817651"</f>
        <v>20200111153817651</v>
      </c>
      <c r="B6430" t="str">
        <f>"1578728297639231"</f>
        <v>1578728297639231</v>
      </c>
      <c r="C6430" t="s">
        <v>37</v>
      </c>
      <c r="D6430">
        <v>5.8748379999999996</v>
      </c>
      <c r="E6430">
        <v>0.5354333</v>
      </c>
      <c r="F6430" t="s">
        <v>38</v>
      </c>
      <c r="G6430">
        <v>-145.86879999999999</v>
      </c>
      <c r="H6430">
        <v>0.98718039999999996</v>
      </c>
      <c r="I6430">
        <v>138.3734</v>
      </c>
      <c r="J6430">
        <v>-146.4051</v>
      </c>
      <c r="K6430">
        <v>1.106171</v>
      </c>
      <c r="L6430">
        <v>138.39519999999999</v>
      </c>
      <c r="M6430">
        <v>0.99834259999999997</v>
      </c>
      <c r="N6430">
        <v>0</v>
      </c>
      <c r="O6430">
        <v>5.5733869999999998E-2</v>
      </c>
      <c r="P6430">
        <v>0.99051869999999997</v>
      </c>
      <c r="Q6430">
        <v>9.39054E-2</v>
      </c>
      <c r="R6430">
        <v>0.1002734</v>
      </c>
      <c r="S6430">
        <v>3.07212799999999</v>
      </c>
      <c r="T6430">
        <v>-0.43783630000000001</v>
      </c>
      <c r="U6430">
        <v>-1.434326E-2</v>
      </c>
      <c r="V6430">
        <v>-4.5178799999999998E-2</v>
      </c>
      <c r="W6430">
        <v>0.10805149999999999</v>
      </c>
      <c r="X6430">
        <v>0.99311819999999895</v>
      </c>
      <c r="Y6430">
        <v>5.923908E-2</v>
      </c>
      <c r="Z6430">
        <v>-1.2101239999999999E-2</v>
      </c>
      <c r="AA6430">
        <v>0.99817049999999996</v>
      </c>
      <c r="AB6430">
        <v>30</v>
      </c>
      <c r="AC6430">
        <v>0.53630000000001099</v>
      </c>
      <c r="AD6430">
        <v>-0.1189906</v>
      </c>
      <c r="AE6430">
        <v>-2.17999999999847E-2</v>
      </c>
      <c r="AF6430">
        <v>4.9239318101719998E-2</v>
      </c>
      <c r="AG6430">
        <v>-0.1189906</v>
      </c>
      <c r="AH6430">
        <v>0.50922450366285898</v>
      </c>
      <c r="AI6430">
        <v>103.09337617060901</v>
      </c>
      <c r="AJ6430">
        <v>84.476971433310396</v>
      </c>
      <c r="AK6430">
        <v>0.52525505087163804</v>
      </c>
    </row>
    <row r="6431" spans="1:37" x14ac:dyDescent="0.2">
      <c r="A6431" t="str">
        <f>"20200111153817674"</f>
        <v>20200111153817674</v>
      </c>
      <c r="B6431" t="str">
        <f>"1578728297669487"</f>
        <v>1578728297669487</v>
      </c>
      <c r="C6431" t="s">
        <v>37</v>
      </c>
      <c r="D6431">
        <v>5.5023669999999996</v>
      </c>
      <c r="E6431">
        <v>0.53491909999999998</v>
      </c>
      <c r="F6431" t="s">
        <v>38</v>
      </c>
      <c r="G6431">
        <v>-145.5976</v>
      </c>
      <c r="H6431">
        <v>0.98973889999999998</v>
      </c>
      <c r="I6431">
        <v>138.3929</v>
      </c>
      <c r="J6431">
        <v>-146.09799999999899</v>
      </c>
      <c r="K6431">
        <v>1.1060479999999999</v>
      </c>
      <c r="L6431">
        <v>138.4135</v>
      </c>
      <c r="M6431">
        <v>0.99828930000000005</v>
      </c>
      <c r="N6431">
        <v>0</v>
      </c>
      <c r="O6431">
        <v>5.6631519999999998E-2</v>
      </c>
      <c r="P6431">
        <v>0.9904115</v>
      </c>
      <c r="Q6431">
        <v>9.4625230000000005E-2</v>
      </c>
      <c r="R6431">
        <v>0.10065499999999999</v>
      </c>
      <c r="S6431">
        <v>3.071609</v>
      </c>
      <c r="T6431">
        <v>-0.442888</v>
      </c>
      <c r="U6431">
        <v>-9.1400149999999996E-3</v>
      </c>
      <c r="V6431">
        <v>-4.4630120000000002E-2</v>
      </c>
      <c r="W6431">
        <v>0.10898389999999999</v>
      </c>
      <c r="X6431">
        <v>0.99304110000000001</v>
      </c>
      <c r="Y6431">
        <v>5.8418680000000001E-2</v>
      </c>
      <c r="Z6431">
        <v>-1.2311239999999999E-2</v>
      </c>
      <c r="AA6431">
        <v>0.99821629999999995</v>
      </c>
      <c r="AB6431">
        <v>30</v>
      </c>
      <c r="AC6431">
        <v>0.50039999999998397</v>
      </c>
      <c r="AD6431">
        <v>-0.116309099999999</v>
      </c>
      <c r="AE6431">
        <v>-2.06000000000017E-2</v>
      </c>
      <c r="AF6431">
        <v>4.6405534745224998E-2</v>
      </c>
      <c r="AG6431">
        <v>-0.116309099999999</v>
      </c>
      <c r="AH6431">
        <v>0.47292367129302099</v>
      </c>
      <c r="AI6431">
        <v>103.75337039212199</v>
      </c>
      <c r="AJ6431">
        <v>84.395804477106694</v>
      </c>
      <c r="AK6431">
        <v>0.48922191208803101</v>
      </c>
    </row>
    <row r="6432" spans="1:37" x14ac:dyDescent="0.2">
      <c r="A6432" t="str">
        <f>"20200111153817697"</f>
        <v>20200111153817697</v>
      </c>
      <c r="B6432" t="str">
        <f>"1578728297689983"</f>
        <v>1578728297689983</v>
      </c>
      <c r="C6432" t="s">
        <v>37</v>
      </c>
      <c r="D6432">
        <v>8.5103819999999999</v>
      </c>
      <c r="E6432">
        <v>0.53468209999999905</v>
      </c>
      <c r="F6432" t="s">
        <v>38</v>
      </c>
      <c r="G6432">
        <v>-145.32550000000001</v>
      </c>
      <c r="H6432">
        <v>0.99553419999999904</v>
      </c>
      <c r="I6432">
        <v>138.4127</v>
      </c>
      <c r="J6432">
        <v>-145.79169999999999</v>
      </c>
      <c r="K6432">
        <v>1.1059299999999901</v>
      </c>
      <c r="L6432">
        <v>138.43180000000001</v>
      </c>
      <c r="M6432">
        <v>0.99824539999999995</v>
      </c>
      <c r="N6432">
        <v>0</v>
      </c>
      <c r="O6432">
        <v>5.7340910000000002E-2</v>
      </c>
      <c r="P6432">
        <v>0.99037849999999905</v>
      </c>
      <c r="Q6432">
        <v>9.5110089999999994E-2</v>
      </c>
      <c r="R6432">
        <v>0.10052179999999999</v>
      </c>
      <c r="S6432">
        <v>3.071304</v>
      </c>
      <c r="T6432">
        <v>-0.43950309999999998</v>
      </c>
      <c r="U6432">
        <v>-2.6702879999999998E-3</v>
      </c>
      <c r="V6432">
        <v>-4.3749089999999997E-2</v>
      </c>
      <c r="W6432">
        <v>0.109720899999999</v>
      </c>
      <c r="X6432">
        <v>0.99299910000000002</v>
      </c>
      <c r="Y6432">
        <v>5.7050259999999998E-2</v>
      </c>
      <c r="Z6432">
        <v>-1.2222709999999999E-2</v>
      </c>
      <c r="AA6432">
        <v>0.99829650000000003</v>
      </c>
      <c r="AB6432">
        <v>30</v>
      </c>
      <c r="AC6432">
        <v>0.46619999999998601</v>
      </c>
      <c r="AD6432">
        <v>-0.110395799999999</v>
      </c>
      <c r="AE6432">
        <v>-1.91000000000087E-2</v>
      </c>
      <c r="AF6432">
        <v>4.3375650423303803E-2</v>
      </c>
      <c r="AG6432">
        <v>-0.110395799999999</v>
      </c>
      <c r="AH6432">
        <v>0.43972185197650598</v>
      </c>
      <c r="AI6432">
        <v>104.027918816731</v>
      </c>
      <c r="AJ6432">
        <v>84.366376076602705</v>
      </c>
      <c r="AK6432">
        <v>0.45543823600235001</v>
      </c>
    </row>
    <row r="6433" spans="1:37" x14ac:dyDescent="0.2">
      <c r="A6433" t="str">
        <f>"20200111153817719"</f>
        <v>20200111153817719</v>
      </c>
      <c r="B6433" t="str">
        <f>"1578728297709558"</f>
        <v>1578728297709558</v>
      </c>
      <c r="C6433" t="s">
        <v>37</v>
      </c>
      <c r="D6433">
        <v>5.0862530000000001</v>
      </c>
      <c r="E6433">
        <v>0.53443680000000005</v>
      </c>
      <c r="F6433" t="s">
        <v>38</v>
      </c>
      <c r="G6433">
        <v>-145.05430000000001</v>
      </c>
      <c r="H6433">
        <v>1.0009520000000001</v>
      </c>
      <c r="I6433">
        <v>138.43170000000001</v>
      </c>
      <c r="J6433">
        <v>-145.49709999999999</v>
      </c>
      <c r="K6433">
        <v>1.1058209999999999</v>
      </c>
      <c r="L6433">
        <v>138.4495</v>
      </c>
      <c r="M6433">
        <v>0.99821170000000004</v>
      </c>
      <c r="N6433">
        <v>0</v>
      </c>
      <c r="O6433">
        <v>5.7853250000000002E-2</v>
      </c>
      <c r="P6433">
        <v>0.99046239999999997</v>
      </c>
      <c r="Q6433">
        <v>9.5096200000000006E-2</v>
      </c>
      <c r="R6433">
        <v>9.9706080000000002E-2</v>
      </c>
      <c r="S6433">
        <v>3.0711819999999999</v>
      </c>
      <c r="T6433">
        <v>-0.43729570000000001</v>
      </c>
      <c r="U6433" s="1">
        <v>-4.5776369999999901E-5</v>
      </c>
      <c r="V6433">
        <v>-4.2378399999999997E-2</v>
      </c>
      <c r="W6433">
        <v>0.10999629999999901</v>
      </c>
      <c r="X6433">
        <v>0.99302819999999903</v>
      </c>
      <c r="Y6433">
        <v>5.6719520000000002E-2</v>
      </c>
      <c r="Z6433">
        <v>-1.221147E-2</v>
      </c>
      <c r="AA6433">
        <v>0.99831550000000002</v>
      </c>
      <c r="AB6433">
        <v>30</v>
      </c>
      <c r="AC6433">
        <v>0.44279999999997699</v>
      </c>
      <c r="AD6433">
        <v>-0.104868999999999</v>
      </c>
      <c r="AE6433">
        <v>-1.7799999999994001E-2</v>
      </c>
      <c r="AF6433">
        <v>4.1089539479038401E-2</v>
      </c>
      <c r="AG6433">
        <v>-0.104868999999999</v>
      </c>
      <c r="AH6433">
        <v>0.41764093893550702</v>
      </c>
      <c r="AI6433">
        <v>104.03041702166099</v>
      </c>
      <c r="AJ6433">
        <v>84.381046691458394</v>
      </c>
      <c r="AK6433">
        <v>0.43256191613517198</v>
      </c>
    </row>
    <row r="6434" spans="1:37" x14ac:dyDescent="0.2">
      <c r="A6434" t="str">
        <f>"20200111153817741"</f>
        <v>20200111153817741</v>
      </c>
      <c r="B6434" t="str">
        <f>"1578728297730037"</f>
        <v>1578728297730037</v>
      </c>
      <c r="C6434" t="s">
        <v>37</v>
      </c>
      <c r="D6434">
        <v>5.8288760000000002</v>
      </c>
      <c r="E6434">
        <v>0.53410389999999996</v>
      </c>
      <c r="F6434" t="s">
        <v>38</v>
      </c>
      <c r="G6434">
        <v>-144.78469999999999</v>
      </c>
      <c r="H6434">
        <v>1.004451</v>
      </c>
      <c r="I6434">
        <v>138.4494</v>
      </c>
      <c r="J6434">
        <v>-145.20949999999999</v>
      </c>
      <c r="K6434">
        <v>1.1057349999999999</v>
      </c>
      <c r="L6434">
        <v>138.4666</v>
      </c>
      <c r="M6434">
        <v>0.99818660000000003</v>
      </c>
      <c r="N6434">
        <v>0</v>
      </c>
      <c r="O6434">
        <v>5.8201469999999998E-2</v>
      </c>
      <c r="P6434">
        <v>0.99071919999999902</v>
      </c>
      <c r="Q6434">
        <v>9.3996839999999998E-2</v>
      </c>
      <c r="R6434">
        <v>9.8184560000000004E-2</v>
      </c>
      <c r="S6434">
        <v>3.0708310000000001</v>
      </c>
      <c r="T6434">
        <v>-0.43701419999999902</v>
      </c>
      <c r="U6434">
        <v>1.8310549999999901E-4</v>
      </c>
      <c r="V6434">
        <v>-4.0460240000000001E-2</v>
      </c>
      <c r="W6434">
        <v>0.1092318</v>
      </c>
      <c r="X6434">
        <v>0.99319249999999903</v>
      </c>
      <c r="Y6434">
        <v>5.698864E-2</v>
      </c>
      <c r="Z6434">
        <v>-1.227341E-2</v>
      </c>
      <c r="AA6434">
        <v>0.99829939999999995</v>
      </c>
      <c r="AB6434">
        <v>30</v>
      </c>
      <c r="AC6434">
        <v>0.42480000000000401</v>
      </c>
      <c r="AD6434">
        <v>-0.101284</v>
      </c>
      <c r="AE6434">
        <v>-1.7200000000002501E-2</v>
      </c>
      <c r="AF6434">
        <v>3.9647557968086798E-2</v>
      </c>
      <c r="AG6434">
        <v>-0.101284</v>
      </c>
      <c r="AH6434">
        <v>0.40035646811386599</v>
      </c>
      <c r="AI6434">
        <v>104.13074000255</v>
      </c>
      <c r="AJ6434">
        <v>84.344402357798302</v>
      </c>
      <c r="AK6434">
        <v>0.41486826712758101</v>
      </c>
    </row>
    <row r="6435" spans="1:37" x14ac:dyDescent="0.2">
      <c r="A6435" t="str">
        <f>"20200111153817763"</f>
        <v>20200111153817763</v>
      </c>
      <c r="B6435" t="str">
        <f>"1578728297759317"</f>
        <v>1578728297759317</v>
      </c>
      <c r="C6435" t="s">
        <v>37</v>
      </c>
      <c r="D6435">
        <v>5.7750490000000001</v>
      </c>
      <c r="E6435">
        <v>0.53374169999999999</v>
      </c>
      <c r="F6435" t="s">
        <v>38</v>
      </c>
      <c r="G6435">
        <v>-144.2681</v>
      </c>
      <c r="H6435">
        <v>0.97016619999999998</v>
      </c>
      <c r="I6435">
        <v>138.46610000000001</v>
      </c>
      <c r="J6435">
        <v>-144.91460000000001</v>
      </c>
      <c r="K6435">
        <v>1.1056680000000001</v>
      </c>
      <c r="L6435">
        <v>138.48419999999999</v>
      </c>
      <c r="M6435">
        <v>0.99816740000000004</v>
      </c>
      <c r="N6435">
        <v>0</v>
      </c>
      <c r="O6435">
        <v>5.843454E-2</v>
      </c>
      <c r="P6435">
        <v>0.99112299999999998</v>
      </c>
      <c r="Q6435">
        <v>9.2109780000000002E-2</v>
      </c>
      <c r="R6435">
        <v>9.5870960000000005E-2</v>
      </c>
      <c r="S6435">
        <v>3.0701749999999999</v>
      </c>
      <c r="T6435">
        <v>-0.44219369999999902</v>
      </c>
      <c r="U6435">
        <v>-1.3885499999999999E-3</v>
      </c>
      <c r="V6435">
        <v>-3.7862569999999998E-2</v>
      </c>
      <c r="W6435">
        <v>0.1077239</v>
      </c>
      <c r="X6435">
        <v>0.9934596</v>
      </c>
      <c r="Y6435">
        <v>5.7695360000000001E-2</v>
      </c>
      <c r="Z6435">
        <v>-1.2504090000000001E-2</v>
      </c>
      <c r="AA6435">
        <v>0.99825589999999997</v>
      </c>
      <c r="AB6435">
        <v>30</v>
      </c>
      <c r="AC6435">
        <v>0.64650000000000296</v>
      </c>
      <c r="AD6435">
        <v>-0.13550180000000001</v>
      </c>
      <c r="AE6435">
        <v>-1.80999999999755E-2</v>
      </c>
      <c r="AF6435">
        <v>5.3503156216519798E-2</v>
      </c>
      <c r="AG6435">
        <v>-0.13550180000000001</v>
      </c>
      <c r="AH6435">
        <v>0.61724345825901095</v>
      </c>
      <c r="AI6435">
        <v>102.336748024969</v>
      </c>
      <c r="AJ6435">
        <v>85.0459388295548</v>
      </c>
      <c r="AK6435">
        <v>0.63420250101360598</v>
      </c>
    </row>
    <row r="6436" spans="1:37" x14ac:dyDescent="0.2">
      <c r="A6436" t="str">
        <f>"20200111153817786"</f>
        <v>20200111153817786</v>
      </c>
      <c r="B6436" t="str">
        <f>"1578728297779815"</f>
        <v>1578728297779815</v>
      </c>
      <c r="C6436" t="s">
        <v>37</v>
      </c>
      <c r="D6436">
        <v>6.0182019999999996</v>
      </c>
      <c r="E6436">
        <v>0.53325069999999997</v>
      </c>
      <c r="F6436" t="s">
        <v>38</v>
      </c>
      <c r="G6436">
        <v>-144.00229999999999</v>
      </c>
      <c r="H6436">
        <v>0.97223530000000002</v>
      </c>
      <c r="I6436">
        <v>138.48259999999999</v>
      </c>
      <c r="J6436">
        <v>-144.60339999999999</v>
      </c>
      <c r="K6436">
        <v>1.1056379999999999</v>
      </c>
      <c r="L6436">
        <v>138.5027</v>
      </c>
      <c r="M6436">
        <v>0.99815149999999997</v>
      </c>
      <c r="N6436">
        <v>0</v>
      </c>
      <c r="O6436">
        <v>5.8588710000000002E-2</v>
      </c>
      <c r="P6436">
        <v>0.99148899999999995</v>
      </c>
      <c r="Q6436">
        <v>9.1050399999999906E-2</v>
      </c>
      <c r="R6436">
        <v>9.3055760000000001E-2</v>
      </c>
      <c r="S6436">
        <v>3.0691220000000001</v>
      </c>
      <c r="T6436">
        <v>-0.44892189999999998</v>
      </c>
      <c r="U6436">
        <v>-5.2032470000000003E-3</v>
      </c>
      <c r="V6436">
        <v>-3.4851930000000003E-2</v>
      </c>
      <c r="W6436">
        <v>0.10709289999999901</v>
      </c>
      <c r="X6436">
        <v>0.99363799999999902</v>
      </c>
      <c r="Y6436">
        <v>5.9037489999999998E-2</v>
      </c>
      <c r="Z6436">
        <v>-1.2816839999999999E-2</v>
      </c>
      <c r="AA6436">
        <v>0.99817350000000005</v>
      </c>
      <c r="AB6436">
        <v>30</v>
      </c>
      <c r="AC6436">
        <v>0.60110000000000197</v>
      </c>
      <c r="AD6436">
        <v>-0.13340269999999901</v>
      </c>
      <c r="AE6436">
        <v>-2.0100000000013499E-2</v>
      </c>
      <c r="AF6436">
        <v>5.26952156252651E-2</v>
      </c>
      <c r="AG6436">
        <v>-0.13340269999999901</v>
      </c>
      <c r="AH6436">
        <v>0.57080663851610502</v>
      </c>
      <c r="AI6436">
        <v>103.100664961411</v>
      </c>
      <c r="AJ6436">
        <v>84.725569367400098</v>
      </c>
      <c r="AK6436">
        <v>0.58855185386772702</v>
      </c>
    </row>
    <row r="6437" spans="1:37" x14ac:dyDescent="0.2">
      <c r="A6437" t="str">
        <f>"20200111153817808"</f>
        <v>20200111153817808</v>
      </c>
      <c r="B6437" t="str">
        <f>"1578728297799333"</f>
        <v>1578728297799333</v>
      </c>
      <c r="C6437" t="s">
        <v>37</v>
      </c>
      <c r="D6437">
        <v>5.7392640000000004</v>
      </c>
      <c r="E6437">
        <v>0.53291429999999995</v>
      </c>
      <c r="F6437" t="s">
        <v>38</v>
      </c>
      <c r="G6437">
        <v>-143.73599999999999</v>
      </c>
      <c r="H6437">
        <v>0.97770709999999905</v>
      </c>
      <c r="I6437">
        <v>138.49969999999999</v>
      </c>
      <c r="J6437">
        <v>-144.31569999999999</v>
      </c>
      <c r="K6437">
        <v>1.1056319999999999</v>
      </c>
      <c r="L6437">
        <v>138.5198</v>
      </c>
      <c r="M6437">
        <v>0.99813999999999903</v>
      </c>
      <c r="N6437">
        <v>0</v>
      </c>
      <c r="O6437">
        <v>5.8676399999999997E-2</v>
      </c>
      <c r="P6437">
        <v>0.99176839999999999</v>
      </c>
      <c r="Q6437">
        <v>9.0261560000000005E-2</v>
      </c>
      <c r="R6437">
        <v>9.0819789999999997E-2</v>
      </c>
      <c r="S6437">
        <v>3.068298</v>
      </c>
      <c r="T6437">
        <v>-0.45259670000000002</v>
      </c>
      <c r="U6437">
        <v>-1.013184E-2</v>
      </c>
      <c r="V6437">
        <v>-3.2498390000000002E-2</v>
      </c>
      <c r="W6437">
        <v>0.106707</v>
      </c>
      <c r="X6437">
        <v>0.99375930000000001</v>
      </c>
      <c r="Y6437">
        <v>6.0689300000000002E-2</v>
      </c>
      <c r="Z6437">
        <v>-1.3058220000000001E-2</v>
      </c>
      <c r="AA6437">
        <v>0.99807129999999999</v>
      </c>
      <c r="AB6437">
        <v>30</v>
      </c>
      <c r="AC6437">
        <v>0.57970000000000199</v>
      </c>
      <c r="AD6437">
        <v>-0.12792490000000001</v>
      </c>
      <c r="AE6437">
        <v>-2.0100000000013499E-2</v>
      </c>
      <c r="AF6437">
        <v>5.1576128217316497E-2</v>
      </c>
      <c r="AG6437">
        <v>-0.12792490000000001</v>
      </c>
      <c r="AH6437">
        <v>0.55073438592962998</v>
      </c>
      <c r="AI6437">
        <v>103.02178133501199</v>
      </c>
      <c r="AJ6437">
        <v>84.649869831779299</v>
      </c>
      <c r="AK6437">
        <v>0.56774399238317397</v>
      </c>
    </row>
    <row r="6438" spans="1:37" x14ac:dyDescent="0.2">
      <c r="A6438" t="str">
        <f>"20200111153817829"</f>
        <v>20200111153817829</v>
      </c>
      <c r="B6438" t="str">
        <f>"1578728297819829"</f>
        <v>1578728297819829</v>
      </c>
      <c r="C6438" t="s">
        <v>37</v>
      </c>
      <c r="D6438">
        <v>5.7608779999999999</v>
      </c>
      <c r="E6438">
        <v>0.53254959999999996</v>
      </c>
      <c r="F6438" t="s">
        <v>38</v>
      </c>
      <c r="G6438">
        <v>-143.47229999999999</v>
      </c>
      <c r="H6438">
        <v>0.98026420000000003</v>
      </c>
      <c r="I6438">
        <v>138.51589999999999</v>
      </c>
      <c r="J6438">
        <v>-144.03399999999999</v>
      </c>
      <c r="K6438">
        <v>1.1056349999999999</v>
      </c>
      <c r="L6438">
        <v>138.53649999999999</v>
      </c>
      <c r="M6438">
        <v>0.99812969999999901</v>
      </c>
      <c r="N6438">
        <v>0</v>
      </c>
      <c r="O6438">
        <v>5.8733880000000002E-2</v>
      </c>
      <c r="P6438">
        <v>0.99205919999999903</v>
      </c>
      <c r="Q6438">
        <v>8.8741379999999995E-2</v>
      </c>
      <c r="R6438">
        <v>8.912813E-2</v>
      </c>
      <c r="S6438">
        <v>3.0676570000000001</v>
      </c>
      <c r="T6438">
        <v>-0.4560882</v>
      </c>
      <c r="U6438">
        <v>-1.376343E-2</v>
      </c>
      <c r="V6438">
        <v>-3.072356E-2</v>
      </c>
      <c r="W6438">
        <v>0.10560789999999901</v>
      </c>
      <c r="X6438">
        <v>0.99393310000000001</v>
      </c>
      <c r="Y6438">
        <v>6.1895020000000002E-2</v>
      </c>
      <c r="Z6438">
        <v>-1.3258320000000001E-2</v>
      </c>
      <c r="AA6438">
        <v>0.99799459999999995</v>
      </c>
      <c r="AB6438">
        <v>30</v>
      </c>
      <c r="AC6438">
        <v>0.56170000000000098</v>
      </c>
      <c r="AD6438">
        <v>-0.1253708</v>
      </c>
      <c r="AE6438">
        <v>-2.06000000000017E-2</v>
      </c>
      <c r="AF6438">
        <v>5.10216228602728E-2</v>
      </c>
      <c r="AG6438">
        <v>-0.1253708</v>
      </c>
      <c r="AH6438">
        <v>0.53300263657098801</v>
      </c>
      <c r="AI6438">
        <v>103.178160323265</v>
      </c>
      <c r="AJ6438">
        <v>84.532028226609498</v>
      </c>
      <c r="AK6438">
        <v>0.54992077073298595</v>
      </c>
    </row>
    <row r="6439" spans="1:37" x14ac:dyDescent="0.2">
      <c r="A6439" t="str">
        <f>"20200111153817853"</f>
        <v>20200111153817853</v>
      </c>
      <c r="B6439" t="str">
        <f>"1578728297839349"</f>
        <v>1578728297839349</v>
      </c>
      <c r="C6439" t="s">
        <v>37</v>
      </c>
      <c r="D6439">
        <v>5.7544519999999997</v>
      </c>
      <c r="E6439">
        <v>0.53223609999999999</v>
      </c>
      <c r="F6439" t="s">
        <v>38</v>
      </c>
      <c r="G6439">
        <v>-143.2105</v>
      </c>
      <c r="H6439">
        <v>0.98182320000000001</v>
      </c>
      <c r="I6439">
        <v>138.53200000000001</v>
      </c>
      <c r="J6439">
        <v>-143.7397</v>
      </c>
      <c r="K6439">
        <v>1.1056589999999999</v>
      </c>
      <c r="L6439">
        <v>138.5539</v>
      </c>
      <c r="M6439">
        <v>0.99811870000000003</v>
      </c>
      <c r="N6439">
        <v>0</v>
      </c>
      <c r="O6439">
        <v>5.8783660000000001E-2</v>
      </c>
      <c r="P6439">
        <v>0.99232969999999898</v>
      </c>
      <c r="Q6439">
        <v>8.6393369999999997E-2</v>
      </c>
      <c r="R6439">
        <v>8.8422329999999993E-2</v>
      </c>
      <c r="S6439">
        <v>3.0667270000000002</v>
      </c>
      <c r="T6439">
        <v>-0.46111859999999999</v>
      </c>
      <c r="U6439">
        <v>-1.631165E-2</v>
      </c>
      <c r="V6439">
        <v>-2.994513E-2</v>
      </c>
      <c r="W6439">
        <v>0.1037291</v>
      </c>
      <c r="X6439">
        <v>0.99415469999999895</v>
      </c>
      <c r="Y6439">
        <v>6.2735780000000005E-2</v>
      </c>
      <c r="Z6439">
        <v>-1.3477340000000001E-2</v>
      </c>
      <c r="AA6439">
        <v>0.99793920000000003</v>
      </c>
      <c r="AB6439">
        <v>29</v>
      </c>
      <c r="AC6439">
        <v>0.529200000000003</v>
      </c>
      <c r="AD6439">
        <v>-0.123835799999999</v>
      </c>
      <c r="AE6439">
        <v>-2.1899999999987999E-2</v>
      </c>
      <c r="AF6439">
        <v>5.0229363190719203E-2</v>
      </c>
      <c r="AG6439">
        <v>-0.123835799999999</v>
      </c>
      <c r="AH6439">
        <v>0.49968191337593798</v>
      </c>
      <c r="AI6439">
        <v>103.85202375587799</v>
      </c>
      <c r="AJ6439">
        <v>84.259757764448196</v>
      </c>
      <c r="AK6439">
        <v>0.51724298820112002</v>
      </c>
    </row>
    <row r="6440" spans="1:37" x14ac:dyDescent="0.2">
      <c r="A6440" t="str">
        <f>"20200111153817875"</f>
        <v>20200111153817875</v>
      </c>
      <c r="B6440" t="str">
        <f>"1578728297869606"</f>
        <v>1578728297869606</v>
      </c>
      <c r="C6440" t="s">
        <v>37</v>
      </c>
      <c r="D6440">
        <v>5.878787</v>
      </c>
      <c r="E6440">
        <v>0.53227579999999997</v>
      </c>
      <c r="F6440" t="s">
        <v>38</v>
      </c>
      <c r="G6440">
        <v>-142.9495</v>
      </c>
      <c r="H6440">
        <v>0.98483989999999999</v>
      </c>
      <c r="I6440">
        <v>138.5496</v>
      </c>
      <c r="J6440">
        <v>-143.4504</v>
      </c>
      <c r="K6440">
        <v>1.105701</v>
      </c>
      <c r="L6440">
        <v>138.5711</v>
      </c>
      <c r="M6440">
        <v>0.99810699999999997</v>
      </c>
      <c r="N6440">
        <v>0</v>
      </c>
      <c r="O6440">
        <v>5.8834209999999998E-2</v>
      </c>
      <c r="P6440">
        <v>0.99248159999999896</v>
      </c>
      <c r="Q6440">
        <v>8.4934209999999996E-2</v>
      </c>
      <c r="R6440">
        <v>8.8126750000000004E-2</v>
      </c>
      <c r="S6440">
        <v>3.0654599999999999</v>
      </c>
      <c r="T6440">
        <v>-0.46878359999999902</v>
      </c>
      <c r="U6440">
        <v>-1.6357420000000001E-2</v>
      </c>
      <c r="V6440">
        <v>-2.9584989999999999E-2</v>
      </c>
      <c r="W6440">
        <v>0.10276250000000001</v>
      </c>
      <c r="X6440">
        <v>0.99426589999999904</v>
      </c>
      <c r="Y6440">
        <v>6.2756419999999993E-2</v>
      </c>
      <c r="Z6440">
        <v>-1.371374E-2</v>
      </c>
      <c r="AA6440">
        <v>0.9979346</v>
      </c>
      <c r="AB6440">
        <v>29</v>
      </c>
      <c r="AC6440">
        <v>0.50090000000000101</v>
      </c>
      <c r="AD6440">
        <v>-0.1208611</v>
      </c>
      <c r="AE6440">
        <v>-2.15000000000031E-2</v>
      </c>
      <c r="AF6440">
        <v>4.8139983093291497E-2</v>
      </c>
      <c r="AG6440">
        <v>-0.1208611</v>
      </c>
      <c r="AH6440">
        <v>0.47137405214407002</v>
      </c>
      <c r="AI6440">
        <v>104.30958275940399</v>
      </c>
      <c r="AJ6440">
        <v>84.168775115945394</v>
      </c>
      <c r="AK6440">
        <v>0.48899730111745299</v>
      </c>
    </row>
    <row r="6441" spans="1:37" x14ac:dyDescent="0.2">
      <c r="A6441" t="str">
        <f>"20200111153817897"</f>
        <v>20200111153817897</v>
      </c>
      <c r="B6441" t="str">
        <f>"1578728297890100"</f>
        <v>1578728297890100</v>
      </c>
      <c r="C6441" t="s">
        <v>37</v>
      </c>
      <c r="D6441">
        <v>5.749981</v>
      </c>
      <c r="E6441">
        <v>0.55635919999999905</v>
      </c>
      <c r="F6441" t="s">
        <v>38</v>
      </c>
      <c r="G6441">
        <v>-142.6902</v>
      </c>
      <c r="H6441">
        <v>0.98756829999999995</v>
      </c>
      <c r="I6441">
        <v>138.56649999999999</v>
      </c>
      <c r="J6441">
        <v>-143.1611</v>
      </c>
      <c r="K6441">
        <v>1.105753</v>
      </c>
      <c r="L6441">
        <v>138.5882</v>
      </c>
      <c r="M6441">
        <v>0.99809439999999905</v>
      </c>
      <c r="N6441">
        <v>0</v>
      </c>
      <c r="O6441">
        <v>5.8890749999999999E-2</v>
      </c>
      <c r="P6441">
        <v>0.99268940000000006</v>
      </c>
      <c r="Q6441">
        <v>8.2707520000000007E-2</v>
      </c>
      <c r="R6441">
        <v>8.7905140000000007E-2</v>
      </c>
      <c r="S6441">
        <v>3.0650629999999999</v>
      </c>
      <c r="T6441">
        <v>-0.47634290000000001</v>
      </c>
      <c r="U6441">
        <v>-1.7761229999999999E-2</v>
      </c>
      <c r="V6441">
        <v>-2.92929E-2</v>
      </c>
      <c r="W6441">
        <v>0.1010496</v>
      </c>
      <c r="X6441">
        <v>0.99444999999999995</v>
      </c>
      <c r="Y6441">
        <v>6.3218940000000001E-2</v>
      </c>
      <c r="Z6441">
        <v>-1.3978600000000001E-2</v>
      </c>
      <c r="AA6441">
        <v>0.99790179999999995</v>
      </c>
      <c r="AB6441">
        <v>29</v>
      </c>
      <c r="AC6441">
        <v>0.47089999999999999</v>
      </c>
      <c r="AD6441">
        <v>-0.118184699999999</v>
      </c>
      <c r="AE6441">
        <v>-2.1700000000009802E-2</v>
      </c>
      <c r="AF6441">
        <v>4.6477327925086201E-2</v>
      </c>
      <c r="AG6441">
        <v>-0.118184699999999</v>
      </c>
      <c r="AH6441">
        <v>0.44107995938942501</v>
      </c>
      <c r="AI6441">
        <v>104.920826660552</v>
      </c>
      <c r="AJ6441">
        <v>83.984845474776705</v>
      </c>
      <c r="AK6441">
        <v>0.458998143678297</v>
      </c>
    </row>
    <row r="6442" spans="1:37" x14ac:dyDescent="0.2">
      <c r="A6442" t="str">
        <f>"20200111153817920"</f>
        <v>20200111153817920</v>
      </c>
      <c r="B6442" t="str">
        <f>"1578728297909621"</f>
        <v>1578728297909621</v>
      </c>
      <c r="C6442" t="s">
        <v>37</v>
      </c>
      <c r="D6442">
        <v>5.756894</v>
      </c>
      <c r="E6442">
        <v>0.5578613</v>
      </c>
      <c r="F6442" t="s">
        <v>38</v>
      </c>
      <c r="G6442">
        <v>-142.46469999999999</v>
      </c>
      <c r="H6442">
        <v>0.91996489999999997</v>
      </c>
      <c r="I6442">
        <v>138.53819999999999</v>
      </c>
      <c r="J6442">
        <v>-142.87899999999999</v>
      </c>
      <c r="K6442">
        <v>1.105804</v>
      </c>
      <c r="L6442">
        <v>138.60489999999999</v>
      </c>
      <c r="M6442">
        <v>0.99808109999999906</v>
      </c>
      <c r="N6442">
        <v>0</v>
      </c>
      <c r="O6442">
        <v>5.8953070000000003E-2</v>
      </c>
      <c r="P6442">
        <v>0.99289780000000005</v>
      </c>
      <c r="Q6442">
        <v>8.0092590000000005E-2</v>
      </c>
      <c r="R6442">
        <v>8.7970809999999997E-2</v>
      </c>
      <c r="S6442">
        <v>3.1109619999999998</v>
      </c>
      <c r="T6442">
        <v>-0.82995969999999997</v>
      </c>
      <c r="U6442">
        <v>-0.22270200000000001</v>
      </c>
      <c r="V6442">
        <v>-2.9282530000000001E-2</v>
      </c>
      <c r="W6442">
        <v>9.8943039999999996E-2</v>
      </c>
      <c r="X6442">
        <v>0.99466219999999905</v>
      </c>
      <c r="Y6442">
        <v>0.1237296</v>
      </c>
      <c r="Z6442">
        <v>-3.1643980000000002E-2</v>
      </c>
      <c r="AA6442">
        <v>0.99181129999999995</v>
      </c>
      <c r="AB6442">
        <v>29</v>
      </c>
      <c r="AC6442">
        <v>0.414299999999997</v>
      </c>
      <c r="AD6442">
        <v>-0.18583910000000001</v>
      </c>
      <c r="AE6442">
        <v>-6.6699999999997303E-2</v>
      </c>
      <c r="AF6442">
        <v>7.6089581387869004E-2</v>
      </c>
      <c r="AG6442">
        <v>-0.18583910000000001</v>
      </c>
      <c r="AH6442">
        <v>0.34247806483363302</v>
      </c>
      <c r="AI6442">
        <v>117.910817009133</v>
      </c>
      <c r="AJ6442">
        <v>77.473847577301996</v>
      </c>
      <c r="AK6442">
        <v>0.39701010110169899</v>
      </c>
    </row>
    <row r="6443" spans="1:37" x14ac:dyDescent="0.2">
      <c r="A6443" t="str">
        <f>"20200111153817941"</f>
        <v>20200111153817941</v>
      </c>
      <c r="B6443" t="str">
        <f>"1578728297930117"</f>
        <v>1578728297930117</v>
      </c>
      <c r="C6443" t="s">
        <v>37</v>
      </c>
      <c r="D6443">
        <v>5.7625339999999996</v>
      </c>
      <c r="E6443">
        <v>0.55880949999999996</v>
      </c>
      <c r="F6443" t="s">
        <v>38</v>
      </c>
      <c r="G6443">
        <v>-141.98480000000001</v>
      </c>
      <c r="H6443">
        <v>0.85006510000000002</v>
      </c>
      <c r="I6443">
        <v>138.5368</v>
      </c>
      <c r="J6443">
        <v>-142.59639999999999</v>
      </c>
      <c r="K6443">
        <v>1.1058520000000001</v>
      </c>
      <c r="L6443">
        <v>138.6217</v>
      </c>
      <c r="M6443">
        <v>0.99806700000000004</v>
      </c>
      <c r="N6443">
        <v>0</v>
      </c>
      <c r="O6443">
        <v>5.9020839999999998E-2</v>
      </c>
      <c r="P6443">
        <v>0.99318980000000001</v>
      </c>
      <c r="Q6443">
        <v>7.6612250000000007E-2</v>
      </c>
      <c r="R6443">
        <v>8.7777720000000004E-2</v>
      </c>
      <c r="S6443">
        <v>3.1143040000000002</v>
      </c>
      <c r="T6443">
        <v>-0.89068159999999896</v>
      </c>
      <c r="U6443">
        <v>-0.237014799999999</v>
      </c>
      <c r="V6443">
        <v>-2.9004459999999999E-2</v>
      </c>
      <c r="W6443">
        <v>9.5997879999999994E-2</v>
      </c>
      <c r="X6443">
        <v>0.99495889999999998</v>
      </c>
      <c r="Y6443">
        <v>0.12718489999999999</v>
      </c>
      <c r="Z6443">
        <v>-3.4335949999999997E-2</v>
      </c>
      <c r="AA6443">
        <v>0.99128449999999901</v>
      </c>
      <c r="AB6443">
        <v>29</v>
      </c>
      <c r="AC6443">
        <v>0.61159999999998105</v>
      </c>
      <c r="AD6443">
        <v>-0.25578689999999998</v>
      </c>
      <c r="AE6443">
        <v>-8.4900000000004597E-2</v>
      </c>
      <c r="AF6443">
        <v>0.10315407081286</v>
      </c>
      <c r="AG6443">
        <v>-0.25578689999999998</v>
      </c>
      <c r="AH6443">
        <v>0.51683041430306598</v>
      </c>
      <c r="AI6443">
        <v>115.889242505349</v>
      </c>
      <c r="AJ6443">
        <v>78.7126689607787</v>
      </c>
      <c r="AK6443">
        <v>0.58581684653614596</v>
      </c>
    </row>
    <row r="6444" spans="1:37" x14ac:dyDescent="0.2">
      <c r="A6444" t="str">
        <f>"20200111153817965"</f>
        <v>20200111153817965</v>
      </c>
      <c r="B6444" t="str">
        <f>"1578728297959397"</f>
        <v>1578728297959397</v>
      </c>
      <c r="C6444" t="s">
        <v>37</v>
      </c>
      <c r="D6444">
        <v>5.7651500000000002</v>
      </c>
      <c r="E6444">
        <v>0.55917790000000001</v>
      </c>
      <c r="F6444" t="s">
        <v>38</v>
      </c>
      <c r="G6444">
        <v>-141.73220000000001</v>
      </c>
      <c r="H6444">
        <v>0.85444679999999995</v>
      </c>
      <c r="I6444">
        <v>138.5532</v>
      </c>
      <c r="J6444">
        <v>-142.31049999999999</v>
      </c>
      <c r="K6444">
        <v>1.105896</v>
      </c>
      <c r="L6444">
        <v>138.6387</v>
      </c>
      <c r="M6444">
        <v>0.99805149999999998</v>
      </c>
      <c r="N6444">
        <v>0</v>
      </c>
      <c r="O6444">
        <v>5.9093350000000003E-2</v>
      </c>
      <c r="P6444">
        <v>0.99348219999999998</v>
      </c>
      <c r="Q6444">
        <v>7.3057769999999994E-2</v>
      </c>
      <c r="R6444">
        <v>8.7497409999999998E-2</v>
      </c>
      <c r="S6444">
        <v>3.1121829999999999</v>
      </c>
      <c r="T6444">
        <v>-0.90535399999999999</v>
      </c>
      <c r="U6444">
        <v>-0.24620059999999999</v>
      </c>
      <c r="V6444">
        <v>-2.863402E-2</v>
      </c>
      <c r="W6444">
        <v>9.300725E-2</v>
      </c>
      <c r="X6444">
        <v>0.99525359999999996</v>
      </c>
      <c r="Y6444">
        <v>0.1298531</v>
      </c>
      <c r="Z6444">
        <v>-3.5299199999999899E-2</v>
      </c>
      <c r="AA6444">
        <v>0.99090469999999897</v>
      </c>
      <c r="AB6444">
        <v>28</v>
      </c>
      <c r="AC6444">
        <v>0.57829999999998405</v>
      </c>
      <c r="AD6444">
        <v>-0.25144919999999898</v>
      </c>
      <c r="AE6444">
        <v>-8.5499999999996107E-2</v>
      </c>
      <c r="AF6444">
        <v>0.100868955338708</v>
      </c>
      <c r="AG6444">
        <v>-0.25144919999999898</v>
      </c>
      <c r="AH6444">
        <v>0.48289368120935</v>
      </c>
      <c r="AI6444">
        <v>117.008487067787</v>
      </c>
      <c r="AJ6444">
        <v>78.201454164850503</v>
      </c>
      <c r="AK6444">
        <v>0.55370348895747401</v>
      </c>
    </row>
    <row r="6445" spans="1:37" x14ac:dyDescent="0.2">
      <c r="A6445" t="str">
        <f>"20200111153817986"</f>
        <v>20200111153817986</v>
      </c>
      <c r="B6445" t="str">
        <f>"1578728297979893"</f>
        <v>1578728297979893</v>
      </c>
      <c r="C6445" t="s">
        <v>37</v>
      </c>
      <c r="D6445">
        <v>5.7616680000000002</v>
      </c>
      <c r="E6445">
        <v>0.55916339999999998</v>
      </c>
      <c r="F6445" t="s">
        <v>38</v>
      </c>
      <c r="G6445">
        <v>-141.47980000000001</v>
      </c>
      <c r="H6445">
        <v>0.8632339</v>
      </c>
      <c r="I6445">
        <v>138.5719</v>
      </c>
      <c r="J6445">
        <v>-142.04</v>
      </c>
      <c r="K6445">
        <v>1.1059330000000001</v>
      </c>
      <c r="L6445">
        <v>138.65479999999999</v>
      </c>
      <c r="M6445">
        <v>0.99803699999999995</v>
      </c>
      <c r="N6445">
        <v>0</v>
      </c>
      <c r="O6445">
        <v>5.9164080000000001E-2</v>
      </c>
      <c r="P6445">
        <v>0.99380109999999999</v>
      </c>
      <c r="Q6445">
        <v>6.94549E-2</v>
      </c>
      <c r="R6445">
        <v>8.6808960000000004E-2</v>
      </c>
      <c r="S6445">
        <v>3.1084749999999999</v>
      </c>
      <c r="T6445">
        <v>-0.90808480000000003</v>
      </c>
      <c r="U6445">
        <v>-0.25004579999999998</v>
      </c>
      <c r="V6445">
        <v>-2.7856519999999999E-2</v>
      </c>
      <c r="W6445">
        <v>8.9918890000000001E-2</v>
      </c>
      <c r="X6445">
        <v>0.99555949999999904</v>
      </c>
      <c r="Y6445">
        <v>0.1311156</v>
      </c>
      <c r="Z6445">
        <v>-3.5641119999999998E-2</v>
      </c>
      <c r="AA6445">
        <v>0.990726199999999</v>
      </c>
      <c r="AB6445">
        <v>28</v>
      </c>
      <c r="AC6445">
        <v>0.56019999999998005</v>
      </c>
      <c r="AD6445">
        <v>-0.2426991</v>
      </c>
      <c r="AE6445">
        <v>-8.2899999999995005E-2</v>
      </c>
      <c r="AF6445">
        <v>9.7920252957677298E-2</v>
      </c>
      <c r="AG6445">
        <v>-0.2426991</v>
      </c>
      <c r="AH6445">
        <v>0.46829922824548598</v>
      </c>
      <c r="AI6445">
        <v>116.89801420238901</v>
      </c>
      <c r="AJ6445">
        <v>78.189748773666096</v>
      </c>
      <c r="AK6445">
        <v>0.53646565244703504</v>
      </c>
    </row>
    <row r="6446" spans="1:37" x14ac:dyDescent="0.2">
      <c r="A6446" t="str">
        <f>"20200111153818009"</f>
        <v>20200111153818009</v>
      </c>
      <c r="B6446" t="str">
        <f>"1578728297999413"</f>
        <v>1578728297999413</v>
      </c>
      <c r="C6446" t="s">
        <v>37</v>
      </c>
      <c r="D6446">
        <v>5.7759479999999996</v>
      </c>
      <c r="E6446">
        <v>0.55905300000000002</v>
      </c>
      <c r="F6446" t="s">
        <v>38</v>
      </c>
      <c r="G6446">
        <v>-141.23079999999999</v>
      </c>
      <c r="H6446">
        <v>0.86813099999999999</v>
      </c>
      <c r="I6446">
        <v>138.589</v>
      </c>
      <c r="J6446">
        <v>-141.76220000000001</v>
      </c>
      <c r="K6446">
        <v>1.1059600000000001</v>
      </c>
      <c r="L6446">
        <v>138.67140000000001</v>
      </c>
      <c r="M6446">
        <v>0.99802239999999998</v>
      </c>
      <c r="N6446">
        <v>0</v>
      </c>
      <c r="O6446">
        <v>5.9236709999999998E-2</v>
      </c>
      <c r="P6446">
        <v>0.99415239999999905</v>
      </c>
      <c r="Q6446">
        <v>6.532868E-2</v>
      </c>
      <c r="R6446">
        <v>8.5983980000000002E-2</v>
      </c>
      <c r="S6446">
        <v>3.1044770000000002</v>
      </c>
      <c r="T6446">
        <v>-0.9122789</v>
      </c>
      <c r="U6446">
        <v>-0.25195309999999999</v>
      </c>
      <c r="V6446">
        <v>-2.6938549999999999E-2</v>
      </c>
      <c r="W6446">
        <v>8.6290030000000004E-2</v>
      </c>
      <c r="X6446">
        <v>0.99590579999999995</v>
      </c>
      <c r="Y6446">
        <v>0.1317728</v>
      </c>
      <c r="Z6446">
        <v>-3.5957929999999999E-2</v>
      </c>
      <c r="AA6446">
        <v>0.99062759999999905</v>
      </c>
      <c r="AB6446">
        <v>28</v>
      </c>
      <c r="AC6446">
        <v>0.53140000000001897</v>
      </c>
      <c r="AD6446">
        <v>-0.23782900000000001</v>
      </c>
      <c r="AE6446">
        <v>-8.2400000000006898E-2</v>
      </c>
      <c r="AF6446">
        <v>9.51326825904944E-2</v>
      </c>
      <c r="AG6446">
        <v>-0.23782900000000001</v>
      </c>
      <c r="AH6446">
        <v>0.439598907467532</v>
      </c>
      <c r="AI6446">
        <v>117.868696654122</v>
      </c>
      <c r="AJ6446">
        <v>77.789038749636902</v>
      </c>
      <c r="AK6446">
        <v>0.50878292029559302</v>
      </c>
    </row>
    <row r="6447" spans="1:37" x14ac:dyDescent="0.2">
      <c r="A6447" t="str">
        <f>"20200111153818031"</f>
        <v>20200111153818031</v>
      </c>
      <c r="B6447" t="str">
        <f>"1578728298019909"</f>
        <v>1578728298019909</v>
      </c>
      <c r="C6447" t="s">
        <v>37</v>
      </c>
      <c r="D6447">
        <v>5.7635480000000001</v>
      </c>
      <c r="E6447">
        <v>0.55878549999999905</v>
      </c>
      <c r="F6447" t="s">
        <v>38</v>
      </c>
      <c r="G6447">
        <v>-140.9829</v>
      </c>
      <c r="H6447">
        <v>0.87515750000000003</v>
      </c>
      <c r="I6447">
        <v>138.6078</v>
      </c>
      <c r="J6447">
        <v>-141.49420000000001</v>
      </c>
      <c r="K6447">
        <v>1.1059870000000001</v>
      </c>
      <c r="L6447">
        <v>138.6874</v>
      </c>
      <c r="M6447">
        <v>0.99800889999999998</v>
      </c>
      <c r="N6447">
        <v>0</v>
      </c>
      <c r="O6447">
        <v>5.930556E-2</v>
      </c>
      <c r="P6447">
        <v>0.9944556</v>
      </c>
      <c r="Q6447">
        <v>6.1642089999999997E-2</v>
      </c>
      <c r="R6447">
        <v>8.5199010000000006E-2</v>
      </c>
      <c r="S6447">
        <v>3.0998380000000001</v>
      </c>
      <c r="T6447">
        <v>-0.91804589999999997</v>
      </c>
      <c r="U6447">
        <v>-0.25294489999999997</v>
      </c>
      <c r="V6447">
        <v>-2.6067659999999999E-2</v>
      </c>
      <c r="W6447">
        <v>8.3056340000000006E-2</v>
      </c>
      <c r="X6447">
        <v>0.99620379999999997</v>
      </c>
      <c r="Y6447">
        <v>0.13213429999999901</v>
      </c>
      <c r="Z6447">
        <v>-3.6299749999999999E-2</v>
      </c>
      <c r="AA6447">
        <v>0.99056699999999998</v>
      </c>
      <c r="AB6447">
        <v>28</v>
      </c>
      <c r="AC6447">
        <v>0.51130000000000497</v>
      </c>
      <c r="AD6447">
        <v>-0.23082949999999999</v>
      </c>
      <c r="AE6447">
        <v>-7.9599999999999199E-2</v>
      </c>
      <c r="AF6447">
        <v>9.1568553148179604E-2</v>
      </c>
      <c r="AG6447">
        <v>-0.23082949999999999</v>
      </c>
      <c r="AH6447">
        <v>0.42175325306123801</v>
      </c>
      <c r="AI6447">
        <v>118.140033348006</v>
      </c>
      <c r="AJ6447">
        <v>77.750396277127706</v>
      </c>
      <c r="AK6447">
        <v>0.489431164172898</v>
      </c>
    </row>
    <row r="6448" spans="1:37" x14ac:dyDescent="0.2">
      <c r="A6448" t="str">
        <f>"20200111153818053"</f>
        <v>20200111153818053</v>
      </c>
      <c r="B6448" t="str">
        <f>"1578728298050165"</f>
        <v>1578728298050165</v>
      </c>
      <c r="C6448" t="s">
        <v>37</v>
      </c>
      <c r="D6448">
        <v>5.8158799999999999</v>
      </c>
      <c r="E6448">
        <v>0.55816880000000002</v>
      </c>
      <c r="F6448" t="s">
        <v>38</v>
      </c>
      <c r="G6448">
        <v>-140.73740000000001</v>
      </c>
      <c r="H6448">
        <v>0.88067779999999996</v>
      </c>
      <c r="I6448">
        <v>138.62520000000001</v>
      </c>
      <c r="J6448">
        <v>-141.22499999999999</v>
      </c>
      <c r="K6448">
        <v>1.106004</v>
      </c>
      <c r="L6448">
        <v>138.70339999999999</v>
      </c>
      <c r="M6448">
        <v>0.99799590000000005</v>
      </c>
      <c r="N6448">
        <v>0</v>
      </c>
      <c r="O6448">
        <v>5.937336E-2</v>
      </c>
      <c r="P6448">
        <v>0.99470519999999996</v>
      </c>
      <c r="Q6448">
        <v>5.8928710000000002E-2</v>
      </c>
      <c r="R6448">
        <v>8.4197960000000002E-2</v>
      </c>
      <c r="S6448">
        <v>3.095596</v>
      </c>
      <c r="T6448">
        <v>-0.9215856</v>
      </c>
      <c r="U6448">
        <v>-0.25376889999999902</v>
      </c>
      <c r="V6448">
        <v>-2.4984559999999999E-2</v>
      </c>
      <c r="W6448">
        <v>8.0761910000000006E-2</v>
      </c>
      <c r="X6448">
        <v>0.99642030000000004</v>
      </c>
      <c r="Y6448">
        <v>0.1324727</v>
      </c>
      <c r="Z6448">
        <v>-3.6550430000000002E-2</v>
      </c>
      <c r="AA6448">
        <v>0.99051250000000002</v>
      </c>
      <c r="AB6448">
        <v>27</v>
      </c>
      <c r="AC6448">
        <v>0.48759999999998599</v>
      </c>
      <c r="AD6448">
        <v>-0.22532619999999901</v>
      </c>
      <c r="AE6448">
        <v>-7.8199999999981104E-2</v>
      </c>
      <c r="AF6448">
        <v>8.8578012823432695E-2</v>
      </c>
      <c r="AG6448">
        <v>-0.22532619999999901</v>
      </c>
      <c r="AH6448">
        <v>0.39902163781439598</v>
      </c>
      <c r="AI6448">
        <v>118.866934725245</v>
      </c>
      <c r="AJ6448">
        <v>77.483981686680295</v>
      </c>
      <c r="AK6448">
        <v>0.46672928792424301</v>
      </c>
    </row>
    <row r="6449" spans="1:37" x14ac:dyDescent="0.2">
      <c r="A6449" t="str">
        <f>"20200111153818076"</f>
        <v>20200111153818076</v>
      </c>
      <c r="B6449" t="str">
        <f>"1578728298069685"</f>
        <v>1578728298069685</v>
      </c>
      <c r="C6449" t="s">
        <v>37</v>
      </c>
      <c r="D6449">
        <v>5.8259809999999996</v>
      </c>
      <c r="E6449">
        <v>0.55795790000000001</v>
      </c>
      <c r="F6449" t="s">
        <v>38</v>
      </c>
      <c r="G6449">
        <v>-140.49359999999999</v>
      </c>
      <c r="H6449">
        <v>0.88705849999999897</v>
      </c>
      <c r="I6449">
        <v>138.6437</v>
      </c>
      <c r="J6449">
        <v>-140.94890000000001</v>
      </c>
      <c r="K6449">
        <v>1.1060110000000001</v>
      </c>
      <c r="L6449">
        <v>138.72</v>
      </c>
      <c r="M6449">
        <v>0.99798319999999996</v>
      </c>
      <c r="N6449">
        <v>0</v>
      </c>
      <c r="O6449">
        <v>5.9441529999999999E-2</v>
      </c>
      <c r="P6449">
        <v>0.99490869999999998</v>
      </c>
      <c r="Q6449">
        <v>5.6602310000000003E-2</v>
      </c>
      <c r="R6449">
        <v>8.3383150000000003E-2</v>
      </c>
      <c r="S6449">
        <v>3.0921939999999899</v>
      </c>
      <c r="T6449">
        <v>-0.925678</v>
      </c>
      <c r="U6449">
        <v>-0.2525482</v>
      </c>
      <c r="V6449">
        <v>-2.4089820000000001E-2</v>
      </c>
      <c r="W6449">
        <v>7.8823069999999995E-2</v>
      </c>
      <c r="X6449">
        <v>0.99659750000000003</v>
      </c>
      <c r="Y6449">
        <v>0.13216140000000001</v>
      </c>
      <c r="Z6449">
        <v>-3.6719639999999998E-2</v>
      </c>
      <c r="AA6449">
        <v>0.99054779999999998</v>
      </c>
      <c r="AB6449">
        <v>27</v>
      </c>
      <c r="AC6449">
        <v>0.45530000000002202</v>
      </c>
      <c r="AD6449">
        <v>-0.21895249999999999</v>
      </c>
      <c r="AE6449">
        <v>-7.6300000000003296E-2</v>
      </c>
      <c r="AF6449">
        <v>8.4277642747930301E-2</v>
      </c>
      <c r="AG6449">
        <v>-0.21895249999999999</v>
      </c>
      <c r="AH6449">
        <v>0.36732920543492997</v>
      </c>
      <c r="AI6449">
        <v>120.155351865798</v>
      </c>
      <c r="AJ6449">
        <v>77.078064002071102</v>
      </c>
      <c r="AK6449">
        <v>0.43585968325695701</v>
      </c>
    </row>
    <row r="6450" spans="1:37" x14ac:dyDescent="0.2">
      <c r="A6450" t="str">
        <f>"20200111153818098"</f>
        <v>20200111153818098</v>
      </c>
      <c r="B6450" t="str">
        <f>"1578728298090181"</f>
        <v>1578728298090181</v>
      </c>
      <c r="C6450" t="s">
        <v>37</v>
      </c>
      <c r="D6450">
        <v>5.7597170000000002</v>
      </c>
      <c r="E6450">
        <v>0.55855749999999904</v>
      </c>
      <c r="F6450" t="s">
        <v>38</v>
      </c>
      <c r="G6450">
        <v>-140.2508</v>
      </c>
      <c r="H6450">
        <v>0.89560659999999903</v>
      </c>
      <c r="I6450">
        <v>138.66220000000001</v>
      </c>
      <c r="J6450">
        <v>-140.679</v>
      </c>
      <c r="K6450">
        <v>1.106023</v>
      </c>
      <c r="L6450">
        <v>138.73609999999999</v>
      </c>
      <c r="M6450">
        <v>0.99797119999999995</v>
      </c>
      <c r="N6450">
        <v>0</v>
      </c>
      <c r="O6450">
        <v>5.9506919999999998E-2</v>
      </c>
      <c r="P6450">
        <v>0.99517069999999996</v>
      </c>
      <c r="Q6450">
        <v>5.321555E-2</v>
      </c>
      <c r="R6450">
        <v>8.248374E-2</v>
      </c>
      <c r="S6450">
        <v>3.0896910000000002</v>
      </c>
      <c r="T6450">
        <v>-0.93127939999999998</v>
      </c>
      <c r="U6450">
        <v>-0.25491329999999901</v>
      </c>
      <c r="V6450">
        <v>-2.3109660000000001E-2</v>
      </c>
      <c r="W6450">
        <v>7.579806E-2</v>
      </c>
      <c r="X6450">
        <v>0.99685539999999995</v>
      </c>
      <c r="Y6450">
        <v>0.1328974</v>
      </c>
      <c r="Z6450">
        <v>-3.7087759999999997E-2</v>
      </c>
      <c r="AA6450">
        <v>0.99043570000000003</v>
      </c>
      <c r="AB6450">
        <v>27</v>
      </c>
      <c r="AC6450">
        <v>0.42820000000000302</v>
      </c>
      <c r="AD6450">
        <v>-0.2104164</v>
      </c>
      <c r="AE6450">
        <v>-7.3899999999980495E-2</v>
      </c>
      <c r="AF6450">
        <v>8.0402906778978794E-2</v>
      </c>
      <c r="AG6450">
        <v>-0.2104164</v>
      </c>
      <c r="AH6450">
        <v>0.34268647608599001</v>
      </c>
      <c r="AI6450">
        <v>120.870423916804</v>
      </c>
      <c r="AJ6450">
        <v>76.795797332121893</v>
      </c>
      <c r="AK6450">
        <v>0.41008988002595598</v>
      </c>
    </row>
    <row r="6451" spans="1:37" x14ac:dyDescent="0.2">
      <c r="A6451" t="str">
        <f>"20200111153818122"</f>
        <v>20200111153818122</v>
      </c>
      <c r="B6451" t="str">
        <f>"1578728298109701"</f>
        <v>1578728298109701</v>
      </c>
      <c r="C6451" t="s">
        <v>37</v>
      </c>
      <c r="D6451">
        <v>5.7420289999999996</v>
      </c>
      <c r="E6451">
        <v>0.55887749999999903</v>
      </c>
      <c r="F6451" t="s">
        <v>38</v>
      </c>
      <c r="G6451">
        <v>-140.01060000000001</v>
      </c>
      <c r="H6451">
        <v>0.90223030000000004</v>
      </c>
      <c r="I6451">
        <v>138.679</v>
      </c>
      <c r="J6451">
        <v>-140.41239999999999</v>
      </c>
      <c r="K6451">
        <v>1.1060399999999999</v>
      </c>
      <c r="L6451">
        <v>138.75210000000001</v>
      </c>
      <c r="M6451">
        <v>0.99795990000000001</v>
      </c>
      <c r="N6451">
        <v>0</v>
      </c>
      <c r="O6451">
        <v>5.957088E-2</v>
      </c>
      <c r="P6451">
        <v>0.99538159999999898</v>
      </c>
      <c r="Q6451">
        <v>5.1328239999999997E-2</v>
      </c>
      <c r="R6451">
        <v>8.1121260000000001E-2</v>
      </c>
      <c r="S6451">
        <v>3.0867610000000001</v>
      </c>
      <c r="T6451">
        <v>-0.94121460000000001</v>
      </c>
      <c r="U6451">
        <v>-0.2638855</v>
      </c>
      <c r="V6451">
        <v>-2.1671900000000001E-2</v>
      </c>
      <c r="W6451">
        <v>7.4244619999999997E-2</v>
      </c>
      <c r="X6451">
        <v>0.99700460000000002</v>
      </c>
      <c r="Y6451">
        <v>0.13558010000000001</v>
      </c>
      <c r="Z6451">
        <v>-3.791485E-2</v>
      </c>
      <c r="AA6451">
        <v>0.990040699999999</v>
      </c>
      <c r="AB6451">
        <v>27</v>
      </c>
      <c r="AC6451">
        <v>0.40179999999998001</v>
      </c>
      <c r="AD6451">
        <v>-0.20380969999999901</v>
      </c>
      <c r="AE6451">
        <v>-7.3100000000010795E-2</v>
      </c>
      <c r="AF6451">
        <v>7.7588523201221393E-2</v>
      </c>
      <c r="AG6451">
        <v>-0.20380969999999901</v>
      </c>
      <c r="AH6451">
        <v>0.317625421296229</v>
      </c>
      <c r="AI6451">
        <v>121.936881020892</v>
      </c>
      <c r="AJ6451">
        <v>76.272795490496605</v>
      </c>
      <c r="AK6451">
        <v>0.38528467527302901</v>
      </c>
    </row>
    <row r="6452" spans="1:37" x14ac:dyDescent="0.2">
      <c r="A6452" t="str">
        <f>"20200111153818142"</f>
        <v>20200111153818142</v>
      </c>
      <c r="B6452" t="str">
        <f>"1578728298139957"</f>
        <v>1578728298139957</v>
      </c>
      <c r="C6452" t="s">
        <v>37</v>
      </c>
      <c r="D6452">
        <v>5.7118659999999997</v>
      </c>
      <c r="E6452">
        <v>0.55924319999999905</v>
      </c>
      <c r="F6452" t="s">
        <v>38</v>
      </c>
      <c r="G6452">
        <v>-139.5634</v>
      </c>
      <c r="H6452">
        <v>0.84540059999999995</v>
      </c>
      <c r="I6452">
        <v>138.67750000000001</v>
      </c>
      <c r="J6452">
        <v>-140.16839999999999</v>
      </c>
      <c r="K6452">
        <v>1.1060540000000001</v>
      </c>
      <c r="L6452">
        <v>138.76669999999999</v>
      </c>
      <c r="M6452">
        <v>0.99795</v>
      </c>
      <c r="N6452">
        <v>0</v>
      </c>
      <c r="O6452">
        <v>5.9629130000000002E-2</v>
      </c>
      <c r="P6452">
        <v>0.99557709999999999</v>
      </c>
      <c r="Q6452">
        <v>5.0708309999999999E-2</v>
      </c>
      <c r="R6452">
        <v>7.9090090000000002E-2</v>
      </c>
      <c r="S6452">
        <v>3.0848390000000001</v>
      </c>
      <c r="T6452">
        <v>-0.94714310000000002</v>
      </c>
      <c r="U6452">
        <v>-0.27095029999999998</v>
      </c>
      <c r="V6452">
        <v>-1.9574370000000001E-2</v>
      </c>
      <c r="W6452">
        <v>7.3899380000000001E-2</v>
      </c>
      <c r="X6452">
        <v>0.99707359999999901</v>
      </c>
      <c r="Y6452">
        <v>0.13772200000000001</v>
      </c>
      <c r="Z6452">
        <v>-3.8501069999999998E-2</v>
      </c>
      <c r="AA6452">
        <v>0.9897224</v>
      </c>
      <c r="AB6452">
        <v>26</v>
      </c>
      <c r="AC6452">
        <v>0.60499999999998899</v>
      </c>
      <c r="AD6452">
        <v>-0.26065339999999998</v>
      </c>
      <c r="AE6452">
        <v>-8.9199999999976798E-2</v>
      </c>
      <c r="AF6452">
        <v>0.10588985068345</v>
      </c>
      <c r="AG6452">
        <v>-0.26065339999999998</v>
      </c>
      <c r="AH6452">
        <v>0.50657454877837405</v>
      </c>
      <c r="AI6452">
        <v>116.73235393605999</v>
      </c>
      <c r="AJ6452">
        <v>78.193398667679602</v>
      </c>
      <c r="AK6452">
        <v>0.57945718468178198</v>
      </c>
    </row>
    <row r="6453" spans="1:37" x14ac:dyDescent="0.2">
      <c r="A6453" t="str">
        <f>"20200111153818165"</f>
        <v>20200111153818165</v>
      </c>
      <c r="B6453" t="str">
        <f>"1578728298159477"</f>
        <v>1578728298159477</v>
      </c>
      <c r="C6453" t="s">
        <v>37</v>
      </c>
      <c r="D6453">
        <v>5.7338500000000003</v>
      </c>
      <c r="E6453">
        <v>0.55946229999999997</v>
      </c>
      <c r="F6453" t="s">
        <v>38</v>
      </c>
      <c r="G6453">
        <v>-139.3305</v>
      </c>
      <c r="H6453">
        <v>0.84873509999999996</v>
      </c>
      <c r="I6453">
        <v>138.6909</v>
      </c>
      <c r="J6453">
        <v>-139.90520000000001</v>
      </c>
      <c r="K6453">
        <v>1.106066</v>
      </c>
      <c r="L6453">
        <v>138.7825</v>
      </c>
      <c r="M6453">
        <v>0.99794020000000005</v>
      </c>
      <c r="N6453">
        <v>0</v>
      </c>
      <c r="O6453">
        <v>5.9691540000000001E-2</v>
      </c>
      <c r="P6453">
        <v>0.99574479999999999</v>
      </c>
      <c r="Q6453">
        <v>5.0014129999999997E-2</v>
      </c>
      <c r="R6453">
        <v>7.7401510000000007E-2</v>
      </c>
      <c r="S6453">
        <v>3.08366399999999</v>
      </c>
      <c r="T6453">
        <v>-0.94702580000000003</v>
      </c>
      <c r="U6453">
        <v>-0.27818300000000001</v>
      </c>
      <c r="V6453">
        <v>-1.7815310000000001E-2</v>
      </c>
      <c r="W6453">
        <v>7.3468069999999996E-2</v>
      </c>
      <c r="X6453">
        <v>0.99713839999999998</v>
      </c>
      <c r="Y6453">
        <v>0.14000960000000001</v>
      </c>
      <c r="Z6453">
        <v>-3.886858E-2</v>
      </c>
      <c r="AA6453">
        <v>0.98938700000000002</v>
      </c>
      <c r="AB6453">
        <v>26</v>
      </c>
      <c r="AC6453">
        <v>0.57470000000000698</v>
      </c>
      <c r="AD6453">
        <v>-0.25733089999999897</v>
      </c>
      <c r="AE6453">
        <v>-9.1599999999999598E-2</v>
      </c>
      <c r="AF6453">
        <v>0.105184407970046</v>
      </c>
      <c r="AG6453">
        <v>-0.25733089999999897</v>
      </c>
      <c r="AH6453">
        <v>0.47527617774634801</v>
      </c>
      <c r="AI6453">
        <v>117.862855422851</v>
      </c>
      <c r="AJ6453">
        <v>77.520889601404306</v>
      </c>
      <c r="AK6453">
        <v>0.55060911444326499</v>
      </c>
    </row>
    <row r="6454" spans="1:37" x14ac:dyDescent="0.2">
      <c r="A6454" t="str">
        <f>"20200111153818187"</f>
        <v>20200111153818187</v>
      </c>
      <c r="B6454" t="str">
        <f>"1578728298179974"</f>
        <v>1578728298179974</v>
      </c>
      <c r="C6454" t="s">
        <v>37</v>
      </c>
      <c r="D6454">
        <v>5.7144779999999997</v>
      </c>
      <c r="E6454">
        <v>0.55962699999999999</v>
      </c>
      <c r="F6454" t="s">
        <v>38</v>
      </c>
      <c r="G6454">
        <v>-139.09739999999999</v>
      </c>
      <c r="H6454">
        <v>0.85784570000000004</v>
      </c>
      <c r="I6454">
        <v>138.708</v>
      </c>
      <c r="J6454">
        <v>-139.6482</v>
      </c>
      <c r="K6454">
        <v>1.10608</v>
      </c>
      <c r="L6454">
        <v>138.7979</v>
      </c>
      <c r="M6454">
        <v>0.99793120000000002</v>
      </c>
      <c r="N6454">
        <v>0</v>
      </c>
      <c r="O6454">
        <v>5.9752899999999998E-2</v>
      </c>
      <c r="P6454">
        <v>0.99582420000000005</v>
      </c>
      <c r="Q6454">
        <v>4.9919239999999997E-2</v>
      </c>
      <c r="R6454">
        <v>7.6434630000000003E-2</v>
      </c>
      <c r="S6454">
        <v>3.0824739999999999</v>
      </c>
      <c r="T6454">
        <v>-0.94725130000000002</v>
      </c>
      <c r="U6454">
        <v>-0.28399659999999999</v>
      </c>
      <c r="V6454">
        <v>-1.6783349999999999E-2</v>
      </c>
      <c r="W6454">
        <v>7.3601699999999895E-2</v>
      </c>
      <c r="X6454">
        <v>0.99714650000000005</v>
      </c>
      <c r="Y6454">
        <v>0.14185819999999999</v>
      </c>
      <c r="Z6454">
        <v>-3.9184450000000003E-2</v>
      </c>
      <c r="AA6454">
        <v>0.98911109999999902</v>
      </c>
      <c r="AB6454">
        <v>26</v>
      </c>
      <c r="AC6454">
        <v>0.55080000000000895</v>
      </c>
      <c r="AD6454">
        <v>-0.24823429999999899</v>
      </c>
      <c r="AE6454">
        <v>-8.9899999999999994E-2</v>
      </c>
      <c r="AF6454">
        <v>0.102401219785482</v>
      </c>
      <c r="AG6454">
        <v>-0.24823429999999899</v>
      </c>
      <c r="AH6454">
        <v>0.45451917760884802</v>
      </c>
      <c r="AI6454">
        <v>118.04836128593401</v>
      </c>
      <c r="AJ6454">
        <v>77.303491125475006</v>
      </c>
      <c r="AK6454">
        <v>0.52791472826988595</v>
      </c>
    </row>
    <row r="6455" spans="1:37" x14ac:dyDescent="0.2">
      <c r="A6455" t="str">
        <f>"20200111153818209"</f>
        <v>20200111153818209</v>
      </c>
      <c r="B6455" t="str">
        <f>"1578728298199493"</f>
        <v>1578728298199493</v>
      </c>
      <c r="C6455" t="s">
        <v>37</v>
      </c>
      <c r="D6455">
        <v>5.6866820000000002</v>
      </c>
      <c r="E6455">
        <v>0.55979119999999905</v>
      </c>
      <c r="F6455" t="s">
        <v>38</v>
      </c>
      <c r="G6455">
        <v>-138.8664</v>
      </c>
      <c r="H6455">
        <v>0.86644049999999995</v>
      </c>
      <c r="I6455">
        <v>138.72460000000001</v>
      </c>
      <c r="J6455">
        <v>-139.40110000000001</v>
      </c>
      <c r="K6455">
        <v>1.1060909999999999</v>
      </c>
      <c r="L6455">
        <v>138.81280000000001</v>
      </c>
      <c r="M6455">
        <v>0.997923</v>
      </c>
      <c r="N6455">
        <v>0</v>
      </c>
      <c r="O6455">
        <v>5.9812230000000001E-2</v>
      </c>
      <c r="P6455">
        <v>0.99589819999999996</v>
      </c>
      <c r="Q6455">
        <v>4.9606329999999997E-2</v>
      </c>
      <c r="R6455">
        <v>7.5671279999999994E-2</v>
      </c>
      <c r="S6455">
        <v>3.0820919999999998</v>
      </c>
      <c r="T6455">
        <v>-0.94470019999999999</v>
      </c>
      <c r="U6455">
        <v>-0.28860469999999999</v>
      </c>
      <c r="V6455">
        <v>-1.5957579999999999E-2</v>
      </c>
      <c r="W6455">
        <v>7.3483770000000004E-2</v>
      </c>
      <c r="X6455">
        <v>0.99716870000000002</v>
      </c>
      <c r="Y6455">
        <v>0.14337059999999999</v>
      </c>
      <c r="Z6455">
        <v>-3.9329759999999998E-2</v>
      </c>
      <c r="AA6455">
        <v>0.98888729999999903</v>
      </c>
      <c r="AB6455">
        <v>26</v>
      </c>
      <c r="AC6455">
        <v>0.53470000000001505</v>
      </c>
      <c r="AD6455">
        <v>-0.23965049999999899</v>
      </c>
      <c r="AE6455">
        <v>-8.82000000000005E-2</v>
      </c>
      <c r="AF6455">
        <v>0.100398869870962</v>
      </c>
      <c r="AG6455">
        <v>-0.23965049999999899</v>
      </c>
      <c r="AH6455">
        <v>0.44202359320120599</v>
      </c>
      <c r="AI6455">
        <v>117.86542600044299</v>
      </c>
      <c r="AJ6455">
        <v>77.203257361512698</v>
      </c>
      <c r="AK6455">
        <v>0.51273497263998102</v>
      </c>
    </row>
    <row r="6456" spans="1:37" x14ac:dyDescent="0.2">
      <c r="A6456" t="str">
        <f>"20200111153818232"</f>
        <v>20200111153818232</v>
      </c>
      <c r="B6456" t="str">
        <f>"1578728298229748"</f>
        <v>1578728298229748</v>
      </c>
      <c r="C6456" t="s">
        <v>37</v>
      </c>
      <c r="D6456">
        <v>5.6671820000000004</v>
      </c>
      <c r="E6456">
        <v>0.55991340000000001</v>
      </c>
      <c r="F6456" t="s">
        <v>38</v>
      </c>
      <c r="G6456">
        <v>-138.63829999999999</v>
      </c>
      <c r="H6456">
        <v>0.87261699999999998</v>
      </c>
      <c r="I6456">
        <v>138.74019999999999</v>
      </c>
      <c r="J6456">
        <v>-139.14959999999999</v>
      </c>
      <c r="K6456">
        <v>1.1061019999999999</v>
      </c>
      <c r="L6456">
        <v>138.8279</v>
      </c>
      <c r="M6456">
        <v>0.997915</v>
      </c>
      <c r="N6456">
        <v>0</v>
      </c>
      <c r="O6456">
        <v>5.9873219999999998E-2</v>
      </c>
      <c r="P6456">
        <v>0.99599749999999998</v>
      </c>
      <c r="Q6456">
        <v>4.8674240000000001E-2</v>
      </c>
      <c r="R6456">
        <v>7.4964779999999995E-2</v>
      </c>
      <c r="S6456">
        <v>3.0815890000000001</v>
      </c>
      <c r="T6456">
        <v>-0.94322669999999997</v>
      </c>
      <c r="U6456">
        <v>-0.29283140000000002</v>
      </c>
      <c r="V6456">
        <v>-1.5184329999999999E-2</v>
      </c>
      <c r="W6456">
        <v>7.2727139999999996E-2</v>
      </c>
      <c r="X6456">
        <v>0.99723629999999996</v>
      </c>
      <c r="Y6456">
        <v>0.14475150000000001</v>
      </c>
      <c r="Z6456">
        <v>-3.9499489999999998E-2</v>
      </c>
      <c r="AA6456">
        <v>0.98867929999999904</v>
      </c>
      <c r="AB6456">
        <v>25</v>
      </c>
      <c r="AC6456">
        <v>0.51130000000000497</v>
      </c>
      <c r="AD6456">
        <v>-0.233485</v>
      </c>
      <c r="AE6456">
        <v>-8.7700000000012296E-2</v>
      </c>
      <c r="AF6456">
        <v>9.8260154477516196E-2</v>
      </c>
      <c r="AG6456">
        <v>-0.233485</v>
      </c>
      <c r="AH6456">
        <v>0.42004213724112199</v>
      </c>
      <c r="AI6456">
        <v>118.42441395258599</v>
      </c>
      <c r="AJ6456">
        <v>76.833599802068804</v>
      </c>
      <c r="AK6456">
        <v>0.49051574922833502</v>
      </c>
    </row>
    <row r="6457" spans="1:37" x14ac:dyDescent="0.2">
      <c r="A6457" t="str">
        <f>"20200111153818254"</f>
        <v>20200111153818254</v>
      </c>
      <c r="B6457" t="str">
        <f>"1578728298249272"</f>
        <v>1578728298249272</v>
      </c>
      <c r="C6457" t="s">
        <v>37</v>
      </c>
      <c r="D6457">
        <v>5.6328440000000004</v>
      </c>
      <c r="E6457">
        <v>0.55990530000000005</v>
      </c>
      <c r="F6457" t="s">
        <v>38</v>
      </c>
      <c r="G6457">
        <v>-138.4119</v>
      </c>
      <c r="H6457">
        <v>0.87998469999999995</v>
      </c>
      <c r="I6457">
        <v>138.75739999999999</v>
      </c>
      <c r="J6457">
        <v>-138.9014</v>
      </c>
      <c r="K6457">
        <v>1.1061080000000001</v>
      </c>
      <c r="L6457">
        <v>138.84289999999999</v>
      </c>
      <c r="M6457">
        <v>0.99790789999999996</v>
      </c>
      <c r="N6457">
        <v>0</v>
      </c>
      <c r="O6457">
        <v>5.9933210000000001E-2</v>
      </c>
      <c r="P6457">
        <v>0.99622330000000003</v>
      </c>
      <c r="Q6457">
        <v>4.5770720000000001E-2</v>
      </c>
      <c r="R6457">
        <v>7.378622E-2</v>
      </c>
      <c r="S6457">
        <v>3.0803379999999998</v>
      </c>
      <c r="T6457">
        <v>-0.94409599999999905</v>
      </c>
      <c r="U6457">
        <v>-0.29426570000000002</v>
      </c>
      <c r="V6457">
        <v>-1.393407E-2</v>
      </c>
      <c r="W6457">
        <v>6.9977570000000003E-2</v>
      </c>
      <c r="X6457">
        <v>0.99745119999999898</v>
      </c>
      <c r="Y6457">
        <v>0.14525569999999999</v>
      </c>
      <c r="Z6457">
        <v>-3.9642219999999999E-2</v>
      </c>
      <c r="AA6457">
        <v>0.98859969999999997</v>
      </c>
      <c r="AB6457">
        <v>25</v>
      </c>
      <c r="AC6457">
        <v>0.489499999999992</v>
      </c>
      <c r="AD6457">
        <v>-0.2261233</v>
      </c>
      <c r="AE6457">
        <v>-8.5499999999996107E-2</v>
      </c>
      <c r="AF6457">
        <v>9.5016368768986698E-2</v>
      </c>
      <c r="AG6457">
        <v>-0.2261233</v>
      </c>
      <c r="AH6457">
        <v>0.40054896786655397</v>
      </c>
      <c r="AI6457">
        <v>118.779568868946</v>
      </c>
      <c r="AJ6457">
        <v>76.655220263773103</v>
      </c>
      <c r="AK6457">
        <v>0.46968003235808897</v>
      </c>
    </row>
    <row r="6458" spans="1:37" x14ac:dyDescent="0.2">
      <c r="A6458" t="str">
        <f>"20200111153818277"</f>
        <v>20200111153818277</v>
      </c>
      <c r="B6458" t="str">
        <f>"1578728298269765"</f>
        <v>1578728298269765</v>
      </c>
      <c r="C6458" t="s">
        <v>37</v>
      </c>
      <c r="D6458">
        <v>5.6154760000000001</v>
      </c>
      <c r="E6458">
        <v>0.55986999999999998</v>
      </c>
      <c r="F6458" t="s">
        <v>38</v>
      </c>
      <c r="G6458">
        <v>-138.18809999999999</v>
      </c>
      <c r="H6458">
        <v>0.88558819999999905</v>
      </c>
      <c r="I6458">
        <v>138.77369999999999</v>
      </c>
      <c r="J6458">
        <v>-138.6498</v>
      </c>
      <c r="K6458">
        <v>1.106115</v>
      </c>
      <c r="L6458">
        <v>138.85810000000001</v>
      </c>
      <c r="M6458">
        <v>0.99790100000000004</v>
      </c>
      <c r="N6458">
        <v>0</v>
      </c>
      <c r="O6458">
        <v>5.9994430000000001E-2</v>
      </c>
      <c r="P6458">
        <v>0.99634889999999998</v>
      </c>
      <c r="Q6458">
        <v>4.2894259999999997E-2</v>
      </c>
      <c r="R6458">
        <v>7.3819049999999997E-2</v>
      </c>
      <c r="S6458">
        <v>3.07714799999999</v>
      </c>
      <c r="T6458">
        <v>-0.95133969999999901</v>
      </c>
      <c r="U6458">
        <v>-0.29792790000000002</v>
      </c>
      <c r="V6458">
        <v>-1.3897700000000001E-2</v>
      </c>
      <c r="W6458">
        <v>6.7236509999999999E-2</v>
      </c>
      <c r="X6458">
        <v>0.99764030000000004</v>
      </c>
      <c r="Y6458">
        <v>0.146366</v>
      </c>
      <c r="Z6458">
        <v>-4.0156249999999998E-2</v>
      </c>
      <c r="AA6458">
        <v>0.98841509999999999</v>
      </c>
      <c r="AB6458">
        <v>25</v>
      </c>
      <c r="AC6458">
        <v>0.46170000000000699</v>
      </c>
      <c r="AD6458">
        <v>-0.2205268</v>
      </c>
      <c r="AE6458">
        <v>-8.4400000000016406E-2</v>
      </c>
      <c r="AF6458">
        <v>9.1709437274458905E-2</v>
      </c>
      <c r="AG6458">
        <v>-0.2205268</v>
      </c>
      <c r="AH6458">
        <v>0.37337516756991801</v>
      </c>
      <c r="AI6458">
        <v>119.837794748595</v>
      </c>
      <c r="AJ6458">
        <v>76.200043420559595</v>
      </c>
      <c r="AK6458">
        <v>0.44322872894398702</v>
      </c>
    </row>
    <row r="6459" spans="1:37" x14ac:dyDescent="0.2">
      <c r="A6459" t="str">
        <f>"20200111153818300"</f>
        <v>20200111153818300</v>
      </c>
      <c r="B6459" t="str">
        <f>"1578728298289284"</f>
        <v>1578728298289284</v>
      </c>
      <c r="C6459" t="s">
        <v>37</v>
      </c>
      <c r="D6459">
        <v>5.6018540000000003</v>
      </c>
      <c r="E6459">
        <v>0.55985269999999898</v>
      </c>
      <c r="F6459" t="s">
        <v>38</v>
      </c>
      <c r="G6459">
        <v>-137.9657</v>
      </c>
      <c r="H6459">
        <v>0.89301929999999996</v>
      </c>
      <c r="I6459">
        <v>138.7911</v>
      </c>
      <c r="J6459">
        <v>-138.40899999999999</v>
      </c>
      <c r="K6459">
        <v>1.1061319999999999</v>
      </c>
      <c r="L6459">
        <v>138.87260000000001</v>
      </c>
      <c r="M6459">
        <v>0.99789490000000003</v>
      </c>
      <c r="N6459">
        <v>0</v>
      </c>
      <c r="O6459">
        <v>6.0053309999999999E-2</v>
      </c>
      <c r="P6459">
        <v>0.99639959999999905</v>
      </c>
      <c r="Q6459">
        <v>4.1664119999999999E-2</v>
      </c>
      <c r="R6459">
        <v>7.3838490000000007E-2</v>
      </c>
      <c r="S6459">
        <v>3.0745089999999999</v>
      </c>
      <c r="T6459">
        <v>-0.95757519999999996</v>
      </c>
      <c r="U6459">
        <v>-0.30081180000000002</v>
      </c>
      <c r="V6459">
        <v>-1.3854490000000001E-2</v>
      </c>
      <c r="W6459">
        <v>6.6116999999999995E-2</v>
      </c>
      <c r="X6459">
        <v>0.99771569999999898</v>
      </c>
      <c r="Y6459">
        <v>0.14724209999999999</v>
      </c>
      <c r="Z6459">
        <v>-4.0589979999999998E-2</v>
      </c>
      <c r="AA6459">
        <v>0.98826729999999996</v>
      </c>
      <c r="AB6459">
        <v>25</v>
      </c>
      <c r="AC6459">
        <v>0.44329999999999298</v>
      </c>
      <c r="AD6459">
        <v>-0.21311269999999899</v>
      </c>
      <c r="AE6459">
        <v>-8.1500000000005401E-2</v>
      </c>
      <c r="AF6459">
        <v>8.8252945645977895E-2</v>
      </c>
      <c r="AG6459">
        <v>-0.21311269999999899</v>
      </c>
      <c r="AH6459">
        <v>0.35764900210479</v>
      </c>
      <c r="AI6459">
        <v>120.05017162209499</v>
      </c>
      <c r="AJ6459">
        <v>76.138686554550105</v>
      </c>
      <c r="AK6459">
        <v>0.42558009119675</v>
      </c>
    </row>
    <row r="6460" spans="1:37" x14ac:dyDescent="0.2">
      <c r="A6460" t="str">
        <f>"20200111153818324"</f>
        <v>20200111153818324</v>
      </c>
      <c r="B6460" t="str">
        <f>"1578728298319541"</f>
        <v>1578728298319541</v>
      </c>
      <c r="C6460" t="s">
        <v>37</v>
      </c>
      <c r="D6460">
        <v>5.5834359999999998</v>
      </c>
      <c r="E6460">
        <v>0.55987140000000002</v>
      </c>
      <c r="F6460" t="s">
        <v>38</v>
      </c>
      <c r="G6460">
        <v>-137.7458</v>
      </c>
      <c r="H6460">
        <v>0.89891480000000001</v>
      </c>
      <c r="I6460">
        <v>138.80760000000001</v>
      </c>
      <c r="J6460">
        <v>-138.14580000000001</v>
      </c>
      <c r="K6460">
        <v>1.1061399999999999</v>
      </c>
      <c r="L6460">
        <v>138.88849999999999</v>
      </c>
      <c r="M6460">
        <v>0.99788920000000003</v>
      </c>
      <c r="N6460">
        <v>0</v>
      </c>
      <c r="O6460">
        <v>6.0118339999999999E-2</v>
      </c>
      <c r="P6460">
        <v>0.99645819999999996</v>
      </c>
      <c r="Q6460">
        <v>4.1471069999999999E-2</v>
      </c>
      <c r="R6460">
        <v>7.3155780000000004E-2</v>
      </c>
      <c r="S6460">
        <v>3.073318</v>
      </c>
      <c r="T6460">
        <v>-0.96019509999999897</v>
      </c>
      <c r="U6460">
        <v>-0.30099490000000001</v>
      </c>
      <c r="V6460">
        <v>-1.3104340000000001E-2</v>
      </c>
      <c r="W6460">
        <v>6.5995209999999999E-2</v>
      </c>
      <c r="X6460">
        <v>0.99773389999999995</v>
      </c>
      <c r="Y6460">
        <v>0.14733499999999999</v>
      </c>
      <c r="Z6460">
        <v>-4.0744879999999997E-2</v>
      </c>
      <c r="AA6460">
        <v>0.98824699999999999</v>
      </c>
      <c r="AB6460">
        <v>25</v>
      </c>
      <c r="AC6460">
        <v>0.40000000000000502</v>
      </c>
      <c r="AD6460">
        <v>-0.207225199999999</v>
      </c>
      <c r="AE6460">
        <v>-8.0899999999985497E-2</v>
      </c>
      <c r="AF6460">
        <v>8.3323783675780902E-2</v>
      </c>
      <c r="AG6460">
        <v>-0.207225199999999</v>
      </c>
      <c r="AH6460">
        <v>0.313561604994263</v>
      </c>
      <c r="AI6460">
        <v>122.56674609055101</v>
      </c>
      <c r="AJ6460">
        <v>75.118517947225101</v>
      </c>
      <c r="AK6460">
        <v>0.38497534540236</v>
      </c>
    </row>
    <row r="6461" spans="1:37" x14ac:dyDescent="0.2">
      <c r="A6461" t="str">
        <f>"20200111153818344"</f>
        <v>20200111153818344</v>
      </c>
      <c r="B6461" t="str">
        <f>"1578728298340037"</f>
        <v>1578728298340037</v>
      </c>
      <c r="C6461" t="s">
        <v>37</v>
      </c>
      <c r="D6461">
        <v>5.5653100000000002</v>
      </c>
      <c r="E6461">
        <v>0.55977670000000002</v>
      </c>
      <c r="F6461" t="s">
        <v>38</v>
      </c>
      <c r="G6461">
        <v>-137.334</v>
      </c>
      <c r="H6461">
        <v>0.85284789999999899</v>
      </c>
      <c r="I6461">
        <v>138.80889999999999</v>
      </c>
      <c r="J6461">
        <v>-137.9299</v>
      </c>
      <c r="K6461">
        <v>1.1061449999999999</v>
      </c>
      <c r="L6461">
        <v>138.9016</v>
      </c>
      <c r="M6461">
        <v>0.99788500000000002</v>
      </c>
      <c r="N6461">
        <v>0</v>
      </c>
      <c r="O6461">
        <v>6.017219E-2</v>
      </c>
      <c r="P6461">
        <v>0.99658080000000004</v>
      </c>
      <c r="Q6461">
        <v>4.130619E-2</v>
      </c>
      <c r="R6461">
        <v>7.1557350000000006E-2</v>
      </c>
      <c r="S6461">
        <v>3.0726779999999998</v>
      </c>
      <c r="T6461">
        <v>-0.95874999999999999</v>
      </c>
      <c r="U6461">
        <v>-0.30126950000000002</v>
      </c>
      <c r="V6461">
        <v>-1.144737E-2</v>
      </c>
      <c r="W6461">
        <v>6.586293E-2</v>
      </c>
      <c r="X6461">
        <v>0.99776299999999996</v>
      </c>
      <c r="Y6461">
        <v>0.14751</v>
      </c>
      <c r="Z6461">
        <v>-4.0737259999999997E-2</v>
      </c>
      <c r="AA6461">
        <v>0.98822129999999997</v>
      </c>
      <c r="AB6461">
        <v>24</v>
      </c>
      <c r="AC6461">
        <v>0.59589999999999999</v>
      </c>
      <c r="AD6461">
        <v>-0.2532971</v>
      </c>
      <c r="AE6461">
        <v>-9.2700000000007707E-2</v>
      </c>
      <c r="AF6461">
        <v>0.10914488008841</v>
      </c>
      <c r="AG6461">
        <v>-0.2532971</v>
      </c>
      <c r="AH6461">
        <v>0.50087874263788301</v>
      </c>
      <c r="AI6461">
        <v>116.29445913745</v>
      </c>
      <c r="AJ6461">
        <v>77.707026833088705</v>
      </c>
      <c r="AK6461">
        <v>0.57179676506992405</v>
      </c>
    </row>
    <row r="6462" spans="1:37" x14ac:dyDescent="0.2">
      <c r="A6462" t="str">
        <f>"20200111153818367"</f>
        <v>20200111153818367</v>
      </c>
      <c r="B6462" t="str">
        <f>"1578728298359557"</f>
        <v>1578728298359557</v>
      </c>
      <c r="C6462" t="s">
        <v>37</v>
      </c>
      <c r="D6462">
        <v>5.6084069999999997</v>
      </c>
      <c r="E6462">
        <v>0.5596563</v>
      </c>
      <c r="F6462" t="s">
        <v>38</v>
      </c>
      <c r="G6462">
        <v>-137.1217</v>
      </c>
      <c r="H6462">
        <v>0.85361599999999904</v>
      </c>
      <c r="I6462">
        <v>138.822</v>
      </c>
      <c r="J6462">
        <v>-137.68629999999999</v>
      </c>
      <c r="K6462">
        <v>1.1061449999999999</v>
      </c>
      <c r="L6462">
        <v>138.91630000000001</v>
      </c>
      <c r="M6462">
        <v>0.99788120000000002</v>
      </c>
      <c r="N6462">
        <v>0</v>
      </c>
      <c r="O6462">
        <v>6.0232430000000003E-2</v>
      </c>
      <c r="P6462">
        <v>0.99673519999999904</v>
      </c>
      <c r="Q6462">
        <v>4.0796270000000003E-2</v>
      </c>
      <c r="R6462">
        <v>6.967777E-2</v>
      </c>
      <c r="S6462">
        <v>3.0718079999999999</v>
      </c>
      <c r="T6462">
        <v>-0.95991499999999996</v>
      </c>
      <c r="U6462">
        <v>-0.30241390000000001</v>
      </c>
      <c r="V6462">
        <v>-9.5012789999999996E-3</v>
      </c>
      <c r="W6462">
        <v>6.5367620000000001E-2</v>
      </c>
      <c r="X6462">
        <v>0.99781600000000004</v>
      </c>
      <c r="Y6462">
        <v>0.1479113</v>
      </c>
      <c r="Z6462">
        <v>-4.0874300000000002E-2</v>
      </c>
      <c r="AA6462">
        <v>0.98815560000000002</v>
      </c>
      <c r="AB6462">
        <v>24</v>
      </c>
      <c r="AC6462">
        <v>0.564599999999984</v>
      </c>
      <c r="AD6462">
        <v>-0.252529</v>
      </c>
      <c r="AE6462">
        <v>-9.4300000000004006E-2</v>
      </c>
      <c r="AF6462">
        <v>0.107269264771615</v>
      </c>
      <c r="AG6462">
        <v>-0.252529</v>
      </c>
      <c r="AH6462">
        <v>0.46700354615555401</v>
      </c>
      <c r="AI6462">
        <v>117.79008163386899</v>
      </c>
      <c r="AJ6462">
        <v>77.063730646768505</v>
      </c>
      <c r="AK6462">
        <v>0.54163631998556505</v>
      </c>
    </row>
    <row r="6463" spans="1:37" x14ac:dyDescent="0.2">
      <c r="A6463" t="str">
        <f>"20200111153818391"</f>
        <v>20200111153818391</v>
      </c>
      <c r="B6463" t="str">
        <f>"1578728298380053"</f>
        <v>1578728298380053</v>
      </c>
      <c r="C6463" t="s">
        <v>37</v>
      </c>
      <c r="D6463">
        <v>5.5677560000000001</v>
      </c>
      <c r="E6463">
        <v>0.55957969999999901</v>
      </c>
      <c r="F6463" t="s">
        <v>38</v>
      </c>
      <c r="G6463">
        <v>-136.9083</v>
      </c>
      <c r="H6463">
        <v>0.86226329999999995</v>
      </c>
      <c r="I6463">
        <v>138.83940000000001</v>
      </c>
      <c r="J6463">
        <v>-137.4366</v>
      </c>
      <c r="K6463">
        <v>1.106144</v>
      </c>
      <c r="L6463">
        <v>138.9315</v>
      </c>
      <c r="M6463">
        <v>0.99787739999999903</v>
      </c>
      <c r="N6463">
        <v>0</v>
      </c>
      <c r="O6463">
        <v>6.0294349999999997E-2</v>
      </c>
      <c r="P6463">
        <v>0.99687459999999894</v>
      </c>
      <c r="Q6463">
        <v>4.0249149999999997E-2</v>
      </c>
      <c r="R6463">
        <v>6.7981E-2</v>
      </c>
      <c r="S6463">
        <v>3.0704189999999998</v>
      </c>
      <c r="T6463">
        <v>-0.96244879999999999</v>
      </c>
      <c r="U6463">
        <v>-0.30334470000000002</v>
      </c>
      <c r="V6463">
        <v>-7.7372909999999899E-3</v>
      </c>
      <c r="W6463">
        <v>6.4819950000000001E-2</v>
      </c>
      <c r="X6463">
        <v>0.99786699999999995</v>
      </c>
      <c r="Y6463">
        <v>0.14823510000000001</v>
      </c>
      <c r="Z6463">
        <v>-4.1062759999999997E-2</v>
      </c>
      <c r="AA6463">
        <v>0.98809930000000001</v>
      </c>
      <c r="AB6463">
        <v>24</v>
      </c>
      <c r="AC6463">
        <v>0.52830000000000099</v>
      </c>
      <c r="AD6463">
        <v>-0.24388070000000001</v>
      </c>
      <c r="AE6463">
        <v>-9.2099999999987803E-2</v>
      </c>
      <c r="AF6463">
        <v>0.10257996235141</v>
      </c>
      <c r="AG6463">
        <v>-0.24388070000000001</v>
      </c>
      <c r="AH6463">
        <v>0.43236251704196199</v>
      </c>
      <c r="AI6463">
        <v>118.759302738372</v>
      </c>
      <c r="AJ6463">
        <v>76.653096152793594</v>
      </c>
      <c r="AK6463">
        <v>0.50689031422129904</v>
      </c>
    </row>
    <row r="6464" spans="1:37" x14ac:dyDescent="0.2">
      <c r="A6464" t="str">
        <f>"20200111153818410"</f>
        <v>20200111153818410</v>
      </c>
      <c r="B6464" t="str">
        <f>"1578728298399573"</f>
        <v>1578728298399573</v>
      </c>
      <c r="C6464" t="s">
        <v>37</v>
      </c>
      <c r="D6464">
        <v>5.5562009999999997</v>
      </c>
      <c r="E6464">
        <v>0.55947209999999903</v>
      </c>
      <c r="F6464" t="s">
        <v>38</v>
      </c>
      <c r="G6464">
        <v>-136.69569999999999</v>
      </c>
      <c r="H6464">
        <v>0.87334120000000004</v>
      </c>
      <c r="I6464">
        <v>138.85740000000001</v>
      </c>
      <c r="J6464">
        <v>-137.2319</v>
      </c>
      <c r="K6464">
        <v>1.1061449999999999</v>
      </c>
      <c r="L6464">
        <v>138.94390000000001</v>
      </c>
      <c r="M6464">
        <v>0.99787459999999994</v>
      </c>
      <c r="N6464">
        <v>0</v>
      </c>
      <c r="O6464">
        <v>6.0345280000000001E-2</v>
      </c>
      <c r="P6464">
        <v>0.99699439999999995</v>
      </c>
      <c r="Q6464">
        <v>3.9964270000000003E-2</v>
      </c>
      <c r="R6464">
        <v>6.6370670000000007E-2</v>
      </c>
      <c r="S6464">
        <v>3.0692439999999999</v>
      </c>
      <c r="T6464">
        <v>-0.96432530000000005</v>
      </c>
      <c r="U6464">
        <v>-0.3064423</v>
      </c>
      <c r="V6464">
        <v>-6.0710750000000004E-3</v>
      </c>
      <c r="W6464">
        <v>6.4527299999999996E-2</v>
      </c>
      <c r="X6464">
        <v>0.99789740000000005</v>
      </c>
      <c r="Y6464">
        <v>0.1492164</v>
      </c>
      <c r="Z6464">
        <v>-4.1318130000000002E-2</v>
      </c>
      <c r="AA6464">
        <v>0.98794090000000001</v>
      </c>
      <c r="AB6464">
        <v>24</v>
      </c>
      <c r="AC6464">
        <v>0.536200000000008</v>
      </c>
      <c r="AD6464">
        <v>-0.23280380000000001</v>
      </c>
      <c r="AE6464">
        <v>-8.6500000000000896E-2</v>
      </c>
      <c r="AF6464">
        <v>0.10028441122163601</v>
      </c>
      <c r="AG6464">
        <v>-0.23280380000000001</v>
      </c>
      <c r="AH6464">
        <v>0.44773968135977499</v>
      </c>
      <c r="AI6464">
        <v>116.902432905563</v>
      </c>
      <c r="AJ6464">
        <v>77.375293602169293</v>
      </c>
      <c r="AK6464">
        <v>0.51451471766380297</v>
      </c>
    </row>
    <row r="6465" spans="1:37" x14ac:dyDescent="0.2">
      <c r="A6465" t="str">
        <f>"20200111153818434"</f>
        <v>20200111153818434</v>
      </c>
      <c r="B6465" t="str">
        <f>"1578728298429830"</f>
        <v>1578728298429830</v>
      </c>
      <c r="C6465" t="s">
        <v>37</v>
      </c>
      <c r="D6465">
        <v>5.5528230000000001</v>
      </c>
      <c r="E6465">
        <v>0.55928809999999995</v>
      </c>
      <c r="F6465" t="s">
        <v>38</v>
      </c>
      <c r="G6465">
        <v>-136.48939999999999</v>
      </c>
      <c r="H6465">
        <v>0.87277070000000001</v>
      </c>
      <c r="I6465">
        <v>138.86869999999999</v>
      </c>
      <c r="J6465">
        <v>-136.9845</v>
      </c>
      <c r="K6465">
        <v>1.1061449999999999</v>
      </c>
      <c r="L6465">
        <v>138.9589</v>
      </c>
      <c r="M6465">
        <v>0.99787150000000002</v>
      </c>
      <c r="N6465">
        <v>0</v>
      </c>
      <c r="O6465">
        <v>6.0406849999999998E-2</v>
      </c>
      <c r="P6465">
        <v>0.99709020000000004</v>
      </c>
      <c r="Q6465">
        <v>3.8785779999999999E-2</v>
      </c>
      <c r="R6465">
        <v>6.5628779999999998E-2</v>
      </c>
      <c r="S6465">
        <v>3.06839</v>
      </c>
      <c r="T6465">
        <v>-0.96434470000000005</v>
      </c>
      <c r="U6465">
        <v>-0.31079099999999998</v>
      </c>
      <c r="V6465">
        <v>-5.2630359999999996E-3</v>
      </c>
      <c r="W6465">
        <v>6.3324809999999995E-2</v>
      </c>
      <c r="X6465">
        <v>0.99797909999999901</v>
      </c>
      <c r="Y6465">
        <v>0.15061629999999901</v>
      </c>
      <c r="Z6465">
        <v>-4.1560449999999999E-2</v>
      </c>
      <c r="AA6465">
        <v>0.98771830000000005</v>
      </c>
      <c r="AB6465">
        <v>23</v>
      </c>
      <c r="AC6465">
        <v>0.49510000000000698</v>
      </c>
      <c r="AD6465">
        <v>-0.23337430000000001</v>
      </c>
      <c r="AE6465">
        <v>-9.0200000000009994E-2</v>
      </c>
      <c r="AF6465">
        <v>9.8721570604726999E-2</v>
      </c>
      <c r="AG6465">
        <v>-0.23337430000000001</v>
      </c>
      <c r="AH6465">
        <v>0.40224270118330202</v>
      </c>
      <c r="AI6465">
        <v>119.399560955071</v>
      </c>
      <c r="AJ6465">
        <v>76.210574487347003</v>
      </c>
      <c r="AK6465">
        <v>0.47540372638252798</v>
      </c>
    </row>
    <row r="6466" spans="1:37" x14ac:dyDescent="0.2">
      <c r="A6466" t="str">
        <f>"20200111153818456"</f>
        <v>20200111153818456</v>
      </c>
      <c r="B6466" t="str">
        <f>"1578728298449348"</f>
        <v>1578728298449348</v>
      </c>
      <c r="C6466" t="s">
        <v>37</v>
      </c>
      <c r="D6466">
        <v>5.5779360000000002</v>
      </c>
      <c r="E6466">
        <v>0.55912539999999999</v>
      </c>
      <c r="F6466" t="s">
        <v>38</v>
      </c>
      <c r="G6466">
        <v>-136.28030000000001</v>
      </c>
      <c r="H6466">
        <v>0.8843337</v>
      </c>
      <c r="I6466">
        <v>138.8871</v>
      </c>
      <c r="J6466">
        <v>-136.7672</v>
      </c>
      <c r="K6466">
        <v>1.106139</v>
      </c>
      <c r="L6466">
        <v>138.97219999999999</v>
      </c>
      <c r="M6466">
        <v>0.99786949999999996</v>
      </c>
      <c r="N6466">
        <v>0</v>
      </c>
      <c r="O6466">
        <v>6.046112E-2</v>
      </c>
      <c r="P6466">
        <v>0.99723039999999996</v>
      </c>
      <c r="Q6466">
        <v>3.6390289999999999E-2</v>
      </c>
      <c r="R6466">
        <v>6.4864260000000007E-2</v>
      </c>
      <c r="S6466">
        <v>3.06691</v>
      </c>
      <c r="T6466">
        <v>-0.96611749999999996</v>
      </c>
      <c r="U6466">
        <v>-0.3125</v>
      </c>
      <c r="V6466">
        <v>-4.4371189999999998E-3</v>
      </c>
      <c r="W6466">
        <v>6.0878109999999999E-2</v>
      </c>
      <c r="X6466">
        <v>0.99813529999999995</v>
      </c>
      <c r="Y6466">
        <v>0.15118719999999999</v>
      </c>
      <c r="Z6466">
        <v>-4.1755639999999997E-2</v>
      </c>
      <c r="AA6466">
        <v>0.98762289999999997</v>
      </c>
      <c r="AB6466">
        <v>23</v>
      </c>
      <c r="AC6466">
        <v>0.48689999999999101</v>
      </c>
      <c r="AD6466">
        <v>-0.22180529999999901</v>
      </c>
      <c r="AE6466">
        <v>-8.5099999999982801E-2</v>
      </c>
      <c r="AF6466">
        <v>9.5217566053429403E-2</v>
      </c>
      <c r="AG6466">
        <v>-0.22180529999999901</v>
      </c>
      <c r="AH6466">
        <v>0.40026108552255502</v>
      </c>
      <c r="AI6466">
        <v>118.329424621507</v>
      </c>
      <c r="AJ6466">
        <v>76.618704818856003</v>
      </c>
      <c r="AK6466">
        <v>0.46741086056800502</v>
      </c>
    </row>
    <row r="6467" spans="1:37" x14ac:dyDescent="0.2">
      <c r="A6467" t="str">
        <f>"20200111153818478"</f>
        <v>20200111153818478</v>
      </c>
      <c r="B6467" t="str">
        <f>"1578728298469845"</f>
        <v>1578728298469845</v>
      </c>
      <c r="C6467" t="s">
        <v>37</v>
      </c>
      <c r="D6467">
        <v>5.5585940000000003</v>
      </c>
      <c r="E6467">
        <v>0.55895530000000004</v>
      </c>
      <c r="F6467" t="s">
        <v>38</v>
      </c>
      <c r="G6467">
        <v>-136.07650000000001</v>
      </c>
      <c r="H6467">
        <v>0.88703739999999998</v>
      </c>
      <c r="I6467">
        <v>138.90119999999999</v>
      </c>
      <c r="J6467">
        <v>-136.5419</v>
      </c>
      <c r="K6467">
        <v>1.10612</v>
      </c>
      <c r="L6467">
        <v>138.98589999999999</v>
      </c>
      <c r="M6467">
        <v>0.99786839999999999</v>
      </c>
      <c r="N6467">
        <v>0</v>
      </c>
      <c r="O6467">
        <v>6.051716E-2</v>
      </c>
      <c r="P6467">
        <v>0.99735929999999995</v>
      </c>
      <c r="Q6467">
        <v>3.3718049999999999E-2</v>
      </c>
      <c r="R6467">
        <v>6.4324679999999995E-2</v>
      </c>
      <c r="S6467">
        <v>3.06425499999999</v>
      </c>
      <c r="T6467">
        <v>-0.97199429999999998</v>
      </c>
      <c r="U6467">
        <v>-0.31452940000000001</v>
      </c>
      <c r="V6467">
        <v>-3.8342469999999998E-3</v>
      </c>
      <c r="W6467">
        <v>5.8118780000000002E-2</v>
      </c>
      <c r="X6467">
        <v>0.99830229999999998</v>
      </c>
      <c r="Y6467">
        <v>0.15180550000000001</v>
      </c>
      <c r="Z6467">
        <v>-4.2143949999999999E-2</v>
      </c>
      <c r="AA6467">
        <v>0.98751149999999999</v>
      </c>
      <c r="AB6467">
        <v>23</v>
      </c>
      <c r="AC6467">
        <v>0.46539999999998799</v>
      </c>
      <c r="AD6467">
        <v>-0.21908259999999999</v>
      </c>
      <c r="AE6467">
        <v>-8.4699999999997999E-2</v>
      </c>
      <c r="AF6467">
        <v>9.2810603550335005E-2</v>
      </c>
      <c r="AG6467">
        <v>-0.21908259999999999</v>
      </c>
      <c r="AH6467">
        <v>0.37828086214880602</v>
      </c>
      <c r="AI6467">
        <v>119.356510096474</v>
      </c>
      <c r="AJ6467">
        <v>76.214869446132298</v>
      </c>
      <c r="AK6467">
        <v>0.44688634396475002</v>
      </c>
    </row>
    <row r="6468" spans="1:37" x14ac:dyDescent="0.2">
      <c r="A6468" t="str">
        <f>"20200111153818500"</f>
        <v>20200111153818500</v>
      </c>
      <c r="B6468" t="str">
        <f>"1578728298489365"</f>
        <v>1578728298489365</v>
      </c>
      <c r="C6468" t="s">
        <v>37</v>
      </c>
      <c r="D6468">
        <v>5.5550899999999999</v>
      </c>
      <c r="E6468">
        <v>0.55876440000000005</v>
      </c>
      <c r="F6468" t="s">
        <v>38</v>
      </c>
      <c r="G6468">
        <v>-135.8734</v>
      </c>
      <c r="H6468">
        <v>0.89229689999999995</v>
      </c>
      <c r="I6468">
        <v>138.917</v>
      </c>
      <c r="J6468">
        <v>-136.32759999999999</v>
      </c>
      <c r="K6468">
        <v>1.106088</v>
      </c>
      <c r="L6468">
        <v>138.999</v>
      </c>
      <c r="M6468">
        <v>0.99786759999999997</v>
      </c>
      <c r="N6468">
        <v>0</v>
      </c>
      <c r="O6468">
        <v>6.057096E-2</v>
      </c>
      <c r="P6468">
        <v>0.99744920000000004</v>
      </c>
      <c r="Q6468">
        <v>3.0200000000000001E-2</v>
      </c>
      <c r="R6468">
        <v>6.4676330000000004E-2</v>
      </c>
      <c r="S6468">
        <v>3.061356</v>
      </c>
      <c r="T6468">
        <v>-0.97911499999999996</v>
      </c>
      <c r="U6468">
        <v>-0.31503300000000001</v>
      </c>
      <c r="V6468">
        <v>-4.1259440000000003E-3</v>
      </c>
      <c r="W6468">
        <v>5.4498190000000002E-2</v>
      </c>
      <c r="X6468">
        <v>0.99850539999999999</v>
      </c>
      <c r="Y6468">
        <v>0.15193760000000001</v>
      </c>
      <c r="Z6468">
        <v>-4.2513250000000002E-2</v>
      </c>
      <c r="AA6468">
        <v>0.98747529999999994</v>
      </c>
      <c r="AB6468">
        <v>23</v>
      </c>
      <c r="AC6468">
        <v>0.454199999999986</v>
      </c>
      <c r="AD6468">
        <v>-0.21379109999999901</v>
      </c>
      <c r="AE6468">
        <v>-8.1999999999993606E-2</v>
      </c>
      <c r="AF6468">
        <v>9.0047851328123305E-2</v>
      </c>
      <c r="AG6468">
        <v>-0.21379109999999901</v>
      </c>
      <c r="AH6468">
        <v>0.36918392310838699</v>
      </c>
      <c r="AI6468">
        <v>119.36200432671799</v>
      </c>
      <c r="AJ6468">
        <v>76.292600718322902</v>
      </c>
      <c r="AK6468">
        <v>0.43601837008286898</v>
      </c>
    </row>
    <row r="6469" spans="1:37" x14ac:dyDescent="0.2">
      <c r="A6469" t="str">
        <f>"20200111153818522"</f>
        <v>20200111153818522</v>
      </c>
      <c r="B6469" t="str">
        <f>"1578728298519622"</f>
        <v>1578728298519622</v>
      </c>
      <c r="C6469" t="s">
        <v>37</v>
      </c>
      <c r="D6469">
        <v>5.5877049999999997</v>
      </c>
      <c r="E6469">
        <v>0.55848189999999998</v>
      </c>
      <c r="F6469" t="s">
        <v>38</v>
      </c>
      <c r="G6469">
        <v>-135.4973</v>
      </c>
      <c r="H6469">
        <v>0.83765029999999996</v>
      </c>
      <c r="I6469">
        <v>138.91390000000001</v>
      </c>
      <c r="J6469">
        <v>-136.1045</v>
      </c>
      <c r="K6469">
        <v>1.106055</v>
      </c>
      <c r="L6469">
        <v>139.01259999999999</v>
      </c>
      <c r="M6469">
        <v>0.99786749999999902</v>
      </c>
      <c r="N6469">
        <v>0</v>
      </c>
      <c r="O6469">
        <v>6.0627029999999998E-2</v>
      </c>
      <c r="P6469">
        <v>0.9975001</v>
      </c>
      <c r="Q6469">
        <v>2.6613060000000001E-2</v>
      </c>
      <c r="R6469">
        <v>6.5462279999999998E-2</v>
      </c>
      <c r="S6469">
        <v>3.0578919999999998</v>
      </c>
      <c r="T6469">
        <v>-0.98864599999999903</v>
      </c>
      <c r="U6469">
        <v>-0.31262209999999901</v>
      </c>
      <c r="V6469">
        <v>-4.8506019999999999E-3</v>
      </c>
      <c r="W6469">
        <v>5.0784019999999999E-2</v>
      </c>
      <c r="X6469">
        <v>0.99869789999999903</v>
      </c>
      <c r="Y6469">
        <v>0.15114810000000001</v>
      </c>
      <c r="Z6469">
        <v>-4.2848240000000003E-2</v>
      </c>
      <c r="AA6469">
        <v>0.98758199999999996</v>
      </c>
      <c r="AB6469">
        <v>22</v>
      </c>
      <c r="AC6469">
        <v>0.60720000000000596</v>
      </c>
      <c r="AD6469">
        <v>-0.268404699999999</v>
      </c>
      <c r="AE6469">
        <v>-9.8699999999979499E-2</v>
      </c>
      <c r="AF6469">
        <v>0.113697613921483</v>
      </c>
      <c r="AG6469">
        <v>-0.268404699999999</v>
      </c>
      <c r="AH6469">
        <v>0.50412770769225401</v>
      </c>
      <c r="AI6469">
        <v>117.445965811774</v>
      </c>
      <c r="AJ6469">
        <v>77.290533274475294</v>
      </c>
      <c r="AK6469">
        <v>0.58233407598780895</v>
      </c>
    </row>
    <row r="6470" spans="1:37" x14ac:dyDescent="0.2">
      <c r="A6470" t="str">
        <f>"20200111153818544"</f>
        <v>20200111153818544</v>
      </c>
      <c r="B6470" t="str">
        <f>"1578728298540122"</f>
        <v>1578728298540122</v>
      </c>
      <c r="C6470" t="s">
        <v>37</v>
      </c>
      <c r="D6470">
        <v>5.5987689999999999</v>
      </c>
      <c r="E6470">
        <v>0.55831989999999998</v>
      </c>
      <c r="F6470" t="s">
        <v>38</v>
      </c>
      <c r="G6470">
        <v>-135.29929999999999</v>
      </c>
      <c r="H6470">
        <v>0.84304690000000004</v>
      </c>
      <c r="I6470">
        <v>138.93129999999999</v>
      </c>
      <c r="J6470">
        <v>-135.8845</v>
      </c>
      <c r="K6470">
        <v>1.1060179999999999</v>
      </c>
      <c r="L6470">
        <v>139.02600000000001</v>
      </c>
      <c r="M6470">
        <v>0.99786730000000001</v>
      </c>
      <c r="N6470">
        <v>0</v>
      </c>
      <c r="O6470">
        <v>6.0682779999999999E-2</v>
      </c>
      <c r="P6470">
        <v>0.99755519999999998</v>
      </c>
      <c r="Q6470">
        <v>2.3094E-2</v>
      </c>
      <c r="R6470">
        <v>6.5958550000000005E-2</v>
      </c>
      <c r="S6470">
        <v>3.0543520000000002</v>
      </c>
      <c r="T6470">
        <v>-0.99769699999999994</v>
      </c>
      <c r="U6470">
        <v>-0.30815120000000001</v>
      </c>
      <c r="V6470">
        <v>-5.2872869999999999E-3</v>
      </c>
      <c r="W6470">
        <v>4.7133920000000003E-2</v>
      </c>
      <c r="X6470">
        <v>0.99887459999999995</v>
      </c>
      <c r="Y6470">
        <v>0.14973939999999999</v>
      </c>
      <c r="Z6470">
        <v>-4.306546E-2</v>
      </c>
      <c r="AA6470">
        <v>0.98778709999999903</v>
      </c>
      <c r="AB6470">
        <v>22</v>
      </c>
      <c r="AC6470">
        <v>0.58520000000001404</v>
      </c>
      <c r="AD6470">
        <v>-0.26297109999999901</v>
      </c>
      <c r="AE6470">
        <v>-9.4700000000017298E-2</v>
      </c>
      <c r="AF6470">
        <v>0.108664269355252</v>
      </c>
      <c r="AG6470">
        <v>-0.26297109999999901</v>
      </c>
      <c r="AH6470">
        <v>0.48327397862530502</v>
      </c>
      <c r="AI6470">
        <v>117.963392409959</v>
      </c>
      <c r="AJ6470">
        <v>77.327784005602993</v>
      </c>
      <c r="AK6470">
        <v>0.56081678049613803</v>
      </c>
    </row>
    <row r="6471" spans="1:37" x14ac:dyDescent="0.2">
      <c r="A6471" t="str">
        <f>"20200111153818567"</f>
        <v>20200111153818567</v>
      </c>
      <c r="B6471" t="str">
        <f>"1578728298559637"</f>
        <v>1578728298559637</v>
      </c>
      <c r="C6471" t="s">
        <v>37</v>
      </c>
      <c r="D6471">
        <v>5.6035779999999997</v>
      </c>
      <c r="E6471">
        <v>0.55819949999999996</v>
      </c>
      <c r="F6471" t="s">
        <v>38</v>
      </c>
      <c r="G6471">
        <v>-135.10310000000001</v>
      </c>
      <c r="H6471">
        <v>0.8479141</v>
      </c>
      <c r="I6471">
        <v>138.9478</v>
      </c>
      <c r="J6471">
        <v>-135.6661</v>
      </c>
      <c r="K6471">
        <v>1.1059779999999999</v>
      </c>
      <c r="L6471">
        <v>139.0394</v>
      </c>
      <c r="M6471">
        <v>0.99786699999999995</v>
      </c>
      <c r="N6471">
        <v>0</v>
      </c>
      <c r="O6471">
        <v>6.0737869999999999E-2</v>
      </c>
      <c r="P6471">
        <v>0.99760159999999998</v>
      </c>
      <c r="Q6471">
        <v>1.8727560000000001E-2</v>
      </c>
      <c r="R6471">
        <v>6.6637669999999996E-2</v>
      </c>
      <c r="S6471">
        <v>3.050827</v>
      </c>
      <c r="T6471">
        <v>-1.007622</v>
      </c>
      <c r="U6471">
        <v>-0.30471799999999999</v>
      </c>
      <c r="V6471">
        <v>-5.9067169999999997E-3</v>
      </c>
      <c r="W6471">
        <v>4.2641409999999998E-2</v>
      </c>
      <c r="X6471">
        <v>0.99907299999999999</v>
      </c>
      <c r="Y6471">
        <v>0.14862529999999999</v>
      </c>
      <c r="Z6471">
        <v>-4.3360959999999997E-2</v>
      </c>
      <c r="AA6471">
        <v>0.98794249999999995</v>
      </c>
      <c r="AB6471">
        <v>22</v>
      </c>
      <c r="AC6471">
        <v>0.56299999999998795</v>
      </c>
      <c r="AD6471">
        <v>-0.25806390000000001</v>
      </c>
      <c r="AE6471">
        <v>-9.1599999999999598E-2</v>
      </c>
      <c r="AF6471">
        <v>0.10428930033256401</v>
      </c>
      <c r="AG6471">
        <v>-0.25806390000000001</v>
      </c>
      <c r="AH6471">
        <v>0.46185825564030197</v>
      </c>
      <c r="AI6471">
        <v>118.59167612480999</v>
      </c>
      <c r="AJ6471">
        <v>77.275794636576194</v>
      </c>
      <c r="AK6471">
        <v>0.53924603192806897</v>
      </c>
    </row>
    <row r="6472" spans="1:37" x14ac:dyDescent="0.2">
      <c r="A6472" t="str">
        <f>"20200111153818589"</f>
        <v>20200111153818589</v>
      </c>
      <c r="B6472" t="str">
        <f>"1578728298580134"</f>
        <v>1578728298580134</v>
      </c>
      <c r="C6472" t="s">
        <v>37</v>
      </c>
      <c r="D6472">
        <v>5.5999650000000001</v>
      </c>
      <c r="E6472">
        <v>0.55808230000000003</v>
      </c>
      <c r="F6472" t="s">
        <v>38</v>
      </c>
      <c r="G6472">
        <v>-134.90870000000001</v>
      </c>
      <c r="H6472">
        <v>0.85246039999999901</v>
      </c>
      <c r="I6472">
        <v>138.96449999999999</v>
      </c>
      <c r="J6472">
        <v>-135.45419999999999</v>
      </c>
      <c r="K6472">
        <v>1.1059410000000001</v>
      </c>
      <c r="L6472">
        <v>139.0523</v>
      </c>
      <c r="M6472">
        <v>0.9978667</v>
      </c>
      <c r="N6472">
        <v>0</v>
      </c>
      <c r="O6472">
        <v>6.0791270000000001E-2</v>
      </c>
      <c r="P6472">
        <v>0.99764059999999899</v>
      </c>
      <c r="Q6472">
        <v>1.419395E-2</v>
      </c>
      <c r="R6472">
        <v>6.7171659999999994E-2</v>
      </c>
      <c r="S6472">
        <v>3.0464479999999998</v>
      </c>
      <c r="T6472">
        <v>-1.0196700000000001</v>
      </c>
      <c r="U6472">
        <v>-0.30105589999999999</v>
      </c>
      <c r="V6472">
        <v>-6.3843110000000002E-3</v>
      </c>
      <c r="W6472">
        <v>3.7990790000000003E-2</v>
      </c>
      <c r="X6472">
        <v>0.99925769999999903</v>
      </c>
      <c r="Y6472">
        <v>0.1474135</v>
      </c>
      <c r="Z6472">
        <v>-4.3735089999999997E-2</v>
      </c>
      <c r="AA6472">
        <v>0.98810759999999898</v>
      </c>
      <c r="AB6472">
        <v>22</v>
      </c>
      <c r="AC6472">
        <v>0.545499999999975</v>
      </c>
      <c r="AD6472">
        <v>-0.2534806</v>
      </c>
      <c r="AE6472">
        <v>-8.7800000000015602E-2</v>
      </c>
      <c r="AF6472">
        <v>9.9802927827297605E-2</v>
      </c>
      <c r="AG6472">
        <v>-0.2534806</v>
      </c>
      <c r="AH6472">
        <v>0.44540638450146403</v>
      </c>
      <c r="AI6472">
        <v>119.044698259436</v>
      </c>
      <c r="AJ6472">
        <v>77.370256000408901</v>
      </c>
      <c r="AK6472">
        <v>0.52211099043587195</v>
      </c>
    </row>
    <row r="6473" spans="1:37" x14ac:dyDescent="0.2">
      <c r="A6473" t="str">
        <f>"20200111153818612"</f>
        <v>20200111153818612</v>
      </c>
      <c r="B6473" t="str">
        <f>"1578728298599653"</f>
        <v>1578728298599653</v>
      </c>
      <c r="C6473" t="s">
        <v>37</v>
      </c>
      <c r="D6473">
        <v>5.632352</v>
      </c>
      <c r="E6473">
        <v>0.558011699999999</v>
      </c>
      <c r="F6473" t="s">
        <v>38</v>
      </c>
      <c r="G6473">
        <v>-134.71629999999999</v>
      </c>
      <c r="H6473">
        <v>0.85575659999999898</v>
      </c>
      <c r="I6473">
        <v>138.9796</v>
      </c>
      <c r="J6473">
        <v>-135.2432</v>
      </c>
      <c r="K6473">
        <v>1.1059030000000001</v>
      </c>
      <c r="L6473">
        <v>139.0652</v>
      </c>
      <c r="M6473">
        <v>0.99786629999999998</v>
      </c>
      <c r="N6473">
        <v>0</v>
      </c>
      <c r="O6473">
        <v>6.0844679999999998E-2</v>
      </c>
      <c r="P6473">
        <v>0.99774130000000005</v>
      </c>
      <c r="Q6473">
        <v>1.013959E-2</v>
      </c>
      <c r="R6473">
        <v>6.6406350000000003E-2</v>
      </c>
      <c r="S6473">
        <v>3.04190099999999</v>
      </c>
      <c r="T6473">
        <v>-1.0313589999999999</v>
      </c>
      <c r="U6473">
        <v>-0.29901119999999998</v>
      </c>
      <c r="V6473">
        <v>-5.560827E-3</v>
      </c>
      <c r="W6473">
        <v>3.382259E-2</v>
      </c>
      <c r="X6473">
        <v>0.99941239999999998</v>
      </c>
      <c r="Y6473">
        <v>0.14670229999999901</v>
      </c>
      <c r="Z6473">
        <v>-4.4174350000000001E-2</v>
      </c>
      <c r="AA6473">
        <v>0.98819380000000001</v>
      </c>
      <c r="AB6473">
        <v>22</v>
      </c>
      <c r="AC6473">
        <v>0.52690000000001103</v>
      </c>
      <c r="AD6473">
        <v>-0.25014639999999999</v>
      </c>
      <c r="AE6473">
        <v>-8.5599999999999399E-2</v>
      </c>
      <c r="AF6473">
        <v>9.6351303681314907E-2</v>
      </c>
      <c r="AG6473">
        <v>-0.25014639999999999</v>
      </c>
      <c r="AH6473">
        <v>0.42695677617129302</v>
      </c>
      <c r="AI6473">
        <v>119.748412759346</v>
      </c>
      <c r="AJ6473">
        <v>77.283087425934895</v>
      </c>
      <c r="AK6473">
        <v>0.50413181200221102</v>
      </c>
    </row>
    <row r="6474" spans="1:37" x14ac:dyDescent="0.2">
      <c r="A6474" t="str">
        <f>"20200111153818636"</f>
        <v>20200111153818636</v>
      </c>
      <c r="B6474" t="str">
        <f>"1578728298629909"</f>
        <v>1578728298629909</v>
      </c>
      <c r="C6474" t="s">
        <v>37</v>
      </c>
      <c r="D6474">
        <v>5.6162229999999997</v>
      </c>
      <c r="E6474">
        <v>0.55792900000000001</v>
      </c>
      <c r="F6474" t="s">
        <v>38</v>
      </c>
      <c r="G6474">
        <v>-134.52510000000001</v>
      </c>
      <c r="H6474">
        <v>0.85986980000000002</v>
      </c>
      <c r="I6474">
        <v>138.99359999999999</v>
      </c>
      <c r="J6474">
        <v>-135.01220000000001</v>
      </c>
      <c r="K6474">
        <v>1.1058950000000001</v>
      </c>
      <c r="L6474">
        <v>139.07939999999999</v>
      </c>
      <c r="M6474">
        <v>0.99786390000000003</v>
      </c>
      <c r="N6474">
        <v>0</v>
      </c>
      <c r="O6474">
        <v>6.0903560000000002E-2</v>
      </c>
      <c r="P6474">
        <v>0.99785569999999901</v>
      </c>
      <c r="Q6474">
        <v>7.0615929999999997E-3</v>
      </c>
      <c r="R6474">
        <v>6.5071970000000007E-2</v>
      </c>
      <c r="S6474">
        <v>3.0375209999999999</v>
      </c>
      <c r="T6474">
        <v>-1.040786</v>
      </c>
      <c r="U6474">
        <v>-0.30281069999999999</v>
      </c>
      <c r="V6474">
        <v>-4.1620700000000004E-3</v>
      </c>
      <c r="W6474">
        <v>3.0694740000000002E-2</v>
      </c>
      <c r="X6474">
        <v>0.99952009999999902</v>
      </c>
      <c r="Y6474">
        <v>0.1478196</v>
      </c>
      <c r="Z6474">
        <v>-4.482001E-2</v>
      </c>
      <c r="AA6474">
        <v>0.98799820000000005</v>
      </c>
      <c r="AB6474">
        <v>21</v>
      </c>
      <c r="AC6474">
        <v>0.48709999999999798</v>
      </c>
      <c r="AD6474">
        <v>-0.2460252</v>
      </c>
      <c r="AE6474">
        <v>-8.5800000000006094E-2</v>
      </c>
      <c r="AF6474">
        <v>9.2442073951064505E-2</v>
      </c>
      <c r="AG6474">
        <v>-0.2460252</v>
      </c>
      <c r="AH6474">
        <v>0.38556725162179201</v>
      </c>
      <c r="AI6474">
        <v>121.819659480838</v>
      </c>
      <c r="AJ6474">
        <v>76.517484537803199</v>
      </c>
      <c r="AK6474">
        <v>0.46662194718486699</v>
      </c>
    </row>
    <row r="6475" spans="1:37" x14ac:dyDescent="0.2">
      <c r="A6475" t="str">
        <f>"20200111153818657"</f>
        <v>20200111153818657</v>
      </c>
      <c r="B6475" t="str">
        <f>"1578728298649429"</f>
        <v>1578728298649429</v>
      </c>
      <c r="C6475" t="s">
        <v>37</v>
      </c>
      <c r="D6475">
        <v>5.6453800000000003</v>
      </c>
      <c r="E6475">
        <v>0.56106389999999995</v>
      </c>
      <c r="F6475" t="s">
        <v>38</v>
      </c>
      <c r="G6475">
        <v>-134.32509999999999</v>
      </c>
      <c r="H6475">
        <v>0.88892380000000004</v>
      </c>
      <c r="I6475">
        <v>139.0102</v>
      </c>
      <c r="J6475">
        <v>-134.8176</v>
      </c>
      <c r="K6475">
        <v>1.105893</v>
      </c>
      <c r="L6475">
        <v>139.09129999999999</v>
      </c>
      <c r="M6475">
        <v>0.99786239999999904</v>
      </c>
      <c r="N6475">
        <v>0</v>
      </c>
      <c r="O6475">
        <v>6.0953309999999997E-2</v>
      </c>
      <c r="P6475">
        <v>0.99801399999999996</v>
      </c>
      <c r="Q6475">
        <v>5.5623690000000002E-3</v>
      </c>
      <c r="R6475">
        <v>6.2747020000000001E-2</v>
      </c>
      <c r="S6475">
        <v>3.033096</v>
      </c>
      <c r="T6475">
        <v>-0.95780069999999995</v>
      </c>
      <c r="U6475">
        <v>-0.30473329999999998</v>
      </c>
      <c r="V6475">
        <v>-1.781962E-3</v>
      </c>
      <c r="W6475">
        <v>2.9130929999999999E-2</v>
      </c>
      <c r="X6475">
        <v>0.99957399999999996</v>
      </c>
      <c r="Y6475">
        <v>0.150251</v>
      </c>
      <c r="Z6475">
        <v>-4.1862610000000001E-2</v>
      </c>
      <c r="AA6475">
        <v>0.98776119999999901</v>
      </c>
      <c r="AB6475">
        <v>21</v>
      </c>
      <c r="AC6475">
        <v>0.49250000000000599</v>
      </c>
      <c r="AD6475">
        <v>-0.216969199999999</v>
      </c>
      <c r="AE6475">
        <v>-8.1099999999992095E-2</v>
      </c>
      <c r="AF6475">
        <v>9.3339724063728896E-2</v>
      </c>
      <c r="AG6475">
        <v>-0.216969199999999</v>
      </c>
      <c r="AH6475">
        <v>0.40929895473740802</v>
      </c>
      <c r="AI6475">
        <v>117.33131342830301</v>
      </c>
      <c r="AJ6475">
        <v>77.1535140574222</v>
      </c>
      <c r="AK6475">
        <v>0.47256065450486701</v>
      </c>
    </row>
    <row r="6476" spans="1:37" x14ac:dyDescent="0.2">
      <c r="A6476" t="str">
        <f>"20200111153818685"</f>
        <v>20200111153818685</v>
      </c>
      <c r="B6476" t="str">
        <f>"1578728298679685"</f>
        <v>1578728298679685</v>
      </c>
      <c r="C6476" t="s">
        <v>37</v>
      </c>
      <c r="D6476">
        <v>5.6311499999999999</v>
      </c>
      <c r="E6476">
        <v>0.56261890000000003</v>
      </c>
      <c r="F6476" t="s">
        <v>38</v>
      </c>
      <c r="G6476">
        <v>-134.13630000000001</v>
      </c>
      <c r="H6476">
        <v>0.89317939999999996</v>
      </c>
      <c r="I6476">
        <v>139.01509999999999</v>
      </c>
      <c r="J6476">
        <v>-134.5634</v>
      </c>
      <c r="K6476">
        <v>1.1058410000000001</v>
      </c>
      <c r="L6476">
        <v>139.1069</v>
      </c>
      <c r="M6476">
        <v>0.99786520000000001</v>
      </c>
      <c r="N6476">
        <v>0</v>
      </c>
      <c r="O6476">
        <v>6.101931E-2</v>
      </c>
      <c r="P6476">
        <v>0.99814199999999997</v>
      </c>
      <c r="Q6476">
        <v>4.9699560000000002E-3</v>
      </c>
      <c r="R6476">
        <v>6.0730029999999997E-2</v>
      </c>
      <c r="S6476">
        <v>3.0325319999999998</v>
      </c>
      <c r="T6476">
        <v>-0.94670449999999995</v>
      </c>
      <c r="U6476">
        <v>-0.3386383</v>
      </c>
      <c r="V6476">
        <v>3.0470269999999998E-4</v>
      </c>
      <c r="W6476">
        <v>2.824581E-2</v>
      </c>
      <c r="X6476">
        <v>0.99960090000000001</v>
      </c>
      <c r="Y6476">
        <v>0.16097539999999999</v>
      </c>
      <c r="Z6476">
        <v>-4.3036089999999999E-2</v>
      </c>
      <c r="AA6476">
        <v>0.98601970000000005</v>
      </c>
      <c r="AB6476">
        <v>21</v>
      </c>
      <c r="AC6476">
        <v>0.42709999999999498</v>
      </c>
      <c r="AD6476">
        <v>-0.21266160000000001</v>
      </c>
      <c r="AE6476">
        <v>-9.1800000000006293E-2</v>
      </c>
      <c r="AF6476">
        <v>9.5149155636861493E-2</v>
      </c>
      <c r="AG6476">
        <v>-0.21266160000000001</v>
      </c>
      <c r="AH6476">
        <v>0.34010400953264802</v>
      </c>
      <c r="AI6476">
        <v>121.054784798133</v>
      </c>
      <c r="AJ6476">
        <v>74.370246593054304</v>
      </c>
      <c r="AK6476">
        <v>0.41224877832827</v>
      </c>
    </row>
    <row r="6477" spans="1:37" x14ac:dyDescent="0.2">
      <c r="A6477" t="str">
        <f>"20200111153818704"</f>
        <v>20200111153818704</v>
      </c>
      <c r="B6477" t="str">
        <f>"1578728298700181"</f>
        <v>1578728298700181</v>
      </c>
      <c r="C6477" t="s">
        <v>37</v>
      </c>
      <c r="D6477">
        <v>5.6396660000000001</v>
      </c>
      <c r="E6477">
        <v>0.56320879999999995</v>
      </c>
      <c r="F6477" t="s">
        <v>38</v>
      </c>
      <c r="G6477">
        <v>-133.77760000000001</v>
      </c>
      <c r="H6477">
        <v>0.86413819999999997</v>
      </c>
      <c r="I6477">
        <v>139.01400000000001</v>
      </c>
      <c r="J6477">
        <v>-134.39179999999999</v>
      </c>
      <c r="K6477">
        <v>1.1057980000000001</v>
      </c>
      <c r="L6477">
        <v>139.11750000000001</v>
      </c>
      <c r="M6477">
        <v>0.99786839999999999</v>
      </c>
      <c r="N6477">
        <v>0</v>
      </c>
      <c r="O6477">
        <v>6.1063550000000001E-2</v>
      </c>
      <c r="P6477">
        <v>0.99827670000000002</v>
      </c>
      <c r="Q6477">
        <v>4.4567399999999998E-3</v>
      </c>
      <c r="R6477">
        <v>5.8516310000000002E-2</v>
      </c>
      <c r="S6477">
        <v>3.0320279999999999</v>
      </c>
      <c r="T6477">
        <v>-0.93262649999999903</v>
      </c>
      <c r="U6477">
        <v>-0.35838320000000001</v>
      </c>
      <c r="V6477">
        <v>2.5665610000000002E-3</v>
      </c>
      <c r="W6477">
        <v>2.7482220000000002E-2</v>
      </c>
      <c r="X6477">
        <v>0.99961900000000004</v>
      </c>
      <c r="Y6477">
        <v>0.16738259999999999</v>
      </c>
      <c r="Z6477">
        <v>-4.3390400000000003E-2</v>
      </c>
      <c r="AA6477">
        <v>0.9849367</v>
      </c>
      <c r="AB6477">
        <v>21</v>
      </c>
      <c r="AC6477">
        <v>0.61419999999998198</v>
      </c>
      <c r="AD6477">
        <v>-0.24165980000000001</v>
      </c>
      <c r="AE6477">
        <v>-0.103499999999996</v>
      </c>
      <c r="AF6477">
        <v>0.122397232342793</v>
      </c>
      <c r="AG6477">
        <v>-0.24165980000000001</v>
      </c>
      <c r="AH6477">
        <v>0.52734864409965798</v>
      </c>
      <c r="AI6477">
        <v>114.055437258924</v>
      </c>
      <c r="AJ6477">
        <v>76.933052092284598</v>
      </c>
      <c r="AK6477">
        <v>0.592855069856844</v>
      </c>
    </row>
    <row r="6478" spans="1:37" x14ac:dyDescent="0.2">
      <c r="A6478" t="str">
        <f>"20200111153818728"</f>
        <v>20200111153818728</v>
      </c>
      <c r="B6478" t="str">
        <f>"1578728298719701"</f>
        <v>1578728298719701</v>
      </c>
      <c r="C6478" t="s">
        <v>37</v>
      </c>
      <c r="D6478">
        <v>5.6791710000000002</v>
      </c>
      <c r="E6478">
        <v>0.56358019999999998</v>
      </c>
      <c r="F6478" t="s">
        <v>38</v>
      </c>
      <c r="G6478">
        <v>-133.59540000000001</v>
      </c>
      <c r="H6478">
        <v>0.86231729999999995</v>
      </c>
      <c r="I6478">
        <v>139.0198</v>
      </c>
      <c r="J6478">
        <v>-134.16990000000001</v>
      </c>
      <c r="K6478">
        <v>1.1057709999999901</v>
      </c>
      <c r="L6478">
        <v>139.1311</v>
      </c>
      <c r="M6478">
        <v>0.99787090000000001</v>
      </c>
      <c r="N6478">
        <v>0</v>
      </c>
      <c r="O6478">
        <v>6.1121179999999997E-2</v>
      </c>
      <c r="P6478">
        <v>0.99833830000000001</v>
      </c>
      <c r="Q6478">
        <v>4.611591E-3</v>
      </c>
      <c r="R6478">
        <v>5.7440739999999997E-2</v>
      </c>
      <c r="S6478">
        <v>3.0310969999999999</v>
      </c>
      <c r="T6478">
        <v>-0.92668320000000004</v>
      </c>
      <c r="U6478">
        <v>-0.37147520000000001</v>
      </c>
      <c r="V6478">
        <v>3.7015030000000001E-3</v>
      </c>
      <c r="W6478">
        <v>2.736829E-2</v>
      </c>
      <c r="X6478">
        <v>0.99961860000000002</v>
      </c>
      <c r="Y6478">
        <v>0.17160259999999999</v>
      </c>
      <c r="Z6478">
        <v>-4.3774220000000003E-2</v>
      </c>
      <c r="AA6478">
        <v>0.98419330000000005</v>
      </c>
      <c r="AB6478">
        <v>21</v>
      </c>
      <c r="AC6478">
        <v>0.57450000000000001</v>
      </c>
      <c r="AD6478">
        <v>-0.243453699999999</v>
      </c>
      <c r="AE6478">
        <v>-0.111299999999999</v>
      </c>
      <c r="AF6478">
        <v>0.124641810899472</v>
      </c>
      <c r="AG6478">
        <v>-0.243453699999999</v>
      </c>
      <c r="AH6478">
        <v>0.48301907107457198</v>
      </c>
      <c r="AI6478">
        <v>116.014135544946</v>
      </c>
      <c r="AJ6478">
        <v>75.530625857979302</v>
      </c>
      <c r="AK6478">
        <v>0.55507901067301402</v>
      </c>
    </row>
    <row r="6479" spans="1:37" x14ac:dyDescent="0.2">
      <c r="A6479" t="str">
        <f>"20200111153818747"</f>
        <v>20200111153818747</v>
      </c>
      <c r="B6479" t="str">
        <f>"1578728298740197"</f>
        <v>1578728298740197</v>
      </c>
      <c r="C6479" t="s">
        <v>37</v>
      </c>
      <c r="D6479">
        <v>5.6854579999999997</v>
      </c>
      <c r="E6479">
        <v>0.56377349999999904</v>
      </c>
      <c r="F6479" t="s">
        <v>38</v>
      </c>
      <c r="G6479">
        <v>-133.40940000000001</v>
      </c>
      <c r="H6479">
        <v>0.87492559999999997</v>
      </c>
      <c r="I6479">
        <v>139.0359</v>
      </c>
      <c r="J6479">
        <v>-133.9992</v>
      </c>
      <c r="K6479">
        <v>1.105764</v>
      </c>
      <c r="L6479">
        <v>139.14160000000001</v>
      </c>
      <c r="M6479">
        <v>0.99787190000000003</v>
      </c>
      <c r="N6479">
        <v>0</v>
      </c>
      <c r="O6479">
        <v>6.1165879999999999E-2</v>
      </c>
      <c r="P6479">
        <v>0.99831589999999903</v>
      </c>
      <c r="Q6479">
        <v>6.0199009999999898E-3</v>
      </c>
      <c r="R6479">
        <v>5.7699180000000003E-2</v>
      </c>
      <c r="S6479">
        <v>3.03106699999999</v>
      </c>
      <c r="T6479">
        <v>-0.92002070000000002</v>
      </c>
      <c r="U6479">
        <v>-0.37919619999999998</v>
      </c>
      <c r="V6479">
        <v>3.4868170000000001E-3</v>
      </c>
      <c r="W6479">
        <v>2.8610440000000001E-2</v>
      </c>
      <c r="X6479">
        <v>0.99958459999999905</v>
      </c>
      <c r="Y6479">
        <v>0.17415139999999901</v>
      </c>
      <c r="Z6479">
        <v>-4.3857489999999999E-2</v>
      </c>
      <c r="AA6479">
        <v>0.9837418</v>
      </c>
      <c r="AB6479">
        <v>20</v>
      </c>
      <c r="AC6479">
        <v>0.58979999999999599</v>
      </c>
      <c r="AD6479">
        <v>-0.2308384</v>
      </c>
      <c r="AE6479">
        <v>-0.10570000000001301</v>
      </c>
      <c r="AF6479">
        <v>0.123288922123426</v>
      </c>
      <c r="AG6479">
        <v>-0.2308384</v>
      </c>
      <c r="AH6479">
        <v>0.50698421266417504</v>
      </c>
      <c r="AI6479">
        <v>113.86569349741301</v>
      </c>
      <c r="AJ6479">
        <v>76.332060579393001</v>
      </c>
      <c r="AK6479">
        <v>0.57054317726499004</v>
      </c>
    </row>
    <row r="6480" spans="1:37" x14ac:dyDescent="0.2">
      <c r="A6480" t="str">
        <f>"20200111153818768"</f>
        <v>20200111153818768</v>
      </c>
      <c r="B6480" t="str">
        <f>"1578728298759717"</f>
        <v>1578728298759717</v>
      </c>
      <c r="C6480" t="s">
        <v>37</v>
      </c>
      <c r="D6480">
        <v>5.713711</v>
      </c>
      <c r="E6480">
        <v>0.56357990000000002</v>
      </c>
      <c r="F6480" t="s">
        <v>38</v>
      </c>
      <c r="G6480">
        <v>-133.22989999999999</v>
      </c>
      <c r="H6480">
        <v>0.87440219999999902</v>
      </c>
      <c r="I6480">
        <v>139.04519999999999</v>
      </c>
      <c r="J6480">
        <v>-133.80459999999999</v>
      </c>
      <c r="K6480">
        <v>1.1057709999999901</v>
      </c>
      <c r="L6480">
        <v>139.15360000000001</v>
      </c>
      <c r="M6480">
        <v>0.9978728</v>
      </c>
      <c r="N6480">
        <v>0</v>
      </c>
      <c r="O6480">
        <v>6.121687E-2</v>
      </c>
      <c r="P6480">
        <v>0.99824259999999998</v>
      </c>
      <c r="Q6480">
        <v>8.0578379999999995E-3</v>
      </c>
      <c r="R6480">
        <v>5.870802E-2</v>
      </c>
      <c r="S6480">
        <v>3.0325009999999999</v>
      </c>
      <c r="T6480">
        <v>-0.91205720000000001</v>
      </c>
      <c r="U6480">
        <v>-0.37942500000000001</v>
      </c>
      <c r="V6480">
        <v>2.5261479999999898E-3</v>
      </c>
      <c r="W6480">
        <v>3.046739E-2</v>
      </c>
      <c r="X6480">
        <v>0.99953259999999899</v>
      </c>
      <c r="Y6480">
        <v>0.17439060000000001</v>
      </c>
      <c r="Z6480">
        <v>-4.3524060000000003E-2</v>
      </c>
      <c r="AA6480">
        <v>0.98371419999999998</v>
      </c>
      <c r="AB6480">
        <v>20</v>
      </c>
      <c r="AC6480">
        <v>0.57470000000000698</v>
      </c>
      <c r="AD6480">
        <v>-0.23136880000000001</v>
      </c>
      <c r="AE6480">
        <v>-0.108400000000017</v>
      </c>
      <c r="AF6480">
        <v>0.123982202852065</v>
      </c>
      <c r="AG6480">
        <v>-0.23136880000000001</v>
      </c>
      <c r="AH6480">
        <v>0.49025394385340099</v>
      </c>
      <c r="AI6480">
        <v>114.585637448402</v>
      </c>
      <c r="AJ6480">
        <v>75.807811461291706</v>
      </c>
      <c r="AK6480">
        <v>0.55610434066036996</v>
      </c>
    </row>
    <row r="6481" spans="1:37" x14ac:dyDescent="0.2">
      <c r="A6481" t="str">
        <f>"20200111153818790"</f>
        <v>20200111153818790</v>
      </c>
      <c r="B6481" t="str">
        <f>"1578728298780213"</f>
        <v>1578728298780213</v>
      </c>
      <c r="C6481" t="s">
        <v>37</v>
      </c>
      <c r="D6481">
        <v>5.7344619999999997</v>
      </c>
      <c r="E6481">
        <v>0.56352860000000005</v>
      </c>
      <c r="F6481" t="s">
        <v>38</v>
      </c>
      <c r="G6481">
        <v>-133.04949999999999</v>
      </c>
      <c r="H6481">
        <v>0.88066769999999905</v>
      </c>
      <c r="I6481">
        <v>139.0609</v>
      </c>
      <c r="J6481">
        <v>-133.60650000000001</v>
      </c>
      <c r="K6481">
        <v>1.105775</v>
      </c>
      <c r="L6481">
        <v>139.16579999999999</v>
      </c>
      <c r="M6481">
        <v>0.99787389999999998</v>
      </c>
      <c r="N6481">
        <v>0</v>
      </c>
      <c r="O6481">
        <v>6.1268339999999998E-2</v>
      </c>
      <c r="P6481">
        <v>0.99815370000000003</v>
      </c>
      <c r="Q6481">
        <v>1.0197629999999999E-2</v>
      </c>
      <c r="R6481">
        <v>5.9876360000000003E-2</v>
      </c>
      <c r="S6481">
        <v>3.0345</v>
      </c>
      <c r="T6481">
        <v>-0.90465280000000003</v>
      </c>
      <c r="U6481">
        <v>-0.37255859999999902</v>
      </c>
      <c r="V6481">
        <v>1.405983E-3</v>
      </c>
      <c r="W6481">
        <v>3.2420499999999998E-2</v>
      </c>
      <c r="X6481">
        <v>0.99947330000000001</v>
      </c>
      <c r="Y6481">
        <v>0.17242349999999901</v>
      </c>
      <c r="Z6481">
        <v>-4.2892550000000002E-2</v>
      </c>
      <c r="AA6481">
        <v>0.98408859999999998</v>
      </c>
      <c r="AB6481">
        <v>20</v>
      </c>
      <c r="AC6481">
        <v>0.55700000000001604</v>
      </c>
      <c r="AD6481">
        <v>-0.22510730000000001</v>
      </c>
      <c r="AE6481">
        <v>-0.104899999999986</v>
      </c>
      <c r="AF6481">
        <v>0.11992170620876499</v>
      </c>
      <c r="AG6481">
        <v>-0.22510730000000001</v>
      </c>
      <c r="AH6481">
        <v>0.47465418060412501</v>
      </c>
      <c r="AI6481">
        <v>114.693307190434</v>
      </c>
      <c r="AJ6481">
        <v>75.820906303082694</v>
      </c>
      <c r="AK6481">
        <v>0.53884237333220597</v>
      </c>
    </row>
    <row r="6482" spans="1:37" x14ac:dyDescent="0.2">
      <c r="A6482" t="str">
        <f>"20200111153818812"</f>
        <v>20200111153818812</v>
      </c>
      <c r="B6482" t="str">
        <f>"1578728298809493"</f>
        <v>1578728298809493</v>
      </c>
      <c r="C6482" t="s">
        <v>37</v>
      </c>
      <c r="D6482">
        <v>5.734146</v>
      </c>
      <c r="E6482">
        <v>0.56331030000000004</v>
      </c>
      <c r="F6482" t="s">
        <v>38</v>
      </c>
      <c r="G6482">
        <v>-132.87</v>
      </c>
      <c r="H6482">
        <v>0.88781929999999998</v>
      </c>
      <c r="I6482">
        <v>139.07689999999999</v>
      </c>
      <c r="J6482">
        <v>-133.4134</v>
      </c>
      <c r="K6482">
        <v>1.105785</v>
      </c>
      <c r="L6482">
        <v>139.17769999999999</v>
      </c>
      <c r="M6482">
        <v>0.99787429999999999</v>
      </c>
      <c r="N6482">
        <v>0</v>
      </c>
      <c r="O6482">
        <v>6.1318039999999997E-2</v>
      </c>
      <c r="P6482">
        <v>0.99806240000000002</v>
      </c>
      <c r="Q6482">
        <v>1.2852550000000001E-2</v>
      </c>
      <c r="R6482">
        <v>6.08789E-2</v>
      </c>
      <c r="S6482">
        <v>3.0366819999999999</v>
      </c>
      <c r="T6482">
        <v>-0.89873890000000001</v>
      </c>
      <c r="U6482">
        <v>-0.36595149999999999</v>
      </c>
      <c r="V6482">
        <v>4.4936769999999899E-4</v>
      </c>
      <c r="W6482">
        <v>3.4916290000000003E-2</v>
      </c>
      <c r="X6482">
        <v>0.99939009999999995</v>
      </c>
      <c r="Y6482">
        <v>0.17049510000000001</v>
      </c>
      <c r="Z6482">
        <v>-4.2335240000000003E-2</v>
      </c>
      <c r="AA6482">
        <v>0.98444869999999995</v>
      </c>
      <c r="AB6482">
        <v>20</v>
      </c>
      <c r="AC6482">
        <v>0.543399999999991</v>
      </c>
      <c r="AD6482">
        <v>-0.21796570000000001</v>
      </c>
      <c r="AE6482">
        <v>-0.10079999999999199</v>
      </c>
      <c r="AF6482">
        <v>0.115909853442628</v>
      </c>
      <c r="AG6482">
        <v>-0.21796570000000001</v>
      </c>
      <c r="AH6482">
        <v>0.46402047681902697</v>
      </c>
      <c r="AI6482">
        <v>114.500172401616</v>
      </c>
      <c r="AJ6482">
        <v>75.9748282335742</v>
      </c>
      <c r="AK6482">
        <v>0.52560359912099097</v>
      </c>
    </row>
    <row r="6483" spans="1:37" x14ac:dyDescent="0.2">
      <c r="A6483" t="str">
        <f>"20200111153818838"</f>
        <v>20200111153818838</v>
      </c>
      <c r="B6483" t="str">
        <f>"1578728298829989"</f>
        <v>1578728298829989</v>
      </c>
      <c r="C6483" t="s">
        <v>37</v>
      </c>
      <c r="D6483">
        <v>5.7451319999999999</v>
      </c>
      <c r="E6483">
        <v>0.56311460000000002</v>
      </c>
      <c r="F6483" t="s">
        <v>38</v>
      </c>
      <c r="G6483">
        <v>-132.69220000000001</v>
      </c>
      <c r="H6483">
        <v>0.89463329999999996</v>
      </c>
      <c r="I6483">
        <v>139.0925</v>
      </c>
      <c r="J6483">
        <v>-133.19059999999999</v>
      </c>
      <c r="K6483">
        <v>1.1057939999999999</v>
      </c>
      <c r="L6483">
        <v>139.19149999999999</v>
      </c>
      <c r="M6483">
        <v>0.99787389999999998</v>
      </c>
      <c r="N6483">
        <v>0</v>
      </c>
      <c r="O6483">
        <v>6.137517E-2</v>
      </c>
      <c r="P6483">
        <v>0.99804219999999899</v>
      </c>
      <c r="Q6483">
        <v>1.36932999999999E-2</v>
      </c>
      <c r="R6483">
        <v>6.1028150000000003E-2</v>
      </c>
      <c r="S6483">
        <v>3.0391689999999998</v>
      </c>
      <c r="T6483">
        <v>-0.88973630000000004</v>
      </c>
      <c r="U6483">
        <v>-0.35900879999999902</v>
      </c>
      <c r="V6483">
        <v>3.560975E-4</v>
      </c>
      <c r="W6483">
        <v>3.5618699999999899E-2</v>
      </c>
      <c r="X6483">
        <v>0.99936539999999996</v>
      </c>
      <c r="Y6483">
        <v>0.16852139999999999</v>
      </c>
      <c r="Z6483">
        <v>-4.1634730000000002E-2</v>
      </c>
      <c r="AA6483">
        <v>0.98481830000000004</v>
      </c>
      <c r="AB6483">
        <v>20</v>
      </c>
      <c r="AC6483">
        <v>0.49839999999997497</v>
      </c>
      <c r="AD6483">
        <v>-0.21116069999999901</v>
      </c>
      <c r="AE6483">
        <v>-9.8999999999989499E-2</v>
      </c>
      <c r="AF6483">
        <v>0.110353251395649</v>
      </c>
      <c r="AG6483">
        <v>-0.21116069999999901</v>
      </c>
      <c r="AH6483">
        <v>0.41902197741009301</v>
      </c>
      <c r="AI6483">
        <v>115.98092561160099</v>
      </c>
      <c r="AJ6483">
        <v>75.245656061361998</v>
      </c>
      <c r="AK6483">
        <v>0.48202292359466198</v>
      </c>
    </row>
    <row r="6484" spans="1:37" x14ac:dyDescent="0.2">
      <c r="A6484" t="str">
        <f>"20200111153818858"</f>
        <v>20200111153818858</v>
      </c>
      <c r="B6484" t="str">
        <f>"1578728298849509"</f>
        <v>1578728298849509</v>
      </c>
      <c r="C6484" t="s">
        <v>37</v>
      </c>
      <c r="D6484">
        <v>5.7539749999999996</v>
      </c>
      <c r="E6484">
        <v>0.5630252</v>
      </c>
      <c r="F6484" t="s">
        <v>38</v>
      </c>
      <c r="G6484">
        <v>-132.51310000000001</v>
      </c>
      <c r="H6484">
        <v>0.90828410000000004</v>
      </c>
      <c r="I6484">
        <v>139.1121</v>
      </c>
      <c r="J6484">
        <v>-133.0213</v>
      </c>
      <c r="K6484">
        <v>1.105801</v>
      </c>
      <c r="L6484">
        <v>139.202</v>
      </c>
      <c r="M6484">
        <v>0.9978728</v>
      </c>
      <c r="N6484">
        <v>0</v>
      </c>
      <c r="O6484">
        <v>6.1418799999999898E-2</v>
      </c>
      <c r="P6484">
        <v>0.998112</v>
      </c>
      <c r="Q6484">
        <v>1.3266109999999999E-2</v>
      </c>
      <c r="R6484">
        <v>5.9974260000000001E-2</v>
      </c>
      <c r="S6484">
        <v>3.0398099999999899</v>
      </c>
      <c r="T6484">
        <v>-0.88626799999999994</v>
      </c>
      <c r="U6484">
        <v>-0.35588069999999999</v>
      </c>
      <c r="V6484">
        <v>1.455832E-3</v>
      </c>
      <c r="W6484">
        <v>3.5119289999999997E-2</v>
      </c>
      <c r="X6484">
        <v>0.99938209999999905</v>
      </c>
      <c r="Y6484">
        <v>0.16764989999999999</v>
      </c>
      <c r="Z6484">
        <v>-4.1361090000000003E-2</v>
      </c>
      <c r="AA6484">
        <v>0.98497860000000004</v>
      </c>
      <c r="AB6484">
        <v>20</v>
      </c>
      <c r="AC6484">
        <v>0.50819999999998799</v>
      </c>
      <c r="AD6484">
        <v>-0.1975169</v>
      </c>
      <c r="AE6484">
        <v>-8.9899999999999994E-2</v>
      </c>
      <c r="AF6484">
        <v>0.105498083857408</v>
      </c>
      <c r="AG6484">
        <v>-0.1975169</v>
      </c>
      <c r="AH6484">
        <v>0.43761807862268198</v>
      </c>
      <c r="AI6484">
        <v>113.690684791042</v>
      </c>
      <c r="AJ6484">
        <v>76.446128441106694</v>
      </c>
      <c r="AK6484">
        <v>0.49158148278856401</v>
      </c>
    </row>
    <row r="6485" spans="1:37" x14ac:dyDescent="0.2">
      <c r="A6485" t="str">
        <f>"20200111153818880"</f>
        <v>20200111153818880</v>
      </c>
      <c r="B6485" t="str">
        <f>"1578728298870005"</f>
        <v>1578728298870005</v>
      </c>
      <c r="C6485" t="s">
        <v>37</v>
      </c>
      <c r="D6485">
        <v>5.7667919999999997</v>
      </c>
      <c r="E6485">
        <v>0.56303159999999997</v>
      </c>
      <c r="F6485" t="s">
        <v>38</v>
      </c>
      <c r="G6485">
        <v>-132.34100000000001</v>
      </c>
      <c r="H6485">
        <v>0.90722420000000004</v>
      </c>
      <c r="I6485">
        <v>139.1216</v>
      </c>
      <c r="J6485">
        <v>-132.8313</v>
      </c>
      <c r="K6485">
        <v>1.1058079999999999</v>
      </c>
      <c r="L6485">
        <v>139.21369999999999</v>
      </c>
      <c r="M6485">
        <v>0.99787099999999995</v>
      </c>
      <c r="N6485">
        <v>0</v>
      </c>
      <c r="O6485">
        <v>6.1467580000000001E-2</v>
      </c>
      <c r="P6485">
        <v>0.99823340000000005</v>
      </c>
      <c r="Q6485">
        <v>1.233413E-2</v>
      </c>
      <c r="R6485">
        <v>5.8122340000000002E-2</v>
      </c>
      <c r="S6485">
        <v>3.0390169999999999</v>
      </c>
      <c r="T6485">
        <v>-0.88715159999999904</v>
      </c>
      <c r="U6485">
        <v>-0.35838320000000001</v>
      </c>
      <c r="V6485">
        <v>3.3607730000000001E-3</v>
      </c>
      <c r="W6485">
        <v>3.4131870000000002E-2</v>
      </c>
      <c r="X6485">
        <v>0.99941170000000001</v>
      </c>
      <c r="Y6485">
        <v>0.16846949999999999</v>
      </c>
      <c r="Z6485">
        <v>-4.1539930000000003E-2</v>
      </c>
      <c r="AA6485">
        <v>0.98483120000000002</v>
      </c>
      <c r="AB6485">
        <v>19</v>
      </c>
      <c r="AC6485">
        <v>0.49029999999999002</v>
      </c>
      <c r="AD6485">
        <v>-0.19858379999999901</v>
      </c>
      <c r="AE6485">
        <v>-9.2099999999987803E-2</v>
      </c>
      <c r="AF6485">
        <v>0.105373593248619</v>
      </c>
      <c r="AG6485">
        <v>-0.19858379999999901</v>
      </c>
      <c r="AH6485">
        <v>0.41754773999424999</v>
      </c>
      <c r="AI6485">
        <v>114.756213561831</v>
      </c>
      <c r="AJ6485">
        <v>75.836402648267196</v>
      </c>
      <c r="AK6485">
        <v>0.47422066061156698</v>
      </c>
    </row>
    <row r="6486" spans="1:37" x14ac:dyDescent="0.2">
      <c r="A6486" t="str">
        <f>"20200111153818903"</f>
        <v>20200111153818903</v>
      </c>
      <c r="B6486" t="str">
        <f>"1578728298900260"</f>
        <v>1578728298900260</v>
      </c>
      <c r="C6486" t="s">
        <v>37</v>
      </c>
      <c r="D6486">
        <v>5.7679819999999999</v>
      </c>
      <c r="E6486">
        <v>0.56289990000000001</v>
      </c>
      <c r="F6486" t="s">
        <v>38</v>
      </c>
      <c r="G6486">
        <v>-132.0154</v>
      </c>
      <c r="H6486">
        <v>0.86679799999999996</v>
      </c>
      <c r="I6486">
        <v>139.1157</v>
      </c>
      <c r="J6486">
        <v>-132.64109999999999</v>
      </c>
      <c r="K6486">
        <v>1.105812</v>
      </c>
      <c r="L6486">
        <v>139.22550000000001</v>
      </c>
      <c r="M6486">
        <v>0.99786819999999898</v>
      </c>
      <c r="N6486">
        <v>0</v>
      </c>
      <c r="O6486">
        <v>6.1516699999999903E-2</v>
      </c>
      <c r="P6486">
        <v>0.99835959999999901</v>
      </c>
      <c r="Q6486">
        <v>9.7925200000000007E-3</v>
      </c>
      <c r="R6486">
        <v>5.641181E-2</v>
      </c>
      <c r="S6486">
        <v>3.0375669999999899</v>
      </c>
      <c r="T6486">
        <v>-0.88982839999999996</v>
      </c>
      <c r="U6486">
        <v>-0.3651123</v>
      </c>
      <c r="V6486">
        <v>5.1250449999999999E-3</v>
      </c>
      <c r="W6486">
        <v>3.1579320000000001E-2</v>
      </c>
      <c r="X6486">
        <v>0.99948809999999999</v>
      </c>
      <c r="Y6486">
        <v>0.1705718</v>
      </c>
      <c r="Z6486">
        <v>-4.1989020000000002E-2</v>
      </c>
      <c r="AA6486">
        <v>0.98445020000000005</v>
      </c>
      <c r="AB6486">
        <v>19</v>
      </c>
      <c r="AC6486">
        <v>0.62569999999999404</v>
      </c>
      <c r="AD6486">
        <v>-0.239014</v>
      </c>
      <c r="AE6486">
        <v>-0.109800000000007</v>
      </c>
      <c r="AF6486">
        <v>0.12972775087161501</v>
      </c>
      <c r="AG6486">
        <v>-0.239014</v>
      </c>
      <c r="AH6486">
        <v>0.54115241337699704</v>
      </c>
      <c r="AI6486">
        <v>113.243855035054</v>
      </c>
      <c r="AJ6486">
        <v>76.519166995464403</v>
      </c>
      <c r="AK6486">
        <v>0.60564256459231502</v>
      </c>
    </row>
    <row r="6487" spans="1:37" x14ac:dyDescent="0.2">
      <c r="A6487" t="str">
        <f>"20200111153818925"</f>
        <v>20200111153818925</v>
      </c>
      <c r="B6487" t="str">
        <f>"1578728298919780"</f>
        <v>1578728298919780</v>
      </c>
      <c r="C6487" t="s">
        <v>37</v>
      </c>
      <c r="D6487">
        <v>5.802753</v>
      </c>
      <c r="E6487">
        <v>0.56282010000000005</v>
      </c>
      <c r="F6487" t="s">
        <v>38</v>
      </c>
      <c r="G6487">
        <v>-131.84620000000001</v>
      </c>
      <c r="H6487">
        <v>0.87059560000000002</v>
      </c>
      <c r="I6487">
        <v>139.12870000000001</v>
      </c>
      <c r="J6487">
        <v>-132.45500000000001</v>
      </c>
      <c r="K6487">
        <v>1.1058790000000001</v>
      </c>
      <c r="L6487">
        <v>139.23699999999999</v>
      </c>
      <c r="M6487">
        <v>0.99785999999999997</v>
      </c>
      <c r="N6487">
        <v>0</v>
      </c>
      <c r="O6487">
        <v>6.1563010000000001E-2</v>
      </c>
      <c r="P6487">
        <v>0.99845509999999904</v>
      </c>
      <c r="Q6487">
        <v>7.4744629999999998E-3</v>
      </c>
      <c r="R6487">
        <v>5.5059879999999999E-2</v>
      </c>
      <c r="S6487">
        <v>3.0346069999999998</v>
      </c>
      <c r="T6487">
        <v>-0.89803230000000001</v>
      </c>
      <c r="U6487">
        <v>-0.3694153</v>
      </c>
      <c r="V6487">
        <v>6.5270859999999997E-3</v>
      </c>
      <c r="W6487">
        <v>2.950794E-2</v>
      </c>
      <c r="X6487">
        <v>0.99954319999999897</v>
      </c>
      <c r="Y6487">
        <v>0.17185909999999999</v>
      </c>
      <c r="Z6487">
        <v>-4.2595969999999997E-2</v>
      </c>
      <c r="AA6487">
        <v>0.98420019999999997</v>
      </c>
      <c r="AB6487">
        <v>19</v>
      </c>
      <c r="AC6487">
        <v>0.60880000000000201</v>
      </c>
      <c r="AD6487">
        <v>-0.2352834</v>
      </c>
      <c r="AE6487">
        <v>-0.10829999999998501</v>
      </c>
      <c r="AF6487">
        <v>0.12717148805613401</v>
      </c>
      <c r="AG6487">
        <v>-0.2352834</v>
      </c>
      <c r="AH6487">
        <v>0.52497140104155304</v>
      </c>
      <c r="AI6487">
        <v>113.53721270043199</v>
      </c>
      <c r="AJ6487">
        <v>76.382726865944406</v>
      </c>
      <c r="AK6487">
        <v>0.589173860249674</v>
      </c>
    </row>
    <row r="6488" spans="1:37" x14ac:dyDescent="0.2">
      <c r="A6488" t="str">
        <f>"20200111153818947"</f>
        <v>20200111153818947</v>
      </c>
      <c r="B6488" t="str">
        <f>"1578728298940277"</f>
        <v>1578728298940277</v>
      </c>
      <c r="C6488" t="s">
        <v>37</v>
      </c>
      <c r="D6488">
        <v>5.7762890000000002</v>
      </c>
      <c r="E6488">
        <v>0.56263240000000003</v>
      </c>
      <c r="F6488" t="s">
        <v>38</v>
      </c>
      <c r="G6488">
        <v>-131.6814</v>
      </c>
      <c r="H6488">
        <v>0.8748629</v>
      </c>
      <c r="I6488">
        <v>139.14189999999999</v>
      </c>
      <c r="J6488">
        <v>-132.2724</v>
      </c>
      <c r="K6488">
        <v>1.106149</v>
      </c>
      <c r="L6488">
        <v>139.2483</v>
      </c>
      <c r="M6488">
        <v>0.99783250000000001</v>
      </c>
      <c r="N6488">
        <v>0</v>
      </c>
      <c r="O6488">
        <v>6.1603119999999997E-2</v>
      </c>
      <c r="P6488">
        <v>0.99852659999999904</v>
      </c>
      <c r="Q6488">
        <v>3.9447170000000004E-3</v>
      </c>
      <c r="R6488">
        <v>5.4121309999999999E-2</v>
      </c>
      <c r="S6488">
        <v>3.0319820000000002</v>
      </c>
      <c r="T6488">
        <v>-0.90537440000000002</v>
      </c>
      <c r="U6488">
        <v>-0.37283329999999998</v>
      </c>
      <c r="V6488">
        <v>7.5099919999999896E-3</v>
      </c>
      <c r="W6488">
        <v>2.708373E-2</v>
      </c>
      <c r="X6488">
        <v>0.99960490000000002</v>
      </c>
      <c r="Y6488">
        <v>0.17287549999999999</v>
      </c>
      <c r="Z6488">
        <v>-4.3122800000000003E-2</v>
      </c>
      <c r="AA6488">
        <v>0.98399930000000002</v>
      </c>
      <c r="AB6488">
        <v>19</v>
      </c>
      <c r="AC6488">
        <v>0.59100000000000796</v>
      </c>
      <c r="AD6488">
        <v>-0.231286099999999</v>
      </c>
      <c r="AE6488">
        <v>-0.106400000000007</v>
      </c>
      <c r="AF6488">
        <v>0.12419184470259299</v>
      </c>
      <c r="AG6488">
        <v>-0.231286099999999</v>
      </c>
      <c r="AH6488">
        <v>0.50796662485785804</v>
      </c>
      <c r="AI6488">
        <v>113.85935204049601</v>
      </c>
      <c r="AJ6488">
        <v>76.261366178466702</v>
      </c>
      <c r="AK6488">
        <v>0.57179276518099398</v>
      </c>
    </row>
    <row r="6489" spans="1:37" x14ac:dyDescent="0.2">
      <c r="A6489" t="str">
        <f>"20200111153818969"</f>
        <v>20200111153818969</v>
      </c>
      <c r="B6489" t="str">
        <f>"1578728298959798"</f>
        <v>1578728298959798</v>
      </c>
      <c r="C6489" t="s">
        <v>37</v>
      </c>
      <c r="D6489">
        <v>5.8304790000000004</v>
      </c>
      <c r="E6489">
        <v>0.56250149999999999</v>
      </c>
      <c r="F6489" t="s">
        <v>38</v>
      </c>
      <c r="G6489">
        <v>-131.52099999999999</v>
      </c>
      <c r="H6489">
        <v>0.87873159999999895</v>
      </c>
      <c r="I6489">
        <v>139.15539999999999</v>
      </c>
      <c r="J6489">
        <v>-132.10130000000001</v>
      </c>
      <c r="K6489">
        <v>1.1064430000000001</v>
      </c>
      <c r="L6489">
        <v>139.25890000000001</v>
      </c>
      <c r="M6489">
        <v>0.99779640000000003</v>
      </c>
      <c r="N6489">
        <v>0</v>
      </c>
      <c r="O6489">
        <v>6.1636629999999998E-2</v>
      </c>
      <c r="P6489">
        <v>0.99855130000000003</v>
      </c>
      <c r="Q6489">
        <v>1.560431E-4</v>
      </c>
      <c r="R6489">
        <v>5.381064E-2</v>
      </c>
      <c r="S6489">
        <v>3.0283359999999999</v>
      </c>
      <c r="T6489">
        <v>-0.91658530000000005</v>
      </c>
      <c r="U6489">
        <v>-0.37422179999999999</v>
      </c>
      <c r="V6489">
        <v>7.8574999999999999E-3</v>
      </c>
      <c r="W6489">
        <v>2.4717030000000001E-2</v>
      </c>
      <c r="X6489">
        <v>0.99966359999999999</v>
      </c>
      <c r="Y6489">
        <v>0.17321210000000001</v>
      </c>
      <c r="Z6489">
        <v>-4.3743329999999997E-2</v>
      </c>
      <c r="AA6489">
        <v>0.98391260000000003</v>
      </c>
      <c r="AB6489">
        <v>18</v>
      </c>
      <c r="AC6489">
        <v>0.58029999999999404</v>
      </c>
      <c r="AD6489">
        <v>-0.22771140000000001</v>
      </c>
      <c r="AE6489">
        <v>-0.103500000000025</v>
      </c>
      <c r="AF6489">
        <v>0.12102127716349299</v>
      </c>
      <c r="AG6489">
        <v>-0.22771140000000001</v>
      </c>
      <c r="AH6489">
        <v>0.49843222668564102</v>
      </c>
      <c r="AI6489">
        <v>113.939126819468</v>
      </c>
      <c r="AJ6489">
        <v>76.3524628228636</v>
      </c>
      <c r="AK6489">
        <v>0.56118919787808597</v>
      </c>
    </row>
    <row r="6490" spans="1:37" x14ac:dyDescent="0.2">
      <c r="A6490" t="str">
        <f>"20200111153818992"</f>
        <v>20200111153818992</v>
      </c>
      <c r="B6490" t="str">
        <f>"1578728298990053"</f>
        <v>1578728298990053</v>
      </c>
      <c r="C6490" t="s">
        <v>37</v>
      </c>
      <c r="D6490">
        <v>5.8090459999999897</v>
      </c>
      <c r="E6490">
        <v>0.56229200000000001</v>
      </c>
      <c r="F6490" t="s">
        <v>38</v>
      </c>
      <c r="G6490">
        <v>-131.3657</v>
      </c>
      <c r="H6490">
        <v>0.88065199999999999</v>
      </c>
      <c r="I6490">
        <v>139.16810000000001</v>
      </c>
      <c r="J6490">
        <v>-131.92660000000001</v>
      </c>
      <c r="K6490">
        <v>1.106697</v>
      </c>
      <c r="L6490">
        <v>139.2698</v>
      </c>
      <c r="M6490">
        <v>0.99775700000000001</v>
      </c>
      <c r="N6490">
        <v>0</v>
      </c>
      <c r="O6490">
        <v>6.1670540000000003E-2</v>
      </c>
      <c r="P6490">
        <v>0.99855769999999899</v>
      </c>
      <c r="Q6490">
        <v>-3.482888E-3</v>
      </c>
      <c r="R6490">
        <v>5.3576569999999997E-2</v>
      </c>
      <c r="S6490">
        <v>3.0246279999999999</v>
      </c>
      <c r="T6490">
        <v>-0.92835769999999995</v>
      </c>
      <c r="U6490">
        <v>-0.37315369999999998</v>
      </c>
      <c r="V6490">
        <v>8.1279779999999992E-3</v>
      </c>
      <c r="W6490">
        <v>2.255279E-2</v>
      </c>
      <c r="X6490">
        <v>0.99971259999999995</v>
      </c>
      <c r="Y6490">
        <v>0.17278179999999899</v>
      </c>
      <c r="Z6490">
        <v>-4.4279779999999998E-2</v>
      </c>
      <c r="AA6490">
        <v>0.98396430000000001</v>
      </c>
      <c r="AB6490">
        <v>18</v>
      </c>
      <c r="AC6490">
        <v>0.56090000000000295</v>
      </c>
      <c r="AD6490">
        <v>-0.226045</v>
      </c>
      <c r="AE6490">
        <v>-0.101699999999993</v>
      </c>
      <c r="AF6490">
        <v>0.117614913949891</v>
      </c>
      <c r="AG6490">
        <v>-0.226045</v>
      </c>
      <c r="AH6490">
        <v>0.47834177613034501</v>
      </c>
      <c r="AI6490">
        <v>114.649988098877</v>
      </c>
      <c r="AJ6490">
        <v>76.186116925780595</v>
      </c>
      <c r="AK6490">
        <v>0.54197828812598503</v>
      </c>
    </row>
    <row r="6491" spans="1:37" x14ac:dyDescent="0.2">
      <c r="A6491" t="str">
        <f>"20200111153819014"</f>
        <v>20200111153819014</v>
      </c>
      <c r="B6491" t="str">
        <f>"1578728299009572"</f>
        <v>1578728299009572</v>
      </c>
      <c r="C6491" t="s">
        <v>37</v>
      </c>
      <c r="D6491">
        <v>5.7587869999999999</v>
      </c>
      <c r="E6491">
        <v>0.56217589999999995</v>
      </c>
      <c r="F6491" t="s">
        <v>38</v>
      </c>
      <c r="G6491">
        <v>-131.21279999999999</v>
      </c>
      <c r="H6491">
        <v>0.88495469999999898</v>
      </c>
      <c r="I6491">
        <v>139.18170000000001</v>
      </c>
      <c r="J6491">
        <v>-131.76050000000001</v>
      </c>
      <c r="K6491">
        <v>1.1066769999999999</v>
      </c>
      <c r="L6491">
        <v>139.2801</v>
      </c>
      <c r="M6491">
        <v>0.99773999999999996</v>
      </c>
      <c r="N6491">
        <v>0</v>
      </c>
      <c r="O6491">
        <v>6.1710370000000001E-2</v>
      </c>
      <c r="P6491">
        <v>0.99854920000000003</v>
      </c>
      <c r="Q6491">
        <v>-5.1171999999999997E-3</v>
      </c>
      <c r="R6491">
        <v>5.3606279999999999E-2</v>
      </c>
      <c r="S6491">
        <v>3.0210270000000001</v>
      </c>
      <c r="T6491">
        <v>-0.93852849999999999</v>
      </c>
      <c r="U6491">
        <v>-0.37187189999999998</v>
      </c>
      <c r="V6491">
        <v>8.1384960000000003E-3</v>
      </c>
      <c r="W6491">
        <v>2.1469680000000001E-2</v>
      </c>
      <c r="X6491">
        <v>0.99973639999999997</v>
      </c>
      <c r="Y6491">
        <v>0.17231749999999901</v>
      </c>
      <c r="Z6491">
        <v>-4.4737159999999998E-2</v>
      </c>
      <c r="AA6491">
        <v>0.98402500000000004</v>
      </c>
      <c r="AB6491">
        <v>17</v>
      </c>
      <c r="AC6491">
        <v>0.54770000000001995</v>
      </c>
      <c r="AD6491">
        <v>-0.22172230000000001</v>
      </c>
      <c r="AE6491">
        <v>-9.8399999999998003E-2</v>
      </c>
      <c r="AF6491">
        <v>0.11393492217352399</v>
      </c>
      <c r="AG6491">
        <v>-0.22172230000000001</v>
      </c>
      <c r="AH6491">
        <v>0.466517404782197</v>
      </c>
      <c r="AI6491">
        <v>114.78283754998699</v>
      </c>
      <c r="AJ6491">
        <v>76.275630334884497</v>
      </c>
      <c r="AK6491">
        <v>0.528942750940679</v>
      </c>
    </row>
    <row r="6492" spans="1:37" x14ac:dyDescent="0.2">
      <c r="A6492" t="str">
        <f>"20200111153819036"</f>
        <v>20200111153819036</v>
      </c>
      <c r="B6492" t="str">
        <f>"1578728299030068"</f>
        <v>1578728299030068</v>
      </c>
      <c r="C6492" t="s">
        <v>37</v>
      </c>
      <c r="D6492">
        <v>5.8068089999999897</v>
      </c>
      <c r="E6492">
        <v>0.56211109999999997</v>
      </c>
      <c r="F6492" t="s">
        <v>38</v>
      </c>
      <c r="G6492">
        <v>-131.06030000000001</v>
      </c>
      <c r="H6492">
        <v>0.88818069999999905</v>
      </c>
      <c r="I6492">
        <v>139.19399999999999</v>
      </c>
      <c r="J6492">
        <v>-131.5882</v>
      </c>
      <c r="K6492">
        <v>1.1063769999999999</v>
      </c>
      <c r="L6492">
        <v>139.29079999999999</v>
      </c>
      <c r="M6492">
        <v>0.99775259999999999</v>
      </c>
      <c r="N6492">
        <v>0</v>
      </c>
      <c r="O6492">
        <v>6.1757510000000002E-2</v>
      </c>
      <c r="P6492">
        <v>0.99856520000000004</v>
      </c>
      <c r="Q6492">
        <v>-5.3716859999999996E-3</v>
      </c>
      <c r="R6492">
        <v>5.3282499999999997E-2</v>
      </c>
      <c r="S6492">
        <v>3.0194549999999998</v>
      </c>
      <c r="T6492">
        <v>-0.94230179999999997</v>
      </c>
      <c r="U6492">
        <v>-0.37124629999999997</v>
      </c>
      <c r="V6492">
        <v>8.5087879999999998E-3</v>
      </c>
      <c r="W6492">
        <v>2.06292E-2</v>
      </c>
      <c r="X6492">
        <v>0.99975099999999995</v>
      </c>
      <c r="Y6492">
        <v>0.1721336</v>
      </c>
      <c r="Z6492">
        <v>-4.491771E-2</v>
      </c>
      <c r="AA6492">
        <v>0.98404899999999995</v>
      </c>
      <c r="AB6492">
        <v>17</v>
      </c>
      <c r="AC6492">
        <v>0.52789999999998805</v>
      </c>
      <c r="AD6492">
        <v>-0.21819630000000001</v>
      </c>
      <c r="AE6492">
        <v>-9.6800000000001704E-2</v>
      </c>
      <c r="AF6492">
        <v>0.110898280622544</v>
      </c>
      <c r="AG6492">
        <v>-0.21819630000000001</v>
      </c>
      <c r="AH6492">
        <v>0.44702564186738802</v>
      </c>
      <c r="AI6492">
        <v>115.349088718823</v>
      </c>
      <c r="AJ6492">
        <v>76.067320814008099</v>
      </c>
      <c r="AK6492">
        <v>0.50964691548725805</v>
      </c>
    </row>
    <row r="6493" spans="1:37" x14ac:dyDescent="0.2">
      <c r="A6493" t="str">
        <f>"20200111153819059"</f>
        <v>20200111153819059</v>
      </c>
      <c r="B6493" t="str">
        <f>"1578728299049588"</f>
        <v>1578728299049588</v>
      </c>
      <c r="C6493" t="s">
        <v>37</v>
      </c>
      <c r="D6493">
        <v>5.7944529999999999</v>
      </c>
      <c r="E6493">
        <v>0.56204009999999904</v>
      </c>
      <c r="F6493" t="s">
        <v>38</v>
      </c>
      <c r="G6493">
        <v>-130.90629999999999</v>
      </c>
      <c r="H6493">
        <v>0.89370969999999905</v>
      </c>
      <c r="I6493">
        <v>139.20660000000001</v>
      </c>
      <c r="J6493">
        <v>-131.42019999999999</v>
      </c>
      <c r="K6493">
        <v>1.106152</v>
      </c>
      <c r="L6493">
        <v>139.30119999999999</v>
      </c>
      <c r="M6493">
        <v>0.9977644</v>
      </c>
      <c r="N6493">
        <v>0</v>
      </c>
      <c r="O6493">
        <v>6.180223E-2</v>
      </c>
      <c r="P6493">
        <v>0.99858959999999997</v>
      </c>
      <c r="Q6493">
        <v>-5.2684059999999998E-3</v>
      </c>
      <c r="R6493">
        <v>5.2831009999999998E-2</v>
      </c>
      <c r="S6493">
        <v>3.0190890000000001</v>
      </c>
      <c r="T6493">
        <v>-0.9416194</v>
      </c>
      <c r="U6493">
        <v>-0.37203979999999998</v>
      </c>
      <c r="V6493">
        <v>9.004728E-3</v>
      </c>
      <c r="W6493">
        <v>2.016534E-2</v>
      </c>
      <c r="X6493">
        <v>0.99975609999999904</v>
      </c>
      <c r="Y6493">
        <v>0.1724427</v>
      </c>
      <c r="Z6493">
        <v>-4.4951419999999999E-2</v>
      </c>
      <c r="AA6493">
        <v>0.98399340000000002</v>
      </c>
      <c r="AB6493">
        <v>17</v>
      </c>
      <c r="AC6493">
        <v>0.51390000000000602</v>
      </c>
      <c r="AD6493">
        <v>-0.2124423</v>
      </c>
      <c r="AE6493">
        <v>-9.4599999999985501E-2</v>
      </c>
      <c r="AF6493">
        <v>0.108290010424825</v>
      </c>
      <c r="AG6493">
        <v>-0.2124423</v>
      </c>
      <c r="AH6493">
        <v>0.43514295107401002</v>
      </c>
      <c r="AI6493">
        <v>115.349843074112</v>
      </c>
      <c r="AJ6493">
        <v>76.025206389419097</v>
      </c>
      <c r="AK6493">
        <v>0.49619335450658503</v>
      </c>
    </row>
    <row r="6494" spans="1:37" x14ac:dyDescent="0.2">
      <c r="A6494" t="str">
        <f>"20200111153819080"</f>
        <v>20200111153819080</v>
      </c>
      <c r="B6494" t="str">
        <f>"1578728299070085"</f>
        <v>1578728299070085</v>
      </c>
      <c r="C6494" t="s">
        <v>37</v>
      </c>
      <c r="D6494">
        <v>5.8372849999999996</v>
      </c>
      <c r="E6494">
        <v>0.56026480000000001</v>
      </c>
      <c r="F6494" t="s">
        <v>38</v>
      </c>
      <c r="G6494">
        <v>-130.7543</v>
      </c>
      <c r="H6494">
        <v>0.89902130000000002</v>
      </c>
      <c r="I6494">
        <v>139.21870000000001</v>
      </c>
      <c r="J6494">
        <v>-131.26179999999999</v>
      </c>
      <c r="K6494">
        <v>1.1061570000000001</v>
      </c>
      <c r="L6494">
        <v>139.31110000000001</v>
      </c>
      <c r="M6494">
        <v>0.9977589</v>
      </c>
      <c r="N6494">
        <v>0</v>
      </c>
      <c r="O6494">
        <v>6.1842620000000001E-2</v>
      </c>
      <c r="P6494">
        <v>0.99861580000000005</v>
      </c>
      <c r="Q6494">
        <v>-5.4234469999999996E-3</v>
      </c>
      <c r="R6494">
        <v>5.2319740000000003E-2</v>
      </c>
      <c r="S6494">
        <v>3.0190890000000001</v>
      </c>
      <c r="T6494">
        <v>-0.93900430000000001</v>
      </c>
      <c r="U6494">
        <v>-0.37429809999999902</v>
      </c>
      <c r="V6494">
        <v>9.5571949999999992E-3</v>
      </c>
      <c r="W6494">
        <v>2.0125290000000001E-2</v>
      </c>
      <c r="X6494">
        <v>0.99975179999999997</v>
      </c>
      <c r="Y6494">
        <v>0.17322969999999999</v>
      </c>
      <c r="Z6494">
        <v>-4.4961790000000001E-2</v>
      </c>
      <c r="AA6494">
        <v>0.98385460000000002</v>
      </c>
      <c r="AB6494">
        <v>17</v>
      </c>
      <c r="AC6494">
        <v>0.50749999999999296</v>
      </c>
      <c r="AD6494">
        <v>-0.20713570000000001</v>
      </c>
      <c r="AE6494">
        <v>-9.2399999999997803E-2</v>
      </c>
      <c r="AF6494">
        <v>0.106453721402364</v>
      </c>
      <c r="AG6494">
        <v>-0.20713570000000001</v>
      </c>
      <c r="AH6494">
        <v>0.43127305122584703</v>
      </c>
      <c r="AI6494">
        <v>114.999349539935</v>
      </c>
      <c r="AJ6494">
        <v>76.134502415886701</v>
      </c>
      <c r="AK6494">
        <v>0.490136754109049</v>
      </c>
    </row>
    <row r="6495" spans="1:37" x14ac:dyDescent="0.2">
      <c r="A6495" t="str">
        <f>"20200111153819105"</f>
        <v>20200111153819105</v>
      </c>
      <c r="B6495" t="str">
        <f>"1578728299099364"</f>
        <v>1578728299099364</v>
      </c>
      <c r="C6495" t="s">
        <v>37</v>
      </c>
      <c r="D6495">
        <v>5.8094380000000001</v>
      </c>
      <c r="E6495">
        <v>0.55876979999999998</v>
      </c>
      <c r="F6495" t="s">
        <v>38</v>
      </c>
      <c r="G6495">
        <v>-130.47450000000001</v>
      </c>
      <c r="H6495">
        <v>0.87125249999999999</v>
      </c>
      <c r="I6495">
        <v>139.21690000000001</v>
      </c>
      <c r="J6495">
        <v>-131.08930000000001</v>
      </c>
      <c r="K6495">
        <v>1.1062379999999901</v>
      </c>
      <c r="L6495">
        <v>139.3219</v>
      </c>
      <c r="M6495">
        <v>0.99774569999999996</v>
      </c>
      <c r="N6495">
        <v>0</v>
      </c>
      <c r="O6495">
        <v>6.1888739999999998E-2</v>
      </c>
      <c r="P6495">
        <v>0.99860759999999904</v>
      </c>
      <c r="Q6495">
        <v>-5.9346889999999999E-3</v>
      </c>
      <c r="R6495">
        <v>5.241498E-2</v>
      </c>
      <c r="S6495">
        <v>3.018173</v>
      </c>
      <c r="T6495">
        <v>-0.90045010000000003</v>
      </c>
      <c r="U6495">
        <v>-0.36103819999999998</v>
      </c>
      <c r="V6495">
        <v>9.5087260000000003E-3</v>
      </c>
      <c r="W6495">
        <v>2.0011339999999999E-2</v>
      </c>
      <c r="X6495">
        <v>0.99975449999999999</v>
      </c>
      <c r="Y6495">
        <v>0.17003879999999999</v>
      </c>
      <c r="Z6495">
        <v>-4.276539E-2</v>
      </c>
      <c r="AA6495">
        <v>0.98450899999999997</v>
      </c>
      <c r="AB6495">
        <v>16</v>
      </c>
      <c r="AC6495">
        <v>0.61480000000000201</v>
      </c>
      <c r="AD6495">
        <v>-0.23498549999999899</v>
      </c>
      <c r="AE6495">
        <v>-0.104999999999989</v>
      </c>
      <c r="AF6495">
        <v>0.12510258755384401</v>
      </c>
      <c r="AG6495">
        <v>-0.23498549999999899</v>
      </c>
      <c r="AH6495">
        <v>0.53165326241626198</v>
      </c>
      <c r="AI6495">
        <v>113.27928002808</v>
      </c>
      <c r="AJ6495">
        <v>76.758693564360797</v>
      </c>
      <c r="AK6495">
        <v>0.59457887118596098</v>
      </c>
    </row>
    <row r="6496" spans="1:37" x14ac:dyDescent="0.2">
      <c r="A6496" t="str">
        <f>"20200111153819129"</f>
        <v>20200111153819129</v>
      </c>
      <c r="B6496" t="str">
        <f>"1578728299119391"</f>
        <v>1578728299119391</v>
      </c>
      <c r="C6496" t="s">
        <v>37</v>
      </c>
      <c r="D6496">
        <v>5.8191119999999996</v>
      </c>
      <c r="E6496">
        <v>0.55900109999999903</v>
      </c>
      <c r="F6496" t="s">
        <v>38</v>
      </c>
      <c r="G6496">
        <v>-130.32980000000001</v>
      </c>
      <c r="H6496">
        <v>0.88058069999999899</v>
      </c>
      <c r="I6496">
        <v>139.2337</v>
      </c>
      <c r="J6496">
        <v>-130.92099999999999</v>
      </c>
      <c r="K6496">
        <v>1.1062339999999999</v>
      </c>
      <c r="L6496">
        <v>139.33240000000001</v>
      </c>
      <c r="M6496">
        <v>0.99774019999999997</v>
      </c>
      <c r="N6496">
        <v>0</v>
      </c>
      <c r="O6496">
        <v>6.193655E-2</v>
      </c>
      <c r="P6496">
        <v>0.9986062</v>
      </c>
      <c r="Q6496">
        <v>-6.451666E-3</v>
      </c>
      <c r="R6496">
        <v>5.2383730000000003E-2</v>
      </c>
      <c r="S6496">
        <v>3.017242</v>
      </c>
      <c r="T6496">
        <v>-0.89647849999999996</v>
      </c>
      <c r="U6496">
        <v>-0.35020449999999997</v>
      </c>
      <c r="V6496">
        <v>9.5879399999999997E-3</v>
      </c>
      <c r="W6496">
        <v>1.9597059999999999E-2</v>
      </c>
      <c r="X6496">
        <v>0.99976200000000004</v>
      </c>
      <c r="Y6496">
        <v>0.1668443</v>
      </c>
      <c r="Z6496">
        <v>-4.2155770000000002E-2</v>
      </c>
      <c r="AA6496">
        <v>0.98508169999999995</v>
      </c>
      <c r="AB6496">
        <v>16</v>
      </c>
      <c r="AC6496">
        <v>0.59119999999998596</v>
      </c>
      <c r="AD6496">
        <v>-0.2256533</v>
      </c>
      <c r="AE6496">
        <v>-9.8700000000008004E-2</v>
      </c>
      <c r="AF6496">
        <v>0.118363499401012</v>
      </c>
      <c r="AG6496">
        <v>-0.2256533</v>
      </c>
      <c r="AH6496">
        <v>0.51145775769143198</v>
      </c>
      <c r="AI6496">
        <v>113.259779825492</v>
      </c>
      <c r="AJ6496">
        <v>76.969780369139301</v>
      </c>
      <c r="AK6496">
        <v>0.57141785734617201</v>
      </c>
    </row>
    <row r="6497" spans="1:37" x14ac:dyDescent="0.2">
      <c r="A6497" t="str">
        <f>"20200111153819147"</f>
        <v>20200111153819147</v>
      </c>
      <c r="B6497" t="str">
        <f>"1578728299139888"</f>
        <v>1578728299139888</v>
      </c>
      <c r="C6497" t="s">
        <v>37</v>
      </c>
      <c r="D6497">
        <v>5.8328220000000002</v>
      </c>
      <c r="E6497">
        <v>0.55931090000000006</v>
      </c>
      <c r="F6497" t="s">
        <v>38</v>
      </c>
      <c r="G6497">
        <v>-130.18700000000001</v>
      </c>
      <c r="H6497">
        <v>0.88778690000000005</v>
      </c>
      <c r="I6497">
        <v>139.24629999999999</v>
      </c>
      <c r="J6497">
        <v>-130.78579999999999</v>
      </c>
      <c r="K6497">
        <v>1.1061809999999901</v>
      </c>
      <c r="L6497">
        <v>139.3408</v>
      </c>
      <c r="M6497">
        <v>0.99774119999999999</v>
      </c>
      <c r="N6497">
        <v>0</v>
      </c>
      <c r="O6497">
        <v>6.19737E-2</v>
      </c>
      <c r="P6497">
        <v>0.9985155</v>
      </c>
      <c r="Q6497">
        <v>-6.3493330000000004E-3</v>
      </c>
      <c r="R6497">
        <v>5.4101450000000002E-2</v>
      </c>
      <c r="S6497">
        <v>3.016953</v>
      </c>
      <c r="T6497">
        <v>-0.89782379999999995</v>
      </c>
      <c r="U6497">
        <v>-0.35342410000000002</v>
      </c>
      <c r="V6497">
        <v>7.9048909999999903E-3</v>
      </c>
      <c r="W6497">
        <v>1.9572260000000001E-2</v>
      </c>
      <c r="X6497">
        <v>0.99977719999999903</v>
      </c>
      <c r="Y6497">
        <v>0.16785449999999999</v>
      </c>
      <c r="Z6497">
        <v>-4.2375379999999997E-2</v>
      </c>
      <c r="AA6497">
        <v>0.98490059999999902</v>
      </c>
      <c r="AB6497">
        <v>16</v>
      </c>
      <c r="AC6497">
        <v>0.59879999999998201</v>
      </c>
      <c r="AD6497">
        <v>-0.21839409999999901</v>
      </c>
      <c r="AE6497">
        <v>-9.4500000000010603E-2</v>
      </c>
      <c r="AF6497">
        <v>0.116340906043031</v>
      </c>
      <c r="AG6497">
        <v>-0.21839409999999901</v>
      </c>
      <c r="AH6497">
        <v>0.52380602363361095</v>
      </c>
      <c r="AI6497">
        <v>112.147228727935</v>
      </c>
      <c r="AJ6497">
        <v>77.477491698450706</v>
      </c>
      <c r="AK6497">
        <v>0.57931333467181501</v>
      </c>
    </row>
    <row r="6498" spans="1:37" x14ac:dyDescent="0.2">
      <c r="A6498" t="str">
        <f>"20200111153819170"</f>
        <v>20200111153819170</v>
      </c>
      <c r="B6498" t="str">
        <f>"1578728299159407"</f>
        <v>1578728299159407</v>
      </c>
      <c r="C6498" t="s">
        <v>37</v>
      </c>
      <c r="D6498">
        <v>5.8401269999999998</v>
      </c>
      <c r="E6498">
        <v>0.55944759999999905</v>
      </c>
      <c r="F6498" t="s">
        <v>38</v>
      </c>
      <c r="G6498">
        <v>-130.0488</v>
      </c>
      <c r="H6498">
        <v>0.887370199999999</v>
      </c>
      <c r="I6498">
        <v>139.25470000000001</v>
      </c>
      <c r="J6498">
        <v>-130.636</v>
      </c>
      <c r="K6498">
        <v>1.106144</v>
      </c>
      <c r="L6498">
        <v>139.3502</v>
      </c>
      <c r="M6498">
        <v>0.99774219999999902</v>
      </c>
      <c r="N6498">
        <v>0</v>
      </c>
      <c r="O6498">
        <v>6.2012579999999998E-2</v>
      </c>
      <c r="P6498">
        <v>0.998434499999999</v>
      </c>
      <c r="Q6498">
        <v>-5.7459879999999996E-3</v>
      </c>
      <c r="R6498">
        <v>5.5638020000000003E-2</v>
      </c>
      <c r="S6498">
        <v>3.0178219999999998</v>
      </c>
      <c r="T6498">
        <v>-0.89600239999999998</v>
      </c>
      <c r="U6498">
        <v>-0.35209659999999998</v>
      </c>
      <c r="V6498">
        <v>6.4050440000000004E-3</v>
      </c>
      <c r="W6498">
        <v>2.0043760000000001E-2</v>
      </c>
      <c r="X6498">
        <v>0.99977859999999996</v>
      </c>
      <c r="Y6498">
        <v>0.16749029999999901</v>
      </c>
      <c r="Z6498">
        <v>-4.2240729999999997E-2</v>
      </c>
      <c r="AA6498">
        <v>0.98496839999999997</v>
      </c>
      <c r="AB6498">
        <v>16</v>
      </c>
      <c r="AC6498">
        <v>0.58719999999999495</v>
      </c>
      <c r="AD6498">
        <v>-0.21877379999999999</v>
      </c>
      <c r="AE6498">
        <v>-9.5499999999986998E-2</v>
      </c>
      <c r="AF6498">
        <v>0.116048470887155</v>
      </c>
      <c r="AG6498">
        <v>-0.21877379999999999</v>
      </c>
      <c r="AH6498">
        <v>0.51103630690782198</v>
      </c>
      <c r="AI6498">
        <v>112.65905956532799</v>
      </c>
      <c r="AJ6498">
        <v>77.205984309324094</v>
      </c>
      <c r="AK6498">
        <v>0.56787967928045502</v>
      </c>
    </row>
    <row r="6499" spans="1:37" x14ac:dyDescent="0.2">
      <c r="A6499" t="str">
        <f>"20200111153819192"</f>
        <v>20200111153819192</v>
      </c>
      <c r="B6499" t="str">
        <f>"1578728299189663"</f>
        <v>1578728299189663</v>
      </c>
      <c r="C6499" t="s">
        <v>37</v>
      </c>
      <c r="D6499">
        <v>5.8524010000000004</v>
      </c>
      <c r="E6499">
        <v>0.55957429999999997</v>
      </c>
      <c r="F6499" t="s">
        <v>38</v>
      </c>
      <c r="G6499">
        <v>-129.91120000000001</v>
      </c>
      <c r="H6499">
        <v>0.89157489999999995</v>
      </c>
      <c r="I6499">
        <v>139.2663</v>
      </c>
      <c r="J6499">
        <v>-130.4828</v>
      </c>
      <c r="K6499">
        <v>1.1061459999999901</v>
      </c>
      <c r="L6499">
        <v>139.35980000000001</v>
      </c>
      <c r="M6499">
        <v>0.99773979999999995</v>
      </c>
      <c r="N6499">
        <v>0</v>
      </c>
      <c r="O6499">
        <v>6.2051699999999897E-2</v>
      </c>
      <c r="P6499">
        <v>0.99832609999999999</v>
      </c>
      <c r="Q6499">
        <v>-6.2497719999999998E-3</v>
      </c>
      <c r="R6499">
        <v>5.7499540000000002E-2</v>
      </c>
      <c r="S6499">
        <v>3.019012</v>
      </c>
      <c r="T6499">
        <v>-0.8936752</v>
      </c>
      <c r="U6499">
        <v>-0.34907529999999998</v>
      </c>
      <c r="V6499">
        <v>4.5797959999999997E-3</v>
      </c>
      <c r="W6499">
        <v>1.953889E-2</v>
      </c>
      <c r="X6499">
        <v>0.99979859999999898</v>
      </c>
      <c r="Y6499">
        <v>0.16660339999999901</v>
      </c>
      <c r="Z6499">
        <v>-4.2005010000000002E-2</v>
      </c>
      <c r="AA6499">
        <v>0.98512889999999997</v>
      </c>
      <c r="AB6499">
        <v>16</v>
      </c>
      <c r="AC6499">
        <v>0.57159999999998901</v>
      </c>
      <c r="AD6499">
        <v>-0.21457109999999899</v>
      </c>
      <c r="AE6499">
        <v>-9.3500000000005898E-2</v>
      </c>
      <c r="AF6499">
        <v>0.11325657280936199</v>
      </c>
      <c r="AG6499">
        <v>-0.21457109999999899</v>
      </c>
      <c r="AH6499">
        <v>0.49654645214792198</v>
      </c>
      <c r="AI6499">
        <v>112.846021416499</v>
      </c>
      <c r="AJ6499">
        <v>77.151293040005299</v>
      </c>
      <c r="AK6499">
        <v>0.55265376808669398</v>
      </c>
    </row>
    <row r="6500" spans="1:37" x14ac:dyDescent="0.2">
      <c r="A6500" t="str">
        <f>"20200111153819216"</f>
        <v>20200111153819216</v>
      </c>
      <c r="B6500" t="str">
        <f>"1578728299210159"</f>
        <v>1578728299210159</v>
      </c>
      <c r="C6500" t="s">
        <v>37</v>
      </c>
      <c r="D6500">
        <v>5.861777</v>
      </c>
      <c r="E6500">
        <v>0.55971179999999998</v>
      </c>
      <c r="F6500" t="s">
        <v>38</v>
      </c>
      <c r="G6500">
        <v>-129.7757</v>
      </c>
      <c r="H6500">
        <v>0.89655659999999904</v>
      </c>
      <c r="I6500">
        <v>139.27889999999999</v>
      </c>
      <c r="J6500">
        <v>-130.33179999999999</v>
      </c>
      <c r="K6500">
        <v>1.1062049999999899</v>
      </c>
      <c r="L6500">
        <v>139.36920000000001</v>
      </c>
      <c r="M6500">
        <v>0.99773149999999999</v>
      </c>
      <c r="N6500">
        <v>0</v>
      </c>
      <c r="O6500">
        <v>6.2090159999999998E-2</v>
      </c>
      <c r="P6500">
        <v>0.99822219999999995</v>
      </c>
      <c r="Q6500">
        <v>-6.7358590000000003E-3</v>
      </c>
      <c r="R6500">
        <v>5.9220399999999999E-2</v>
      </c>
      <c r="S6500">
        <v>3.0192869999999998</v>
      </c>
      <c r="T6500">
        <v>-0.89494969999999996</v>
      </c>
      <c r="U6500">
        <v>-0.34526059999999997</v>
      </c>
      <c r="V6500">
        <v>2.8947280000000001E-3</v>
      </c>
      <c r="W6500">
        <v>1.9278590000000002E-2</v>
      </c>
      <c r="X6500">
        <v>0.99980999999999998</v>
      </c>
      <c r="Y6500">
        <v>0.1654246</v>
      </c>
      <c r="Z6500">
        <v>-4.1902219999999997E-2</v>
      </c>
      <c r="AA6500">
        <v>0.98533189999999904</v>
      </c>
      <c r="AB6500">
        <v>15</v>
      </c>
      <c r="AC6500">
        <v>0.55609999999998605</v>
      </c>
      <c r="AD6500">
        <v>-0.20964839999999901</v>
      </c>
      <c r="AE6500">
        <v>-9.03000000000133E-2</v>
      </c>
      <c r="AF6500">
        <v>0.109502248442067</v>
      </c>
      <c r="AG6500">
        <v>-0.20964839999999901</v>
      </c>
      <c r="AH6500">
        <v>0.48259048032885898</v>
      </c>
      <c r="AI6500">
        <v>112.960127433672</v>
      </c>
      <c r="AJ6500">
        <v>77.215763645896502</v>
      </c>
      <c r="AK6500">
        <v>0.537435359592637</v>
      </c>
    </row>
    <row r="6501" spans="1:37" x14ac:dyDescent="0.2">
      <c r="A6501" t="str">
        <f>"20200111153819238"</f>
        <v>20200111153819238</v>
      </c>
      <c r="B6501" t="str">
        <f>"1578728299229680"</f>
        <v>1578728299229680</v>
      </c>
      <c r="C6501" t="s">
        <v>37</v>
      </c>
      <c r="D6501">
        <v>5.8850030000000002</v>
      </c>
      <c r="E6501">
        <v>0.55978359999999905</v>
      </c>
      <c r="F6501" t="s">
        <v>38</v>
      </c>
      <c r="G6501">
        <v>-129.643</v>
      </c>
      <c r="H6501">
        <v>0.90202019999999905</v>
      </c>
      <c r="I6501">
        <v>139.29130000000001</v>
      </c>
      <c r="J6501">
        <v>-130.18870000000001</v>
      </c>
      <c r="K6501">
        <v>1.1062650000000001</v>
      </c>
      <c r="L6501">
        <v>139.37819999999999</v>
      </c>
      <c r="M6501">
        <v>0.99772260000000002</v>
      </c>
      <c r="N6501">
        <v>0</v>
      </c>
      <c r="O6501">
        <v>6.2126639999999997E-2</v>
      </c>
      <c r="P6501">
        <v>0.99813430000000003</v>
      </c>
      <c r="Q6501">
        <v>-7.42756199999999E-3</v>
      </c>
      <c r="R6501">
        <v>6.060807E-2</v>
      </c>
      <c r="S6501">
        <v>3.0195620000000001</v>
      </c>
      <c r="T6501">
        <v>-0.89514099999999996</v>
      </c>
      <c r="U6501">
        <v>-0.34149170000000001</v>
      </c>
      <c r="V6501">
        <v>1.5413460000000001E-3</v>
      </c>
      <c r="W6501">
        <v>1.884665E-2</v>
      </c>
      <c r="X6501">
        <v>0.99982119999999997</v>
      </c>
      <c r="Y6501">
        <v>0.16427990000000001</v>
      </c>
      <c r="Z6501">
        <v>-4.1754850000000003E-2</v>
      </c>
      <c r="AA6501">
        <v>0.98552960000000001</v>
      </c>
      <c r="AB6501">
        <v>15</v>
      </c>
      <c r="AC6501">
        <v>0.54570000000000995</v>
      </c>
      <c r="AD6501">
        <v>-0.2042448</v>
      </c>
      <c r="AE6501">
        <v>-8.6899999999985697E-2</v>
      </c>
      <c r="AF6501">
        <v>0.106144617514185</v>
      </c>
      <c r="AG6501">
        <v>-0.2042448</v>
      </c>
      <c r="AH6501">
        <v>0.47442758333521201</v>
      </c>
      <c r="AI6501">
        <v>112.788320255659</v>
      </c>
      <c r="AJ6501">
        <v>77.388787246045098</v>
      </c>
      <c r="AK6501">
        <v>0.52731788323890705</v>
      </c>
    </row>
    <row r="6502" spans="1:37" x14ac:dyDescent="0.2">
      <c r="A6502" t="str">
        <f>"20200111153819258"</f>
        <v>20200111153819258</v>
      </c>
      <c r="B6502" t="str">
        <f>"1578728299250175"</f>
        <v>1578728299250175</v>
      </c>
      <c r="C6502" t="s">
        <v>37</v>
      </c>
      <c r="D6502">
        <v>5.8838530000000002</v>
      </c>
      <c r="E6502">
        <v>0.55980369999999902</v>
      </c>
      <c r="F6502" t="s">
        <v>38</v>
      </c>
      <c r="G6502">
        <v>-129.51349999999999</v>
      </c>
      <c r="H6502">
        <v>0.90565030000000002</v>
      </c>
      <c r="I6502">
        <v>139.30269999999999</v>
      </c>
      <c r="J6502">
        <v>-130.05279999999999</v>
      </c>
      <c r="K6502">
        <v>1.1062459999999901</v>
      </c>
      <c r="L6502">
        <v>139.38669999999999</v>
      </c>
      <c r="M6502">
        <v>0.99772099999999897</v>
      </c>
      <c r="N6502">
        <v>0</v>
      </c>
      <c r="O6502">
        <v>6.2160340000000001E-2</v>
      </c>
      <c r="P6502">
        <v>0.99809629999999905</v>
      </c>
      <c r="Q6502">
        <v>-8.3020479999999994E-3</v>
      </c>
      <c r="R6502">
        <v>6.111449E-2</v>
      </c>
      <c r="S6502">
        <v>3.0194549999999998</v>
      </c>
      <c r="T6502">
        <v>-0.89711919999999901</v>
      </c>
      <c r="U6502">
        <v>-0.337677</v>
      </c>
      <c r="V6502">
        <v>1.067442E-3</v>
      </c>
      <c r="W6502">
        <v>1.7951780000000001E-2</v>
      </c>
      <c r="X6502">
        <v>0.99983829999999996</v>
      </c>
      <c r="Y6502">
        <v>0.16309270000000001</v>
      </c>
      <c r="Z6502">
        <v>-4.1684980000000003E-2</v>
      </c>
      <c r="AA6502">
        <v>0.98572979999999999</v>
      </c>
      <c r="AB6502">
        <v>15</v>
      </c>
      <c r="AC6502">
        <v>0.539299999999997</v>
      </c>
      <c r="AD6502">
        <v>-0.20059569999999899</v>
      </c>
      <c r="AE6502">
        <v>-8.40000000000031E-2</v>
      </c>
      <c r="AF6502">
        <v>0.10340476716142299</v>
      </c>
      <c r="AG6502">
        <v>-0.20059569999999899</v>
      </c>
      <c r="AH6502">
        <v>0.46960203759489599</v>
      </c>
      <c r="AI6502">
        <v>112.64429961799399</v>
      </c>
      <c r="AJ6502">
        <v>77.581838157753296</v>
      </c>
      <c r="AK6502">
        <v>0.52101559904044703</v>
      </c>
    </row>
    <row r="6503" spans="1:37" x14ac:dyDescent="0.2">
      <c r="A6503" t="str">
        <f>"20200111153819282"</f>
        <v>20200111153819282</v>
      </c>
      <c r="B6503" t="str">
        <f>"1578728299280431"</f>
        <v>1578728299280431</v>
      </c>
      <c r="C6503" t="s">
        <v>37</v>
      </c>
      <c r="D6503">
        <v>5.9023870000000001</v>
      </c>
      <c r="E6503">
        <v>0.55997159999999901</v>
      </c>
      <c r="F6503" t="s">
        <v>38</v>
      </c>
      <c r="G6503">
        <v>-129.386</v>
      </c>
      <c r="H6503">
        <v>0.90764500000000004</v>
      </c>
      <c r="I6503">
        <v>139.3124</v>
      </c>
      <c r="J6503">
        <v>-129.91120000000001</v>
      </c>
      <c r="K6503">
        <v>1.106179</v>
      </c>
      <c r="L6503">
        <v>139.3956</v>
      </c>
      <c r="M6503">
        <v>0.99772549999999904</v>
      </c>
      <c r="N6503">
        <v>0</v>
      </c>
      <c r="O6503">
        <v>6.2195779999999999E-2</v>
      </c>
      <c r="P6503">
        <v>0.99813109999999905</v>
      </c>
      <c r="Q6503">
        <v>-8.6397039999999998E-3</v>
      </c>
      <c r="R6503">
        <v>6.049703E-2</v>
      </c>
      <c r="S6503">
        <v>3.0188449999999998</v>
      </c>
      <c r="T6503">
        <v>-0.89916839999999998</v>
      </c>
      <c r="U6503">
        <v>-0.33631899999999998</v>
      </c>
      <c r="V6503">
        <v>1.72082299999999E-3</v>
      </c>
      <c r="W6503">
        <v>1.7352490000000002E-2</v>
      </c>
      <c r="X6503">
        <v>0.99984789999999901</v>
      </c>
      <c r="Y6503">
        <v>0.16267999999999999</v>
      </c>
      <c r="Z6503">
        <v>-4.1735439999999999E-2</v>
      </c>
      <c r="AA6503">
        <v>0.9857958</v>
      </c>
      <c r="AB6503">
        <v>14</v>
      </c>
      <c r="AC6503">
        <v>0.52520000000001199</v>
      </c>
      <c r="AD6503">
        <v>-0.19853399999999999</v>
      </c>
      <c r="AE6503">
        <v>-8.3200000000005006E-2</v>
      </c>
      <c r="AF6503">
        <v>0.10155809762076499</v>
      </c>
      <c r="AG6503">
        <v>-0.19853399999999999</v>
      </c>
      <c r="AH6503">
        <v>0.455509094658959</v>
      </c>
      <c r="AI6503">
        <v>113.045181359789</v>
      </c>
      <c r="AJ6503">
        <v>77.431181120185698</v>
      </c>
      <c r="AK6503">
        <v>0.50716696626000102</v>
      </c>
    </row>
    <row r="6504" spans="1:37" x14ac:dyDescent="0.2">
      <c r="A6504" t="str">
        <f>"20200111153819304"</f>
        <v>20200111153819304</v>
      </c>
      <c r="B6504" t="str">
        <f>"1578728299299951"</f>
        <v>1578728299299951</v>
      </c>
      <c r="C6504" t="s">
        <v>37</v>
      </c>
      <c r="D6504">
        <v>5.8691040000000001</v>
      </c>
      <c r="E6504">
        <v>0.55977869999999996</v>
      </c>
      <c r="F6504" t="s">
        <v>38</v>
      </c>
      <c r="G6504">
        <v>-129.1481</v>
      </c>
      <c r="H6504">
        <v>0.87907619999999898</v>
      </c>
      <c r="I6504">
        <v>139.30969999999999</v>
      </c>
      <c r="J6504">
        <v>-129.76949999999999</v>
      </c>
      <c r="K6504">
        <v>1.106139</v>
      </c>
      <c r="L6504">
        <v>139.40450000000001</v>
      </c>
      <c r="M6504">
        <v>0.99772879999999997</v>
      </c>
      <c r="N6504">
        <v>0</v>
      </c>
      <c r="O6504">
        <v>6.2232450000000002E-2</v>
      </c>
      <c r="P6504">
        <v>0.99815909999999997</v>
      </c>
      <c r="Q6504">
        <v>-9.0571809999999992E-3</v>
      </c>
      <c r="R6504">
        <v>5.9973520000000002E-2</v>
      </c>
      <c r="S6504">
        <v>3.0184169999999999</v>
      </c>
      <c r="T6504">
        <v>-0.89828220000000003</v>
      </c>
      <c r="U6504">
        <v>-0.33964539999999999</v>
      </c>
      <c r="V6504">
        <v>2.2815140000000001E-3</v>
      </c>
      <c r="W6504">
        <v>1.672268E-2</v>
      </c>
      <c r="X6504">
        <v>0.99985749999999995</v>
      </c>
      <c r="Y6504">
        <v>0.1637729</v>
      </c>
      <c r="Z6504">
        <v>-4.186865E-2</v>
      </c>
      <c r="AA6504">
        <v>0.98560919999999896</v>
      </c>
      <c r="AB6504">
        <v>14</v>
      </c>
      <c r="AC6504">
        <v>0.62139999999999396</v>
      </c>
      <c r="AD6504">
        <v>-0.22706280000000001</v>
      </c>
      <c r="AE6504">
        <v>-9.4800000000020604E-2</v>
      </c>
      <c r="AF6504">
        <v>0.11791428679649001</v>
      </c>
      <c r="AG6504">
        <v>-0.22706280000000001</v>
      </c>
      <c r="AH6504">
        <v>0.54338946604909699</v>
      </c>
      <c r="AI6504">
        <v>112.213139450103</v>
      </c>
      <c r="AJ6504">
        <v>77.756759953366497</v>
      </c>
      <c r="AK6504">
        <v>0.60061086069741398</v>
      </c>
    </row>
    <row r="6505" spans="1:37" x14ac:dyDescent="0.2">
      <c r="A6505" t="str">
        <f>"20200111153819326"</f>
        <v>20200111153819326</v>
      </c>
      <c r="B6505" t="str">
        <f>"1578728299320042"</f>
        <v>1578728299320042</v>
      </c>
      <c r="C6505" t="s">
        <v>37</v>
      </c>
      <c r="D6505">
        <v>5.9114449999999996</v>
      </c>
      <c r="E6505">
        <v>0.5596892</v>
      </c>
      <c r="F6505" t="s">
        <v>38</v>
      </c>
      <c r="G6505">
        <v>-129.0248</v>
      </c>
      <c r="H6505">
        <v>0.88452989999999998</v>
      </c>
      <c r="I6505">
        <v>139.32040000000001</v>
      </c>
      <c r="J6505">
        <v>-129.63829999999999</v>
      </c>
      <c r="K6505">
        <v>1.1061270000000001</v>
      </c>
      <c r="L6505">
        <v>139.4127</v>
      </c>
      <c r="M6505">
        <v>0.99772890000000003</v>
      </c>
      <c r="N6505">
        <v>0</v>
      </c>
      <c r="O6505">
        <v>6.226756E-2</v>
      </c>
      <c r="P6505">
        <v>0.99820949999999997</v>
      </c>
      <c r="Q6505">
        <v>-9.0666380000000001E-3</v>
      </c>
      <c r="R6505">
        <v>5.9128119999999999E-2</v>
      </c>
      <c r="S6505">
        <v>3.017868</v>
      </c>
      <c r="T6505">
        <v>-0.89797009999999899</v>
      </c>
      <c r="U6505">
        <v>-0.34068300000000001</v>
      </c>
      <c r="V6505">
        <v>3.1634990000000002E-3</v>
      </c>
      <c r="W6505">
        <v>1.6626849999999999E-2</v>
      </c>
      <c r="X6505">
        <v>0.99985679999999999</v>
      </c>
      <c r="Y6505">
        <v>0.16414799999999999</v>
      </c>
      <c r="Z6505">
        <v>-4.1925869999999997E-2</v>
      </c>
      <c r="AA6505">
        <v>0.98554430000000004</v>
      </c>
      <c r="AB6505">
        <v>14</v>
      </c>
      <c r="AC6505">
        <v>0.61349999999998694</v>
      </c>
      <c r="AD6505">
        <v>-0.22159709999999999</v>
      </c>
      <c r="AE6505">
        <v>-9.2299999999994498E-2</v>
      </c>
      <c r="AF6505">
        <v>0.11558795721784999</v>
      </c>
      <c r="AG6505">
        <v>-0.22159709999999999</v>
      </c>
      <c r="AH6505">
        <v>0.53793093827994798</v>
      </c>
      <c r="AI6505">
        <v>111.937138456141</v>
      </c>
      <c r="AJ6505">
        <v>77.8729607723199</v>
      </c>
      <c r="AK6505">
        <v>0.59315726830323101</v>
      </c>
    </row>
    <row r="6506" spans="1:37" x14ac:dyDescent="0.2">
      <c r="A6506" t="str">
        <f>"20200111153819349"</f>
        <v>20200111153819349</v>
      </c>
      <c r="B6506" t="str">
        <f>"1578728299339561"</f>
        <v>1578728299339561</v>
      </c>
      <c r="C6506" t="s">
        <v>37</v>
      </c>
      <c r="D6506">
        <v>5.9012260000000003</v>
      </c>
      <c r="E6506">
        <v>0.55940489999999998</v>
      </c>
      <c r="F6506" t="s">
        <v>38</v>
      </c>
      <c r="G6506">
        <v>-128.90430000000001</v>
      </c>
      <c r="H6506">
        <v>0.8880652</v>
      </c>
      <c r="I6506">
        <v>139.32919999999999</v>
      </c>
      <c r="J6506">
        <v>-129.506</v>
      </c>
      <c r="K6506">
        <v>1.1061270000000001</v>
      </c>
      <c r="L6506">
        <v>139.42099999999999</v>
      </c>
      <c r="M6506">
        <v>0.99772830000000001</v>
      </c>
      <c r="N6506">
        <v>0</v>
      </c>
      <c r="O6506">
        <v>6.2303230000000001E-2</v>
      </c>
      <c r="P6506">
        <v>0.99825680000000006</v>
      </c>
      <c r="Q6506">
        <v>-9.1129239999999997E-3</v>
      </c>
      <c r="R6506">
        <v>5.8313980000000001E-2</v>
      </c>
      <c r="S6506">
        <v>3.0175779999999999</v>
      </c>
      <c r="T6506">
        <v>-0.89641930000000003</v>
      </c>
      <c r="U6506">
        <v>-0.34321590000000002</v>
      </c>
      <c r="V6506">
        <v>4.0147409999999996E-3</v>
      </c>
      <c r="W6506">
        <v>1.651099E-2</v>
      </c>
      <c r="X6506">
        <v>0.99985559999999996</v>
      </c>
      <c r="Y6506">
        <v>0.16500429999999999</v>
      </c>
      <c r="Z6506">
        <v>-4.1992979999999999E-2</v>
      </c>
      <c r="AA6506">
        <v>0.98539849999999996</v>
      </c>
      <c r="AB6506">
        <v>14</v>
      </c>
      <c r="AC6506">
        <v>0.60169999999999302</v>
      </c>
      <c r="AD6506">
        <v>-0.2180618</v>
      </c>
      <c r="AE6506">
        <v>-9.1800000000006293E-2</v>
      </c>
      <c r="AF6506">
        <v>0.11443378698633599</v>
      </c>
      <c r="AG6506">
        <v>-0.2180618</v>
      </c>
      <c r="AH6506">
        <v>0.52714795751980204</v>
      </c>
      <c r="AI6506">
        <v>112.010927222741</v>
      </c>
      <c r="AJ6506">
        <v>77.752206136764201</v>
      </c>
      <c r="AK6506">
        <v>0.58183417684128302</v>
      </c>
    </row>
    <row r="6507" spans="1:37" x14ac:dyDescent="0.2">
      <c r="A6507" t="str">
        <f>"20200111153819371"</f>
        <v>20200111153819371</v>
      </c>
      <c r="B6507" t="str">
        <f>"1578728299360057"</f>
        <v>1578728299360057</v>
      </c>
      <c r="C6507" t="s">
        <v>37</v>
      </c>
      <c r="D6507">
        <v>5.9140969999999999</v>
      </c>
      <c r="E6507">
        <v>0.55954530000000002</v>
      </c>
      <c r="F6507" t="s">
        <v>38</v>
      </c>
      <c r="G6507">
        <v>-128.78540000000001</v>
      </c>
      <c r="H6507">
        <v>0.89249419999999902</v>
      </c>
      <c r="I6507">
        <v>139.33879999999999</v>
      </c>
      <c r="J6507">
        <v>-129.3759</v>
      </c>
      <c r="K6507">
        <v>1.1061049999999999</v>
      </c>
      <c r="L6507">
        <v>139.42920000000001</v>
      </c>
      <c r="M6507">
        <v>0.99772999999999901</v>
      </c>
      <c r="N6507">
        <v>0</v>
      </c>
      <c r="O6507">
        <v>6.2337539999999997E-2</v>
      </c>
      <c r="P6507">
        <v>0.99826740000000003</v>
      </c>
      <c r="Q6507">
        <v>-9.3251169999999904E-3</v>
      </c>
      <c r="R6507">
        <v>5.8100550000000001E-2</v>
      </c>
      <c r="S6507">
        <v>3.0171199999999998</v>
      </c>
      <c r="T6507">
        <v>-0.89448709999999898</v>
      </c>
      <c r="U6507">
        <v>-0.34356690000000001</v>
      </c>
      <c r="V6507">
        <v>4.2624550000000001E-3</v>
      </c>
      <c r="W6507">
        <v>1.61496E-2</v>
      </c>
      <c r="X6507">
        <v>0.99986049999999904</v>
      </c>
      <c r="Y6507">
        <v>0.1651965</v>
      </c>
      <c r="Z6507">
        <v>-4.194966E-2</v>
      </c>
      <c r="AA6507">
        <v>0.98536809999999997</v>
      </c>
      <c r="AB6507">
        <v>13</v>
      </c>
      <c r="AC6507">
        <v>0.59049999999999103</v>
      </c>
      <c r="AD6507">
        <v>-0.21361079999999999</v>
      </c>
      <c r="AE6507">
        <v>-9.0400000000016606E-2</v>
      </c>
      <c r="AF6507">
        <v>0.11264338932241499</v>
      </c>
      <c r="AG6507">
        <v>-0.21361079999999999</v>
      </c>
      <c r="AH6507">
        <v>0.51753941045174801</v>
      </c>
      <c r="AI6507">
        <v>111.96426678285999</v>
      </c>
      <c r="AJ6507">
        <v>77.720974730443899</v>
      </c>
      <c r="AK6507">
        <v>0.57110870104160005</v>
      </c>
    </row>
    <row r="6508" spans="1:37" x14ac:dyDescent="0.2">
      <c r="A6508" t="str">
        <f>"20200111153819394"</f>
        <v>20200111153819394</v>
      </c>
      <c r="B6508" t="str">
        <f>"1578728299390313"</f>
        <v>1578728299390313</v>
      </c>
      <c r="C6508" t="s">
        <v>37</v>
      </c>
      <c r="D6508">
        <v>5.8997719999999996</v>
      </c>
      <c r="E6508">
        <v>0.55982100000000001</v>
      </c>
      <c r="F6508" t="s">
        <v>38</v>
      </c>
      <c r="G6508">
        <v>-128.66829999999999</v>
      </c>
      <c r="H6508">
        <v>0.89637160000000005</v>
      </c>
      <c r="I6508">
        <v>139.34799999999899</v>
      </c>
      <c r="J6508">
        <v>-129.24959999999999</v>
      </c>
      <c r="K6508">
        <v>1.1060669999999999</v>
      </c>
      <c r="L6508">
        <v>139.43709999999999</v>
      </c>
      <c r="M6508">
        <v>0.99773349999999905</v>
      </c>
      <c r="N6508">
        <v>0</v>
      </c>
      <c r="O6508">
        <v>6.2370399999999999E-2</v>
      </c>
      <c r="P6508">
        <v>0.99825390000000003</v>
      </c>
      <c r="Q6508">
        <v>-9.8789189999999999E-3</v>
      </c>
      <c r="R6508">
        <v>5.8238810000000002E-2</v>
      </c>
      <c r="S6508">
        <v>3.0169679999999999</v>
      </c>
      <c r="T6508">
        <v>-0.8942367</v>
      </c>
      <c r="U6508">
        <v>-0.34570309999999999</v>
      </c>
      <c r="V6508">
        <v>4.156313E-3</v>
      </c>
      <c r="W6508">
        <v>1.5377699999999999E-2</v>
      </c>
      <c r="X6508">
        <v>0.99987309999999996</v>
      </c>
      <c r="Y6508">
        <v>0.16589690000000001</v>
      </c>
      <c r="Z6508">
        <v>-4.2049660000000003E-2</v>
      </c>
      <c r="AA6508">
        <v>0.98524619999999996</v>
      </c>
      <c r="AB6508">
        <v>13</v>
      </c>
      <c r="AC6508">
        <v>0.58129999999999804</v>
      </c>
      <c r="AD6508">
        <v>-0.209695399999999</v>
      </c>
      <c r="AE6508">
        <v>-8.91000000000019E-2</v>
      </c>
      <c r="AF6508">
        <v>0.111071901714629</v>
      </c>
      <c r="AG6508">
        <v>-0.209695399999999</v>
      </c>
      <c r="AH6508">
        <v>0.50979213184043703</v>
      </c>
      <c r="AI6508">
        <v>111.89550975054399</v>
      </c>
      <c r="AJ6508">
        <v>77.708664864971794</v>
      </c>
      <c r="AK6508">
        <v>0.56231409889676498</v>
      </c>
    </row>
    <row r="6509" spans="1:37" x14ac:dyDescent="0.2">
      <c r="A6509" t="str">
        <f>"20200111153819416"</f>
        <v>20200111153819416</v>
      </c>
      <c r="B6509" t="str">
        <f>"1578728299409833"</f>
        <v>1578728299409833</v>
      </c>
      <c r="C6509" t="s">
        <v>37</v>
      </c>
      <c r="D6509">
        <v>5.9345759999999999</v>
      </c>
      <c r="E6509">
        <v>0.55994679999999997</v>
      </c>
      <c r="F6509" t="s">
        <v>38</v>
      </c>
      <c r="G6509">
        <v>-128.5531</v>
      </c>
      <c r="H6509">
        <v>0.89962260000000005</v>
      </c>
      <c r="I6509">
        <v>139.3569</v>
      </c>
      <c r="J6509">
        <v>-129.1206</v>
      </c>
      <c r="K6509">
        <v>1.106036</v>
      </c>
      <c r="L6509">
        <v>139.4452</v>
      </c>
      <c r="M6509">
        <v>0.99773719999999999</v>
      </c>
      <c r="N6509">
        <v>0</v>
      </c>
      <c r="O6509">
        <v>6.2404460000000002E-2</v>
      </c>
      <c r="P6509">
        <v>0.99821349999999998</v>
      </c>
      <c r="Q6509">
        <v>-9.7684520000000004E-3</v>
      </c>
      <c r="R6509">
        <v>5.8942349999999998E-2</v>
      </c>
      <c r="S6509">
        <v>3.01667799999999</v>
      </c>
      <c r="T6509">
        <v>-0.89420339999999998</v>
      </c>
      <c r="U6509">
        <v>-0.34747309999999998</v>
      </c>
      <c r="V6509">
        <v>3.4854370000000001E-3</v>
      </c>
      <c r="W6509">
        <v>1.525659E-2</v>
      </c>
      <c r="X6509">
        <v>0.99987749999999997</v>
      </c>
      <c r="Y6509">
        <v>0.16648450000000001</v>
      </c>
      <c r="Z6509">
        <v>-4.2145519999999999E-2</v>
      </c>
      <c r="AA6509">
        <v>0.98514290000000004</v>
      </c>
      <c r="AB6509">
        <v>13</v>
      </c>
      <c r="AC6509">
        <v>0.56749999999999501</v>
      </c>
      <c r="AD6509">
        <v>-0.2064134</v>
      </c>
      <c r="AE6509">
        <v>-8.8300000000003806E-2</v>
      </c>
      <c r="AF6509">
        <v>0.109419862316756</v>
      </c>
      <c r="AG6509">
        <v>-0.2064134</v>
      </c>
      <c r="AH6509">
        <v>0.49672072192647598</v>
      </c>
      <c r="AI6509">
        <v>112.088422957614</v>
      </c>
      <c r="AJ6509">
        <v>77.5770357718078</v>
      </c>
      <c r="AK6509">
        <v>0.54891772931846305</v>
      </c>
    </row>
    <row r="6510" spans="1:37" x14ac:dyDescent="0.2">
      <c r="A6510" t="str">
        <f>"20200111153819438"</f>
        <v>20200111153819438</v>
      </c>
      <c r="B6510" t="str">
        <f>"1578728299430066"</f>
        <v>1578728299430066</v>
      </c>
      <c r="C6510" t="s">
        <v>37</v>
      </c>
      <c r="D6510">
        <v>5.9114579999999997</v>
      </c>
      <c r="E6510">
        <v>0.56002730000000001</v>
      </c>
      <c r="F6510" t="s">
        <v>38</v>
      </c>
      <c r="G6510">
        <v>-128.4392</v>
      </c>
      <c r="H6510">
        <v>0.90444550000000001</v>
      </c>
      <c r="I6510">
        <v>139.36699999999999</v>
      </c>
      <c r="J6510">
        <v>-128.9982</v>
      </c>
      <c r="K6510">
        <v>1.106025</v>
      </c>
      <c r="L6510">
        <v>139.4529</v>
      </c>
      <c r="M6510">
        <v>0.99773999999999996</v>
      </c>
      <c r="N6510">
        <v>0</v>
      </c>
      <c r="O6510">
        <v>6.2437020000000003E-2</v>
      </c>
      <c r="P6510">
        <v>0.99817160000000005</v>
      </c>
      <c r="Q6510">
        <v>-9.5809680000000005E-3</v>
      </c>
      <c r="R6510">
        <v>5.9681409999999997E-2</v>
      </c>
      <c r="S6510">
        <v>3.0171049999999999</v>
      </c>
      <c r="T6510">
        <v>-0.89271579999999995</v>
      </c>
      <c r="U6510">
        <v>-0.34666439999999998</v>
      </c>
      <c r="V6510">
        <v>2.7775320000000001E-3</v>
      </c>
      <c r="W6510">
        <v>1.5252780000000001E-2</v>
      </c>
      <c r="X6510">
        <v>0.99987979999999999</v>
      </c>
      <c r="Y6510">
        <v>0.16628119999999999</v>
      </c>
      <c r="Z6510">
        <v>-4.2053100000000003E-2</v>
      </c>
      <c r="AA6510">
        <v>0.98518130000000004</v>
      </c>
      <c r="AB6510">
        <v>13</v>
      </c>
      <c r="AC6510">
        <v>0.55899999999999705</v>
      </c>
      <c r="AD6510">
        <v>-0.20157949999999999</v>
      </c>
      <c r="AE6510">
        <v>-8.5899999999980894E-2</v>
      </c>
      <c r="AF6510">
        <v>0.107046412057571</v>
      </c>
      <c r="AG6510">
        <v>-0.20157949999999999</v>
      </c>
      <c r="AH6510">
        <v>0.490261868949531</v>
      </c>
      <c r="AI6510">
        <v>111.885473596598</v>
      </c>
      <c r="AJ6510">
        <v>77.683039148960304</v>
      </c>
      <c r="AK6510">
        <v>0.54078639896038105</v>
      </c>
    </row>
    <row r="6511" spans="1:37" x14ac:dyDescent="0.2">
      <c r="A6511" t="str">
        <f>"20200111153819461"</f>
        <v>20200111153819461</v>
      </c>
      <c r="B6511" t="str">
        <f>"1578728299449586"</f>
        <v>1578728299449586</v>
      </c>
      <c r="C6511" t="s">
        <v>37</v>
      </c>
      <c r="D6511">
        <v>5.9206269999999996</v>
      </c>
      <c r="E6511">
        <v>0.56008059999999904</v>
      </c>
      <c r="F6511" t="s">
        <v>38</v>
      </c>
      <c r="G6511">
        <v>-128.32749999999999</v>
      </c>
      <c r="H6511">
        <v>0.90799889999999905</v>
      </c>
      <c r="I6511">
        <v>139.37610000000001</v>
      </c>
      <c r="J6511">
        <v>-128.87970000000001</v>
      </c>
      <c r="K6511">
        <v>1.106017</v>
      </c>
      <c r="L6511">
        <v>139.46039999999999</v>
      </c>
      <c r="M6511">
        <v>0.99774219999999902</v>
      </c>
      <c r="N6511">
        <v>0</v>
      </c>
      <c r="O6511">
        <v>6.2469249999999997E-2</v>
      </c>
      <c r="P6511">
        <v>0.99813799999999997</v>
      </c>
      <c r="Q6511">
        <v>-8.7270160000000006E-3</v>
      </c>
      <c r="R6511">
        <v>6.0373950000000003E-2</v>
      </c>
      <c r="S6511">
        <v>3.017563</v>
      </c>
      <c r="T6511">
        <v>-0.89103960000000004</v>
      </c>
      <c r="U6511">
        <v>-0.3451843</v>
      </c>
      <c r="V6511">
        <v>2.1161729999999998E-3</v>
      </c>
      <c r="W6511">
        <v>1.593839E-2</v>
      </c>
      <c r="X6511">
        <v>0.9998707</v>
      </c>
      <c r="Y6511">
        <v>0.16587249999999901</v>
      </c>
      <c r="Z6511">
        <v>-4.1922630000000002E-2</v>
      </c>
      <c r="AA6511">
        <v>0.98525569999999896</v>
      </c>
      <c r="AB6511">
        <v>13</v>
      </c>
      <c r="AC6511">
        <v>0.552200000000027</v>
      </c>
      <c r="AD6511">
        <v>-0.1980181</v>
      </c>
      <c r="AE6511">
        <v>-8.4299999999984707E-2</v>
      </c>
      <c r="AF6511">
        <v>0.105396676225509</v>
      </c>
      <c r="AG6511">
        <v>-0.1980181</v>
      </c>
      <c r="AH6511">
        <v>0.48491643855950001</v>
      </c>
      <c r="AI6511">
        <v>111.753895354688</v>
      </c>
      <c r="AJ6511">
        <v>77.737476098795</v>
      </c>
      <c r="AK6511">
        <v>0.534287918328895</v>
      </c>
    </row>
    <row r="6512" spans="1:37" x14ac:dyDescent="0.2">
      <c r="A6512" t="str">
        <f>"20200111153819484"</f>
        <v>20200111153819484</v>
      </c>
      <c r="B6512" t="str">
        <f>"1578728299479843"</f>
        <v>1578728299479843</v>
      </c>
      <c r="C6512" t="s">
        <v>37</v>
      </c>
      <c r="D6512">
        <v>5.9077570000000001</v>
      </c>
      <c r="E6512">
        <v>0.56016529999999998</v>
      </c>
      <c r="F6512" t="s">
        <v>38</v>
      </c>
      <c r="G6512">
        <v>-128.1216</v>
      </c>
      <c r="H6512">
        <v>0.882987999999999</v>
      </c>
      <c r="I6512">
        <v>139.3741</v>
      </c>
      <c r="J6512">
        <v>-128.751</v>
      </c>
      <c r="K6512">
        <v>1.1060179999999999</v>
      </c>
      <c r="L6512">
        <v>139.46850000000001</v>
      </c>
      <c r="M6512">
        <v>0.99774449999999903</v>
      </c>
      <c r="N6512">
        <v>0</v>
      </c>
      <c r="O6512">
        <v>6.2503249999999996E-2</v>
      </c>
      <c r="P6512">
        <v>0.99811539999999999</v>
      </c>
      <c r="Q6512">
        <v>-8.4711390000000008E-3</v>
      </c>
      <c r="R6512">
        <v>6.0778599999999898E-2</v>
      </c>
      <c r="S6512">
        <v>3.0186160000000002</v>
      </c>
      <c r="T6512">
        <v>-0.88795550000000001</v>
      </c>
      <c r="U6512">
        <v>-0.34335329999999997</v>
      </c>
      <c r="V6512">
        <v>1.744853E-3</v>
      </c>
      <c r="W6512">
        <v>1.6013719999999999E-2</v>
      </c>
      <c r="X6512">
        <v>0.99987019999999904</v>
      </c>
      <c r="Y6512">
        <v>0.16536779999999901</v>
      </c>
      <c r="Z6512">
        <v>-4.1707979999999999E-2</v>
      </c>
      <c r="AA6512">
        <v>0.985349699999999</v>
      </c>
      <c r="AB6512">
        <v>12</v>
      </c>
      <c r="AC6512">
        <v>0.62940000000000396</v>
      </c>
      <c r="AD6512">
        <v>-0.22303000000000001</v>
      </c>
      <c r="AE6512">
        <v>-9.4400000000007298E-2</v>
      </c>
      <c r="AF6512">
        <v>0.118958141129214</v>
      </c>
      <c r="AG6512">
        <v>-0.22303000000000001</v>
      </c>
      <c r="AH6512">
        <v>0.55420774231780201</v>
      </c>
      <c r="AI6512">
        <v>111.478066018032</v>
      </c>
      <c r="AJ6512">
        <v>77.885540803249995</v>
      </c>
      <c r="AK6512">
        <v>0.60913023392860199</v>
      </c>
    </row>
    <row r="6513" spans="1:37" x14ac:dyDescent="0.2">
      <c r="A6513" t="str">
        <f>"20200111153819507"</f>
        <v>20200111153819507</v>
      </c>
      <c r="B6513" t="str">
        <f>"1578728299499362"</f>
        <v>1578728299499362</v>
      </c>
      <c r="C6513" t="s">
        <v>37</v>
      </c>
      <c r="D6513">
        <v>5.8850769999999999</v>
      </c>
      <c r="E6513">
        <v>0.56021489999999996</v>
      </c>
      <c r="F6513" t="s">
        <v>38</v>
      </c>
      <c r="G6513">
        <v>-128.01390000000001</v>
      </c>
      <c r="H6513">
        <v>0.88963040000000004</v>
      </c>
      <c r="I6513">
        <v>139.38470000000001</v>
      </c>
      <c r="J6513">
        <v>-128.63399999999999</v>
      </c>
      <c r="K6513">
        <v>1.1060179999999999</v>
      </c>
      <c r="L6513">
        <v>139.4759</v>
      </c>
      <c r="M6513">
        <v>0.99774640000000003</v>
      </c>
      <c r="N6513">
        <v>0</v>
      </c>
      <c r="O6513">
        <v>6.2533619999999998E-2</v>
      </c>
      <c r="P6513">
        <v>0.99808699999999995</v>
      </c>
      <c r="Q6513">
        <v>-7.2811100000000004E-3</v>
      </c>
      <c r="R6513">
        <v>6.1398319999999999E-2</v>
      </c>
      <c r="S6513">
        <v>3.019028</v>
      </c>
      <c r="T6513">
        <v>-0.88628410000000002</v>
      </c>
      <c r="U6513">
        <v>-0.3429565</v>
      </c>
      <c r="V6513">
        <v>1.1547549999999999E-3</v>
      </c>
      <c r="W6513">
        <v>1.7048790000000001E-2</v>
      </c>
      <c r="X6513">
        <v>0.99985400000000002</v>
      </c>
      <c r="Y6513">
        <v>0.165294</v>
      </c>
      <c r="Z6513">
        <v>-4.1625530000000001E-2</v>
      </c>
      <c r="AA6513">
        <v>0.98536550000000001</v>
      </c>
      <c r="AB6513">
        <v>12</v>
      </c>
      <c r="AC6513">
        <v>0.620099999999979</v>
      </c>
      <c r="AD6513">
        <v>-0.21638759999999899</v>
      </c>
      <c r="AE6513">
        <v>-9.1199999999986403E-2</v>
      </c>
      <c r="AF6513">
        <v>0.115985431344061</v>
      </c>
      <c r="AG6513">
        <v>-0.21638759999999899</v>
      </c>
      <c r="AH6513">
        <v>0.54787816006845003</v>
      </c>
      <c r="AI6513">
        <v>111.126143075192</v>
      </c>
      <c r="AJ6513">
        <v>78.047001607053005</v>
      </c>
      <c r="AK6513">
        <v>0.60037212793218298</v>
      </c>
    </row>
    <row r="6514" spans="1:37" x14ac:dyDescent="0.2">
      <c r="A6514" t="str">
        <f>"20200111153819528"</f>
        <v>20200111153819528</v>
      </c>
      <c r="B6514" t="str">
        <f>"1578728299519692"</f>
        <v>1578728299519692</v>
      </c>
      <c r="C6514" t="s">
        <v>37</v>
      </c>
      <c r="D6514">
        <v>5.8982830000000002</v>
      </c>
      <c r="E6514">
        <v>0.56030690000000005</v>
      </c>
      <c r="F6514" t="s">
        <v>38</v>
      </c>
      <c r="G6514">
        <v>-127.9088</v>
      </c>
      <c r="H6514">
        <v>0.89405919999999905</v>
      </c>
      <c r="I6514">
        <v>139.3939</v>
      </c>
      <c r="J6514">
        <v>-128.5257</v>
      </c>
      <c r="K6514">
        <v>1.1060939999999999</v>
      </c>
      <c r="L6514">
        <v>139.48269999999999</v>
      </c>
      <c r="M6514">
        <v>0.99774059999999898</v>
      </c>
      <c r="N6514">
        <v>0</v>
      </c>
      <c r="O6514">
        <v>6.2560989999999997E-2</v>
      </c>
      <c r="P6514">
        <v>0.99805739999999998</v>
      </c>
      <c r="Q6514">
        <v>-6.8276930000000001E-3</v>
      </c>
      <c r="R6514">
        <v>6.1927620000000003E-2</v>
      </c>
      <c r="S6514">
        <v>3.0203090000000001</v>
      </c>
      <c r="T6514">
        <v>-0.88274229999999998</v>
      </c>
      <c r="U6514">
        <v>-0.34147640000000001</v>
      </c>
      <c r="V6514">
        <v>6.524476E-4</v>
      </c>
      <c r="W6514">
        <v>1.7670490000000001E-2</v>
      </c>
      <c r="X6514">
        <v>0.9998437</v>
      </c>
      <c r="Y6514">
        <v>0.1648945</v>
      </c>
      <c r="Z6514">
        <v>-4.1400920000000001E-2</v>
      </c>
      <c r="AA6514">
        <v>0.98544189999999998</v>
      </c>
      <c r="AB6514">
        <v>12</v>
      </c>
      <c r="AC6514">
        <v>0.616900000000001</v>
      </c>
      <c r="AD6514">
        <v>-0.2120348</v>
      </c>
      <c r="AE6514">
        <v>-8.8799999999991996E-2</v>
      </c>
      <c r="AF6514">
        <v>0.11403335035984299</v>
      </c>
      <c r="AG6514">
        <v>-0.2120348</v>
      </c>
      <c r="AH6514">
        <v>0.54684296694794099</v>
      </c>
      <c r="AI6514">
        <v>110.785677430181</v>
      </c>
      <c r="AJ6514">
        <v>78.220893325528806</v>
      </c>
      <c r="AK6514">
        <v>0.59749442834704203</v>
      </c>
    </row>
    <row r="6515" spans="1:37" x14ac:dyDescent="0.2">
      <c r="A6515" t="str">
        <f>"20200111153819549"</f>
        <v>20200111153819549</v>
      </c>
      <c r="B6515" t="str">
        <f>"1578728299540188"</f>
        <v>1578728299540188</v>
      </c>
      <c r="C6515" t="s">
        <v>37</v>
      </c>
      <c r="D6515">
        <v>5.8685720000000003</v>
      </c>
      <c r="E6515">
        <v>0.56039159999999999</v>
      </c>
      <c r="F6515" t="s">
        <v>38</v>
      </c>
      <c r="G6515">
        <v>-127.8085</v>
      </c>
      <c r="H6515">
        <v>0.89693279999999997</v>
      </c>
      <c r="I6515">
        <v>139.40180000000001</v>
      </c>
      <c r="J6515">
        <v>-128.4213</v>
      </c>
      <c r="K6515">
        <v>1.10632</v>
      </c>
      <c r="L6515">
        <v>139.48929999999999</v>
      </c>
      <c r="M6515">
        <v>0.99771919999999903</v>
      </c>
      <c r="N6515">
        <v>0</v>
      </c>
      <c r="O6515">
        <v>6.2584909999999994E-2</v>
      </c>
      <c r="P6515">
        <v>0.99803359999999997</v>
      </c>
      <c r="Q6515">
        <v>-7.6530280000000001E-3</v>
      </c>
      <c r="R6515">
        <v>6.2212110000000001E-2</v>
      </c>
      <c r="S6515">
        <v>3.02095</v>
      </c>
      <c r="T6515">
        <v>-0.88104119999999997</v>
      </c>
      <c r="U6515">
        <v>-0.3407135</v>
      </c>
      <c r="V6515">
        <v>3.9227149999999998E-4</v>
      </c>
      <c r="W6515">
        <v>1.763903E-2</v>
      </c>
      <c r="X6515">
        <v>0.99984439999999997</v>
      </c>
      <c r="Y6515">
        <v>0.1646965</v>
      </c>
      <c r="Z6515">
        <v>-4.1295419999999999E-2</v>
      </c>
      <c r="AA6515">
        <v>0.98547949999999995</v>
      </c>
      <c r="AB6515">
        <v>12</v>
      </c>
      <c r="AC6515">
        <v>0.61280000000000701</v>
      </c>
      <c r="AD6515">
        <v>-0.209387199999999</v>
      </c>
      <c r="AE6515">
        <v>-8.7499999999977193E-2</v>
      </c>
      <c r="AF6515">
        <v>0.112787637045438</v>
      </c>
      <c r="AG6515">
        <v>-0.209387199999999</v>
      </c>
      <c r="AH6515">
        <v>0.54388888763207099</v>
      </c>
      <c r="AI6515">
        <v>110.654515368367</v>
      </c>
      <c r="AJ6515">
        <v>78.284478959799699</v>
      </c>
      <c r="AK6515">
        <v>0.59361534067423205</v>
      </c>
    </row>
    <row r="6516" spans="1:37" x14ac:dyDescent="0.2">
      <c r="A6516" t="str">
        <f>"20200111153819574"</f>
        <v>20200111153819574</v>
      </c>
      <c r="B6516" t="str">
        <f>"1578728299569469"</f>
        <v>1578728299569469</v>
      </c>
      <c r="C6516" t="s">
        <v>37</v>
      </c>
      <c r="D6516">
        <v>5.8586859999999996</v>
      </c>
      <c r="E6516">
        <v>0.56045940000000005</v>
      </c>
      <c r="F6516" t="s">
        <v>38</v>
      </c>
      <c r="G6516">
        <v>-127.71259999999999</v>
      </c>
      <c r="H6516">
        <v>0.89899039999999997</v>
      </c>
      <c r="I6516">
        <v>139.40940000000001</v>
      </c>
      <c r="J6516">
        <v>-128.30629999999999</v>
      </c>
      <c r="K6516">
        <v>1.1066049999999901</v>
      </c>
      <c r="L6516">
        <v>139.4965</v>
      </c>
      <c r="M6516">
        <v>0.99768639999999997</v>
      </c>
      <c r="N6516">
        <v>0</v>
      </c>
      <c r="O6516">
        <v>6.2609230000000002E-2</v>
      </c>
      <c r="P6516">
        <v>0.99801700000000004</v>
      </c>
      <c r="Q6516">
        <v>-8.4620960000000005E-3</v>
      </c>
      <c r="R6516">
        <v>6.2376580000000001E-2</v>
      </c>
      <c r="S6516">
        <v>3.02034</v>
      </c>
      <c r="T6516">
        <v>-0.88362410000000002</v>
      </c>
      <c r="U6516">
        <v>-0.34014889999999998</v>
      </c>
      <c r="V6516">
        <v>2.5341079999999998E-4</v>
      </c>
      <c r="W6516">
        <v>1.803569E-2</v>
      </c>
      <c r="X6516">
        <v>0.99983729999999904</v>
      </c>
      <c r="Y6516">
        <v>0.1645115</v>
      </c>
      <c r="Z6516">
        <v>-4.1401109999999998E-2</v>
      </c>
      <c r="AA6516">
        <v>0.98550590000000005</v>
      </c>
      <c r="AB6516">
        <v>11</v>
      </c>
      <c r="AC6516">
        <v>0.59369999999999801</v>
      </c>
      <c r="AD6516">
        <v>-0.20761459999999901</v>
      </c>
      <c r="AE6516">
        <v>-8.7099999999992406E-2</v>
      </c>
      <c r="AF6516">
        <v>0.110843930295548</v>
      </c>
      <c r="AG6516">
        <v>-0.20761459999999901</v>
      </c>
      <c r="AH6516">
        <v>0.52431324383007905</v>
      </c>
      <c r="AI6516">
        <v>111.17694758920599</v>
      </c>
      <c r="AJ6516">
        <v>78.062986514427706</v>
      </c>
      <c r="AK6516">
        <v>0.57471260354384401</v>
      </c>
    </row>
    <row r="6517" spans="1:37" x14ac:dyDescent="0.2">
      <c r="A6517" t="str">
        <f>"20200111153819598"</f>
        <v>20200111153819598</v>
      </c>
      <c r="B6517" t="str">
        <f>"1578728299589964"</f>
        <v>1578728299589964</v>
      </c>
      <c r="C6517" t="s">
        <v>37</v>
      </c>
      <c r="D6517">
        <v>5.852474</v>
      </c>
      <c r="E6517">
        <v>0.5605078</v>
      </c>
      <c r="F6517" t="s">
        <v>38</v>
      </c>
      <c r="G6517">
        <v>-127.6189</v>
      </c>
      <c r="H6517">
        <v>0.90507269999999895</v>
      </c>
      <c r="I6517">
        <v>139.41899999999899</v>
      </c>
      <c r="J6517">
        <v>-128.2011</v>
      </c>
      <c r="K6517">
        <v>1.106744</v>
      </c>
      <c r="L6517">
        <v>139.50319999999999</v>
      </c>
      <c r="M6517">
        <v>0.99766129999999997</v>
      </c>
      <c r="N6517">
        <v>0</v>
      </c>
      <c r="O6517">
        <v>6.2631539999999999E-2</v>
      </c>
      <c r="P6517">
        <v>0.99799340000000003</v>
      </c>
      <c r="Q6517">
        <v>-9.6723999999999994E-3</v>
      </c>
      <c r="R6517">
        <v>6.2578099999999998E-2</v>
      </c>
      <c r="S6517">
        <v>3.0197449999999999</v>
      </c>
      <c r="T6517">
        <v>-0.88527109999999998</v>
      </c>
      <c r="U6517">
        <v>-0.34065250000000002</v>
      </c>
      <c r="V6517" s="1">
        <v>7.4611389999999994E-5</v>
      </c>
      <c r="W6517">
        <v>1.770482E-2</v>
      </c>
      <c r="X6517">
        <v>0.99984319999999904</v>
      </c>
      <c r="Y6517">
        <v>0.16467319999999999</v>
      </c>
      <c r="Z6517">
        <v>-4.151262E-2</v>
      </c>
      <c r="AA6517">
        <v>0.98547419999999997</v>
      </c>
      <c r="AB6517">
        <v>11</v>
      </c>
      <c r="AC6517">
        <v>0.58220000000000005</v>
      </c>
      <c r="AD6517">
        <v>-0.2016713</v>
      </c>
      <c r="AE6517">
        <v>-8.4200000000009795E-2</v>
      </c>
      <c r="AF6517">
        <v>0.107837973980048</v>
      </c>
      <c r="AG6517">
        <v>-0.2016713</v>
      </c>
      <c r="AH6517">
        <v>0.51522542259610105</v>
      </c>
      <c r="AI6517">
        <v>110.962913783723</v>
      </c>
      <c r="AJ6517">
        <v>78.178501556168996</v>
      </c>
      <c r="AK6517">
        <v>0.56369990062544995</v>
      </c>
    </row>
    <row r="6518" spans="1:37" x14ac:dyDescent="0.2">
      <c r="A6518" t="str">
        <f>"20200111153819619"</f>
        <v>20200111153819619</v>
      </c>
      <c r="B6518" t="str">
        <f>"1578728299609484"</f>
        <v>1578728299609484</v>
      </c>
      <c r="C6518" t="s">
        <v>37</v>
      </c>
      <c r="D6518">
        <v>5.8403400000000003</v>
      </c>
      <c r="E6518">
        <v>0.56057860000000004</v>
      </c>
      <c r="F6518" t="s">
        <v>38</v>
      </c>
      <c r="G6518">
        <v>-127.5286</v>
      </c>
      <c r="H6518">
        <v>0.90886180000000005</v>
      </c>
      <c r="I6518">
        <v>139.4271</v>
      </c>
      <c r="J6518">
        <v>-128.10839999999999</v>
      </c>
      <c r="K6518">
        <v>1.1066639999999901</v>
      </c>
      <c r="L6518">
        <v>139.50899999999999</v>
      </c>
      <c r="M6518">
        <v>0.99765809999999999</v>
      </c>
      <c r="N6518">
        <v>0</v>
      </c>
      <c r="O6518">
        <v>6.2654489999999993E-2</v>
      </c>
      <c r="P6518">
        <v>0.99800800000000001</v>
      </c>
      <c r="Q6518">
        <v>-1.015459E-2</v>
      </c>
      <c r="R6518">
        <v>6.226686E-2</v>
      </c>
      <c r="S6518">
        <v>3.018799</v>
      </c>
      <c r="T6518">
        <v>-0.88829519999999995</v>
      </c>
      <c r="U6518">
        <v>-0.34095759999999897</v>
      </c>
      <c r="V6518">
        <v>4.0924899999999998E-4</v>
      </c>
      <c r="W6518">
        <v>1.7286220000000001E-2</v>
      </c>
      <c r="X6518">
        <v>0.99985049999999998</v>
      </c>
      <c r="Y6518">
        <v>0.16475519999999999</v>
      </c>
      <c r="Z6518">
        <v>-4.167937E-2</v>
      </c>
      <c r="AA6518">
        <v>0.98545349999999998</v>
      </c>
      <c r="AB6518">
        <v>10</v>
      </c>
      <c r="AC6518">
        <v>0.57979999999999099</v>
      </c>
      <c r="AD6518">
        <v>-0.19780219999999901</v>
      </c>
      <c r="AE6518">
        <v>-8.18999999999903E-2</v>
      </c>
      <c r="AF6518">
        <v>0.10598564651317401</v>
      </c>
      <c r="AG6518">
        <v>-0.19780219999999901</v>
      </c>
      <c r="AH6518">
        <v>0.51478436121076498</v>
      </c>
      <c r="AI6518">
        <v>110.623790823555</v>
      </c>
      <c r="AJ6518">
        <v>78.366298629510993</v>
      </c>
      <c r="AK6518">
        <v>0.561570659969724</v>
      </c>
    </row>
    <row r="6519" spans="1:37" x14ac:dyDescent="0.2">
      <c r="A6519" t="str">
        <f>"20200111153819644"</f>
        <v>20200111153819644</v>
      </c>
      <c r="B6519" t="str">
        <f>"1578728299639741"</f>
        <v>1578728299639741</v>
      </c>
      <c r="C6519" t="s">
        <v>37</v>
      </c>
      <c r="D6519">
        <v>5.8096940000000004</v>
      </c>
      <c r="E6519">
        <v>0.56065290000000001</v>
      </c>
      <c r="F6519" t="s">
        <v>38</v>
      </c>
      <c r="G6519">
        <v>-127.4404</v>
      </c>
      <c r="H6519">
        <v>0.90985559999999999</v>
      </c>
      <c r="I6519">
        <v>139.4332</v>
      </c>
      <c r="J6519">
        <v>-128.0009</v>
      </c>
      <c r="K6519">
        <v>1.1064290000000001</v>
      </c>
      <c r="L6519">
        <v>139.51580000000001</v>
      </c>
      <c r="M6519">
        <v>0.99767309999999998</v>
      </c>
      <c r="N6519">
        <v>0</v>
      </c>
      <c r="O6519">
        <v>6.2684889999999993E-2</v>
      </c>
      <c r="P6519">
        <v>0.99802639999999998</v>
      </c>
      <c r="Q6519">
        <v>-9.7837150000000001E-3</v>
      </c>
      <c r="R6519">
        <v>6.202941E-2</v>
      </c>
      <c r="S6519">
        <v>3.0183259999999899</v>
      </c>
      <c r="T6519">
        <v>-0.88929769999999897</v>
      </c>
      <c r="U6519">
        <v>-0.34265139999999999</v>
      </c>
      <c r="V6519">
        <v>6.7668479999999896E-4</v>
      </c>
      <c r="W6519">
        <v>1.7033530000000002E-2</v>
      </c>
      <c r="X6519">
        <v>0.99985469999999899</v>
      </c>
      <c r="Y6519">
        <v>0.165299799999999</v>
      </c>
      <c r="Z6519">
        <v>-4.1816350000000002E-2</v>
      </c>
      <c r="AA6519">
        <v>0.98535649999999997</v>
      </c>
      <c r="AB6519">
        <v>10</v>
      </c>
      <c r="AC6519">
        <v>0.560500000000004</v>
      </c>
      <c r="AD6519">
        <v>-0.19657340000000001</v>
      </c>
      <c r="AE6519">
        <v>-8.2600000000013496E-2</v>
      </c>
      <c r="AF6519">
        <v>0.104950620501709</v>
      </c>
      <c r="AG6519">
        <v>-0.19657340000000001</v>
      </c>
      <c r="AH6519">
        <v>0.49466741338141101</v>
      </c>
      <c r="AI6519">
        <v>111.24270538992999</v>
      </c>
      <c r="AJ6519">
        <v>78.021521192924595</v>
      </c>
      <c r="AK6519">
        <v>0.54254178105719197</v>
      </c>
    </row>
    <row r="6520" spans="1:37" x14ac:dyDescent="0.2">
      <c r="A6520" t="str">
        <f>"20200111153819669"</f>
        <v>20200111153819669</v>
      </c>
      <c r="B6520" t="str">
        <f>"1578728299660236"</f>
        <v>1578728299660236</v>
      </c>
      <c r="C6520" t="s">
        <v>37</v>
      </c>
      <c r="D6520">
        <v>5.815544</v>
      </c>
      <c r="E6520">
        <v>0.56073390000000001</v>
      </c>
      <c r="F6520" t="s">
        <v>38</v>
      </c>
      <c r="G6520">
        <v>-127.2735</v>
      </c>
      <c r="H6520">
        <v>0.89256740000000001</v>
      </c>
      <c r="I6520">
        <v>139.43299999999999</v>
      </c>
      <c r="J6520">
        <v>-127.89060000000001</v>
      </c>
      <c r="K6520">
        <v>1.106236</v>
      </c>
      <c r="L6520">
        <v>139.52279999999999</v>
      </c>
      <c r="M6520">
        <v>0.99768829999999997</v>
      </c>
      <c r="N6520">
        <v>0</v>
      </c>
      <c r="O6520">
        <v>6.2716930000000004E-2</v>
      </c>
      <c r="P6520">
        <v>0.99803739999999996</v>
      </c>
      <c r="Q6520">
        <v>-9.1172030000000008E-3</v>
      </c>
      <c r="R6520">
        <v>6.1953439999999999E-2</v>
      </c>
      <c r="S6520">
        <v>3.0186000000000002</v>
      </c>
      <c r="T6520">
        <v>-0.88757969999999897</v>
      </c>
      <c r="U6520">
        <v>-0.3437653</v>
      </c>
      <c r="V6520">
        <v>7.8429740000000002E-4</v>
      </c>
      <c r="W6520">
        <v>1.7052129999999999E-2</v>
      </c>
      <c r="X6520">
        <v>0.99985429999999997</v>
      </c>
      <c r="Y6520">
        <v>0.1656996</v>
      </c>
      <c r="Z6520">
        <v>-4.1800730000000001E-2</v>
      </c>
      <c r="AA6520">
        <v>0.98529</v>
      </c>
      <c r="AB6520">
        <v>10</v>
      </c>
      <c r="AC6520">
        <v>0.61710000000000698</v>
      </c>
      <c r="AD6520">
        <v>-0.21366859999999899</v>
      </c>
      <c r="AE6520">
        <v>-8.9799999999996702E-2</v>
      </c>
      <c r="AF6520">
        <v>0.11485494516978299</v>
      </c>
      <c r="AG6520">
        <v>-0.21366859999999899</v>
      </c>
      <c r="AH6520">
        <v>0.54613402614417195</v>
      </c>
      <c r="AI6520">
        <v>110.950008562886</v>
      </c>
      <c r="AJ6520">
        <v>78.1234618125943</v>
      </c>
      <c r="AK6520">
        <v>0.59758539437335401</v>
      </c>
    </row>
    <row r="6521" spans="1:37" x14ac:dyDescent="0.2">
      <c r="A6521" t="str">
        <f>"20200111153819690"</f>
        <v>20200111153819690</v>
      </c>
      <c r="B6521" t="str">
        <f>"1578728299679756"</f>
        <v>1578728299679756</v>
      </c>
      <c r="C6521" t="s">
        <v>37</v>
      </c>
      <c r="D6521">
        <v>5.8239769999999904</v>
      </c>
      <c r="E6521">
        <v>0.56079409999999996</v>
      </c>
      <c r="F6521" t="s">
        <v>38</v>
      </c>
      <c r="G6521">
        <v>-127.1867</v>
      </c>
      <c r="H6521">
        <v>0.89974509999999996</v>
      </c>
      <c r="I6521">
        <v>139.44239999999999</v>
      </c>
      <c r="J6521">
        <v>-127.8099</v>
      </c>
      <c r="K6521">
        <v>1.1061669999999999</v>
      </c>
      <c r="L6521">
        <v>139.52789999999999</v>
      </c>
      <c r="M6521">
        <v>0.997695</v>
      </c>
      <c r="N6521">
        <v>0</v>
      </c>
      <c r="O6521">
        <v>6.2739639999999999E-2</v>
      </c>
      <c r="P6521">
        <v>0.99802539999999995</v>
      </c>
      <c r="Q6521">
        <v>-8.8533050000000005E-3</v>
      </c>
      <c r="R6521">
        <v>6.2188390000000003E-2</v>
      </c>
      <c r="S6521">
        <v>3.019196</v>
      </c>
      <c r="T6521">
        <v>-0.8856617</v>
      </c>
      <c r="U6521">
        <v>-0.3445435</v>
      </c>
      <c r="V6521">
        <v>5.7114999999999998E-4</v>
      </c>
      <c r="W6521">
        <v>1.7005880000000001E-2</v>
      </c>
      <c r="X6521">
        <v>0.99985519999999894</v>
      </c>
      <c r="Y6521">
        <v>0.1659822</v>
      </c>
      <c r="Z6521">
        <v>-4.175247E-2</v>
      </c>
      <c r="AA6521">
        <v>0.98524449999999997</v>
      </c>
      <c r="AB6521">
        <v>10</v>
      </c>
      <c r="AC6521">
        <v>0.62319999999999698</v>
      </c>
      <c r="AD6521">
        <v>-0.20642189999999999</v>
      </c>
      <c r="AE6521">
        <v>-8.5499999999996107E-2</v>
      </c>
      <c r="AF6521">
        <v>0.112345822715284</v>
      </c>
      <c r="AG6521">
        <v>-0.20642189999999999</v>
      </c>
      <c r="AH6521">
        <v>0.556660958951808</v>
      </c>
      <c r="AI6521">
        <v>109.97583309026101</v>
      </c>
      <c r="AJ6521">
        <v>78.589784856642794</v>
      </c>
      <c r="AK6521">
        <v>0.604237542612449</v>
      </c>
    </row>
    <row r="6522" spans="1:37" x14ac:dyDescent="0.2">
      <c r="A6522" t="str">
        <f>"20200111153819710"</f>
        <v>20200111153819710</v>
      </c>
      <c r="B6522" t="str">
        <f>"1578728299700252"</f>
        <v>1578728299700252</v>
      </c>
      <c r="C6522" t="s">
        <v>37</v>
      </c>
      <c r="D6522">
        <v>5.8248819999999997</v>
      </c>
      <c r="E6522">
        <v>0.56085119999999999</v>
      </c>
      <c r="F6522" t="s">
        <v>38</v>
      </c>
      <c r="G6522">
        <v>-127.1048</v>
      </c>
      <c r="H6522">
        <v>0.89948859999999997</v>
      </c>
      <c r="I6522">
        <v>139.44749999999999</v>
      </c>
      <c r="J6522">
        <v>-127.7227</v>
      </c>
      <c r="K6522">
        <v>1.106131</v>
      </c>
      <c r="L6522">
        <v>139.5334</v>
      </c>
      <c r="M6522">
        <v>0.99769979999999903</v>
      </c>
      <c r="N6522">
        <v>0</v>
      </c>
      <c r="O6522">
        <v>6.2764180000000003E-2</v>
      </c>
      <c r="P6522">
        <v>0.99801839999999997</v>
      </c>
      <c r="Q6522">
        <v>-8.88017199999999E-3</v>
      </c>
      <c r="R6522">
        <v>6.2294830000000002E-2</v>
      </c>
      <c r="S6522">
        <v>3.0195310000000002</v>
      </c>
      <c r="T6522">
        <v>-0.88506229999999997</v>
      </c>
      <c r="U6522">
        <v>-0.3437653</v>
      </c>
      <c r="V6522">
        <v>4.8880089999999896E-4</v>
      </c>
      <c r="W6522">
        <v>1.6735079999999999E-2</v>
      </c>
      <c r="X6522">
        <v>0.99985979999999997</v>
      </c>
      <c r="Y6522">
        <v>0.16576540000000001</v>
      </c>
      <c r="Z6522">
        <v>-4.1697350000000001E-2</v>
      </c>
      <c r="AA6522">
        <v>0.98528329999999997</v>
      </c>
      <c r="AB6522">
        <v>9</v>
      </c>
      <c r="AC6522">
        <v>0.617900000000005</v>
      </c>
      <c r="AD6522">
        <v>-0.206642399999999</v>
      </c>
      <c r="AE6522">
        <v>-8.5900000000009399E-2</v>
      </c>
      <c r="AF6522">
        <v>0.112213115735882</v>
      </c>
      <c r="AG6522">
        <v>-0.206642399999999</v>
      </c>
      <c r="AH6522">
        <v>0.55084818664116997</v>
      </c>
      <c r="AI6522">
        <v>110.18269570510201</v>
      </c>
      <c r="AJ6522">
        <v>78.485839252255005</v>
      </c>
      <c r="AK6522">
        <v>0.59893788454795505</v>
      </c>
    </row>
    <row r="6523" spans="1:37" x14ac:dyDescent="0.2">
      <c r="A6523" t="str">
        <f>"20200111153819733"</f>
        <v>20200111153819733</v>
      </c>
      <c r="B6523" t="str">
        <f>"1578728299729533"</f>
        <v>1578728299729533</v>
      </c>
      <c r="C6523" t="s">
        <v>37</v>
      </c>
      <c r="D6523">
        <v>5.817863</v>
      </c>
      <c r="E6523">
        <v>0.56091919999999995</v>
      </c>
      <c r="F6523" t="s">
        <v>38</v>
      </c>
      <c r="G6523">
        <v>-127.0239</v>
      </c>
      <c r="H6523">
        <v>0.90134629999999905</v>
      </c>
      <c r="I6523">
        <v>139.4537</v>
      </c>
      <c r="J6523">
        <v>-127.6343</v>
      </c>
      <c r="K6523">
        <v>1.10609</v>
      </c>
      <c r="L6523">
        <v>139.53899999999999</v>
      </c>
      <c r="M6523">
        <v>0.99770519999999996</v>
      </c>
      <c r="N6523">
        <v>0</v>
      </c>
      <c r="O6523">
        <v>6.27891E-2</v>
      </c>
      <c r="P6523">
        <v>0.9980367</v>
      </c>
      <c r="Q6523">
        <v>-8.3706509999999998E-3</v>
      </c>
      <c r="R6523">
        <v>6.2071050000000003E-2</v>
      </c>
      <c r="S6523">
        <v>3.0195470000000002</v>
      </c>
      <c r="T6523">
        <v>-0.88486599999999904</v>
      </c>
      <c r="U6523">
        <v>-0.34397889999999998</v>
      </c>
      <c r="V6523">
        <v>7.3790909999999995E-4</v>
      </c>
      <c r="W6523">
        <v>1.6968219999999999E-2</v>
      </c>
      <c r="X6523">
        <v>0.99985579999999996</v>
      </c>
      <c r="Y6523">
        <v>0.16585720000000001</v>
      </c>
      <c r="Z6523">
        <v>-4.1708259999999997E-2</v>
      </c>
      <c r="AA6523">
        <v>0.98526740000000002</v>
      </c>
      <c r="AB6523">
        <v>9</v>
      </c>
      <c r="AC6523">
        <v>0.61039999999999806</v>
      </c>
      <c r="AD6523">
        <v>-0.2047437</v>
      </c>
      <c r="AE6523">
        <v>-8.5299999999989495E-2</v>
      </c>
      <c r="AF6523">
        <v>0.111198971068414</v>
      </c>
      <c r="AG6523">
        <v>-0.2047437</v>
      </c>
      <c r="AH6523">
        <v>0.54382343892717999</v>
      </c>
      <c r="AI6523">
        <v>110.246858689617</v>
      </c>
      <c r="AJ6523">
        <v>78.443675797418805</v>
      </c>
      <c r="AK6523">
        <v>0.59163259425334902</v>
      </c>
    </row>
    <row r="6524" spans="1:37" x14ac:dyDescent="0.2">
      <c r="A6524" t="str">
        <f>"20200111153819752"</f>
        <v>20200111153819752</v>
      </c>
      <c r="B6524" t="str">
        <f>"1578728299750027"</f>
        <v>1578728299750027</v>
      </c>
      <c r="C6524" t="s">
        <v>37</v>
      </c>
      <c r="D6524">
        <v>5.7615559999999997</v>
      </c>
      <c r="E6524">
        <v>0.56093040000000005</v>
      </c>
      <c r="F6524" t="s">
        <v>38</v>
      </c>
      <c r="G6524">
        <v>-126.944</v>
      </c>
      <c r="H6524">
        <v>0.90421929999999995</v>
      </c>
      <c r="I6524">
        <v>139.46010000000001</v>
      </c>
      <c r="J6524">
        <v>-127.5591</v>
      </c>
      <c r="K6524">
        <v>1.106052</v>
      </c>
      <c r="L6524">
        <v>139.5437</v>
      </c>
      <c r="M6524">
        <v>0.99771129999999997</v>
      </c>
      <c r="N6524">
        <v>0</v>
      </c>
      <c r="O6524">
        <v>6.2810149999999995E-2</v>
      </c>
      <c r="P6524">
        <v>0.99804709999999996</v>
      </c>
      <c r="Q6524">
        <v>-8.3512510000000005E-3</v>
      </c>
      <c r="R6524">
        <v>6.1908749999999999E-2</v>
      </c>
      <c r="S6524">
        <v>3.01992799999999</v>
      </c>
      <c r="T6524">
        <v>-0.88320789999999905</v>
      </c>
      <c r="U6524">
        <v>-0.34463499999999903</v>
      </c>
      <c r="V6524">
        <v>9.2106039999999896E-4</v>
      </c>
      <c r="W6524">
        <v>1.6697409999999999E-2</v>
      </c>
      <c r="X6524">
        <v>0.99986019999999898</v>
      </c>
      <c r="Y6524">
        <v>0.16610139999999901</v>
      </c>
      <c r="Z6524">
        <v>-4.1668490000000002E-2</v>
      </c>
      <c r="AA6524">
        <v>0.98522790000000005</v>
      </c>
      <c r="AB6524">
        <v>9</v>
      </c>
      <c r="AC6524">
        <v>0.61509999999999798</v>
      </c>
      <c r="AD6524">
        <v>-0.2018327</v>
      </c>
      <c r="AE6524">
        <v>-8.3599999999989905E-2</v>
      </c>
      <c r="AF6524">
        <v>0.110409386088043</v>
      </c>
      <c r="AG6524">
        <v>-0.2018327</v>
      </c>
      <c r="AH6524">
        <v>0.55044145159951696</v>
      </c>
      <c r="AI6524">
        <v>109.774185287221</v>
      </c>
      <c r="AJ6524">
        <v>78.657933585790801</v>
      </c>
      <c r="AK6524">
        <v>0.59658399489477798</v>
      </c>
    </row>
    <row r="6525" spans="1:37" x14ac:dyDescent="0.2">
      <c r="A6525" t="str">
        <f>"20200111153819773"</f>
        <v>20200111153819773</v>
      </c>
      <c r="B6525" t="str">
        <f>"1578728299769551"</f>
        <v>1578728299769551</v>
      </c>
      <c r="C6525" t="s">
        <v>37</v>
      </c>
      <c r="D6525">
        <v>5.8102359999999997</v>
      </c>
      <c r="E6525">
        <v>0.56097200000000003</v>
      </c>
      <c r="F6525" t="s">
        <v>38</v>
      </c>
      <c r="G6525">
        <v>-126.867</v>
      </c>
      <c r="H6525">
        <v>0.90364979999999995</v>
      </c>
      <c r="I6525">
        <v>139.46449999999999</v>
      </c>
      <c r="J6525">
        <v>-127.4789</v>
      </c>
      <c r="K6525">
        <v>1.1060129999999999</v>
      </c>
      <c r="L6525">
        <v>139.5488</v>
      </c>
      <c r="M6525">
        <v>0.99771769999999904</v>
      </c>
      <c r="N6525">
        <v>0</v>
      </c>
      <c r="O6525">
        <v>6.2832600000000002E-2</v>
      </c>
      <c r="P6525">
        <v>0.99804059999999895</v>
      </c>
      <c r="Q6525">
        <v>-8.1873520000000002E-3</v>
      </c>
      <c r="R6525">
        <v>6.2032669999999998E-2</v>
      </c>
      <c r="S6525">
        <v>3.0198969999999998</v>
      </c>
      <c r="T6525">
        <v>-0.88318469999999905</v>
      </c>
      <c r="U6525">
        <v>-0.3450317</v>
      </c>
      <c r="V6525">
        <v>8.1901969999999995E-4</v>
      </c>
      <c r="W6525">
        <v>1.6541980000000001E-2</v>
      </c>
      <c r="X6525">
        <v>0.99986280000000005</v>
      </c>
      <c r="Y6525">
        <v>0.16624549999999999</v>
      </c>
      <c r="Z6525">
        <v>-4.1694429999999998E-2</v>
      </c>
      <c r="AA6525">
        <v>0.98520260000000004</v>
      </c>
      <c r="AB6525">
        <v>9</v>
      </c>
      <c r="AC6525">
        <v>0.61189999999999101</v>
      </c>
      <c r="AD6525">
        <v>-0.20236319999999999</v>
      </c>
      <c r="AE6525">
        <v>-8.4300000000013101E-2</v>
      </c>
      <c r="AF6525">
        <v>0.11070948482154901</v>
      </c>
      <c r="AG6525">
        <v>-0.20236319999999999</v>
      </c>
      <c r="AH6525">
        <v>0.54671119058883599</v>
      </c>
      <c r="AI6525">
        <v>109.939906848744</v>
      </c>
      <c r="AJ6525">
        <v>78.552356548320105</v>
      </c>
      <c r="AK6525">
        <v>0.59338063724624102</v>
      </c>
    </row>
    <row r="6526" spans="1:37" x14ac:dyDescent="0.2">
      <c r="A6526" t="str">
        <f>"20200111153819796"</f>
        <v>20200111153819796</v>
      </c>
      <c r="B6526" t="str">
        <f>"1578728299790044"</f>
        <v>1578728299790044</v>
      </c>
      <c r="C6526" t="s">
        <v>37</v>
      </c>
      <c r="D6526">
        <v>5.7856879999999897</v>
      </c>
      <c r="E6526">
        <v>0.56102450000000004</v>
      </c>
      <c r="F6526" t="s">
        <v>38</v>
      </c>
      <c r="G6526">
        <v>-126.7907</v>
      </c>
      <c r="H6526">
        <v>0.90496669999999901</v>
      </c>
      <c r="I6526">
        <v>139.4701</v>
      </c>
      <c r="J6526">
        <v>-127.39299999999901</v>
      </c>
      <c r="K6526">
        <v>1.1059859999999999</v>
      </c>
      <c r="L6526">
        <v>139.55420000000001</v>
      </c>
      <c r="M6526">
        <v>0.99772380000000005</v>
      </c>
      <c r="N6526">
        <v>0</v>
      </c>
      <c r="O6526">
        <v>6.2855439999999999E-2</v>
      </c>
      <c r="P6526">
        <v>0.99802519999999995</v>
      </c>
      <c r="Q6526">
        <v>-8.3098059999999994E-3</v>
      </c>
      <c r="R6526">
        <v>6.2264439999999997E-2</v>
      </c>
      <c r="S6526">
        <v>3.0200960000000001</v>
      </c>
      <c r="T6526">
        <v>-0.88233169999999905</v>
      </c>
      <c r="U6526">
        <v>-0.34526059999999997</v>
      </c>
      <c r="V6526">
        <v>6.091944E-4</v>
      </c>
      <c r="W6526">
        <v>1.6121469999999999E-2</v>
      </c>
      <c r="X6526">
        <v>0.99986989999999998</v>
      </c>
      <c r="Y6526">
        <v>0.1663481</v>
      </c>
      <c r="Z6526">
        <v>-4.1674009999999997E-2</v>
      </c>
      <c r="AA6526">
        <v>0.98518609999999895</v>
      </c>
      <c r="AB6526">
        <v>9</v>
      </c>
      <c r="AC6526">
        <v>0.60229999999998496</v>
      </c>
      <c r="AD6526">
        <v>-0.20101930000000001</v>
      </c>
      <c r="AE6526">
        <v>-8.4100000000006503E-2</v>
      </c>
      <c r="AF6526">
        <v>0.109805327126852</v>
      </c>
      <c r="AG6526">
        <v>-0.20101930000000001</v>
      </c>
      <c r="AH6526">
        <v>0.53713308490677003</v>
      </c>
      <c r="AI6526">
        <v>110.136052553268</v>
      </c>
      <c r="AJ6526">
        <v>78.446299585282802</v>
      </c>
      <c r="AK6526">
        <v>0.58393314663528795</v>
      </c>
    </row>
    <row r="6527" spans="1:37" x14ac:dyDescent="0.2">
      <c r="A6527" t="str">
        <f>"20200111153819819"</f>
        <v>20200111153819819</v>
      </c>
      <c r="B6527" t="str">
        <f>"1578728299809564"</f>
        <v>1578728299809564</v>
      </c>
      <c r="C6527" t="s">
        <v>37</v>
      </c>
      <c r="D6527">
        <v>5.7607699999999999</v>
      </c>
      <c r="E6527">
        <v>0.56104270000000001</v>
      </c>
      <c r="F6527" t="s">
        <v>38</v>
      </c>
      <c r="G6527">
        <v>-126.71559999999999</v>
      </c>
      <c r="H6527">
        <v>0.90797999999999901</v>
      </c>
      <c r="I6527">
        <v>139.4769</v>
      </c>
      <c r="J6527">
        <v>-127.3133</v>
      </c>
      <c r="K6527">
        <v>1.1059809999999901</v>
      </c>
      <c r="L6527">
        <v>139.5592</v>
      </c>
      <c r="M6527">
        <v>0.99772780000000005</v>
      </c>
      <c r="N6527">
        <v>0</v>
      </c>
      <c r="O6527">
        <v>6.2876539999999995E-2</v>
      </c>
      <c r="P6527">
        <v>0.99800199999999994</v>
      </c>
      <c r="Q6527">
        <v>-7.7976919999999898E-3</v>
      </c>
      <c r="R6527">
        <v>6.2701670000000001E-2</v>
      </c>
      <c r="S6527">
        <v>3.0200809999999998</v>
      </c>
      <c r="T6527">
        <v>-0.88276080000000001</v>
      </c>
      <c r="U6527">
        <v>-0.34431459999999903</v>
      </c>
      <c r="V6527">
        <v>1.9218490000000001E-4</v>
      </c>
      <c r="W6527">
        <v>1.6411350000000002E-2</v>
      </c>
      <c r="X6527">
        <v>0.99986529999999996</v>
      </c>
      <c r="Y6527">
        <v>0.16606579999999899</v>
      </c>
      <c r="Z6527">
        <v>-4.1659979999999999E-2</v>
      </c>
      <c r="AA6527">
        <v>0.98523430000000001</v>
      </c>
      <c r="AB6527">
        <v>9</v>
      </c>
      <c r="AC6527">
        <v>0.59770000000000301</v>
      </c>
      <c r="AD6527">
        <v>-0.19800100000000001</v>
      </c>
      <c r="AE6527">
        <v>-8.2300000000003495E-2</v>
      </c>
      <c r="AF6527">
        <v>0.10808838017396501</v>
      </c>
      <c r="AG6527">
        <v>-0.19800100000000001</v>
      </c>
      <c r="AH6527">
        <v>0.53384579152696499</v>
      </c>
      <c r="AI6527">
        <v>109.977176194802</v>
      </c>
      <c r="AJ6527">
        <v>78.553990704354504</v>
      </c>
      <c r="AK6527">
        <v>0.57955053538124202</v>
      </c>
    </row>
    <row r="6528" spans="1:37" x14ac:dyDescent="0.2">
      <c r="A6528" t="str">
        <f>"20200111153819841"</f>
        <v>20200111153819841</v>
      </c>
      <c r="B6528" t="str">
        <f>"1578728299829739"</f>
        <v>1578728299829739</v>
      </c>
      <c r="C6528" t="s">
        <v>37</v>
      </c>
      <c r="D6528">
        <v>5.7642769999999999</v>
      </c>
      <c r="E6528">
        <v>0.56106029999999996</v>
      </c>
      <c r="F6528" t="s">
        <v>38</v>
      </c>
      <c r="G6528">
        <v>-126.64239999999999</v>
      </c>
      <c r="H6528">
        <v>0.91020919999999905</v>
      </c>
      <c r="I6528">
        <v>139.48320000000001</v>
      </c>
      <c r="J6528">
        <v>-127.2349</v>
      </c>
      <c r="K6528">
        <v>1.10598</v>
      </c>
      <c r="L6528">
        <v>139.5642</v>
      </c>
      <c r="M6528">
        <v>0.99773109999999998</v>
      </c>
      <c r="N6528">
        <v>0</v>
      </c>
      <c r="O6528">
        <v>6.2896480000000005E-2</v>
      </c>
      <c r="P6528">
        <v>0.99801489999999904</v>
      </c>
      <c r="Q6528">
        <v>-7.6957569999999897E-3</v>
      </c>
      <c r="R6528">
        <v>6.250878E-2</v>
      </c>
      <c r="S6528">
        <v>3.0206300000000001</v>
      </c>
      <c r="T6528">
        <v>-0.88138519999999898</v>
      </c>
      <c r="U6528">
        <v>-0.34243770000000001</v>
      </c>
      <c r="V6528">
        <v>4.0514089999999902E-4</v>
      </c>
      <c r="W6528">
        <v>1.632028E-2</v>
      </c>
      <c r="X6528">
        <v>0.9998667</v>
      </c>
      <c r="Y6528">
        <v>0.1655141</v>
      </c>
      <c r="Z6528">
        <v>-4.1518689999999997E-2</v>
      </c>
      <c r="AA6528">
        <v>0.98533309999999996</v>
      </c>
      <c r="AB6528">
        <v>8</v>
      </c>
      <c r="AC6528">
        <v>0.59250000000000103</v>
      </c>
      <c r="AD6528">
        <v>-0.19577079999999999</v>
      </c>
      <c r="AE6528">
        <v>-8.0999999999988803E-2</v>
      </c>
      <c r="AF6528">
        <v>0.106683108625707</v>
      </c>
      <c r="AG6528">
        <v>-0.19577079999999999</v>
      </c>
      <c r="AH6528">
        <v>0.529484704420629</v>
      </c>
      <c r="AI6528">
        <v>109.923272236127</v>
      </c>
      <c r="AJ6528">
        <v>78.608291347648006</v>
      </c>
      <c r="AK6528">
        <v>0.57450982934505601</v>
      </c>
    </row>
    <row r="6529" spans="1:37" x14ac:dyDescent="0.2">
      <c r="A6529" t="str">
        <f>"20200111153819864"</f>
        <v>20200111153819864</v>
      </c>
      <c r="B6529" t="str">
        <f>"1578728299859994"</f>
        <v>1578728299859994</v>
      </c>
      <c r="C6529" t="s">
        <v>37</v>
      </c>
      <c r="D6529">
        <v>5.7809730000000004</v>
      </c>
      <c r="E6529">
        <v>0.56109739999999997</v>
      </c>
      <c r="F6529" t="s">
        <v>38</v>
      </c>
      <c r="G6529">
        <v>-126.50839999999999</v>
      </c>
      <c r="H6529">
        <v>0.89416399999999996</v>
      </c>
      <c r="I6529">
        <v>139.48159999999999</v>
      </c>
      <c r="J6529">
        <v>-127.15260000000001</v>
      </c>
      <c r="K6529">
        <v>1.1060099999999999</v>
      </c>
      <c r="L6529">
        <v>139.5694</v>
      </c>
      <c r="M6529">
        <v>0.99773089999999998</v>
      </c>
      <c r="N6529">
        <v>0</v>
      </c>
      <c r="O6529">
        <v>6.2918130000000003E-2</v>
      </c>
      <c r="P6529">
        <v>0.99799819999999995</v>
      </c>
      <c r="Q6529">
        <v>-8.3631299999999999E-3</v>
      </c>
      <c r="R6529">
        <v>6.2687599999999996E-2</v>
      </c>
      <c r="S6529">
        <v>3.0206759999999999</v>
      </c>
      <c r="T6529">
        <v>-0.88074830000000004</v>
      </c>
      <c r="U6529">
        <v>-0.3434296</v>
      </c>
      <c r="V6529">
        <v>2.473819E-4</v>
      </c>
      <c r="W6529">
        <v>1.560607E-2</v>
      </c>
      <c r="X6529">
        <v>0.99987819999999905</v>
      </c>
      <c r="Y6529">
        <v>0.16585229999999901</v>
      </c>
      <c r="Z6529">
        <v>-4.1542910000000002E-2</v>
      </c>
      <c r="AA6529">
        <v>0.98527520000000002</v>
      </c>
      <c r="AB6529">
        <v>8</v>
      </c>
      <c r="AC6529">
        <v>0.64420000000001199</v>
      </c>
      <c r="AD6529">
        <v>-0.21184600000000001</v>
      </c>
      <c r="AE6529">
        <v>-8.7800000000015602E-2</v>
      </c>
      <c r="AF6529">
        <v>0.115867664311851</v>
      </c>
      <c r="AG6529">
        <v>-0.21184600000000001</v>
      </c>
      <c r="AH6529">
        <v>0.57621934724223101</v>
      </c>
      <c r="AI6529">
        <v>109.82086027726599</v>
      </c>
      <c r="AJ6529">
        <v>78.630439189978404</v>
      </c>
      <c r="AK6529">
        <v>0.62476617985078797</v>
      </c>
    </row>
    <row r="6530" spans="1:37" x14ac:dyDescent="0.2">
      <c r="A6530" t="str">
        <f>"20200111153819886"</f>
        <v>20200111153819886</v>
      </c>
      <c r="B6530" t="str">
        <f>"1578728299879515"</f>
        <v>1578728299879515</v>
      </c>
      <c r="C6530" t="s">
        <v>37</v>
      </c>
      <c r="D6530">
        <v>5.7609830000000004</v>
      </c>
      <c r="E6530">
        <v>0.56111730000000004</v>
      </c>
      <c r="F6530" t="s">
        <v>38</v>
      </c>
      <c r="G6530">
        <v>-126.4415</v>
      </c>
      <c r="H6530">
        <v>0.89834389999999997</v>
      </c>
      <c r="I6530">
        <v>139.48840000000001</v>
      </c>
      <c r="J6530">
        <v>-127.08369999999999</v>
      </c>
      <c r="K6530">
        <v>1.1061909999999999</v>
      </c>
      <c r="L6530">
        <v>139.57380000000001</v>
      </c>
      <c r="M6530">
        <v>0.99771569999999898</v>
      </c>
      <c r="N6530">
        <v>0</v>
      </c>
      <c r="O6530">
        <v>6.2934000000000004E-2</v>
      </c>
      <c r="P6530">
        <v>0.99797769999999997</v>
      </c>
      <c r="Q6530">
        <v>-9.3440840000000008E-3</v>
      </c>
      <c r="R6530">
        <v>6.2874059999999996E-2</v>
      </c>
      <c r="S6530">
        <v>3.020203</v>
      </c>
      <c r="T6530">
        <v>-0.88202939999999996</v>
      </c>
      <c r="U6530">
        <v>-0.3434296</v>
      </c>
      <c r="V6530" s="1">
        <v>7.6889960000000001E-5</v>
      </c>
      <c r="W6530">
        <v>1.5210349999999999E-2</v>
      </c>
      <c r="X6530">
        <v>0.99988429999999995</v>
      </c>
      <c r="Y6530">
        <v>0.16585559999999999</v>
      </c>
      <c r="Z6530">
        <v>-4.1612410000000002E-2</v>
      </c>
      <c r="AA6530">
        <v>0.98527169999999897</v>
      </c>
      <c r="AB6530">
        <v>8</v>
      </c>
      <c r="AC6530">
        <v>0.642199999999988</v>
      </c>
      <c r="AD6530">
        <v>-0.20784709999999901</v>
      </c>
      <c r="AE6530">
        <v>-8.5399999999992801E-2</v>
      </c>
      <c r="AF6530">
        <v>0.113932172006695</v>
      </c>
      <c r="AG6530">
        <v>-0.20784709999999901</v>
      </c>
      <c r="AH6530">
        <v>0.57623877459510298</v>
      </c>
      <c r="AI6530">
        <v>109.486130108569</v>
      </c>
      <c r="AJ6530">
        <v>78.815900673156705</v>
      </c>
      <c r="AK6530">
        <v>0.62308272495988803</v>
      </c>
    </row>
    <row r="6531" spans="1:37" x14ac:dyDescent="0.2">
      <c r="A6531" t="str">
        <f>"20200111153819907"</f>
        <v>20200111153819907</v>
      </c>
      <c r="B6531" t="str">
        <f>"1578728299900011"</f>
        <v>1578728299900011</v>
      </c>
      <c r="C6531" t="s">
        <v>37</v>
      </c>
      <c r="D6531">
        <v>5.754524</v>
      </c>
      <c r="E6531">
        <v>0.56109409999999904</v>
      </c>
      <c r="F6531" t="s">
        <v>38</v>
      </c>
      <c r="G6531">
        <v>-126.3793</v>
      </c>
      <c r="H6531">
        <v>0.89980709999999997</v>
      </c>
      <c r="I6531">
        <v>139.4939</v>
      </c>
      <c r="J6531">
        <v>-127.0168</v>
      </c>
      <c r="K6531">
        <v>1.1063769999999999</v>
      </c>
      <c r="L6531">
        <v>139.578</v>
      </c>
      <c r="M6531">
        <v>0.99769669999999899</v>
      </c>
      <c r="N6531">
        <v>0</v>
      </c>
      <c r="O6531">
        <v>6.2948309999999993E-2</v>
      </c>
      <c r="P6531">
        <v>0.99796989999999997</v>
      </c>
      <c r="Q6531">
        <v>-1.00968E-2</v>
      </c>
      <c r="R6531">
        <v>6.2882240000000006E-2</v>
      </c>
      <c r="S6531">
        <v>3.019409</v>
      </c>
      <c r="T6531">
        <v>-0.88472489999999904</v>
      </c>
      <c r="U6531">
        <v>-0.342804</v>
      </c>
      <c r="V6531" s="1">
        <v>8.3748129999999994E-5</v>
      </c>
      <c r="W6531">
        <v>1.5181740000000001E-2</v>
      </c>
      <c r="X6531">
        <v>0.99988469999999996</v>
      </c>
      <c r="Y6531">
        <v>0.1656446</v>
      </c>
      <c r="Z6531">
        <v>-4.1719630000000001E-2</v>
      </c>
      <c r="AA6531">
        <v>0.98530260000000003</v>
      </c>
      <c r="AB6531">
        <v>7</v>
      </c>
      <c r="AC6531">
        <v>0.63750000000000195</v>
      </c>
      <c r="AD6531">
        <v>-0.2065699</v>
      </c>
      <c r="AE6531">
        <v>-8.4100000000006503E-2</v>
      </c>
      <c r="AF6531">
        <v>0.112468685132428</v>
      </c>
      <c r="AG6531">
        <v>-0.2065699</v>
      </c>
      <c r="AH6531">
        <v>0.57191726990731995</v>
      </c>
      <c r="AI6531">
        <v>109.51436398938</v>
      </c>
      <c r="AJ6531">
        <v>78.87463307582</v>
      </c>
      <c r="AK6531">
        <v>0.61839283011664203</v>
      </c>
    </row>
    <row r="6532" spans="1:37" x14ac:dyDescent="0.2">
      <c r="A6532" t="str">
        <f>"20200111153819930"</f>
        <v>20200111153819930</v>
      </c>
      <c r="B6532" t="str">
        <f>"1578728299919551"</f>
        <v>1578728299919551</v>
      </c>
      <c r="C6532" t="s">
        <v>37</v>
      </c>
      <c r="D6532">
        <v>5.7651519999999996</v>
      </c>
      <c r="E6532">
        <v>0.56113219999999997</v>
      </c>
      <c r="F6532" t="s">
        <v>38</v>
      </c>
      <c r="G6532">
        <v>-126.3193</v>
      </c>
      <c r="H6532">
        <v>0.90147279999999996</v>
      </c>
      <c r="I6532">
        <v>139.49870000000001</v>
      </c>
      <c r="J6532">
        <v>-126.9521</v>
      </c>
      <c r="K6532">
        <v>1.1063940000000001</v>
      </c>
      <c r="L6532">
        <v>139.5821</v>
      </c>
      <c r="M6532">
        <v>0.99769069999999904</v>
      </c>
      <c r="N6532">
        <v>0</v>
      </c>
      <c r="O6532">
        <v>6.2962539999999997E-2</v>
      </c>
      <c r="P6532">
        <v>0.99798739999999997</v>
      </c>
      <c r="Q6532">
        <v>-1.044957E-2</v>
      </c>
      <c r="R6532">
        <v>6.2548270000000003E-2</v>
      </c>
      <c r="S6532">
        <v>3.0187379999999999</v>
      </c>
      <c r="T6532">
        <v>-0.88678029999999997</v>
      </c>
      <c r="U6532">
        <v>-0.34289550000000002</v>
      </c>
      <c r="V6532">
        <v>4.32739499999999E-4</v>
      </c>
      <c r="W6532">
        <v>1.503108E-2</v>
      </c>
      <c r="X6532">
        <v>0.99988690000000002</v>
      </c>
      <c r="Y6532">
        <v>0.16566420000000001</v>
      </c>
      <c r="Z6532">
        <v>-4.1828450000000003E-2</v>
      </c>
      <c r="AA6532">
        <v>0.98529480000000003</v>
      </c>
      <c r="AB6532">
        <v>7</v>
      </c>
      <c r="AC6532">
        <v>0.63280000000000303</v>
      </c>
      <c r="AD6532">
        <v>-0.2049212</v>
      </c>
      <c r="AE6532">
        <v>-8.3399999999983196E-2</v>
      </c>
      <c r="AF6532">
        <v>0.111587898162076</v>
      </c>
      <c r="AG6532">
        <v>-0.2049212</v>
      </c>
      <c r="AH6532">
        <v>0.56776710808418795</v>
      </c>
      <c r="AI6532">
        <v>109.50158171687499</v>
      </c>
      <c r="AJ6532">
        <v>78.880914338896801</v>
      </c>
      <c r="AK6532">
        <v>0.61384366596711903</v>
      </c>
    </row>
    <row r="6533" spans="1:37" x14ac:dyDescent="0.2">
      <c r="A6533" t="str">
        <f>"20200111153819951"</f>
        <v>20200111153819951</v>
      </c>
      <c r="B6533" t="str">
        <f>"1578728299949790"</f>
        <v>1578728299949790</v>
      </c>
      <c r="C6533" t="s">
        <v>37</v>
      </c>
      <c r="D6533">
        <v>5.7662209999999998</v>
      </c>
      <c r="E6533">
        <v>0.56116029999999995</v>
      </c>
      <c r="F6533" t="s">
        <v>38</v>
      </c>
      <c r="G6533">
        <v>-126.2597</v>
      </c>
      <c r="H6533">
        <v>0.90281129999999998</v>
      </c>
      <c r="I6533">
        <v>139.50309999999999</v>
      </c>
      <c r="J6533">
        <v>-126.8879</v>
      </c>
      <c r="K6533">
        <v>1.106258</v>
      </c>
      <c r="L6533">
        <v>139.58619999999999</v>
      </c>
      <c r="M6533">
        <v>0.99769920000000001</v>
      </c>
      <c r="N6533">
        <v>0</v>
      </c>
      <c r="O6533">
        <v>6.2979370000000007E-2</v>
      </c>
      <c r="P6533">
        <v>0.99796719999999906</v>
      </c>
      <c r="Q6533">
        <v>-1.0257209999999999E-2</v>
      </c>
      <c r="R6533">
        <v>6.2902199999999894E-2</v>
      </c>
      <c r="S6533">
        <v>3.0183409999999999</v>
      </c>
      <c r="T6533">
        <v>-0.88750329999999999</v>
      </c>
      <c r="U6533">
        <v>-0.34428409999999998</v>
      </c>
      <c r="V6533" s="1">
        <v>9.4373099999999898E-5</v>
      </c>
      <c r="W6533">
        <v>1.484513E-2</v>
      </c>
      <c r="X6533">
        <v>0.99988980000000005</v>
      </c>
      <c r="Y6533">
        <v>0.1661059</v>
      </c>
      <c r="Z6533">
        <v>-4.1933529999999997E-2</v>
      </c>
      <c r="AA6533">
        <v>0.98521589999999903</v>
      </c>
      <c r="AB6533">
        <v>7</v>
      </c>
      <c r="AC6533">
        <v>0.62820000000000598</v>
      </c>
      <c r="AD6533">
        <v>-0.20344669999999901</v>
      </c>
      <c r="AE6533">
        <v>-8.31000000000017E-2</v>
      </c>
      <c r="AF6533">
        <v>0.111062760618719</v>
      </c>
      <c r="AG6533">
        <v>-0.20344669999999901</v>
      </c>
      <c r="AH6533">
        <v>0.56361938799417399</v>
      </c>
      <c r="AI6533">
        <v>109.501819260424</v>
      </c>
      <c r="AJ6533">
        <v>78.852528345634298</v>
      </c>
      <c r="AK6533">
        <v>0.60941965102880302</v>
      </c>
    </row>
    <row r="6534" spans="1:37" x14ac:dyDescent="0.2">
      <c r="A6534" t="str">
        <f>"20200111153819977"</f>
        <v>20200111153819977</v>
      </c>
      <c r="B6534" t="str">
        <f>"1578728299969310"</f>
        <v>1578728299969310</v>
      </c>
      <c r="C6534" t="s">
        <v>37</v>
      </c>
      <c r="D6534">
        <v>5.7627470000000001</v>
      </c>
      <c r="E6534">
        <v>0.56116529999999998</v>
      </c>
      <c r="F6534" t="s">
        <v>38</v>
      </c>
      <c r="G6534">
        <v>-126.2008</v>
      </c>
      <c r="H6534">
        <v>0.90451479999999995</v>
      </c>
      <c r="I6534">
        <v>139.5078</v>
      </c>
      <c r="J6534">
        <v>-126.81740000000001</v>
      </c>
      <c r="K6534">
        <v>1.1061399999999999</v>
      </c>
      <c r="L6534">
        <v>139.5907</v>
      </c>
      <c r="M6534">
        <v>0.99770829999999999</v>
      </c>
      <c r="N6534">
        <v>0</v>
      </c>
      <c r="O6534">
        <v>6.3000390000000003E-2</v>
      </c>
      <c r="P6534">
        <v>0.99795270000000003</v>
      </c>
      <c r="Q6534">
        <v>-1.0392190000000001E-2</v>
      </c>
      <c r="R6534">
        <v>6.3108570000000003E-2</v>
      </c>
      <c r="S6534">
        <v>3.0186769999999998</v>
      </c>
      <c r="T6534">
        <v>-0.88628569999999995</v>
      </c>
      <c r="U6534">
        <v>-0.34382629999999997</v>
      </c>
      <c r="V6534" s="1">
        <v>-9.2029189999999996E-5</v>
      </c>
      <c r="W6534">
        <v>1.4292529999999999E-2</v>
      </c>
      <c r="X6534">
        <v>0.99989779999999995</v>
      </c>
      <c r="Y6534">
        <v>0.16599749999999999</v>
      </c>
      <c r="Z6534">
        <v>-4.1864499999999999E-2</v>
      </c>
      <c r="AA6534">
        <v>0.98523709999999898</v>
      </c>
      <c r="AB6534">
        <v>7</v>
      </c>
      <c r="AC6534">
        <v>0.61660000000000503</v>
      </c>
      <c r="AD6534">
        <v>-0.20162519999999901</v>
      </c>
      <c r="AE6534">
        <v>-8.2899999999995005E-2</v>
      </c>
      <c r="AF6534">
        <v>0.110036277233135</v>
      </c>
      <c r="AG6534">
        <v>-0.20162519999999901</v>
      </c>
      <c r="AH6534">
        <v>0.55215833103690004</v>
      </c>
      <c r="AI6534">
        <v>109.703279126184</v>
      </c>
      <c r="AJ6534">
        <v>78.7295232447524</v>
      </c>
      <c r="AK6534">
        <v>0.59802970337251804</v>
      </c>
    </row>
    <row r="6535" spans="1:37" x14ac:dyDescent="0.2">
      <c r="A6535" t="str">
        <f>"20200111153819997"</f>
        <v>20200111153819997</v>
      </c>
      <c r="B6535" t="str">
        <f>"1578728299989807"</f>
        <v>1578728299989807</v>
      </c>
      <c r="C6535" t="s">
        <v>37</v>
      </c>
      <c r="D6535">
        <v>5.7666329999999997</v>
      </c>
      <c r="E6535">
        <v>0.56120150000000002</v>
      </c>
      <c r="F6535" t="s">
        <v>38</v>
      </c>
      <c r="G6535">
        <v>-126.14319999999999</v>
      </c>
      <c r="H6535">
        <v>0.90816659999999905</v>
      </c>
      <c r="I6535">
        <v>139.51400000000001</v>
      </c>
      <c r="J6535">
        <v>-126.7608</v>
      </c>
      <c r="K6535">
        <v>1.1061270000000001</v>
      </c>
      <c r="L6535">
        <v>139.5943</v>
      </c>
      <c r="M6535">
        <v>0.99770859999999995</v>
      </c>
      <c r="N6535">
        <v>0</v>
      </c>
      <c r="O6535">
        <v>6.3017139999999999E-2</v>
      </c>
      <c r="P6535">
        <v>0.99791459999999998</v>
      </c>
      <c r="Q6535">
        <v>-1.0631369999999999E-2</v>
      </c>
      <c r="R6535">
        <v>6.3665459999999993E-2</v>
      </c>
      <c r="S6535">
        <v>3.0186609999999998</v>
      </c>
      <c r="T6535">
        <v>-0.88636329999999997</v>
      </c>
      <c r="U6535">
        <v>-0.34352109999999902</v>
      </c>
      <c r="V6535">
        <v>-6.3347969999999997E-4</v>
      </c>
      <c r="W6535">
        <v>1.3994059999999999E-2</v>
      </c>
      <c r="X6535">
        <v>0.99990190000000001</v>
      </c>
      <c r="Y6535">
        <v>0.16591689999999901</v>
      </c>
      <c r="Z6535">
        <v>-4.1861660000000002E-2</v>
      </c>
      <c r="AA6535">
        <v>0.98525079999999998</v>
      </c>
      <c r="AB6535">
        <v>7</v>
      </c>
      <c r="AC6535">
        <v>0.61760000000001003</v>
      </c>
      <c r="AD6535">
        <v>-0.19796040000000001</v>
      </c>
      <c r="AE6535">
        <v>-8.0299999999994001E-2</v>
      </c>
      <c r="AF6535">
        <v>0.108145290288382</v>
      </c>
      <c r="AG6535">
        <v>-0.19796040000000001</v>
      </c>
      <c r="AH6535">
        <v>0.55521508763210903</v>
      </c>
      <c r="AI6535">
        <v>109.288523381548</v>
      </c>
      <c r="AJ6535">
        <v>78.977885553830205</v>
      </c>
      <c r="AK6535">
        <v>0.59928917670357496</v>
      </c>
    </row>
    <row r="6536" spans="1:37" x14ac:dyDescent="0.2">
      <c r="A6536" t="str">
        <f>"20200111153820019"</f>
        <v>20200111153820019</v>
      </c>
      <c r="B6536" t="str">
        <f>"1578728300009326"</f>
        <v>1578728300009326</v>
      </c>
      <c r="C6536" t="s">
        <v>37</v>
      </c>
      <c r="D6536">
        <v>5.7554249999999998</v>
      </c>
      <c r="E6536">
        <v>0.56122109999999903</v>
      </c>
      <c r="F6536" t="s">
        <v>38</v>
      </c>
      <c r="G6536">
        <v>-126.08920000000001</v>
      </c>
      <c r="H6536">
        <v>0.90872980000000003</v>
      </c>
      <c r="I6536">
        <v>139.51820000000001</v>
      </c>
      <c r="J6536">
        <v>-126.7045</v>
      </c>
      <c r="K6536">
        <v>1.106141</v>
      </c>
      <c r="L6536">
        <v>139.59790000000001</v>
      </c>
      <c r="M6536">
        <v>0.99770749999999997</v>
      </c>
      <c r="N6536">
        <v>0</v>
      </c>
      <c r="O6536">
        <v>6.3032550000000007E-2</v>
      </c>
      <c r="P6536">
        <v>0.997915</v>
      </c>
      <c r="Q6536">
        <v>-1.0647530000000001E-2</v>
      </c>
      <c r="R6536">
        <v>6.3661090000000004E-2</v>
      </c>
      <c r="S6536">
        <v>3.0186000000000002</v>
      </c>
      <c r="T6536">
        <v>-0.88729919999999995</v>
      </c>
      <c r="U6536">
        <v>-0.34156799999999998</v>
      </c>
      <c r="V6536">
        <v>-6.1345449999999999E-4</v>
      </c>
      <c r="W6536">
        <v>1.39831E-2</v>
      </c>
      <c r="X6536">
        <v>0.99990210000000002</v>
      </c>
      <c r="Y6536">
        <v>0.16530880000000001</v>
      </c>
      <c r="Z6536">
        <v>-4.1823390000000002E-2</v>
      </c>
      <c r="AA6536">
        <v>0.98535469999999903</v>
      </c>
      <c r="AB6536">
        <v>6</v>
      </c>
      <c r="AC6536">
        <v>0.61529999999998997</v>
      </c>
      <c r="AD6536">
        <v>-0.19741120000000001</v>
      </c>
      <c r="AE6536">
        <v>-7.9700000000002505E-2</v>
      </c>
      <c r="AF6536">
        <v>0.107458256256935</v>
      </c>
      <c r="AG6536">
        <v>-0.19741120000000001</v>
      </c>
      <c r="AH6536">
        <v>0.55305982506311502</v>
      </c>
      <c r="AI6536">
        <v>109.31000276903799</v>
      </c>
      <c r="AJ6536">
        <v>79.004560472707595</v>
      </c>
      <c r="AK6536">
        <v>0.59698712617783101</v>
      </c>
    </row>
    <row r="6537" spans="1:37" x14ac:dyDescent="0.2">
      <c r="A6537" t="str">
        <f>"20200111153820041"</f>
        <v>20200111153820041</v>
      </c>
      <c r="B6537" t="str">
        <f>"1578728300029823"</f>
        <v>1578728300029823</v>
      </c>
      <c r="C6537" t="s">
        <v>37</v>
      </c>
      <c r="D6537">
        <v>5.7705549999999999</v>
      </c>
      <c r="E6537">
        <v>0.5612587</v>
      </c>
      <c r="F6537" t="s">
        <v>38</v>
      </c>
      <c r="G6537">
        <v>-126.0369</v>
      </c>
      <c r="H6537">
        <v>0.90987050000000003</v>
      </c>
      <c r="I6537">
        <v>139.5224</v>
      </c>
      <c r="J6537">
        <v>-126.6491</v>
      </c>
      <c r="K6537">
        <v>1.1061190000000001</v>
      </c>
      <c r="L6537">
        <v>139.60140000000001</v>
      </c>
      <c r="M6537">
        <v>0.99771019999999899</v>
      </c>
      <c r="N6537">
        <v>0</v>
      </c>
      <c r="O6537">
        <v>6.3047480000000003E-2</v>
      </c>
      <c r="P6537">
        <v>0.99793949999999998</v>
      </c>
      <c r="Q6537">
        <v>-1.0461679999999999E-2</v>
      </c>
      <c r="R6537">
        <v>6.3304189999999996E-2</v>
      </c>
      <c r="S6537">
        <v>3.0185550000000001</v>
      </c>
      <c r="T6537">
        <v>-0.88755580000000001</v>
      </c>
      <c r="U6537">
        <v>-0.34100340000000001</v>
      </c>
      <c r="V6537">
        <v>-2.4060419999999999E-4</v>
      </c>
      <c r="W6537">
        <v>1.402553E-2</v>
      </c>
      <c r="X6537">
        <v>0.99990159999999995</v>
      </c>
      <c r="Y6537">
        <v>0.1651434</v>
      </c>
      <c r="Z6537">
        <v>-4.1816470000000001E-2</v>
      </c>
      <c r="AA6537">
        <v>0.98538269999999994</v>
      </c>
      <c r="AB6537">
        <v>6</v>
      </c>
      <c r="AC6537">
        <v>0.61220000000000097</v>
      </c>
      <c r="AD6537">
        <v>-0.19624849999999999</v>
      </c>
      <c r="AE6537">
        <v>-7.9000000000007703E-2</v>
      </c>
      <c r="AF6537">
        <v>0.106670054213803</v>
      </c>
      <c r="AG6537">
        <v>-0.19624849999999999</v>
      </c>
      <c r="AH6537">
        <v>0.55036922575295499</v>
      </c>
      <c r="AI6537">
        <v>109.29319839301</v>
      </c>
      <c r="AJ6537">
        <v>79.031189524661599</v>
      </c>
      <c r="AK6537">
        <v>0.59396823052595404</v>
      </c>
    </row>
    <row r="6538" spans="1:37" x14ac:dyDescent="0.2">
      <c r="A6538" t="str">
        <f>"20200111153820064"</f>
        <v>20200111153820064</v>
      </c>
      <c r="B6538" t="str">
        <f>"1578728300060079"</f>
        <v>1578728300060079</v>
      </c>
      <c r="C6538" t="s">
        <v>37</v>
      </c>
      <c r="D6538">
        <v>5.782438</v>
      </c>
      <c r="E6538">
        <v>0.56132349999999998</v>
      </c>
      <c r="F6538" t="s">
        <v>38</v>
      </c>
      <c r="G6538">
        <v>-125.9419</v>
      </c>
      <c r="H6538">
        <v>0.89827479999999904</v>
      </c>
      <c r="I6538">
        <v>139.5214</v>
      </c>
      <c r="J6538">
        <v>-126.59299999999899</v>
      </c>
      <c r="K6538">
        <v>1.106069</v>
      </c>
      <c r="L6538">
        <v>139.60489999999999</v>
      </c>
      <c r="M6538">
        <v>0.99771540000000003</v>
      </c>
      <c r="N6538">
        <v>0</v>
      </c>
      <c r="O6538">
        <v>6.3062649999999998E-2</v>
      </c>
      <c r="P6538">
        <v>0.99796479999999999</v>
      </c>
      <c r="Q6538">
        <v>-1.0058060000000001E-2</v>
      </c>
      <c r="R6538">
        <v>6.2970719999999994E-2</v>
      </c>
      <c r="S6538">
        <v>3.01857</v>
      </c>
      <c r="T6538">
        <v>-0.88719169999999903</v>
      </c>
      <c r="U6538">
        <v>-0.3416595</v>
      </c>
      <c r="V6538">
        <v>1.08084599999999E-4</v>
      </c>
      <c r="W6538">
        <v>1.41762E-2</v>
      </c>
      <c r="X6538">
        <v>0.99989950000000005</v>
      </c>
      <c r="Y6538">
        <v>0.16536699999999999</v>
      </c>
      <c r="Z6538">
        <v>-4.183568E-2</v>
      </c>
      <c r="AA6538">
        <v>0.98534439999999901</v>
      </c>
      <c r="AB6538">
        <v>6</v>
      </c>
      <c r="AC6538">
        <v>0.65109999999998502</v>
      </c>
      <c r="AD6538">
        <v>-0.20779420000000001</v>
      </c>
      <c r="AE6538">
        <v>-8.3499999999986502E-2</v>
      </c>
      <c r="AF6538">
        <v>0.11307521505599299</v>
      </c>
      <c r="AG6538">
        <v>-0.20779420000000001</v>
      </c>
      <c r="AH6538">
        <v>0.58583294346903803</v>
      </c>
      <c r="AI6538">
        <v>109.20172489118499</v>
      </c>
      <c r="AJ6538">
        <v>79.075334490476195</v>
      </c>
      <c r="AK6538">
        <v>0.63179480170953894</v>
      </c>
    </row>
    <row r="6539" spans="1:37" x14ac:dyDescent="0.2">
      <c r="A6539" t="str">
        <f>"20200111153820090"</f>
        <v>20200111153820090</v>
      </c>
      <c r="B6539" t="str">
        <f>"1578728300079599"</f>
        <v>1578728300079599</v>
      </c>
      <c r="C6539" t="s">
        <v>37</v>
      </c>
      <c r="D6539">
        <v>5.7812779999999897</v>
      </c>
      <c r="E6539">
        <v>0.56135699999999999</v>
      </c>
      <c r="F6539" t="s">
        <v>38</v>
      </c>
      <c r="G6539">
        <v>-125.8935</v>
      </c>
      <c r="H6539">
        <v>0.90094089999999905</v>
      </c>
      <c r="I6539">
        <v>139.52529999999999</v>
      </c>
      <c r="J6539">
        <v>-126.5347</v>
      </c>
      <c r="K6539">
        <v>1.1060350000000001</v>
      </c>
      <c r="L6539">
        <v>139.6086</v>
      </c>
      <c r="M6539">
        <v>0.99771969999999999</v>
      </c>
      <c r="N6539">
        <v>0</v>
      </c>
      <c r="O6539">
        <v>6.3078910000000002E-2</v>
      </c>
      <c r="P6539">
        <v>0.99800119999999903</v>
      </c>
      <c r="Q6539">
        <v>-9.8673719999999993E-3</v>
      </c>
      <c r="R6539">
        <v>6.2420450000000002E-2</v>
      </c>
      <c r="S6539">
        <v>3.018875</v>
      </c>
      <c r="T6539">
        <v>-0.88530499999999901</v>
      </c>
      <c r="U6539">
        <v>-0.34356690000000001</v>
      </c>
      <c r="V6539">
        <v>6.7558869999999999E-4</v>
      </c>
      <c r="W6539">
        <v>1.4143299999999999E-2</v>
      </c>
      <c r="X6539">
        <v>0.99989969999999995</v>
      </c>
      <c r="Y6539">
        <v>0.1660015</v>
      </c>
      <c r="Z6539">
        <v>-4.1840349999999998E-2</v>
      </c>
      <c r="AA6539">
        <v>0.98523749999999999</v>
      </c>
      <c r="AB6539">
        <v>5</v>
      </c>
      <c r="AC6539">
        <v>0.64119999999999699</v>
      </c>
      <c r="AD6539">
        <v>-0.2050941</v>
      </c>
      <c r="AE6539">
        <v>-8.3300000000008298E-2</v>
      </c>
      <c r="AF6539">
        <v>0.112293751388053</v>
      </c>
      <c r="AG6539">
        <v>-0.2050941</v>
      </c>
      <c r="AH6539">
        <v>0.57664846657619695</v>
      </c>
      <c r="AI6539">
        <v>109.244499440562</v>
      </c>
      <c r="AJ6539">
        <v>78.980408161979</v>
      </c>
      <c r="AK6539">
        <v>0.62225150097070203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TxtToExcel_Tem_Txt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吕泽众</dc:creator>
  <cp:lastModifiedBy>吕泽众</cp:lastModifiedBy>
  <dcterms:created xsi:type="dcterms:W3CDTF">2020-07-09T10:52:36Z</dcterms:created>
  <dcterms:modified xsi:type="dcterms:W3CDTF">2020-07-09T10:52:36Z</dcterms:modified>
</cp:coreProperties>
</file>